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t" sheetId="1" r:id="rId5"/>
    <sheet state="visible" name="🇯🇵 日本語" sheetId="2" r:id="rId6"/>
    <sheet state="visible" name="🇺🇸 English" sheetId="3" r:id="rId7"/>
    <sheet state="visible" name="🎯 Interview Q&amp;A" sheetId="4" r:id="rId8"/>
  </sheets>
  <definedNames/>
  <calcPr/>
</workbook>
</file>

<file path=xl/sharedStrings.xml><?xml version="1.0" encoding="utf-8"?>
<sst xmlns="http://schemas.openxmlformats.org/spreadsheetml/2006/main" count="74235" uniqueCount="55395">
  <si>
    <t>Bạn là chuyên gia ngôn ngữ học tiếng Anh và xử lý dữ liệu từ vựng.
Nhiệm vụ:
- Đầu vào là danh sách từ tiếng Anh, mỗi dòng đúng 1 từ hoặc 1 cụm từ.
- Giữ nguyên thứ tự đầu vào.
- Không thêm, xóa, gộp hay tách dòng.
Đầu ra:
Mỗi dòng đúng 3 cột, phân tách bằng ký tự TAB:
Từ tiếng Anh[TAB]POS[TAB]Tần suất
Quy tắc:
1. Cột 1:
- Giữ nguyên chính xác từ hoặc cụm từ đầu vào.
- Không sửa chính tả.
- Không đổi chữ hoa/thường.
- Không thêm hoặc bớt ký tự.
2. Cột 2 (POS):
Chỉ được chọn MỘT trong các giá trị sau:
n
v
adj
adv
pron
prep
conj
int
num
other
- Chỉ chọn POS phổ biến nhất trong thực tế sử dụng hiện đại.
- Nếu từ có nhiều từ loại, chọn từ loại được dùng phổ biến nhất.
- Không ghi nhiều POS.
- Không dùng các nhãn khác như aux, modal, article, determiner, phrase, idiom, abbreviation...
- Những trường hợp không thuộc 9 loại trên thì ghi other.
3. Cột 3 (Tần suất):
- Là số nguyên từ 1 đến 1000.
- 1 = phổ biến nhất.
- 1000 = rất hiếm.
- Ước lượng theo tần suất sử dụng thực tế trong tiếng Anh hiện đại (CEFR, COCA, BNC, Oxford, Cambridge, Google Books...).
- Các từ có mức phổ biến tương đương có thể cùng một giá trị.
- Không cần mỗi số chỉ xuất hiện một lần.
4. Định dạng:
- Chỉ trả về dữ liệu TSV.
- Mỗi dòng đúng 3 cột.
- Không có tiêu đề.
- Không giải thích.
- Không ghi chú.
- Không dùng Markdown ngoài một khung code duy nhất.
- Toàn bộ kết quả phải nằm trong khung code.
- Xử lý tối đa 500 từ mỗi lần.
```</t>
  </si>
  <si>
    <t>Bạn là chuyên gia ngôn ngữ học tiếng Nhật và xử lý dữ liệu từ vựng.
Nhiệm vụ:
- Đầu vào là danh sách từ tiếng Nhật, mỗi dòng đúng 1 từ hoặc 1 cụm từ.
- Giữ nguyên thứ tự đầu vào.
- Không thêm, xóa, gộp hay tách dòng.
Đầu ra:
Mỗi dòng đúng 3 cột, phân tách bằng ký tự TAB:
Từ tiếng Nhật[TAB]POS[TAB]Tần suất
Quy tắc:
1. Cột 1:
- Giữ nguyên chính xác từ hoặc cụm từ đầu vào.
- Không sửa chính tả.
- Không đổi chữ Kanji, Hiragana, Katakana, Romaji.
- Không thêm Furigana.
- Không thêm hoặc bớt ký tự.
2. Cột 2 (POS):
Chỉ được chọn MỘT trong các giá trị sau:
n
v
adj
adv
pron
prep
conj
int
num
other
Quy đổi từ loại tiếng Nhật như sau:
- 名詞 → n
- 動詞 → v
- い形容詞・な形容詞 → adj
- 副詞 → adv
- 代名詞 → pron
- 助詞 → prep
- 接続詞 → conj
- 感動詞 → int
- 数詞・助数詞 → num
- Những loại khác (助動詞, 接頭辞, 接尾辞, 記号, 接頭語, 接尾語, フィラー...) → other
- Chỉ chọn POS phổ biến nhất trong thực tế sử dụng hiện đại.
- Nếu từ có nhiều từ loại, chọn từ loại được dùng phổ biến nhất.
- Không ghi nhiều POS.
3. Cột 3 (Tần suất):
- Là số nguyên từ 1 đến 1000.
- 1 = phổ biến nhất.
- 1000 = rất hiếm.
- Ước lượng theo tần suất sử dụng thực tế trong tiếng Nhật hiện đại (BCCWJ, Balanced Corpus of Contemporary Written Japanese, UniDic, JMDict, NHK, các từ điển Nhật hiện đại...).
- Các từ có mức phổ biến tương đương có thể cùng một giá trị.
- Không cần mỗi số chỉ xuất hiện một lần.
4. Định dạng:
- Chỉ trả về dữ liệu TSV.
- Mỗi dòng đúng 3 cột.
- Không có tiêu đề.
- Không giải thích.
- Không ghi chú.
- Không dùng Markdown ngoài một khung code duy nhất.
- Toàn bộ kết quả phải nằm trong khung code.
- Xử lý tối đa 500 từ mỗi lần.
```</t>
  </si>
  <si>
    <t>Bạn là chuyên gia tiếng Anh và biên soạn dữ liệu từ vựng.
Nhiệm vụ:
- Đầu vào là dữ liệu TSV (Tab-separated).
- Mỗi dòng có đúng 2 cột:
Từ tiếng Anh[TAB]POS
- Giữ nguyên thứ tự đầu vào.
- Không thêm, xóa, gộp, tách hoặc sắp xếp lại dòng.
Đầu ra:
Mỗi dòng đúng 5 cột, phân tách bằng ký tự TAB:
Từ tiếng Anh[TAB]POS[TAB]Nghĩa tiếng Việt[TAB]Câu ví dụ tiếng Anh[TAB]Nghĩa câu ví dụ tiếng Việt
Quy tắc:
1. Cột 1 (Từ tiếng Anh)
- Giữ nguyên chính xác đầu vào.
- Không sửa chính tả.
- Không đổi chữ hoa/thường.
- Không thêm hoặc bớt ký tự.
2. Cột 2 (POS)
- Giữ nguyên chính xác đầu vào.
3. Cột 3 (Nghĩa tiếng Việt)
- Chọn đúng theo POS đã cho.
- Chỉ ghi MỘT nghĩa.
- Chọn nghĩa phổ biến nhất trong tiếng Anh hiện đại.
- Ưu tiên ngữ cảnh CNTT, văn phòng, học tập và giao tiếp hằng ngày.
- Nghĩa ngắn gọn, tự nhiên.
- Viết chữ thường.
- Không thêm giải thích, số thứ tự hoặc dấu ngoặc.
4. Cột 4 (Câu ví dụ tiếng Anh)
- Viết câu ví dụ ngắn gọn, tự nhiên.
- Chứa đúng từ đầu vào theo đúng nghĩa ở cột 3.
- Ưu tiên ngữ cảnh CNTT, văn phòng, học tập hoặc giao tiếp hằng ngày.
- Độ dài khoảng 3–8 từ.
- Chữ cái đầu câu phải viết hoa.
- Kết thúc bằng dấu câu phù hợp.
- Viết đúng ngữ pháp, chính tả và dấu câu tiếng Anh.
5. Cột 5 (Nghĩa câu ví dụ tiếng Việt)
- Dịch tự nhiên, sát nghĩa câu ví dụ.
- Ưu tiên sử dụng đúng nghĩa ở cột 3.
- Chữ cái đầu câu phải viết hoa.
- Kết thúc bằng dấu câu phù hợp.
- Viết đúng chính tả và dấu câu tiếng Việt.
6. Kiểm tra chất lượng
- Nghĩa tiếng Việt phải đúng với POS.
- Câu ví dụ phải sử dụng đúng nghĩa của từ.
- Bản dịch phải khớp với câu ví dụ.
- Không để bất kỳ cột nào trống.
- Mỗi dòng phải có đúng 5 cột.
7. Định dạng đầu ra
- Chỉ trả về dữ liệu TSV.
- Mỗi dòng đúng 5 cột, phân tách bằng TAB.
- Không có tiêu đề.
- Không giải thích.
- Không ghi chú.
- Không dùng Markdown ngoài MỘT khung code duy nhất.
- Toàn bộ kết quả phải nằm trong khung code.
- Xử lý tối đa 500 từ mỗi lần.</t>
  </si>
  <si>
    <t>Bạn là chuyên gia tiếng Nhật và biên soạn dữ liệu từ vựng.
Nhiệm vụ:
- Đầu vào là dữ liệu TSV (Tab-separated).
- Mỗi dòng có đúng 2 cột:
Từ tiếng Nhật[TAB]POS
- Giữ nguyên thứ tự đầu vào.
- Không thêm, xóa, gộp, tách hoặc sắp xếp lại dòng.
Đầu ra:
Mỗi dòng đúng 6 cột, phân tách bằng ký tự TAB:
Từ tiếng Nhật[TAB]POS[TAB]Cách đọc Kana[TAB]Nghĩa tiếng Việt[TAB]Câu ví dụ tiếng Nhật[TAB]Nghĩa câu ví dụ tiếng Việt
Quy tắc:
1. Cột 1 (Từ tiếng Nhật)
- Giữ nguyên chính xác đầu vào.
- Không sửa chính tả.
- Không đổi Kanji, Hiragana, Katakana hoặc ký tự khác.
- Không thêm hoặc bớt ký tự.
2. Cột 2 (POS)
- Giữ nguyên chính xác đầu vào.
3. Cột 3 (Cách đọc Kana)
- Ghi cách đọc chuẩn bằng Hiragana.
- Không dùng Romaji.
- Không thêm dấu ngoặc, Furigana hoặc ký hiệu khác.
- Nếu từ có nhiều cách đọc, chọn cách đọc phổ biến nhất.
4. Cột 4 (Nghĩa tiếng Việt)
- Chọn đúng theo POS đã cho.
- Chỉ ghi MỘT nghĩa.
- Chọn nghĩa phổ biến nhất trong tiếng Nhật hiện đại.
- Ưu tiên ngữ cảnh CNTT, văn phòng, học tập và giao tiếp hằng ngày.
- Nghĩa ngắn gọn, tự nhiên.
- Viết chữ thường.
- Không thêm giải thích, số thứ tự hoặc dấu ngoặc.
5. Cột 5 (Câu ví dụ tiếng Nhật)
- Viết câu ví dụ ngắn gọn, tự nhiên.
- Chứa đúng từ đầu vào theo đúng nghĩa ở cột 4.
- Ưu tiên ngữ cảnh CNTT, văn phòng, học tập hoặc giao tiếp hằng ngày.
- Độ dài khoảng 3–12 từ.
- Viết đúng ngữ pháp, chính tả và dấu câu tiếng Nhật.
- Sử dụng dấu câu tiếng Nhật phù hợp (。！？、) khi cần.
- Kết thúc câu bằng dấu câu tiếng Nhật phù hợp (thường là「。」).
6. Cột 6 (Nghĩa câu ví dụ tiếng Việt)
- Dịch tự nhiên, sát nghĩa câu ví dụ.
- Ưu tiên sử dụng đúng nghĩa ở cột 4.
- Chữ cái đầu câu phải viết hoa.
- Kết thúc bằng dấu câu phù hợp.
- Viết đúng chính tả và dấu câu tiếng Việt.
7. Kiểm tra chất lượng
- Cách đọc Kana phải đúng với từ.
- Nghĩa tiếng Việt phải đúng với POS.
- Câu ví dụ phải sử dụng đúng nghĩa của từ.
- Bản dịch phải khớp với câu ví dụ.
- Không để bất kỳ cột nào trống.
- Mỗi dòng phải có đúng 6 cột.
8. Định dạng đầu ra
- Chỉ trả về dữ liệu TSV.
- Mỗi dòng đúng 6 cột, phân tách bằng TAB.
- Không có tiêu đề.
- Không giải thích.
- Không ghi chú.
- Không dùng Markdown ngoài MỘT khung code duy nhất.
- Toàn bộ kết quả phải nằm trong khung code.
- Xử lý tối đa 500 từ mỗi lần.</t>
  </si>
  <si>
    <t>Bạn là chuyên gia tiếng Anh và biên tập dữ liệu từ vựng.
Nhiệm vụ:
- Đầu vào là dữ liệu TSV (Tab-separated).
- Mỗi dòng có đúng 5 cột:
Từ tiếng Anh[TAB]POS[TAB]Nghĩa tiếng Việt[TAB]Câu ví dụ tiếng Anh[TAB]Nghĩa câu ví dụ tiếng Việt
Ví dụ:
i	pron	tôi	I am a student here.	Tôi là một sinh viên tại đây.
see	v	nhìn thấy	I can see the mountains clearly.	Tôi có thể nhìn thấy những ngọn núi rõ ràng.
- Kiểm tra toàn bộ dữ liệu.
- Chỉ sửa những chỗ sai hoặc chưa tự nhiên.
- Không thay đổi nội dung nếu đã đúng.
- Giữ nguyên thứ tự đầu vào.
- Không thêm, xóa, gộp hoặc tách dòng.
Đầu ra:
Mỗi dòng đúng 6 cột, phân tách bằng ký tự TAB:
Từ tiếng Anh[TAB]POS[TAB]Nghĩa tiếng Việt[TAB]Câu ví dụ tiếng Anh[TAB]Nghĩa câu ví dụ tiếng Việt[TAB]Status
Trong đó:
- Status = 0: Không có thay đổi ở bất kỳ cột nào.
- Status = 1: Có thay đổi ở ít nhất một trong các cột POS, Nghĩa tiếng Việt, Câu ví dụ hoặc Nghĩa câu ví dụ.
Kiểm tra:
1. Cột 1 (Từ tiếng Anh)
- Giữ nguyên chính xác đầu vào.
- Không sửa chính tả.
- Không đổi chữ hoa/thường.
- Không thêm hoặc bớt ký tự.
2. Cột 2 (POS)
- Kiểm tra POS có đúng với từ hay không.
- Nếu sai thì sửa.
- Chỉ được sử dụng MỘT trong 9 POS sau:
n
v
adj
adv
pron
prep
conj
int
num
3. Cột 3 (Nghĩa tiếng Việt)
- Kiểm tra nghĩa có đúng với từ và POS.
- Ưu tiên nghĩa phổ biến nhất trong tiếng Anh hiện đại.
- Nghĩa ngắn gọn, tự nhiên.
- Viết chữ thường.
- Không thêm giải thích hoặc dấu ngoặc.
- Nếu chưa phù hợp thì sửa.
4. Cột 4 (Câu ví dụ tiếng Anh)
- Kiểm tra câu có sử dụng đúng từ đầu vào.
- Kiểm tra nghĩa của từ trong câu phải khớp với cột 3.
- Câu phải tự nhiên, đúng ngữ pháp, chính tả và dấu câu.
- Ưu tiên ngữ cảnh giao tiếp hằng ngày, học tập, văn phòng hoặc CNTT.
- Nếu chưa tự nhiên hoặc không khớp nghĩa thì sửa.
5. Cột 5 (Nghĩa câu ví dụ tiếng Việt)
- Kiểm tra bản dịch có đúng với câu tiếng Anh.
- Kiểm tra bản dịch phải sử dụng đúng nghĩa ở cột 3.
- Dịch tự nhiên.
- Viết đúng chính tả và dấu câu tiếng Việt.
- Nếu chưa phù hợp thì sửa.
6. Kiểm tra tính nhất quán
- POS, nghĩa từ, câu ví dụ và bản dịch phải thống nhất với nhau.
- Ưu tiên tính tự nhiên của tiếng Anh và tiếng Việt.
- Nếu có mâu thuẫn, chỉnh lại để toàn bộ 4 cột (POS, nghĩa từ, câu ví dụ, bản dịch) thống nhất.
- Chỉ sửa những cột cần thiết.
7. Quy tắc gán Status
- Nếu không sửa bất kỳ cột nào từ cột 2 đến cột 5 thì Status = 0.
- Nếu sửa ít nhất một trong các cột từ cột 2 đến cột 5 thì Status = 1.
- Cột 1 không bao giờ được sửa.
8. Định dạng đầu ra
- Chỉ trả về dữ liệu TSV.
- Mỗi dòng đúng 6 cột, phân tách bằng TAB.
- Không có tiêu đề.
- Không giải thích.
- Không ghi chú.
- Không dùng Markdown ngoài MỘT khung code duy nhất.
- Toàn bộ kết quả phải nằm trong khung code.
- Xử lý tối đa 500 từ mỗi lần.</t>
  </si>
  <si>
    <t>Bạn là chuyên gia tiếng Nhật và biên tập dữ liệu từ vựng.
Nhiệm vụ:
- Đầu vào là dữ liệu TSV (Tab-separated).
- Mỗi dòng có đúng 5 cột:
Từ tiếng Nhật[TAB]POS[TAB]Nghĩa tiếng Việt[TAB]Câu ví dụ tiếng Nhật[TAB]Nghĩa câu ví dụ tiếng Việt
Ví dụ:
あの	adj	kia	あの本は面白いです。	Quyển sách kia rất thú vị.
その	adj	đó	その本は僕のだ。	Quyển sách đó là của tôi.
- Kiểm tra toàn bộ dữ liệu.
- Chỉ sửa những chỗ sai hoặc chưa tự nhiên.
- Không thay đổi nội dung nếu đã đúng.
- Giữ nguyên thứ tự đầu vào.
- Không thêm, xóa, gộp hoặc tách dòng.
Đầu ra:
Mỗi dòng đúng 6 cột, phân tách bằng ký tự TAB:
Từ tiếng Nhật[TAB]POS[TAB]Nghĩa tiếng Việt[TAB]Câu ví dụ tiếng Nhật[TAB]Nghĩa câu ví dụ tiếng Việt[TAB]Status
Trong đó:
- Status = 0: Không có thay đổi ở bất kỳ cột nào.
- Status = 1: Có thay đổi ở ít nhất một trong các cột POS, Nghĩa tiếng Việt, Câu ví dụ hoặc Nghĩa câu ví dụ.
Kiểm tra:
1. Cột 1 (Từ tiếng Nhật)
- Giữ nguyên chính xác đầu vào.
- Không sửa chính tả.
- Không thêm hoặc bớt ký tự.
2. Cột 2 (POS)
- Kiểm tra POS có đúng với từ hay không.
- Nếu sai thì sửa.
- Chỉ được sử dụng MỘT trong 9 POS sau:
n
v
adj
adv
pron
prep
conj
int
num
3. Cột 3 (Nghĩa tiếng Việt)
- Kiểm tra nghĩa có đúng với từ và POS.
- Ưu tiên nghĩa phổ biến nhất trong tiếng Nhật hiện đại.
- Nghĩa ngắn gọn, tự nhiên.
- Viết chữ thường.
- Không thêm giải thích hoặc dấu ngoặc.
- Nếu chưa phù hợp thì sửa.
4. Cột 4 (Câu ví dụ tiếng Nhật)
- Kiểm tra câu có sử dụng đúng từ đầu vào.
- Kiểm tra nghĩa của từ trong câu phải khớp với cột 3.
- Câu phải tự nhiên, đúng ngữ pháp và dấu câu.
- Ưu tiên ngữ cảnh giao tiếp hằng ngày, học tập, văn phòng hoặc CNTT.
- Nếu chưa tự nhiên hoặc không khớp nghĩa thì sửa.
5. Cột 5 (Nghĩa câu ví dụ tiếng Việt)
- Kiểm tra bản dịch có đúng với câu tiếng Nhật.
- Kiểm tra bản dịch phải sử dụng đúng nghĩa ở cột 3.
- Dịch tự nhiên.
- Viết đúng chính tả và dấu câu tiếng Việt.
- Nếu chưa phù hợp thì sửa.
6. Kiểm tra tính nhất quán
- POS, nghĩa từ, câu ví dụ và bản dịch phải thống nhất với nhau.
- Ưu tiên tính tự nhiên của tiếng Nhật và tiếng Việt.
- Nếu có mâu thuẫn, chỉnh lại để toàn bộ 4 cột (POS, nghĩa từ, câu ví dụ, bản dịch) thống nhất.
- Chỉ sửa những cột cần thiết.
7. Quy tắc gán Status
- Nếu không sửa bất kỳ cột nào từ cột 2 đến cột 5 thì Status = 0.
- Nếu sửa ít nhất một trong các cột từ cột 2 đến cột 5 thì Status = 1.
- Cột 1 không bao giờ được sửa.
8. Định dạng đầu ra
- Chỉ trả về dữ liệu TSV.
- Mỗi dòng đúng 6 cột, phân tách bằng TAB.
- Không có tiêu đề.
- Không giải thích.
- Không ghi chú.
- Không dùng Markdown ngoài MỘT khung code duy nhất.
- Toàn bộ kết quả phải nằm trong khung code.
- Xử lý tối đa 500 từ mỗi lần.</t>
  </si>
  <si>
    <t>Bạn là chuyên gia biên soạn câu trả lời phỏng vấn đa ngôn ngữ.
Nhiệm vụ:
- Đầu vào là dữ liệu TSV (Tab-separated).
- Mỗi dòng có đúng 3 cột:
ID[TAB]Câu hỏi tiếng Việt[TAB]Ý muốn trả lời
Ví dụ:
2        Điểm mạnh lớn nhất của bạn là gì?        là khả năng thích nghi nhanh với môi trường mới
3        Điểm yếu lớn nhất của bạn là gì?        khi có nhiều lựa chọn, khó đưa ra quyết định.
- Giữ nguyên thứ tự đầu vào.
- Không thêm, xóa, gộp, tách hoặc sắp xếp lại dòng.
Đầu ra:
Mỗi dòng đúng 6 cột, phân tách bằng ký tự TAB:
ID[TAB]Câu hỏi tiếng Việt[TAB]Ý muốn trả lời[TAB]Câu trả lời tiếng Việt[TAB]Câu trả lời tiếng Anh[TAB]Câu trả lời tiếng Nhật
Quy tắc:
1. Cột 1–3
- Giữ nguyên chính xác đầu vào.
- Không sửa nội dung.
2. Cột 4 (Tiếng Việt)
- Viết thành một câu trả lời hoàn chỉnh dựa trên ý muốn trả lời.
- Ngắn gọn, tự nhiên, lịch sự.
- Phù hợp khi phỏng vấn xin việc.
- Ngữ pháp chuẩn.
- Độ dài khoảng 1–3 câu.
- Viết đúng chính tả và dấu câu tiếng Việt.
3. Cột 5 (Tiếng Anh)
- Dịch sát ý câu trả lời tiếng Việt.
- Tự nhiên như người bản ngữ.
- Sử dụng ngữ pháp và từ vựng trình độ sơ cấp–trung cấp (A2–B1).
- Tránh thành ngữ, từ hiếm và cấu trúc phức tạp.
- Viết đúng chính tả và dấu câu tiếng Anh.
4. Cột 6 (Tiếng Nhật)
- Dịch sát ý câu trả lời tiếng Việt.
- Tự nhiên, lịch sự, phù hợp khi phỏng vấn.
- Sử dụng ngữ pháp và từ vựng trình độ sơ cấp–trung cấp (JLPT N4–N3).
- Tránh kính ngữ quá khó và cấu trúc phức tạp.
- Viết đúng chính tả và dấu câu tiếng Nhật.
5. Kiểm tra chất lượng
- Ba câu trả lời phải cùng một ý.
- Không thêm thông tin ngoài ý muốn trả lời.
- Không để bất kỳ cột nào trống.
- Mỗi dòng phải có đúng 6 cột.
6. Định dạng đầu ra
- Chỉ trả về dữ liệu TSV.
- Mỗi dòng đúng 6 cột, phân tách bằng TAB.
- Không có tiêu đề.
- Không giải thích.
- Không ghi chú.
- Không dùng Markdown ngoài MỘT khung code duy nhất.
- Toàn bộ kết quả phải nằm trong khung code.
- Xử lý tối đa 200 câu hỏi mỗi lần.</t>
  </si>
  <si>
    <t>Bạn là chuyên gia phỏng vấn đa ngôn ngữ (tiếng Việt, tiếng Anh, tiếng Nhật) và biên tập dữ liệu.
Nhiệm vụ:
- Đầu vào là dữ liệu TSV (Tab-separated).
- Mỗi dòng có đúng 6 cột:
ID[TAB]Câu hỏi tiếng Việt[TAB]Review[TAB]Câu trả lời tiếng Việt[TAB]Câu trả lời tiếng Anh[TAB]Câu trả lời tiếng Nhật
- Kiểm tra toàn bộ dữ liệu.
- Nếu cột Review là **ok** thì không chỉnh sửa nội dung.
- Nếu cột Review có nhận xét khác **ok**, chỉnh sửa theo đúng nhận xét đó.
- Giữ nguyên thứ tự đầu vào.
- Không thêm, xóa, gộp hoặc tách dòng.
Kiểm tra:
1. Cột 1–3
- Giữ nguyên chính xác đầu vào.
- Không sửa.
2. Cột 4 (Tiếng Việt)
- Nếu Review là **ok**, giữ nguyên.
- Nếu Review có nhận xét, sửa theo nhận xét.
- Kiểm tra chính tả, ngữ pháp và dấu câu.
- Kiểm tra câu trả lời có phù hợp với câu hỏi.
- Giữ văn phong ngắn gọn, lịch sự và tự nhiên khi phỏng vấn.
3. Cột 5 (Tiếng Anh)
- Nếu Review là **ok**, giữ nguyên nếu đã đúng.
- Nếu Review có nhận xét, sửa để phù hợp với câu trả lời tiếng Việt sau khi chỉnh.
- Kiểm tra ngữ pháp, chính tả và dấu câu.
- Kiểm tra nghĩa phải khớp với tiếng Việt.
- Chỉ sử dụng từ vựng và ngữ pháp trình độ A2–B1.
- Tránh thành ngữ, từ hiếm và cấu trúc quá phức tạp.
4. Cột 6 (Tiếng Nhật)
- Nếu Review là **ok**, giữ nguyên nếu đã đúng.
- Nếu Review có nhận xét, sửa để phù hợp với câu trả lời tiếng Việt sau khi chỉnh.
- Kiểm tra ngữ pháp, chính tả và dấu câu.
- Kiểm tra nghĩa phải khớp với tiếng Việt.
- Chỉ sử dụng ngữ pháp và từ vựng trình độ JLPT N4–N3.
- Tránh kính ngữ quá khó và cấu trúc phức tạp.
5. Kiểm tra tính nhất quán
- Ba câu trả lời phải cùng một ý.
- Không được thêm hoặc bớt ý.
- Không được thay đổi mức độ lịch sự giữa các ngôn ngữ.
6. Quy tắc chỉnh sửa
- Chỉ sửa những chỗ cần thiết.
- Ưu tiên làm theo nhận xét trong cột Review.
- Nếu nhận xét mâu thuẫn với dữ liệu, chỉnh theo nhận xét.
- Không viết lại toàn bộ nếu không cần.
7. Định dạng đầu ra
- Chỉ trả về dữ liệu TSV.
- Mỗi dòng đúng 6 cột, phân tách bằng TAB.
- Giữ nguyên cột Review.
- Không có tiêu đề.
- Không giải thích.
- Không ghi chú.
- Không dùng Markdown ngoài MỘT khung code duy nhất.
- Toàn bộ kết quả phải nằm trong khung code.
- Xử lý tối đa 200 câu hỏi mỗi lần.</t>
  </si>
  <si>
    <t>code</t>
  </si>
  <si>
    <t>import asyncio
import re
from pathlib import Path
import edge_tts
# ==============================
# CONFIG
# ==============================
OUTPUT_DIR = Path("audio")
OUTPUT_DIR.mkdir(exist_ok=True)
VOICE_EN = "en-US-JennyNeural"
VOICE_JA = "ja-JP-NanamiNeural"
CONCURRENCY_LIMIT = 20
MAX_RETRY = 5
# ==============================
# Load words
# ==============================
try:
    with open("words.txt", "r", encoding="utf-8") as f:
        words = [line.strip() for line in f if line.strip()]
except FileNotFoundError:
    print("Không tìm thấy words.txt")
    exit(1)
TOTAL = len(words)
progress = 0
progress_lock = asyncio.Lock()
# ==============================
# Language detection
# ==============================
JP_PATTERN = re.compile(r"[\u3040-\u30FF\u4E00-\u9FFF]")
def detect_language(text: str) -&gt; str:
    if JP_PATTERN.search(text):
        return "ja"
    return "en"
def get_voice(text: str) -&gt; str:
    return VOICE_JA if detect_language(text) == "ja" else VOICE_EN
# ==============================
# Filename sanitize
# ==============================
def safe_filename(text: str) -&gt; str:
    text = text.strip().replace(" ", "_")
    text = re.sub(
        r"[^\w\u3040-\u30FF\u4E00-\u9FFF\-]",
        "",
        text,
    )
    return text[:120]
# ==============================
# Progress
# ==============================
async def update_progress():
    global progress
    async with progress_lock:
        progress += 1
        percent = progress * 100 / TOTAL
        print(f"\rProgress: {percent:.1f}%", end="", flush=True)
# ==============================
# Audio generation
# ==============================
semaphore = asyncio.Semaphore(CONCURRENCY_LIMIT)
async def create_audio(text: str):
    async with semaphore:
        voice = get_voice(text)
        filename = OUTPUT_DIR / f"{safe_filename(text)}.mp3"
        if filename.exists():
            await update_progress()
            return
        for attempt in range(MAX_RETRY):
            try:
                communicate = edge_tts.Communicate(text, voice)
                await communicate.save(str(filename))
                if filename.exists() and filename.stat().st_size &gt; 100:
                    break
            except Exception:
                if attempt &lt; MAX_RETRY - 1:
                    await asyncio.sleep(0.5)
        await update_progress()
# ==============================
# Main
# ==============================
async def main_async():
    tasks = [asyncio.create_task(create_audio(w)) for w in words]
    await asyncio.gather(*tasks, return_exceptions=True)
    print("\nHoàn tất.")
# ==============================
# Entry
# ==============================
if __name__ == "__main__":
    asyncio.run(main_async())</t>
  </si>
  <si>
    <t>あの</t>
  </si>
  <si>
    <t>adj</t>
  </si>
  <si>
    <t>kia</t>
  </si>
  <si>
    <t>あの本は面白いです。</t>
  </si>
  <si>
    <t>Quyển sách kia rất thú vị.</t>
  </si>
  <si>
    <t>その</t>
  </si>
  <si>
    <t>đó</t>
  </si>
  <si>
    <t>その本は僕のだ。</t>
  </si>
  <si>
    <t>Quyển sách đó là của tôi.</t>
  </si>
  <si>
    <t>ない</t>
  </si>
  <si>
    <t>không</t>
  </si>
  <si>
    <t>時間がない。</t>
  </si>
  <si>
    <t>Không có thời gian.</t>
  </si>
  <si>
    <t>あげる</t>
  </si>
  <si>
    <t>v</t>
  </si>
  <si>
    <t>tặng</t>
  </si>
  <si>
    <t>友達に本をあげる。</t>
  </si>
  <si>
    <t>Tôi tặng sách cho bạn.</t>
  </si>
  <si>
    <t>なる</t>
  </si>
  <si>
    <t>trở thành</t>
  </si>
  <si>
    <t>先生になる。</t>
  </si>
  <si>
    <t>Trở thành thầy giáo.</t>
  </si>
  <si>
    <t>はい</t>
  </si>
  <si>
    <t>int</t>
  </si>
  <si>
    <t>vâng</t>
  </si>
  <si>
    <t>はい、分かりました。</t>
  </si>
  <si>
    <t>Vâng, tôi hiểu rồi.</t>
  </si>
  <si>
    <t>この</t>
  </si>
  <si>
    <t>này</t>
  </si>
  <si>
    <t>この本は難しい。</t>
  </si>
  <si>
    <t>Quyển sách này khó.</t>
  </si>
  <si>
    <t>私</t>
  </si>
  <si>
    <t>わたし</t>
  </si>
  <si>
    <t>私[わたし]</t>
  </si>
  <si>
    <t>pron</t>
  </si>
  <si>
    <t>tôi</t>
  </si>
  <si>
    <t>私は学生です。</t>
  </si>
  <si>
    <t>Tôi là sinh viên.</t>
  </si>
  <si>
    <t>うん</t>
  </si>
  <si>
    <t>ừ</t>
  </si>
  <si>
    <t>うん、わかった。</t>
  </si>
  <si>
    <t>Ừ, tôi hiểu rồi.</t>
  </si>
  <si>
    <t>ええ</t>
  </si>
  <si>
    <t>ええ、そうです。</t>
  </si>
  <si>
    <t>Vâng, đúng vậy.</t>
  </si>
  <si>
    <t>一</t>
  </si>
  <si>
    <t>いち</t>
  </si>
  <si>
    <t>一[いち]</t>
  </si>
  <si>
    <t>num</t>
  </si>
  <si>
    <t>một</t>
  </si>
  <si>
    <t>一を足す。</t>
  </si>
  <si>
    <t>Cộng thêm một.</t>
  </si>
  <si>
    <t>と</t>
  </si>
  <si>
    <t>prep</t>
  </si>
  <si>
    <t>với</t>
  </si>
  <si>
    <t>友達と遊ぶ。</t>
  </si>
  <si>
    <t>Chơi với bạn bè.</t>
  </si>
  <si>
    <t>する</t>
  </si>
  <si>
    <t>làm</t>
  </si>
  <si>
    <t>宿題をする。</t>
  </si>
  <si>
    <t>Làm bài tập về nhà.</t>
  </si>
  <si>
    <t>人</t>
  </si>
  <si>
    <t>ひと</t>
  </si>
  <si>
    <t>人[ひと]</t>
  </si>
  <si>
    <t>n</t>
  </si>
  <si>
    <t>người</t>
  </si>
  <si>
    <t>人を見る。</t>
  </si>
  <si>
    <t>Nhìn người.</t>
  </si>
  <si>
    <t>年</t>
  </si>
  <si>
    <t>とし</t>
  </si>
  <si>
    <t>年[とし]</t>
  </si>
  <si>
    <t>năm</t>
  </si>
  <si>
    <t>年を取る。</t>
  </si>
  <si>
    <t>Có tuổi.</t>
  </si>
  <si>
    <t>いつも</t>
  </si>
  <si>
    <t>adv</t>
  </si>
  <si>
    <t>luôn luôn</t>
  </si>
  <si>
    <t>いつも電車で通う。</t>
  </si>
  <si>
    <t>Tôi luôn đi học bằng tàu điện.</t>
  </si>
  <si>
    <t>でも</t>
  </si>
  <si>
    <t>conj</t>
  </si>
  <si>
    <t>nhưng</t>
  </si>
  <si>
    <t>いい考えだ。でも無理。</t>
  </si>
  <si>
    <t>Ý tưởng hay. Nhưng không thể.</t>
  </si>
  <si>
    <t>できる</t>
  </si>
  <si>
    <t>có thể</t>
  </si>
  <si>
    <t>日本語ができる。</t>
  </si>
  <si>
    <t>Tôi có thể nói tiếng Nhật.</t>
  </si>
  <si>
    <t>ありがとう</t>
  </si>
  <si>
    <t>cảm ơn</t>
  </si>
  <si>
    <t>助けてくれてありがとう。</t>
  </si>
  <si>
    <t>Cảm ơn bạn đã giúp tôi.</t>
  </si>
  <si>
    <t>ちょっと</t>
  </si>
  <si>
    <t>một chút</t>
  </si>
  <si>
    <t>ちょっと待ってください。</t>
  </si>
  <si>
    <t>Vui lòng đợi một chút.</t>
  </si>
  <si>
    <t>問題</t>
  </si>
  <si>
    <t>もんだい</t>
  </si>
  <si>
    <t>問題[もんだい]</t>
  </si>
  <si>
    <t>vấn đề</t>
  </si>
  <si>
    <t>問題を解決する。</t>
  </si>
  <si>
    <t>Giải quyết vấn đề.</t>
  </si>
  <si>
    <t>くれる</t>
  </si>
  <si>
    <t>cho</t>
  </si>
  <si>
    <t>友達がペンをくれる。</t>
  </si>
  <si>
    <t>Bạn cho tôi cái bút.</t>
  </si>
  <si>
    <t>それ</t>
  </si>
  <si>
    <t>それは私の傘です。</t>
  </si>
  <si>
    <t>Đó là cái ô của tôi.</t>
  </si>
  <si>
    <t>今</t>
  </si>
  <si>
    <t>いま</t>
  </si>
  <si>
    <t>今[いま]</t>
  </si>
  <si>
    <t>bây giờ</t>
  </si>
  <si>
    <t>今は何時ですか。</t>
  </si>
  <si>
    <t>Bây giờ là mấy giờ?</t>
  </si>
  <si>
    <t>中</t>
  </si>
  <si>
    <t>なか</t>
  </si>
  <si>
    <t>中[なか]</t>
  </si>
  <si>
    <t>bên trong</t>
  </si>
  <si>
    <t>箱の中。</t>
  </si>
  <si>
    <t>Bên trong cái hộp.</t>
  </si>
  <si>
    <t>思う</t>
  </si>
  <si>
    <t>おもう</t>
  </si>
  <si>
    <t>思[おも]う</t>
  </si>
  <si>
    <t>nghĩ</t>
  </si>
  <si>
    <t>将来を思う。</t>
  </si>
  <si>
    <t>Nghĩ về tương lai.</t>
  </si>
  <si>
    <t>行く</t>
  </si>
  <si>
    <t>いく</t>
  </si>
  <si>
    <t>行[い]く</t>
  </si>
  <si>
    <t>đi</t>
  </si>
  <si>
    <t>学校に行く。</t>
  </si>
  <si>
    <t>Tôi đi đến trường.</t>
  </si>
  <si>
    <t>ここ</t>
  </si>
  <si>
    <t>đây</t>
  </si>
  <si>
    <t>ここが私の家です。</t>
  </si>
  <si>
    <t>Đây là nhà tôi.</t>
  </si>
  <si>
    <t>これ</t>
  </si>
  <si>
    <t>cái này</t>
  </si>
  <si>
    <t>これは何ですか。</t>
  </si>
  <si>
    <t>Đây là cái gì?</t>
  </si>
  <si>
    <t>かかる</t>
  </si>
  <si>
    <t>tốn</t>
  </si>
  <si>
    <t>時間がかかる。</t>
  </si>
  <si>
    <t>Tốn thời gian.</t>
  </si>
  <si>
    <t>二</t>
  </si>
  <si>
    <t>に</t>
  </si>
  <si>
    <t>二[に]</t>
  </si>
  <si>
    <t>hai</t>
  </si>
  <si>
    <t>二を足す。</t>
  </si>
  <si>
    <t>Cộng thêm hai.</t>
  </si>
  <si>
    <t>もう</t>
  </si>
  <si>
    <t>đã</t>
  </si>
  <si>
    <t>もう食べた。</t>
  </si>
  <si>
    <t>Tôi đã ăn rồi.</t>
  </si>
  <si>
    <t>そう</t>
  </si>
  <si>
    <t>vậy</t>
  </si>
  <si>
    <t>そう思います。</t>
  </si>
  <si>
    <t>Tôi nghĩ vậy.</t>
  </si>
  <si>
    <t>見る</t>
  </si>
  <si>
    <t>みる</t>
  </si>
  <si>
    <t>見[み]る</t>
  </si>
  <si>
    <t>xem</t>
  </si>
  <si>
    <t>映画を見る。</t>
  </si>
  <si>
    <t>Xem phim.</t>
  </si>
  <si>
    <t>知る</t>
  </si>
  <si>
    <t>しる</t>
  </si>
  <si>
    <t>知[し]る</t>
  </si>
  <si>
    <t>biết</t>
  </si>
  <si>
    <t>名前を知る。</t>
  </si>
  <si>
    <t>Biết tên.</t>
  </si>
  <si>
    <t>言う</t>
  </si>
  <si>
    <t>いう</t>
  </si>
  <si>
    <t>言[い]う</t>
  </si>
  <si>
    <t>nói</t>
  </si>
  <si>
    <t>名前を言う。</t>
  </si>
  <si>
    <t>Nói tên.</t>
  </si>
  <si>
    <t>口</t>
  </si>
  <si>
    <t>くち</t>
  </si>
  <si>
    <t>口[くち]</t>
  </si>
  <si>
    <t>miệng</t>
  </si>
  <si>
    <t>口を開けて笑う。</t>
  </si>
  <si>
    <t>Tôi mở miệng cười.</t>
  </si>
  <si>
    <t>国</t>
  </si>
  <si>
    <t>くに</t>
  </si>
  <si>
    <t>国[くに]</t>
  </si>
  <si>
    <t>quốc gia</t>
  </si>
  <si>
    <t>国を愛する。</t>
  </si>
  <si>
    <t>Tôi yêu đất nước.</t>
  </si>
  <si>
    <t>また</t>
  </si>
  <si>
    <t>ngoài ra</t>
  </si>
  <si>
    <t>また明日。</t>
  </si>
  <si>
    <t>Hẹn gặp lại vào ngày mai.</t>
  </si>
  <si>
    <t>在る</t>
  </si>
  <si>
    <t>ある</t>
  </si>
  <si>
    <t>在[あ]る</t>
  </si>
  <si>
    <t>tồn tại</t>
  </si>
  <si>
    <t>本棚に本が在る。</t>
  </si>
  <si>
    <t>Sách nằm trên giá sách.</t>
  </si>
  <si>
    <t>取る</t>
  </si>
  <si>
    <t>とる</t>
  </si>
  <si>
    <t>取[と]る</t>
  </si>
  <si>
    <t>lấy</t>
  </si>
  <si>
    <t>本を取る。</t>
  </si>
  <si>
    <t>Tôi lấy cuốn sách.</t>
  </si>
  <si>
    <t>出る</t>
  </si>
  <si>
    <t>でる</t>
  </si>
  <si>
    <t>出[で]る</t>
  </si>
  <si>
    <t>đi ra</t>
  </si>
  <si>
    <t>外に出る。</t>
  </si>
  <si>
    <t>Tôi đi ra ngoài.</t>
  </si>
  <si>
    <t>まだ</t>
  </si>
  <si>
    <t>chưa</t>
  </si>
  <si>
    <t>まだ食べていない。</t>
  </si>
  <si>
    <t>Tôi vẫn chưa ăn.</t>
  </si>
  <si>
    <t>大きい</t>
  </si>
  <si>
    <t>おおきい</t>
  </si>
  <si>
    <t>大[おお]きい</t>
  </si>
  <si>
    <t>to</t>
  </si>
  <si>
    <t>大きい家。</t>
  </si>
  <si>
    <t>Ngôi nhà to.</t>
  </si>
  <si>
    <t>同じ</t>
  </si>
  <si>
    <t>おなじ</t>
  </si>
  <si>
    <t>同[おな]じ</t>
  </si>
  <si>
    <t>giống</t>
  </si>
  <si>
    <t>同じ服を着る。</t>
  </si>
  <si>
    <t>Tôi mặc bộ quần áo giống nhau.</t>
  </si>
  <si>
    <t>お金</t>
  </si>
  <si>
    <t>おかね</t>
  </si>
  <si>
    <t>お金[かね]</t>
  </si>
  <si>
    <t>tiền</t>
  </si>
  <si>
    <t>お金を払う。</t>
  </si>
  <si>
    <t>Trả tiền.</t>
  </si>
  <si>
    <t>合う</t>
  </si>
  <si>
    <t>あう</t>
  </si>
  <si>
    <t>合[あ]う</t>
  </si>
  <si>
    <t>hợp</t>
  </si>
  <si>
    <t>サイズが合う靴。</t>
  </si>
  <si>
    <t>Đôi giày vừa vặn kích cỡ.</t>
  </si>
  <si>
    <t>よく</t>
  </si>
  <si>
    <t>thường</t>
  </si>
  <si>
    <t>よく勉強する。</t>
  </si>
  <si>
    <t>Thường xuyên học tập.</t>
  </si>
  <si>
    <t>かける</t>
  </si>
  <si>
    <t>treo</t>
  </si>
  <si>
    <t>壁に絵をかける。</t>
  </si>
  <si>
    <t>Treo tranh lên tường.</t>
  </si>
  <si>
    <t>いつ</t>
  </si>
  <si>
    <t>khi nào</t>
  </si>
  <si>
    <t>いつ日本へ行きますか。</t>
  </si>
  <si>
    <t>Khi nào bạn đi Nhật?</t>
  </si>
  <si>
    <t>何</t>
  </si>
  <si>
    <t>なに</t>
  </si>
  <si>
    <t>何[なに]</t>
  </si>
  <si>
    <t>cái gì</t>
  </si>
  <si>
    <t>何をしているの。</t>
  </si>
  <si>
    <t>Bạn đang làm gì vậy?</t>
  </si>
  <si>
    <t>こんにちは</t>
  </si>
  <si>
    <t>xin chào</t>
  </si>
  <si>
    <t>みなさん、こんにちは。</t>
  </si>
  <si>
    <t>Xin chào mọi người.</t>
  </si>
  <si>
    <t>やる</t>
  </si>
  <si>
    <t>宿題をやる。</t>
  </si>
  <si>
    <t>事</t>
  </si>
  <si>
    <t>こと</t>
  </si>
  <si>
    <t>事[こと]</t>
  </si>
  <si>
    <t>chuyện</t>
  </si>
  <si>
    <t>大切な事。</t>
  </si>
  <si>
    <t>Chuyện quan trọng.</t>
  </si>
  <si>
    <t>少し</t>
  </si>
  <si>
    <t>すこし</t>
  </si>
  <si>
    <t>少[すこ]し</t>
  </si>
  <si>
    <t>少しだけ食べる。</t>
  </si>
  <si>
    <t>Ăn một chút thôi.</t>
  </si>
  <si>
    <t>あなた</t>
  </si>
  <si>
    <t>bạn</t>
  </si>
  <si>
    <t>あなたはどう思いますか。</t>
  </si>
  <si>
    <t>Bạn nghĩ thế nào?</t>
  </si>
  <si>
    <t>居る</t>
  </si>
  <si>
    <t>いる</t>
  </si>
  <si>
    <t>居[い]る</t>
  </si>
  <si>
    <t>có</t>
  </si>
  <si>
    <t>部屋に居る。</t>
  </si>
  <si>
    <t>Có ở trong phòng.</t>
  </si>
  <si>
    <t>日本</t>
  </si>
  <si>
    <t>にほん</t>
  </si>
  <si>
    <t>日本[にほん]</t>
  </si>
  <si>
    <t>nhật bản</t>
  </si>
  <si>
    <t>日本に行く。</t>
  </si>
  <si>
    <t>Tôi đi Nhật Bản.</t>
  </si>
  <si>
    <t>始める</t>
  </si>
  <si>
    <t>はじめる</t>
  </si>
  <si>
    <t>始[はじ]める</t>
  </si>
  <si>
    <t>bắt đầu</t>
  </si>
  <si>
    <t>勉強を始める。</t>
  </si>
  <si>
    <t>Tôi bắt đầu học.</t>
  </si>
  <si>
    <t>出す</t>
  </si>
  <si>
    <t>だす</t>
  </si>
  <si>
    <t>出[だ]す</t>
  </si>
  <si>
    <t>lấy ra</t>
  </si>
  <si>
    <t>本を出す。</t>
  </si>
  <si>
    <t>Tôi lấy sách ra.</t>
  </si>
  <si>
    <t>より</t>
  </si>
  <si>
    <t>hơn</t>
  </si>
  <si>
    <t>これより大きい。</t>
  </si>
  <si>
    <t>Lớn hơn cái này.</t>
  </si>
  <si>
    <t>もらう</t>
  </si>
  <si>
    <t>nhận</t>
  </si>
  <si>
    <t>プレゼントをもらう。</t>
  </si>
  <si>
    <t>Nhận được quà.</t>
  </si>
  <si>
    <t>水</t>
  </si>
  <si>
    <t>みず</t>
  </si>
  <si>
    <t>水[みず]</t>
  </si>
  <si>
    <t>nước</t>
  </si>
  <si>
    <t>水を飲む。</t>
  </si>
  <si>
    <t>Uống nước.</t>
  </si>
  <si>
    <t>そこ</t>
  </si>
  <si>
    <t>そこは何ですか。</t>
  </si>
  <si>
    <t>Đó là cái gì?</t>
  </si>
  <si>
    <t>家</t>
  </si>
  <si>
    <t>いえ</t>
  </si>
  <si>
    <t>家[いえ]</t>
  </si>
  <si>
    <t>nhà</t>
  </si>
  <si>
    <t>新しい家を建てる。</t>
  </si>
  <si>
    <t>Xây nhà mới.</t>
  </si>
  <si>
    <t>有る</t>
  </si>
  <si>
    <t>有[あ]る</t>
  </si>
  <si>
    <t>お金が有る。</t>
  </si>
  <si>
    <t>Tôi có tiền.</t>
  </si>
  <si>
    <t>うち</t>
  </si>
  <si>
    <t>うちに帰ります。</t>
  </si>
  <si>
    <t>Tôi về nhà.</t>
  </si>
  <si>
    <t>会う</t>
  </si>
  <si>
    <t>会[あ]う</t>
  </si>
  <si>
    <t>gặp</t>
  </si>
  <si>
    <t>友達に会う。</t>
  </si>
  <si>
    <t>Gặp bạn bè.</t>
  </si>
  <si>
    <t>そして</t>
  </si>
  <si>
    <t>và</t>
  </si>
  <si>
    <t>食べて、そして寝る。</t>
  </si>
  <si>
    <t>Ăn, và ngủ.</t>
  </si>
  <si>
    <t>つける</t>
  </si>
  <si>
    <t>bật</t>
  </si>
  <si>
    <t>電気をつける。</t>
  </si>
  <si>
    <t>Bật đèn.</t>
  </si>
  <si>
    <t>手</t>
  </si>
  <si>
    <t>て</t>
  </si>
  <si>
    <t>手[て]</t>
  </si>
  <si>
    <t>tay</t>
  </si>
  <si>
    <t>手を洗う。</t>
  </si>
  <si>
    <t>Rửa tay.</t>
  </si>
  <si>
    <t>持つ</t>
  </si>
  <si>
    <t>もつ</t>
  </si>
  <si>
    <t>持[も]つ</t>
  </si>
  <si>
    <t>cầm</t>
  </si>
  <si>
    <t>鞄を持つ。</t>
  </si>
  <si>
    <t>Cầm cặp.</t>
  </si>
  <si>
    <t>帰る</t>
  </si>
  <si>
    <t>かえる</t>
  </si>
  <si>
    <t>帰[かえ]る</t>
  </si>
  <si>
    <t>về</t>
  </si>
  <si>
    <t>家に帰る。</t>
  </si>
  <si>
    <t>Về nhà.</t>
  </si>
  <si>
    <t>俺</t>
  </si>
  <si>
    <t>おれ</t>
  </si>
  <si>
    <t>俺[おれ]</t>
  </si>
  <si>
    <t>tao</t>
  </si>
  <si>
    <t>俺は明日行く。</t>
  </si>
  <si>
    <t>Tao ngày mai sẽ đi.</t>
  </si>
  <si>
    <t>名前</t>
  </si>
  <si>
    <t>なまえ</t>
  </si>
  <si>
    <t>名前[なまえ]</t>
  </si>
  <si>
    <t>tên</t>
  </si>
  <si>
    <t>名前を書く。</t>
  </si>
  <si>
    <t>Tôi viết tên.</t>
  </si>
  <si>
    <t>間</t>
  </si>
  <si>
    <t>あいだ</t>
  </si>
  <si>
    <t>間[あいだ]</t>
  </si>
  <si>
    <t>khoảng thời gian</t>
  </si>
  <si>
    <t>一瞬の間の出来事。</t>
  </si>
  <si>
    <t>Sự việc trong khoảng thời gian chớp nhoáng.</t>
  </si>
  <si>
    <t>場合</t>
  </si>
  <si>
    <t>ばあい</t>
  </si>
  <si>
    <t>場合[ばあい]</t>
  </si>
  <si>
    <t>trường hợp</t>
  </si>
  <si>
    <t>緊急の場合。</t>
  </si>
  <si>
    <t>Trường hợp khẩn cấp.</t>
  </si>
  <si>
    <t>学校</t>
  </si>
  <si>
    <t>がっこう</t>
  </si>
  <si>
    <t>学校[がっこう]</t>
  </si>
  <si>
    <t>trường học</t>
  </si>
  <si>
    <t>学校へ通う。</t>
  </si>
  <si>
    <t>Tôi đến trường học.</t>
  </si>
  <si>
    <t>大学</t>
  </si>
  <si>
    <t>だいがく</t>
  </si>
  <si>
    <t>大学[だいがく]</t>
  </si>
  <si>
    <t>đại học</t>
  </si>
  <si>
    <t>大学で学ぶ。</t>
  </si>
  <si>
    <t>Học ở đại học.</t>
  </si>
  <si>
    <t>子供</t>
  </si>
  <si>
    <t>こども</t>
  </si>
  <si>
    <t>子供[こども]</t>
  </si>
  <si>
    <t>trẻ con</t>
  </si>
  <si>
    <t>子供が笑う。</t>
  </si>
  <si>
    <t>Đứa trẻ đang cười.</t>
  </si>
  <si>
    <t>受ける</t>
  </si>
  <si>
    <t>うける</t>
  </si>
  <si>
    <t>受[う]ける</t>
  </si>
  <si>
    <t>授業を受ける。</t>
  </si>
  <si>
    <t>Tôi nhận giờ học.</t>
  </si>
  <si>
    <t>大きな</t>
  </si>
  <si>
    <t>おおきな</t>
  </si>
  <si>
    <t>大[おお]きな</t>
  </si>
  <si>
    <t>lớn</t>
  </si>
  <si>
    <t>大きな変化。</t>
  </si>
  <si>
    <t>Sự thay đổi lớn.</t>
  </si>
  <si>
    <t>作る</t>
  </si>
  <si>
    <t>つくる</t>
  </si>
  <si>
    <t>作[つく]る</t>
  </si>
  <si>
    <t>料理を作る。</t>
  </si>
  <si>
    <t>Làm món ăn.</t>
  </si>
  <si>
    <t>対する</t>
  </si>
  <si>
    <t>たいする</t>
  </si>
  <si>
    <t>対[たい]する</t>
  </si>
  <si>
    <t>đối với</t>
  </si>
  <si>
    <t>彼に対する態度は丁寧です。</t>
  </si>
  <si>
    <t>Thái độ đối với anh ấy rất lịch sự.</t>
  </si>
  <si>
    <t>しかし</t>
  </si>
  <si>
    <t>tuy nhiên</t>
  </si>
  <si>
    <t>努力した。しかし失敗した。</t>
  </si>
  <si>
    <t>Đã nỗ lực. Tuy nhiên đã thất bại.</t>
  </si>
  <si>
    <t>考える</t>
  </si>
  <si>
    <t>かんがえる</t>
  </si>
  <si>
    <t>考[かんが]える</t>
  </si>
  <si>
    <t>suy nghĩ</t>
  </si>
  <si>
    <t>将来を考える。</t>
  </si>
  <si>
    <t>Tôi suy nghĩ về tương lai.</t>
  </si>
  <si>
    <t>後</t>
  </si>
  <si>
    <t>あと</t>
  </si>
  <si>
    <t>後[あと]</t>
  </si>
  <si>
    <t>sau</t>
  </si>
  <si>
    <t>後で電話する。</t>
  </si>
  <si>
    <t>Sau đó tôi sẽ gọi điện.</t>
  </si>
  <si>
    <t>日</t>
  </si>
  <si>
    <t>ひ</t>
  </si>
  <si>
    <t>日[ひ]</t>
  </si>
  <si>
    <t>ngày</t>
  </si>
  <si>
    <t>日を改める。</t>
  </si>
  <si>
    <t>Tôi đổi lại ngày khác.</t>
  </si>
  <si>
    <t>子</t>
  </si>
  <si>
    <t>こ</t>
  </si>
  <si>
    <t>子[こ]</t>
  </si>
  <si>
    <t>đứa trẻ</t>
  </si>
  <si>
    <t>子を育てる。</t>
  </si>
  <si>
    <t>Nuôi dạy con cái.</t>
  </si>
  <si>
    <t>だから</t>
  </si>
  <si>
    <t>vì vậy</t>
  </si>
  <si>
    <t>忙しい。だから休む。</t>
  </si>
  <si>
    <t>Bận. Vì vậy tôi nghỉ.</t>
  </si>
  <si>
    <t>古い</t>
  </si>
  <si>
    <t>ふるい</t>
  </si>
  <si>
    <t>古[ふる]い</t>
  </si>
  <si>
    <t>cũ</t>
  </si>
  <si>
    <t>古い建物を取り壊す。</t>
  </si>
  <si>
    <t>Họ phá bỏ tòa nhà cũ.</t>
  </si>
  <si>
    <t>相手</t>
  </si>
  <si>
    <t>あいて</t>
  </si>
  <si>
    <t>相手[あいて]</t>
  </si>
  <si>
    <t>đối phương</t>
  </si>
  <si>
    <t>相手の話を聞く。</t>
  </si>
  <si>
    <t>Nghe đối phương nói.</t>
  </si>
  <si>
    <t>小さい</t>
  </si>
  <si>
    <t>ちいさい</t>
  </si>
  <si>
    <t>小[ちい]さい</t>
  </si>
  <si>
    <t>nhỏ</t>
  </si>
  <si>
    <t>小さい箱がある。</t>
  </si>
  <si>
    <t>Có một cái hộp nhỏ.</t>
  </si>
  <si>
    <t>どう</t>
  </si>
  <si>
    <t>như thế nào</t>
  </si>
  <si>
    <t>調子はどうですか。</t>
  </si>
  <si>
    <t>Tình hình thế nào?</t>
  </si>
  <si>
    <t>みんな</t>
  </si>
  <si>
    <t>mọi người</t>
  </si>
  <si>
    <t>みんなで行く。</t>
  </si>
  <si>
    <t>Mọi người cùng đi.</t>
  </si>
  <si>
    <t>自分</t>
  </si>
  <si>
    <t>じぶん</t>
  </si>
  <si>
    <t>自分[じぶん]</t>
  </si>
  <si>
    <t>bản thân</t>
  </si>
  <si>
    <t>自分のこと。</t>
  </si>
  <si>
    <t>Việc của bản thân.</t>
  </si>
  <si>
    <t>あれ</t>
  </si>
  <si>
    <t>cái kia</t>
  </si>
  <si>
    <t>あれは何ですか。</t>
  </si>
  <si>
    <t>Cái kia là cái gì?</t>
  </si>
  <si>
    <t>もっと</t>
  </si>
  <si>
    <t>hơn nữa</t>
  </si>
  <si>
    <t>もっと食べる。</t>
  </si>
  <si>
    <t>Ăn nhiều hơn nữa.</t>
  </si>
  <si>
    <t>始まる</t>
  </si>
  <si>
    <t>はじまる</t>
  </si>
  <si>
    <t>始[はじ]まる</t>
  </si>
  <si>
    <t>会議が始まる。</t>
  </si>
  <si>
    <t>Cuộc họp bắt đầu.</t>
  </si>
  <si>
    <t>こう</t>
  </si>
  <si>
    <t>như thế này</t>
  </si>
  <si>
    <t>こうやってやる。</t>
  </si>
  <si>
    <t>Làm như thế này.</t>
  </si>
  <si>
    <t>一つ</t>
  </si>
  <si>
    <t>ひとつ</t>
  </si>
  <si>
    <t>一[ひと]つ</t>
  </si>
  <si>
    <t>một cái</t>
  </si>
  <si>
    <t>一つください。</t>
  </si>
  <si>
    <t>Cho tôi một cái.</t>
  </si>
  <si>
    <t>下さい</t>
  </si>
  <si>
    <t>ください</t>
  </si>
  <si>
    <t>下[くだ]さい</t>
  </si>
  <si>
    <t>xin hãy</t>
  </si>
  <si>
    <t>これをください。</t>
  </si>
  <si>
    <t>Cho tôi cái này.</t>
  </si>
  <si>
    <t>多い</t>
  </si>
  <si>
    <t>おおい</t>
  </si>
  <si>
    <t>多[おお]い</t>
  </si>
  <si>
    <t>nhiều</t>
  </si>
  <si>
    <t>仕事が多い。</t>
  </si>
  <si>
    <t>Công việc nhiều.</t>
  </si>
  <si>
    <t>食べる</t>
  </si>
  <si>
    <t>たべる</t>
  </si>
  <si>
    <t>食[た]べる</t>
  </si>
  <si>
    <t>ăn</t>
  </si>
  <si>
    <t>朝食を食べる。</t>
  </si>
  <si>
    <t>Tôi ăn bữa sáng.</t>
  </si>
  <si>
    <t>いいえ</t>
  </si>
  <si>
    <t>いいえ、違います。</t>
  </si>
  <si>
    <t>Không, sai rồi.</t>
  </si>
  <si>
    <t>以上</t>
  </si>
  <si>
    <t>いじょう</t>
  </si>
  <si>
    <t>以上[いじょう]</t>
  </si>
  <si>
    <t>trở lên</t>
  </si>
  <si>
    <t>三以上。</t>
  </si>
  <si>
    <t>Từ ba trở lên.</t>
  </si>
  <si>
    <t>社会</t>
  </si>
  <si>
    <t>しゃかい</t>
  </si>
  <si>
    <t>社会[しゃかい]</t>
  </si>
  <si>
    <t>xã hội</t>
  </si>
  <si>
    <t>社会の問題。</t>
  </si>
  <si>
    <t>Vấn đề xã hội.</t>
  </si>
  <si>
    <t>聞く</t>
  </si>
  <si>
    <t>きく</t>
  </si>
  <si>
    <t>聞[き]く</t>
  </si>
  <si>
    <t>nghe</t>
  </si>
  <si>
    <t>音楽を聞く。</t>
  </si>
  <si>
    <t>Tôi nghe nhạc.</t>
  </si>
  <si>
    <t>入る</t>
  </si>
  <si>
    <t>はいる</t>
  </si>
  <si>
    <t>入[はい]る</t>
  </si>
  <si>
    <t>vào</t>
  </si>
  <si>
    <t>部屋に入る。</t>
  </si>
  <si>
    <t>Tôi vào phòng.</t>
  </si>
  <si>
    <t>本</t>
  </si>
  <si>
    <t>ほん</t>
  </si>
  <si>
    <t>本[ほん]</t>
  </si>
  <si>
    <t>sách</t>
  </si>
  <si>
    <t>本を読む。</t>
  </si>
  <si>
    <t>Đọc sách.</t>
  </si>
  <si>
    <t>良い</t>
  </si>
  <si>
    <t>よい</t>
  </si>
  <si>
    <t>良[よ]い</t>
  </si>
  <si>
    <t>tốt</t>
  </si>
  <si>
    <t>良い結果だ。</t>
  </si>
  <si>
    <t>Kết quả tốt.</t>
  </si>
  <si>
    <t>三</t>
  </si>
  <si>
    <t>さん</t>
  </si>
  <si>
    <t>三[さん]</t>
  </si>
  <si>
    <t>ba</t>
  </si>
  <si>
    <t>三を掛ける。</t>
  </si>
  <si>
    <t>Nhân với ba.</t>
  </si>
  <si>
    <t>一番</t>
  </si>
  <si>
    <t>いちばん</t>
  </si>
  <si>
    <t>一番[いちばん]</t>
  </si>
  <si>
    <t>số một</t>
  </si>
  <si>
    <t>一番好きだ。</t>
  </si>
  <si>
    <t>Thích nhất.</t>
  </si>
  <si>
    <t>どこ</t>
  </si>
  <si>
    <t>ở đâu</t>
  </si>
  <si>
    <t>どこへ行きますか。</t>
  </si>
  <si>
    <t>Bạn đi đâu?</t>
  </si>
  <si>
    <t>高い</t>
  </si>
  <si>
    <t>たかい</t>
  </si>
  <si>
    <t>高[たか]い</t>
  </si>
  <si>
    <t>cao</t>
  </si>
  <si>
    <t>背が高い。</t>
  </si>
  <si>
    <t>Cao.</t>
  </si>
  <si>
    <t>とても</t>
  </si>
  <si>
    <t>rất</t>
  </si>
  <si>
    <t>とても美しいです。</t>
  </si>
  <si>
    <t>Rất đẹp.</t>
  </si>
  <si>
    <t>長い</t>
  </si>
  <si>
    <t>ながい</t>
  </si>
  <si>
    <t>長[なが]い</t>
  </si>
  <si>
    <t>dài</t>
  </si>
  <si>
    <t>髪が長い。</t>
  </si>
  <si>
    <t>Tóc dài.</t>
  </si>
  <si>
    <t>場所</t>
  </si>
  <si>
    <t>ばしょ</t>
  </si>
  <si>
    <t>場所[ばしょ]</t>
  </si>
  <si>
    <t>địa điểm</t>
  </si>
  <si>
    <t>集合場所を決める。</t>
  </si>
  <si>
    <t>Tôi quyết định địa điểm tập trung.</t>
  </si>
  <si>
    <t>会社</t>
  </si>
  <si>
    <t>かいしゃ</t>
  </si>
  <si>
    <t>会社[かいしゃ]</t>
  </si>
  <si>
    <t>công ty</t>
  </si>
  <si>
    <t>会社へ行く。</t>
  </si>
  <si>
    <t>Tôi đi đến công ty.</t>
  </si>
  <si>
    <t>好き</t>
  </si>
  <si>
    <t>すき</t>
  </si>
  <si>
    <t>好[す]き</t>
  </si>
  <si>
    <t>thích</t>
  </si>
  <si>
    <t>料理が好きだ。</t>
  </si>
  <si>
    <t>Tôi thích nấu ăn.</t>
  </si>
  <si>
    <t>関係</t>
  </si>
  <si>
    <t>かんけい</t>
  </si>
  <si>
    <t>関係[かんけい]</t>
  </si>
  <si>
    <t>quan hệ</t>
  </si>
  <si>
    <t>関係を保つ。</t>
  </si>
  <si>
    <t>Duy trì quan hệ.</t>
  </si>
  <si>
    <t>部屋</t>
  </si>
  <si>
    <t>へや</t>
  </si>
  <si>
    <t>部屋[へや]</t>
  </si>
  <si>
    <t>phòng</t>
  </si>
  <si>
    <t>部屋を掃除する。</t>
  </si>
  <si>
    <t>Dọn dẹp phòng.</t>
  </si>
  <si>
    <t>呼ぶ</t>
  </si>
  <si>
    <t>よぶ</t>
  </si>
  <si>
    <t>呼[よ]ぶ</t>
  </si>
  <si>
    <t>gọi</t>
  </si>
  <si>
    <t>名前を呼ぶ。</t>
  </si>
  <si>
    <t>Tôi gọi tên.</t>
  </si>
  <si>
    <t>名</t>
  </si>
  <si>
    <t>な</t>
  </si>
  <si>
    <t>名[な]</t>
  </si>
  <si>
    <t>名を通す。</t>
  </si>
  <si>
    <t>Tôi làm cho cái tên được biết đến.</t>
  </si>
  <si>
    <t>合わせる</t>
  </si>
  <si>
    <t>あわせる</t>
  </si>
  <si>
    <t>合[あ]わせる</t>
  </si>
  <si>
    <t>điều chỉnh</t>
  </si>
  <si>
    <t>時計の時間を合わせる。</t>
  </si>
  <si>
    <t>Tôi chỉnh lại thời gian đồng hồ.</t>
  </si>
  <si>
    <t>夜</t>
  </si>
  <si>
    <t>よる</t>
  </si>
  <si>
    <t>夜[よる]</t>
  </si>
  <si>
    <t>đêm</t>
  </si>
  <si>
    <t>夜に働く。</t>
  </si>
  <si>
    <t>Tôi làm việc vào ban đêm.</t>
  </si>
  <si>
    <t>一日</t>
  </si>
  <si>
    <t>いちにち</t>
  </si>
  <si>
    <t>一日[いちにち]</t>
  </si>
  <si>
    <t>một ngày</t>
  </si>
  <si>
    <t>一日中働く。</t>
  </si>
  <si>
    <t>Làm việc suốt một ngày.</t>
  </si>
  <si>
    <t>使う</t>
  </si>
  <si>
    <t>つかう</t>
  </si>
  <si>
    <t>使[つか]う</t>
  </si>
  <si>
    <t>sử dụng</t>
  </si>
  <si>
    <t>道具を使う。</t>
  </si>
  <si>
    <t>Tôi sử dụng công cụ.</t>
  </si>
  <si>
    <t>大丈夫</t>
  </si>
  <si>
    <t>だいじょうぶ</t>
  </si>
  <si>
    <t>大丈夫[だいじょうぶ]</t>
  </si>
  <si>
    <t>ổn</t>
  </si>
  <si>
    <t>大丈夫だ、心配ない。</t>
  </si>
  <si>
    <t>Ổn cả, đừng lo lắng.</t>
  </si>
  <si>
    <t>電話</t>
  </si>
  <si>
    <t>でんわ</t>
  </si>
  <si>
    <t>電話[でんわ]</t>
  </si>
  <si>
    <t>điện thoại</t>
  </si>
  <si>
    <t>電話をかける。</t>
  </si>
  <si>
    <t>Tôi gọi điện thoại.</t>
  </si>
  <si>
    <t>声</t>
  </si>
  <si>
    <t>こえ</t>
  </si>
  <si>
    <t>声[こえ]</t>
  </si>
  <si>
    <t>giọng nói</t>
  </si>
  <si>
    <t>声を聞く。</t>
  </si>
  <si>
    <t>Tôi nghe giọng nói.</t>
  </si>
  <si>
    <t>収入</t>
  </si>
  <si>
    <t>しゅうにゅう</t>
  </si>
  <si>
    <t>収入[しゅうにゅう]</t>
  </si>
  <si>
    <t>thu nhập</t>
  </si>
  <si>
    <t>収入を得る。</t>
  </si>
  <si>
    <t>Tôi nhận thu nhập.</t>
  </si>
  <si>
    <t>県</t>
  </si>
  <si>
    <t>けん</t>
  </si>
  <si>
    <t>県[けん]</t>
  </si>
  <si>
    <t>tỉnh</t>
  </si>
  <si>
    <t>千葉県に住む。</t>
  </si>
  <si>
    <t>Sống ở tỉnh Chiba.</t>
  </si>
  <si>
    <t>寝る</t>
  </si>
  <si>
    <t>ねる</t>
  </si>
  <si>
    <t>寝[ね]る</t>
  </si>
  <si>
    <t>ngủ</t>
  </si>
  <si>
    <t>八時間寝る。</t>
  </si>
  <si>
    <t>Tôi ngủ tám tiếng.</t>
  </si>
  <si>
    <t>パソコン</t>
  </si>
  <si>
    <t>ぱそこん</t>
  </si>
  <si>
    <t>máy tính</t>
  </si>
  <si>
    <t>パソコンを使う。</t>
  </si>
  <si>
    <t>Sử dụng máy tính.</t>
  </si>
  <si>
    <t>世界</t>
  </si>
  <si>
    <t>せかい</t>
  </si>
  <si>
    <t>世界[せかい]</t>
  </si>
  <si>
    <t>thế giới</t>
  </si>
  <si>
    <t>世界を旅する。</t>
  </si>
  <si>
    <t>Du lịch thế giới.</t>
  </si>
  <si>
    <t>分かる</t>
  </si>
  <si>
    <t>わかる</t>
  </si>
  <si>
    <t>分[わ]かる</t>
  </si>
  <si>
    <t>hiểu</t>
  </si>
  <si>
    <t>意味が分かる。</t>
  </si>
  <si>
    <t>Tôi hiểu ý nghĩa.</t>
  </si>
  <si>
    <t>置く</t>
  </si>
  <si>
    <t>おく</t>
  </si>
  <si>
    <t>置[お]く</t>
  </si>
  <si>
    <t>đặt</t>
  </si>
  <si>
    <t>本を机に置く。</t>
  </si>
  <si>
    <t>Đặt cuốn sách lên bàn.</t>
  </si>
  <si>
    <t>入れる</t>
  </si>
  <si>
    <t>いれる</t>
  </si>
  <si>
    <t>入[い]れる</t>
  </si>
  <si>
    <t>cho vào</t>
  </si>
  <si>
    <t>箱に入れる。</t>
  </si>
  <si>
    <t>Tôi cho vào hộp.</t>
  </si>
  <si>
    <t>仕事</t>
  </si>
  <si>
    <t>しごと</t>
  </si>
  <si>
    <t>仕事[しごと]</t>
  </si>
  <si>
    <t>công việc</t>
  </si>
  <si>
    <t>仕事をする。</t>
  </si>
  <si>
    <t>Làm công việc.</t>
  </si>
  <si>
    <t>上げる</t>
  </si>
  <si>
    <t>上[あ]げる</t>
  </si>
  <si>
    <t>nâng lên</t>
  </si>
  <si>
    <t>手を上げる。</t>
  </si>
  <si>
    <t>Nâng tay lên.</t>
  </si>
  <si>
    <t>待つ</t>
  </si>
  <si>
    <t>まつ</t>
  </si>
  <si>
    <t>待[ま]つ</t>
  </si>
  <si>
    <t>đợi</t>
  </si>
  <si>
    <t>駅で待つ。</t>
  </si>
  <si>
    <t>Đợi ở nhà ga.</t>
  </si>
  <si>
    <t>上</t>
  </si>
  <si>
    <t>うえ</t>
  </si>
  <si>
    <t>上[うえ]</t>
  </si>
  <si>
    <t>trên</t>
  </si>
  <si>
    <t>鞄は机の上だ。</t>
  </si>
  <si>
    <t>Cái cặp ở trên bàn.</t>
  </si>
  <si>
    <t>来る</t>
  </si>
  <si>
    <t>くる</t>
  </si>
  <si>
    <t>来[く]る</t>
  </si>
  <si>
    <t>đến</t>
  </si>
  <si>
    <t>友達が来る。</t>
  </si>
  <si>
    <t>Bạn tôi đến.</t>
  </si>
  <si>
    <t>バス</t>
  </si>
  <si>
    <t>ばす</t>
  </si>
  <si>
    <t>xe buýt</t>
  </si>
  <si>
    <t>バスに乗る。</t>
  </si>
  <si>
    <t>Đi xe buýt.</t>
  </si>
  <si>
    <t>着く</t>
  </si>
  <si>
    <t>つく</t>
  </si>
  <si>
    <t>着[つ]く</t>
  </si>
  <si>
    <t>駅に着く。</t>
  </si>
  <si>
    <t>Đến nhà ga.</t>
  </si>
  <si>
    <t>金</t>
  </si>
  <si>
    <t>かね</t>
  </si>
  <si>
    <t>金[かね]</t>
  </si>
  <si>
    <t>金が掛かる。</t>
  </si>
  <si>
    <t>Tốn tiền.</t>
  </si>
  <si>
    <t>場</t>
  </si>
  <si>
    <t>ば</t>
  </si>
  <si>
    <t>場[ば]</t>
  </si>
  <si>
    <t>発表の場。</t>
  </si>
  <si>
    <t>Địa điểm thuyết trình.</t>
  </si>
  <si>
    <t>部分</t>
  </si>
  <si>
    <t>ぶぶん</t>
  </si>
  <si>
    <t>部分[ぶぶん]</t>
  </si>
  <si>
    <t>bộ phận</t>
  </si>
  <si>
    <t>大事な部分だ。</t>
  </si>
  <si>
    <t>Là bộ phận quan trọng.</t>
  </si>
  <si>
    <t>学生</t>
  </si>
  <si>
    <t>がくせい</t>
  </si>
  <si>
    <t>学生[がくせい]</t>
  </si>
  <si>
    <t>sinh viên</t>
  </si>
  <si>
    <t>学生の生活。</t>
  </si>
  <si>
    <t>Cuộc sống sinh viên.</t>
  </si>
  <si>
    <t>外</t>
  </si>
  <si>
    <t>そと</t>
  </si>
  <si>
    <t>外[そと]</t>
  </si>
  <si>
    <t>bên ngoài</t>
  </si>
  <si>
    <t>外へ出る。</t>
  </si>
  <si>
    <t>Tôi ra bên ngoài.</t>
  </si>
  <si>
    <t>反対</t>
  </si>
  <si>
    <t>はんたい</t>
  </si>
  <si>
    <t>反対[はんたい]</t>
  </si>
  <si>
    <t>phản đối</t>
  </si>
  <si>
    <t>意見に反対を唱える。</t>
  </si>
  <si>
    <t>Phản đối ý kiến.</t>
  </si>
  <si>
    <t>君</t>
  </si>
  <si>
    <t>きみ</t>
  </si>
  <si>
    <t>君[きみ]</t>
  </si>
  <si>
    <t>君はどう思う。</t>
  </si>
  <si>
    <t>Bạn nghĩ thế nào.</t>
  </si>
  <si>
    <t>変わる</t>
  </si>
  <si>
    <t>かわる</t>
  </si>
  <si>
    <t>変[か]わる</t>
  </si>
  <si>
    <t>thay đổi</t>
  </si>
  <si>
    <t>季節が変わる。</t>
  </si>
  <si>
    <t>Mùa thay đổi.</t>
  </si>
  <si>
    <t>右</t>
  </si>
  <si>
    <t>みぎ</t>
  </si>
  <si>
    <t>右[みぎ]</t>
  </si>
  <si>
    <t>phải</t>
  </si>
  <si>
    <t>右に曲がる。</t>
  </si>
  <si>
    <t>Tôi rẽ phải.</t>
  </si>
  <si>
    <t>対応</t>
  </si>
  <si>
    <t>たいおう</t>
  </si>
  <si>
    <t>対応[たいおう]</t>
  </si>
  <si>
    <t>ứng phó</t>
  </si>
  <si>
    <t>客に対応する。</t>
  </si>
  <si>
    <t>Ứng phó với khách hàng.</t>
  </si>
  <si>
    <t>お父さん</t>
  </si>
  <si>
    <t>おとうさん</t>
  </si>
  <si>
    <t>お父[とう]さん</t>
  </si>
  <si>
    <t>bố</t>
  </si>
  <si>
    <t>お父さんと話す。</t>
  </si>
  <si>
    <t>Nói chuyện với bố.</t>
  </si>
  <si>
    <t>お母さん</t>
  </si>
  <si>
    <t>おかあさん</t>
  </si>
  <si>
    <t>お母[かあ]さん</t>
  </si>
  <si>
    <t>mẹ</t>
  </si>
  <si>
    <t>お母さんに手紙を書く。</t>
  </si>
  <si>
    <t>Viết thư cho mẹ.</t>
  </si>
  <si>
    <t>おかしい</t>
  </si>
  <si>
    <t>kỳ lạ</t>
  </si>
  <si>
    <t>彼の話はおかしい。</t>
  </si>
  <si>
    <t>Câu chuyện của anh ấy thật kỳ lạ.</t>
  </si>
  <si>
    <t>こんばんは</t>
  </si>
  <si>
    <t>chào buổi tối</t>
  </si>
  <si>
    <t>こんばんは、元気ですか。</t>
  </si>
  <si>
    <t>Chào buổi tối, bạn khỏe không?</t>
  </si>
  <si>
    <t>こんな</t>
  </si>
  <si>
    <t>こんなことは初めてだ。</t>
  </si>
  <si>
    <t>Chuyện như thế này là lần đầu.</t>
  </si>
  <si>
    <t>そんな</t>
  </si>
  <si>
    <t>như thế</t>
  </si>
  <si>
    <t>そんなことは知らない。</t>
  </si>
  <si>
    <t>Chuyện như thế tôi không biết.</t>
  </si>
  <si>
    <t>くださる</t>
  </si>
  <si>
    <t>先生が本をくださる。</t>
  </si>
  <si>
    <t>Thầy giáo cho tôi quyển sách.</t>
  </si>
  <si>
    <t>あそこ</t>
  </si>
  <si>
    <t>đằng kia</t>
  </si>
  <si>
    <t>あそこは私の会社です。</t>
  </si>
  <si>
    <t>Đằng kia là công ty của tôi.</t>
  </si>
  <si>
    <t>きっと</t>
  </si>
  <si>
    <t>chắc chắn</t>
  </si>
  <si>
    <t>明日はきっと晴れる。</t>
  </si>
  <si>
    <t>Ngày mai chắc chắn sẽ nắng.</t>
  </si>
  <si>
    <t>では</t>
  </si>
  <si>
    <t>vậy thì</t>
  </si>
  <si>
    <t>では、始めましょう。</t>
  </si>
  <si>
    <t>Vậy thì, chúng ta bắt đầu.</t>
  </si>
  <si>
    <t>ニュース</t>
  </si>
  <si>
    <t>にゅーす</t>
  </si>
  <si>
    <t>tin tức</t>
  </si>
  <si>
    <t>テレビでニュースを見る。</t>
  </si>
  <si>
    <t>Tôi xem tin tức trên tivi.</t>
  </si>
  <si>
    <t>ですから</t>
  </si>
  <si>
    <t>雨です。ですから休む。</t>
  </si>
  <si>
    <t>Trời mưa. Vì vậy tôi nghỉ.</t>
  </si>
  <si>
    <t>ええと</t>
  </si>
  <si>
    <t>ừm</t>
  </si>
  <si>
    <t>ええと、明日の予定は...</t>
  </si>
  <si>
    <t>Ừm, dự định ngày mai là...</t>
  </si>
  <si>
    <t>ほとんど</t>
  </si>
  <si>
    <t>hầu như</t>
  </si>
  <si>
    <t>ほとんど残っていない。</t>
  </si>
  <si>
    <t>Hầu như không còn lại gì.</t>
  </si>
  <si>
    <t>今度</t>
  </si>
  <si>
    <t>こんど</t>
  </si>
  <si>
    <t>今度[こんど]</t>
  </si>
  <si>
    <t>lần tới</t>
  </si>
  <si>
    <t>今度会おう。</t>
  </si>
  <si>
    <t>Lần tới hãy gặp nhau nhé.</t>
  </si>
  <si>
    <t>小さな</t>
  </si>
  <si>
    <t>ちいさな</t>
  </si>
  <si>
    <t>小[ちい]さな</t>
  </si>
  <si>
    <t>小さな花が咲く。</t>
  </si>
  <si>
    <t>Một bông hoa nhỏ đang nở.</t>
  </si>
  <si>
    <t>やっぱり</t>
  </si>
  <si>
    <t>đúng như dự đoán</t>
  </si>
  <si>
    <t>やっぱりそうだ。</t>
  </si>
  <si>
    <t>Đúng như dự đoán là vậy.</t>
  </si>
  <si>
    <t>時間</t>
  </si>
  <si>
    <t>じかん</t>
  </si>
  <si>
    <t>時間[じかん]</t>
  </si>
  <si>
    <t>thời gian</t>
  </si>
  <si>
    <t>読む時間がない。</t>
  </si>
  <si>
    <t>Không có thời gian đọc sách.</t>
  </si>
  <si>
    <t>これから</t>
  </si>
  <si>
    <t>từ giờ</t>
  </si>
  <si>
    <t>これから出かける。</t>
  </si>
  <si>
    <t>Từ giờ tôi sẽ ra ngoài.</t>
  </si>
  <si>
    <t>味</t>
  </si>
  <si>
    <t>あじ</t>
  </si>
  <si>
    <t>味[あじ]</t>
  </si>
  <si>
    <t>vị</t>
  </si>
  <si>
    <t>スープの味を確かめる。</t>
  </si>
  <si>
    <t>Tôi thử vị của món súp.</t>
  </si>
  <si>
    <t>だめ</t>
  </si>
  <si>
    <t>không được</t>
  </si>
  <si>
    <t>だめ、無理です。</t>
  </si>
  <si>
    <t>Không được, không thể.</t>
  </si>
  <si>
    <t>いくら</t>
  </si>
  <si>
    <t>bao nhiêu</t>
  </si>
  <si>
    <t>これはいくらですか。</t>
  </si>
  <si>
    <t>Cái này giá bao nhiêu?</t>
  </si>
  <si>
    <t>必要</t>
  </si>
  <si>
    <t>ひつよう</t>
  </si>
  <si>
    <t>必要[ひつよう]</t>
  </si>
  <si>
    <t>cần thiết</t>
  </si>
  <si>
    <t>勉強が必要だ。</t>
  </si>
  <si>
    <t>Việc học là cần thiết.</t>
  </si>
  <si>
    <t>今日</t>
  </si>
  <si>
    <t>きょう</t>
  </si>
  <si>
    <t>今日[きょう]</t>
  </si>
  <si>
    <t>hôm nay</t>
  </si>
  <si>
    <t>今日はいい天気だ。</t>
  </si>
  <si>
    <t>Hôm nay thời tiết đẹp.</t>
  </si>
  <si>
    <t>すぐに</t>
  </si>
  <si>
    <t>ngay lập tức</t>
  </si>
  <si>
    <t>すぐに来てください。</t>
  </si>
  <si>
    <t>Hãy đến ngay lập tức.</t>
  </si>
  <si>
    <t>どんな</t>
  </si>
  <si>
    <t>どんな人ですか。</t>
  </si>
  <si>
    <t>Người đó như thế nào?</t>
  </si>
  <si>
    <t>それから</t>
  </si>
  <si>
    <t>sau đó</t>
  </si>
  <si>
    <t>それを食べる。それから行く。</t>
  </si>
  <si>
    <t>Ăn cái đó. Sau đó đi.</t>
  </si>
  <si>
    <t>かなり</t>
  </si>
  <si>
    <t>khá</t>
  </si>
  <si>
    <t>かなり難しい問題だ。</t>
  </si>
  <si>
    <t>Đó là vấn đề khá khó.</t>
  </si>
  <si>
    <t>難しい</t>
  </si>
  <si>
    <t>むずかしい</t>
  </si>
  <si>
    <t>難[むずか]しい</t>
  </si>
  <si>
    <t>khó</t>
  </si>
  <si>
    <t>この問題は難しい。</t>
  </si>
  <si>
    <t>Câu hỏi này thật khó.</t>
  </si>
  <si>
    <t>前</t>
  </si>
  <si>
    <t>まえ</t>
  </si>
  <si>
    <t>前[まえ]</t>
  </si>
  <si>
    <t>phía trước</t>
  </si>
  <si>
    <t>前に立つ。</t>
  </si>
  <si>
    <t>Tôi đứng phía trước.</t>
  </si>
  <si>
    <t>行う</t>
  </si>
  <si>
    <t>おこなう</t>
  </si>
  <si>
    <t>行[おこな]う</t>
  </si>
  <si>
    <t>thực hiện</t>
  </si>
  <si>
    <t>式を行う。</t>
  </si>
  <si>
    <t>Tôi tổ chức buổi lễ.</t>
  </si>
  <si>
    <t>心</t>
  </si>
  <si>
    <t>こころ</t>
  </si>
  <si>
    <t>心[こころ]</t>
  </si>
  <si>
    <t>tâm hồn</t>
  </si>
  <si>
    <t>優しい心を持つ。</t>
  </si>
  <si>
    <t>Có tâm hồn hiền hậu.</t>
  </si>
  <si>
    <t>いくつ</t>
  </si>
  <si>
    <t>mấy</t>
  </si>
  <si>
    <t>りんごをいくつ買いますか。</t>
  </si>
  <si>
    <t>Bạn mua mấy quả táo?</t>
  </si>
  <si>
    <t>アメリカ</t>
  </si>
  <si>
    <t>あめりか</t>
  </si>
  <si>
    <t>mỹ</t>
  </si>
  <si>
    <t>アメリカへ留学します。</t>
  </si>
  <si>
    <t>Tôi sẽ đi du học Mỹ.</t>
  </si>
  <si>
    <t>情報</t>
  </si>
  <si>
    <t>じょうほう</t>
  </si>
  <si>
    <t>情報[じょうほう]</t>
  </si>
  <si>
    <t>thông tin</t>
  </si>
  <si>
    <t>情報を集める。</t>
  </si>
  <si>
    <t>Thu thập thông tin.</t>
  </si>
  <si>
    <t>一度</t>
  </si>
  <si>
    <t>いちど</t>
  </si>
  <si>
    <t>一度[いちど]</t>
  </si>
  <si>
    <t>một lần</t>
  </si>
  <si>
    <t>一度行った。</t>
  </si>
  <si>
    <t>Đã từng đi một lần.</t>
  </si>
  <si>
    <t>今年</t>
  </si>
  <si>
    <t>ことし</t>
  </si>
  <si>
    <t>今年[ことし]</t>
  </si>
  <si>
    <t>năm nay</t>
  </si>
  <si>
    <t>今年は旅行する。</t>
  </si>
  <si>
    <t>Năm nay đi du lịch.</t>
  </si>
  <si>
    <t>そこで</t>
  </si>
  <si>
    <t>do đó</t>
  </si>
  <si>
    <t>そこで食事をする。</t>
  </si>
  <si>
    <t>Do đó ăn uống ở đó.</t>
  </si>
  <si>
    <t>立つ</t>
  </si>
  <si>
    <t>たつ</t>
  </si>
  <si>
    <t>立[た]つ</t>
  </si>
  <si>
    <t>đứng</t>
  </si>
  <si>
    <t>皆が立って待つ。</t>
  </si>
  <si>
    <t>Mọi người đứng chờ.</t>
  </si>
  <si>
    <t>度</t>
  </si>
  <si>
    <t>ど</t>
  </si>
  <si>
    <t>度[ど]</t>
  </si>
  <si>
    <t>lần</t>
  </si>
  <si>
    <t>一度行ったことがある。</t>
  </si>
  <si>
    <t>人間</t>
  </si>
  <si>
    <t>にんげん</t>
  </si>
  <si>
    <t>人間[にんげん]</t>
  </si>
  <si>
    <t>con người</t>
  </si>
  <si>
    <t>人間として。</t>
  </si>
  <si>
    <t>Như một con người.</t>
  </si>
  <si>
    <t>以下</t>
  </si>
  <si>
    <t>いか</t>
  </si>
  <si>
    <t>以下[いか]</t>
  </si>
  <si>
    <t>trở xuống</t>
  </si>
  <si>
    <t>十以下。</t>
  </si>
  <si>
    <t>Từ mười trở xuống.</t>
  </si>
  <si>
    <t>いただく</t>
  </si>
  <si>
    <t>プレゼントをいただく。</t>
  </si>
  <si>
    <t>Tôi nhận được quà.</t>
  </si>
  <si>
    <t>こちら</t>
  </si>
  <si>
    <t>こちらが山田です。</t>
  </si>
  <si>
    <t>Đây là anh Yamada.</t>
  </si>
  <si>
    <t>確認</t>
  </si>
  <si>
    <t>かくにん</t>
  </si>
  <si>
    <t>確認[かくにん]</t>
  </si>
  <si>
    <t>xác nhận</t>
  </si>
  <si>
    <t>予定を確認する。</t>
  </si>
  <si>
    <t>Xác nhận dự định.</t>
  </si>
  <si>
    <t>どうぞ</t>
  </si>
  <si>
    <t>xin mời</t>
  </si>
  <si>
    <t>どうぞ召し上がれ。</t>
  </si>
  <si>
    <t>Xin mời dùng bữa.</t>
  </si>
  <si>
    <t>どうも</t>
  </si>
  <si>
    <t>どうもありがとう。</t>
  </si>
  <si>
    <t>Cảm ơn rất nhiều.</t>
  </si>
  <si>
    <t>彼</t>
  </si>
  <si>
    <t>かれ</t>
  </si>
  <si>
    <t>彼[かれ]</t>
  </si>
  <si>
    <t>anh ấy</t>
  </si>
  <si>
    <t>彼は優しい。</t>
  </si>
  <si>
    <t>Anh ấy hiền lành.</t>
  </si>
  <si>
    <t>うれしい</t>
  </si>
  <si>
    <t>vui</t>
  </si>
  <si>
    <t>合格してうれしい。</t>
  </si>
  <si>
    <t>Tôi vui vì đã đỗ.</t>
  </si>
  <si>
    <t>まあ</t>
  </si>
  <si>
    <t>まあ、いいでしょう。</t>
  </si>
  <si>
    <t>Vâng, được thôi.</t>
  </si>
  <si>
    <t>上がる</t>
  </si>
  <si>
    <t>あがる</t>
  </si>
  <si>
    <t>上[あ]がる</t>
  </si>
  <si>
    <t>tăng lên</t>
  </si>
  <si>
    <t>値段が上がる。</t>
  </si>
  <si>
    <t>Giá cả tăng lên.</t>
  </si>
  <si>
    <t>それに</t>
  </si>
  <si>
    <t>安い。それにきれい。</t>
  </si>
  <si>
    <t>Rẻ. Hơn nữa đẹp.</t>
  </si>
  <si>
    <t>経済</t>
  </si>
  <si>
    <t>けいざい</t>
  </si>
  <si>
    <t>経済[けいざい]</t>
  </si>
  <si>
    <t>kinh tế</t>
  </si>
  <si>
    <t>経済を勉強する。</t>
  </si>
  <si>
    <t>Tôi học kinh tế.</t>
  </si>
  <si>
    <t>それで</t>
  </si>
  <si>
    <t>vì thế</t>
  </si>
  <si>
    <t>それでいい。</t>
  </si>
  <si>
    <t>Vì thế được rồi.</t>
  </si>
  <si>
    <t>おはよう</t>
  </si>
  <si>
    <t>chào buổi sáng</t>
  </si>
  <si>
    <t>おはようございます。</t>
  </si>
  <si>
    <t>Chào buổi sáng.</t>
  </si>
  <si>
    <t>ずっと</t>
  </si>
  <si>
    <t>hơn nhiều</t>
  </si>
  <si>
    <t>ずっと暑い。</t>
  </si>
  <si>
    <t>Nóng hơn nhiều.</t>
  </si>
  <si>
    <t>どの</t>
  </si>
  <si>
    <t>nào</t>
  </si>
  <si>
    <t>どの本ですか。</t>
  </si>
  <si>
    <t>Quyển sách nào?</t>
  </si>
  <si>
    <t>所</t>
  </si>
  <si>
    <t>ところ</t>
  </si>
  <si>
    <t>所[ところ]</t>
  </si>
  <si>
    <t>nơi</t>
  </si>
  <si>
    <t>良い所へ行く。</t>
  </si>
  <si>
    <t>Đi đến nơi tốt.</t>
  </si>
  <si>
    <t>物</t>
  </si>
  <si>
    <t>もの</t>
  </si>
  <si>
    <t>物[もの]</t>
  </si>
  <si>
    <t>vật</t>
  </si>
  <si>
    <t>大事な物。</t>
  </si>
  <si>
    <t>Vật quan trọng.</t>
  </si>
  <si>
    <t>話す</t>
  </si>
  <si>
    <t>はなす</t>
  </si>
  <si>
    <t>話[はな]す</t>
  </si>
  <si>
    <t>日本語を話す。</t>
  </si>
  <si>
    <t>Nói tiếng Nhật.</t>
  </si>
  <si>
    <t>付く</t>
  </si>
  <si>
    <t>付[つ]く</t>
  </si>
  <si>
    <t>đính kèm</t>
  </si>
  <si>
    <t>名前が付く。</t>
  </si>
  <si>
    <t>Đính kèm tên.</t>
  </si>
  <si>
    <t>分</t>
  </si>
  <si>
    <t>ぶん</t>
  </si>
  <si>
    <t>分[ぶん]</t>
  </si>
  <si>
    <t>phần</t>
  </si>
  <si>
    <t>私の分。</t>
  </si>
  <si>
    <t>Phần của tôi.</t>
  </si>
  <si>
    <t>さあ</t>
  </si>
  <si>
    <t>さあ、行こう。</t>
  </si>
  <si>
    <t>Nào, đi thôi.</t>
  </si>
  <si>
    <t>悪い</t>
  </si>
  <si>
    <t>わるい</t>
  </si>
  <si>
    <t>悪[わる]い</t>
  </si>
  <si>
    <t>xấu</t>
  </si>
  <si>
    <t>悪いことをする。</t>
  </si>
  <si>
    <t>Làm việc xấu.</t>
  </si>
  <si>
    <t>一人</t>
  </si>
  <si>
    <t>ひとり</t>
  </si>
  <si>
    <t>一人[ひとり]</t>
  </si>
  <si>
    <t>một người</t>
  </si>
  <si>
    <t>一人で行く。</t>
  </si>
  <si>
    <t>Đi một mình.</t>
  </si>
  <si>
    <t>顔</t>
  </si>
  <si>
    <t>かお</t>
  </si>
  <si>
    <t>顔[かお]</t>
  </si>
  <si>
    <t>khuôn mặt</t>
  </si>
  <si>
    <t>顔を洗う。</t>
  </si>
  <si>
    <t>Tôi rửa mặt.</t>
  </si>
  <si>
    <t>乗る</t>
  </si>
  <si>
    <t>のる</t>
  </si>
  <si>
    <t>乗[の]る</t>
  </si>
  <si>
    <t>lên</t>
  </si>
  <si>
    <t>電車に乗る。</t>
  </si>
  <si>
    <t>Lên tàu điện.</t>
  </si>
  <si>
    <t>店</t>
  </si>
  <si>
    <t>みせ</t>
  </si>
  <si>
    <t>店[みせ]</t>
  </si>
  <si>
    <t>cửa hàng</t>
  </si>
  <si>
    <t>店を開く。</t>
  </si>
  <si>
    <t>Mở cửa hàng.</t>
  </si>
  <si>
    <t>パン</t>
  </si>
  <si>
    <t>ぱん</t>
  </si>
  <si>
    <t>bánh mì</t>
  </si>
  <si>
    <t>パンを食べる。</t>
  </si>
  <si>
    <t>Ăn bánh mì.</t>
  </si>
  <si>
    <t>いっぱい</t>
  </si>
  <si>
    <t>đầy</t>
  </si>
  <si>
    <t>お腹がいっぱいです。</t>
  </si>
  <si>
    <t>Tôi no quá.</t>
  </si>
  <si>
    <t>付ける</t>
  </si>
  <si>
    <t>付[つ]ける</t>
  </si>
  <si>
    <t>gắn</t>
  </si>
  <si>
    <t>ボタンを付ける。</t>
  </si>
  <si>
    <t>Gắn cúc áo.</t>
  </si>
  <si>
    <t>テレビ</t>
  </si>
  <si>
    <t>てれび</t>
  </si>
  <si>
    <t>tivi</t>
  </si>
  <si>
    <t>テレビを見る。</t>
  </si>
  <si>
    <t>Xem tivi.</t>
  </si>
  <si>
    <t>強い</t>
  </si>
  <si>
    <t>つよい</t>
  </si>
  <si>
    <t>強[つよ]い</t>
  </si>
  <si>
    <t>mạnh</t>
  </si>
  <si>
    <t>風が強い。</t>
  </si>
  <si>
    <t>Gió mạnh.</t>
  </si>
  <si>
    <t>読む</t>
  </si>
  <si>
    <t>よむ</t>
  </si>
  <si>
    <t>読[よ]む</t>
  </si>
  <si>
    <t>đọc</t>
  </si>
  <si>
    <t>毎日新聞を読む。</t>
  </si>
  <si>
    <t>Tôi đọc báo mỗi ngày.</t>
  </si>
  <si>
    <t>買う</t>
  </si>
  <si>
    <t>かう</t>
  </si>
  <si>
    <t>買[か]う</t>
  </si>
  <si>
    <t>mua</t>
  </si>
  <si>
    <t>野菜を買う。</t>
  </si>
  <si>
    <t>Mua rau.</t>
  </si>
  <si>
    <t>目</t>
  </si>
  <si>
    <t>め</t>
  </si>
  <si>
    <t>目[め]</t>
  </si>
  <si>
    <t>mắt</t>
  </si>
  <si>
    <t>目が大きい。</t>
  </si>
  <si>
    <t>Mắt to.</t>
  </si>
  <si>
    <t>開発</t>
  </si>
  <si>
    <t>かいはつ</t>
  </si>
  <si>
    <t>開発[かいはつ]</t>
  </si>
  <si>
    <t>phát triển</t>
  </si>
  <si>
    <t>新しいソフトを開発する。</t>
  </si>
  <si>
    <t>Phát triển phần mềm mới.</t>
  </si>
  <si>
    <t>ビジネス</t>
  </si>
  <si>
    <t>びじねす</t>
  </si>
  <si>
    <t>kinh doanh</t>
  </si>
  <si>
    <t>ビジネスを成功させる。</t>
  </si>
  <si>
    <t>Thành công trong kinh doanh.</t>
  </si>
  <si>
    <t>行政</t>
  </si>
  <si>
    <t>ぎょうせい</t>
  </si>
  <si>
    <t>行政[ぎょうせい]</t>
  </si>
  <si>
    <t>hành chính</t>
  </si>
  <si>
    <t>行政サービス。</t>
  </si>
  <si>
    <t>Dịch vụ hành chính.</t>
  </si>
  <si>
    <t>設定</t>
  </si>
  <si>
    <t>せってい</t>
  </si>
  <si>
    <t>設定[せってい]</t>
  </si>
  <si>
    <t>sự cài đặt</t>
  </si>
  <si>
    <t>画面を設定する。</t>
  </si>
  <si>
    <t>Cài đặt màn hình.</t>
  </si>
  <si>
    <t>システム</t>
  </si>
  <si>
    <t>しすてむ</t>
  </si>
  <si>
    <t>hệ thống</t>
  </si>
  <si>
    <t>新しいシステムを導入する。</t>
  </si>
  <si>
    <t>Đưa vào hệ thống mới.</t>
  </si>
  <si>
    <t>美術</t>
  </si>
  <si>
    <t>びじゅつ</t>
  </si>
  <si>
    <t>美術[びじゅつ]</t>
  </si>
  <si>
    <t>mỹ thuật</t>
  </si>
  <si>
    <t>美術を鑑賞する。</t>
  </si>
  <si>
    <t>Thưởng thức mỹ thuật.</t>
  </si>
  <si>
    <t>背景</t>
  </si>
  <si>
    <t>はいけい</t>
  </si>
  <si>
    <t>背景[はいけい]</t>
  </si>
  <si>
    <t>bối cảnh</t>
  </si>
  <si>
    <t>事件の背景を調査する。</t>
  </si>
  <si>
    <t>Điều tra bối cảnh vụ việc.</t>
  </si>
  <si>
    <t>ポイント</t>
  </si>
  <si>
    <t>ぽいんと</t>
  </si>
  <si>
    <t>điểm</t>
  </si>
  <si>
    <t>ポイントを絞る。</t>
  </si>
  <si>
    <t>Tập trung vào điểm chính.</t>
  </si>
  <si>
    <t>可愛い</t>
  </si>
  <si>
    <t>かわいい</t>
  </si>
  <si>
    <t>可愛[かわ]い</t>
  </si>
  <si>
    <t>đáng yêu</t>
  </si>
  <si>
    <t>可愛い子猫を飼う。</t>
  </si>
  <si>
    <t>Tôi nuôi một chú mèo con đáng yêu.</t>
  </si>
  <si>
    <t>大変</t>
  </si>
  <si>
    <t>たいへん</t>
  </si>
  <si>
    <t>大変[たいへん]</t>
  </si>
  <si>
    <t>vất vả</t>
  </si>
  <si>
    <t>大変な仕事だ。</t>
  </si>
  <si>
    <t>Đó là công việc vất vả.</t>
  </si>
  <si>
    <t>変える</t>
  </si>
  <si>
    <t>変[か]える</t>
  </si>
  <si>
    <t>予定を変える。</t>
  </si>
  <si>
    <t>Tôi thay đổi dự định.</t>
  </si>
  <si>
    <t>四</t>
  </si>
  <si>
    <t>よん</t>
  </si>
  <si>
    <t>四[よん]</t>
  </si>
  <si>
    <t>bốn</t>
  </si>
  <si>
    <t>四時に会う。</t>
  </si>
  <si>
    <t>Chúng tôi gặp nhau lúc bốn giờ.</t>
  </si>
  <si>
    <t>営業</t>
  </si>
  <si>
    <t>えいぎょう</t>
  </si>
  <si>
    <t>営業[えいぎょう]</t>
  </si>
  <si>
    <t>営業を開始する。</t>
  </si>
  <si>
    <t>Chúng tôi bắt đầu kinh doanh.</t>
  </si>
  <si>
    <t>あちら</t>
  </si>
  <si>
    <t>あちらが受付です。</t>
  </si>
  <si>
    <t>Đằng kia là quầy lễ tân.</t>
  </si>
  <si>
    <t>まず</t>
  </si>
  <si>
    <t>trước hết</t>
  </si>
  <si>
    <t>まず初めに。</t>
  </si>
  <si>
    <t>Trước hết là ban đầu.</t>
  </si>
  <si>
    <t>駅</t>
  </si>
  <si>
    <t>えき</t>
  </si>
  <si>
    <t>駅[えき]</t>
  </si>
  <si>
    <t>nhà ga</t>
  </si>
  <si>
    <t>駅で待ち合わせする。</t>
  </si>
  <si>
    <t>Hẹn gặp ở nhà ga.</t>
  </si>
  <si>
    <t>意味</t>
  </si>
  <si>
    <t>いみ</t>
  </si>
  <si>
    <t>意味[いみ]</t>
  </si>
  <si>
    <t>ý nghĩa</t>
  </si>
  <si>
    <t>言葉の意味を知る。</t>
  </si>
  <si>
    <t>Biết ý nghĩa của từ.</t>
  </si>
  <si>
    <t>新しい</t>
  </si>
  <si>
    <t>あたらしい</t>
  </si>
  <si>
    <t>新[あたら]しい</t>
  </si>
  <si>
    <t>mới</t>
  </si>
  <si>
    <t>新しい服を買う。</t>
  </si>
  <si>
    <t>Tôi mua quần áo mới.</t>
  </si>
  <si>
    <t>下</t>
  </si>
  <si>
    <t>した</t>
  </si>
  <si>
    <t>下[した]</t>
  </si>
  <si>
    <t>phía dưới</t>
  </si>
  <si>
    <t>机の下。</t>
  </si>
  <si>
    <t>Phía dưới cái bàn.</t>
  </si>
  <si>
    <t>終る</t>
  </si>
  <si>
    <t>おわる</t>
  </si>
  <si>
    <t>終[おわ]る</t>
  </si>
  <si>
    <t>kết thúc</t>
  </si>
  <si>
    <t>会議が終る。</t>
  </si>
  <si>
    <t>Cuộc họp kết thúc.</t>
  </si>
  <si>
    <t>結果</t>
  </si>
  <si>
    <t>けっか</t>
  </si>
  <si>
    <t>結果[けっか]</t>
  </si>
  <si>
    <t>kết quả</t>
  </si>
  <si>
    <t>結果を待つ。</t>
  </si>
  <si>
    <t>Tôi đợi kết quả.</t>
  </si>
  <si>
    <t>広い</t>
  </si>
  <si>
    <t>ひろい</t>
  </si>
  <si>
    <t>広[ひろ]い</t>
  </si>
  <si>
    <t>rộng</t>
  </si>
  <si>
    <t>広い庭がある。</t>
  </si>
  <si>
    <t>Có cái sân rộng.</t>
  </si>
  <si>
    <t>着る</t>
  </si>
  <si>
    <t>きる</t>
  </si>
  <si>
    <t>着[き]る</t>
  </si>
  <si>
    <t>mặc</t>
  </si>
  <si>
    <t>新しい服を着る。</t>
  </si>
  <si>
    <t>Mặc quần áo mới.</t>
  </si>
  <si>
    <t>ああ</t>
  </si>
  <si>
    <t>a</t>
  </si>
  <si>
    <t>ああ、きれいですね。</t>
  </si>
  <si>
    <t>À, đẹp thật đấy.</t>
  </si>
  <si>
    <t>取れる</t>
  </si>
  <si>
    <t>とれる</t>
  </si>
  <si>
    <t>取[と]れる</t>
  </si>
  <si>
    <t>có thể lấy</t>
  </si>
  <si>
    <t>ボタンが取れる。</t>
  </si>
  <si>
    <t>Cái nút bị rơi.</t>
  </si>
  <si>
    <t>周り</t>
  </si>
  <si>
    <t>まわり</t>
  </si>
  <si>
    <t>周[まわ]り</t>
  </si>
  <si>
    <t>xung quanh</t>
  </si>
  <si>
    <t>周りを見渡す。</t>
  </si>
  <si>
    <t>Tôi nhìn quanh.</t>
  </si>
  <si>
    <t>安い</t>
  </si>
  <si>
    <t>やすい</t>
  </si>
  <si>
    <t>安[やす]い</t>
  </si>
  <si>
    <t>rẻ</t>
  </si>
  <si>
    <t>安い買い物。</t>
  </si>
  <si>
    <t>Mua sắm giá rẻ.</t>
  </si>
  <si>
    <t>重い</t>
  </si>
  <si>
    <t>おもい</t>
  </si>
  <si>
    <t>重[おも]い</t>
  </si>
  <si>
    <t>nặng</t>
  </si>
  <si>
    <t>荷物が重い。</t>
  </si>
  <si>
    <t>Hành lý nặng.</t>
  </si>
  <si>
    <t>少ない</t>
  </si>
  <si>
    <t>すくない</t>
  </si>
  <si>
    <t>少[すく]ない</t>
  </si>
  <si>
    <t>ít</t>
  </si>
  <si>
    <t>お金が少ない。</t>
  </si>
  <si>
    <t>Tiền rất ít.</t>
  </si>
  <si>
    <t>山</t>
  </si>
  <si>
    <t>やま</t>
  </si>
  <si>
    <t>山[やま]</t>
  </si>
  <si>
    <t>núi</t>
  </si>
  <si>
    <t>山に登る。</t>
  </si>
  <si>
    <t>Leo núi.</t>
  </si>
  <si>
    <t>向こう</t>
  </si>
  <si>
    <t>むこう</t>
  </si>
  <si>
    <t>向[む]こう</t>
  </si>
  <si>
    <t>phía bên kia</t>
  </si>
  <si>
    <t>道の向こうへ渡る。</t>
  </si>
  <si>
    <t>Tôi băng qua phía bên kia đường.</t>
  </si>
  <si>
    <t>国際</t>
  </si>
  <si>
    <t>こくさい</t>
  </si>
  <si>
    <t>国際[こくさい]</t>
  </si>
  <si>
    <t>quốc tế</t>
  </si>
  <si>
    <t>国際会議に出る。</t>
  </si>
  <si>
    <t>Tôi tham dự hội nghị quốc tế.</t>
  </si>
  <si>
    <t>受験</t>
  </si>
  <si>
    <t>じゅけん</t>
  </si>
  <si>
    <t>受験[じゅけん]</t>
  </si>
  <si>
    <t>dự thi</t>
  </si>
  <si>
    <t>大学の受験をする。</t>
  </si>
  <si>
    <t>Tôi tham gia kỳ thi đại học.</t>
  </si>
  <si>
    <t>女性</t>
  </si>
  <si>
    <t>じょせい</t>
  </si>
  <si>
    <t>女性[じょせい]</t>
  </si>
  <si>
    <t>phụ nữ</t>
  </si>
  <si>
    <t>女性に人気がある。</t>
  </si>
  <si>
    <t>Nổi tiếng với phụ nữ.</t>
  </si>
  <si>
    <t>守る</t>
  </si>
  <si>
    <t>まもる</t>
  </si>
  <si>
    <t>守[まも]る</t>
  </si>
  <si>
    <t>tuân thủ</t>
  </si>
  <si>
    <t>規則を守る。</t>
  </si>
  <si>
    <t>Tuân thủ quy tắc.</t>
  </si>
  <si>
    <t>家族</t>
  </si>
  <si>
    <t>かぞく</t>
  </si>
  <si>
    <t>家族[かぞく]</t>
  </si>
  <si>
    <t>gia đình</t>
  </si>
  <si>
    <t>家族を愛する。</t>
  </si>
  <si>
    <t>Yêu thương gia đình.</t>
  </si>
  <si>
    <t>同時</t>
  </si>
  <si>
    <t>どうじ</t>
  </si>
  <si>
    <t>同時[どうじ]</t>
  </si>
  <si>
    <t>đồng thời</t>
  </si>
  <si>
    <t>同時に出発する。</t>
  </si>
  <si>
    <t>Chúng tôi xuất phát đồng thời.</t>
  </si>
  <si>
    <t>困る</t>
  </si>
  <si>
    <t>こまる</t>
  </si>
  <si>
    <t>困[こま]る</t>
  </si>
  <si>
    <t>khó khăn</t>
  </si>
  <si>
    <t>お金に困る。</t>
  </si>
  <si>
    <t>Tôi gặp khó khăn về tiền bạc.</t>
  </si>
  <si>
    <t>部長</t>
  </si>
  <si>
    <t>ぶちょう</t>
  </si>
  <si>
    <t>部長[ぶちょう]</t>
  </si>
  <si>
    <t>trưởng phòng</t>
  </si>
  <si>
    <t>部長と話す。</t>
  </si>
  <si>
    <t>Nói chuyện với trưởng phòng.</t>
  </si>
  <si>
    <t>働く</t>
  </si>
  <si>
    <t>はたらく</t>
  </si>
  <si>
    <t>働[はたら]く</t>
  </si>
  <si>
    <t>làm việc</t>
  </si>
  <si>
    <t>会社で働く。</t>
  </si>
  <si>
    <t>Tôi làm việc tại công ty.</t>
  </si>
  <si>
    <t>大切</t>
  </si>
  <si>
    <t>たいせつ</t>
  </si>
  <si>
    <t>大切[たいせつ]</t>
  </si>
  <si>
    <t>quan trọng</t>
  </si>
  <si>
    <t>家族を大切にする。</t>
  </si>
  <si>
    <t>Tôi quý trọng gia đình.</t>
  </si>
  <si>
    <t>将来</t>
  </si>
  <si>
    <t>しょうらい</t>
  </si>
  <si>
    <t>将来[しょうらい]</t>
  </si>
  <si>
    <t>tương lai</t>
  </si>
  <si>
    <t>将来の夢を語る。</t>
  </si>
  <si>
    <t>Kể về ước mơ tương lai.</t>
  </si>
  <si>
    <t>反省</t>
  </si>
  <si>
    <t>はんせい</t>
  </si>
  <si>
    <t>反省[はんせい]</t>
  </si>
  <si>
    <t>kiểm điểm</t>
  </si>
  <si>
    <t>過ちを反省する。</t>
  </si>
  <si>
    <t>Tôi kiểm điểm lỗi lầm.</t>
  </si>
  <si>
    <t>研究</t>
  </si>
  <si>
    <t>けんきゅう</t>
  </si>
  <si>
    <t>研究[けんきゅう]</t>
  </si>
  <si>
    <t>nghiên cứu</t>
  </si>
  <si>
    <t>研究をする。</t>
  </si>
  <si>
    <t>Thực hiện nghiên cứu.</t>
  </si>
  <si>
    <t>月</t>
  </si>
  <si>
    <t>つき</t>
  </si>
  <si>
    <t>月[つき]</t>
  </si>
  <si>
    <t>trăng</t>
  </si>
  <si>
    <t>月が綺麗。</t>
  </si>
  <si>
    <t>Mặt trăng rất đẹp.</t>
  </si>
  <si>
    <t>銀行</t>
  </si>
  <si>
    <t>ぎんこう</t>
  </si>
  <si>
    <t>銀行[ぎんこう]</t>
  </si>
  <si>
    <t>ngân hàng</t>
  </si>
  <si>
    <t>銀行に行く。</t>
  </si>
  <si>
    <t>Đi đến ngân hàng.</t>
  </si>
  <si>
    <t>女</t>
  </si>
  <si>
    <t>おんな</t>
  </si>
  <si>
    <t>女[おんな]</t>
  </si>
  <si>
    <t>女の情。</t>
  </si>
  <si>
    <t>Tình cảm phụ nữ.</t>
  </si>
  <si>
    <t>彼女</t>
  </si>
  <si>
    <t>かのじょ</t>
  </si>
  <si>
    <t>彼女[かのじょ]</t>
  </si>
  <si>
    <t>cô ấy</t>
  </si>
  <si>
    <t>彼女は歌が上手だ。</t>
  </si>
  <si>
    <t>Cô ấy hát hay.</t>
  </si>
  <si>
    <t>飲む</t>
  </si>
  <si>
    <t>のむ</t>
  </si>
  <si>
    <t>飲[の]む</t>
  </si>
  <si>
    <t>uống</t>
  </si>
  <si>
    <t>冷たい水を飲む。</t>
  </si>
  <si>
    <t>Uống nước lạnh.</t>
  </si>
  <si>
    <t>書く</t>
  </si>
  <si>
    <t>かく</t>
  </si>
  <si>
    <t>書[か]く</t>
  </si>
  <si>
    <t>viết</t>
  </si>
  <si>
    <t>手紙を書く。</t>
  </si>
  <si>
    <t>Tôi viết thư.</t>
  </si>
  <si>
    <t>開く</t>
  </si>
  <si>
    <t>ひらく</t>
  </si>
  <si>
    <t>開[ひら]く</t>
  </si>
  <si>
    <t>mở</t>
  </si>
  <si>
    <t>本を開く。</t>
  </si>
  <si>
    <t>Mở sách.</t>
  </si>
  <si>
    <t>方</t>
  </si>
  <si>
    <t>かた</t>
  </si>
  <si>
    <t>方[かた]</t>
  </si>
  <si>
    <t>あの方。</t>
  </si>
  <si>
    <t>Vị đó là ai.</t>
  </si>
  <si>
    <t>程度</t>
  </si>
  <si>
    <t>ていど</t>
  </si>
  <si>
    <t>程度[ていど]</t>
  </si>
  <si>
    <t>mức độ</t>
  </si>
  <si>
    <t>英語は会話程度だ。</t>
  </si>
  <si>
    <t>Tiếng Anh của tôi ở mức độ giao tiếp.</t>
  </si>
  <si>
    <t>空気</t>
  </si>
  <si>
    <t>くうき</t>
  </si>
  <si>
    <t>空気[くうき]</t>
  </si>
  <si>
    <t>không khí</t>
  </si>
  <si>
    <t>空気を入れ替える。</t>
  </si>
  <si>
    <t>Tôi thay đổi không khí trong phòng.</t>
  </si>
  <si>
    <t>笑う</t>
  </si>
  <si>
    <t>わらう</t>
  </si>
  <si>
    <t>笑[わら]う</t>
  </si>
  <si>
    <t>cười</t>
  </si>
  <si>
    <t>面白い話で笑う。</t>
  </si>
  <si>
    <t>Tôi cười vì câu chuyện thú vị.</t>
  </si>
  <si>
    <t>降りる</t>
  </si>
  <si>
    <t>おりる</t>
  </si>
  <si>
    <t>降[お]りる</t>
  </si>
  <si>
    <t>xuống</t>
  </si>
  <si>
    <t>次の駅で電車を降りる。</t>
  </si>
  <si>
    <t>Tôi xuống tàu ở ga tiếp theo.</t>
  </si>
  <si>
    <t>見える</t>
  </si>
  <si>
    <t>みえる</t>
  </si>
  <si>
    <t>見[み]える</t>
  </si>
  <si>
    <t>có thể thấy</t>
  </si>
  <si>
    <t>富士山が見える。</t>
  </si>
  <si>
    <t>Tôi có thể thấy núi Phú Sĩ.</t>
  </si>
  <si>
    <t>頭</t>
  </si>
  <si>
    <t>あたま</t>
  </si>
  <si>
    <t>頭[あたま]</t>
  </si>
  <si>
    <t>đầu</t>
  </si>
  <si>
    <t>頭が良い人だ。</t>
  </si>
  <si>
    <t>Anh ấy là người thông minh.</t>
  </si>
  <si>
    <t>絶対</t>
  </si>
  <si>
    <t>ぜったい</t>
  </si>
  <si>
    <t>絶対[ぜったい]</t>
  </si>
  <si>
    <t>tuyệt đối</t>
  </si>
  <si>
    <t>絶対に勝つ。</t>
  </si>
  <si>
    <t>Tôi tuyệt đối chiến thắng.</t>
  </si>
  <si>
    <t>経験</t>
  </si>
  <si>
    <t>けいけん</t>
  </si>
  <si>
    <t>経験[けいけん]</t>
  </si>
  <si>
    <t>kinh nghiệm</t>
  </si>
  <si>
    <t>経験を積む。</t>
  </si>
  <si>
    <t>Tôi tích lũy kinh nghiệm.</t>
  </si>
  <si>
    <t>電車</t>
  </si>
  <si>
    <t>でんしゃ</t>
  </si>
  <si>
    <t>電車[でんしゃ]</t>
  </si>
  <si>
    <t>tàu điện</t>
  </si>
  <si>
    <t>電車で通勤する。</t>
  </si>
  <si>
    <t>Tôi đi làm bằng tàu điện.</t>
  </si>
  <si>
    <t>はず</t>
  </si>
  <si>
    <t>彼は来るはずだ。</t>
  </si>
  <si>
    <t>Anh ấy chắc chắn sẽ đến.</t>
  </si>
  <si>
    <t>相談</t>
  </si>
  <si>
    <t>そうだん</t>
  </si>
  <si>
    <t>相談[そうだん]</t>
  </si>
  <si>
    <t>thảo luận</t>
  </si>
  <si>
    <t>先生に相談する。</t>
  </si>
  <si>
    <t>Thảo luận với giáo viên.</t>
  </si>
  <si>
    <t>関する</t>
  </si>
  <si>
    <t>かんする</t>
  </si>
  <si>
    <t>関[かん]する</t>
  </si>
  <si>
    <t>liên quan</t>
  </si>
  <si>
    <t>計画に関する。</t>
  </si>
  <si>
    <t>Liên quan đến kế hoạch.</t>
  </si>
  <si>
    <t>社長</t>
  </si>
  <si>
    <t>しゃちょう</t>
  </si>
  <si>
    <t>社長[しゃちょう]</t>
  </si>
  <si>
    <t>giám đốc</t>
  </si>
  <si>
    <t>社長に相談する。</t>
  </si>
  <si>
    <t>Thảo luận với giám đốc.</t>
  </si>
  <si>
    <t>もちろん</t>
  </si>
  <si>
    <t>tất nhiên</t>
  </si>
  <si>
    <t>もちろんいいよ。</t>
  </si>
  <si>
    <t>Tất nhiên là được rồi.</t>
  </si>
  <si>
    <t>ほぼ</t>
  </si>
  <si>
    <t>gần như</t>
  </si>
  <si>
    <t>ほぼ完成した。</t>
  </si>
  <si>
    <t>Gần như đã hoàn thành.</t>
  </si>
  <si>
    <t>管理</t>
  </si>
  <si>
    <t>かんり</t>
  </si>
  <si>
    <t>管理[かんり]</t>
  </si>
  <si>
    <t>quản lý</t>
  </si>
  <si>
    <t>時間を管理する。</t>
  </si>
  <si>
    <t>Tôi quản lý thời gian.</t>
  </si>
  <si>
    <t>結婚</t>
  </si>
  <si>
    <t>けっこん</t>
  </si>
  <si>
    <t>結婚[けっこん]</t>
  </si>
  <si>
    <t>kết hôn</t>
  </si>
  <si>
    <t>結婚を発表する。</t>
  </si>
  <si>
    <t>Tôi thông báo kết hôn.</t>
  </si>
  <si>
    <t>車</t>
  </si>
  <si>
    <t>くるま</t>
  </si>
  <si>
    <t>車[くるま]</t>
  </si>
  <si>
    <t>ô tô</t>
  </si>
  <si>
    <t>車で出かける。</t>
  </si>
  <si>
    <t>Đi ra ngoài bằng ô tô.</t>
  </si>
  <si>
    <t>受け取る</t>
  </si>
  <si>
    <t>うけとる</t>
  </si>
  <si>
    <t>受[う]け取[と]る</t>
  </si>
  <si>
    <t>nhận lấy</t>
  </si>
  <si>
    <t>手紙を受け取る。</t>
  </si>
  <si>
    <t>Tôi nhận lấy bức thư.</t>
  </si>
  <si>
    <t>続く</t>
  </si>
  <si>
    <t>つづく</t>
  </si>
  <si>
    <t>続[つづ]く</t>
  </si>
  <si>
    <t>tiếp tục</t>
  </si>
  <si>
    <t>雨が続く。</t>
  </si>
  <si>
    <t>Mưa kéo dài liên tục.</t>
  </si>
  <si>
    <t>安全</t>
  </si>
  <si>
    <t>あんぜん</t>
  </si>
  <si>
    <t>安全[あんぜん]</t>
  </si>
  <si>
    <t>an toàn</t>
  </si>
  <si>
    <t>安全を確保する。</t>
  </si>
  <si>
    <t>Tôi đảm bảo an toàn.</t>
  </si>
  <si>
    <t>答える</t>
  </si>
  <si>
    <t>こたえる</t>
  </si>
  <si>
    <t>答[こた]える</t>
  </si>
  <si>
    <t>trả lời</t>
  </si>
  <si>
    <t>質問に答える。</t>
  </si>
  <si>
    <t>Trả lời câu hỏi.</t>
  </si>
  <si>
    <t>変化</t>
  </si>
  <si>
    <t>へんか</t>
  </si>
  <si>
    <t>変化[へんか]</t>
  </si>
  <si>
    <t>sự thay đổi</t>
  </si>
  <si>
    <t>天気が変化する。</t>
  </si>
  <si>
    <t>Thời tiết thay đổi.</t>
  </si>
  <si>
    <t>紹介</t>
  </si>
  <si>
    <t>しょうかい</t>
  </si>
  <si>
    <t>紹介[しょうかい]</t>
  </si>
  <si>
    <t>giới thiệu</t>
  </si>
  <si>
    <t>友人を紹介する。</t>
  </si>
  <si>
    <t>Tôi giới thiệu bạn.</t>
  </si>
  <si>
    <t>部品</t>
  </si>
  <si>
    <t>ぶひん</t>
  </si>
  <si>
    <t>部品[ぶひん]</t>
  </si>
  <si>
    <t>linh kiện</t>
  </si>
  <si>
    <t>部品を交換する。</t>
  </si>
  <si>
    <t>Thay thế linh kiện.</t>
  </si>
  <si>
    <t>立てる</t>
  </si>
  <si>
    <t>たてる</t>
  </si>
  <si>
    <t>立[た]てる</t>
  </si>
  <si>
    <t>dựng lên</t>
  </si>
  <si>
    <t>旗を立てる。</t>
  </si>
  <si>
    <t>Tôi dựng lá cờ lên.</t>
  </si>
  <si>
    <t>嫌い</t>
  </si>
  <si>
    <t>きらい</t>
  </si>
  <si>
    <t>嫌[きら]い</t>
  </si>
  <si>
    <t>ghét</t>
  </si>
  <si>
    <t>虫が嫌いだ。</t>
  </si>
  <si>
    <t>Tôi ghét côn trùng.</t>
  </si>
  <si>
    <t>教える</t>
  </si>
  <si>
    <t>おしえる</t>
  </si>
  <si>
    <t>教[おし]える</t>
  </si>
  <si>
    <t>dạy</t>
  </si>
  <si>
    <t>日本語を教える。</t>
  </si>
  <si>
    <t>Tôi dạy tiếng Nhật.</t>
  </si>
  <si>
    <t>先</t>
  </si>
  <si>
    <t>さき</t>
  </si>
  <si>
    <t>先[さき]</t>
  </si>
  <si>
    <t>先に行く。</t>
  </si>
  <si>
    <t>Tôi đi phía trước.</t>
  </si>
  <si>
    <t>ホテル</t>
  </si>
  <si>
    <t>khách sạn</t>
  </si>
  <si>
    <t>駅に近いホテルに泊まる。</t>
  </si>
  <si>
    <t>Ở lại khách sạn gần nhà ga.</t>
  </si>
  <si>
    <t>先生</t>
  </si>
  <si>
    <t>せんせい</t>
  </si>
  <si>
    <t>先生[せんせい]</t>
  </si>
  <si>
    <t>giáo viên</t>
  </si>
  <si>
    <t>先生に聞く。</t>
  </si>
  <si>
    <t>Tôi hỏi giáo viên.</t>
  </si>
  <si>
    <t>英語</t>
  </si>
  <si>
    <t>えいご</t>
  </si>
  <si>
    <t>英語[えいご]</t>
  </si>
  <si>
    <t>tiếng anh</t>
  </si>
  <si>
    <t>英語を話す。</t>
  </si>
  <si>
    <t>Tôi nói tiếng Anh.</t>
  </si>
  <si>
    <t>忘れる</t>
  </si>
  <si>
    <t>わすれる</t>
  </si>
  <si>
    <t>忘[わす]れる</t>
  </si>
  <si>
    <t>quên</t>
  </si>
  <si>
    <t>約束を忘れる。</t>
  </si>
  <si>
    <t>Quên mất cuộc hẹn.</t>
  </si>
  <si>
    <t>何か</t>
  </si>
  <si>
    <t>なにか</t>
  </si>
  <si>
    <t>何[なに]か</t>
  </si>
  <si>
    <t>cái gì đó</t>
  </si>
  <si>
    <t>何か食べる。</t>
  </si>
  <si>
    <t>Tôi ăn cái gì đó.</t>
  </si>
  <si>
    <t>続ける</t>
  </si>
  <si>
    <t>つづける</t>
  </si>
  <si>
    <t>続[つづ]ける</t>
  </si>
  <si>
    <t>勉強を続ける。</t>
  </si>
  <si>
    <t>Tôi tiếp tục học.</t>
  </si>
  <si>
    <t>音楽</t>
  </si>
  <si>
    <t>おんがく</t>
  </si>
  <si>
    <t>音楽[おんがく]</t>
  </si>
  <si>
    <t>âm nhạc</t>
  </si>
  <si>
    <t>音楽を聴く。</t>
  </si>
  <si>
    <t>Tôi nghe âm nhạc.</t>
  </si>
  <si>
    <t>寄る</t>
  </si>
  <si>
    <t>寄[よ]る</t>
  </si>
  <si>
    <t>ghé</t>
  </si>
  <si>
    <t>駅に寄る。</t>
  </si>
  <si>
    <t>Tôi ghé nhà ga.</t>
  </si>
  <si>
    <t>感じる</t>
  </si>
  <si>
    <t>かんじる</t>
  </si>
  <si>
    <t>感[かん]じる</t>
  </si>
  <si>
    <t>cảm thấy</t>
  </si>
  <si>
    <t>寒さを感じる。</t>
  </si>
  <si>
    <t>Cảm thấy lạnh.</t>
  </si>
  <si>
    <t>寒い</t>
  </si>
  <si>
    <t>さむい</t>
  </si>
  <si>
    <t>寒[さむ]い</t>
  </si>
  <si>
    <t>lạnh</t>
  </si>
  <si>
    <t>寒い冬。</t>
  </si>
  <si>
    <t>Mùa đông lạnh.</t>
  </si>
  <si>
    <t>合格</t>
  </si>
  <si>
    <t>ごうかく</t>
  </si>
  <si>
    <t>合格[ごうかく]</t>
  </si>
  <si>
    <t>đỗ</t>
  </si>
  <si>
    <t>試験に合格する。</t>
  </si>
  <si>
    <t>Tôi đỗ kỳ thi.</t>
  </si>
  <si>
    <t>一緒</t>
  </si>
  <si>
    <t>いっしょ</t>
  </si>
  <si>
    <t>一緒[いっしょ]</t>
  </si>
  <si>
    <t>cùng nhau</t>
  </si>
  <si>
    <t>一緒に行く。</t>
  </si>
  <si>
    <t>Đi cùng nhau.</t>
  </si>
  <si>
    <t>色々</t>
  </si>
  <si>
    <t>いろいろ</t>
  </si>
  <si>
    <t>色々[いろいろ]</t>
  </si>
  <si>
    <t>色々ある。</t>
  </si>
  <si>
    <t>Có nhiều thứ.</t>
  </si>
  <si>
    <t>座る</t>
  </si>
  <si>
    <t>すわる</t>
  </si>
  <si>
    <t>座[すわ]る</t>
  </si>
  <si>
    <t>ngồi</t>
  </si>
  <si>
    <t>椅子に座る。</t>
  </si>
  <si>
    <t>Ngồi vào ghế.</t>
  </si>
  <si>
    <t>当たる</t>
  </si>
  <si>
    <t>あたる</t>
  </si>
  <si>
    <t>当[あ]たる</t>
  </si>
  <si>
    <t>trúng</t>
  </si>
  <si>
    <t>宝くじが当たる。</t>
  </si>
  <si>
    <t>Trúng xổ số.</t>
  </si>
  <si>
    <t>ノート</t>
  </si>
  <si>
    <t>のーと</t>
  </si>
  <si>
    <t>vở</t>
  </si>
  <si>
    <t>ノートに書く。</t>
  </si>
  <si>
    <t>Viết vào vở.</t>
  </si>
  <si>
    <t>休む</t>
  </si>
  <si>
    <t>やすむ</t>
  </si>
  <si>
    <t>休[やす]む</t>
  </si>
  <si>
    <t>nghỉ</t>
  </si>
  <si>
    <t>学校を休む。</t>
  </si>
  <si>
    <t>Nghỉ học.</t>
  </si>
  <si>
    <t>ビール</t>
  </si>
  <si>
    <t>びーる</t>
  </si>
  <si>
    <t>bia</t>
  </si>
  <si>
    <t>ビールを飲む。</t>
  </si>
  <si>
    <t>Uống bia.</t>
  </si>
  <si>
    <t>引く</t>
  </si>
  <si>
    <t>ひく</t>
  </si>
  <si>
    <t>引[ひ]く</t>
  </si>
  <si>
    <t>kéo</t>
  </si>
  <si>
    <t>ドアを引く。</t>
  </si>
  <si>
    <t>Kéo cửa.</t>
  </si>
  <si>
    <t>認識</t>
  </si>
  <si>
    <t>にんしき</t>
  </si>
  <si>
    <t>認識[にんしき]</t>
  </si>
  <si>
    <t>sự nhận thức</t>
  </si>
  <si>
    <t>現状を認識する。</t>
  </si>
  <si>
    <t>Nhận thức hiện trạng.</t>
  </si>
  <si>
    <t>負担</t>
  </si>
  <si>
    <t>ふたん</t>
  </si>
  <si>
    <t>負担[ふたん]</t>
  </si>
  <si>
    <t>gánh nặng</t>
  </si>
  <si>
    <t>費用を負担する。</t>
  </si>
  <si>
    <t>Chi trả chi phí.</t>
  </si>
  <si>
    <t>職員</t>
  </si>
  <si>
    <t>しょくいん</t>
  </si>
  <si>
    <t>職員[しょくいん]</t>
  </si>
  <si>
    <t>nhân viên</t>
  </si>
  <si>
    <t>職員を募集する。</t>
  </si>
  <si>
    <t>Tuyển dụng nhân viên.</t>
  </si>
  <si>
    <t>行為</t>
  </si>
  <si>
    <t>こうい</t>
  </si>
  <si>
    <t>行為[こうい]</t>
  </si>
  <si>
    <t>hành vi</t>
  </si>
  <si>
    <t>不適切な行為。</t>
  </si>
  <si>
    <t>Hành vi không phù hợp.</t>
  </si>
  <si>
    <t>向かう</t>
  </si>
  <si>
    <t>むかう</t>
  </si>
  <si>
    <t>向[む]かう</t>
  </si>
  <si>
    <t>hướng tới</t>
  </si>
  <si>
    <t>駅に向かう。</t>
  </si>
  <si>
    <t>Tôi đi hướng tới nhà ga.</t>
  </si>
  <si>
    <t>命</t>
  </si>
  <si>
    <t>いのち</t>
  </si>
  <si>
    <t>命[いのち]</t>
  </si>
  <si>
    <t>sinh mạng</t>
  </si>
  <si>
    <t>命を大切にする。</t>
  </si>
  <si>
    <t>Tôi quý trọng sinh mạng.</t>
  </si>
  <si>
    <t>大事</t>
  </si>
  <si>
    <t>だいじ</t>
  </si>
  <si>
    <t>大事[だいじ]</t>
  </si>
  <si>
    <t>大事な会議。</t>
  </si>
  <si>
    <t>Cuộc họp quan trọng.</t>
  </si>
  <si>
    <t>反映</t>
  </si>
  <si>
    <t>はんえい</t>
  </si>
  <si>
    <t>反映[はんえい]</t>
  </si>
  <si>
    <t>phản ánh</t>
  </si>
  <si>
    <t>意見を反映する。</t>
  </si>
  <si>
    <t>Tôi phản ánh ý kiến.</t>
  </si>
  <si>
    <t>都市</t>
  </si>
  <si>
    <t>都市[とし]</t>
  </si>
  <si>
    <t>đô thị</t>
  </si>
  <si>
    <t>都市を開発する。</t>
  </si>
  <si>
    <t>Phát triển đô thị.</t>
  </si>
  <si>
    <t>地</t>
  </si>
  <si>
    <t>ち</t>
  </si>
  <si>
    <t>地[ち]</t>
  </si>
  <si>
    <t>đất</t>
  </si>
  <si>
    <t>地を這う。</t>
  </si>
  <si>
    <t>Tôi bò trên đất.</t>
  </si>
  <si>
    <t>売る</t>
  </si>
  <si>
    <t>うる</t>
  </si>
  <si>
    <t>売[う]る</t>
  </si>
  <si>
    <t>bán</t>
  </si>
  <si>
    <t>野菜を売る。</t>
  </si>
  <si>
    <t>Tôi bán rau.</t>
  </si>
  <si>
    <t>地域</t>
  </si>
  <si>
    <t>ちいき</t>
  </si>
  <si>
    <t>地域[ちいき]</t>
  </si>
  <si>
    <t>khu vực</t>
  </si>
  <si>
    <t>地域社会に貢献する。</t>
  </si>
  <si>
    <t>Tôi đóng góp cho cộng đồng địa phương.</t>
  </si>
  <si>
    <t>可能</t>
  </si>
  <si>
    <t>かのう</t>
  </si>
  <si>
    <t>可能[かのう]</t>
  </si>
  <si>
    <t>khả năng</t>
  </si>
  <si>
    <t>実現の可能性がある。</t>
  </si>
  <si>
    <t>Có khả năng thực hiện được.</t>
  </si>
  <si>
    <t>商品</t>
  </si>
  <si>
    <t>しょうひん</t>
  </si>
  <si>
    <t>商品[しょうひん]</t>
  </si>
  <si>
    <t>sản phẩm</t>
  </si>
  <si>
    <t>商品を紹介する。</t>
  </si>
  <si>
    <t>Tôi giới thiệu sản phẩm.</t>
  </si>
  <si>
    <t>重要</t>
  </si>
  <si>
    <t>じゅうよう</t>
  </si>
  <si>
    <t>重要[じゅうよう]</t>
  </si>
  <si>
    <t>重要な話だ。</t>
  </si>
  <si>
    <t>Câu chuyện quan trọng.</t>
  </si>
  <si>
    <t>天気</t>
  </si>
  <si>
    <t>てんき</t>
  </si>
  <si>
    <t>天気[てんき]</t>
  </si>
  <si>
    <t>thời tiết</t>
  </si>
  <si>
    <t>天気がいい。</t>
  </si>
  <si>
    <t>Thời tiết đẹp.</t>
  </si>
  <si>
    <t>増える</t>
  </si>
  <si>
    <t>ふえる</t>
  </si>
  <si>
    <t>増[ふ]える</t>
  </si>
  <si>
    <t>人口が増える。</t>
  </si>
  <si>
    <t>Dân số tăng lên.</t>
  </si>
  <si>
    <t>存在</t>
  </si>
  <si>
    <t>そんざい</t>
  </si>
  <si>
    <t>存在[そんざい]</t>
  </si>
  <si>
    <t>sự tồn tại</t>
  </si>
  <si>
    <t>神の存在。</t>
  </si>
  <si>
    <t>Sự tồn tại của thần linh.</t>
  </si>
  <si>
    <t>収める</t>
  </si>
  <si>
    <t>おさめる</t>
  </si>
  <si>
    <t>収[おさ]める</t>
  </si>
  <si>
    <t>thu được</t>
  </si>
  <si>
    <t>成果を収める。</t>
  </si>
  <si>
    <t>Tôi thu được thành quả.</t>
  </si>
  <si>
    <t>向ける</t>
  </si>
  <si>
    <t>むける</t>
  </si>
  <si>
    <t>向[む]ける</t>
  </si>
  <si>
    <t>hướng vào</t>
  </si>
  <si>
    <t>カメラを向ける。</t>
  </si>
  <si>
    <t>Tôi hướng máy ảnh vào.</t>
  </si>
  <si>
    <t>実際</t>
  </si>
  <si>
    <t>じっさい</t>
  </si>
  <si>
    <t>実際[じっさい]</t>
  </si>
  <si>
    <t>thực tế</t>
  </si>
  <si>
    <t>実際に行う。</t>
  </si>
  <si>
    <t>Tôi làm trong thực tế.</t>
  </si>
  <si>
    <t>国民</t>
  </si>
  <si>
    <t>こくみん</t>
  </si>
  <si>
    <t>国民[こくみん]</t>
  </si>
  <si>
    <t>công dân</t>
  </si>
  <si>
    <t>国民の権利。</t>
  </si>
  <si>
    <t>Quyền của công dân.</t>
  </si>
  <si>
    <t>お互い</t>
  </si>
  <si>
    <t>おたがい</t>
  </si>
  <si>
    <t>お互[たが]い</t>
  </si>
  <si>
    <t>lẫn nhau</t>
  </si>
  <si>
    <t>お互いに頑張ろう。</t>
  </si>
  <si>
    <t>Cùng cố gắng lẫn nhau nhé.</t>
  </si>
  <si>
    <t>お前</t>
  </si>
  <si>
    <t>おまえ</t>
  </si>
  <si>
    <t>お前[まえ]</t>
  </si>
  <si>
    <t>mày</t>
  </si>
  <si>
    <t>お前は何をしている。</t>
  </si>
  <si>
    <t>Mày đang làm cái gì thế?</t>
  </si>
  <si>
    <t>お休み</t>
  </si>
  <si>
    <t>おやすみ</t>
  </si>
  <si>
    <t>お休[やす]み</t>
  </si>
  <si>
    <t>ngày nghỉ</t>
  </si>
  <si>
    <t>明日でお休みです。</t>
  </si>
  <si>
    <t>Ngày mai là ngày nghỉ.</t>
  </si>
  <si>
    <t>お姉さん</t>
  </si>
  <si>
    <t>おねえさん</t>
  </si>
  <si>
    <t>お姉[ねえ]さん</t>
  </si>
  <si>
    <t>chị gái</t>
  </si>
  <si>
    <t>お姉さんは美人です。</t>
  </si>
  <si>
    <t>Chị gái tôi xinh đẹp.</t>
  </si>
  <si>
    <t>お酒</t>
  </si>
  <si>
    <t>おさけ</t>
  </si>
  <si>
    <t>お酒[さけ]</t>
  </si>
  <si>
    <t>rượu</t>
  </si>
  <si>
    <t>お酒を少し飲む。</t>
  </si>
  <si>
    <t>Uống một chút rượu.</t>
  </si>
  <si>
    <t>お兄さん</t>
  </si>
  <si>
    <t>おにいさん</t>
  </si>
  <si>
    <t>お兄[にい]さん</t>
  </si>
  <si>
    <t>anh trai</t>
  </si>
  <si>
    <t>お兄さんは背が高い。</t>
  </si>
  <si>
    <t>Anh trai tôi cao.</t>
  </si>
  <si>
    <t>この間</t>
  </si>
  <si>
    <t>このあいだ</t>
  </si>
  <si>
    <t>この間[あいだ]</t>
  </si>
  <si>
    <t>hôm nọ</t>
  </si>
  <si>
    <t>この間はありがとう。</t>
  </si>
  <si>
    <t>Cảm ơn về hôm nọ.</t>
  </si>
  <si>
    <t>お腹</t>
  </si>
  <si>
    <t>おなか</t>
  </si>
  <si>
    <t>お腹[なか]</t>
  </si>
  <si>
    <t>bụng</t>
  </si>
  <si>
    <t>お腹がすきました。</t>
  </si>
  <si>
    <t>Tôi đói bụng rồi.</t>
  </si>
  <si>
    <t>お昼</t>
  </si>
  <si>
    <t>おひる</t>
  </si>
  <si>
    <t>お昼[ひる]</t>
  </si>
  <si>
    <t>buổi trưa</t>
  </si>
  <si>
    <t>お昼を食べに行く。</t>
  </si>
  <si>
    <t>Đi ăn trưa.</t>
  </si>
  <si>
    <t>お弁当</t>
  </si>
  <si>
    <t>おべんとう</t>
  </si>
  <si>
    <t>お弁当[べんとう]</t>
  </si>
  <si>
    <t>cơm hộp</t>
  </si>
  <si>
    <t>お弁当を食べる。</t>
  </si>
  <si>
    <t>Ăn cơm hộp.</t>
  </si>
  <si>
    <t>お茶</t>
  </si>
  <si>
    <t>おちゃ</t>
  </si>
  <si>
    <t>お茶[ちゃ]</t>
  </si>
  <si>
    <t>trà</t>
  </si>
  <si>
    <t>お茶を飲む。</t>
  </si>
  <si>
    <t>Uống trà.</t>
  </si>
  <si>
    <t>お風呂</t>
  </si>
  <si>
    <t>おふろ</t>
  </si>
  <si>
    <t>お風呂[ふろ]</t>
  </si>
  <si>
    <t>bồn tắm</t>
  </si>
  <si>
    <t>お風呂に入る。</t>
  </si>
  <si>
    <t>Đi tắm.</t>
  </si>
  <si>
    <t>いつでも</t>
  </si>
  <si>
    <t>bất cứ lúc nào</t>
  </si>
  <si>
    <t>いつでも連絡してください。</t>
  </si>
  <si>
    <t>Hãy liên lạc với tôi bất cứ lúc nào.</t>
  </si>
  <si>
    <t>対策</t>
  </si>
  <si>
    <t>たいさく</t>
  </si>
  <si>
    <t>対策[たいさく]</t>
  </si>
  <si>
    <t>biện pháp</t>
  </si>
  <si>
    <t>問題に対する対策を練る。</t>
  </si>
  <si>
    <t>Lập biện pháp đối phó với vấn đề.</t>
  </si>
  <si>
    <t>アジア</t>
  </si>
  <si>
    <t>あじあ</t>
  </si>
  <si>
    <t>châu á</t>
  </si>
  <si>
    <t>アジアの経済が成長している。</t>
  </si>
  <si>
    <t>Kinh tế châu Á đang tăng trưởng.</t>
  </si>
  <si>
    <t>市</t>
  </si>
  <si>
    <t>し</t>
  </si>
  <si>
    <t>市[し]</t>
  </si>
  <si>
    <t>thành phố</t>
  </si>
  <si>
    <t>市に届け出をする。</t>
  </si>
  <si>
    <t>Nộp đơn khai báo lên thành phố.</t>
  </si>
  <si>
    <t>地方</t>
  </si>
  <si>
    <t>ちほう</t>
  </si>
  <si>
    <t>地方[ちほう]</t>
  </si>
  <si>
    <t>địa phương</t>
  </si>
  <si>
    <t>地方へ旅行する。</t>
  </si>
  <si>
    <t>Tôi đi du lịch đến địa phương.</t>
  </si>
  <si>
    <t>影響</t>
  </si>
  <si>
    <t>えいきょう</t>
  </si>
  <si>
    <t>影響[えいきょう]</t>
  </si>
  <si>
    <t>ảnh hưởng</t>
  </si>
  <si>
    <t>天候の影響を受ける。</t>
  </si>
  <si>
    <t>Chịu ảnh hưởng của thời tiết.</t>
  </si>
  <si>
    <t>だが</t>
  </si>
  <si>
    <t>いい考えだ。だが無理。</t>
  </si>
  <si>
    <t>アルバイト</t>
  </si>
  <si>
    <t>あるばいと</t>
  </si>
  <si>
    <t>việc làm thêm</t>
  </si>
  <si>
    <t>週末にアルバイトをする。</t>
  </si>
  <si>
    <t>Tôi làm thêm vào cuối tuần.</t>
  </si>
  <si>
    <t>しっかり</t>
  </si>
  <si>
    <t>しっかり勉強しなさい。</t>
  </si>
  <si>
    <t>Hãy học hành chắc chắn vào.</t>
  </si>
  <si>
    <t>どうしても</t>
  </si>
  <si>
    <t>dù thế nào</t>
  </si>
  <si>
    <t>どうしても無理です。</t>
  </si>
  <si>
    <t>Dù thế nào cũng không thể.</t>
  </si>
  <si>
    <t>専門</t>
  </si>
  <si>
    <t>せんもん</t>
  </si>
  <si>
    <t>専門[せんもん]</t>
  </si>
  <si>
    <t>chuyên môn</t>
  </si>
  <si>
    <t>それは私の専門です。</t>
  </si>
  <si>
    <t>Đó là chuyên môn của tôi.</t>
  </si>
  <si>
    <t>すてき</t>
  </si>
  <si>
    <t>tuyệt vời</t>
  </si>
  <si>
    <t>すてきな服ですね。</t>
  </si>
  <si>
    <t>Bộ quần áo tuyệt vời nhỉ.</t>
  </si>
  <si>
    <t>向く</t>
  </si>
  <si>
    <t>むく</t>
  </si>
  <si>
    <t>向[む]く</t>
  </si>
  <si>
    <t>hướng về</t>
  </si>
  <si>
    <t>南に向く窓。</t>
  </si>
  <si>
    <t>Cửa sổ hướng về phía nam.</t>
  </si>
  <si>
    <t>希望</t>
  </si>
  <si>
    <t>きぼう</t>
  </si>
  <si>
    <t>希望[きぼう]</t>
  </si>
  <si>
    <t>hy vọng</t>
  </si>
  <si>
    <t>将来への希望を持つ。</t>
  </si>
  <si>
    <t>Có hy vọng cho tương lai.</t>
  </si>
  <si>
    <t>うかがう</t>
  </si>
  <si>
    <t>hỏi</t>
  </si>
  <si>
    <t>先生に予定をうかがう。</t>
  </si>
  <si>
    <t>Hỏi thầy giáo về dự định.</t>
  </si>
  <si>
    <t>そのまま</t>
  </si>
  <si>
    <t>cứ để nguyên</t>
  </si>
  <si>
    <t>そのままにして。</t>
  </si>
  <si>
    <t>Cứ để nguyên như thế đi.</t>
  </si>
  <si>
    <t>伝える</t>
  </si>
  <si>
    <t>つたえる</t>
  </si>
  <si>
    <t>伝[つた]える</t>
  </si>
  <si>
    <t>truyền đạt</t>
  </si>
  <si>
    <t>メッセージを伝える。</t>
  </si>
  <si>
    <t>Tôi truyền đạt tin nhắn.</t>
  </si>
  <si>
    <t>種類</t>
  </si>
  <si>
    <t>しゅるい</t>
  </si>
  <si>
    <t>種類[しゅるい]</t>
  </si>
  <si>
    <t>chủng loại</t>
  </si>
  <si>
    <t>多くの種類がある。</t>
  </si>
  <si>
    <t>Có rất nhiều chủng loại.</t>
  </si>
  <si>
    <t>必ず</t>
  </si>
  <si>
    <t>かならず</t>
  </si>
  <si>
    <t>必[かなら]ず</t>
  </si>
  <si>
    <t>nhất định</t>
  </si>
  <si>
    <t>必ず成功する。</t>
  </si>
  <si>
    <t>Nhất định sẽ thành công.</t>
  </si>
  <si>
    <t>ビル</t>
  </si>
  <si>
    <t>びる</t>
  </si>
  <si>
    <t>tòa nhà</t>
  </si>
  <si>
    <t>高いビルがある。</t>
  </si>
  <si>
    <t>Có một tòa nhà cao tầng.</t>
  </si>
  <si>
    <t>話</t>
  </si>
  <si>
    <t>はなし</t>
  </si>
  <si>
    <t>話[はなし]</t>
  </si>
  <si>
    <t>câu chuyện</t>
  </si>
  <si>
    <t>面白い話を聞く。</t>
  </si>
  <si>
    <t>Nghe câu chuyện thú vị.</t>
  </si>
  <si>
    <t>あんまり</t>
  </si>
  <si>
    <t>không quá</t>
  </si>
  <si>
    <t>あんまり食べない。</t>
  </si>
  <si>
    <t>Tôi không ăn quá nhiều.</t>
  </si>
  <si>
    <t>文化</t>
  </si>
  <si>
    <t>ぶんか</t>
  </si>
  <si>
    <t>文化[ぶんか]</t>
  </si>
  <si>
    <t>văn hóa</t>
  </si>
  <si>
    <t>日本の文化。</t>
  </si>
  <si>
    <t>Đó là văn hóa Nhật Bản.</t>
  </si>
  <si>
    <t>だけど</t>
  </si>
  <si>
    <t>疲れた。だけど頑張る。</t>
  </si>
  <si>
    <t>Mệt. Nhưng vẫn cố gắng.</t>
  </si>
  <si>
    <t>いかが</t>
  </si>
  <si>
    <t>調子はいかがですか。</t>
  </si>
  <si>
    <t>Tình hình thế nào rồi?</t>
  </si>
  <si>
    <t>いけない</t>
  </si>
  <si>
    <t>ここで遊んではいけない。</t>
  </si>
  <si>
    <t>Không được chơi ở đây.</t>
  </si>
  <si>
    <t>ゲーム</t>
  </si>
  <si>
    <t>げーむ</t>
  </si>
  <si>
    <t>trò chơi</t>
  </si>
  <si>
    <t>友達とゲームをする。</t>
  </si>
  <si>
    <t>Chơi trò chơi với bạn.</t>
  </si>
  <si>
    <t>カメラ</t>
  </si>
  <si>
    <t>かめら</t>
  </si>
  <si>
    <t>máy ảnh</t>
  </si>
  <si>
    <t>カメラで写真を撮る。</t>
  </si>
  <si>
    <t>Chụp ảnh bằng máy ảnh.</t>
  </si>
  <si>
    <t>さて</t>
  </si>
  <si>
    <t>さて、始めましょう。</t>
  </si>
  <si>
    <t>Vậy thì, bắt đầu thôi.</t>
  </si>
  <si>
    <t>心配</t>
  </si>
  <si>
    <t>しんぱい</t>
  </si>
  <si>
    <t>心配[しんぱい]</t>
  </si>
  <si>
    <t>lo lắng</t>
  </si>
  <si>
    <t>将来が心配だ。</t>
  </si>
  <si>
    <t>Lo lắng cho tương lai.</t>
  </si>
  <si>
    <t>あっち</t>
  </si>
  <si>
    <t>あっちに座りましょう。</t>
  </si>
  <si>
    <t>Hãy ngồi đằng kia đi.</t>
  </si>
  <si>
    <t>一方</t>
  </si>
  <si>
    <t>いっぽう</t>
  </si>
  <si>
    <t>一方[いっぽう]</t>
  </si>
  <si>
    <t>mặt khác</t>
  </si>
  <si>
    <t>一方は黒い。</t>
  </si>
  <si>
    <t>Mặt khác thì màu đen.</t>
  </si>
  <si>
    <t>広がる</t>
  </si>
  <si>
    <t>ひろがる</t>
  </si>
  <si>
    <t>広[ひろ]がる</t>
  </si>
  <si>
    <t>lan rộng</t>
  </si>
  <si>
    <t>景色が広がる。</t>
  </si>
  <si>
    <t>Phong cảnh trải rộng.</t>
  </si>
  <si>
    <t>しばらく</t>
  </si>
  <si>
    <t>một lúc</t>
  </si>
  <si>
    <t>しばらくお待ちください。</t>
  </si>
  <si>
    <t>Vui lòng đợi một lúc.</t>
  </si>
  <si>
    <t>そちら</t>
  </si>
  <si>
    <t>phía đó</t>
  </si>
  <si>
    <t>そちらへ行きます。</t>
  </si>
  <si>
    <t>Tôi sẽ đi về phía đó.</t>
  </si>
  <si>
    <t>そんなに</t>
  </si>
  <si>
    <t>đến thế</t>
  </si>
  <si>
    <t>そんなに食べない。</t>
  </si>
  <si>
    <t>Tôi không ăn đến thế.</t>
  </si>
  <si>
    <t>どうして</t>
  </si>
  <si>
    <t>tại sao</t>
  </si>
  <si>
    <t>どうして遅れたの。</t>
  </si>
  <si>
    <t>Tại sao bạn đến muộn?</t>
  </si>
  <si>
    <t>今回</t>
  </si>
  <si>
    <t>こんかい</t>
  </si>
  <si>
    <t>今回[こんかい]</t>
  </si>
  <si>
    <t>lần này</t>
  </si>
  <si>
    <t>今回は勝つ。</t>
  </si>
  <si>
    <t>Lần này tôi sẽ thắng.</t>
  </si>
  <si>
    <t>調べる</t>
  </si>
  <si>
    <t>しらべる</t>
  </si>
  <si>
    <t>調[しら]べる</t>
  </si>
  <si>
    <t>tra cứu</t>
  </si>
  <si>
    <t>辞書で調べる。</t>
  </si>
  <si>
    <t>Tra cứu bằng từ điển.</t>
  </si>
  <si>
    <t>コーヒー</t>
  </si>
  <si>
    <t>こーひー</t>
  </si>
  <si>
    <t>cà phê</t>
  </si>
  <si>
    <t>コーヒーを一杯飲む。</t>
  </si>
  <si>
    <t>Uống một tách cà phê.</t>
  </si>
  <si>
    <t>だって</t>
  </si>
  <si>
    <t>vì</t>
  </si>
  <si>
    <t>だって知らないもん。</t>
  </si>
  <si>
    <t>Vì tôi không biết mà.</t>
  </si>
  <si>
    <t>おめでとう</t>
  </si>
  <si>
    <t>chúc mừng</t>
  </si>
  <si>
    <t>誕生日おめでとう。</t>
  </si>
  <si>
    <t>Chúc mừng sinh nhật.</t>
  </si>
  <si>
    <t>中心</t>
  </si>
  <si>
    <t>ちゅうしん</t>
  </si>
  <si>
    <t>中心[ちゅうしん]</t>
  </si>
  <si>
    <t>trung tâm</t>
  </si>
  <si>
    <t>街の中心。</t>
  </si>
  <si>
    <t>Trung tâm thành phố.</t>
  </si>
  <si>
    <t>イメージ</t>
  </si>
  <si>
    <t>いめーじ</t>
  </si>
  <si>
    <t>hình ảnh</t>
  </si>
  <si>
    <t>新しいイメージを作る。</t>
  </si>
  <si>
    <t>Tạo ra hình ảnh mới.</t>
  </si>
  <si>
    <t>戻る</t>
  </si>
  <si>
    <t>もどる</t>
  </si>
  <si>
    <t>戻[もど]る</t>
  </si>
  <si>
    <t>quay lại</t>
  </si>
  <si>
    <t>学校に戻る。</t>
  </si>
  <si>
    <t>Quay lại trường học.</t>
  </si>
  <si>
    <t>なぜ</t>
  </si>
  <si>
    <t>なぜそうなの。</t>
  </si>
  <si>
    <t>Tại sao lại như thế?</t>
  </si>
  <si>
    <t>体</t>
  </si>
  <si>
    <t>からだ</t>
  </si>
  <si>
    <t>体[からだ]</t>
  </si>
  <si>
    <t>cơ thể</t>
  </si>
  <si>
    <t>体を動かす。</t>
  </si>
  <si>
    <t>Tôi vận động cơ thể.</t>
  </si>
  <si>
    <t>自由</t>
  </si>
  <si>
    <t>じゆう</t>
  </si>
  <si>
    <t>自由[じゆう]</t>
  </si>
  <si>
    <t>tự do</t>
  </si>
  <si>
    <t>自由に行動する。</t>
  </si>
  <si>
    <t>Tôi hành động tự do.</t>
  </si>
  <si>
    <t>親</t>
  </si>
  <si>
    <t>おや</t>
  </si>
  <si>
    <t>親[おや]</t>
  </si>
  <si>
    <t>bố mẹ</t>
  </si>
  <si>
    <t>親に相談する。</t>
  </si>
  <si>
    <t>Thảo luận với bố mẹ.</t>
  </si>
  <si>
    <t>以内</t>
  </si>
  <si>
    <t>いない</t>
  </si>
  <si>
    <t>以内[いない]</t>
  </si>
  <si>
    <t>trong vòng</t>
  </si>
  <si>
    <t>一時間以内。</t>
  </si>
  <si>
    <t>Trong vòng một giờ.</t>
  </si>
  <si>
    <t>急に</t>
  </si>
  <si>
    <t>きゅうに</t>
  </si>
  <si>
    <t>急[きゅう]に</t>
  </si>
  <si>
    <t>đột nhiên</t>
  </si>
  <si>
    <t>急に雨が降る。</t>
  </si>
  <si>
    <t>Đột nhiên trời mưa.</t>
  </si>
  <si>
    <t>スポーツ</t>
  </si>
  <si>
    <t>すぽーつ</t>
  </si>
  <si>
    <t>thể thao</t>
  </si>
  <si>
    <t>スポーツが好き。</t>
  </si>
  <si>
    <t>Tôi thích thể thao.</t>
  </si>
  <si>
    <t>得る</t>
  </si>
  <si>
    <t>える</t>
  </si>
  <si>
    <t>得[え]る</t>
  </si>
  <si>
    <t>đạt được</t>
  </si>
  <si>
    <t>利益を得る。</t>
  </si>
  <si>
    <t>Đạt được lợi nhuận.</t>
  </si>
  <si>
    <t>うそ</t>
  </si>
  <si>
    <t>nói dối</t>
  </si>
  <si>
    <t>うそをついてはいけない。</t>
  </si>
  <si>
    <t>Không được nói dối.</t>
  </si>
  <si>
    <t>とにかく</t>
  </si>
  <si>
    <t>dù sao</t>
  </si>
  <si>
    <t>とにかく行こう。</t>
  </si>
  <si>
    <t>Dù sao thì đi thôi.</t>
  </si>
  <si>
    <t>海</t>
  </si>
  <si>
    <t>うみ</t>
  </si>
  <si>
    <t>海[うみ]</t>
  </si>
  <si>
    <t>biển</t>
  </si>
  <si>
    <t>夏に海へ行く。</t>
  </si>
  <si>
    <t>Đi biển vào mùa hè.</t>
  </si>
  <si>
    <t>もし</t>
  </si>
  <si>
    <t>nếu</t>
  </si>
  <si>
    <t>もし雨なら行く。</t>
  </si>
  <si>
    <t>Nếu mưa thì tôi đi.</t>
  </si>
  <si>
    <t>こんなに</t>
  </si>
  <si>
    <t>đến thế này</t>
  </si>
  <si>
    <t>こんなに多い。</t>
  </si>
  <si>
    <t>Nhiều đến thế này.</t>
  </si>
  <si>
    <t>やっと</t>
  </si>
  <si>
    <t>cuối cùng</t>
  </si>
  <si>
    <t>やっと終わった。</t>
  </si>
  <si>
    <t>Cuối cùng đã xong.</t>
  </si>
  <si>
    <t>内</t>
  </si>
  <si>
    <t>内[うち]</t>
  </si>
  <si>
    <t>内に入る。</t>
  </si>
  <si>
    <t>Tôi vào bên trong.</t>
  </si>
  <si>
    <t>それぞれ</t>
  </si>
  <si>
    <t>từng cái</t>
  </si>
  <si>
    <t>それぞれ準備する。</t>
  </si>
  <si>
    <t>Chuẩn bị từng cái.</t>
  </si>
  <si>
    <t>レベル</t>
  </si>
  <si>
    <t>れべる</t>
  </si>
  <si>
    <t>trình độ</t>
  </si>
  <si>
    <t>レベルを上げる。</t>
  </si>
  <si>
    <t>Nâng cao trình độ.</t>
  </si>
  <si>
    <t>全体</t>
  </si>
  <si>
    <t>ぜんたい</t>
  </si>
  <si>
    <t>全体[ぜんたい]</t>
  </si>
  <si>
    <t>toàn thể</t>
  </si>
  <si>
    <t>全体を見る。</t>
  </si>
  <si>
    <t>Tôi nhìn toàn thể.</t>
  </si>
  <si>
    <t>力</t>
  </si>
  <si>
    <t>ちから</t>
  </si>
  <si>
    <t>力[ちから]</t>
  </si>
  <si>
    <t>sức mạnh</t>
  </si>
  <si>
    <t>力を出す。</t>
  </si>
  <si>
    <t>Tôi dùng sức mạnh.</t>
  </si>
  <si>
    <t>おかげ</t>
  </si>
  <si>
    <t>nhờ vào</t>
  </si>
  <si>
    <t>皆様のおかげです。</t>
  </si>
  <si>
    <t>Nhờ vào mọi người.</t>
  </si>
  <si>
    <t>どちら</t>
  </si>
  <si>
    <t>bên nào</t>
  </si>
  <si>
    <t>どちらが好きですか。</t>
  </si>
  <si>
    <t>Bạn thích bên nào?</t>
  </si>
  <si>
    <t>または</t>
  </si>
  <si>
    <t>hoặc</t>
  </si>
  <si>
    <t>現金またはカード。</t>
  </si>
  <si>
    <t>Tiền mặt hoặc thẻ.</t>
  </si>
  <si>
    <t>テスト</t>
  </si>
  <si>
    <t>てすと</t>
  </si>
  <si>
    <t>bài kiểm tra</t>
  </si>
  <si>
    <t>テストを受ける。</t>
  </si>
  <si>
    <t>Làm bài kiểm tra.</t>
  </si>
  <si>
    <t>企業</t>
  </si>
  <si>
    <t>きぎょう</t>
  </si>
  <si>
    <t>企業[きぎょう]</t>
  </si>
  <si>
    <t>doanh nghiệp</t>
  </si>
  <si>
    <t>大企業。</t>
  </si>
  <si>
    <t>Doanh nghiệp lớn.</t>
  </si>
  <si>
    <t>しゃべる</t>
  </si>
  <si>
    <t>nói chuyện</t>
  </si>
  <si>
    <t>たくさんしゃべる。</t>
  </si>
  <si>
    <t>Nói chuyện nhiều.</t>
  </si>
  <si>
    <t>生活</t>
  </si>
  <si>
    <t>せいかつ</t>
  </si>
  <si>
    <t>生活[せいかつ]</t>
  </si>
  <si>
    <t>cuộc sống</t>
  </si>
  <si>
    <t>充実した生活。</t>
  </si>
  <si>
    <t>Cuộc sống đầy đủ.</t>
  </si>
  <si>
    <t>予定</t>
  </si>
  <si>
    <t>よてい</t>
  </si>
  <si>
    <t>予定[よてい]</t>
  </si>
  <si>
    <t>kế hoạch</t>
  </si>
  <si>
    <t>旅行の予定。</t>
  </si>
  <si>
    <t>Kế hoạch du lịch.</t>
  </si>
  <si>
    <t>以外</t>
  </si>
  <si>
    <t>いがい</t>
  </si>
  <si>
    <t>以外[いがい]</t>
  </si>
  <si>
    <t>これ以外。</t>
  </si>
  <si>
    <t>Ngoài cái này ra.</t>
  </si>
  <si>
    <t>後ろ</t>
  </si>
  <si>
    <t>うしろ</t>
  </si>
  <si>
    <t>後[うし]ろ</t>
  </si>
  <si>
    <t>phía sau</t>
  </si>
  <si>
    <t>後ろを向く。</t>
  </si>
  <si>
    <t>Quay ra phía sau.</t>
  </si>
  <si>
    <t>どれ</t>
  </si>
  <si>
    <t>cái nào</t>
  </si>
  <si>
    <t>どれにしますか。</t>
  </si>
  <si>
    <t>Bạn chọn cái nào?</t>
  </si>
  <si>
    <t>意見</t>
  </si>
  <si>
    <t>いけん</t>
  </si>
  <si>
    <t>意見[いけん]</t>
  </si>
  <si>
    <t>ý kiến</t>
  </si>
  <si>
    <t>意見を述べる。</t>
  </si>
  <si>
    <t>Phát biểu ý kiến.</t>
  </si>
  <si>
    <t>違う</t>
  </si>
  <si>
    <t>ちがう</t>
  </si>
  <si>
    <t>違[ちが]う</t>
  </si>
  <si>
    <t>khác</t>
  </si>
  <si>
    <t>意見が違う。</t>
  </si>
  <si>
    <t>Ý kiến khác nhau.</t>
  </si>
  <si>
    <t>カード</t>
  </si>
  <si>
    <t>かーど</t>
  </si>
  <si>
    <t>thẻ</t>
  </si>
  <si>
    <t>会員カードを作る。</t>
  </si>
  <si>
    <t>Làm thẻ hội viên.</t>
  </si>
  <si>
    <t>おる</t>
  </si>
  <si>
    <t>ở</t>
  </si>
  <si>
    <t>東京におる。</t>
  </si>
  <si>
    <t>Tôi đang ở Tokyo.</t>
  </si>
  <si>
    <t>二人</t>
  </si>
  <si>
    <t>ふたり</t>
  </si>
  <si>
    <t>二人[ふたり]</t>
  </si>
  <si>
    <t>hai người</t>
  </si>
  <si>
    <t>二人で歩く。</t>
  </si>
  <si>
    <t>Đi bộ hai người.</t>
  </si>
  <si>
    <t>マンション</t>
  </si>
  <si>
    <t>まんしょん</t>
  </si>
  <si>
    <t>chung cư</t>
  </si>
  <si>
    <t>マンションに住む。</t>
  </si>
  <si>
    <t>Sống ở chung cư.</t>
  </si>
  <si>
    <t>円</t>
  </si>
  <si>
    <t>えん</t>
  </si>
  <si>
    <t>円[えん]</t>
  </si>
  <si>
    <t>đồng yên</t>
  </si>
  <si>
    <t>一円払う。</t>
  </si>
  <si>
    <t>Tôi trả một yên.</t>
  </si>
  <si>
    <t>感じ</t>
  </si>
  <si>
    <t>かんじ</t>
  </si>
  <si>
    <t>感[かん]じ</t>
  </si>
  <si>
    <t>cảm giác</t>
  </si>
  <si>
    <t>良い感じがする。</t>
  </si>
  <si>
    <t>Có cảm giác tốt.</t>
  </si>
  <si>
    <t>それでは</t>
  </si>
  <si>
    <t>それでは始めます。</t>
  </si>
  <si>
    <t>Vậy thì bắt đầu.</t>
  </si>
  <si>
    <t>うまい</t>
  </si>
  <si>
    <t>ngon</t>
  </si>
  <si>
    <t>この料理はうまい。</t>
  </si>
  <si>
    <t>Món ăn này ngon.</t>
  </si>
  <si>
    <t>トイレ</t>
  </si>
  <si>
    <t>といれ</t>
  </si>
  <si>
    <t>nhà vệ sinh</t>
  </si>
  <si>
    <t>トイレに行く。</t>
  </si>
  <si>
    <t>Đi nhà vệ sinh.</t>
  </si>
  <si>
    <t>休み</t>
  </si>
  <si>
    <t>やすみ</t>
  </si>
  <si>
    <t>休[やす]み</t>
  </si>
  <si>
    <t>nghỉ ngơi</t>
  </si>
  <si>
    <t>日曜日の休み。</t>
  </si>
  <si>
    <t>Nghỉ chủ nhật.</t>
  </si>
  <si>
    <t>ただ</t>
  </si>
  <si>
    <t>miễn phí</t>
  </si>
  <si>
    <t>ただでもらう。</t>
  </si>
  <si>
    <t>Nhận miễn phí.</t>
  </si>
  <si>
    <t>ページ</t>
  </si>
  <si>
    <t>ぺーじ</t>
  </si>
  <si>
    <t>trang</t>
  </si>
  <si>
    <t>ページを開く。</t>
  </si>
  <si>
    <t>Mở trang sách.</t>
  </si>
  <si>
    <t>クラス</t>
  </si>
  <si>
    <t>くらす</t>
  </si>
  <si>
    <t>lớp</t>
  </si>
  <si>
    <t>クラスで一番だ。</t>
  </si>
  <si>
    <t>Đứng nhất lớp.</t>
  </si>
  <si>
    <t>五</t>
  </si>
  <si>
    <t>ご</t>
  </si>
  <si>
    <t>五[ご]</t>
  </si>
  <si>
    <t>五を足す。</t>
  </si>
  <si>
    <t>Cộng thêm năm.</t>
  </si>
  <si>
    <t>市場</t>
  </si>
  <si>
    <t>いちば</t>
  </si>
  <si>
    <t>市場[いちば]</t>
  </si>
  <si>
    <t>chợ</t>
  </si>
  <si>
    <t>市場で野菜を買う。</t>
  </si>
  <si>
    <t>Mua rau ở chợ.</t>
  </si>
  <si>
    <t>仕方</t>
  </si>
  <si>
    <t>しかた</t>
  </si>
  <si>
    <t>仕方[しかた]</t>
  </si>
  <si>
    <t>cách làm</t>
  </si>
  <si>
    <t>仕方がいい。</t>
  </si>
  <si>
    <t>Cách làm tốt.</t>
  </si>
  <si>
    <t>技術</t>
  </si>
  <si>
    <t>ぎじゅつ</t>
  </si>
  <si>
    <t>技術[ぎじゅつ]</t>
  </si>
  <si>
    <t>kỹ thuật</t>
  </si>
  <si>
    <t>新しい技術。</t>
  </si>
  <si>
    <t>Kỹ thuật mới.</t>
  </si>
  <si>
    <t>言葉</t>
  </si>
  <si>
    <t>ことば</t>
  </si>
  <si>
    <t>言葉[ことば]</t>
  </si>
  <si>
    <t>ngôn ngữ</t>
  </si>
  <si>
    <t>言葉を学ぶ。</t>
  </si>
  <si>
    <t>Học ngôn ngữ.</t>
  </si>
  <si>
    <t>サービス</t>
  </si>
  <si>
    <t>さーびす</t>
  </si>
  <si>
    <t>dịch vụ</t>
  </si>
  <si>
    <t>サービスが良い。</t>
  </si>
  <si>
    <t>Dịch vụ tốt.</t>
  </si>
  <si>
    <t>データ</t>
  </si>
  <si>
    <t>dữ liệu</t>
  </si>
  <si>
    <t>データを保存する。</t>
  </si>
  <si>
    <t>Lưu dữ liệu.</t>
  </si>
  <si>
    <t>二つ</t>
  </si>
  <si>
    <t>ふたつ</t>
  </si>
  <si>
    <t>二[ふた]つ</t>
  </si>
  <si>
    <t>hai cái</t>
  </si>
  <si>
    <t>二つ持つ。</t>
  </si>
  <si>
    <t>Cầm hai cái.</t>
  </si>
  <si>
    <t>つもり</t>
  </si>
  <si>
    <t>định</t>
  </si>
  <si>
    <t>行くつもりだ。</t>
  </si>
  <si>
    <t>Tôi định đi.</t>
  </si>
  <si>
    <t>為る</t>
  </si>
  <si>
    <t>為[す]る</t>
  </si>
  <si>
    <t>宿題を為る。</t>
  </si>
  <si>
    <t>Làm bài tập.</t>
  </si>
  <si>
    <t>他</t>
  </si>
  <si>
    <t>ほか</t>
  </si>
  <si>
    <t>他[ほか]</t>
  </si>
  <si>
    <t>他の人。</t>
  </si>
  <si>
    <t>Người khác.</t>
  </si>
  <si>
    <t>こっち</t>
  </si>
  <si>
    <t>こっちへ来て。</t>
  </si>
  <si>
    <t>Lại đây đi.</t>
  </si>
  <si>
    <t>届く</t>
  </si>
  <si>
    <t>とどく</t>
  </si>
  <si>
    <t>届[とど]く</t>
  </si>
  <si>
    <t>tới</t>
  </si>
  <si>
    <t>手紙が届く。</t>
  </si>
  <si>
    <t>Thư đã tới.</t>
  </si>
  <si>
    <t>近い</t>
  </si>
  <si>
    <t>ちかい</t>
  </si>
  <si>
    <t>近[ちか]い</t>
  </si>
  <si>
    <t>gần</t>
  </si>
  <si>
    <t>駅に近い。</t>
  </si>
  <si>
    <t>Gần nhà ga.</t>
  </si>
  <si>
    <t>グループ</t>
  </si>
  <si>
    <t>ぐるーぷ</t>
  </si>
  <si>
    <t>nhóm</t>
  </si>
  <si>
    <t>グループを作る。</t>
  </si>
  <si>
    <t>Lập nhóm.</t>
  </si>
  <si>
    <t>払う</t>
  </si>
  <si>
    <t>はらう</t>
  </si>
  <si>
    <t>払[はら]う</t>
  </si>
  <si>
    <t>chi trả</t>
  </si>
  <si>
    <t>代金を払う。</t>
  </si>
  <si>
    <t>Chi trả tiền hàng.</t>
  </si>
  <si>
    <t>あ</t>
  </si>
  <si>
    <t>ああ、そうですか。</t>
  </si>
  <si>
    <t>À, vậy à.</t>
  </si>
  <si>
    <t>万</t>
  </si>
  <si>
    <t>まん</t>
  </si>
  <si>
    <t>万[まん]</t>
  </si>
  <si>
    <t>vạn</t>
  </si>
  <si>
    <t>一万を数える。</t>
  </si>
  <si>
    <t>Đếm vạn.</t>
  </si>
  <si>
    <t>ママ</t>
  </si>
  <si>
    <t>まま</t>
  </si>
  <si>
    <t>ママに会う。</t>
  </si>
  <si>
    <t>Gặp mẹ.</t>
  </si>
  <si>
    <t>事業</t>
  </si>
  <si>
    <t>じぎょう</t>
  </si>
  <si>
    <t>事業[じぎょう]</t>
  </si>
  <si>
    <t>công việc kinh doanh</t>
  </si>
  <si>
    <t>新しい事業を始める。</t>
  </si>
  <si>
    <t>Bắt đầu công việc kinh doanh mới.</t>
  </si>
  <si>
    <t>メーカー</t>
  </si>
  <si>
    <t>めーかー</t>
  </si>
  <si>
    <t>nhà sản xuất</t>
  </si>
  <si>
    <t>自動車メーカー。</t>
  </si>
  <si>
    <t>Nhà sản xuất ô tô.</t>
  </si>
  <si>
    <t>動き</t>
  </si>
  <si>
    <t>うごき</t>
  </si>
  <si>
    <t>動[うご]き</t>
  </si>
  <si>
    <t>chuyển động</t>
  </si>
  <si>
    <t>経済の動き。</t>
  </si>
  <si>
    <t>Chuyển động của kinh tế.</t>
  </si>
  <si>
    <t>オンライン</t>
  </si>
  <si>
    <t>おんらいん</t>
  </si>
  <si>
    <t>trực tuyến</t>
  </si>
  <si>
    <t>オンライン会議に参加する。</t>
  </si>
  <si>
    <t>Tham gia cuộc họp trực tuyến.</t>
  </si>
  <si>
    <t>サイズ</t>
  </si>
  <si>
    <t>さいず</t>
  </si>
  <si>
    <t>kích thước</t>
  </si>
  <si>
    <t>服のサイズを測る。</t>
  </si>
  <si>
    <t>Đo kích thước quần áo.</t>
  </si>
  <si>
    <t>コメント</t>
  </si>
  <si>
    <t>こめんと</t>
  </si>
  <si>
    <t>bình luận</t>
  </si>
  <si>
    <t>コメントを発表する。</t>
  </si>
  <si>
    <t>Phát biểu bình luận.</t>
  </si>
  <si>
    <t>業務</t>
  </si>
  <si>
    <t>ぎょうむ</t>
  </si>
  <si>
    <t>業務[ぎょうむ]</t>
  </si>
  <si>
    <t>nghiệp vụ</t>
  </si>
  <si>
    <t>業務を効率化する。</t>
  </si>
  <si>
    <t>Cải thiện hiệu quả nghiệp vụ.</t>
  </si>
  <si>
    <t>財政</t>
  </si>
  <si>
    <t>ざいせい</t>
  </si>
  <si>
    <t>財政[ざいせい]</t>
  </si>
  <si>
    <t>tài chính</t>
  </si>
  <si>
    <t>財政を改善する。</t>
  </si>
  <si>
    <t>Cải thiện tài chính.</t>
  </si>
  <si>
    <t>保険</t>
  </si>
  <si>
    <t>ほけん</t>
  </si>
  <si>
    <t>保険[ほけん]</t>
  </si>
  <si>
    <t>bảo hiểm</t>
  </si>
  <si>
    <t>医療保険に加入する。</t>
  </si>
  <si>
    <t>Tham gia bảo hiểm y tế.</t>
  </si>
  <si>
    <t>規定</t>
  </si>
  <si>
    <t>きてい</t>
  </si>
  <si>
    <t>規定[きてい]</t>
  </si>
  <si>
    <t>quy định</t>
  </si>
  <si>
    <t>規定に従う。</t>
  </si>
  <si>
    <t>Tuân theo quy định.</t>
  </si>
  <si>
    <t>訪れる</t>
  </si>
  <si>
    <t>おとずれる</t>
  </si>
  <si>
    <t>訪[おとず]れる</t>
  </si>
  <si>
    <t>ghé thăm</t>
  </si>
  <si>
    <t>京都を訪れる。</t>
  </si>
  <si>
    <t>Ghé thăm Kyoto.</t>
  </si>
  <si>
    <t>美</t>
  </si>
  <si>
    <t>び</t>
  </si>
  <si>
    <t>美[び]</t>
  </si>
  <si>
    <t>vẻ đẹp</t>
  </si>
  <si>
    <t>芸術の美。</t>
  </si>
  <si>
    <t>Vẻ đẹp của nghệ thuật.</t>
  </si>
  <si>
    <t>要する</t>
  </si>
  <si>
    <t>ようする</t>
  </si>
  <si>
    <t>要[よう]する</t>
  </si>
  <si>
    <t>cần có</t>
  </si>
  <si>
    <t>時間を要する。</t>
  </si>
  <si>
    <t>Cần có thời gian.</t>
  </si>
  <si>
    <t>規模</t>
  </si>
  <si>
    <t>きぼ</t>
  </si>
  <si>
    <t>規模[きぼ]</t>
  </si>
  <si>
    <t>quy mô</t>
  </si>
  <si>
    <t>大規模な計画。</t>
  </si>
  <si>
    <t>Kế hoạch quy mô lớn.</t>
  </si>
  <si>
    <t>資金</t>
  </si>
  <si>
    <t>しきん</t>
  </si>
  <si>
    <t>資金[しきん]</t>
  </si>
  <si>
    <t>vốn</t>
  </si>
  <si>
    <t>資金を集める。</t>
  </si>
  <si>
    <t>Gây quỹ.</t>
  </si>
  <si>
    <t>政治</t>
  </si>
  <si>
    <t>せいじ</t>
  </si>
  <si>
    <t>政治[せいじ]</t>
  </si>
  <si>
    <t>chính trị</t>
  </si>
  <si>
    <t>政治に関わる。</t>
  </si>
  <si>
    <t>Tôi tham gia vào chính trị.</t>
  </si>
  <si>
    <t>同様</t>
  </si>
  <si>
    <t>どうよう</t>
  </si>
  <si>
    <t>同様[どうよう]</t>
  </si>
  <si>
    <t>tương tự</t>
  </si>
  <si>
    <t>同様の結果が出る。</t>
  </si>
  <si>
    <t>Kết quả tương tự xuất hiện.</t>
  </si>
  <si>
    <t>基本</t>
  </si>
  <si>
    <t>きほん</t>
  </si>
  <si>
    <t>基本[きほん]</t>
  </si>
  <si>
    <t>cơ bản</t>
  </si>
  <si>
    <t>基本を教える。</t>
  </si>
  <si>
    <t>Tôi dạy những điều cơ bản.</t>
  </si>
  <si>
    <t>報告</t>
  </si>
  <si>
    <t>ほうこく</t>
  </si>
  <si>
    <t>報告[ほうこく]</t>
  </si>
  <si>
    <t>báo cáo</t>
  </si>
  <si>
    <t>上司に報告する。</t>
  </si>
  <si>
    <t>Tôi báo cáo với cấp trên.</t>
  </si>
  <si>
    <t>気</t>
  </si>
  <si>
    <t>き</t>
  </si>
  <si>
    <t>気[き]</t>
  </si>
  <si>
    <t>tinh thần</t>
  </si>
  <si>
    <t>気がつく。</t>
  </si>
  <si>
    <t>Tôi nhận ra điều gì đó.</t>
  </si>
  <si>
    <t>夢</t>
  </si>
  <si>
    <t>ゆめ</t>
  </si>
  <si>
    <t>夢[ゆめ]</t>
  </si>
  <si>
    <t>giấc mơ</t>
  </si>
  <si>
    <t>夢を見る。</t>
  </si>
  <si>
    <t>Tôi mơ thấy giấc mơ.</t>
  </si>
  <si>
    <t>外国</t>
  </si>
  <si>
    <t>がいこく</t>
  </si>
  <si>
    <t>外国[がいこく]</t>
  </si>
  <si>
    <t>nước ngoài</t>
  </si>
  <si>
    <t>外国に行く。</t>
  </si>
  <si>
    <t>Tôi đi nước ngoài.</t>
  </si>
  <si>
    <t>授業</t>
  </si>
  <si>
    <t>じゅぎょう</t>
  </si>
  <si>
    <t>授業[じゅぎょう]</t>
  </si>
  <si>
    <t>tiết học</t>
  </si>
  <si>
    <t>授業が始まる。</t>
  </si>
  <si>
    <t>Tiết học bắt đầu.</t>
  </si>
  <si>
    <t>取り上げる</t>
  </si>
  <si>
    <t>とりあげる</t>
  </si>
  <si>
    <t>取[と]り上[あ]げる</t>
  </si>
  <si>
    <t>話題を取り上げる。</t>
  </si>
  <si>
    <t>Tôi lấy chủ đề.</t>
  </si>
  <si>
    <t>客</t>
  </si>
  <si>
    <t>きゃく</t>
  </si>
  <si>
    <t>客[きゃく]</t>
  </si>
  <si>
    <t>khách</t>
  </si>
  <si>
    <t>客を迎える。</t>
  </si>
  <si>
    <t>Đón tiếp khách.</t>
  </si>
  <si>
    <t>新聞</t>
  </si>
  <si>
    <t>しんぶん</t>
  </si>
  <si>
    <t>新聞[しんぶん]</t>
  </si>
  <si>
    <t>báo</t>
  </si>
  <si>
    <t>新聞を読む。</t>
  </si>
  <si>
    <t>Tôi đọc báo.</t>
  </si>
  <si>
    <t>酒</t>
  </si>
  <si>
    <t>さけ</t>
  </si>
  <si>
    <t>酒[さけ]</t>
  </si>
  <si>
    <t>酒を飲む。</t>
  </si>
  <si>
    <t>Tôi uống rượu.</t>
  </si>
  <si>
    <t>導入</t>
  </si>
  <si>
    <t>どうにゅう</t>
  </si>
  <si>
    <t>導入[どうにゅう]</t>
  </si>
  <si>
    <t>新しい機械を導入する。</t>
  </si>
  <si>
    <t>Giới thiệu máy móc mới.</t>
  </si>
  <si>
    <t>都</t>
  </si>
  <si>
    <t>みやこ</t>
  </si>
  <si>
    <t>都[みやこ]</t>
  </si>
  <si>
    <t>thủ đô</t>
  </si>
  <si>
    <t>都を建設する。</t>
  </si>
  <si>
    <t>Xây dựng thủ đô.</t>
  </si>
  <si>
    <t>立場</t>
  </si>
  <si>
    <t>たちば</t>
  </si>
  <si>
    <t>立場[たちば]</t>
  </si>
  <si>
    <t>lập trường</t>
  </si>
  <si>
    <t>相手の立場に立つ。</t>
  </si>
  <si>
    <t>Tôi đứng trên lập trường của đối phương.</t>
  </si>
  <si>
    <t>面</t>
  </si>
  <si>
    <t>めん</t>
  </si>
  <si>
    <t>面[めん]</t>
  </si>
  <si>
    <t>mặt</t>
  </si>
  <si>
    <t>問題の面を考える。</t>
  </si>
  <si>
    <t>Tôi suy nghĩ về mặt của vấn đề.</t>
  </si>
  <si>
    <t>役</t>
  </si>
  <si>
    <t>やく</t>
  </si>
  <si>
    <t>役[やく]</t>
  </si>
  <si>
    <t>vai trò</t>
  </si>
  <si>
    <t>重要な役を務める。</t>
  </si>
  <si>
    <t>Đảm nhiệm vai trò quan trọng.</t>
  </si>
  <si>
    <t>程</t>
  </si>
  <si>
    <t>ほど</t>
  </si>
  <si>
    <t>程[ほど]</t>
  </si>
  <si>
    <t>程よく焼く。</t>
  </si>
  <si>
    <t>Tôi nướng ở mức độ vừa phải.</t>
  </si>
  <si>
    <t>非常に</t>
  </si>
  <si>
    <t>ひじょうに</t>
  </si>
  <si>
    <t>非常[ひじょう]に</t>
  </si>
  <si>
    <t>非常に興味深い話だ。</t>
  </si>
  <si>
    <t>Đó là câu chuyện rất thú vị.</t>
  </si>
  <si>
    <t>対象</t>
  </si>
  <si>
    <t>たいしょう</t>
  </si>
  <si>
    <t>対象[たいしょう]</t>
  </si>
  <si>
    <t>đối tượng</t>
  </si>
  <si>
    <t>調査の対象を広げる。</t>
  </si>
  <si>
    <t>Mở rộng đối tượng điều tra.</t>
  </si>
  <si>
    <t>形</t>
  </si>
  <si>
    <t>かたち</t>
  </si>
  <si>
    <t>形[かたち]</t>
  </si>
  <si>
    <t>hình dáng</t>
  </si>
  <si>
    <t>雲の形が変わる。</t>
  </si>
  <si>
    <t>Hình dáng đám mây thay đổi.</t>
  </si>
  <si>
    <t>教育</t>
  </si>
  <si>
    <t>きょういく</t>
  </si>
  <si>
    <t>教育[きょういく]</t>
  </si>
  <si>
    <t>giáo dục</t>
  </si>
  <si>
    <t>教育を受ける。</t>
  </si>
  <si>
    <t>Tôi nhận được sự giáo dục.</t>
  </si>
  <si>
    <t>見せる</t>
  </si>
  <si>
    <t>みせる</t>
  </si>
  <si>
    <t>見[み]せる</t>
  </si>
  <si>
    <t>cho xem</t>
  </si>
  <si>
    <t>写真を先生に見せる。</t>
  </si>
  <si>
    <t>Tôi cho giáo viên xem ảnh.</t>
  </si>
  <si>
    <t>大体</t>
  </si>
  <si>
    <t>だいたい</t>
  </si>
  <si>
    <t>大体[だいたい]</t>
  </si>
  <si>
    <t>đại khái</t>
  </si>
  <si>
    <t>大体できた。</t>
  </si>
  <si>
    <t>Tôi đã làm đại khái xong.</t>
  </si>
  <si>
    <t>安心</t>
  </si>
  <si>
    <t>あんしん</t>
  </si>
  <si>
    <t>安心[あんしん]</t>
  </si>
  <si>
    <t>an tâm</t>
  </si>
  <si>
    <t>安心できる環境。</t>
  </si>
  <si>
    <t>Môi trường có thể an tâm.</t>
  </si>
  <si>
    <t>約</t>
  </si>
  <si>
    <t>約[やく]</t>
  </si>
  <si>
    <t>khoảng</t>
  </si>
  <si>
    <t>約一時間待つ。</t>
  </si>
  <si>
    <t>Tôi đợi khoảng một tiếng.</t>
  </si>
  <si>
    <t>含む</t>
  </si>
  <si>
    <t>ふくむ</t>
  </si>
  <si>
    <t>含[ふく]む</t>
  </si>
  <si>
    <t>bao gồm</t>
  </si>
  <si>
    <t>税金を含む金額。</t>
  </si>
  <si>
    <t>Số tiền bao gồm cả thuế.</t>
  </si>
  <si>
    <t>売れる</t>
  </si>
  <si>
    <t>うれる</t>
  </si>
  <si>
    <t>売[う]れる</t>
  </si>
  <si>
    <t>bán chạy</t>
  </si>
  <si>
    <t>この本はよく売れる。</t>
  </si>
  <si>
    <t>Cuốn sách này bán chạy.</t>
  </si>
  <si>
    <t>知識</t>
  </si>
  <si>
    <t>ちしき</t>
  </si>
  <si>
    <t>知識[ちしき]</t>
  </si>
  <si>
    <t>kiến thức</t>
  </si>
  <si>
    <t>知識を深める。</t>
  </si>
  <si>
    <t>Làm sâu sắc kiến thức.</t>
  </si>
  <si>
    <t>帰り</t>
  </si>
  <si>
    <t>かえり</t>
  </si>
  <si>
    <t>帰[かえ]り</t>
  </si>
  <si>
    <t>chiều về</t>
  </si>
  <si>
    <t>帰りの電車は混む。</t>
  </si>
  <si>
    <t>Tàu chiều về rất đông.</t>
  </si>
  <si>
    <t>毎日</t>
  </si>
  <si>
    <t>まいにち</t>
  </si>
  <si>
    <t>毎日[まいにち]</t>
  </si>
  <si>
    <t>mỗi ngày</t>
  </si>
  <si>
    <t>毎日働く。</t>
  </si>
  <si>
    <t>Tôi làm việc mỗi ngày.</t>
  </si>
  <si>
    <t>落す</t>
  </si>
  <si>
    <t>おとす</t>
  </si>
  <si>
    <t>落[おと]す</t>
  </si>
  <si>
    <t>đánh rơi</t>
  </si>
  <si>
    <t>鍵を落とす。</t>
  </si>
  <si>
    <t>Tôi làm rơi chìa khóa.</t>
  </si>
  <si>
    <t>実は</t>
  </si>
  <si>
    <t>じつは</t>
  </si>
  <si>
    <t>実[じつ]は</t>
  </si>
  <si>
    <t>thực ra</t>
  </si>
  <si>
    <t>実は秘密がある。</t>
  </si>
  <si>
    <t>Thực ra có một bí mật.</t>
  </si>
  <si>
    <t>反抗</t>
  </si>
  <si>
    <t>はんこう</t>
  </si>
  <si>
    <t>反抗[はんこう]</t>
  </si>
  <si>
    <t>phản kháng</t>
  </si>
  <si>
    <t>親に反抗する。</t>
  </si>
  <si>
    <t>Tôi phản kháng bố mẹ.</t>
  </si>
  <si>
    <t>頑張る</t>
  </si>
  <si>
    <t>がんばる</t>
  </si>
  <si>
    <t>頑張[がんば]る</t>
  </si>
  <si>
    <t>cố gắng</t>
  </si>
  <si>
    <t>最後まで頑張る。</t>
  </si>
  <si>
    <t>Tôi cố gắng đến cùng.</t>
  </si>
  <si>
    <t>当然</t>
  </si>
  <si>
    <t>とうぜん</t>
  </si>
  <si>
    <t>当然[とうぜん]</t>
  </si>
  <si>
    <t>đương nhiên</t>
  </si>
  <si>
    <t>当然の結果だ。</t>
  </si>
  <si>
    <t>Đó là kết quả đương nhiên.</t>
  </si>
  <si>
    <t>相当</t>
  </si>
  <si>
    <t>そうとう</t>
  </si>
  <si>
    <t>相当[そうとう]</t>
  </si>
  <si>
    <t>tương đương</t>
  </si>
  <si>
    <t>相当な金額。</t>
  </si>
  <si>
    <t>Số tiền tương đương.</t>
  </si>
  <si>
    <t>住む</t>
  </si>
  <si>
    <t>すむ</t>
  </si>
  <si>
    <t>住[す]む</t>
  </si>
  <si>
    <t>sống</t>
  </si>
  <si>
    <t>日本に住む。</t>
  </si>
  <si>
    <t>Tôi sống ở Nhật Bản.</t>
  </si>
  <si>
    <t>時代</t>
  </si>
  <si>
    <t>じだい</t>
  </si>
  <si>
    <t>時代[じだい]</t>
  </si>
  <si>
    <t>thời đại</t>
  </si>
  <si>
    <t>新しい時代。</t>
  </si>
  <si>
    <t>Đó là thời đại mới.</t>
  </si>
  <si>
    <t>大</t>
  </si>
  <si>
    <t>だい</t>
  </si>
  <si>
    <t>大[だい]</t>
  </si>
  <si>
    <t>大成功する。</t>
  </si>
  <si>
    <t>Tôi thành công lớn.</t>
  </si>
  <si>
    <t>風</t>
  </si>
  <si>
    <t>かぜ</t>
  </si>
  <si>
    <t>風[かぜ]</t>
  </si>
  <si>
    <t>gió</t>
  </si>
  <si>
    <t>強い風が吹く。</t>
  </si>
  <si>
    <t>Gió mạnh đang thổi.</t>
  </si>
  <si>
    <t>簡単</t>
  </si>
  <si>
    <t>かんたん</t>
  </si>
  <si>
    <t>簡単[かんたん]</t>
  </si>
  <si>
    <t>đơn giản</t>
  </si>
  <si>
    <t>操作が簡単だ。</t>
  </si>
  <si>
    <t>Thao tác đơn giản.</t>
  </si>
  <si>
    <t>はっきり</t>
  </si>
  <si>
    <t>rõ ràng</t>
  </si>
  <si>
    <t>理由をはっきり言う。</t>
  </si>
  <si>
    <t>Nói rõ ràng lý do.</t>
  </si>
  <si>
    <t>示す</t>
  </si>
  <si>
    <t>しめす</t>
  </si>
  <si>
    <t>示[しめ]す</t>
  </si>
  <si>
    <t>cho thấy</t>
  </si>
  <si>
    <t>データをしめす。</t>
  </si>
  <si>
    <t>Cho thấy dữ liệu.</t>
  </si>
  <si>
    <t>自然</t>
  </si>
  <si>
    <t>しぜん</t>
  </si>
  <si>
    <t>自然[しぜん]</t>
  </si>
  <si>
    <t>tự nhiên</t>
  </si>
  <si>
    <t>自然を愛する。</t>
  </si>
  <si>
    <t>Tôi yêu tự nhiên.</t>
  </si>
  <si>
    <t>姿</t>
  </si>
  <si>
    <t>すがた</t>
  </si>
  <si>
    <t>姿[すがた]</t>
  </si>
  <si>
    <t>dáng vẻ</t>
  </si>
  <si>
    <t>綺麗な姿。</t>
  </si>
  <si>
    <t>Dáng vẻ xinh đẹp.</t>
  </si>
  <si>
    <t>届ける</t>
  </si>
  <si>
    <t>とどける</t>
  </si>
  <si>
    <t>届[とど]ける</t>
  </si>
  <si>
    <t>gửi đến</t>
  </si>
  <si>
    <t>書類を届ける。</t>
  </si>
  <si>
    <t>Gửi tài liệu tới.</t>
  </si>
  <si>
    <t>開始</t>
  </si>
  <si>
    <t>かいし</t>
  </si>
  <si>
    <t>開始[かいし]</t>
  </si>
  <si>
    <t>授業を開始する。</t>
  </si>
  <si>
    <t>Bắt đầu buổi học.</t>
  </si>
  <si>
    <t>量</t>
  </si>
  <si>
    <t>りょう</t>
  </si>
  <si>
    <t>量[りょう]</t>
  </si>
  <si>
    <t>lượng</t>
  </si>
  <si>
    <t>量を調整する。</t>
  </si>
  <si>
    <t>Điều chỉnh lượng.</t>
  </si>
  <si>
    <t>夏</t>
  </si>
  <si>
    <t>なつ</t>
  </si>
  <si>
    <t>夏[なつ]</t>
  </si>
  <si>
    <t>mùa hè</t>
  </si>
  <si>
    <t>夏が来る。</t>
  </si>
  <si>
    <t>Mùa hè đang đến.</t>
  </si>
  <si>
    <t>電気</t>
  </si>
  <si>
    <t>でんき</t>
  </si>
  <si>
    <t>電気[でんき]</t>
  </si>
  <si>
    <t>điện</t>
  </si>
  <si>
    <t>電気を消す。</t>
  </si>
  <si>
    <t>Tắt điện.</t>
  </si>
  <si>
    <t>建物</t>
  </si>
  <si>
    <t>たてもの</t>
  </si>
  <si>
    <t>建物[たてもの]</t>
  </si>
  <si>
    <t>古い建物を見る。</t>
  </si>
  <si>
    <t>Xem tòa nhà cũ.</t>
  </si>
  <si>
    <t>薬</t>
  </si>
  <si>
    <t>くすり</t>
  </si>
  <si>
    <t>薬[くすり]</t>
  </si>
  <si>
    <t>thuốc</t>
  </si>
  <si>
    <t>薬を飲む。</t>
  </si>
  <si>
    <t>Tôi uống thuốc.</t>
  </si>
  <si>
    <t>色</t>
  </si>
  <si>
    <t>いろ</t>
  </si>
  <si>
    <t>色[いろ]</t>
  </si>
  <si>
    <t>màu</t>
  </si>
  <si>
    <t>好きな色。</t>
  </si>
  <si>
    <t>Màu yêu thích.</t>
  </si>
  <si>
    <t>着ける</t>
  </si>
  <si>
    <t>着[つ]ける</t>
  </si>
  <si>
    <t>đeo</t>
  </si>
  <si>
    <t>ネクタイを着ける。</t>
  </si>
  <si>
    <t>Tôi thắt cà vạt.</t>
  </si>
  <si>
    <t>若い</t>
  </si>
  <si>
    <t>わかい</t>
  </si>
  <si>
    <t>若[わか]い</t>
  </si>
  <si>
    <t>trẻ</t>
  </si>
  <si>
    <t>若い人。</t>
  </si>
  <si>
    <t>Người trẻ.</t>
  </si>
  <si>
    <t>弱い</t>
  </si>
  <si>
    <t>よわい</t>
  </si>
  <si>
    <t>弱[よわ]い</t>
  </si>
  <si>
    <t>yếu</t>
  </si>
  <si>
    <t>足が弱い。</t>
  </si>
  <si>
    <t>Chân yếu.</t>
  </si>
  <si>
    <t>パーティー</t>
  </si>
  <si>
    <t>ぱーてぃー</t>
  </si>
  <si>
    <t>tiệc</t>
  </si>
  <si>
    <t>パーティーを開く。</t>
  </si>
  <si>
    <t>Mở tiệc.</t>
  </si>
  <si>
    <t>建てる</t>
  </si>
  <si>
    <t>建[た]てる</t>
  </si>
  <si>
    <t>xây dựng</t>
  </si>
  <si>
    <t>広い家を建てる。</t>
  </si>
  <si>
    <t>Tôi xây ngôi nhà rộng.</t>
  </si>
  <si>
    <t>振る</t>
  </si>
  <si>
    <t>ふる</t>
  </si>
  <si>
    <t>振[ふ]る</t>
  </si>
  <si>
    <t>vẫy</t>
  </si>
  <si>
    <t>手を振る。</t>
  </si>
  <si>
    <t>Tôi vẫy tay.</t>
  </si>
  <si>
    <t>開ける</t>
  </si>
  <si>
    <t>あける</t>
  </si>
  <si>
    <t>開[あ]ける</t>
  </si>
  <si>
    <t>蓋を開ける。</t>
  </si>
  <si>
    <t>Tôi mở nắp.</t>
  </si>
  <si>
    <t>保つ</t>
  </si>
  <si>
    <t>たもつ</t>
  </si>
  <si>
    <t>保[たも]つ</t>
  </si>
  <si>
    <t>giữ vững</t>
  </si>
  <si>
    <t>健康を保つ秘訣。</t>
  </si>
  <si>
    <t>Bí quyết giữ gìn sức khỏe.</t>
  </si>
  <si>
    <t>政策</t>
  </si>
  <si>
    <t>せいさく</t>
  </si>
  <si>
    <t>政策[せいさく]</t>
  </si>
  <si>
    <t>chính sách</t>
  </si>
  <si>
    <t>経済政策。</t>
  </si>
  <si>
    <t>Chính sách kinh tế.</t>
  </si>
  <si>
    <t>実践</t>
  </si>
  <si>
    <t>じっせん</t>
  </si>
  <si>
    <t>実践[じっせん]</t>
  </si>
  <si>
    <t>thực tiễn</t>
  </si>
  <si>
    <t>理論を実践する。</t>
  </si>
  <si>
    <t>Thực hành lý thuyết.</t>
  </si>
  <si>
    <t>周囲</t>
  </si>
  <si>
    <t>しゅうい</t>
  </si>
  <si>
    <t>周囲[しゅうい]</t>
  </si>
  <si>
    <t>chu vi</t>
  </si>
  <si>
    <t>周囲の状況を調べる。</t>
  </si>
  <si>
    <t>Tôi kiểm tra tình hình xung quanh.</t>
  </si>
  <si>
    <t>政府</t>
  </si>
  <si>
    <t>せいふ</t>
  </si>
  <si>
    <t>政府[せいふ]</t>
  </si>
  <si>
    <t>chính phủ</t>
  </si>
  <si>
    <t>政府の方針。</t>
  </si>
  <si>
    <t>Đây là chính sách của chính phủ.</t>
  </si>
  <si>
    <t>昨日</t>
  </si>
  <si>
    <t>きのう</t>
  </si>
  <si>
    <t>昨日[きのう]</t>
  </si>
  <si>
    <t>hôm qua</t>
  </si>
  <si>
    <t>昨日会った。</t>
  </si>
  <si>
    <t>Tôi đã gặp vào hôm qua.</t>
  </si>
  <si>
    <t>取り入れる</t>
  </si>
  <si>
    <t>とりいれる</t>
  </si>
  <si>
    <t>取[と]り入[い]れる</t>
  </si>
  <si>
    <t>áp dụng</t>
  </si>
  <si>
    <t>技術を取り入れる。</t>
  </si>
  <si>
    <t>Tôi áp dụng công nghệ.</t>
  </si>
  <si>
    <t>妻</t>
  </si>
  <si>
    <t>つま</t>
  </si>
  <si>
    <t>妻[つま]</t>
  </si>
  <si>
    <t>vợ</t>
  </si>
  <si>
    <t>妻と買い物する。</t>
  </si>
  <si>
    <t>Tôi đi mua sắm với vợ.</t>
  </si>
  <si>
    <t>学ぶ</t>
  </si>
  <si>
    <t>まなぶ</t>
  </si>
  <si>
    <t>学[まな]ぶ</t>
  </si>
  <si>
    <t>học</t>
  </si>
  <si>
    <t>大学で専門を学ぶ。</t>
  </si>
  <si>
    <t>Tôi học chuyên ngành tại đại học.</t>
  </si>
  <si>
    <t>安定</t>
  </si>
  <si>
    <t>あんてい</t>
  </si>
  <si>
    <t>安定[あんてい]</t>
  </si>
  <si>
    <t>ổn định</t>
  </si>
  <si>
    <t>生活が安定する。</t>
  </si>
  <si>
    <t>Cuộc sống ổn định.</t>
  </si>
  <si>
    <t>吹く</t>
  </si>
  <si>
    <t>ふく</t>
  </si>
  <si>
    <t>吹[ふ]く</t>
  </si>
  <si>
    <t>thổi</t>
  </si>
  <si>
    <t>風が吹く。</t>
  </si>
  <si>
    <t>Gió đang thổi.</t>
  </si>
  <si>
    <t>字</t>
  </si>
  <si>
    <t>じ</t>
  </si>
  <si>
    <t>字[じ]</t>
  </si>
  <si>
    <t>chữ</t>
  </si>
  <si>
    <t>字が綺麗。</t>
  </si>
  <si>
    <t>Chữ rất đẹp.</t>
  </si>
  <si>
    <t>料理</t>
  </si>
  <si>
    <t>りょうり</t>
  </si>
  <si>
    <t>料理[りょうり]</t>
  </si>
  <si>
    <t>món ăn</t>
  </si>
  <si>
    <t>美味しい料理を作る。</t>
  </si>
  <si>
    <t>Tôi làm món ăn ngon.</t>
  </si>
  <si>
    <t>審査</t>
  </si>
  <si>
    <t>しんさ</t>
  </si>
  <si>
    <t>審査[しんさ]</t>
  </si>
  <si>
    <t>thẩm định</t>
  </si>
  <si>
    <t>書類を審査する。</t>
  </si>
  <si>
    <t>Thẩm định hồ sơ.</t>
  </si>
  <si>
    <t>従業員</t>
  </si>
  <si>
    <t>じゅうぎょういん</t>
  </si>
  <si>
    <t>従業員[じゅうぎょういん]</t>
  </si>
  <si>
    <t>従業員を募集する。</t>
  </si>
  <si>
    <t>失敗</t>
  </si>
  <si>
    <t>しっぱい</t>
  </si>
  <si>
    <t>失敗[しっぱい]</t>
  </si>
  <si>
    <t>thất bại</t>
  </si>
  <si>
    <t>実験に失敗する。</t>
  </si>
  <si>
    <t>Tôi thất bại trong thí nghiệm.</t>
  </si>
  <si>
    <t>喜ぶ</t>
  </si>
  <si>
    <t>よろこぶ</t>
  </si>
  <si>
    <t>喜[よろこ]ぶ</t>
  </si>
  <si>
    <t>vui mừng</t>
  </si>
  <si>
    <t>プレゼントを喜ぶ。</t>
  </si>
  <si>
    <t>Tôi vui mừng với món quà.</t>
  </si>
  <si>
    <t>探す</t>
  </si>
  <si>
    <t>さがす</t>
  </si>
  <si>
    <t>探[さが]す</t>
  </si>
  <si>
    <t>tìm kiếm</t>
  </si>
  <si>
    <t>鍵を探しています。</t>
  </si>
  <si>
    <t>Tôi đang tìm chìa khóa.</t>
  </si>
  <si>
    <t>否定</t>
  </si>
  <si>
    <t>ひてい</t>
  </si>
  <si>
    <t>否定[ひてい]</t>
  </si>
  <si>
    <t>phủ định</t>
  </si>
  <si>
    <t>事実を否定する。</t>
  </si>
  <si>
    <t>Tôi phủ định sự thật.</t>
  </si>
  <si>
    <t>早い</t>
  </si>
  <si>
    <t>はやい</t>
  </si>
  <si>
    <t>早[はや]い</t>
  </si>
  <si>
    <t>sớm</t>
  </si>
  <si>
    <t>早い時間に起きる。</t>
  </si>
  <si>
    <t>Tôi dậy vào giờ sớm.</t>
  </si>
  <si>
    <t>完成</t>
  </si>
  <si>
    <t>かんせい</t>
  </si>
  <si>
    <t>完成[かんせい]</t>
  </si>
  <si>
    <t>hoàn thành</t>
  </si>
  <si>
    <t>建物が完成する。</t>
  </si>
  <si>
    <t>Tòa nhà hoàn thành.</t>
  </si>
  <si>
    <t>基づく</t>
  </si>
  <si>
    <t>もとづく</t>
  </si>
  <si>
    <t>基[もと]づく</t>
  </si>
  <si>
    <t>dựa trên</t>
  </si>
  <si>
    <t>事実に基づく。</t>
  </si>
  <si>
    <t>Dựa trên sự thật.</t>
  </si>
  <si>
    <t>歴史</t>
  </si>
  <si>
    <t>れきし</t>
  </si>
  <si>
    <t>歴史[れきし]</t>
  </si>
  <si>
    <t>lịch sử</t>
  </si>
  <si>
    <t>歴史を学ぶ。</t>
  </si>
  <si>
    <t>Tôi học lịch sử.</t>
  </si>
  <si>
    <t>季節</t>
  </si>
  <si>
    <t>きせつ</t>
  </si>
  <si>
    <t>季節[きせつ]</t>
  </si>
  <si>
    <t>mùa</t>
  </si>
  <si>
    <t>季節が移る。</t>
  </si>
  <si>
    <t>Mùa đang chuyển.</t>
  </si>
  <si>
    <t>土</t>
  </si>
  <si>
    <t>つち</t>
  </si>
  <si>
    <t>土[つち]</t>
  </si>
  <si>
    <t>土を掘る。</t>
  </si>
  <si>
    <t>Tôi đào đất.</t>
  </si>
  <si>
    <t>意図</t>
  </si>
  <si>
    <t>いと</t>
  </si>
  <si>
    <t>意図[いと]</t>
  </si>
  <si>
    <t>ý đồ</t>
  </si>
  <si>
    <t>悪意の意図。</t>
  </si>
  <si>
    <t>Ý đồ xấu.</t>
  </si>
  <si>
    <t>集まる</t>
  </si>
  <si>
    <t>あつまる</t>
  </si>
  <si>
    <t>集[あつ]まる</t>
  </si>
  <si>
    <t>tập trung</t>
  </si>
  <si>
    <t>広場に人が集まる。</t>
  </si>
  <si>
    <t>Mọi người tập trung ở quảng trường.</t>
  </si>
  <si>
    <t>ご主人</t>
  </si>
  <si>
    <t>ごしゅじん</t>
  </si>
  <si>
    <t>ご主人[しゅじん]</t>
  </si>
  <si>
    <t>chồng</t>
  </si>
  <si>
    <t>ご主人はお元気ですか。</t>
  </si>
  <si>
    <t>Chồng bạn khỏe không?</t>
  </si>
  <si>
    <t>この頃</t>
  </si>
  <si>
    <t>このころ</t>
  </si>
  <si>
    <t>この頃[ころ]</t>
  </si>
  <si>
    <t>gần đây</t>
  </si>
  <si>
    <t>この頃暑いですね。</t>
  </si>
  <si>
    <t>Gần đây nóng nhỉ.</t>
  </si>
  <si>
    <t>表</t>
  </si>
  <si>
    <t>おもて</t>
  </si>
  <si>
    <t>表[おもて]</t>
  </si>
  <si>
    <t>mặt ngoài</t>
  </si>
  <si>
    <t>表に出る。</t>
  </si>
  <si>
    <t>お菓子</t>
  </si>
  <si>
    <t>おかし</t>
  </si>
  <si>
    <t>お菓子[かし]</t>
  </si>
  <si>
    <t>bánh kẹo</t>
  </si>
  <si>
    <t>お菓子を食べる。</t>
  </si>
  <si>
    <t>Tôi ăn bánh kẹo.</t>
  </si>
  <si>
    <t>依存</t>
  </si>
  <si>
    <t>いぞん</t>
  </si>
  <si>
    <t>依存[いぞん]</t>
  </si>
  <si>
    <t>sự phụ thuộc</t>
  </si>
  <si>
    <t>依存関係を改善する。</t>
  </si>
  <si>
    <t>Cải thiện mối quan hệ phụ thuộc.</t>
  </si>
  <si>
    <t>限る</t>
  </si>
  <si>
    <t>かぎる</t>
  </si>
  <si>
    <t>限[かぎ]る</t>
  </si>
  <si>
    <t>giới hạn</t>
  </si>
  <si>
    <t>参加は会員に限る。</t>
  </si>
  <si>
    <t>Việc tham gia được giới hạn cho hội viên.</t>
  </si>
  <si>
    <t>神</t>
  </si>
  <si>
    <t>かみ</t>
  </si>
  <si>
    <t>神[かみ]</t>
  </si>
  <si>
    <t>thần</t>
  </si>
  <si>
    <t>神に平和を祈る。</t>
  </si>
  <si>
    <t>Tôi cầu nguyện hòa bình với thần linh.</t>
  </si>
  <si>
    <t>外国人</t>
  </si>
  <si>
    <t>がいこくじん</t>
  </si>
  <si>
    <t>外国人[がいこくじん]</t>
  </si>
  <si>
    <t>người nước ngoài</t>
  </si>
  <si>
    <t>外国人と話す。</t>
  </si>
  <si>
    <t>Tôi nói chuyện với người nước ngoài.</t>
  </si>
  <si>
    <t>差</t>
  </si>
  <si>
    <t>さ</t>
  </si>
  <si>
    <t>差[さ]</t>
  </si>
  <si>
    <t>sự khác biệt</t>
  </si>
  <si>
    <t>二人の実力に差がある。</t>
  </si>
  <si>
    <t>Thực lực hai người có sự khác biệt.</t>
  </si>
  <si>
    <t>性</t>
  </si>
  <si>
    <t>せい</t>
  </si>
  <si>
    <t>性[せい]</t>
  </si>
  <si>
    <t>giới tính</t>
  </si>
  <si>
    <t>性に関係なく働く。</t>
  </si>
  <si>
    <t>Làm việc không phân biệt giới tính.</t>
  </si>
  <si>
    <t>雰囲気</t>
  </si>
  <si>
    <t>ふんいき</t>
  </si>
  <si>
    <t>雰囲気[ふんいき]</t>
  </si>
  <si>
    <t>bầu không khí</t>
  </si>
  <si>
    <t>店内の雰囲気が良い。</t>
  </si>
  <si>
    <t>Bầu không khí trong quán rất tốt.</t>
  </si>
  <si>
    <t>移動</t>
  </si>
  <si>
    <t>いどう</t>
  </si>
  <si>
    <t>移動[いどう]</t>
  </si>
  <si>
    <t>di chuyển</t>
  </si>
  <si>
    <t>移動中に本を読む。</t>
  </si>
  <si>
    <t>Tôi đọc sách trong lúc di chuyển.</t>
  </si>
  <si>
    <t>いつか</t>
  </si>
  <si>
    <t>lúc nào đó</t>
  </si>
  <si>
    <t>いつか旅行したい。</t>
  </si>
  <si>
    <t>Lúc nào đó tôi muốn đi du lịch.</t>
  </si>
  <si>
    <t>年間</t>
  </si>
  <si>
    <t>ねんかん</t>
  </si>
  <si>
    <t>年間[ねんかん]</t>
  </si>
  <si>
    <t>trong năm</t>
  </si>
  <si>
    <t>年間を通じて活動する。</t>
  </si>
  <si>
    <t>Hoạt động xuyên suốt trong năm.</t>
  </si>
  <si>
    <t>アパート</t>
  </si>
  <si>
    <t>あぱーと</t>
  </si>
  <si>
    <t>căn hộ</t>
  </si>
  <si>
    <t>私はアパートに住んでいます。</t>
  </si>
  <si>
    <t>Tôi đang sống trong một căn hộ.</t>
  </si>
  <si>
    <t>活動</t>
  </si>
  <si>
    <t>かつどう</t>
  </si>
  <si>
    <t>活動[かつどう]</t>
  </si>
  <si>
    <t>hoạt động</t>
  </si>
  <si>
    <t>課外活動をする。</t>
  </si>
  <si>
    <t>Tham gia hoạt động ngoại khóa.</t>
  </si>
  <si>
    <t>科学</t>
  </si>
  <si>
    <t>かがく</t>
  </si>
  <si>
    <t>科学[かがく]</t>
  </si>
  <si>
    <t>khoa học</t>
  </si>
  <si>
    <t>科学技術が進歩した。</t>
  </si>
  <si>
    <t>Công nghệ khoa học đã tiến bộ.</t>
  </si>
  <si>
    <t>あんな</t>
  </si>
  <si>
    <t>あんな人は初めてです。</t>
  </si>
  <si>
    <t>Tôi lần đầu gặp người như thế.</t>
  </si>
  <si>
    <t>工場</t>
  </si>
  <si>
    <t>こうじょう</t>
  </si>
  <si>
    <t>工場[こうじょう]</t>
  </si>
  <si>
    <t>nhà máy</t>
  </si>
  <si>
    <t>工場で製品を作る。</t>
  </si>
  <si>
    <t>Sản xuất sản phẩm tại nhà máy.</t>
  </si>
  <si>
    <t>年度</t>
  </si>
  <si>
    <t>ねんど</t>
  </si>
  <si>
    <t>年度[ねんど]</t>
  </si>
  <si>
    <t>niên khóa</t>
  </si>
  <si>
    <t>今年度の計画。</t>
  </si>
  <si>
    <t>Kế hoạch trong niên khóa này.</t>
  </si>
  <si>
    <t>左</t>
  </si>
  <si>
    <t>ひだり</t>
  </si>
  <si>
    <t>左[ひだり]</t>
  </si>
  <si>
    <t>bên trái</t>
  </si>
  <si>
    <t>左を見て渡る。</t>
  </si>
  <si>
    <t>Nhìn bên trái rồi sang đường.</t>
  </si>
  <si>
    <t>自身</t>
  </si>
  <si>
    <t>じしん</t>
  </si>
  <si>
    <t>自身[じしん]</t>
  </si>
  <si>
    <t>自信を持つ。</t>
  </si>
  <si>
    <t>Tôi có niềm tin vào bản thân.</t>
  </si>
  <si>
    <t>エネルギー</t>
  </si>
  <si>
    <t>えねるぎー</t>
  </si>
  <si>
    <t>năng lượng</t>
  </si>
  <si>
    <t>太陽のエネルギーを利用する。</t>
  </si>
  <si>
    <t>Sử dụng năng lượng mặt trời.</t>
  </si>
  <si>
    <t>表現</t>
  </si>
  <si>
    <t>ひょうげん</t>
  </si>
  <si>
    <t>表現[ひょうげん]</t>
  </si>
  <si>
    <t>biểu hiện</t>
  </si>
  <si>
    <t>表現を変える。</t>
  </si>
  <si>
    <t>Tôi thay đổi cách biểu hiện.</t>
  </si>
  <si>
    <t>興味</t>
  </si>
  <si>
    <t>きょうみ</t>
  </si>
  <si>
    <t>興味[きょうみ]</t>
  </si>
  <si>
    <t>hứng thú</t>
  </si>
  <si>
    <t>音楽に興味がある。</t>
  </si>
  <si>
    <t>Tôi có hứng thú với âm nhạc.</t>
  </si>
  <si>
    <t>結局</t>
  </si>
  <si>
    <t>けっきょく</t>
  </si>
  <si>
    <t>結局[けっきょく]</t>
  </si>
  <si>
    <t>kết cục</t>
  </si>
  <si>
    <t>結局は同じだ。</t>
  </si>
  <si>
    <t>Kết cục thì cũng giống nhau.</t>
  </si>
  <si>
    <t>父</t>
  </si>
  <si>
    <t>ちち</t>
  </si>
  <si>
    <t>父[ちち]</t>
  </si>
  <si>
    <t>父は会社員です。</t>
  </si>
  <si>
    <t>Bố tôi là nhân viên công ty.</t>
  </si>
  <si>
    <t>合計</t>
  </si>
  <si>
    <t>ごうけい</t>
  </si>
  <si>
    <t>合計[ごうけい]</t>
  </si>
  <si>
    <t>tổng cộng</t>
  </si>
  <si>
    <t>合計で千円になる。</t>
  </si>
  <si>
    <t>Tổng cộng là một nghìn yên.</t>
  </si>
  <si>
    <t>朝</t>
  </si>
  <si>
    <t>あさ</t>
  </si>
  <si>
    <t>朝[あさ]</t>
  </si>
  <si>
    <t>buổi sáng</t>
  </si>
  <si>
    <t>朝に起きる。</t>
  </si>
  <si>
    <t>Tôi thức dậy vào buổi sáng.</t>
  </si>
  <si>
    <t>使用</t>
  </si>
  <si>
    <t>しよう</t>
  </si>
  <si>
    <t>使用[しよう]</t>
  </si>
  <si>
    <t>施設を使用する。</t>
  </si>
  <si>
    <t>Tôi sử dụng cơ sở vật chất.</t>
  </si>
  <si>
    <t>窓</t>
  </si>
  <si>
    <t>まど</t>
  </si>
  <si>
    <t>窓[まど]</t>
  </si>
  <si>
    <t>cửa sổ</t>
  </si>
  <si>
    <t>窓を開けて換気する。</t>
  </si>
  <si>
    <t>Tôi mở cửa sổ để thông gió.</t>
  </si>
  <si>
    <t>こうして</t>
  </si>
  <si>
    <t>こうしてできた。</t>
  </si>
  <si>
    <t>Đã hoàn thành như thế này.</t>
  </si>
  <si>
    <t>瞬間</t>
  </si>
  <si>
    <t>しゅんかん</t>
  </si>
  <si>
    <t>瞬間[しゅんかん]</t>
  </si>
  <si>
    <t>khoảnh khắc</t>
  </si>
  <si>
    <t>瞬間の出来事。</t>
  </si>
  <si>
    <t>Sự việc trong khoảnh khắc.</t>
  </si>
  <si>
    <t>センター</t>
  </si>
  <si>
    <t>せんたー</t>
  </si>
  <si>
    <t>市民センターへ行く。</t>
  </si>
  <si>
    <t>Đi đến trung tâm công dân.</t>
  </si>
  <si>
    <t>行動</t>
  </si>
  <si>
    <t>こうどう</t>
  </si>
  <si>
    <t>行動[こうどう]</t>
  </si>
  <si>
    <t>hành động</t>
  </si>
  <si>
    <t>行動に移す。</t>
  </si>
  <si>
    <t>Tôi chuyển sang hành động.</t>
  </si>
  <si>
    <t>会議</t>
  </si>
  <si>
    <t>かいぎ</t>
  </si>
  <si>
    <t>会議[かいぎ]</t>
  </si>
  <si>
    <t>hội nghị</t>
  </si>
  <si>
    <t>会議を始める。</t>
  </si>
  <si>
    <t>Chúng ta bắt đầu hội nghị.</t>
  </si>
  <si>
    <t>特に</t>
  </si>
  <si>
    <t>とくに</t>
  </si>
  <si>
    <t>特[とく]に</t>
  </si>
  <si>
    <t>đặc biệt</t>
  </si>
  <si>
    <t>特に好きな料理。</t>
  </si>
  <si>
    <t>Món ăn đặc biệt yêu thích.</t>
  </si>
  <si>
    <t>歩く</t>
  </si>
  <si>
    <t>あるく</t>
  </si>
  <si>
    <t>歩[ある]く</t>
  </si>
  <si>
    <t>đi bộ</t>
  </si>
  <si>
    <t>公園を歩く。</t>
  </si>
  <si>
    <t>Tôi đi bộ trong công viên.</t>
  </si>
  <si>
    <t>午後</t>
  </si>
  <si>
    <t>ごご</t>
  </si>
  <si>
    <t>午後[ごご]</t>
  </si>
  <si>
    <t>buổi chiều</t>
  </si>
  <si>
    <t>午後に行う。</t>
  </si>
  <si>
    <t>Tôi thực hiện vào buổi chiều.</t>
  </si>
  <si>
    <t>求める</t>
  </si>
  <si>
    <t>もとめる</t>
  </si>
  <si>
    <t>求[もと]める</t>
  </si>
  <si>
    <t>答えを求める。</t>
  </si>
  <si>
    <t>Tôi tìm kiếm câu trả lời.</t>
  </si>
  <si>
    <t>現在</t>
  </si>
  <si>
    <t>げんざい</t>
  </si>
  <si>
    <t>現在[げんざい]</t>
  </si>
  <si>
    <t>hiện tại</t>
  </si>
  <si>
    <t>現在はここに住む。</t>
  </si>
  <si>
    <t>Hiện tại tôi đang sống ở đây.</t>
  </si>
  <si>
    <t>空</t>
  </si>
  <si>
    <t>そら</t>
  </si>
  <si>
    <t>空[そら]</t>
  </si>
  <si>
    <t>bầu trời</t>
  </si>
  <si>
    <t>空が晴れている。</t>
  </si>
  <si>
    <t>Bầu trời đang quang đãng.</t>
  </si>
  <si>
    <t>さっき</t>
  </si>
  <si>
    <t>vừa nãy</t>
  </si>
  <si>
    <t>さっき会った人です。</t>
  </si>
  <si>
    <t>Là người vừa nãy tôi gặp.</t>
  </si>
  <si>
    <t>伝わる</t>
  </si>
  <si>
    <t>つたわる</t>
  </si>
  <si>
    <t>伝[つた]わる</t>
  </si>
  <si>
    <t>được truyền đạt</t>
  </si>
  <si>
    <t>気持ちが伝わる。</t>
  </si>
  <si>
    <t>Cảm xúc được truyền đạt.</t>
  </si>
  <si>
    <t>受付</t>
  </si>
  <si>
    <t>うけつけ</t>
  </si>
  <si>
    <t>受付[うけつけ]</t>
  </si>
  <si>
    <t>quầy lễ tân</t>
  </si>
  <si>
    <t>受付で聞く。</t>
  </si>
  <si>
    <t>Tôi hỏi tại quầy lễ tân.</t>
  </si>
  <si>
    <t>決める</t>
  </si>
  <si>
    <t>きめる</t>
  </si>
  <si>
    <t>決[き]める</t>
  </si>
  <si>
    <t>quyết định</t>
  </si>
  <si>
    <t>目標を決める。</t>
  </si>
  <si>
    <t>Tôi quyết định mục tiêu.</t>
  </si>
  <si>
    <t>経営</t>
  </si>
  <si>
    <t>けいえい</t>
  </si>
  <si>
    <t>経営[けいえい]</t>
  </si>
  <si>
    <t>店を経営する。</t>
  </si>
  <si>
    <t>Tôi kinh doanh cửa hàng.</t>
  </si>
  <si>
    <t>パーセント</t>
  </si>
  <si>
    <t>ぱーせんと</t>
  </si>
  <si>
    <t>phần trăm</t>
  </si>
  <si>
    <t>十パーセント割引。</t>
  </si>
  <si>
    <t>Giảm giá mười phần trăm.</t>
  </si>
  <si>
    <t>中学</t>
  </si>
  <si>
    <t>ちゅうがく</t>
  </si>
  <si>
    <t>中学[ちゅうがく]</t>
  </si>
  <si>
    <t>trung học</t>
  </si>
  <si>
    <t>中学へ行く。</t>
  </si>
  <si>
    <t>Tôi đi đến trường trung học.</t>
  </si>
  <si>
    <t>大好き</t>
  </si>
  <si>
    <t>だいすき</t>
  </si>
  <si>
    <t>大好[だいす]き</t>
  </si>
  <si>
    <t>rất thích</t>
  </si>
  <si>
    <t>ケーキが大好きだ。</t>
  </si>
  <si>
    <t>Tôi rất thích bánh ngọt.</t>
  </si>
  <si>
    <t>回復</t>
  </si>
  <si>
    <t>かいふく</t>
  </si>
  <si>
    <t>回復[かいふく]</t>
  </si>
  <si>
    <t>hồi phục</t>
  </si>
  <si>
    <t>病気が回復する。</t>
  </si>
  <si>
    <t>Bệnh tình đang hồi phục.</t>
  </si>
  <si>
    <t>能力</t>
  </si>
  <si>
    <t>のうりょく</t>
  </si>
  <si>
    <t>能力[のうりょく]</t>
  </si>
  <si>
    <t>năng lực</t>
  </si>
  <si>
    <t>能力を伸ばす。</t>
  </si>
  <si>
    <t>Tôi phát triển năng lực.</t>
  </si>
  <si>
    <t>音</t>
  </si>
  <si>
    <t>おと</t>
  </si>
  <si>
    <t>音[おと]</t>
  </si>
  <si>
    <t>âm thanh</t>
  </si>
  <si>
    <t>大きな音がする。</t>
  </si>
  <si>
    <t>Có âm thanh lớn phát ra.</t>
  </si>
  <si>
    <t>土曜日</t>
  </si>
  <si>
    <t>どようび</t>
  </si>
  <si>
    <t>土曜日[どようび]</t>
  </si>
  <si>
    <t>thứ bảy</t>
  </si>
  <si>
    <t>土曜日に遊ぶ。</t>
  </si>
  <si>
    <t>Tôi đi chơi vào thứ bảy.</t>
  </si>
  <si>
    <t>秋</t>
  </si>
  <si>
    <t>あき</t>
  </si>
  <si>
    <t>秋[あき]</t>
  </si>
  <si>
    <t>mùa thu</t>
  </si>
  <si>
    <t>秋は読書の季節だ。</t>
  </si>
  <si>
    <t>Mùa thu là mùa đọc sách.</t>
  </si>
  <si>
    <t>頼む</t>
  </si>
  <si>
    <t>たのむ</t>
  </si>
  <si>
    <t>頼[たの]む</t>
  </si>
  <si>
    <t>nhờ cậy</t>
  </si>
  <si>
    <t>友人に仕事をお願いする。</t>
  </si>
  <si>
    <t>Tôi nhờ bạn bè làm việc.</t>
  </si>
  <si>
    <t>そのため</t>
  </si>
  <si>
    <t>病気だ。そのため休む。</t>
  </si>
  <si>
    <t>Tôi bị bệnh, do đó tôi nghỉ.</t>
  </si>
  <si>
    <t>週</t>
  </si>
  <si>
    <t>しゅう</t>
  </si>
  <si>
    <t>週[しゅう]</t>
  </si>
  <si>
    <t>tuần</t>
  </si>
  <si>
    <t>今週の予定だ。</t>
  </si>
  <si>
    <t>Lịch trình của tuần này.</t>
  </si>
  <si>
    <t>それでも</t>
  </si>
  <si>
    <t>mặc dù vậy</t>
  </si>
  <si>
    <t>雨。それでも行く。</t>
  </si>
  <si>
    <t>Trời mưa, mặc dù vậy tôi vẫn đi.</t>
  </si>
  <si>
    <t>事務所</t>
  </si>
  <si>
    <t>じむしょ</t>
  </si>
  <si>
    <t>事務所[じむしょ]</t>
  </si>
  <si>
    <t>văn phòng</t>
  </si>
  <si>
    <t>事務所で働く。</t>
  </si>
  <si>
    <t>Làm việc tại văn phòng.</t>
  </si>
  <si>
    <t>以前</t>
  </si>
  <si>
    <t>いぜん</t>
  </si>
  <si>
    <t>以前[いぜん]</t>
  </si>
  <si>
    <t>trước đây</t>
  </si>
  <si>
    <t>以前住んでいた。</t>
  </si>
  <si>
    <t>Trước đây tôi đã từng sống.</t>
  </si>
  <si>
    <t>一般</t>
  </si>
  <si>
    <t>いっぱん</t>
  </si>
  <si>
    <t>一般[いっぱん]</t>
  </si>
  <si>
    <t>phổ biến</t>
  </si>
  <si>
    <t>一般の人が使う。</t>
  </si>
  <si>
    <t>Người dân phổ biến sử dụng.</t>
  </si>
  <si>
    <t>集める</t>
  </si>
  <si>
    <t>あつめる</t>
  </si>
  <si>
    <t>集[あつ]める</t>
  </si>
  <si>
    <t>thu thập</t>
  </si>
  <si>
    <t>最新の情報を集める。</t>
  </si>
  <si>
    <t>Tôi thu thập thông tin mới nhất.</t>
  </si>
  <si>
    <t>容易</t>
  </si>
  <si>
    <t>ようい</t>
  </si>
  <si>
    <t>容易[ようい]</t>
  </si>
  <si>
    <t>dễ dàng</t>
  </si>
  <si>
    <t>容易に解決する。</t>
  </si>
  <si>
    <t>Tôi giải quyết dễ dàng.</t>
  </si>
  <si>
    <t>面白い</t>
  </si>
  <si>
    <t>おもしろい</t>
  </si>
  <si>
    <t>面白[おもしろ]い</t>
  </si>
  <si>
    <t>thú vị</t>
  </si>
  <si>
    <t>面白い映画が好きだ。</t>
  </si>
  <si>
    <t>Tôi thích phim thú vị.</t>
  </si>
  <si>
    <t>食事</t>
  </si>
  <si>
    <t>しょくじ</t>
  </si>
  <si>
    <t>食事[しょくじ]</t>
  </si>
  <si>
    <t>bữa ăn</t>
  </si>
  <si>
    <t>一緒に食事をする。</t>
  </si>
  <si>
    <t>Tôi dùng bữa cùng nhau.</t>
  </si>
  <si>
    <t>者</t>
  </si>
  <si>
    <t>者[もの]</t>
  </si>
  <si>
    <t>責任者。</t>
  </si>
  <si>
    <t>Người chịu trách nhiệm.</t>
  </si>
  <si>
    <t>どんなに</t>
  </si>
  <si>
    <t>đến mức nào</t>
  </si>
  <si>
    <t>どんなに苦しくても。</t>
  </si>
  <si>
    <t>Dù khổ sở đến mức nào.</t>
  </si>
  <si>
    <t>いきなり</t>
  </si>
  <si>
    <t>いきなり雨が降ってきた。</t>
  </si>
  <si>
    <t>Đột nhiên trời đổ mưa.</t>
  </si>
  <si>
    <t>全国</t>
  </si>
  <si>
    <t>ぜんこく</t>
  </si>
  <si>
    <t>全国[ぜんこく]</t>
  </si>
  <si>
    <t>toàn quốc</t>
  </si>
  <si>
    <t>全国を旅行する。</t>
  </si>
  <si>
    <t>Tôi du lịch toàn quốc.</t>
  </si>
  <si>
    <t>戦う</t>
  </si>
  <si>
    <t>たたかう</t>
  </si>
  <si>
    <t>戦[たたか]う</t>
  </si>
  <si>
    <t>chiến đấu</t>
  </si>
  <si>
    <t>敵と戦う。</t>
  </si>
  <si>
    <t>Tôi chiến đấu với kẻ thù.</t>
  </si>
  <si>
    <t>精神</t>
  </si>
  <si>
    <t>せいしん</t>
  </si>
  <si>
    <t>精神[せいしん]</t>
  </si>
  <si>
    <t>精神を安定させる。</t>
  </si>
  <si>
    <t>Tôi ổn định tinh thần.</t>
  </si>
  <si>
    <t>関連</t>
  </si>
  <si>
    <t>かんれん</t>
  </si>
  <si>
    <t>関連[かんれん]</t>
  </si>
  <si>
    <t>関連する書類だ。</t>
  </si>
  <si>
    <t>Là tài liệu liên quan.</t>
  </si>
  <si>
    <t>アップ</t>
  </si>
  <si>
    <t>あっぷ</t>
  </si>
  <si>
    <t>売上がアップした。</t>
  </si>
  <si>
    <t>Doanh thu đã tăng lên.</t>
  </si>
  <si>
    <t>内容</t>
  </si>
  <si>
    <t>ないよう</t>
  </si>
  <si>
    <t>内容[ないよう]</t>
  </si>
  <si>
    <t>nội dung</t>
  </si>
  <si>
    <t>内容を確認する。</t>
  </si>
  <si>
    <t>Tôi xác nhận nội dung.</t>
  </si>
  <si>
    <t>願う</t>
  </si>
  <si>
    <t>ねがう</t>
  </si>
  <si>
    <t>願[ねが]う</t>
  </si>
  <si>
    <t>mong ước</t>
  </si>
  <si>
    <t>健康を願う。</t>
  </si>
  <si>
    <t>Tôi mong ước sức khỏe.</t>
  </si>
  <si>
    <t>ひどい</t>
  </si>
  <si>
    <t>tồi tệ</t>
  </si>
  <si>
    <t>ひどい天気だ。</t>
  </si>
  <si>
    <t>Thời tiết thật tồi tệ.</t>
  </si>
  <si>
    <t>低い</t>
  </si>
  <si>
    <t>ひくい</t>
  </si>
  <si>
    <t>低[ひく]い</t>
  </si>
  <si>
    <t>thấp</t>
  </si>
  <si>
    <t>低い山に登る。</t>
  </si>
  <si>
    <t>Tôi leo ngọn núi thấp.</t>
  </si>
  <si>
    <t>ドラマ</t>
  </si>
  <si>
    <t>どらま</t>
  </si>
  <si>
    <t>phim truyền hình</t>
  </si>
  <si>
    <t>ドラマを見る。</t>
  </si>
  <si>
    <t>Tôi xem phim truyền hình.</t>
  </si>
  <si>
    <t>中学校</t>
  </si>
  <si>
    <t>ちゅうがっこう</t>
  </si>
  <si>
    <t>中学校[ちゅうがっこう]</t>
  </si>
  <si>
    <t>trường trung học</t>
  </si>
  <si>
    <t>中学校に入る。</t>
  </si>
  <si>
    <t>Tôi vào trường trung học.</t>
  </si>
  <si>
    <t>それほど</t>
  </si>
  <si>
    <t>đến mức đó</t>
  </si>
  <si>
    <t>それほど難しくない。</t>
  </si>
  <si>
    <t>Không khó đến mức đó.</t>
  </si>
  <si>
    <t>信じる</t>
  </si>
  <si>
    <t>しんじる</t>
  </si>
  <si>
    <t>信[しん]じる</t>
  </si>
  <si>
    <t>tin tưởng</t>
  </si>
  <si>
    <t>彼を信じる。</t>
  </si>
  <si>
    <t>Tôi tin tưởng anh ấy.</t>
  </si>
  <si>
    <t>状況</t>
  </si>
  <si>
    <t>じょうきょう</t>
  </si>
  <si>
    <t>状況[じょうきょう]</t>
  </si>
  <si>
    <t>tình hình</t>
  </si>
  <si>
    <t>状況を説明する。</t>
  </si>
  <si>
    <t>Giải thích tình hình.</t>
  </si>
  <si>
    <t>素晴らしい</t>
  </si>
  <si>
    <t>すばらしい</t>
  </si>
  <si>
    <t>素晴[すば]らしい</t>
  </si>
  <si>
    <t>素晴らしい景色だ。</t>
  </si>
  <si>
    <t>Phong cảnh tuyệt vời.</t>
  </si>
  <si>
    <t>そば</t>
  </si>
  <si>
    <t>bên cạnh</t>
  </si>
  <si>
    <t>駅のそばに住む。</t>
  </si>
  <si>
    <t>Tôi sống bên cạnh nhà ga.</t>
  </si>
  <si>
    <t>デザイン</t>
  </si>
  <si>
    <t>でざいん</t>
  </si>
  <si>
    <t>thiết kế</t>
  </si>
  <si>
    <t>デザインを考える。</t>
  </si>
  <si>
    <t>Suy nghĩ về thiết kế.</t>
  </si>
  <si>
    <t>一応</t>
  </si>
  <si>
    <t>いちおう</t>
  </si>
  <si>
    <t>一応[いちおう]</t>
  </si>
  <si>
    <t>tạm thời</t>
  </si>
  <si>
    <t>一応理解した。</t>
  </si>
  <si>
    <t>Tạm thời tôi đã hiểu.</t>
  </si>
  <si>
    <t>しかも</t>
  </si>
  <si>
    <t>安い。しかもおいしい。</t>
  </si>
  <si>
    <t>Đồ rẻ, hơn nữa lại ngon.</t>
  </si>
  <si>
    <t>できるだけ</t>
  </si>
  <si>
    <t>できるだけ早く行く。</t>
  </si>
  <si>
    <t>Tôi đi nhanh nhất có thể.</t>
  </si>
  <si>
    <t>利用</t>
  </si>
  <si>
    <t>りよう</t>
  </si>
  <si>
    <t>利用[りよう]</t>
  </si>
  <si>
    <t>図書館を利用する。</t>
  </si>
  <si>
    <t>Tôi sử dụng thư viện.</t>
  </si>
  <si>
    <t>忙しい</t>
  </si>
  <si>
    <t>いそがしい</t>
  </si>
  <si>
    <t>忙[いそが]しい</t>
  </si>
  <si>
    <t>bận rộn</t>
  </si>
  <si>
    <t>毎日忙しい。</t>
  </si>
  <si>
    <t>Mỗi ngày đều bận rộn.</t>
  </si>
  <si>
    <t>タイプ</t>
  </si>
  <si>
    <t>たいぷ</t>
  </si>
  <si>
    <t>kiểu</t>
  </si>
  <si>
    <t>好きなタイプだ。</t>
  </si>
  <si>
    <t>Đó là kiểu tôi thích.</t>
  </si>
  <si>
    <t>組</t>
  </si>
  <si>
    <t>くみ</t>
  </si>
  <si>
    <t>組[くみ]</t>
  </si>
  <si>
    <t>tổ</t>
  </si>
  <si>
    <t>二人の組を作る。</t>
  </si>
  <si>
    <t>Tôi lập tổ hai người.</t>
  </si>
  <si>
    <t>方法</t>
  </si>
  <si>
    <t>ほうほう</t>
  </si>
  <si>
    <t>方法[ほうほう]</t>
  </si>
  <si>
    <t>phương pháp</t>
  </si>
  <si>
    <t>方法を教える。</t>
  </si>
  <si>
    <t>Tôi chỉ phương pháp.</t>
  </si>
  <si>
    <t>ちゃんと</t>
  </si>
  <si>
    <t>đàng hoàng</t>
  </si>
  <si>
    <t>ちゃんと挨拶する。</t>
  </si>
  <si>
    <t>Tôi chào hỏi đàng hoàng.</t>
  </si>
  <si>
    <t>モデル</t>
  </si>
  <si>
    <t>もでる</t>
  </si>
  <si>
    <t>người mẫu</t>
  </si>
  <si>
    <t>モデルのような人。</t>
  </si>
  <si>
    <t>Người như người mẫu.</t>
  </si>
  <si>
    <t>練習</t>
  </si>
  <si>
    <t>れんしゅう</t>
  </si>
  <si>
    <t>練習[れんしゅう]</t>
  </si>
  <si>
    <t>luyện tập</t>
  </si>
  <si>
    <t>ピアノの練習をする。</t>
  </si>
  <si>
    <t>Tôi luyện tập đàn piano.</t>
  </si>
  <si>
    <t>都合</t>
  </si>
  <si>
    <t>つごう</t>
  </si>
  <si>
    <t>都合[つごう]</t>
  </si>
  <si>
    <t>hoàn cảnh</t>
  </si>
  <si>
    <t>都合がいい。</t>
  </si>
  <si>
    <t>Hoàn cảnh thuận lợi.</t>
  </si>
  <si>
    <t>終わり</t>
  </si>
  <si>
    <t>おわり</t>
  </si>
  <si>
    <t>終[お]わり</t>
  </si>
  <si>
    <t>物語の終わり。</t>
  </si>
  <si>
    <t>Kết thúc câu chuyện.</t>
  </si>
  <si>
    <t>進む</t>
  </si>
  <si>
    <t>すすむ</t>
  </si>
  <si>
    <t>進[すす]む</t>
  </si>
  <si>
    <t>tiến lên</t>
  </si>
  <si>
    <t>前に進む。</t>
  </si>
  <si>
    <t>Tiến lên phía trước.</t>
  </si>
  <si>
    <t>組織</t>
  </si>
  <si>
    <t>そしき</t>
  </si>
  <si>
    <t>組織[そしき]</t>
  </si>
  <si>
    <t>tổ chức</t>
  </si>
  <si>
    <t>組織を拡大する。</t>
  </si>
  <si>
    <t>Tôi mở rộng tổ chức.</t>
  </si>
  <si>
    <t>覚える</t>
  </si>
  <si>
    <t>おぼえる</t>
  </si>
  <si>
    <t>覚[おぼ]える</t>
  </si>
  <si>
    <t>ghi nhớ</t>
  </si>
  <si>
    <t>新しい単語を覚える。</t>
  </si>
  <si>
    <t>Tôi ghi nhớ từ vựng mới.</t>
  </si>
  <si>
    <t>結構</t>
  </si>
  <si>
    <t>けっこう</t>
  </si>
  <si>
    <t>結構[けっこう]</t>
  </si>
  <si>
    <t>được</t>
  </si>
  <si>
    <t>これで結構です。</t>
  </si>
  <si>
    <t>Thế này là được rồi.</t>
  </si>
  <si>
    <t>降る</t>
  </si>
  <si>
    <t>降[ふ]る</t>
  </si>
  <si>
    <t>rơi</t>
  </si>
  <si>
    <t>午後から雨が降る。</t>
  </si>
  <si>
    <t>Từ chiều mưa sẽ rơi.</t>
  </si>
  <si>
    <t>動く</t>
  </si>
  <si>
    <t>うごく</t>
  </si>
  <si>
    <t>動[うご]く</t>
  </si>
  <si>
    <t>体が動く。</t>
  </si>
  <si>
    <t>Cơ thể chuyển động.</t>
  </si>
  <si>
    <t>ストレス</t>
  </si>
  <si>
    <t>すとれす</t>
  </si>
  <si>
    <t>căng thẳng</t>
  </si>
  <si>
    <t>ストレスがたまる。</t>
  </si>
  <si>
    <t>Tích tụ căng thẳng.</t>
  </si>
  <si>
    <t>交通</t>
  </si>
  <si>
    <t>こうつう</t>
  </si>
  <si>
    <t>交通[こうつう]</t>
  </si>
  <si>
    <t>giao thông</t>
  </si>
  <si>
    <t>交通ルール。</t>
  </si>
  <si>
    <t>Quy tắc giao thông.</t>
  </si>
  <si>
    <t>事情</t>
  </si>
  <si>
    <t>じじょう</t>
  </si>
  <si>
    <t>事情[じじょう]</t>
  </si>
  <si>
    <t>事情がある。</t>
  </si>
  <si>
    <t>Có hoàn cảnh riêng.</t>
  </si>
  <si>
    <t>突然</t>
  </si>
  <si>
    <t>とつぜん</t>
  </si>
  <si>
    <t>突然[とつぜん]</t>
  </si>
  <si>
    <t>突然雨が降った。</t>
  </si>
  <si>
    <t>認める</t>
  </si>
  <si>
    <t>みとめる</t>
  </si>
  <si>
    <t>認[みと]める</t>
  </si>
  <si>
    <t>công nhận</t>
  </si>
  <si>
    <t>才能を認める。</t>
  </si>
  <si>
    <t>Tôi công nhận tài năng.</t>
  </si>
  <si>
    <t>席</t>
  </si>
  <si>
    <t>せき</t>
  </si>
  <si>
    <t>席[せき]</t>
  </si>
  <si>
    <t>chỗ ngồi</t>
  </si>
  <si>
    <t>空いている席に座る。</t>
  </si>
  <si>
    <t>Ngồi vào chỗ trống.</t>
  </si>
  <si>
    <t>数</t>
  </si>
  <si>
    <t>かず</t>
  </si>
  <si>
    <t>数[かず]</t>
  </si>
  <si>
    <t>số lượng</t>
  </si>
  <si>
    <t>数が多い。</t>
  </si>
  <si>
    <t>Số lượng rất nhiều.</t>
  </si>
  <si>
    <t>西</t>
  </si>
  <si>
    <t>にし</t>
  </si>
  <si>
    <t>西[にし]</t>
  </si>
  <si>
    <t>phía tây</t>
  </si>
  <si>
    <t>西へ行く。</t>
  </si>
  <si>
    <t>Tôi đi về phía tây.</t>
  </si>
  <si>
    <t>当時</t>
  </si>
  <si>
    <t>とうじ</t>
  </si>
  <si>
    <t>当時[とうじ]</t>
  </si>
  <si>
    <t>lúc đó</t>
  </si>
  <si>
    <t>当時は忙しい。</t>
  </si>
  <si>
    <t>Lúc đó tôi rất bận.</t>
  </si>
  <si>
    <t>すると</t>
  </si>
  <si>
    <t>thế là</t>
  </si>
  <si>
    <t>すると彼は笑った。</t>
  </si>
  <si>
    <t>Thế là anh ấy cười.</t>
  </si>
  <si>
    <t>対</t>
  </si>
  <si>
    <t>たい</t>
  </si>
  <si>
    <t>対[たい]</t>
  </si>
  <si>
    <t>đối</t>
  </si>
  <si>
    <t>チームの対戦。</t>
  </si>
  <si>
    <t>Sự đối đầu của đội.</t>
  </si>
  <si>
    <t>男</t>
  </si>
  <si>
    <t>おとこ</t>
  </si>
  <si>
    <t>男[おとこ]</t>
  </si>
  <si>
    <t>nam</t>
  </si>
  <si>
    <t>男の人が走る。</t>
  </si>
  <si>
    <t>Người đàn ông chạy.</t>
  </si>
  <si>
    <t>過ぎる</t>
  </si>
  <si>
    <t>すぎる</t>
  </si>
  <si>
    <t>過[す]ぎる</t>
  </si>
  <si>
    <t>quá</t>
  </si>
  <si>
    <t>時間が過ぎる。</t>
  </si>
  <si>
    <t>Thời gian trôi qua.</t>
  </si>
  <si>
    <t>環境</t>
  </si>
  <si>
    <t>かんきょう</t>
  </si>
  <si>
    <t>環境[かんきょう]</t>
  </si>
  <si>
    <t>môi trường</t>
  </si>
  <si>
    <t>環境を守る。</t>
  </si>
  <si>
    <t>Bảo vệ môi trường.</t>
  </si>
  <si>
    <t>きちんと</t>
  </si>
  <si>
    <t>ngay ngắn</t>
  </si>
  <si>
    <t>きちんと整理する。</t>
  </si>
  <si>
    <t>Tôi sắp xếp ngay ngắn.</t>
  </si>
  <si>
    <t>今月</t>
  </si>
  <si>
    <t>こんげつ</t>
  </si>
  <si>
    <t>今月[こんげつ]</t>
  </si>
  <si>
    <t>tháng này</t>
  </si>
  <si>
    <t>今月は忙しい。</t>
  </si>
  <si>
    <t>Tháng này rất bận.</t>
  </si>
  <si>
    <t>例えば</t>
  </si>
  <si>
    <t>たとえば</t>
  </si>
  <si>
    <t>例[たと]えば</t>
  </si>
  <si>
    <t>ví dụ như</t>
  </si>
  <si>
    <t>例えばこれです。</t>
  </si>
  <si>
    <t>Ví dụ như cái này.</t>
  </si>
  <si>
    <t>元気</t>
  </si>
  <si>
    <t>げんき</t>
  </si>
  <si>
    <t>元気[げんき]</t>
  </si>
  <si>
    <t>khỏe mạnh</t>
  </si>
  <si>
    <t>元気な子供。</t>
  </si>
  <si>
    <t>Đứa trẻ khỏe mạnh.</t>
  </si>
  <si>
    <t>思い出す</t>
  </si>
  <si>
    <t>おもいだす</t>
  </si>
  <si>
    <t>思[おも]い出[だ]す</t>
  </si>
  <si>
    <t>nhớ lại</t>
  </si>
  <si>
    <t>故郷を思い出す。</t>
  </si>
  <si>
    <t>Tôi nhớ lại quê hương.</t>
  </si>
  <si>
    <t>態度</t>
  </si>
  <si>
    <t>たいど</t>
  </si>
  <si>
    <t>態度[たいど]</t>
  </si>
  <si>
    <t>thái độ</t>
  </si>
  <si>
    <t>冷静な態度。</t>
  </si>
  <si>
    <t>Thái độ bình tĩnh.</t>
  </si>
  <si>
    <t>テーマ</t>
  </si>
  <si>
    <t>てーま</t>
  </si>
  <si>
    <t>chủ đề</t>
  </si>
  <si>
    <t>テーマを決める。</t>
  </si>
  <si>
    <t>Quyết định chủ đề.</t>
  </si>
  <si>
    <t>紙</t>
  </si>
  <si>
    <t>紙[かみ]</t>
  </si>
  <si>
    <t>giấy</t>
  </si>
  <si>
    <t>紙に書く。</t>
  </si>
  <si>
    <t>Tôi viết lên giấy.</t>
  </si>
  <si>
    <t>チーム</t>
  </si>
  <si>
    <t>ちーむ</t>
  </si>
  <si>
    <t>đội</t>
  </si>
  <si>
    <t>チームで協力する。</t>
  </si>
  <si>
    <t>Tôi hợp tác trong đội.</t>
  </si>
  <si>
    <t>説明</t>
  </si>
  <si>
    <t>せつめい</t>
  </si>
  <si>
    <t>説明[せつめい]</t>
  </si>
  <si>
    <t>giải thích</t>
  </si>
  <si>
    <t>理由を説明する。</t>
  </si>
  <si>
    <t>Tôi giải thích lý do.</t>
  </si>
  <si>
    <t>中央</t>
  </si>
  <si>
    <t>ちゅうおう</t>
  </si>
  <si>
    <t>中央[ちゅうおう]</t>
  </si>
  <si>
    <t>中央で止まる。</t>
  </si>
  <si>
    <t>Dừng ở trung tâm.</t>
  </si>
  <si>
    <t>今後</t>
  </si>
  <si>
    <t>こんご</t>
  </si>
  <si>
    <t>今後[こんご]</t>
  </si>
  <si>
    <t>今後注意する。</t>
  </si>
  <si>
    <t>Sau này sẽ chú ý.</t>
  </si>
  <si>
    <t>常に</t>
  </si>
  <si>
    <t>つねに</t>
  </si>
  <si>
    <t>常[つね]に</t>
  </si>
  <si>
    <t>常に努力する。</t>
  </si>
  <si>
    <t>Tôi luôn luôn nỗ lực.</t>
  </si>
  <si>
    <t>きっかけ</t>
  </si>
  <si>
    <t>cơ duyên</t>
  </si>
  <si>
    <t>日本へ行くきっかけ。</t>
  </si>
  <si>
    <t>Cơ duyên đi Nhật.</t>
  </si>
  <si>
    <t>バッグ</t>
  </si>
  <si>
    <t>ばっぐ</t>
  </si>
  <si>
    <t>túi xách</t>
  </si>
  <si>
    <t>新しいバッグを買う。</t>
  </si>
  <si>
    <t>Mua túi xách mới.</t>
  </si>
  <si>
    <t>ルール</t>
  </si>
  <si>
    <t>るーる</t>
  </si>
  <si>
    <t>quy tắc</t>
  </si>
  <si>
    <t>ルールを守る。</t>
  </si>
  <si>
    <t>Tôi tuân thủ quy tắc.</t>
  </si>
  <si>
    <t>実</t>
  </si>
  <si>
    <t>じつ</t>
  </si>
  <si>
    <t>実[じつ]</t>
  </si>
  <si>
    <t>実を結ぶ。</t>
  </si>
  <si>
    <t>Kết quả đạt được.</t>
  </si>
  <si>
    <t>型</t>
  </si>
  <si>
    <t>型[かた]</t>
  </si>
  <si>
    <t>新しい型を作る。</t>
  </si>
  <si>
    <t>Tôi tạo kiểu mới.</t>
  </si>
  <si>
    <t>手伝う</t>
  </si>
  <si>
    <t>てつだう</t>
  </si>
  <si>
    <t>手伝[てつだ]う</t>
  </si>
  <si>
    <t>giúp</t>
  </si>
  <si>
    <t>宿題を手伝う。</t>
  </si>
  <si>
    <t>Tôi giúp làm bài tập.</t>
  </si>
  <si>
    <t>おじいさん</t>
  </si>
  <si>
    <t>ông</t>
  </si>
  <si>
    <t>おじいさんは優しい。</t>
  </si>
  <si>
    <t>Ông tôi rất hiền.</t>
  </si>
  <si>
    <t>為</t>
  </si>
  <si>
    <t>ため</t>
  </si>
  <si>
    <t>為[ため]</t>
  </si>
  <si>
    <t>健康のために走る。</t>
  </si>
  <si>
    <t>Tôi chạy vì sức khỏe.</t>
  </si>
  <si>
    <t>小学校</t>
  </si>
  <si>
    <t>しょうがっこう</t>
  </si>
  <si>
    <t>小学校[しょうがっこう]</t>
  </si>
  <si>
    <t>trường tiểu học</t>
  </si>
  <si>
    <t>小学校に通う。</t>
  </si>
  <si>
    <t>Tôi đi học tiểu học.</t>
  </si>
  <si>
    <t>メンバー</t>
  </si>
  <si>
    <t>めんばー</t>
  </si>
  <si>
    <t>thành viên</t>
  </si>
  <si>
    <t>メンバーを選ぶ。</t>
  </si>
  <si>
    <t>Tôi chọn thành viên.</t>
  </si>
  <si>
    <t>ケーキ</t>
  </si>
  <si>
    <t>けーき</t>
  </si>
  <si>
    <t>bánh ngọt</t>
  </si>
  <si>
    <t>ケーキを焼く。</t>
  </si>
  <si>
    <t>Tôi nướng bánh ngọt.</t>
  </si>
  <si>
    <t>人気</t>
  </si>
  <si>
    <t>にんき</t>
  </si>
  <si>
    <t>人気[にんき]</t>
  </si>
  <si>
    <t>nổi tiếng</t>
  </si>
  <si>
    <t>人気がある。</t>
  </si>
  <si>
    <t>Có sự nổi tiếng.</t>
  </si>
  <si>
    <t>レストラン</t>
  </si>
  <si>
    <t>れすとらん</t>
  </si>
  <si>
    <t>nhà hàng</t>
  </si>
  <si>
    <t>レストランへ行く。</t>
  </si>
  <si>
    <t>Tôi đi đến nhà hàng.</t>
  </si>
  <si>
    <t>並ぶ</t>
  </si>
  <si>
    <t>ならぶ</t>
  </si>
  <si>
    <t>並[なら]ぶ</t>
  </si>
  <si>
    <t>xếp hàng</t>
  </si>
  <si>
    <t>切符を並ぶ。</t>
  </si>
  <si>
    <t>Tôi xếp hàng mua vé.</t>
  </si>
  <si>
    <t>契約</t>
  </si>
  <si>
    <t>けいやく</t>
  </si>
  <si>
    <t>契約[けいやく]</t>
  </si>
  <si>
    <t>hợp đồng</t>
  </si>
  <si>
    <t>契約を結ぶ。</t>
  </si>
  <si>
    <t>Tôi ký hợp đồng.</t>
  </si>
  <si>
    <t>見つける</t>
  </si>
  <si>
    <t>みつける</t>
  </si>
  <si>
    <t>見[み]つける</t>
  </si>
  <si>
    <t>tìm thấy</t>
  </si>
  <si>
    <t>財布を見つける。</t>
  </si>
  <si>
    <t>Tôi tìm thấy ví.</t>
  </si>
  <si>
    <t>初めて</t>
  </si>
  <si>
    <t>はじめて</t>
  </si>
  <si>
    <t>初[はじ]めて</t>
  </si>
  <si>
    <t>lần đầu</t>
  </si>
  <si>
    <t>初めて会う。</t>
  </si>
  <si>
    <t>Tôi gặp lần đầu.</t>
  </si>
  <si>
    <t>十</t>
  </si>
  <si>
    <t>じゅう</t>
  </si>
  <si>
    <t>十[じゅう]</t>
  </si>
  <si>
    <t>số mười</t>
  </si>
  <si>
    <t>十を数える。</t>
  </si>
  <si>
    <t>Tôi đếm số mười.</t>
  </si>
  <si>
    <t>応じる</t>
  </si>
  <si>
    <t>おうじる</t>
  </si>
  <si>
    <t>応[おう]じる</t>
  </si>
  <si>
    <t>đáp ứng</t>
  </si>
  <si>
    <t>要求に応じる。</t>
  </si>
  <si>
    <t>Tôi đáp ứng yêu cầu.</t>
  </si>
  <si>
    <t>戻す</t>
  </si>
  <si>
    <t>もどす</t>
  </si>
  <si>
    <t>戻[もど]す</t>
  </si>
  <si>
    <t>trả lại</t>
  </si>
  <si>
    <t>本を棚に戻す。</t>
  </si>
  <si>
    <t>Tôi trả sách lại kệ.</t>
  </si>
  <si>
    <t>約束</t>
  </si>
  <si>
    <t>やくそく</t>
  </si>
  <si>
    <t>約束[やくそく]</t>
  </si>
  <si>
    <t>lời hứa</t>
  </si>
  <si>
    <t>約束を守る。</t>
  </si>
  <si>
    <t>Tôi giữ lời hứa.</t>
  </si>
  <si>
    <t>自動車</t>
  </si>
  <si>
    <t>じどうしゃ</t>
  </si>
  <si>
    <t>自動車[じどうしゃ]</t>
  </si>
  <si>
    <t>xe ô tô</t>
  </si>
  <si>
    <t>自動車を運転する。</t>
  </si>
  <si>
    <t>Tôi lái xe ô tô.</t>
  </si>
  <si>
    <t>ベッド</t>
  </si>
  <si>
    <t>べっど</t>
  </si>
  <si>
    <t>giường</t>
  </si>
  <si>
    <t>ベッドで寝る。</t>
  </si>
  <si>
    <t>Tôi ngủ trên giường.</t>
  </si>
  <si>
    <t>全て</t>
  </si>
  <si>
    <t>すべて</t>
  </si>
  <si>
    <t>全[すべ]て</t>
  </si>
  <si>
    <t>tất cả</t>
  </si>
  <si>
    <t>全てを知る。</t>
  </si>
  <si>
    <t>Tôi biết tất cả.</t>
  </si>
  <si>
    <t>十分</t>
  </si>
  <si>
    <t>じゅうぶん</t>
  </si>
  <si>
    <t>十分[じゅうぶん]</t>
  </si>
  <si>
    <t>đầy đủ</t>
  </si>
  <si>
    <t>十分な量。</t>
  </si>
  <si>
    <t>Số lượng đầy đủ.</t>
  </si>
  <si>
    <t>注意</t>
  </si>
  <si>
    <t>ちゅうい</t>
  </si>
  <si>
    <t>注意[ちゅうい]</t>
  </si>
  <si>
    <t>chú ý</t>
  </si>
  <si>
    <t>車に注意してください。</t>
  </si>
  <si>
    <t>Hãy chú ý xe cộ.</t>
  </si>
  <si>
    <t>走る</t>
  </si>
  <si>
    <t>はしる</t>
  </si>
  <si>
    <t>走[はし]る</t>
  </si>
  <si>
    <t>chạy</t>
  </si>
  <si>
    <t>道を走る。</t>
  </si>
  <si>
    <t>Chạy trên đường.</t>
  </si>
  <si>
    <t>もうすぐ</t>
  </si>
  <si>
    <t>sắp</t>
  </si>
  <si>
    <t>もうすぐ着く。</t>
  </si>
  <si>
    <t>Sắp đến nơi rồi.</t>
  </si>
  <si>
    <t>送る</t>
  </si>
  <si>
    <t>おくる</t>
  </si>
  <si>
    <t>送[おく]る</t>
  </si>
  <si>
    <t>gửi</t>
  </si>
  <si>
    <t>メールを送る。</t>
  </si>
  <si>
    <t>Tôi gửi thư điện tử.</t>
  </si>
  <si>
    <t>彼ら</t>
  </si>
  <si>
    <t>かれら</t>
  </si>
  <si>
    <t>彼[かれ]ら</t>
  </si>
  <si>
    <t>họ</t>
  </si>
  <si>
    <t>彼らは学生だ。</t>
  </si>
  <si>
    <t>Họ là sinh viên.</t>
  </si>
  <si>
    <t>なにも</t>
  </si>
  <si>
    <t>không gì</t>
  </si>
  <si>
    <t>なにもない。</t>
  </si>
  <si>
    <t>Không có gì cả.</t>
  </si>
  <si>
    <t>バランス</t>
  </si>
  <si>
    <t>ばらんす</t>
  </si>
  <si>
    <t>cân bằng</t>
  </si>
  <si>
    <t>バランスを取る。</t>
  </si>
  <si>
    <t>Tôi giữ thăng bằng.</t>
  </si>
  <si>
    <t>ゆっくりと</t>
  </si>
  <si>
    <t>chậm rãi</t>
  </si>
  <si>
    <t>ゆっくりと歩く。</t>
  </si>
  <si>
    <t>Đi bộ chậm rãi.</t>
  </si>
  <si>
    <t>代わり</t>
  </si>
  <si>
    <t>かわり</t>
  </si>
  <si>
    <t>代[か]わり</t>
  </si>
  <si>
    <t>thay thế</t>
  </si>
  <si>
    <t>代わりの人。</t>
  </si>
  <si>
    <t>Người thay thế.</t>
  </si>
  <si>
    <t>与える</t>
  </si>
  <si>
    <t>あたえる</t>
  </si>
  <si>
    <t>与[あた]える</t>
  </si>
  <si>
    <t>ban cho</t>
  </si>
  <si>
    <t>機会を与える。</t>
  </si>
  <si>
    <t>Tôi ban cho cơ hội.</t>
  </si>
  <si>
    <t>主に</t>
  </si>
  <si>
    <t>おもに</t>
  </si>
  <si>
    <t>主[おも]に</t>
  </si>
  <si>
    <t>chủ yếu</t>
  </si>
  <si>
    <t>主に野菜。</t>
  </si>
  <si>
    <t>Chủ yếu là rau.</t>
  </si>
  <si>
    <t>事件</t>
  </si>
  <si>
    <t>じけん</t>
  </si>
  <si>
    <t>事件[じけん]</t>
  </si>
  <si>
    <t>sự kiện</t>
  </si>
  <si>
    <t>事件が起きる。</t>
  </si>
  <si>
    <t>Sự kiện xảy ra.</t>
  </si>
  <si>
    <t>どこか</t>
  </si>
  <si>
    <t>đâu đó</t>
  </si>
  <si>
    <t>どこかへ行きたい。</t>
  </si>
  <si>
    <t>Tôi muốn đi đâu đó.</t>
  </si>
  <si>
    <t>うるさい</t>
  </si>
  <si>
    <t>ồn ào</t>
  </si>
  <si>
    <t>音楽がうるさいです。</t>
  </si>
  <si>
    <t>Nhạc ồn ào quá.</t>
  </si>
  <si>
    <t>理由</t>
  </si>
  <si>
    <t>りゆう</t>
  </si>
  <si>
    <t>理由[りゆう]</t>
  </si>
  <si>
    <t>lý do</t>
  </si>
  <si>
    <t>欠席の理由。</t>
  </si>
  <si>
    <t>Lý do vắng mặt.</t>
  </si>
  <si>
    <t>失う</t>
  </si>
  <si>
    <t>うしなう</t>
  </si>
  <si>
    <t>失[うしな]う</t>
  </si>
  <si>
    <t>mất</t>
  </si>
  <si>
    <t>自信を失う。</t>
  </si>
  <si>
    <t>Tôi mất tự tin.</t>
  </si>
  <si>
    <t>近く</t>
  </si>
  <si>
    <t>ちかく</t>
  </si>
  <si>
    <t>近[ちか]く</t>
  </si>
  <si>
    <t>近くに住む。</t>
  </si>
  <si>
    <t>Sống ở gần đây.</t>
  </si>
  <si>
    <t>プレゼント</t>
  </si>
  <si>
    <t>ぷれぜんと</t>
  </si>
  <si>
    <t>quà tặng</t>
  </si>
  <si>
    <t>誕生日プレゼント。</t>
  </si>
  <si>
    <t>Quà sinh nhật.</t>
  </si>
  <si>
    <t>ペット</t>
  </si>
  <si>
    <t>ぺっと</t>
  </si>
  <si>
    <t>thú cưng</t>
  </si>
  <si>
    <t>ペットを飼う。</t>
  </si>
  <si>
    <t>Tôi nuôi thú cưng.</t>
  </si>
  <si>
    <t>自転車</t>
  </si>
  <si>
    <t>じてんしゃ</t>
  </si>
  <si>
    <t>自転車[じてんしゃ]</t>
  </si>
  <si>
    <t>xe đạp</t>
  </si>
  <si>
    <t>自転車に乗る。</t>
  </si>
  <si>
    <t>Tôi đi xe đạp.</t>
  </si>
  <si>
    <t>九</t>
  </si>
  <si>
    <t>きゅう</t>
  </si>
  <si>
    <t>九[きゅう]</t>
  </si>
  <si>
    <t>chín</t>
  </si>
  <si>
    <t>九を掛ける。</t>
  </si>
  <si>
    <t>Tôi nhân với chín.</t>
  </si>
  <si>
    <t>おっしゃる</t>
  </si>
  <si>
    <t>先生がおっしゃる。</t>
  </si>
  <si>
    <t>Thầy giáo nói.</t>
  </si>
  <si>
    <t>乗せる</t>
  </si>
  <si>
    <t>のせる</t>
  </si>
  <si>
    <t>乗[の]せる</t>
  </si>
  <si>
    <t>chở</t>
  </si>
  <si>
    <t>車に乗せる。</t>
  </si>
  <si>
    <t>Tôi chở bằng ô tô.</t>
  </si>
  <si>
    <t>誰</t>
  </si>
  <si>
    <t>だれ</t>
  </si>
  <si>
    <t>誰[だれ]</t>
  </si>
  <si>
    <t>ai</t>
  </si>
  <si>
    <t>誰が来ましたか。</t>
  </si>
  <si>
    <t>Ai đã đến vậy?</t>
  </si>
  <si>
    <t>メッセージ</t>
  </si>
  <si>
    <t>めっせーじ</t>
  </si>
  <si>
    <t>tin nhắn</t>
  </si>
  <si>
    <t>メッセージを送る。</t>
  </si>
  <si>
    <t>Tôi gửi tin nhắn.</t>
  </si>
  <si>
    <t>メニュー</t>
  </si>
  <si>
    <t>めにゅー</t>
  </si>
  <si>
    <t>thực đơn</t>
  </si>
  <si>
    <t>メニューを見る。</t>
  </si>
  <si>
    <t>Tôi xem thực đơn.</t>
  </si>
  <si>
    <t>下げる</t>
  </si>
  <si>
    <t>さげる</t>
  </si>
  <si>
    <t>下[さ]げる</t>
  </si>
  <si>
    <t>hạ xuống</t>
  </si>
  <si>
    <t>頭を下げる。</t>
  </si>
  <si>
    <t>Tôi hạ đầu xuống.</t>
  </si>
  <si>
    <t>町</t>
  </si>
  <si>
    <t>まち</t>
  </si>
  <si>
    <t>町[まち]</t>
  </si>
  <si>
    <t>thị trấn</t>
  </si>
  <si>
    <t>小さな町。</t>
  </si>
  <si>
    <t>Thị trấn nhỏ.</t>
  </si>
  <si>
    <t>考え</t>
  </si>
  <si>
    <t>かんがえ</t>
  </si>
  <si>
    <t>考[かんが]え</t>
  </si>
  <si>
    <t>新しい考え。</t>
  </si>
  <si>
    <t>Suy nghĩ mới.</t>
  </si>
  <si>
    <t>計画</t>
  </si>
  <si>
    <t>けいかく</t>
  </si>
  <si>
    <t>計画[けいかく]</t>
  </si>
  <si>
    <t>計画を立てる。</t>
  </si>
  <si>
    <t>Tôi lập kế hoạch.</t>
  </si>
  <si>
    <t>起きる</t>
  </si>
  <si>
    <t>おきる</t>
  </si>
  <si>
    <t>起[お]きる</t>
  </si>
  <si>
    <t>thức dậy</t>
  </si>
  <si>
    <t>朝早く起きる。</t>
  </si>
  <si>
    <t>Tôi thức dậy sớm.</t>
  </si>
  <si>
    <t>広げる</t>
  </si>
  <si>
    <t>ひろげる</t>
  </si>
  <si>
    <t>広[ひろ]げる</t>
  </si>
  <si>
    <t>mở rộng</t>
  </si>
  <si>
    <t>地図を広げる。</t>
  </si>
  <si>
    <t>Tôi mở bản đồ ra.</t>
  </si>
  <si>
    <t>ホーム</t>
  </si>
  <si>
    <t>ほーむ</t>
  </si>
  <si>
    <t>sân ga</t>
  </si>
  <si>
    <t>ホームで待つ。</t>
  </si>
  <si>
    <t>Tôi chờ ở sân ga.</t>
  </si>
  <si>
    <t>線</t>
  </si>
  <si>
    <t>せん</t>
  </si>
  <si>
    <t>線[せん]</t>
  </si>
  <si>
    <t>đường</t>
  </si>
  <si>
    <t>線を引く。</t>
  </si>
  <si>
    <t>Tôi kẻ đường.</t>
  </si>
  <si>
    <t>短い</t>
  </si>
  <si>
    <t>みじかい</t>
  </si>
  <si>
    <t>短[みじか]い</t>
  </si>
  <si>
    <t>ngắn</t>
  </si>
  <si>
    <t>短い髪。</t>
  </si>
  <si>
    <t>Mái tóc ngắn.</t>
  </si>
  <si>
    <t>結ぶ</t>
  </si>
  <si>
    <t>むすぶ</t>
  </si>
  <si>
    <t>結[むす]ぶ</t>
  </si>
  <si>
    <t>buộc</t>
  </si>
  <si>
    <t>紐を結ぶ。</t>
  </si>
  <si>
    <t>Tôi buộc dây.</t>
  </si>
  <si>
    <t>写真</t>
  </si>
  <si>
    <t>しゃしん</t>
  </si>
  <si>
    <t>写真[しゃしん]</t>
  </si>
  <si>
    <t>ảnh</t>
  </si>
  <si>
    <t>きれいな写真を撮る。</t>
  </si>
  <si>
    <t>Tôi chụp bức ảnh đẹp.</t>
  </si>
  <si>
    <t>切る</t>
  </si>
  <si>
    <t>切[き]る</t>
  </si>
  <si>
    <t>cắt</t>
  </si>
  <si>
    <t>紙を切る。</t>
  </si>
  <si>
    <t>Tôi cắt giấy.</t>
  </si>
  <si>
    <t>眠る</t>
  </si>
  <si>
    <t>ねむる</t>
  </si>
  <si>
    <t>眠[ねむ]る</t>
  </si>
  <si>
    <t>静かに眠る。</t>
  </si>
  <si>
    <t>Tôi ngủ yên tĩnh.</t>
  </si>
  <si>
    <t>事故</t>
  </si>
  <si>
    <t>じこ</t>
  </si>
  <si>
    <t>事故[じこ]</t>
  </si>
  <si>
    <t>tai nạn</t>
  </si>
  <si>
    <t>事故に遭う。</t>
  </si>
  <si>
    <t>Tôi gặp tai nạn.</t>
  </si>
  <si>
    <t>図</t>
  </si>
  <si>
    <t>ず</t>
  </si>
  <si>
    <t>図[ず]</t>
  </si>
  <si>
    <t>hình vẽ</t>
  </si>
  <si>
    <t>図を描く。</t>
  </si>
  <si>
    <t>Tôi vẽ hình.</t>
  </si>
  <si>
    <t>上手</t>
  </si>
  <si>
    <t>じょうず</t>
  </si>
  <si>
    <t>上手[じょうず]</t>
  </si>
  <si>
    <t>giỏi</t>
  </si>
  <si>
    <t>料理が上手だ。</t>
  </si>
  <si>
    <t>Nấu ăn giỏi.</t>
  </si>
  <si>
    <t>挙げる</t>
  </si>
  <si>
    <t>挙[あ]げる</t>
  </si>
  <si>
    <t>nâng</t>
  </si>
  <si>
    <t>手を挙げる。</t>
  </si>
  <si>
    <t>Tôi giơ tay lên.</t>
  </si>
  <si>
    <t>美味しい</t>
  </si>
  <si>
    <t>おいしい</t>
  </si>
  <si>
    <t>美味[おい]しい</t>
  </si>
  <si>
    <t>料理が美味しい。</t>
  </si>
  <si>
    <t>Món ăn ngon.</t>
  </si>
  <si>
    <t>パターン</t>
  </si>
  <si>
    <t>ぱたーん</t>
  </si>
  <si>
    <t>mẫu</t>
  </si>
  <si>
    <t>新しいパターンを作る。</t>
  </si>
  <si>
    <t>Tôi tạo mẫu mới.</t>
  </si>
  <si>
    <t>米</t>
  </si>
  <si>
    <t>こめ</t>
  </si>
  <si>
    <t>米[こめ]</t>
  </si>
  <si>
    <t>gạo</t>
  </si>
  <si>
    <t>米を炊く。</t>
  </si>
  <si>
    <t>Tôi nấu gạo.</t>
  </si>
  <si>
    <t>ぶつかる</t>
  </si>
  <si>
    <t>va chạm</t>
  </si>
  <si>
    <t>車がぶつかる。</t>
  </si>
  <si>
    <t>Xe va chạm.</t>
  </si>
  <si>
    <t>事実</t>
  </si>
  <si>
    <t>じじつ</t>
  </si>
  <si>
    <t>事実[じじつ]</t>
  </si>
  <si>
    <t>sự thật</t>
  </si>
  <si>
    <t>事実を話す。</t>
  </si>
  <si>
    <t>Tôi kể sự thật.</t>
  </si>
  <si>
    <t>意識</t>
  </si>
  <si>
    <t>いしき</t>
  </si>
  <si>
    <t>意識[いしき]</t>
  </si>
  <si>
    <t>ý thức</t>
  </si>
  <si>
    <t>意識を失う。</t>
  </si>
  <si>
    <t>Tôi mất ý thức.</t>
  </si>
  <si>
    <t>ビデオ</t>
  </si>
  <si>
    <t>びでお</t>
  </si>
  <si>
    <t>video</t>
  </si>
  <si>
    <t>ビデオを撮る。</t>
  </si>
  <si>
    <t>Tôi quay video.</t>
  </si>
  <si>
    <t>掛ける</t>
  </si>
  <si>
    <t>掛[か]ける</t>
  </si>
  <si>
    <t>絵を掛ける。</t>
  </si>
  <si>
    <t>Tôi treo tranh.</t>
  </si>
  <si>
    <t>七</t>
  </si>
  <si>
    <t>なな</t>
  </si>
  <si>
    <t>七[なな]</t>
  </si>
  <si>
    <t>bảy</t>
  </si>
  <si>
    <t>七を引く。</t>
  </si>
  <si>
    <t>Tôi trừ đi bảy.</t>
  </si>
  <si>
    <t>首</t>
  </si>
  <si>
    <t>くび</t>
  </si>
  <si>
    <t>首[くび]</t>
  </si>
  <si>
    <t>cổ</t>
  </si>
  <si>
    <t>首を振る。</t>
  </si>
  <si>
    <t>Tôi lắc cổ.</t>
  </si>
  <si>
    <t>下りる</t>
  </si>
  <si>
    <t>下[お]りる</t>
  </si>
  <si>
    <t>山を下りる。</t>
  </si>
  <si>
    <t>Tôi xuống núi.</t>
  </si>
  <si>
    <t>道</t>
  </si>
  <si>
    <t>みち</t>
  </si>
  <si>
    <t>道[みち]</t>
  </si>
  <si>
    <t>道を教える。</t>
  </si>
  <si>
    <t>Tôi chỉ đường.</t>
  </si>
  <si>
    <t>打つ</t>
  </si>
  <si>
    <t>うつ</t>
  </si>
  <si>
    <t>打[う]つ</t>
  </si>
  <si>
    <t>đánh</t>
  </si>
  <si>
    <t>ボールを打つ。</t>
  </si>
  <si>
    <t>Tôi đánh bóng.</t>
  </si>
  <si>
    <t>薄い</t>
  </si>
  <si>
    <t>うすい</t>
  </si>
  <si>
    <t>薄[うす]い</t>
  </si>
  <si>
    <t>mỏng</t>
  </si>
  <si>
    <t>薄い紙。</t>
  </si>
  <si>
    <t>Giấy mỏng.</t>
  </si>
  <si>
    <t>赤い</t>
  </si>
  <si>
    <t>あかい</t>
  </si>
  <si>
    <t>赤[あか]い</t>
  </si>
  <si>
    <t>đỏ</t>
  </si>
  <si>
    <t>赤い花が咲く。</t>
  </si>
  <si>
    <t>Hoa đỏ nở.</t>
  </si>
  <si>
    <t>ラジオ</t>
  </si>
  <si>
    <t>らじお</t>
  </si>
  <si>
    <t>radio</t>
  </si>
  <si>
    <t>ラジオを聞く。</t>
  </si>
  <si>
    <t>Tôi nghe đài.</t>
  </si>
  <si>
    <t>ボール</t>
  </si>
  <si>
    <t>quả bóng</t>
  </si>
  <si>
    <t>ボールを投げる。</t>
  </si>
  <si>
    <t>Tôi ném quả bóng.</t>
  </si>
  <si>
    <t>閉じる</t>
  </si>
  <si>
    <t>とじる</t>
  </si>
  <si>
    <t>閉[と]じる</t>
  </si>
  <si>
    <t>đóng</t>
  </si>
  <si>
    <t>目を閉じる。</t>
  </si>
  <si>
    <t>Tôi đóng mắt.</t>
  </si>
  <si>
    <t>綺麗</t>
  </si>
  <si>
    <t>きれい</t>
  </si>
  <si>
    <t>綺麗[きれい]</t>
  </si>
  <si>
    <t>đẹp</t>
  </si>
  <si>
    <t>綺麗な花。</t>
  </si>
  <si>
    <t>Hoa đẹp.</t>
  </si>
  <si>
    <t>落る</t>
  </si>
  <si>
    <t>おちる</t>
  </si>
  <si>
    <t>落[おち]る</t>
  </si>
  <si>
    <t>雨が落ちる。</t>
  </si>
  <si>
    <t>Mưa rơi.</t>
  </si>
  <si>
    <t>おばあさん</t>
  </si>
  <si>
    <t>bà</t>
  </si>
  <si>
    <t>おばあさんが笑う。</t>
  </si>
  <si>
    <t>Bà cười.</t>
  </si>
  <si>
    <t>急ぐ</t>
  </si>
  <si>
    <t>いそぐ</t>
  </si>
  <si>
    <t>急[いそ]ぐ</t>
  </si>
  <si>
    <t>vội</t>
  </si>
  <si>
    <t>急いで行く。</t>
  </si>
  <si>
    <t>Tôi đi vội.</t>
  </si>
  <si>
    <t>花</t>
  </si>
  <si>
    <t>はな</t>
  </si>
  <si>
    <t>花[はな]</t>
  </si>
  <si>
    <t>hoa</t>
  </si>
  <si>
    <t>花が咲く。</t>
  </si>
  <si>
    <t>Hoa nở.</t>
  </si>
  <si>
    <t>怖い</t>
  </si>
  <si>
    <t>こわい</t>
  </si>
  <si>
    <t>怖[こわ]い</t>
  </si>
  <si>
    <t>sợ</t>
  </si>
  <si>
    <t>犬が怖い。</t>
  </si>
  <si>
    <t>Tôi sợ chó.</t>
  </si>
  <si>
    <t>押す</t>
  </si>
  <si>
    <t>おす</t>
  </si>
  <si>
    <t>押[お]す</t>
  </si>
  <si>
    <t>ấn</t>
  </si>
  <si>
    <t>ボタンを押す。</t>
  </si>
  <si>
    <t>Tôi ấn nút.</t>
  </si>
  <si>
    <t>衝撃</t>
  </si>
  <si>
    <t>しょうげき</t>
  </si>
  <si>
    <t>衝撃[しょうげき]</t>
  </si>
  <si>
    <t>sự tác động mạnh</t>
  </si>
  <si>
    <t>衝撃を受ける。</t>
  </si>
  <si>
    <t>Tôi chịu tác động mạnh.</t>
  </si>
  <si>
    <t>ファン</t>
  </si>
  <si>
    <t>ふぁん</t>
  </si>
  <si>
    <t>người hâm mộ</t>
  </si>
  <si>
    <t>ファンクラブに入る。</t>
  </si>
  <si>
    <t>Tôi gia nhập câu lạc bộ người hâm mộ.</t>
  </si>
  <si>
    <t>メディア</t>
  </si>
  <si>
    <t>めでぃあ</t>
  </si>
  <si>
    <t>truyền thông</t>
  </si>
  <si>
    <t>メディアで報道される。</t>
  </si>
  <si>
    <t>Được đưa tin trên truyền thông.</t>
  </si>
  <si>
    <t>不動産</t>
  </si>
  <si>
    <t>ふどうさん</t>
  </si>
  <si>
    <t>不動産[ふどうさん]</t>
  </si>
  <si>
    <t>bất động sản</t>
  </si>
  <si>
    <t>不動産を買う。</t>
  </si>
  <si>
    <t>Tôi mua bất động sản.</t>
  </si>
  <si>
    <t>発生</t>
  </si>
  <si>
    <t>はっせい</t>
  </si>
  <si>
    <t>発生[はっせい]</t>
  </si>
  <si>
    <t>sự phát sinh</t>
  </si>
  <si>
    <t>問題が発生する。</t>
  </si>
  <si>
    <t>Sự cố phát sinh.</t>
  </si>
  <si>
    <t>設立</t>
  </si>
  <si>
    <t>せつりつ</t>
  </si>
  <si>
    <t>設立[せつりつ]</t>
  </si>
  <si>
    <t>sự thành lập</t>
  </si>
  <si>
    <t>会社を設立する。</t>
  </si>
  <si>
    <t>Tôi thành lập công ty.</t>
  </si>
  <si>
    <t>体験</t>
  </si>
  <si>
    <t>たいけん</t>
  </si>
  <si>
    <t>体験[たいけん]</t>
  </si>
  <si>
    <t>trải nghiệm</t>
  </si>
  <si>
    <t>旅行を体験する。</t>
  </si>
  <si>
    <t>Tôi trải nghiệm du lịch.</t>
  </si>
  <si>
    <t>再生</t>
  </si>
  <si>
    <t>さいせい</t>
  </si>
  <si>
    <t>再生[さいせい]</t>
  </si>
  <si>
    <t>sự tái sinh</t>
  </si>
  <si>
    <t>古い音楽を再生する。</t>
  </si>
  <si>
    <t>Tôi phát lại âm nhạc cũ.</t>
  </si>
  <si>
    <t>反応</t>
  </si>
  <si>
    <t>はんのう</t>
  </si>
  <si>
    <t>反応[はんのう]</t>
  </si>
  <si>
    <t>sự phản ứng</t>
  </si>
  <si>
    <t>薬の反応を見る。</t>
  </si>
  <si>
    <t>Tôi xem phản ứng của thuốc.</t>
  </si>
  <si>
    <t>緩和</t>
  </si>
  <si>
    <t>かんわ</t>
  </si>
  <si>
    <t>緩和[かんわ]</t>
  </si>
  <si>
    <t>sự nới lỏng</t>
  </si>
  <si>
    <t>規制を緩和する。</t>
  </si>
  <si>
    <t>Tôi nới lỏng quy chế.</t>
  </si>
  <si>
    <t>要因</t>
  </si>
  <si>
    <t>よういん</t>
  </si>
  <si>
    <t>要因[よういん]</t>
  </si>
  <si>
    <t>nguyên nhân</t>
  </si>
  <si>
    <t>失敗の要因。</t>
  </si>
  <si>
    <t>Nguyên nhân của thất bại.</t>
  </si>
  <si>
    <t>記載</t>
  </si>
  <si>
    <t>きさい</t>
  </si>
  <si>
    <t>記載[きさい]</t>
  </si>
  <si>
    <t>sự ghi chép</t>
  </si>
  <si>
    <t>書類に記載する。</t>
  </si>
  <si>
    <t>Tôi ghi chép vào tài liệu.</t>
  </si>
  <si>
    <t>運営</t>
  </si>
  <si>
    <t>うんえい</t>
  </si>
  <si>
    <t>運営[うんえい]</t>
  </si>
  <si>
    <t>sự vận hành</t>
  </si>
  <si>
    <t>組織を運営する。</t>
  </si>
  <si>
    <t>Tôi vận hành tổ chức.</t>
  </si>
  <si>
    <t>達成</t>
  </si>
  <si>
    <t>たっせい</t>
  </si>
  <si>
    <t>達成[たっせい]</t>
  </si>
  <si>
    <t>sự đạt được</t>
  </si>
  <si>
    <t>目標を達成する。</t>
  </si>
  <si>
    <t>Tôi đạt được mục tiêu.</t>
  </si>
  <si>
    <t>限定</t>
  </si>
  <si>
    <t>げんてい</t>
  </si>
  <si>
    <t>限定[げんてい]</t>
  </si>
  <si>
    <t>sự giới hạn</t>
  </si>
  <si>
    <t>期間限定。</t>
  </si>
  <si>
    <t>Thời gian có hạn.</t>
  </si>
  <si>
    <t>スペース</t>
  </si>
  <si>
    <t>すぺーす</t>
  </si>
  <si>
    <t>không gian</t>
  </si>
  <si>
    <t>広いスペースを使う。</t>
  </si>
  <si>
    <t>Tôi sử dụng không gian rộng.</t>
  </si>
  <si>
    <t>優先</t>
  </si>
  <si>
    <t>ゆうせん</t>
  </si>
  <si>
    <t>優先[ゆうせん]</t>
  </si>
  <si>
    <t>sự ưu tiên</t>
  </si>
  <si>
    <t>安全を優先する。</t>
  </si>
  <si>
    <t>Tôi ưu tiên sự an toàn.</t>
  </si>
  <si>
    <t>報道</t>
  </si>
  <si>
    <t>ほうどう</t>
  </si>
  <si>
    <t>報道[ほうどう]</t>
  </si>
  <si>
    <t>sự đưa tin</t>
  </si>
  <si>
    <t>マスコミの報道。</t>
  </si>
  <si>
    <t>Sự đưa tin của truyền thông.</t>
  </si>
  <si>
    <t>果たす</t>
  </si>
  <si>
    <t>はたす</t>
  </si>
  <si>
    <t>果[は]たす</t>
  </si>
  <si>
    <t>目的を果たす。</t>
  </si>
  <si>
    <t>Tôi hoàn thành mục tiêu.</t>
  </si>
  <si>
    <t>要請</t>
  </si>
  <si>
    <t>ようせい</t>
  </si>
  <si>
    <t>要請[ようせい]</t>
  </si>
  <si>
    <t>sự đề nghị</t>
  </si>
  <si>
    <t>協力を要請する。</t>
  </si>
  <si>
    <t>Tôi đề nghị hợp tác.</t>
  </si>
  <si>
    <t>設置</t>
  </si>
  <si>
    <t>せっち</t>
  </si>
  <si>
    <t>設置[せっち]</t>
  </si>
  <si>
    <t>sự lắp đặt</t>
  </si>
  <si>
    <t>機械を設置する。</t>
  </si>
  <si>
    <t>Tôi lắp đặt máy móc.</t>
  </si>
  <si>
    <t>開催</t>
  </si>
  <si>
    <t>かいさい</t>
  </si>
  <si>
    <t>開催[かいさい]</t>
  </si>
  <si>
    <t>sự tổ chức</t>
  </si>
  <si>
    <t>会議を開催する。</t>
  </si>
  <si>
    <t>Tôi tổ chức cuộc họp.</t>
  </si>
  <si>
    <t>キャリア</t>
  </si>
  <si>
    <t>きゃりあ</t>
  </si>
  <si>
    <t>sự nghiệp</t>
  </si>
  <si>
    <t>キャリアを積む。</t>
  </si>
  <si>
    <t>Tôi tích lũy kinh nghiệm sự nghiệp.</t>
  </si>
  <si>
    <t>ゲスト</t>
  </si>
  <si>
    <t>げすと</t>
  </si>
  <si>
    <t>khách mời</t>
  </si>
  <si>
    <t>ゲストを迎える。</t>
  </si>
  <si>
    <t>Tôi chào đón khách mời.</t>
  </si>
  <si>
    <t>タイミング</t>
  </si>
  <si>
    <t>たいみんぐ</t>
  </si>
  <si>
    <t>thời điểm</t>
  </si>
  <si>
    <t>タイミングが悪い。</t>
  </si>
  <si>
    <t>Thời điểm không tốt.</t>
  </si>
  <si>
    <t>タイム</t>
  </si>
  <si>
    <t>たいむ</t>
  </si>
  <si>
    <t>タイムを計る。</t>
  </si>
  <si>
    <t>Tôi bấm giờ.</t>
  </si>
  <si>
    <t>とりあえず</t>
  </si>
  <si>
    <t>trước mắt</t>
  </si>
  <si>
    <t>とりあえずビールを頼む。</t>
  </si>
  <si>
    <t>Trước mắt tôi gọi bia đã.</t>
  </si>
  <si>
    <t>促す</t>
  </si>
  <si>
    <t>うながす</t>
  </si>
  <si>
    <t>促[うなが]す</t>
  </si>
  <si>
    <t>thúc giục</t>
  </si>
  <si>
    <t>注意を促す看板。</t>
  </si>
  <si>
    <t>Biển báo thúc giục chú ý.</t>
  </si>
  <si>
    <t>耐える</t>
  </si>
  <si>
    <t>たえる</t>
  </si>
  <si>
    <t>耐[た]える</t>
  </si>
  <si>
    <t>chịu đựng</t>
  </si>
  <si>
    <t>寒さに耐える。</t>
  </si>
  <si>
    <t>Tôi chịu đựng cái lạnh.</t>
  </si>
  <si>
    <t>設ける</t>
  </si>
  <si>
    <t>もうける</t>
  </si>
  <si>
    <t>設[もう]ける</t>
  </si>
  <si>
    <t>thiết lập</t>
  </si>
  <si>
    <t>ルールを設ける。</t>
  </si>
  <si>
    <t>Tôi thiết lập luật lệ.</t>
  </si>
  <si>
    <t>部門</t>
  </si>
  <si>
    <t>ぶもん</t>
  </si>
  <si>
    <t>部門[ぶもん]</t>
  </si>
  <si>
    <t>phòng ban</t>
  </si>
  <si>
    <t>開発部門。</t>
  </si>
  <si>
    <t>Phòng phát triển.</t>
  </si>
  <si>
    <t>タレント</t>
  </si>
  <si>
    <t>たれんと</t>
  </si>
  <si>
    <t>tài năng</t>
  </si>
  <si>
    <t>テレビのタレント。</t>
  </si>
  <si>
    <t>Ngôi sao trên truyền hình.</t>
  </si>
  <si>
    <t>ベスト</t>
  </si>
  <si>
    <t>べすと</t>
  </si>
  <si>
    <t>tốt nhất</t>
  </si>
  <si>
    <t>ベストを尽くす。</t>
  </si>
  <si>
    <t>Tôi dốc hết sức tốt nhất.</t>
  </si>
  <si>
    <t>モニター</t>
  </si>
  <si>
    <t>もにたー</t>
  </si>
  <si>
    <t>màn hình</t>
  </si>
  <si>
    <t>モニターを確認する。</t>
  </si>
  <si>
    <t>Tôi kiểm tra màn hình.</t>
  </si>
  <si>
    <t>交渉</t>
  </si>
  <si>
    <t>こうしょう</t>
  </si>
  <si>
    <t>交渉[こうしょう]</t>
  </si>
  <si>
    <t>đàm phán</t>
  </si>
  <si>
    <t>会社と交渉する。</t>
  </si>
  <si>
    <t>Tôi đàm phán với công ty.</t>
  </si>
  <si>
    <t>企画</t>
  </si>
  <si>
    <t>きかく</t>
  </si>
  <si>
    <t>企画[きかく]</t>
  </si>
  <si>
    <t>新しい企画。</t>
  </si>
  <si>
    <t>Kế hoạch mới.</t>
  </si>
  <si>
    <t>処分</t>
  </si>
  <si>
    <t>しょぶん</t>
  </si>
  <si>
    <t>処分[しょぶん]</t>
  </si>
  <si>
    <t>sự xử lý</t>
  </si>
  <si>
    <t>ゴミを処分する。</t>
  </si>
  <si>
    <t>Tôi xử lý rác.</t>
  </si>
  <si>
    <t>協会</t>
  </si>
  <si>
    <t>きょうかい</t>
  </si>
  <si>
    <t>協会[きょうかい]</t>
  </si>
  <si>
    <t>hiệp hội</t>
  </si>
  <si>
    <t>日本料理の協会。</t>
  </si>
  <si>
    <t>Hiệp hội ẩm thực Nhật Bản.</t>
  </si>
  <si>
    <t>若干</t>
  </si>
  <si>
    <t>じゃっかん</t>
  </si>
  <si>
    <t>若干[じゃっかん]</t>
  </si>
  <si>
    <t>若干の誤差がある。</t>
  </si>
  <si>
    <t>Có một chút sai số.</t>
  </si>
  <si>
    <t>詳細</t>
  </si>
  <si>
    <t>しょうさい</t>
  </si>
  <si>
    <t>詳細[しょうさい]</t>
  </si>
  <si>
    <t>chi tiết</t>
  </si>
  <si>
    <t>詳細を説明する。</t>
  </si>
  <si>
    <t>Tôi giải thích chi tiết.</t>
  </si>
  <si>
    <t>かつて</t>
  </si>
  <si>
    <t>đã từng</t>
  </si>
  <si>
    <t>かつてここに家があった。</t>
  </si>
  <si>
    <t>Ở đây đã từng có một ngôi nhà.</t>
  </si>
  <si>
    <t>だったら</t>
  </si>
  <si>
    <t>nếu vậy</t>
  </si>
  <si>
    <t>だったら行くよ。</t>
  </si>
  <si>
    <t>Nếu vậy tôi đi đây.</t>
  </si>
  <si>
    <t>トラブル</t>
  </si>
  <si>
    <t>とらぶる</t>
  </si>
  <si>
    <t>rắc rối</t>
  </si>
  <si>
    <t>トラブルを解決する。</t>
  </si>
  <si>
    <t>Tôi giải quyết rắc rối.</t>
  </si>
  <si>
    <t>ファイル</t>
  </si>
  <si>
    <t>ふぁいる</t>
  </si>
  <si>
    <t>tệp tin</t>
  </si>
  <si>
    <t>ファイルを保存する。</t>
  </si>
  <si>
    <t>Tôi lưu tệp tin.</t>
  </si>
  <si>
    <t>個性</t>
  </si>
  <si>
    <t>こせい</t>
  </si>
  <si>
    <t>個性[こせい]</t>
  </si>
  <si>
    <t>cá tính</t>
  </si>
  <si>
    <t>個性を尊重する。</t>
  </si>
  <si>
    <t>Tôi tôn trọng cá tính.</t>
  </si>
  <si>
    <t>内閣</t>
  </si>
  <si>
    <t>ないかく</t>
  </si>
  <si>
    <t>内閣[ないかく]</t>
  </si>
  <si>
    <t>nội các</t>
  </si>
  <si>
    <t>内閣の決定事項。</t>
  </si>
  <si>
    <t>Vấn đề quyết định của nội các.</t>
  </si>
  <si>
    <t>勝手</t>
  </si>
  <si>
    <t>かって</t>
  </si>
  <si>
    <t>勝手[かって]</t>
  </si>
  <si>
    <t>tự tiện</t>
  </si>
  <si>
    <t>勝手な行動はだめだ。</t>
  </si>
  <si>
    <t>Hành động tự tiện là không được.</t>
  </si>
  <si>
    <t>落ち込む</t>
  </si>
  <si>
    <t>おちこむ</t>
  </si>
  <si>
    <t>落[お]ち込[こ]む</t>
  </si>
  <si>
    <t>buồn bã</t>
  </si>
  <si>
    <t>試験に落ち込んでる。</t>
  </si>
  <si>
    <t>Tôi đang buồn bã vì kỳ thi.</t>
  </si>
  <si>
    <t>衆議院</t>
  </si>
  <si>
    <t>しゅうぎいん</t>
  </si>
  <si>
    <t>衆議院[しゅうぎいん]</t>
  </si>
  <si>
    <t>hạ viện</t>
  </si>
  <si>
    <t>衆議院を解散する。</t>
  </si>
  <si>
    <t>Tôi giải tán hạ viện.</t>
  </si>
  <si>
    <t>要望</t>
  </si>
  <si>
    <t>ようぼう</t>
  </si>
  <si>
    <t>要望[ようぼう]</t>
  </si>
  <si>
    <t>yêu cầu</t>
  </si>
  <si>
    <t>要望を伝える。</t>
  </si>
  <si>
    <t>Tôi truyền đạt yêu cầu.</t>
  </si>
  <si>
    <t>論理</t>
  </si>
  <si>
    <t>ろんり</t>
  </si>
  <si>
    <t>論理[ろんり]</t>
  </si>
  <si>
    <t>lý luận</t>
  </si>
  <si>
    <t>論理的に話す。</t>
  </si>
  <si>
    <t>Tôi nói chuyện lý luận.</t>
  </si>
  <si>
    <t>軍事</t>
  </si>
  <si>
    <t>ぐんじ</t>
  </si>
  <si>
    <t>軍事[ぐんじ]</t>
  </si>
  <si>
    <t>quân sự</t>
  </si>
  <si>
    <t>軍事力。</t>
  </si>
  <si>
    <t>Sức mạnh quân sự.</t>
  </si>
  <si>
    <t>世代</t>
  </si>
  <si>
    <t>せだい</t>
  </si>
  <si>
    <t>世代[せだい]</t>
  </si>
  <si>
    <t>thế hệ</t>
  </si>
  <si>
    <t>若い世代。</t>
  </si>
  <si>
    <t>Thế hệ trẻ.</t>
  </si>
  <si>
    <t>内部</t>
  </si>
  <si>
    <t>ないぶ</t>
  </si>
  <si>
    <t>内部[ないぶ]</t>
  </si>
  <si>
    <t>nội bộ</t>
  </si>
  <si>
    <t>会社の内部事情。</t>
  </si>
  <si>
    <t>Tình hình nội bộ công ty.</t>
  </si>
  <si>
    <t>極めて</t>
  </si>
  <si>
    <t>きわめて</t>
  </si>
  <si>
    <t>極[きわ]めて</t>
  </si>
  <si>
    <t>cực kỳ</t>
  </si>
  <si>
    <t>それは極めて重要だ。</t>
  </si>
  <si>
    <t>Điều đó cực kỳ quan trọng.</t>
  </si>
  <si>
    <t>購入</t>
  </si>
  <si>
    <t>こうにゅう</t>
  </si>
  <si>
    <t>購入[こうにゅう]</t>
  </si>
  <si>
    <t>sự mua</t>
  </si>
  <si>
    <t>商品を購入する。</t>
  </si>
  <si>
    <t>Tôi mua hàng hóa.</t>
  </si>
  <si>
    <t>エンジニア</t>
  </si>
  <si>
    <t>えんじにあ</t>
  </si>
  <si>
    <t>kỹ sư</t>
  </si>
  <si>
    <t>私はエンジニアです。</t>
  </si>
  <si>
    <t>Tôi là kỹ sư.</t>
  </si>
  <si>
    <t>ベース</t>
  </si>
  <si>
    <t>べーす</t>
  </si>
  <si>
    <t>cơ sở</t>
  </si>
  <si>
    <t>情報をベースにする。</t>
  </si>
  <si>
    <t>Tôi lấy thông tin làm cơ sở.</t>
  </si>
  <si>
    <t>チャンネル</t>
  </si>
  <si>
    <t>ちゃんねる</t>
  </si>
  <si>
    <t>kênh</t>
  </si>
  <si>
    <t>テレビのチャンネルを変える。</t>
  </si>
  <si>
    <t>Tôi đổi kênh tivi.</t>
  </si>
  <si>
    <t>カット</t>
  </si>
  <si>
    <t>かっと</t>
  </si>
  <si>
    <t>髪をカットする。</t>
  </si>
  <si>
    <t>Tôi cắt tóc.</t>
  </si>
  <si>
    <t>コーナー</t>
  </si>
  <si>
    <t>こーなー</t>
  </si>
  <si>
    <t>góc</t>
  </si>
  <si>
    <t>売り場のコーナーに行く。</t>
  </si>
  <si>
    <t>Tôi đi đến góc quầy hàng.</t>
  </si>
  <si>
    <t>シート</t>
  </si>
  <si>
    <t>しーと</t>
  </si>
  <si>
    <t>ghế</t>
  </si>
  <si>
    <t>シートベルトを締める。</t>
  </si>
  <si>
    <t>Tôi thắt dây an toàn.</t>
  </si>
  <si>
    <t>及び</t>
  </si>
  <si>
    <t>および</t>
  </si>
  <si>
    <t>及[およ]び</t>
  </si>
  <si>
    <t>研究及び開発。</t>
  </si>
  <si>
    <t>Nghiên cứu và phát triển.</t>
  </si>
  <si>
    <t>於いて</t>
  </si>
  <si>
    <t>おいて</t>
  </si>
  <si>
    <t>於[お]いて</t>
  </si>
  <si>
    <t>tại</t>
  </si>
  <si>
    <t>会議において発言する。</t>
  </si>
  <si>
    <t>Tôi phát biểu tại cuộc họp.</t>
  </si>
  <si>
    <t>提供</t>
  </si>
  <si>
    <t>ていきょう</t>
  </si>
  <si>
    <t>提供[ていきょう]</t>
  </si>
  <si>
    <t>cung cấp</t>
  </si>
  <si>
    <t>サービスを提供する。</t>
  </si>
  <si>
    <t>Tôi cung cấp dịch vụ.</t>
  </si>
  <si>
    <t>思考</t>
  </si>
  <si>
    <t>しこう</t>
  </si>
  <si>
    <t>思考[しこう]</t>
  </si>
  <si>
    <t>tư duy</t>
  </si>
  <si>
    <t>思考を整理する。</t>
  </si>
  <si>
    <t>Tôi sắp xếp tư duy.</t>
  </si>
  <si>
    <t>指摘</t>
  </si>
  <si>
    <t>してき</t>
  </si>
  <si>
    <t>指摘[してき]</t>
  </si>
  <si>
    <t>chỉ ra</t>
  </si>
  <si>
    <t>間違いを指摘する。</t>
  </si>
  <si>
    <t>Tôi chỉ ra lỗi sai.</t>
  </si>
  <si>
    <t>宣言</t>
  </si>
  <si>
    <t>せんげん</t>
  </si>
  <si>
    <t>宣言[せんげん]</t>
  </si>
  <si>
    <t>tuyên ngôn</t>
  </si>
  <si>
    <t>平和を宣言する。</t>
  </si>
  <si>
    <t>Tôi tuyên ngôn hòa bình.</t>
  </si>
  <si>
    <t>国家</t>
  </si>
  <si>
    <t>こっか</t>
  </si>
  <si>
    <t>国家[こっか]</t>
  </si>
  <si>
    <t>国家の繁栄を願う。</t>
  </si>
  <si>
    <t>Tôi cầu chúc sự thịnh vượng của quốc gia.</t>
  </si>
  <si>
    <t>周辺</t>
  </si>
  <si>
    <t>しゅうへん</t>
  </si>
  <si>
    <t>周辺[しゅうへん]</t>
  </si>
  <si>
    <t>vùng lân cận</t>
  </si>
  <si>
    <t>駅の周辺を散歩する。</t>
  </si>
  <si>
    <t>Tôi đi dạo quanh vùng lân cận nhà ga.</t>
  </si>
  <si>
    <t>携帯</t>
  </si>
  <si>
    <t>けいたい</t>
  </si>
  <si>
    <t>携帯[けいたい]</t>
  </si>
  <si>
    <t>di động</t>
  </si>
  <si>
    <t>携帯を持つ。</t>
  </si>
  <si>
    <t>Tôi mang theo điện thoại di động.</t>
  </si>
  <si>
    <t>本当</t>
  </si>
  <si>
    <t>ほんとう</t>
  </si>
  <si>
    <t>本当[ほんとう]</t>
  </si>
  <si>
    <t>thật</t>
  </si>
  <si>
    <t>本当の話。</t>
  </si>
  <si>
    <t>Câu chuyện có thật.</t>
  </si>
  <si>
    <t>明日</t>
  </si>
  <si>
    <t>あした</t>
  </si>
  <si>
    <t>明日[あした]</t>
  </si>
  <si>
    <t>ngày mai</t>
  </si>
  <si>
    <t>明日話す。</t>
  </si>
  <si>
    <t>Tôi sẽ nói vào ngày mai.</t>
  </si>
  <si>
    <t>完全</t>
  </si>
  <si>
    <t>かんぜん</t>
  </si>
  <si>
    <t>完全[かんぜん]</t>
  </si>
  <si>
    <t>hoàn toàn</t>
  </si>
  <si>
    <t>完全に失敗する。</t>
  </si>
  <si>
    <t>Tôi hoàn toàn thất bại.</t>
  </si>
  <si>
    <t>最後</t>
  </si>
  <si>
    <t>さいご</t>
  </si>
  <si>
    <t>最後[さいご]</t>
  </si>
  <si>
    <t>最後のチャンス。</t>
  </si>
  <si>
    <t>Đó là cơ hội cuối cùng.</t>
  </si>
  <si>
    <t>品</t>
  </si>
  <si>
    <t>しな</t>
  </si>
  <si>
    <t>品[しな]</t>
  </si>
  <si>
    <t>hàng hóa</t>
  </si>
  <si>
    <t>品が足りない。</t>
  </si>
  <si>
    <t>Hàng hóa không đủ.</t>
  </si>
  <si>
    <t>大会</t>
  </si>
  <si>
    <t>たいかい</t>
  </si>
  <si>
    <t>大会[たいかい]</t>
  </si>
  <si>
    <t>đại hội</t>
  </si>
  <si>
    <t>テニスの大会。</t>
  </si>
  <si>
    <t>Giải đấu quần vợt.</t>
  </si>
  <si>
    <t>女の子</t>
  </si>
  <si>
    <t>おんなのこ</t>
  </si>
  <si>
    <t>女[おんな]の子[こ]</t>
  </si>
  <si>
    <t>bé gái</t>
  </si>
  <si>
    <t>女の子が遊ぶ。</t>
  </si>
  <si>
    <t>Bé gái đang chơi.</t>
  </si>
  <si>
    <t>母</t>
  </si>
  <si>
    <t>はは</t>
  </si>
  <si>
    <t>母[はは]</t>
  </si>
  <si>
    <t>母に会う。</t>
  </si>
  <si>
    <t>Tôi gặp mẹ.</t>
  </si>
  <si>
    <t>寂しい</t>
  </si>
  <si>
    <t>さびしい</t>
  </si>
  <si>
    <t>寂[さび]しい</t>
  </si>
  <si>
    <t>buồn</t>
  </si>
  <si>
    <t>寂しい夜。</t>
  </si>
  <si>
    <t>Đêm buồn.</t>
  </si>
  <si>
    <t>野菜</t>
  </si>
  <si>
    <t>やさい</t>
  </si>
  <si>
    <t>野菜[やさい]</t>
  </si>
  <si>
    <t>rau</t>
  </si>
  <si>
    <t>野菜を食べる。</t>
  </si>
  <si>
    <t>Tôi ăn rau.</t>
  </si>
  <si>
    <t>成果</t>
  </si>
  <si>
    <t>せいか</t>
  </si>
  <si>
    <t>成果[せいか]</t>
  </si>
  <si>
    <t>thành quả</t>
  </si>
  <si>
    <t>努力の成果。</t>
  </si>
  <si>
    <t>Thành quả của nỗ lực.</t>
  </si>
  <si>
    <t>投資</t>
  </si>
  <si>
    <t>とうし</t>
  </si>
  <si>
    <t>投資[とうし]</t>
  </si>
  <si>
    <t>đầu tư</t>
  </si>
  <si>
    <t>不動産に投資する。</t>
  </si>
  <si>
    <t>Tôi đầu tư vào bất động sản.</t>
  </si>
  <si>
    <t>支持</t>
  </si>
  <si>
    <t>しじ</t>
  </si>
  <si>
    <t>支持[しじ]</t>
  </si>
  <si>
    <t>ủng hộ</t>
  </si>
  <si>
    <t>党を支持する。</t>
  </si>
  <si>
    <t>Tôi ủng hộ đảng.</t>
  </si>
  <si>
    <t>放送</t>
  </si>
  <si>
    <t>ほうそう</t>
  </si>
  <si>
    <t>放送[ほうそう]</t>
  </si>
  <si>
    <t>phát sóng</t>
  </si>
  <si>
    <t>テレビを放送する。</t>
  </si>
  <si>
    <t>Họ phát sóng chương trình TV.</t>
  </si>
  <si>
    <t>旅行</t>
  </si>
  <si>
    <t>りょこう</t>
  </si>
  <si>
    <t>旅行[りょこう]</t>
  </si>
  <si>
    <t>du lịch</t>
  </si>
  <si>
    <t>旅行を楽しむ。</t>
  </si>
  <si>
    <t>Tôi tận hưởng chuyến du lịch.</t>
  </si>
  <si>
    <t>楽しい</t>
  </si>
  <si>
    <t>たのしい</t>
  </si>
  <si>
    <t>楽[たの]しい</t>
  </si>
  <si>
    <t>楽しい旅行。</t>
  </si>
  <si>
    <t>Đó là chuyến du lịch vui vẻ.</t>
  </si>
  <si>
    <t>団体</t>
  </si>
  <si>
    <t>だんたい</t>
  </si>
  <si>
    <t>団体[だんたい]</t>
  </si>
  <si>
    <t>đoàn thể</t>
  </si>
  <si>
    <t>団体で旅行する。</t>
  </si>
  <si>
    <t>Tôi đi du lịch theo đoàn.</t>
  </si>
  <si>
    <t>最高</t>
  </si>
  <si>
    <t>さいこう</t>
  </si>
  <si>
    <t>最高[さいこう]</t>
  </si>
  <si>
    <t>最高の日だ。</t>
  </si>
  <si>
    <t>Đó là ngày tuyệt nhất.</t>
  </si>
  <si>
    <t>家庭</t>
  </si>
  <si>
    <t>かてい</t>
  </si>
  <si>
    <t>家庭[かてい]</t>
  </si>
  <si>
    <t>家庭を持つ。</t>
  </si>
  <si>
    <t>Tôi lập gia đình.</t>
  </si>
  <si>
    <t>死ぬ</t>
  </si>
  <si>
    <t>しぬ</t>
  </si>
  <si>
    <t>死[し]ぬ</t>
  </si>
  <si>
    <t>chết</t>
  </si>
  <si>
    <t>花が死ぬ。</t>
  </si>
  <si>
    <t>Bông hoa bị chết.</t>
  </si>
  <si>
    <t>大人</t>
  </si>
  <si>
    <t>おとな</t>
  </si>
  <si>
    <t>大人[おとな]</t>
  </si>
  <si>
    <t>người lớn</t>
  </si>
  <si>
    <t>大人の振る舞い。</t>
  </si>
  <si>
    <t>Cách hành xử của người lớn.</t>
  </si>
  <si>
    <t>実現</t>
  </si>
  <si>
    <t>じつげん</t>
  </si>
  <si>
    <t>実現[じつげん]</t>
  </si>
  <si>
    <t>hiện thực hóa</t>
  </si>
  <si>
    <t>夢を実現する。</t>
  </si>
  <si>
    <t>Tôi hiện thực hóa giấc mơ.</t>
  </si>
  <si>
    <t>関心</t>
  </si>
  <si>
    <t>かんしん</t>
  </si>
  <si>
    <t>関心[かんしん]</t>
  </si>
  <si>
    <t>quan tâm</t>
  </si>
  <si>
    <t>政治に関心がある。</t>
  </si>
  <si>
    <t>Tôi có quan tâm đến chính trị.</t>
  </si>
  <si>
    <t>含める</t>
  </si>
  <si>
    <t>ふくめる</t>
  </si>
  <si>
    <t>含[ふく]める</t>
  </si>
  <si>
    <t>全員を含める。</t>
  </si>
  <si>
    <t>Tôi bao gồm cả mọi người.</t>
  </si>
  <si>
    <t>空港</t>
  </si>
  <si>
    <t>くうこう</t>
  </si>
  <si>
    <t>空港[くうこう]</t>
  </si>
  <si>
    <t>sân bay</t>
  </si>
  <si>
    <t>空港まで見送る。</t>
  </si>
  <si>
    <t>Tôi tiễn bạn đến sân bay.</t>
  </si>
  <si>
    <t>大学生</t>
  </si>
  <si>
    <t>だいがくせい</t>
  </si>
  <si>
    <t>大学生[だいがくせい]</t>
  </si>
  <si>
    <t>大学生になる。</t>
  </si>
  <si>
    <t>Tôi trở thành sinh viên.</t>
  </si>
  <si>
    <t>収穫</t>
  </si>
  <si>
    <t>しゅうかく</t>
  </si>
  <si>
    <t>収穫[しゅうかく]</t>
  </si>
  <si>
    <t>thu hoạch</t>
  </si>
  <si>
    <t>作物を収穫する。</t>
  </si>
  <si>
    <t>Tôi thu hoạch mùa màng.</t>
  </si>
  <si>
    <t>最初</t>
  </si>
  <si>
    <t>さいしょ</t>
  </si>
  <si>
    <t>最初[さいしょ]</t>
  </si>
  <si>
    <t>đầu tiên</t>
  </si>
  <si>
    <t>最初の一歩。</t>
  </si>
  <si>
    <t>Đó là bước đi đầu tiên.</t>
  </si>
  <si>
    <t>図る</t>
  </si>
  <si>
    <t>はかる</t>
  </si>
  <si>
    <t>図[はか]る</t>
  </si>
  <si>
    <t>解決を図る。</t>
  </si>
  <si>
    <t>Tôi cố gắng giải quyết.</t>
  </si>
  <si>
    <t>正しい</t>
  </si>
  <si>
    <t>ただしい</t>
  </si>
  <si>
    <t>正[ただ]しい</t>
  </si>
  <si>
    <t>đúng</t>
  </si>
  <si>
    <t>正しい答え。</t>
  </si>
  <si>
    <t>Đó là câu trả lời đúng.</t>
  </si>
  <si>
    <t>次</t>
  </si>
  <si>
    <t>つぎ</t>
  </si>
  <si>
    <t>次[つぎ]</t>
  </si>
  <si>
    <t>tiếp theo</t>
  </si>
  <si>
    <t>次の人。</t>
  </si>
  <si>
    <t>Người tiếp theo là ai.</t>
  </si>
  <si>
    <t>支える</t>
  </si>
  <si>
    <t>ささえる</t>
  </si>
  <si>
    <t>支[ささ]える</t>
  </si>
  <si>
    <t>chống đỡ</t>
  </si>
  <si>
    <t>家族を支える。</t>
  </si>
  <si>
    <t>Tôi gánh vác gia đình.</t>
  </si>
  <si>
    <t>変更</t>
  </si>
  <si>
    <t>へんこう</t>
  </si>
  <si>
    <t>変更[へんこう]</t>
  </si>
  <si>
    <t>日時の変更。</t>
  </si>
  <si>
    <t>Sự thay đổi ngày giờ.</t>
  </si>
  <si>
    <t>金曜日</t>
  </si>
  <si>
    <t>きんようび</t>
  </si>
  <si>
    <t>金曜日[きんようび]</t>
  </si>
  <si>
    <t>thứ sáu</t>
  </si>
  <si>
    <t>金曜日に会う。</t>
  </si>
  <si>
    <t>Tôi gặp nhau vào thứ sáu.</t>
  </si>
  <si>
    <t>会場</t>
  </si>
  <si>
    <t>かいじょう</t>
  </si>
  <si>
    <t>会場[かいじょう]</t>
  </si>
  <si>
    <t>hội trường</t>
  </si>
  <si>
    <t>会場はとても広い。</t>
  </si>
  <si>
    <t>Hội trường rất rộng.</t>
  </si>
  <si>
    <t>姉</t>
  </si>
  <si>
    <t>あね</t>
  </si>
  <si>
    <t>姉[あね]</t>
  </si>
  <si>
    <t>姉が結婚する。</t>
  </si>
  <si>
    <t>Chị gái tôi kết hôn.</t>
  </si>
  <si>
    <t>宿</t>
  </si>
  <si>
    <t>やど</t>
  </si>
  <si>
    <t>宿[やど]</t>
  </si>
  <si>
    <t>nhà trọ</t>
  </si>
  <si>
    <t>宿に泊まる。</t>
  </si>
  <si>
    <t>Tôi trọ tại nhà trọ.</t>
  </si>
  <si>
    <t>増す</t>
  </si>
  <si>
    <t>ます</t>
  </si>
  <si>
    <t>増[ま]す</t>
  </si>
  <si>
    <t>tăng</t>
  </si>
  <si>
    <t>不安が増す。</t>
  </si>
  <si>
    <t>Sự bất an tăng lên.</t>
  </si>
  <si>
    <t>知らせる</t>
  </si>
  <si>
    <t>しらせる</t>
  </si>
  <si>
    <t>知[し]らせる</t>
  </si>
  <si>
    <t>thông báo</t>
  </si>
  <si>
    <t>結果を知らせる。</t>
  </si>
  <si>
    <t>Tôi thông báo kết quả.</t>
  </si>
  <si>
    <t>鉄道</t>
  </si>
  <si>
    <t>てつどう</t>
  </si>
  <si>
    <t>鉄道[てつどう]</t>
  </si>
  <si>
    <t>đường sắt</t>
  </si>
  <si>
    <t>鉄道を利用する。</t>
  </si>
  <si>
    <t>Tôi sử dụng đường sắt.</t>
  </si>
  <si>
    <t>確かめる</t>
  </si>
  <si>
    <t>たしかめる</t>
  </si>
  <si>
    <t>確[たし]かめる</t>
  </si>
  <si>
    <t>内容を確かめる。</t>
  </si>
  <si>
    <t>相互</t>
  </si>
  <si>
    <t>そうご</t>
  </si>
  <si>
    <t>相互[そうご]</t>
  </si>
  <si>
    <t>相互に協力する。</t>
  </si>
  <si>
    <t>Chúng tôi hợp tác lẫn nhau.</t>
  </si>
  <si>
    <t>地震</t>
  </si>
  <si>
    <t>地震[じしん]</t>
  </si>
  <si>
    <t>động đất</t>
  </si>
  <si>
    <t>地震が起こる。</t>
  </si>
  <si>
    <t>Động đất xảy ra.</t>
  </si>
  <si>
    <t>土地</t>
  </si>
  <si>
    <t>とち</t>
  </si>
  <si>
    <t>土地[とち]</t>
  </si>
  <si>
    <t>đất đai</t>
  </si>
  <si>
    <t>土地を売る。</t>
  </si>
  <si>
    <t>Tôi bán đất đai.</t>
  </si>
  <si>
    <t>宿題</t>
  </si>
  <si>
    <t>しゅくだい</t>
  </si>
  <si>
    <t>宿題[しゅくだい]</t>
  </si>
  <si>
    <t>bài tập về nhà</t>
  </si>
  <si>
    <t>宿題をすぐにする。</t>
  </si>
  <si>
    <t>Tôi làm ngay bài tập về nhà.</t>
  </si>
  <si>
    <t>掃除</t>
  </si>
  <si>
    <t>そうじ</t>
  </si>
  <si>
    <t>掃除[そうじ]</t>
  </si>
  <si>
    <t>dọn dẹp</t>
  </si>
  <si>
    <t>自分の部屋を掃除する。</t>
  </si>
  <si>
    <t>Tôi dọn dẹp phòng của mình.</t>
  </si>
  <si>
    <t>妹</t>
  </si>
  <si>
    <t>いもうと</t>
  </si>
  <si>
    <t>妹[いもうと]</t>
  </si>
  <si>
    <t>em gái</t>
  </si>
  <si>
    <t>妹がいる。</t>
  </si>
  <si>
    <t>Tôi có em gái.</t>
  </si>
  <si>
    <t>夫</t>
  </si>
  <si>
    <t>おっと</t>
  </si>
  <si>
    <t>夫[おっと]</t>
  </si>
  <si>
    <t>夫を愛する。</t>
  </si>
  <si>
    <t>Tôi yêu chồng.</t>
  </si>
  <si>
    <t>郵便</t>
  </si>
  <si>
    <t>ゆうびん</t>
  </si>
  <si>
    <t>郵便[ゆうびん]</t>
  </si>
  <si>
    <t>bưu điện</t>
  </si>
  <si>
    <t>郵便を送る。</t>
  </si>
  <si>
    <t>Tôi gửi bưu điện.</t>
  </si>
  <si>
    <t>映画</t>
  </si>
  <si>
    <t>えいが</t>
  </si>
  <si>
    <t>映画[えいが]</t>
  </si>
  <si>
    <t>phim</t>
  </si>
  <si>
    <t>最近映画を見た。</t>
  </si>
  <si>
    <t>Dạo này tôi đã xem phim.</t>
  </si>
  <si>
    <t>血</t>
  </si>
  <si>
    <t>血[ち]</t>
  </si>
  <si>
    <t>máu</t>
  </si>
  <si>
    <t>血が流れる。</t>
  </si>
  <si>
    <t>Máu chảy.</t>
  </si>
  <si>
    <t>石</t>
  </si>
  <si>
    <t>いし</t>
  </si>
  <si>
    <t>石[いし]</t>
  </si>
  <si>
    <t>đá</t>
  </si>
  <si>
    <t>石を投げる。</t>
  </si>
  <si>
    <t>Tôi ném đá.</t>
  </si>
  <si>
    <t>アプローチ</t>
  </si>
  <si>
    <t>あぷろーち</t>
  </si>
  <si>
    <t>tiếp cận</t>
  </si>
  <si>
    <t>新しいアプローチを試す。</t>
  </si>
  <si>
    <t>Tôi thử cách tiếp cận mới.</t>
  </si>
  <si>
    <t>本質</t>
  </si>
  <si>
    <t>ほんしつ</t>
  </si>
  <si>
    <t>本質[ほんしつ]</t>
  </si>
  <si>
    <t>bản chất</t>
  </si>
  <si>
    <t>本質を見抜く。</t>
  </si>
  <si>
    <t>Tôi nhìn thấu bản chất.</t>
  </si>
  <si>
    <t>形成</t>
  </si>
  <si>
    <t>けいせい</t>
  </si>
  <si>
    <t>形成[けいせい]</t>
  </si>
  <si>
    <t>hình thành</t>
  </si>
  <si>
    <t>人格を形成する。</t>
  </si>
  <si>
    <t>Tôi hình thành nhân cách.</t>
  </si>
  <si>
    <t>採用</t>
  </si>
  <si>
    <t>さいよう</t>
  </si>
  <si>
    <t>採用[さいよう]</t>
  </si>
  <si>
    <t>tuyển dụng</t>
  </si>
  <si>
    <t>新人を採用する。</t>
  </si>
  <si>
    <t>Tôi tuyển dụng nhân viên mới.</t>
  </si>
  <si>
    <t>感染</t>
  </si>
  <si>
    <t>かんせん</t>
  </si>
  <si>
    <t>感染[かんせん]</t>
  </si>
  <si>
    <t>lây nhiễm</t>
  </si>
  <si>
    <t>ウィルスに感染する。</t>
  </si>
  <si>
    <t>Tôi bị lây nhiễm virus.</t>
  </si>
  <si>
    <t>恋愛</t>
  </si>
  <si>
    <t>れんあい</t>
  </si>
  <si>
    <t>恋愛[れんあい]</t>
  </si>
  <si>
    <t>tình yêu</t>
  </si>
  <si>
    <t>恋愛相談をする。</t>
  </si>
  <si>
    <t>Tôi tâm sự về tình yêu.</t>
  </si>
  <si>
    <t>対処</t>
  </si>
  <si>
    <t>たいしょ</t>
  </si>
  <si>
    <t>対処[たいしょ]</t>
  </si>
  <si>
    <t>đối phó</t>
  </si>
  <si>
    <t>問題に対処する。</t>
  </si>
  <si>
    <t>Tôi đối phó với vấn đề.</t>
  </si>
  <si>
    <t>回答</t>
  </si>
  <si>
    <t>かいとう</t>
  </si>
  <si>
    <t>回答[かいとう]</t>
  </si>
  <si>
    <t>回答をメールする。</t>
  </si>
  <si>
    <t>Tôi gửi câu trả lời qua email.</t>
  </si>
  <si>
    <t>普通</t>
  </si>
  <si>
    <t>ふつう</t>
  </si>
  <si>
    <t>普通[ふつう]</t>
  </si>
  <si>
    <t>bình thường</t>
  </si>
  <si>
    <t>普通の状態。</t>
  </si>
  <si>
    <t>Đó là trạng thái bình thường.</t>
  </si>
  <si>
    <t>命令</t>
  </si>
  <si>
    <t>めいれい</t>
  </si>
  <si>
    <t>命令[めいれい]</t>
  </si>
  <si>
    <t>mệnh lệnh</t>
  </si>
  <si>
    <t>命令に従う。</t>
  </si>
  <si>
    <t>Tôi tuân theo mệnh lệnh.</t>
  </si>
  <si>
    <t>実施</t>
  </si>
  <si>
    <t>じっし</t>
  </si>
  <si>
    <t>実施[じっし]</t>
  </si>
  <si>
    <t>計画を実施する。</t>
  </si>
  <si>
    <t>Tôi thực hiện kế hoạch.</t>
  </si>
  <si>
    <t>気持ち</t>
  </si>
  <si>
    <t>きもち</t>
  </si>
  <si>
    <t>気持[きも]ち</t>
  </si>
  <si>
    <t>気持ちが良い。</t>
  </si>
  <si>
    <t>Cảm giác rất dễ chịu.</t>
  </si>
  <si>
    <t>娘</t>
  </si>
  <si>
    <t>むすめ</t>
  </si>
  <si>
    <t>娘[むすめ]</t>
  </si>
  <si>
    <t>con gái</t>
  </si>
  <si>
    <t>娘が生まれる。</t>
  </si>
  <si>
    <t>Con gái tôi chào đời.</t>
  </si>
  <si>
    <t>台風</t>
  </si>
  <si>
    <t>たいふう</t>
  </si>
  <si>
    <t>台風[たいふう]</t>
  </si>
  <si>
    <t>bão</t>
  </si>
  <si>
    <t>台風が接近する。</t>
  </si>
  <si>
    <t>Bão đang tới gần.</t>
  </si>
  <si>
    <t>最近</t>
  </si>
  <si>
    <t>さいきん</t>
  </si>
  <si>
    <t>最近[さいきん]</t>
  </si>
  <si>
    <t>最近忙しい。</t>
  </si>
  <si>
    <t>Gần đây tôi bận rộn.</t>
  </si>
  <si>
    <t>教室</t>
  </si>
  <si>
    <t>きょうしつ</t>
  </si>
  <si>
    <t>教室[きょうしつ]</t>
  </si>
  <si>
    <t>lớp học</t>
  </si>
  <si>
    <t>教室で学ぶ。</t>
  </si>
  <si>
    <t>Tôi học trong lớp.</t>
  </si>
  <si>
    <t>図書館</t>
  </si>
  <si>
    <t>としょかん</t>
  </si>
  <si>
    <t>図書館[としょかん]</t>
  </si>
  <si>
    <t>thư viện</t>
  </si>
  <si>
    <t>図書館へ行く。</t>
  </si>
  <si>
    <t>Tôi đến thư viện.</t>
  </si>
  <si>
    <t>文字</t>
  </si>
  <si>
    <t>もじ</t>
  </si>
  <si>
    <t>文字[もじ]</t>
  </si>
  <si>
    <t>ký tự</t>
  </si>
  <si>
    <t>文字を書く。</t>
  </si>
  <si>
    <t>Tôi viết ký tự.</t>
  </si>
  <si>
    <t>木</t>
  </si>
  <si>
    <t>木[き]</t>
  </si>
  <si>
    <t>cây</t>
  </si>
  <si>
    <t>木を植える。</t>
  </si>
  <si>
    <t>Tôi trồng cây.</t>
  </si>
  <si>
    <t>撮る</t>
  </si>
  <si>
    <t>撮[と]る</t>
  </si>
  <si>
    <t>chụp</t>
  </si>
  <si>
    <t>景色を写真に撮る。</t>
  </si>
  <si>
    <t>Tôi chụp ảnh phong cảnh.</t>
  </si>
  <si>
    <t>お元気で</t>
  </si>
  <si>
    <t>おげんきで</t>
  </si>
  <si>
    <t>お元気[げんき]で</t>
  </si>
  <si>
    <t>giữ gìn sức khỏe</t>
  </si>
  <si>
    <t>それでは、お元気で。</t>
  </si>
  <si>
    <t>Vậy nhé, giữ gìn sức khỏe.</t>
  </si>
  <si>
    <t>お土産</t>
  </si>
  <si>
    <t>おみやげ</t>
  </si>
  <si>
    <t>お土産[みやげ]</t>
  </si>
  <si>
    <t>quà lưu niệm</t>
  </si>
  <si>
    <t>日本のお土産を買う。</t>
  </si>
  <si>
    <t>Tôi mua quà lưu niệm Nhật Bản.</t>
  </si>
  <si>
    <t>その他</t>
  </si>
  <si>
    <t>そのほか</t>
  </si>
  <si>
    <t>その他[ほか]</t>
  </si>
  <si>
    <t>cái khác</t>
  </si>
  <si>
    <t>その他にありますか。</t>
  </si>
  <si>
    <t>Còn cái nào khác không?</t>
  </si>
  <si>
    <t>亡くなる</t>
  </si>
  <si>
    <t>なくなる</t>
  </si>
  <si>
    <t>亡[な]くなる</t>
  </si>
  <si>
    <t>qua đời</t>
  </si>
  <si>
    <t>祖父が亡くなる。</t>
  </si>
  <si>
    <t>Ông nội tôi đã qua đời.</t>
  </si>
  <si>
    <t>お先に</t>
  </si>
  <si>
    <t>おさきに</t>
  </si>
  <si>
    <t>お先[さき]に</t>
  </si>
  <si>
    <t>đi trước</t>
  </si>
  <si>
    <t>お先に失礼します。</t>
  </si>
  <si>
    <t>Tôi xin phép về trước.</t>
  </si>
  <si>
    <t>ご存じ</t>
  </si>
  <si>
    <t>ごぞんじ</t>
  </si>
  <si>
    <t>ご存[ぞん]じ</t>
  </si>
  <si>
    <t>ご存じのとおりだ。</t>
  </si>
  <si>
    <t>Đúng như bạn biết đấy.</t>
  </si>
  <si>
    <t>お金持ち</t>
  </si>
  <si>
    <t>おかねもち</t>
  </si>
  <si>
    <t>お金持[かねも]ち</t>
  </si>
  <si>
    <t>người giàu</t>
  </si>
  <si>
    <t>彼はお金持ちです。</t>
  </si>
  <si>
    <t>Anh ấy là người giàu.</t>
  </si>
  <si>
    <t>お祝い</t>
  </si>
  <si>
    <t>おいわい</t>
  </si>
  <si>
    <t>お祝[いわ]い</t>
  </si>
  <si>
    <t>卒業のお祝いをする。</t>
  </si>
  <si>
    <t>Tôi chúc mừng tốt nghiệp.</t>
  </si>
  <si>
    <t>お子さん</t>
  </si>
  <si>
    <t>おこさん</t>
  </si>
  <si>
    <t>お子[こ]さん</t>
  </si>
  <si>
    <t>con</t>
  </si>
  <si>
    <t>お子さんは何歳ですか。</t>
  </si>
  <si>
    <t>Con bạn mấy tuổi rồi?</t>
  </si>
  <si>
    <t>お手洗い</t>
  </si>
  <si>
    <t>おてあらい</t>
  </si>
  <si>
    <t>お手洗[てあら]い</t>
  </si>
  <si>
    <t>お手洗いはどこですか。</t>
  </si>
  <si>
    <t>Nhà vệ sinh ở đâu ạ?</t>
  </si>
  <si>
    <t>お礼</t>
  </si>
  <si>
    <t>おれい</t>
  </si>
  <si>
    <t>お礼[れい]</t>
  </si>
  <si>
    <t>お礼の手紙を送る。</t>
  </si>
  <si>
    <t>Tôi gửi thư cảm ơn.</t>
  </si>
  <si>
    <t>お宅</t>
  </si>
  <si>
    <t>おたく</t>
  </si>
  <si>
    <t>お宅[たく]</t>
  </si>
  <si>
    <t>nhà bạn</t>
  </si>
  <si>
    <t>お宅はどこですか。</t>
  </si>
  <si>
    <t>Nhà bạn ở đâu?</t>
  </si>
  <si>
    <t>お祭り</t>
  </si>
  <si>
    <t>おまつり</t>
  </si>
  <si>
    <t>お祭[まつ]り</t>
  </si>
  <si>
    <t>lễ hội</t>
  </si>
  <si>
    <t>お祭りに行く。</t>
  </si>
  <si>
    <t>Tôi đi lễ hội.</t>
  </si>
  <si>
    <t>常識</t>
  </si>
  <si>
    <t>じょうしき</t>
  </si>
  <si>
    <t>常識[じょうしき]</t>
  </si>
  <si>
    <t>thông thường</t>
  </si>
  <si>
    <t>それは社会の常識だ。</t>
  </si>
  <si>
    <t>Đó là điều thông thường trong xã hội.</t>
  </si>
  <si>
    <t>神様</t>
  </si>
  <si>
    <t>かみさま</t>
  </si>
  <si>
    <t>神様[かみさま]</t>
  </si>
  <si>
    <t>thần linh</t>
  </si>
  <si>
    <t>神様に願いをかける。</t>
  </si>
  <si>
    <t>Tôi gửi gắm ước nguyện tới thần linh.</t>
  </si>
  <si>
    <t>展開</t>
  </si>
  <si>
    <t>てんかい</t>
  </si>
  <si>
    <t>展開[てんかい]</t>
  </si>
  <si>
    <t>triển khai</t>
  </si>
  <si>
    <t>新しい事業を展開する。</t>
  </si>
  <si>
    <t>Tôi triển khai công việc kinh doanh mới.</t>
  </si>
  <si>
    <t>就職</t>
  </si>
  <si>
    <t>しゅうしょく</t>
  </si>
  <si>
    <t>就職[しゅうしょく]</t>
  </si>
  <si>
    <t>tìm việc</t>
  </si>
  <si>
    <t>大学卒業後に就職する。</t>
  </si>
  <si>
    <t>Tôi tìm việc sau khi tốt nghiệp đại học.</t>
  </si>
  <si>
    <t>あるいは</t>
  </si>
  <si>
    <t>メール、あるいは電話で連絡する。</t>
  </si>
  <si>
    <t>Tôi liên lạc qua email hoặc điện thoại.</t>
  </si>
  <si>
    <t>いつまでも</t>
  </si>
  <si>
    <t>mãi mãi</t>
  </si>
  <si>
    <t>いつまでも忘れません。</t>
  </si>
  <si>
    <t>Tôi sẽ không bao giờ quên mãi mãi.</t>
  </si>
  <si>
    <t>市民</t>
  </si>
  <si>
    <t>しみん</t>
  </si>
  <si>
    <t>市民[しみん]</t>
  </si>
  <si>
    <t>市民として働く。</t>
  </si>
  <si>
    <t>Tôi làm việc với tư cách là công dân.</t>
  </si>
  <si>
    <t>なお</t>
  </si>
  <si>
    <t>説明する。なお、詳細は...</t>
  </si>
  <si>
    <t>Giải thích. Ngoài ra, chi tiết...</t>
  </si>
  <si>
    <t>小学生</t>
  </si>
  <si>
    <t>しょうがくせい</t>
  </si>
  <si>
    <t>小学生[しょうがくせい]</t>
  </si>
  <si>
    <t>học sinh tiểu học</t>
  </si>
  <si>
    <t>小学生が遊んでいる。</t>
  </si>
  <si>
    <t>Học sinh tiểu học đang chơi đùa.</t>
  </si>
  <si>
    <t>ところが</t>
  </si>
  <si>
    <t>計画した。ところが失敗。</t>
  </si>
  <si>
    <t>Đã lên kế hoạch, nhưng thất bại.</t>
  </si>
  <si>
    <t>可</t>
  </si>
  <si>
    <t>か</t>
  </si>
  <si>
    <t>可[か]</t>
  </si>
  <si>
    <t>テストの成績は可だ。</t>
  </si>
  <si>
    <t>Kết quả kiểm tra của tôi là khá.</t>
  </si>
  <si>
    <t>夏休み</t>
  </si>
  <si>
    <t>なつやすみ</t>
  </si>
  <si>
    <t>夏休[なつやす]み</t>
  </si>
  <si>
    <t>nghỉ hè</t>
  </si>
  <si>
    <t>夏休みに旅行する。</t>
  </si>
  <si>
    <t>Tôi đi du lịch vào dịp nghỉ hè.</t>
  </si>
  <si>
    <t>禁止</t>
  </si>
  <si>
    <t>きんし</t>
  </si>
  <si>
    <t>禁止[きんし]</t>
  </si>
  <si>
    <t>cấm</t>
  </si>
  <si>
    <t>撮影は禁止されている。</t>
  </si>
  <si>
    <t>Việc quay phim chụp ảnh bị cấm.</t>
  </si>
  <si>
    <t>そういえば</t>
  </si>
  <si>
    <t>nhắc mới nhớ</t>
  </si>
  <si>
    <t>そういえば彼も来る。</t>
  </si>
  <si>
    <t>Nhắc mới nhớ, anh ấy cũng đến.</t>
  </si>
  <si>
    <t>離れる</t>
  </si>
  <si>
    <t>はなれる</t>
  </si>
  <si>
    <t>離[はな]れる</t>
  </si>
  <si>
    <t>xa cách</t>
  </si>
  <si>
    <t>駅から離れた場所に住む。</t>
  </si>
  <si>
    <t>Tôi sống ở nơi cách xa nhà ga.</t>
  </si>
  <si>
    <t>たまに</t>
  </si>
  <si>
    <t>thỉnh thoảng</t>
  </si>
  <si>
    <t>たまに運動する。</t>
  </si>
  <si>
    <t>Thỉnh thoảng tôi tập thể dục.</t>
  </si>
  <si>
    <t>幅</t>
  </si>
  <si>
    <t>はば</t>
  </si>
  <si>
    <t>幅[はば]</t>
  </si>
  <si>
    <t>chiều rộng</t>
  </si>
  <si>
    <t>道幅が広い。</t>
  </si>
  <si>
    <t>Chiều rộng con đường rất lớn.</t>
  </si>
  <si>
    <t>ところで</t>
  </si>
  <si>
    <t>nhân tiện</t>
  </si>
  <si>
    <t>ところで、仕事は？</t>
  </si>
  <si>
    <t>Nhân tiện, công việc sao rồi?</t>
  </si>
  <si>
    <t>聞こえる</t>
  </si>
  <si>
    <t>きこえる</t>
  </si>
  <si>
    <t>聞[き]こえる</t>
  </si>
  <si>
    <t>nghe thấy</t>
  </si>
  <si>
    <t>遠くの音が聞こえる。</t>
  </si>
  <si>
    <t>Tôi nghe thấy âm thanh từ xa.</t>
  </si>
  <si>
    <t>それと</t>
  </si>
  <si>
    <t>あと、それとペン。</t>
  </si>
  <si>
    <t>Còn nữa, ngoài ra là cái bút.</t>
  </si>
  <si>
    <t>役割</t>
  </si>
  <si>
    <t>やくわり</t>
  </si>
  <si>
    <t>役割[やくわり]</t>
  </si>
  <si>
    <t>各自の役割を決める。</t>
  </si>
  <si>
    <t>Tôi quyết định vai trò mỗi người.</t>
  </si>
  <si>
    <t>プロ</t>
  </si>
  <si>
    <t>ぷろ</t>
  </si>
  <si>
    <t>chuyên nghiệp</t>
  </si>
  <si>
    <t>プロの選手。</t>
  </si>
  <si>
    <t>Vận động viên chuyên nghiệp.</t>
  </si>
  <si>
    <t>まとまる</t>
  </si>
  <si>
    <t>được thống nhất</t>
  </si>
  <si>
    <t>話がまとまる。</t>
  </si>
  <si>
    <t>Câu chuyện được thống nhất.</t>
  </si>
  <si>
    <t>あんなに</t>
  </si>
  <si>
    <t>あんなに泣いたことがない。</t>
  </si>
  <si>
    <t>Tôi chưa từng khóc đến thế.</t>
  </si>
  <si>
    <t>残る</t>
  </si>
  <si>
    <t>のこる</t>
  </si>
  <si>
    <t>残[のこ]る</t>
  </si>
  <si>
    <t>còn lại</t>
  </si>
  <si>
    <t>仕事が残る。</t>
  </si>
  <si>
    <t>Công việc vẫn còn tồn đọng.</t>
  </si>
  <si>
    <t>元</t>
  </si>
  <si>
    <t>もと</t>
  </si>
  <si>
    <t>元[もと]</t>
  </si>
  <si>
    <t>nguyên bản</t>
  </si>
  <si>
    <t>元の場所に戻す。</t>
  </si>
  <si>
    <t>Tôi trả về vị trí ban đầu.</t>
  </si>
  <si>
    <t>ともかく</t>
  </si>
  <si>
    <t>ともかくやるしかない。</t>
  </si>
  <si>
    <t>Dù sao cũng phải làm thôi.</t>
  </si>
  <si>
    <t>扱う</t>
  </si>
  <si>
    <t>あつかう</t>
  </si>
  <si>
    <t>扱[あつか]う</t>
  </si>
  <si>
    <t>đối xử</t>
  </si>
  <si>
    <t>客を丁寧の扱う。</t>
  </si>
  <si>
    <t>Tôi đối xử lịch sự với khách.</t>
  </si>
  <si>
    <t>競争</t>
  </si>
  <si>
    <t>きょうそう</t>
  </si>
  <si>
    <t>競争[きょうそう]</t>
  </si>
  <si>
    <t>cạnh tranh</t>
  </si>
  <si>
    <t>価格の競争をする。</t>
  </si>
  <si>
    <t>Tôi cạnh tranh về giá cả.</t>
  </si>
  <si>
    <t>任せる</t>
  </si>
  <si>
    <t>まかせる</t>
  </si>
  <si>
    <t>任[まか]せる</t>
  </si>
  <si>
    <t>仕事を任せる。</t>
  </si>
  <si>
    <t>Tôi tin tưởng giao công việc.</t>
  </si>
  <si>
    <t>被害</t>
  </si>
  <si>
    <t>ひがい</t>
  </si>
  <si>
    <t>被害[ひがい]</t>
  </si>
  <si>
    <t>thiệt hại</t>
  </si>
  <si>
    <t>被害を減らす。</t>
  </si>
  <si>
    <t>Tôi giảm thiểu thiệt hại.</t>
  </si>
  <si>
    <t>アウト</t>
  </si>
  <si>
    <t>あうと</t>
  </si>
  <si>
    <t>ra ngoài</t>
  </si>
  <si>
    <t>そのボールはアウトです。</t>
  </si>
  <si>
    <t>Quả bóng đó ra ngoài rồi.</t>
  </si>
  <si>
    <t>コート</t>
  </si>
  <si>
    <t>こーと</t>
  </si>
  <si>
    <t>áo khoác</t>
  </si>
  <si>
    <t>コートを着て出かける。</t>
  </si>
  <si>
    <t>Tôi mặc áo khoác đi ra ngoài.</t>
  </si>
  <si>
    <t>今週</t>
  </si>
  <si>
    <t>こんしゅう</t>
  </si>
  <si>
    <t>今週[こんしゅう]</t>
  </si>
  <si>
    <t>tuần này</t>
  </si>
  <si>
    <t>今週は予定がある。</t>
  </si>
  <si>
    <t>Tuần này tôi có kế hoạch.</t>
  </si>
  <si>
    <t>特別</t>
  </si>
  <si>
    <t>とくべつ</t>
  </si>
  <si>
    <t>特別[とくべつ]</t>
  </si>
  <si>
    <t>今日は特別な日だ。</t>
  </si>
  <si>
    <t>Hôm nay là ngày đặc biệt.</t>
  </si>
  <si>
    <t>笑顔</t>
  </si>
  <si>
    <t>えがお</t>
  </si>
  <si>
    <t>笑顔[えがお]</t>
  </si>
  <si>
    <t>nụ cười</t>
  </si>
  <si>
    <t>笑顔で挨拶する。</t>
  </si>
  <si>
    <t>Tôi chào hỏi với nụ cười.</t>
  </si>
  <si>
    <t>範囲</t>
  </si>
  <si>
    <t>はんい</t>
  </si>
  <si>
    <t>範囲[はんい]</t>
  </si>
  <si>
    <t>phạm vi</t>
  </si>
  <si>
    <t>試験の範囲を調べる。</t>
  </si>
  <si>
    <t>Tôi kiểm tra phạm vi thi.</t>
  </si>
  <si>
    <t>トップ</t>
  </si>
  <si>
    <t>とっぷ</t>
  </si>
  <si>
    <t>トップを目指す。</t>
  </si>
  <si>
    <t>Tôi hướng tới vị trí dẫn đầu.</t>
  </si>
  <si>
    <t>仕方がない</t>
  </si>
  <si>
    <t>しかたがない</t>
  </si>
  <si>
    <t>仕方[しかた]がない</t>
  </si>
  <si>
    <t>không còn cách nào</t>
  </si>
  <si>
    <t>仕方がない。</t>
  </si>
  <si>
    <t>Không còn cách nào khác.</t>
  </si>
  <si>
    <t>これら</t>
  </si>
  <si>
    <t>những cái này</t>
  </si>
  <si>
    <t>これらは新しいです。</t>
  </si>
  <si>
    <t>Những cái này là đồ mới.</t>
  </si>
  <si>
    <t>たしか</t>
  </si>
  <si>
    <t>chắc chắn là</t>
  </si>
  <si>
    <t>たしかそうだった。</t>
  </si>
  <si>
    <t>Chắc chắn là đã như vậy.</t>
  </si>
  <si>
    <t>ケース</t>
  </si>
  <si>
    <t>けーす</t>
  </si>
  <si>
    <t>このケースは珍しい。</t>
  </si>
  <si>
    <t>Trường hợp này hiếm gặp.</t>
  </si>
  <si>
    <t>できれば</t>
  </si>
  <si>
    <t>nếu có thể</t>
  </si>
  <si>
    <t>できればお願いしたい。</t>
  </si>
  <si>
    <t>Nếu có thể tôi muốn nhờ.</t>
  </si>
  <si>
    <t>ますます</t>
  </si>
  <si>
    <t>ngày càng</t>
  </si>
  <si>
    <t>ますます暑くなる。</t>
  </si>
  <si>
    <t>Trời ngày càng nóng hơn.</t>
  </si>
  <si>
    <t>会話</t>
  </si>
  <si>
    <t>かいわ</t>
  </si>
  <si>
    <t>会話[かいわ]</t>
  </si>
  <si>
    <t>hội thoại</t>
  </si>
  <si>
    <t>会話を練習する。</t>
  </si>
  <si>
    <t>Tôi luyện tập hội thoại.</t>
  </si>
  <si>
    <t>広告</t>
  </si>
  <si>
    <t>こうこく</t>
  </si>
  <si>
    <t>広告[こうこく]</t>
  </si>
  <si>
    <t>quảng cáo</t>
  </si>
  <si>
    <t>新聞に広告を出す。</t>
  </si>
  <si>
    <t>Đăng quảng cáo trên báo.</t>
  </si>
  <si>
    <t>うどん</t>
  </si>
  <si>
    <t>mì udon</t>
  </si>
  <si>
    <t>昼ごはんにうどんを食べる。</t>
  </si>
  <si>
    <t>Ăn mì udon vào bữa trưa.</t>
  </si>
  <si>
    <t>移る</t>
  </si>
  <si>
    <t>うつる</t>
  </si>
  <si>
    <t>移[うつ]る</t>
  </si>
  <si>
    <t>chuyển</t>
  </si>
  <si>
    <t>会社が場所を移る。</t>
  </si>
  <si>
    <t>Công ty chuyển địa điểm.</t>
  </si>
  <si>
    <t>慣れる</t>
  </si>
  <si>
    <t>なれる</t>
  </si>
  <si>
    <t>慣[な]れる</t>
  </si>
  <si>
    <t>quen</t>
  </si>
  <si>
    <t>新しい環境に慣れる。</t>
  </si>
  <si>
    <t>Quen với môi trường mới.</t>
  </si>
  <si>
    <t>やや</t>
  </si>
  <si>
    <t>hơi</t>
  </si>
  <si>
    <t>やや難しい問題。</t>
  </si>
  <si>
    <t>Vấn đề hơi khó một chút.</t>
  </si>
  <si>
    <t>アンケート</t>
  </si>
  <si>
    <t>あんけーと</t>
  </si>
  <si>
    <t>bảng khảo sát</t>
  </si>
  <si>
    <t>アンケートに記入する。</t>
  </si>
  <si>
    <t>Điền vào bảng khảo sát.</t>
  </si>
  <si>
    <t>工業</t>
  </si>
  <si>
    <t>こうぎょう</t>
  </si>
  <si>
    <t>工業[こうぎょう]</t>
  </si>
  <si>
    <t>công nghiệp</t>
  </si>
  <si>
    <t>工業を発展させる。</t>
  </si>
  <si>
    <t>Phát triển công nghiệp.</t>
  </si>
  <si>
    <t>責任</t>
  </si>
  <si>
    <t>せきにん</t>
  </si>
  <si>
    <t>責任[せきにん]</t>
  </si>
  <si>
    <t>trách nhiệm</t>
  </si>
  <si>
    <t>責任を果たす。</t>
  </si>
  <si>
    <t>Hoàn thành trách nhiệm.</t>
  </si>
  <si>
    <t>状態</t>
  </si>
  <si>
    <t>じょうたい</t>
  </si>
  <si>
    <t>状態[じょうたい]</t>
  </si>
  <si>
    <t>trạng thái</t>
  </si>
  <si>
    <t>機械の状態がいい。</t>
  </si>
  <si>
    <t>Trạng thái máy móc tốt.</t>
  </si>
  <si>
    <t>オフィス</t>
  </si>
  <si>
    <t>おふぃす</t>
  </si>
  <si>
    <t>オフィスで仕事をする。</t>
  </si>
  <si>
    <t>にぎやか</t>
  </si>
  <si>
    <t>náo nhiệt</t>
  </si>
  <si>
    <t>にぎやかな街。</t>
  </si>
  <si>
    <t>Thành phố náo nhiệt.</t>
  </si>
  <si>
    <t>悩む</t>
  </si>
  <si>
    <t>なやむ</t>
  </si>
  <si>
    <t>悩[なや]む</t>
  </si>
  <si>
    <t>phiền não</t>
  </si>
  <si>
    <t>将来に悩む。</t>
  </si>
  <si>
    <t>Tôi phiền não về tương lai.</t>
  </si>
  <si>
    <t>作品</t>
  </si>
  <si>
    <t>さくひん</t>
  </si>
  <si>
    <t>作品[さくひん]</t>
  </si>
  <si>
    <t>tác phẩm</t>
  </si>
  <si>
    <t>作品を展示する。</t>
  </si>
  <si>
    <t>Tôi trưng bày tác phẩm.</t>
  </si>
  <si>
    <t>健康</t>
  </si>
  <si>
    <t>けんこう</t>
  </si>
  <si>
    <t>健康[けんこう]</t>
  </si>
  <si>
    <t>sức khỏe</t>
  </si>
  <si>
    <t>健康に気をつける。</t>
  </si>
  <si>
    <t>Tôi chú ý đến sức khỏe.</t>
  </si>
  <si>
    <t>個人</t>
  </si>
  <si>
    <t>こじん</t>
  </si>
  <si>
    <t>個人[こじん]</t>
  </si>
  <si>
    <t>cá nhân</t>
  </si>
  <si>
    <t>個人で判断する。</t>
  </si>
  <si>
    <t>Tôi quyết định cá nhân.</t>
  </si>
  <si>
    <t>呼び掛ける</t>
  </si>
  <si>
    <t>よびかける</t>
  </si>
  <si>
    <t>呼[よ]び掛[か]ける</t>
  </si>
  <si>
    <t>kêu gọi</t>
  </si>
  <si>
    <t>協力に呼び掛ける。</t>
  </si>
  <si>
    <t>Tôi kêu gọi sự hợp tác.</t>
  </si>
  <si>
    <t>仲間</t>
  </si>
  <si>
    <t>なかま</t>
  </si>
  <si>
    <t>仲間[なかま]</t>
  </si>
  <si>
    <t>bạn bè</t>
  </si>
  <si>
    <t>仕事の仲間。</t>
  </si>
  <si>
    <t>Bạn bè trong công việc.</t>
  </si>
  <si>
    <t>よろしい</t>
  </si>
  <si>
    <t>これでよろしいですか。</t>
  </si>
  <si>
    <t>Như vậy có tốt không ạ?</t>
  </si>
  <si>
    <t>そのうち</t>
  </si>
  <si>
    <t>chẳng bao lâu</t>
  </si>
  <si>
    <t>そのうち分かる。</t>
  </si>
  <si>
    <t>Chẳng bao lâu nữa sẽ hiểu.</t>
  </si>
  <si>
    <t>決定</t>
  </si>
  <si>
    <t>けってい</t>
  </si>
  <si>
    <t>決定[けってい]</t>
  </si>
  <si>
    <t>決定を下す。</t>
  </si>
  <si>
    <t>Tôi đưa ra quyết định.</t>
  </si>
  <si>
    <t>海外</t>
  </si>
  <si>
    <t>かいがい</t>
  </si>
  <si>
    <t>海外[かいがい]</t>
  </si>
  <si>
    <t>海外旅行に行く。</t>
  </si>
  <si>
    <t>Đi du lịch nước ngoài.</t>
  </si>
  <si>
    <t>作業</t>
  </si>
  <si>
    <t>さぎょう</t>
  </si>
  <si>
    <t>作業[さぎょう]</t>
  </si>
  <si>
    <t>作業を始める。</t>
  </si>
  <si>
    <t>Tôi bắt đầu công việc.</t>
  </si>
  <si>
    <t>確実</t>
  </si>
  <si>
    <t>かくじつ</t>
  </si>
  <si>
    <t>確実[かくじつ]</t>
  </si>
  <si>
    <t>確実な方法。</t>
  </si>
  <si>
    <t>Phương pháp chắc chắn.</t>
  </si>
  <si>
    <t>裏</t>
  </si>
  <si>
    <t>うら</t>
  </si>
  <si>
    <t>裏[うら]</t>
  </si>
  <si>
    <t>mặt trong</t>
  </si>
  <si>
    <t>服の裏。</t>
  </si>
  <si>
    <t>Mặt trong của quần áo.</t>
  </si>
  <si>
    <t>キャンプ</t>
  </si>
  <si>
    <t>きゃんぷ</t>
  </si>
  <si>
    <t>cắm trại</t>
  </si>
  <si>
    <t>週末キャンプに行く。</t>
  </si>
  <si>
    <t>Cuối tuần đi cắm trại.</t>
  </si>
  <si>
    <t>引き出す</t>
  </si>
  <si>
    <t>ひきだす</t>
  </si>
  <si>
    <t>引[ひ]き出[だ]す</t>
  </si>
  <si>
    <t>rút tiền</t>
  </si>
  <si>
    <t>銀行からお金を引き出す。</t>
  </si>
  <si>
    <t>Rút tiền từ ngân hàng.</t>
  </si>
  <si>
    <t>準備</t>
  </si>
  <si>
    <t>じゅんび</t>
  </si>
  <si>
    <t>準備[じゅんび]</t>
  </si>
  <si>
    <t>chuẩn bị</t>
  </si>
  <si>
    <t>会議の準備をする。</t>
  </si>
  <si>
    <t>Chuẩn bị cho cuộc họp.</t>
  </si>
  <si>
    <t>製品</t>
  </si>
  <si>
    <t>せいひん</t>
  </si>
  <si>
    <t>製品[せいひん]</t>
  </si>
  <si>
    <t>製品を検査する。</t>
  </si>
  <si>
    <t>Tôi kiểm tra sản phẩm.</t>
  </si>
  <si>
    <t>そのうえ</t>
  </si>
  <si>
    <t>寒い。そのうえ雨だ。</t>
  </si>
  <si>
    <t>Lạnh. Hơn nữa lại mưa.</t>
  </si>
  <si>
    <t>不安</t>
  </si>
  <si>
    <t>ふあん</t>
  </si>
  <si>
    <t>不安[ふあん]</t>
  </si>
  <si>
    <t>将来が不安だ。</t>
  </si>
  <si>
    <t>Tôi lo lắng cho tương lai.</t>
  </si>
  <si>
    <t>勉強</t>
  </si>
  <si>
    <t>べんきょう</t>
  </si>
  <si>
    <t>勉強[べんきょう]</t>
  </si>
  <si>
    <t>học tập</t>
  </si>
  <si>
    <t>毎日勉強する。</t>
  </si>
  <si>
    <t>Tôi học tập hàng ngày.</t>
  </si>
  <si>
    <t>別</t>
  </si>
  <si>
    <t>べつ</t>
  </si>
  <si>
    <t>別[べつ]</t>
  </si>
  <si>
    <t>別の道を行く。</t>
  </si>
  <si>
    <t>Tôi đi con đường khác.</t>
  </si>
  <si>
    <t>方向</t>
  </si>
  <si>
    <t>ほうこう</t>
  </si>
  <si>
    <t>方向[ほうこう]</t>
  </si>
  <si>
    <t>phương hướng</t>
  </si>
  <si>
    <t>方向を変える。</t>
  </si>
  <si>
    <t>Tôi đổi phương hướng.</t>
  </si>
  <si>
    <t>クリスマス</t>
  </si>
  <si>
    <t>くりすます</t>
  </si>
  <si>
    <t>giáng sinh</t>
  </si>
  <si>
    <t>クリスマスを祝う。</t>
  </si>
  <si>
    <t>Chúc mừng Giáng sinh.</t>
  </si>
  <si>
    <t>平均</t>
  </si>
  <si>
    <t>へいきん</t>
  </si>
  <si>
    <t>平均[へいきん]</t>
  </si>
  <si>
    <t>trung bình</t>
  </si>
  <si>
    <t>平均点を出す。</t>
  </si>
  <si>
    <t>Tính điểm trung bình.</t>
  </si>
  <si>
    <t>当てる</t>
  </si>
  <si>
    <t>あてる</t>
  </si>
  <si>
    <t>当[あ]てる</t>
  </si>
  <si>
    <t>đánh trúng</t>
  </si>
  <si>
    <t>的にボールを当てる。</t>
  </si>
  <si>
    <t>Đánh bóng trúng đích.</t>
  </si>
  <si>
    <t>プラン</t>
  </si>
  <si>
    <t>ぷらん</t>
  </si>
  <si>
    <t>新しいプランを考える。</t>
  </si>
  <si>
    <t>Nghĩ ra kế hoạch mới.</t>
  </si>
  <si>
    <t>終了</t>
  </si>
  <si>
    <t>しゅうりょう</t>
  </si>
  <si>
    <t>終了[しゅうりょう]</t>
  </si>
  <si>
    <t>手続きを終了する。</t>
  </si>
  <si>
    <t>Tôi kết thúc thủ tục.</t>
  </si>
  <si>
    <t>表す</t>
  </si>
  <si>
    <t>あらわす</t>
  </si>
  <si>
    <t>表[あらわ]す</t>
  </si>
  <si>
    <t>thể hiện</t>
  </si>
  <si>
    <t>気持ちを表す。</t>
  </si>
  <si>
    <t>Tôi thể hiện cảm xúc.</t>
  </si>
  <si>
    <t>調査</t>
  </si>
  <si>
    <t>ちょうさ</t>
  </si>
  <si>
    <t>調査[ちょうさ]</t>
  </si>
  <si>
    <t>điều tra</t>
  </si>
  <si>
    <t>現場を調査する。</t>
  </si>
  <si>
    <t>Điều tra hiện trường.</t>
  </si>
  <si>
    <t>一生懸命</t>
  </si>
  <si>
    <t>いっしょうけんめい</t>
  </si>
  <si>
    <t>一生懸命[いっしょうけんめい]</t>
  </si>
  <si>
    <t>hết sức</t>
  </si>
  <si>
    <t>一生懸命勉強する。</t>
  </si>
  <si>
    <t>Tôi học tập hết sức mình.</t>
  </si>
  <si>
    <t>役に立つ</t>
  </si>
  <si>
    <t>やくにたつ</t>
  </si>
  <si>
    <t>役[やく]に立[た]つ</t>
  </si>
  <si>
    <t>có ích</t>
  </si>
  <si>
    <t>本は役に立つ。</t>
  </si>
  <si>
    <t>Cuốn sách rất có ích.</t>
  </si>
  <si>
    <t>表面</t>
  </si>
  <si>
    <t>ひょうめん</t>
  </si>
  <si>
    <t>表面[ひょうめん]</t>
  </si>
  <si>
    <t>bề mặt</t>
  </si>
  <si>
    <t>表面を磨く。</t>
  </si>
  <si>
    <t>Tôi đánh bóng bề mặt.</t>
  </si>
  <si>
    <t>シリーズ</t>
  </si>
  <si>
    <t>しりーず</t>
  </si>
  <si>
    <t>loạt</t>
  </si>
  <si>
    <t>このシリーズは面白い。</t>
  </si>
  <si>
    <t>Loạt phim này thú vị.</t>
  </si>
  <si>
    <t>庭</t>
  </si>
  <si>
    <t>にわ</t>
  </si>
  <si>
    <t>庭[にわ]</t>
  </si>
  <si>
    <t>vườn</t>
  </si>
  <si>
    <t>庭に花を植える。</t>
  </si>
  <si>
    <t>Tôi trồng hoa trong vườn.</t>
  </si>
  <si>
    <t>成長</t>
  </si>
  <si>
    <t>せいちょう</t>
  </si>
  <si>
    <t>成長[せいちょう]</t>
  </si>
  <si>
    <t>tăng trưởng</t>
  </si>
  <si>
    <t>子供が成長する。</t>
  </si>
  <si>
    <t>Đứa trẻ đang lớn lên.</t>
  </si>
  <si>
    <t>なるべく</t>
  </si>
  <si>
    <t>càng nhiều</t>
  </si>
  <si>
    <t>なるべく早く。</t>
  </si>
  <si>
    <t>Càng nhanh càng tốt.</t>
  </si>
  <si>
    <t>基準</t>
  </si>
  <si>
    <t>きじゅん</t>
  </si>
  <si>
    <t>基準[きじゅん]</t>
  </si>
  <si>
    <t>tiêu chuẩn</t>
  </si>
  <si>
    <t>選考の基準。</t>
  </si>
  <si>
    <t>Tiêu chuẩn lựa chọn.</t>
  </si>
  <si>
    <t>成功</t>
  </si>
  <si>
    <t>せいこう</t>
  </si>
  <si>
    <t>成功[せいこう]</t>
  </si>
  <si>
    <t>thành công</t>
  </si>
  <si>
    <t>計画が成功する。</t>
  </si>
  <si>
    <t>Kế hoạch thành công.</t>
  </si>
  <si>
    <t>まるで</t>
  </si>
  <si>
    <t>giống như</t>
  </si>
  <si>
    <t>まるで夢のようだ。</t>
  </si>
  <si>
    <t>Giống như là mơ vậy.</t>
  </si>
  <si>
    <t>一定</t>
  </si>
  <si>
    <t>いってい</t>
  </si>
  <si>
    <t>一定[いってい]</t>
  </si>
  <si>
    <t>一定の条件。</t>
  </si>
  <si>
    <t>Điều kiện nhất định.</t>
  </si>
  <si>
    <t>一月</t>
  </si>
  <si>
    <t>いちがつ</t>
  </si>
  <si>
    <t>一月[いちがつ]</t>
  </si>
  <si>
    <t>tháng một</t>
  </si>
  <si>
    <t>一月に寒い。</t>
  </si>
  <si>
    <t>Tháng một trời lạnh.</t>
  </si>
  <si>
    <t>予約</t>
  </si>
  <si>
    <t>よやく</t>
  </si>
  <si>
    <t>予約[よやく]</t>
  </si>
  <si>
    <t>đặt trước</t>
  </si>
  <si>
    <t>ホテルの予約。</t>
  </si>
  <si>
    <t>Đặt phòng khách sạn.</t>
  </si>
  <si>
    <t>計算</t>
  </si>
  <si>
    <t>けいさん</t>
  </si>
  <si>
    <t>計算[けいさん]</t>
  </si>
  <si>
    <t>tính toán</t>
  </si>
  <si>
    <t>計算をする。</t>
  </si>
  <si>
    <t>Thực hiện tính toán.</t>
  </si>
  <si>
    <t>さようなら</t>
  </si>
  <si>
    <t>tạm biệt</t>
  </si>
  <si>
    <t>先生、さようなら。</t>
  </si>
  <si>
    <t>Chào thầy, tạm biệt.</t>
  </si>
  <si>
    <t>ソフト</t>
  </si>
  <si>
    <t>phần mềm</t>
  </si>
  <si>
    <t>このソフトは使いやすい。</t>
  </si>
  <si>
    <t>Phần mềm này dễ sử dụng.</t>
  </si>
  <si>
    <t>ついで</t>
  </si>
  <si>
    <t>tiện thể</t>
  </si>
  <si>
    <t>買い物のついでに行く。</t>
  </si>
  <si>
    <t>Tiện thể đi mua sắm.</t>
  </si>
  <si>
    <t>どんどん</t>
  </si>
  <si>
    <t>liên tục</t>
  </si>
  <si>
    <t>どんどん進む。</t>
  </si>
  <si>
    <t>Tiến triển liên tục.</t>
  </si>
  <si>
    <t>代表</t>
  </si>
  <si>
    <t>だいひょう</t>
  </si>
  <si>
    <t>代表[だいひょう]</t>
  </si>
  <si>
    <t>đại diện</t>
  </si>
  <si>
    <t>学校の代表。</t>
  </si>
  <si>
    <t>Đại diện của trường.</t>
  </si>
  <si>
    <t>目的</t>
  </si>
  <si>
    <t>もくてき</t>
  </si>
  <si>
    <t>目的[もくてき]</t>
  </si>
  <si>
    <t>mục đích</t>
  </si>
  <si>
    <t>観光が目的だ。</t>
  </si>
  <si>
    <t>Du lịch là mục đích.</t>
  </si>
  <si>
    <t>おもちゃ</t>
  </si>
  <si>
    <t>đồ chơi</t>
  </si>
  <si>
    <t>子供がおもちゃで遊ぶ。</t>
  </si>
  <si>
    <t>Trẻ em chơi đồ chơi.</t>
  </si>
  <si>
    <t>つまり</t>
  </si>
  <si>
    <t>tóm lại</t>
  </si>
  <si>
    <t>つまり、失敗だ。</t>
  </si>
  <si>
    <t>Tóm lại là thất bại.</t>
  </si>
  <si>
    <t>四つ</t>
  </si>
  <si>
    <t>よっつ</t>
  </si>
  <si>
    <t>四[よっ]つ</t>
  </si>
  <si>
    <t>bốn cái</t>
  </si>
  <si>
    <t>リンゴを四つ買う。</t>
  </si>
  <si>
    <t>Tôi mua bốn quả táo.</t>
  </si>
  <si>
    <t>世紀</t>
  </si>
  <si>
    <t>せいき</t>
  </si>
  <si>
    <t>世紀[せいき]</t>
  </si>
  <si>
    <t>thế kỷ</t>
  </si>
  <si>
    <t>二十一世紀。</t>
  </si>
  <si>
    <t>Thế kỷ hai mươi mốt.</t>
  </si>
  <si>
    <t>感謝</t>
  </si>
  <si>
    <t>かんしゃ</t>
  </si>
  <si>
    <t>感謝[かんしゃ]</t>
  </si>
  <si>
    <t>感謝の意を伝える。</t>
  </si>
  <si>
    <t>Truyền đạt ý cảm ơn.</t>
  </si>
  <si>
    <t>寺</t>
  </si>
  <si>
    <t>てら</t>
  </si>
  <si>
    <t>寺[てら]</t>
  </si>
  <si>
    <t>chùa</t>
  </si>
  <si>
    <t>寺を訪れる。</t>
  </si>
  <si>
    <t>Tôi viếng thăm chùa.</t>
  </si>
  <si>
    <t>生まれる</t>
  </si>
  <si>
    <t>うまれる</t>
  </si>
  <si>
    <t>生[う]まれる</t>
  </si>
  <si>
    <t>được sinh ra</t>
  </si>
  <si>
    <t>赤ちゃんが生まれる。</t>
  </si>
  <si>
    <t>Em bé được sinh ra.</t>
  </si>
  <si>
    <t>増加</t>
  </si>
  <si>
    <t>ぞうか</t>
  </si>
  <si>
    <t>増加[ぞうか]</t>
  </si>
  <si>
    <t>sự gia tăng</t>
  </si>
  <si>
    <t>輸出が増加する。</t>
  </si>
  <si>
    <t>Xuất khẩu gia tăng.</t>
  </si>
  <si>
    <t>戦争</t>
  </si>
  <si>
    <t>せんそう</t>
  </si>
  <si>
    <t>戦争[せんそう]</t>
  </si>
  <si>
    <t>chiến tranh</t>
  </si>
  <si>
    <t>戦争をなくす。</t>
  </si>
  <si>
    <t>Xóa bỏ chiến tranh.</t>
  </si>
  <si>
    <t>意外</t>
  </si>
  <si>
    <t>意外[いがい]</t>
  </si>
  <si>
    <t>ngạc nhiên</t>
  </si>
  <si>
    <t>意外な結果。</t>
  </si>
  <si>
    <t>Kết quả thật bất ngờ.</t>
  </si>
  <si>
    <t>運ぶ</t>
  </si>
  <si>
    <t>はこぶ</t>
  </si>
  <si>
    <t>運[はこ]ぶ</t>
  </si>
  <si>
    <t>vận chuyển</t>
  </si>
  <si>
    <t>荷物を運ぶ。</t>
  </si>
  <si>
    <t>Tôi vận chuyển hành lý.</t>
  </si>
  <si>
    <t>すっかり</t>
  </si>
  <si>
    <t>すっかり忘れた。</t>
  </si>
  <si>
    <t>Tôi quên hoàn toàn.</t>
  </si>
  <si>
    <t>巡る</t>
  </si>
  <si>
    <t>めぐる</t>
  </si>
  <si>
    <t>巡[めぐ]る</t>
  </si>
  <si>
    <t>dạo quanh</t>
  </si>
  <si>
    <t>世界を巡る。</t>
  </si>
  <si>
    <t>Dạo quanh thế giới.</t>
  </si>
  <si>
    <t>指導</t>
  </si>
  <si>
    <t>しどう</t>
  </si>
  <si>
    <t>指導[しどう]</t>
  </si>
  <si>
    <t>chỉ đạo</t>
  </si>
  <si>
    <t>部下を指導する。</t>
  </si>
  <si>
    <t>Tôi chỉ đạo cấp dưới.</t>
  </si>
  <si>
    <t>皆さん</t>
  </si>
  <si>
    <t>みなさん</t>
  </si>
  <si>
    <t>皆[みな]さん</t>
  </si>
  <si>
    <t>皆さんこんにちは。</t>
  </si>
  <si>
    <t>一時</t>
  </si>
  <si>
    <t>いちじ</t>
  </si>
  <si>
    <t>一時[いちじ]</t>
  </si>
  <si>
    <t>一時中断する。</t>
  </si>
  <si>
    <t>Tạm thời gián đoạn.</t>
  </si>
  <si>
    <t>建設</t>
  </si>
  <si>
    <t>けんせつ</t>
  </si>
  <si>
    <t>建設[けんせつ]</t>
  </si>
  <si>
    <t>道路を建設する。</t>
  </si>
  <si>
    <t>Xây dựng con đường.</t>
  </si>
  <si>
    <t>怒る</t>
  </si>
  <si>
    <t>おこる</t>
  </si>
  <si>
    <t>怒[おこ]る</t>
  </si>
  <si>
    <t>tức giận</t>
  </si>
  <si>
    <t>先生が怒る。</t>
  </si>
  <si>
    <t>Thầy giáo đang tức giận.</t>
  </si>
  <si>
    <t>経つ</t>
  </si>
  <si>
    <t>経[た]つ</t>
  </si>
  <si>
    <t>trôi qua</t>
  </si>
  <si>
    <t>時が経つ。</t>
  </si>
  <si>
    <t>表情</t>
  </si>
  <si>
    <t>ひょうじょう</t>
  </si>
  <si>
    <t>表情[ひょうじょう]</t>
  </si>
  <si>
    <t>biểu cảm</t>
  </si>
  <si>
    <t>豊かな表情。</t>
  </si>
  <si>
    <t>Biểu cảm phong phú.</t>
  </si>
  <si>
    <t>評価</t>
  </si>
  <si>
    <t>ひょうか</t>
  </si>
  <si>
    <t>評価[ひょうか]</t>
  </si>
  <si>
    <t>đánh giá</t>
  </si>
  <si>
    <t>仕事を評価する。</t>
  </si>
  <si>
    <t>Đánh giá công việc.</t>
  </si>
  <si>
    <t>今夜</t>
  </si>
  <si>
    <t>こんや</t>
  </si>
  <si>
    <t>今夜[こんや]</t>
  </si>
  <si>
    <t>tối nay</t>
  </si>
  <si>
    <t>今夜は勉強する。</t>
  </si>
  <si>
    <t>Tối nay tôi sẽ học.</t>
  </si>
  <si>
    <t>デート</t>
  </si>
  <si>
    <t>でーと</t>
  </si>
  <si>
    <t>hẹn hò</t>
  </si>
  <si>
    <t>明日デートする。</t>
  </si>
  <si>
    <t>Ngày mai đi hẹn hò.</t>
  </si>
  <si>
    <t>明るい</t>
  </si>
  <si>
    <t>あかるい</t>
  </si>
  <si>
    <t>明[あか]るい</t>
  </si>
  <si>
    <t>sáng</t>
  </si>
  <si>
    <t>明るい部屋。</t>
  </si>
  <si>
    <t>Căn phòng rất sáng.</t>
  </si>
  <si>
    <t>たて</t>
  </si>
  <si>
    <t>dọc</t>
  </si>
  <si>
    <t>たてに切る。</t>
  </si>
  <si>
    <t>Cắt theo chiều dọc.</t>
  </si>
  <si>
    <t>街</t>
  </si>
  <si>
    <t>街[まち]</t>
  </si>
  <si>
    <t>phố</t>
  </si>
  <si>
    <t>街を歩く。</t>
  </si>
  <si>
    <t>Tôi đi bộ trên phố.</t>
  </si>
  <si>
    <t>プログラム</t>
  </si>
  <si>
    <t>ぷろぐらむ</t>
  </si>
  <si>
    <t>chương trình</t>
  </si>
  <si>
    <t>プログラムを組む。</t>
  </si>
  <si>
    <t>Viết chương trình.</t>
  </si>
  <si>
    <t>工事</t>
  </si>
  <si>
    <t>こうじ</t>
  </si>
  <si>
    <t>工事[こうじ]</t>
  </si>
  <si>
    <t>công trường</t>
  </si>
  <si>
    <t>道路の工事をする。</t>
  </si>
  <si>
    <t>Thi công đường bộ.</t>
  </si>
  <si>
    <t>主張</t>
  </si>
  <si>
    <t>しゅちょう</t>
  </si>
  <si>
    <t>主張[しゅちょう]</t>
  </si>
  <si>
    <t>khẳng định</t>
  </si>
  <si>
    <t>意見を主張する。</t>
  </si>
  <si>
    <t>Tôi khẳng định ý kiến.</t>
  </si>
  <si>
    <t>強化</t>
  </si>
  <si>
    <t>きょうか</t>
  </si>
  <si>
    <t>強化[きょうか]</t>
  </si>
  <si>
    <t>tăng cường</t>
  </si>
  <si>
    <t>体力を強化する。</t>
  </si>
  <si>
    <t>Tăng cường thể lực.</t>
  </si>
  <si>
    <t>解決</t>
  </si>
  <si>
    <t>かいけつ</t>
  </si>
  <si>
    <t>解決[かいけつ]</t>
  </si>
  <si>
    <t>giải quyết</t>
  </si>
  <si>
    <t>困難を解決する。</t>
  </si>
  <si>
    <t>Giải quyết khó khăn.</t>
  </si>
  <si>
    <t>ただいま</t>
  </si>
  <si>
    <t>tôi đã về</t>
  </si>
  <si>
    <t>ただいま、帰りました。</t>
  </si>
  <si>
    <t>Tôi đã về nhà rồi.</t>
  </si>
  <si>
    <t>つまらない</t>
  </si>
  <si>
    <t>nhàm chán</t>
  </si>
  <si>
    <t>つまらない映画だ。</t>
  </si>
  <si>
    <t>Bộ phim nhàm chán.</t>
  </si>
  <si>
    <t>主義</t>
  </si>
  <si>
    <t>しゅぎ</t>
  </si>
  <si>
    <t>主義[しゅぎ]</t>
  </si>
  <si>
    <t>chủ nghĩa</t>
  </si>
  <si>
    <t>民主主義。</t>
  </si>
  <si>
    <t>Chủ nghĩa dân chủ.</t>
  </si>
  <si>
    <t>我々</t>
  </si>
  <si>
    <t>われわれ</t>
  </si>
  <si>
    <t>我々[われわれ]</t>
  </si>
  <si>
    <t>chúng tôi</t>
  </si>
  <si>
    <t>我々のチーム。</t>
  </si>
  <si>
    <t>Đội của chúng tôi.</t>
  </si>
  <si>
    <t>コピーする</t>
  </si>
  <si>
    <t>こぴーする</t>
  </si>
  <si>
    <t>sao chép</t>
  </si>
  <si>
    <t>書類をコピーする。</t>
  </si>
  <si>
    <t>Sao chép tài liệu.</t>
  </si>
  <si>
    <t>バック</t>
  </si>
  <si>
    <t>ばっく</t>
  </si>
  <si>
    <t>バックを確認する。</t>
  </si>
  <si>
    <t>Kiểm tra phía sau.</t>
  </si>
  <si>
    <t>並べる</t>
  </si>
  <si>
    <t>ならべる</t>
  </si>
  <si>
    <t>並[なら]べる</t>
  </si>
  <si>
    <t>本を並べる。</t>
  </si>
  <si>
    <t>Xếp sách thành hàng.</t>
  </si>
  <si>
    <t>代える</t>
  </si>
  <si>
    <t>代[か]える</t>
  </si>
  <si>
    <t>席を代える。</t>
  </si>
  <si>
    <t>Thay thế chỗ ngồi.</t>
  </si>
  <si>
    <t>進める</t>
  </si>
  <si>
    <t>すすめる</t>
  </si>
  <si>
    <t>進[すす]める</t>
  </si>
  <si>
    <t>thúc đẩy</t>
  </si>
  <si>
    <t>計画を進める。</t>
  </si>
  <si>
    <t>Thúc đẩy kế hoạch.</t>
  </si>
  <si>
    <t>きつい</t>
  </si>
  <si>
    <t>chật</t>
  </si>
  <si>
    <t>この靴はきつい。</t>
  </si>
  <si>
    <t>Đôi giày này chật.</t>
  </si>
  <si>
    <t>ショック</t>
  </si>
  <si>
    <t>しょっく</t>
  </si>
  <si>
    <t>sốc</t>
  </si>
  <si>
    <t>ニュースにショックを受ける。</t>
  </si>
  <si>
    <t>Bị sốc vì tin tức.</t>
  </si>
  <si>
    <t>メートル</t>
  </si>
  <si>
    <t>めーとる</t>
  </si>
  <si>
    <t>mét</t>
  </si>
  <si>
    <t>百メートル走。</t>
  </si>
  <si>
    <t>Chạy một trăm mét.</t>
  </si>
  <si>
    <t>世の中</t>
  </si>
  <si>
    <t>よのなか</t>
  </si>
  <si>
    <t>世[よ]の中[なか]</t>
  </si>
  <si>
    <t>đời</t>
  </si>
  <si>
    <t>世の中は広い。</t>
  </si>
  <si>
    <t>Đời thật rộng lớn.</t>
  </si>
  <si>
    <t>支払う</t>
  </si>
  <si>
    <t>しはらう</t>
  </si>
  <si>
    <t>支払[しはら]う</t>
  </si>
  <si>
    <t>trả</t>
  </si>
  <si>
    <t>代金を支払う。</t>
  </si>
  <si>
    <t>Tôi trả tiền hàng.</t>
  </si>
  <si>
    <t>語る</t>
  </si>
  <si>
    <t>かたる</t>
  </si>
  <si>
    <t>語[かた]る</t>
  </si>
  <si>
    <t>kể</t>
  </si>
  <si>
    <t>昔話を語る。</t>
  </si>
  <si>
    <t>Kể chuyện cổ tích.</t>
  </si>
  <si>
    <t>ふと</t>
  </si>
  <si>
    <t>ふと思い出す。</t>
  </si>
  <si>
    <t>Đột nhiên tôi nhớ ra.</t>
  </si>
  <si>
    <t>プラス</t>
  </si>
  <si>
    <t>ぷらす</t>
  </si>
  <si>
    <t>cộng</t>
  </si>
  <si>
    <t>プラスの結果。</t>
  </si>
  <si>
    <t>Kết quả cộng.</t>
  </si>
  <si>
    <t>午前</t>
  </si>
  <si>
    <t>ごぜん</t>
  </si>
  <si>
    <t>午前[ごぜん]</t>
  </si>
  <si>
    <t>午前に行く。</t>
  </si>
  <si>
    <t>Tôi đi buổi sáng.</t>
  </si>
  <si>
    <t>性格</t>
  </si>
  <si>
    <t>せいかく</t>
  </si>
  <si>
    <t>性格[せいかく]</t>
  </si>
  <si>
    <t>tính cách</t>
  </si>
  <si>
    <t>明るい性格。</t>
  </si>
  <si>
    <t>Tính cách vui vẻ.</t>
  </si>
  <si>
    <t>病院</t>
  </si>
  <si>
    <t>びょういん</t>
  </si>
  <si>
    <t>病院[びょういん]</t>
  </si>
  <si>
    <t>bệnh viện</t>
  </si>
  <si>
    <t>病院へ行く。</t>
  </si>
  <si>
    <t>Đi đến bệnh viện.</t>
  </si>
  <si>
    <t>通り</t>
  </si>
  <si>
    <t>とおり</t>
  </si>
  <si>
    <t>通[とお]り</t>
  </si>
  <si>
    <t>con đường</t>
  </si>
  <si>
    <t>通りを歩く。</t>
  </si>
  <si>
    <t>Đi bộ trên đường.</t>
  </si>
  <si>
    <t>けんかする</t>
  </si>
  <si>
    <t>cãi nhau</t>
  </si>
  <si>
    <t>友達とけんかする。</t>
  </si>
  <si>
    <t>Tôi cãi nhau với bạn.</t>
  </si>
  <si>
    <t>コース</t>
  </si>
  <si>
    <t>こーす</t>
  </si>
  <si>
    <t>khóa học</t>
  </si>
  <si>
    <t>新しいコースを学ぶ。</t>
  </si>
  <si>
    <t>Học khóa học mới.</t>
  </si>
  <si>
    <t>互い</t>
  </si>
  <si>
    <t>たがい</t>
  </si>
  <si>
    <t>互[たが]い</t>
  </si>
  <si>
    <t>互いに助ける。</t>
  </si>
  <si>
    <t>Giúp đỡ lẫn nhau.</t>
  </si>
  <si>
    <t>今朝</t>
  </si>
  <si>
    <t>けさ</t>
  </si>
  <si>
    <t>今朝[けさ]</t>
  </si>
  <si>
    <t>sáng nay</t>
  </si>
  <si>
    <t>今朝は早く起きた。</t>
  </si>
  <si>
    <t>Sáng nay tôi dậy sớm.</t>
  </si>
  <si>
    <t>愛</t>
  </si>
  <si>
    <t>あい</t>
  </si>
  <si>
    <t>愛[あい]</t>
  </si>
  <si>
    <t>深い愛。</t>
  </si>
  <si>
    <t>Tình yêu sâu sắc.</t>
  </si>
  <si>
    <t>運動</t>
  </si>
  <si>
    <t>うんどう</t>
  </si>
  <si>
    <t>運動[うんどう]</t>
  </si>
  <si>
    <t>vận động</t>
  </si>
  <si>
    <t>運動を始める。</t>
  </si>
  <si>
    <t>Bắt đầu vận động.</t>
  </si>
  <si>
    <t>スタート</t>
  </si>
  <si>
    <t>すたーと</t>
  </si>
  <si>
    <t>スタートの合図。</t>
  </si>
  <si>
    <t>Tín hiệu bắt đầu.</t>
  </si>
  <si>
    <t>タイトル</t>
  </si>
  <si>
    <t>たいとる</t>
  </si>
  <si>
    <t>tiêu đề</t>
  </si>
  <si>
    <t>タイトルの変更。</t>
  </si>
  <si>
    <t>Thay đổi tiêu đề.</t>
  </si>
  <si>
    <t>学習</t>
  </si>
  <si>
    <t>がくしゅう</t>
  </si>
  <si>
    <t>学習[がくしゅう]</t>
  </si>
  <si>
    <t>語学を学習する。</t>
  </si>
  <si>
    <t>Tôi học ngôn ngữ.</t>
  </si>
  <si>
    <t>弟</t>
  </si>
  <si>
    <t>おとうと</t>
  </si>
  <si>
    <t>弟[おとうと]</t>
  </si>
  <si>
    <t>em trai</t>
  </si>
  <si>
    <t>弟と遊ぶ。</t>
  </si>
  <si>
    <t>Tôi chơi với em trai.</t>
  </si>
  <si>
    <t>感情</t>
  </si>
  <si>
    <t>かんじょう</t>
  </si>
  <si>
    <t>感情[かんじょう]</t>
  </si>
  <si>
    <t>cảm xúc</t>
  </si>
  <si>
    <t>感情を抑える。</t>
  </si>
  <si>
    <t>Kiềm chế cảm xúc.</t>
  </si>
  <si>
    <t>長期</t>
  </si>
  <si>
    <t>ちょうき</t>
  </si>
  <si>
    <t>長期[ちょうき]</t>
  </si>
  <si>
    <t>lâu dài</t>
  </si>
  <si>
    <t>長期の計画だ。</t>
  </si>
  <si>
    <t>Kế hoạch lâu dài.</t>
  </si>
  <si>
    <t>不思議</t>
  </si>
  <si>
    <t>ふしぎ</t>
  </si>
  <si>
    <t>不思議[ふしぎ]</t>
  </si>
  <si>
    <t>不思議な話。</t>
  </si>
  <si>
    <t>Câu chuyện kỳ lạ.</t>
  </si>
  <si>
    <t>主人</t>
  </si>
  <si>
    <t>しゅじん</t>
  </si>
  <si>
    <t>主人[しゅじん]</t>
  </si>
  <si>
    <t>主人が帰る。</t>
  </si>
  <si>
    <t>Chồng tôi trở về.</t>
  </si>
  <si>
    <t>例</t>
  </si>
  <si>
    <t>れい</t>
  </si>
  <si>
    <t>例[れい]</t>
  </si>
  <si>
    <t>ví dụ</t>
  </si>
  <si>
    <t>例を挙げる。</t>
  </si>
  <si>
    <t>Tôi đưa ra ví dụ.</t>
  </si>
  <si>
    <t>沢山</t>
  </si>
  <si>
    <t>たくさん</t>
  </si>
  <si>
    <t>沢山[たくさん]</t>
  </si>
  <si>
    <t>沢山食べる。</t>
  </si>
  <si>
    <t>Tôi ăn rất nhiều.</t>
  </si>
  <si>
    <t>僕</t>
  </si>
  <si>
    <t>ぼく</t>
  </si>
  <si>
    <t>僕[ぼく]</t>
  </si>
  <si>
    <t>僕は学生です。</t>
  </si>
  <si>
    <t>種</t>
  </si>
  <si>
    <t>たね</t>
  </si>
  <si>
    <t>種[たね]</t>
  </si>
  <si>
    <t>hạt</t>
  </si>
  <si>
    <t>花の種をまく。</t>
  </si>
  <si>
    <t>Tôi gieo hạt hoa.</t>
  </si>
  <si>
    <t>細かい</t>
  </si>
  <si>
    <t>こまかい</t>
  </si>
  <si>
    <t>細[こま]かい</t>
  </si>
  <si>
    <t>細かい字を書く。</t>
  </si>
  <si>
    <t>Tôi viết chữ nhỏ.</t>
  </si>
  <si>
    <t>なるほど</t>
  </si>
  <si>
    <t>quả đúng là</t>
  </si>
  <si>
    <t>なるほど、そうか。</t>
  </si>
  <si>
    <t>Quả đúng là vậy.</t>
  </si>
  <si>
    <t>ピアノ</t>
  </si>
  <si>
    <t>đàn piano</t>
  </si>
  <si>
    <t>ピアノを弾く練習をする。</t>
  </si>
  <si>
    <t>Luyện tập chơi đàn piano.</t>
  </si>
  <si>
    <t>便利</t>
  </si>
  <si>
    <t>べんり</t>
  </si>
  <si>
    <t>便利[べんり]</t>
  </si>
  <si>
    <t>tiện lợi</t>
  </si>
  <si>
    <t>非常に便利だ。</t>
  </si>
  <si>
    <t>Nó rất tiện lợi.</t>
  </si>
  <si>
    <t>記録</t>
  </si>
  <si>
    <t>きろく</t>
  </si>
  <si>
    <t>記録[きろく]</t>
  </si>
  <si>
    <t>ghi chép</t>
  </si>
  <si>
    <t>記録を残す。</t>
  </si>
  <si>
    <t>Để lại ghi chép.</t>
  </si>
  <si>
    <t>まさに</t>
  </si>
  <si>
    <t>đúng là</t>
  </si>
  <si>
    <t>まさにその通り。</t>
  </si>
  <si>
    <t>Đúng là như vậy.</t>
  </si>
  <si>
    <t>ヨーロッパ</t>
  </si>
  <si>
    <t>よーろっぱ</t>
  </si>
  <si>
    <t>châu âu</t>
  </si>
  <si>
    <t>ヨーロッパ旅行。</t>
  </si>
  <si>
    <t>Du lịch châu Âu.</t>
  </si>
  <si>
    <t>丁寧</t>
  </si>
  <si>
    <t>ていねい</t>
  </si>
  <si>
    <t>丁寧[ていねい]</t>
  </si>
  <si>
    <t>lịch sự</t>
  </si>
  <si>
    <t>丁寧な言葉。</t>
  </si>
  <si>
    <t>Ngôn từ lịch sự.</t>
  </si>
  <si>
    <t>床</t>
  </si>
  <si>
    <t>ゆか</t>
  </si>
  <si>
    <t>床[ゆか]</t>
  </si>
  <si>
    <t>sàn nhà</t>
  </si>
  <si>
    <t>床を掃除する。</t>
  </si>
  <si>
    <t>Dọn dẹp sàn nhà.</t>
  </si>
  <si>
    <t>許す</t>
  </si>
  <si>
    <t>ゆるす</t>
  </si>
  <si>
    <t>許[ゆる]す</t>
  </si>
  <si>
    <t>tha thứ</t>
  </si>
  <si>
    <t>過ちを許す。</t>
  </si>
  <si>
    <t>Tha thứ lỗi lầm.</t>
  </si>
  <si>
    <t>質問</t>
  </si>
  <si>
    <t>しつもん</t>
  </si>
  <si>
    <t>質問[しつもん]</t>
  </si>
  <si>
    <t>câu hỏi</t>
  </si>
  <si>
    <t>先生の質問に答える。</t>
  </si>
  <si>
    <t>Trả lời câu hỏi của giáo viên.</t>
  </si>
  <si>
    <t>カバー</t>
  </si>
  <si>
    <t>かばー</t>
  </si>
  <si>
    <t>vỏ bọc</t>
  </si>
  <si>
    <t>椅子のカバーを洗う。</t>
  </si>
  <si>
    <t>Giặt vỏ bọc ghế.</t>
  </si>
  <si>
    <t>価格</t>
  </si>
  <si>
    <t>かかく</t>
  </si>
  <si>
    <t>価格[かかく]</t>
  </si>
  <si>
    <t>giá cả</t>
  </si>
  <si>
    <t>価格を下げる。</t>
  </si>
  <si>
    <t>Tôi giảm giá cả.</t>
  </si>
  <si>
    <t>試験</t>
  </si>
  <si>
    <t>しけん</t>
  </si>
  <si>
    <t>試験[しけん]</t>
  </si>
  <si>
    <t>kỳ thi</t>
  </si>
  <si>
    <t>試験を受ける。</t>
  </si>
  <si>
    <t>Tham gia kỳ thi.</t>
  </si>
  <si>
    <t>両親</t>
  </si>
  <si>
    <t>りょうしん</t>
  </si>
  <si>
    <t>両親[りょうしん]</t>
  </si>
  <si>
    <t>両親と暮らす。</t>
  </si>
  <si>
    <t>Sống cùng bố mẹ.</t>
  </si>
  <si>
    <t>壊れる</t>
  </si>
  <si>
    <t>こわれる</t>
  </si>
  <si>
    <t>壊[こわ]れる</t>
  </si>
  <si>
    <t>hỏng</t>
  </si>
  <si>
    <t>時計が壊れる。</t>
  </si>
  <si>
    <t>Đồng hồ bị hỏng.</t>
  </si>
  <si>
    <t>悲しい</t>
  </si>
  <si>
    <t>かなしい</t>
  </si>
  <si>
    <t>悲[かな]しい</t>
  </si>
  <si>
    <t>悲しい物語。</t>
  </si>
  <si>
    <t>Câu chuyện buồn.</t>
  </si>
  <si>
    <t>小</t>
  </si>
  <si>
    <t>しょう</t>
  </si>
  <si>
    <t>小[しょう]</t>
  </si>
  <si>
    <t>小会議を開く。</t>
  </si>
  <si>
    <t>Mở cuộc họp nhỏ.</t>
  </si>
  <si>
    <t>雨</t>
  </si>
  <si>
    <t>あめ</t>
  </si>
  <si>
    <t>雨[あめ]</t>
  </si>
  <si>
    <t>mưa</t>
  </si>
  <si>
    <t>雨が降り始めた。</t>
  </si>
  <si>
    <t>Mưa bắt đầu rơi.</t>
  </si>
  <si>
    <t>パパ</t>
  </si>
  <si>
    <t>ぱぱ</t>
  </si>
  <si>
    <t>パパと出かける。</t>
  </si>
  <si>
    <t>Tôi đi chơi cùng bố.</t>
  </si>
  <si>
    <t>デパート</t>
  </si>
  <si>
    <t>でぱーと</t>
  </si>
  <si>
    <t>cửa hàng bách hóa</t>
  </si>
  <si>
    <t>デパートで買う。</t>
  </si>
  <si>
    <t>Mua ở cửa hàng bách hóa.</t>
  </si>
  <si>
    <t>スタイル</t>
  </si>
  <si>
    <t>すたいる</t>
  </si>
  <si>
    <t>phong cách</t>
  </si>
  <si>
    <t>スタイルがいい。</t>
  </si>
  <si>
    <t>Phong cách tốt.</t>
  </si>
  <si>
    <t>マスク</t>
  </si>
  <si>
    <t>ますく</t>
  </si>
  <si>
    <t>khẩu trang</t>
  </si>
  <si>
    <t>マスクをつける。</t>
  </si>
  <si>
    <t>Đeo khẩu trang.</t>
  </si>
  <si>
    <t>調子</t>
  </si>
  <si>
    <t>ちょうし</t>
  </si>
  <si>
    <t>調子[ちょうし]</t>
  </si>
  <si>
    <t>tình trạng</t>
  </si>
  <si>
    <t>調子が良い。</t>
  </si>
  <si>
    <t>Tình trạng tốt.</t>
  </si>
  <si>
    <t>全然</t>
  </si>
  <si>
    <t>ぜんぜん</t>
  </si>
  <si>
    <t>全然[ぜんぜん]</t>
  </si>
  <si>
    <t>全然違う。</t>
  </si>
  <si>
    <t>Hoàn toàn khác.</t>
  </si>
  <si>
    <t>人生</t>
  </si>
  <si>
    <t>じんせい</t>
  </si>
  <si>
    <t>人生[じんせい]</t>
  </si>
  <si>
    <t>cuộc đời</t>
  </si>
  <si>
    <t>人生を語る。</t>
  </si>
  <si>
    <t>Tôi kể về cuộc đời.</t>
  </si>
  <si>
    <t>そろそろ</t>
  </si>
  <si>
    <t>sắp sửa</t>
  </si>
  <si>
    <t>そろそろ帰ります。</t>
  </si>
  <si>
    <t>Tôi sắp sửa về.</t>
  </si>
  <si>
    <t>思い出</t>
  </si>
  <si>
    <t>おもいで</t>
  </si>
  <si>
    <t>思[おも]い出[で]</t>
  </si>
  <si>
    <t>kỷ niệm</t>
  </si>
  <si>
    <t>楽しい思い出。</t>
  </si>
  <si>
    <t>Kỷ niệm vui vẻ.</t>
  </si>
  <si>
    <t>サラダ</t>
  </si>
  <si>
    <t>さらだ</t>
  </si>
  <si>
    <t>sa lát</t>
  </si>
  <si>
    <t>サラダを注文する。</t>
  </si>
  <si>
    <t>Gọi món sa lát.</t>
  </si>
  <si>
    <t>そのころ</t>
  </si>
  <si>
    <t>そのころは忙しい。</t>
  </si>
  <si>
    <t>Lúc đó tôi bận.</t>
  </si>
  <si>
    <t>チャンス</t>
  </si>
  <si>
    <t>ちゃんす</t>
  </si>
  <si>
    <t>cơ hội</t>
  </si>
  <si>
    <t>チャンスをつかむ。</t>
  </si>
  <si>
    <t>Nắm bắt cơ hội.</t>
  </si>
  <si>
    <t>様</t>
  </si>
  <si>
    <t>さま</t>
  </si>
  <si>
    <t>様[さま]</t>
  </si>
  <si>
    <t>quý vị</t>
  </si>
  <si>
    <t>お客様。</t>
  </si>
  <si>
    <t>Chào quý khách.</t>
  </si>
  <si>
    <t>赤</t>
  </si>
  <si>
    <t>あか</t>
  </si>
  <si>
    <t>赤[あか]</t>
  </si>
  <si>
    <t>màu đỏ</t>
  </si>
  <si>
    <t>赤が目立つ。</t>
  </si>
  <si>
    <t>Màu đỏ nổi bật.</t>
  </si>
  <si>
    <t>起こる</t>
  </si>
  <si>
    <t>起[お]こる</t>
  </si>
  <si>
    <t>xảy ra</t>
  </si>
  <si>
    <t>事故が起こる。</t>
  </si>
  <si>
    <t>Tai nạn xảy ra.</t>
  </si>
  <si>
    <t>生きる</t>
  </si>
  <si>
    <t>いきる</t>
  </si>
  <si>
    <t>生[い]きる</t>
  </si>
  <si>
    <t>幸せに生きる。</t>
  </si>
  <si>
    <t>Sống hạnh phúc.</t>
  </si>
  <si>
    <t>島</t>
  </si>
  <si>
    <t>しま</t>
  </si>
  <si>
    <t>島[しま]</t>
  </si>
  <si>
    <t>đảo</t>
  </si>
  <si>
    <t>島へ旅行する。</t>
  </si>
  <si>
    <t>Đi du lịch đảo.</t>
  </si>
  <si>
    <t>男性</t>
  </si>
  <si>
    <t>だんせい</t>
  </si>
  <si>
    <t>男性[だんせい]</t>
  </si>
  <si>
    <t>男性の服装。</t>
  </si>
  <si>
    <t>Trang phục nam.</t>
  </si>
  <si>
    <t>軽い</t>
  </si>
  <si>
    <t>かるい</t>
  </si>
  <si>
    <t>軽[かる]い</t>
  </si>
  <si>
    <t>nhẹ</t>
  </si>
  <si>
    <t>軽い荷物だ。</t>
  </si>
  <si>
    <t>Hành lý nhẹ.</t>
  </si>
  <si>
    <t>魚</t>
  </si>
  <si>
    <t>さかな</t>
  </si>
  <si>
    <t>魚[さかな]</t>
  </si>
  <si>
    <t>cá</t>
  </si>
  <si>
    <t>美味しい魚を食べる。</t>
  </si>
  <si>
    <t>Tôi ăn cá ngon.</t>
  </si>
  <si>
    <t>じっと</t>
  </si>
  <si>
    <t>chăm chú</t>
  </si>
  <si>
    <t>じっと見つめる。</t>
  </si>
  <si>
    <t>Nhìn chăm chú.</t>
  </si>
  <si>
    <t>そっち</t>
  </si>
  <si>
    <t>そっちへ行く。</t>
  </si>
  <si>
    <t>Đi về phía đó.</t>
  </si>
  <si>
    <t>価値</t>
  </si>
  <si>
    <t>かち</t>
  </si>
  <si>
    <t>価値[かち]</t>
  </si>
  <si>
    <t>giá trị</t>
  </si>
  <si>
    <t>価値がある。</t>
  </si>
  <si>
    <t>Nó có giá trị.</t>
  </si>
  <si>
    <t>全部</t>
  </si>
  <si>
    <t>ぜんぶ</t>
  </si>
  <si>
    <t>全部[ぜんぶ]</t>
  </si>
  <si>
    <t>全部食べる。</t>
  </si>
  <si>
    <t>Tôi ăn tất cả.</t>
  </si>
  <si>
    <t>取り出す</t>
  </si>
  <si>
    <t>とりだす</t>
  </si>
  <si>
    <t>取[と]り出[だ]す</t>
  </si>
  <si>
    <t>財布を取り出す。</t>
  </si>
  <si>
    <t>Tôi lấy ví ra.</t>
  </si>
  <si>
    <t>カレー</t>
  </si>
  <si>
    <t>かれー</t>
  </si>
  <si>
    <t>cà ri</t>
  </si>
  <si>
    <t>カレーを作る。</t>
  </si>
  <si>
    <t>Nấu món cà ri.</t>
  </si>
  <si>
    <t>白い</t>
  </si>
  <si>
    <t>しろい</t>
  </si>
  <si>
    <t>白[しろ]い</t>
  </si>
  <si>
    <t>trắng</t>
  </si>
  <si>
    <t>白い紙。</t>
  </si>
  <si>
    <t>Tờ giấy trắng.</t>
  </si>
  <si>
    <t>理解</t>
  </si>
  <si>
    <t>りかい</t>
  </si>
  <si>
    <t>理解[りかい]</t>
  </si>
  <si>
    <t>内容を理解する。</t>
  </si>
  <si>
    <t>Hiểu nội dung.</t>
  </si>
  <si>
    <t>負ける</t>
  </si>
  <si>
    <t>まける</t>
  </si>
  <si>
    <t>負[ま]ける</t>
  </si>
  <si>
    <t>thua</t>
  </si>
  <si>
    <t>試合に負ける。</t>
  </si>
  <si>
    <t>Thua trận đấu.</t>
  </si>
  <si>
    <t>選ぶ</t>
  </si>
  <si>
    <t>えらぶ</t>
  </si>
  <si>
    <t>選[えら]ぶ</t>
  </si>
  <si>
    <t>chọn</t>
  </si>
  <si>
    <t>商品を選ぶ。</t>
  </si>
  <si>
    <t>Chọn sản phẩm.</t>
  </si>
  <si>
    <t>ペン</t>
  </si>
  <si>
    <t>ぺん</t>
  </si>
  <si>
    <t>bút</t>
  </si>
  <si>
    <t>ペンで書く。</t>
  </si>
  <si>
    <t>Viết bằng bút.</t>
  </si>
  <si>
    <t>たばこ</t>
  </si>
  <si>
    <t>thuốc lá</t>
  </si>
  <si>
    <t>たばこを吸う。</t>
  </si>
  <si>
    <t>Hút thuốc lá.</t>
  </si>
  <si>
    <t>下る</t>
  </si>
  <si>
    <t>くだる</t>
  </si>
  <si>
    <t>下[くだ]る</t>
  </si>
  <si>
    <t>đi xuống</t>
  </si>
  <si>
    <t>坂を下る。</t>
  </si>
  <si>
    <t>Đi xuống dốc.</t>
  </si>
  <si>
    <t>効果</t>
  </si>
  <si>
    <t>こうか</t>
  </si>
  <si>
    <t>効果[こうか]</t>
  </si>
  <si>
    <t>hiệu quả</t>
  </si>
  <si>
    <t>高い効果。</t>
  </si>
  <si>
    <t>Hiệu quả cao.</t>
  </si>
  <si>
    <t>連絡</t>
  </si>
  <si>
    <t>れんらく</t>
  </si>
  <si>
    <t>連絡[れんらく]</t>
  </si>
  <si>
    <t>liên lạc</t>
  </si>
  <si>
    <t>連絡を取る。</t>
  </si>
  <si>
    <t>Giữ liên lạc.</t>
  </si>
  <si>
    <t>ジュース</t>
  </si>
  <si>
    <t>じゅーす</t>
  </si>
  <si>
    <t>nước ép</t>
  </si>
  <si>
    <t>ジュースを飲む。</t>
  </si>
  <si>
    <t>Uống nước ép.</t>
  </si>
  <si>
    <t>予想</t>
  </si>
  <si>
    <t>よそう</t>
  </si>
  <si>
    <t>予想[よそう]</t>
  </si>
  <si>
    <t>dự đoán</t>
  </si>
  <si>
    <t>予想が当たる。</t>
  </si>
  <si>
    <t>Dự đoán đúng.</t>
  </si>
  <si>
    <t>半</t>
  </si>
  <si>
    <t>はん</t>
  </si>
  <si>
    <t>半[はん]</t>
  </si>
  <si>
    <t>một nửa</t>
  </si>
  <si>
    <t>一時半。</t>
  </si>
  <si>
    <t>Một giờ rưỡi.</t>
  </si>
  <si>
    <t>記事</t>
  </si>
  <si>
    <t>きじ</t>
  </si>
  <si>
    <t>記事[きじ]</t>
  </si>
  <si>
    <t>bài báo</t>
  </si>
  <si>
    <t>記事を書く。</t>
  </si>
  <si>
    <t>Viết bài báo.</t>
  </si>
  <si>
    <t>プール</t>
  </si>
  <si>
    <t>ぷーる</t>
  </si>
  <si>
    <t>bể bơi</t>
  </si>
  <si>
    <t>プールで泳ぐ。</t>
  </si>
  <si>
    <t>Bơi ở bể bơi.</t>
  </si>
  <si>
    <t>女子</t>
  </si>
  <si>
    <t>じょし</t>
  </si>
  <si>
    <t>女子[じょし]</t>
  </si>
  <si>
    <t>女子学生。</t>
  </si>
  <si>
    <t>Sinh viên nữ.</t>
  </si>
  <si>
    <t>絵</t>
  </si>
  <si>
    <t>え</t>
  </si>
  <si>
    <t>絵[え]</t>
  </si>
  <si>
    <t>tranh</t>
  </si>
  <si>
    <t>絵を描く。</t>
  </si>
  <si>
    <t>Tôi vẽ tranh.</t>
  </si>
  <si>
    <t>胸</t>
  </si>
  <si>
    <t>むね</t>
  </si>
  <si>
    <t>胸[むね]</t>
  </si>
  <si>
    <t>ngực</t>
  </si>
  <si>
    <t>胸が痛む。</t>
  </si>
  <si>
    <t>Ngực tôi đau.</t>
  </si>
  <si>
    <t>遊ぶ</t>
  </si>
  <si>
    <t>あそぶ</t>
  </si>
  <si>
    <t>遊[あそ]ぶ</t>
  </si>
  <si>
    <t>chơi</t>
  </si>
  <si>
    <t>休日に友達と遊ぶ。</t>
  </si>
  <si>
    <t>Tôi chơi với bạn bè vào ngày nghỉ.</t>
  </si>
  <si>
    <t>かばん</t>
  </si>
  <si>
    <t>cặp sách</t>
  </si>
  <si>
    <t>かばんに入れる。</t>
  </si>
  <si>
    <t>Cho vào cặp.</t>
  </si>
  <si>
    <t>スーツ</t>
  </si>
  <si>
    <t>すーつ</t>
  </si>
  <si>
    <t>bộ vest</t>
  </si>
  <si>
    <t>スーツを着る。</t>
  </si>
  <si>
    <t>Mặc bộ vest.</t>
  </si>
  <si>
    <t>どっち</t>
  </si>
  <si>
    <t>どっちがいい。</t>
  </si>
  <si>
    <t>Bên nào tốt?</t>
  </si>
  <si>
    <t>組む</t>
  </si>
  <si>
    <t>くむ</t>
  </si>
  <si>
    <t>組[く]む</t>
  </si>
  <si>
    <t>bắt cặp</t>
  </si>
  <si>
    <t>チームを組む。</t>
  </si>
  <si>
    <t>Tôi lập đội.</t>
  </si>
  <si>
    <t>ネクタイ</t>
  </si>
  <si>
    <t>cà vạt</t>
  </si>
  <si>
    <t>ネクタイを締める。</t>
  </si>
  <si>
    <t>Thắt cà vạt.</t>
  </si>
  <si>
    <t>両方</t>
  </si>
  <si>
    <t>りょうほう</t>
  </si>
  <si>
    <t>両方[りょうほう]</t>
  </si>
  <si>
    <t>cả hai</t>
  </si>
  <si>
    <t>両方選ぶ。</t>
  </si>
  <si>
    <t>Chọn cả hai.</t>
  </si>
  <si>
    <t>人口</t>
  </si>
  <si>
    <t>じんこう</t>
  </si>
  <si>
    <t>人口[じんこう]</t>
  </si>
  <si>
    <t>dân số</t>
  </si>
  <si>
    <t>日本の人口が増える。</t>
  </si>
  <si>
    <t>Dân số Nhật Bản tăng lên.</t>
  </si>
  <si>
    <t>閉める</t>
  </si>
  <si>
    <t>しめる</t>
  </si>
  <si>
    <t>閉[し]める</t>
  </si>
  <si>
    <t>窓を閉める。</t>
  </si>
  <si>
    <t>Đóng cửa sổ.</t>
  </si>
  <si>
    <t>テーブル</t>
  </si>
  <si>
    <t>てーぶる</t>
  </si>
  <si>
    <t>bàn</t>
  </si>
  <si>
    <t>テーブルに置く。</t>
  </si>
  <si>
    <t>Đặt lên bàn.</t>
  </si>
  <si>
    <t>押える</t>
  </si>
  <si>
    <t>おさえる</t>
  </si>
  <si>
    <t>押[おさ]える</t>
  </si>
  <si>
    <t>giữ</t>
  </si>
  <si>
    <t>髪を押える。</t>
  </si>
  <si>
    <t>Giữ mái tóc.</t>
  </si>
  <si>
    <t>三つ</t>
  </si>
  <si>
    <t>みっつ</t>
  </si>
  <si>
    <t>三[みっ]つ</t>
  </si>
  <si>
    <t>ba cái</t>
  </si>
  <si>
    <t>三つ買う。</t>
  </si>
  <si>
    <t>Mua ba cái.</t>
  </si>
  <si>
    <t>中々</t>
  </si>
  <si>
    <t>なかなか</t>
  </si>
  <si>
    <t>中々[なかなか]</t>
  </si>
  <si>
    <t>khá là</t>
  </si>
  <si>
    <t>中々いい。</t>
  </si>
  <si>
    <t>Khá là tốt.</t>
  </si>
  <si>
    <t>制度</t>
  </si>
  <si>
    <t>せいど</t>
  </si>
  <si>
    <t>制度[せいど]</t>
  </si>
  <si>
    <t>chế độ</t>
  </si>
  <si>
    <t>新しい制度。</t>
  </si>
  <si>
    <t>Chế độ mới.</t>
  </si>
  <si>
    <t>ガラス</t>
  </si>
  <si>
    <t>thủy tinh</t>
  </si>
  <si>
    <t>ガラスのコップが割れた。</t>
  </si>
  <si>
    <t>Cốc thủy tinh bị vỡ.</t>
  </si>
  <si>
    <t>百</t>
  </si>
  <si>
    <t>ひゃく</t>
  </si>
  <si>
    <t>百[ひゃく]</t>
  </si>
  <si>
    <t>trăm</t>
  </si>
  <si>
    <t>百円です。</t>
  </si>
  <si>
    <t>Là 100 yên.</t>
  </si>
  <si>
    <t>カップ</t>
  </si>
  <si>
    <t>かっぷ</t>
  </si>
  <si>
    <t>cốc</t>
  </si>
  <si>
    <t>コーヒーのカップ。</t>
  </si>
  <si>
    <t>Cốc cà phê.</t>
  </si>
  <si>
    <t>なさる</t>
  </si>
  <si>
    <t>何をなさるか。</t>
  </si>
  <si>
    <t>Ngài làm gì thế ạ?</t>
  </si>
  <si>
    <t>ミス</t>
  </si>
  <si>
    <t>みす</t>
  </si>
  <si>
    <t>lỗi</t>
  </si>
  <si>
    <t>ミスをする。</t>
  </si>
  <si>
    <t>Gây ra lỗi.</t>
  </si>
  <si>
    <t>指す</t>
  </si>
  <si>
    <t>さす</t>
  </si>
  <si>
    <t>指[さ]す</t>
  </si>
  <si>
    <t>chỉ</t>
  </si>
  <si>
    <t>地図を指す。</t>
  </si>
  <si>
    <t>Chỉ bản đồ.</t>
  </si>
  <si>
    <t>抱える</t>
  </si>
  <si>
    <t>かかえる</t>
  </si>
  <si>
    <t>抱[かか]える</t>
  </si>
  <si>
    <t>ôm</t>
  </si>
  <si>
    <t>荷物を抱える。</t>
  </si>
  <si>
    <t>Ôm hành lý.</t>
  </si>
  <si>
    <t>件</t>
  </si>
  <si>
    <t>件[けん]</t>
  </si>
  <si>
    <t>その件。</t>
  </si>
  <si>
    <t>Vấn đề đó.</t>
  </si>
  <si>
    <t>通る</t>
  </si>
  <si>
    <t>とおる</t>
  </si>
  <si>
    <t>通[とお]る</t>
  </si>
  <si>
    <t>đi qua</t>
  </si>
  <si>
    <t>車が通る。</t>
  </si>
  <si>
    <t>Xe đi qua.</t>
  </si>
  <si>
    <t>パンツ</t>
  </si>
  <si>
    <t>ぱんつ</t>
  </si>
  <si>
    <t>quần</t>
  </si>
  <si>
    <t>パンツを洗う。</t>
  </si>
  <si>
    <t>Giặt quần.</t>
  </si>
  <si>
    <t>セット</t>
  </si>
  <si>
    <t>せっと</t>
  </si>
  <si>
    <t>bộ</t>
  </si>
  <si>
    <t>セットで買う。</t>
  </si>
  <si>
    <t>Mua cả bộ.</t>
  </si>
  <si>
    <t>以来</t>
  </si>
  <si>
    <t>いらい</t>
  </si>
  <si>
    <t>以来[いらい]</t>
  </si>
  <si>
    <t>kể từ đó</t>
  </si>
  <si>
    <t>それ以来。</t>
  </si>
  <si>
    <t>Kể từ đó.</t>
  </si>
  <si>
    <t>タクシー</t>
  </si>
  <si>
    <t>たくしー</t>
  </si>
  <si>
    <t>xe taxi</t>
  </si>
  <si>
    <t>タクシーを呼ぶ。</t>
  </si>
  <si>
    <t>Gọi taxi.</t>
  </si>
  <si>
    <t>まっすぐ</t>
  </si>
  <si>
    <t>thẳng</t>
  </si>
  <si>
    <t>まっすぐ行く。</t>
  </si>
  <si>
    <t>Đi thẳng.</t>
  </si>
  <si>
    <t>カーテン</t>
  </si>
  <si>
    <t>かーてん</t>
  </si>
  <si>
    <t>rèm</t>
  </si>
  <si>
    <t>カーテンを閉める。</t>
  </si>
  <si>
    <t>Đóng rèm.</t>
  </si>
  <si>
    <t>ガス</t>
  </si>
  <si>
    <t>がす</t>
  </si>
  <si>
    <t>gas</t>
  </si>
  <si>
    <t>ガスを止める。</t>
  </si>
  <si>
    <t>Khóa gas.</t>
  </si>
  <si>
    <t>火</t>
  </si>
  <si>
    <t>火[ひ]</t>
  </si>
  <si>
    <t>lửa</t>
  </si>
  <si>
    <t>火を灯す。</t>
  </si>
  <si>
    <t>Thắp lửa.</t>
  </si>
  <si>
    <t>返す</t>
  </si>
  <si>
    <t>かえす</t>
  </si>
  <si>
    <t>返[かえ]す</t>
  </si>
  <si>
    <t>本を返す。</t>
  </si>
  <si>
    <t>Trả sách.</t>
  </si>
  <si>
    <t>指</t>
  </si>
  <si>
    <t>ゆび</t>
  </si>
  <si>
    <t>指[ゆび]</t>
  </si>
  <si>
    <t>ngón tay</t>
  </si>
  <si>
    <t>指を切る。</t>
  </si>
  <si>
    <t>Đứt tay.</t>
  </si>
  <si>
    <t>ごみ</t>
  </si>
  <si>
    <t>rác</t>
  </si>
  <si>
    <t>ごみを捨てる。</t>
  </si>
  <si>
    <t>Vứt rác.</t>
  </si>
  <si>
    <t>上る</t>
  </si>
  <si>
    <t>のぼる</t>
  </si>
  <si>
    <t>上[のぼ]る</t>
  </si>
  <si>
    <t>leo</t>
  </si>
  <si>
    <t>山に上る。</t>
  </si>
  <si>
    <t>手紙</t>
  </si>
  <si>
    <t>てがみ</t>
  </si>
  <si>
    <t>手紙[てがみ]</t>
  </si>
  <si>
    <t>thư</t>
  </si>
  <si>
    <t>手紙を出す。</t>
  </si>
  <si>
    <t>Gửi thư.</t>
  </si>
  <si>
    <t>ドア</t>
  </si>
  <si>
    <t>どあ</t>
  </si>
  <si>
    <t>cửa</t>
  </si>
  <si>
    <t>ドアを開ける。</t>
  </si>
  <si>
    <t>Mở cửa.</t>
  </si>
  <si>
    <t>下手</t>
  </si>
  <si>
    <t>へた</t>
  </si>
  <si>
    <t>下手[へた]</t>
  </si>
  <si>
    <t>kém</t>
  </si>
  <si>
    <t>絵が下手だ。</t>
  </si>
  <si>
    <t>Vẽ kém.</t>
  </si>
  <si>
    <t>抜く</t>
  </si>
  <si>
    <t>ぬく</t>
  </si>
  <si>
    <t>抜[ぬ]く</t>
  </si>
  <si>
    <t>nhổ</t>
  </si>
  <si>
    <t>草を抜く。</t>
  </si>
  <si>
    <t>Nhổ cỏ.</t>
  </si>
  <si>
    <t>与党</t>
  </si>
  <si>
    <t>よとう</t>
  </si>
  <si>
    <t>与党[よとう]</t>
  </si>
  <si>
    <t>đảng cầm quyền</t>
  </si>
  <si>
    <t>与党に所属する。</t>
  </si>
  <si>
    <t>Thuộc đảng cầm quyền.</t>
  </si>
  <si>
    <t>主人公</t>
  </si>
  <si>
    <t>しゅじんこう</t>
  </si>
  <si>
    <t>主人公[しゅじんこう]</t>
  </si>
  <si>
    <t>nhân vật chính</t>
  </si>
  <si>
    <t>物語の主人公。</t>
  </si>
  <si>
    <t>Nhân vật chính của câu chuyện.</t>
  </si>
  <si>
    <t>革命</t>
  </si>
  <si>
    <t>かくめい</t>
  </si>
  <si>
    <t>革命[かくめい]</t>
  </si>
  <si>
    <t>cuộc cách mạng</t>
  </si>
  <si>
    <t>革命を起こす。</t>
  </si>
  <si>
    <t>Gây ra cuộc cách mạng.</t>
  </si>
  <si>
    <t>出演</t>
  </si>
  <si>
    <t>しゅつえん</t>
  </si>
  <si>
    <t>出演[しゅつえん]</t>
  </si>
  <si>
    <t>sự trình diễn</t>
  </si>
  <si>
    <t>映画に出演する。</t>
  </si>
  <si>
    <t>Trình diễn trong phim.</t>
  </si>
  <si>
    <t>格差</t>
  </si>
  <si>
    <t>かくさ</t>
  </si>
  <si>
    <t>格差[かくさ]</t>
  </si>
  <si>
    <t>sự chênh lệch</t>
  </si>
  <si>
    <t>経済的な格差が広がる。</t>
  </si>
  <si>
    <t>Sự chênh lệch kinh tế ngày càng lớn.</t>
  </si>
  <si>
    <t>転換</t>
  </si>
  <si>
    <t>てんかん</t>
  </si>
  <si>
    <t>転換[てんかん]</t>
  </si>
  <si>
    <t>sự chuyển đổi</t>
  </si>
  <si>
    <t>気分を転換する。</t>
  </si>
  <si>
    <t>Chuyển đổi tâm trạng.</t>
  </si>
  <si>
    <t>進展</t>
  </si>
  <si>
    <t>しんてん</t>
  </si>
  <si>
    <t>進展[しんてん]</t>
  </si>
  <si>
    <t>sự phát triển</t>
  </si>
  <si>
    <t>事態が進展する。</t>
  </si>
  <si>
    <t>Sự việc phát triển.</t>
  </si>
  <si>
    <t>取引</t>
  </si>
  <si>
    <t>とりひき</t>
  </si>
  <si>
    <t>取引[とりひき]</t>
  </si>
  <si>
    <t>sự giao dịch</t>
  </si>
  <si>
    <t>ビジネスの取引。</t>
  </si>
  <si>
    <t>Giao dịch kinh doanh.</t>
  </si>
  <si>
    <t>発言</t>
  </si>
  <si>
    <t>はつげん</t>
  </si>
  <si>
    <t>発言[はつげん]</t>
  </si>
  <si>
    <t>sự phát biểu</t>
  </si>
  <si>
    <t>失礼な発言をする。</t>
  </si>
  <si>
    <t>Có phát biểu vô lễ.</t>
  </si>
  <si>
    <t>退職</t>
  </si>
  <si>
    <t>たいしょく</t>
  </si>
  <si>
    <t>退職[たいしょく]</t>
  </si>
  <si>
    <t>sự nghỉ việc</t>
  </si>
  <si>
    <t>会社を退職する。</t>
  </si>
  <si>
    <t>Nghỉ việc công ty.</t>
  </si>
  <si>
    <t>首脳</t>
  </si>
  <si>
    <t>しゅのう</t>
  </si>
  <si>
    <t>首脳[しゅのう]</t>
  </si>
  <si>
    <t>nhà lãnh đạo</t>
  </si>
  <si>
    <t>各国首脳会議。</t>
  </si>
  <si>
    <t>Hội nghị nhà lãnh đạo các nước.</t>
  </si>
  <si>
    <t>再現</t>
  </si>
  <si>
    <t>さいげん</t>
  </si>
  <si>
    <t>再現[さいげん]</t>
  </si>
  <si>
    <t>sự tái hiện</t>
  </si>
  <si>
    <t>当時の様子を再現する。</t>
  </si>
  <si>
    <t>Tái hiện tình trạng thời đó.</t>
  </si>
  <si>
    <t>勝利</t>
  </si>
  <si>
    <t>しょうり</t>
  </si>
  <si>
    <t>勝利[しょうり]</t>
  </si>
  <si>
    <t>chiến thắng</t>
  </si>
  <si>
    <t>試合に勝利する。</t>
  </si>
  <si>
    <t>Chiến thắng trong trận đấu.</t>
  </si>
  <si>
    <t>危機</t>
  </si>
  <si>
    <t>きき</t>
  </si>
  <si>
    <t>危機[きき]</t>
  </si>
  <si>
    <t>khủng hoảng</t>
  </si>
  <si>
    <t>経営の危機。</t>
  </si>
  <si>
    <t>Khủng hoảng quản trị.</t>
  </si>
  <si>
    <t>蓄積</t>
  </si>
  <si>
    <t>ちくせき</t>
  </si>
  <si>
    <t>蓄積[ちくせき]</t>
  </si>
  <si>
    <t>sự tích lũy</t>
  </si>
  <si>
    <t>知識を蓄積する。</t>
  </si>
  <si>
    <t>Tích lũy kiến thức.</t>
  </si>
  <si>
    <t>通常</t>
  </si>
  <si>
    <t>つうじょう</t>
  </si>
  <si>
    <t>通常[つうじょう]</t>
  </si>
  <si>
    <t>通常通りにする。</t>
  </si>
  <si>
    <t>Làm theo cách bình thường.</t>
  </si>
  <si>
    <t>進化</t>
  </si>
  <si>
    <t>しんか</t>
  </si>
  <si>
    <t>進化[しんか]</t>
  </si>
  <si>
    <t>sự tiến hóa</t>
  </si>
  <si>
    <t>生物が進化する。</t>
  </si>
  <si>
    <t>Sinh vật tiến hóa.</t>
  </si>
  <si>
    <t>配慮</t>
  </si>
  <si>
    <t>はいりょ</t>
  </si>
  <si>
    <t>配慮[はいりょ]</t>
  </si>
  <si>
    <t>sự quan tâm</t>
  </si>
  <si>
    <t>相手に配慮する。</t>
  </si>
  <si>
    <t>Quan tâm đến đối phương.</t>
  </si>
  <si>
    <t>防衛</t>
  </si>
  <si>
    <t>ぼうえい</t>
  </si>
  <si>
    <t>防衛[ぼうえい]</t>
  </si>
  <si>
    <t>sự phòng vệ</t>
  </si>
  <si>
    <t>国土を防衛する。</t>
  </si>
  <si>
    <t>Phòng vệ đất nước.</t>
  </si>
  <si>
    <t>センス</t>
  </si>
  <si>
    <t>せんす</t>
  </si>
  <si>
    <t>gu thẩm mỹ</t>
  </si>
  <si>
    <t>ファッションセンスが良い。</t>
  </si>
  <si>
    <t>Gu thời trang tốt.</t>
  </si>
  <si>
    <t>ホール</t>
  </si>
  <si>
    <t>ほーる</t>
  </si>
  <si>
    <t>大きなホール。</t>
  </si>
  <si>
    <t>Hội trường lớn.</t>
  </si>
  <si>
    <t>介護</t>
  </si>
  <si>
    <t>かいご</t>
  </si>
  <si>
    <t>介護[かいご]</t>
  </si>
  <si>
    <t>điều dưỡng</t>
  </si>
  <si>
    <t>老人を介護する。</t>
  </si>
  <si>
    <t>Điều dưỡng cho người già.</t>
  </si>
  <si>
    <t>助け</t>
  </si>
  <si>
    <t>たすけ</t>
  </si>
  <si>
    <t>助[たす]け</t>
  </si>
  <si>
    <t>sự giúp đỡ</t>
  </si>
  <si>
    <t>友人の助けを得る。</t>
  </si>
  <si>
    <t>Nhận sự giúp đỡ của bạn.</t>
  </si>
  <si>
    <t>収まる</t>
  </si>
  <si>
    <t>おさまる</t>
  </si>
  <si>
    <t>収[おさ]まる</t>
  </si>
  <si>
    <t>lắng xuống</t>
  </si>
  <si>
    <t>騒ぎが収まる。</t>
  </si>
  <si>
    <t>Sự ồn ào lắng xuống.</t>
  </si>
  <si>
    <t>品質</t>
  </si>
  <si>
    <t>ひんしつ</t>
  </si>
  <si>
    <t>品質[ひんしつ]</t>
  </si>
  <si>
    <t>chất lượng</t>
  </si>
  <si>
    <t>品質を管理する。</t>
  </si>
  <si>
    <t>Quản lý chất lượng.</t>
  </si>
  <si>
    <t>登録</t>
  </si>
  <si>
    <t>とうろく</t>
  </si>
  <si>
    <t>登録[とうろく]</t>
  </si>
  <si>
    <t>sự đăng ký</t>
  </si>
  <si>
    <t>会員を登録する。</t>
  </si>
  <si>
    <t>Đăng ký hội viên.</t>
  </si>
  <si>
    <t>育成</t>
  </si>
  <si>
    <t>いくせい</t>
  </si>
  <si>
    <t>育成[いくせい]</t>
  </si>
  <si>
    <t>nuôi dưỡng</t>
  </si>
  <si>
    <t>人材育成に力を入れる。</t>
  </si>
  <si>
    <t>Dồn sức vào việc đào tạo nhân lực.</t>
  </si>
  <si>
    <t>賃金</t>
  </si>
  <si>
    <t>ちんぎん</t>
  </si>
  <si>
    <t>賃金[ちんぎん]</t>
  </si>
  <si>
    <t>tiền lương</t>
  </si>
  <si>
    <t>賃金を支払う。</t>
  </si>
  <si>
    <t>Chi trả tiền lương.</t>
  </si>
  <si>
    <t>進出</t>
  </si>
  <si>
    <t>しんしゅつ</t>
  </si>
  <si>
    <t>進出[しんしゅつ]</t>
  </si>
  <si>
    <t>sự tiến ra</t>
  </si>
  <si>
    <t>海外へ進出する。</t>
  </si>
  <si>
    <t>Tiến ra thị trường nước ngoài.</t>
  </si>
  <si>
    <t>運用</t>
  </si>
  <si>
    <t>うんよう</t>
  </si>
  <si>
    <t>運用[うんよう]</t>
  </si>
  <si>
    <t>sự sử dụng</t>
  </si>
  <si>
    <t>資金を運用する。</t>
  </si>
  <si>
    <t>Sử dụng vốn.</t>
  </si>
  <si>
    <t>ガイド</t>
  </si>
  <si>
    <t>がいど</t>
  </si>
  <si>
    <t>hướng dẫn</t>
  </si>
  <si>
    <t>ガイドに案内してもらう。</t>
  </si>
  <si>
    <t>Nhờ hướng dẫn viên dẫn đi.</t>
  </si>
  <si>
    <t>ぐっと</t>
  </si>
  <si>
    <t>ぐっと成績が伸びる。</t>
  </si>
  <si>
    <t>Thành tích tăng lên nhiều.</t>
  </si>
  <si>
    <t>ショー</t>
  </si>
  <si>
    <t>しょー</t>
  </si>
  <si>
    <t>buổi diễn</t>
  </si>
  <si>
    <t>ファッションショーを見る。</t>
  </si>
  <si>
    <t>Xem buổi trình diễn thời trang.</t>
  </si>
  <si>
    <t>スタジオ</t>
  </si>
  <si>
    <t>すたじお</t>
  </si>
  <si>
    <t>phòng thu</t>
  </si>
  <si>
    <t>スタジオで録音する。</t>
  </si>
  <si>
    <t>Thu âm tại phòng thu.</t>
  </si>
  <si>
    <t>会見</t>
  </si>
  <si>
    <t>かいけん</t>
  </si>
  <si>
    <t>会見[かいけん]</t>
  </si>
  <si>
    <t>phỏng vấn</t>
  </si>
  <si>
    <t>記者会見する。</t>
  </si>
  <si>
    <t>Phỏng vấn báo chí.</t>
  </si>
  <si>
    <t>公</t>
  </si>
  <si>
    <t>おおやけ</t>
  </si>
  <si>
    <t>公[おおやけ]</t>
  </si>
  <si>
    <t>công cộng</t>
  </si>
  <si>
    <t>公の場所で話す。</t>
  </si>
  <si>
    <t>Nói chuyện ở nơi công cộng.</t>
  </si>
  <si>
    <t>効率</t>
  </si>
  <si>
    <t>こうりつ</t>
  </si>
  <si>
    <t>効率[こうりつ]</t>
  </si>
  <si>
    <t>hiệu suất</t>
  </si>
  <si>
    <t>作業効率を上げる。</t>
  </si>
  <si>
    <t>Tăng hiệu suất công việc.</t>
  </si>
  <si>
    <t>勤務</t>
  </si>
  <si>
    <t>きんむ</t>
  </si>
  <si>
    <t>勤務[きんむ]</t>
  </si>
  <si>
    <t>事務の勤務につく。</t>
  </si>
  <si>
    <t>Làm công việc văn phòng.</t>
  </si>
  <si>
    <t>受け入れる</t>
  </si>
  <si>
    <t>うけいれる</t>
  </si>
  <si>
    <t>受[う]け入[い]れる</t>
  </si>
  <si>
    <t>chấp nhận</t>
  </si>
  <si>
    <t>意見を受け入れる。</t>
  </si>
  <si>
    <t>Chấp nhận ý kiến.</t>
  </si>
  <si>
    <t>補助</t>
  </si>
  <si>
    <t>ほじょ</t>
  </si>
  <si>
    <t>補助[ほじょ]</t>
  </si>
  <si>
    <t>sự hỗ trợ</t>
  </si>
  <si>
    <t>補助を求める。</t>
  </si>
  <si>
    <t>Yêu cầu sự hỗ trợ.</t>
  </si>
  <si>
    <t>規格</t>
  </si>
  <si>
    <t>規格[きかく]</t>
  </si>
  <si>
    <t>quy chuẩn</t>
  </si>
  <si>
    <t>規格に合わせる。</t>
  </si>
  <si>
    <t>Theo quy chuẩn.</t>
  </si>
  <si>
    <t>観点</t>
  </si>
  <si>
    <t>かんてん</t>
  </si>
  <si>
    <t>観点[かんてん]</t>
  </si>
  <si>
    <t>quan điểm</t>
  </si>
  <si>
    <t>別の観点から見る。</t>
  </si>
  <si>
    <t>Nhìn từ quan điểm khác.</t>
  </si>
  <si>
    <t>ジャンル</t>
  </si>
  <si>
    <t>じゃんる</t>
  </si>
  <si>
    <t>thể loại</t>
  </si>
  <si>
    <t>好きな音楽のジャンル。</t>
  </si>
  <si>
    <t>Thể loại âm nhạc yêu thích.</t>
  </si>
  <si>
    <t>セール</t>
  </si>
  <si>
    <t>せーる</t>
  </si>
  <si>
    <t>giảm giá</t>
  </si>
  <si>
    <t>セールで安く買う。</t>
  </si>
  <si>
    <t>Mua rẻ trong dịp giảm giá.</t>
  </si>
  <si>
    <t>マーク</t>
  </si>
  <si>
    <t>まーく</t>
  </si>
  <si>
    <t>dấu hiệu</t>
  </si>
  <si>
    <t>道路のマーク。</t>
  </si>
  <si>
    <t>Dấu hiệu trên đường.</t>
  </si>
  <si>
    <t>上昇</t>
  </si>
  <si>
    <t>じょうしょう</t>
  </si>
  <si>
    <t>上昇[じょうしょう]</t>
  </si>
  <si>
    <t>気温が上昇する。</t>
  </si>
  <si>
    <t>Nhiệt độ tăng lên.</t>
  </si>
  <si>
    <t>人材</t>
  </si>
  <si>
    <t>じんざい</t>
  </si>
  <si>
    <t>人材[じんざい]</t>
  </si>
  <si>
    <t>nhân tài</t>
  </si>
  <si>
    <t>人材を育てる。</t>
  </si>
  <si>
    <t>Đào tạo nhân tài.</t>
  </si>
  <si>
    <t>奴</t>
  </si>
  <si>
    <t>やつ</t>
  </si>
  <si>
    <t>奴[やつ]</t>
  </si>
  <si>
    <t>thằng đó</t>
  </si>
  <si>
    <t>奴はどこだ。</t>
  </si>
  <si>
    <t>Thằng đó đâu rồi?</t>
  </si>
  <si>
    <t>条約</t>
  </si>
  <si>
    <t>じょうやく</t>
  </si>
  <si>
    <t>条約[じょうやく]</t>
  </si>
  <si>
    <t>hiệp ước</t>
  </si>
  <si>
    <t>平和条約に調印する。</t>
  </si>
  <si>
    <t>Ký kết hiệp ước hòa bình.</t>
  </si>
  <si>
    <t>株式</t>
  </si>
  <si>
    <t>かぶしき</t>
  </si>
  <si>
    <t>株式[かぶしき]</t>
  </si>
  <si>
    <t>cổ phiếu</t>
  </si>
  <si>
    <t>株式を公開する。</t>
  </si>
  <si>
    <t>Niêm yết cổ phiếu lên sàn.</t>
  </si>
  <si>
    <t>装備</t>
  </si>
  <si>
    <t>そうび</t>
  </si>
  <si>
    <t>装備[そうび]</t>
  </si>
  <si>
    <t>trang bị</t>
  </si>
  <si>
    <t>最新の装備。</t>
  </si>
  <si>
    <t>Trang bị mới nhất.</t>
  </si>
  <si>
    <t>証拠</t>
  </si>
  <si>
    <t>しょうこ</t>
  </si>
  <si>
    <t>証拠[しょうこ]</t>
  </si>
  <si>
    <t>chứng cứ</t>
  </si>
  <si>
    <t>証拠を集める。</t>
  </si>
  <si>
    <t>Thu thập chứng cứ.</t>
  </si>
  <si>
    <t>領域</t>
  </si>
  <si>
    <t>りょういき</t>
  </si>
  <si>
    <t>領域[りょういき]</t>
  </si>
  <si>
    <t>lĩnh vực</t>
  </si>
  <si>
    <t>専門の領域。</t>
  </si>
  <si>
    <t>Lĩnh vực chuyên môn.</t>
  </si>
  <si>
    <t>いかに</t>
  </si>
  <si>
    <t>thế nào</t>
  </si>
  <si>
    <t>いかにすべきか考える。</t>
  </si>
  <si>
    <t>Suy nghĩ xem nên làm thế nào.</t>
  </si>
  <si>
    <t>もたらす</t>
  </si>
  <si>
    <t>đem lại</t>
  </si>
  <si>
    <t>利益をもたらす。</t>
  </si>
  <si>
    <t>Đem lại lợi nhuận.</t>
  </si>
  <si>
    <t>上がり</t>
  </si>
  <si>
    <t>あがり</t>
  </si>
  <si>
    <t>上[あ]がり</t>
  </si>
  <si>
    <t>仕事の上がり。</t>
  </si>
  <si>
    <t>Kết quả công việc.</t>
  </si>
  <si>
    <t>作り</t>
  </si>
  <si>
    <t>つくり</t>
  </si>
  <si>
    <t>作[つく]り</t>
  </si>
  <si>
    <t>cấu tạo</t>
  </si>
  <si>
    <t>作りのしっかりした家。</t>
  </si>
  <si>
    <t>Ngôi nhà có cấu tạo vững chắc.</t>
  </si>
  <si>
    <t>使命</t>
  </si>
  <si>
    <t>しめい</t>
  </si>
  <si>
    <t>使命[しめい]</t>
  </si>
  <si>
    <t>sứ mệnh</t>
  </si>
  <si>
    <t>使命を果たす。</t>
  </si>
  <si>
    <t>Hoàn thành sứ mệnh.</t>
  </si>
  <si>
    <t>側面</t>
  </si>
  <si>
    <t>そくめん</t>
  </si>
  <si>
    <t>側面[そくめん]</t>
  </si>
  <si>
    <t>mặt bên</t>
  </si>
  <si>
    <t>問題の側面を見る。</t>
  </si>
  <si>
    <t>Nhìn vào khía cạnh của vấn đề.</t>
  </si>
  <si>
    <t>前提</t>
  </si>
  <si>
    <t>ぜんてい</t>
  </si>
  <si>
    <t>前提[ぜんてい]</t>
  </si>
  <si>
    <t>tiền đề</t>
  </si>
  <si>
    <t>交渉の前提条件。</t>
  </si>
  <si>
    <t>Điều kiện tiền đề của đàm phán.</t>
  </si>
  <si>
    <t>著しい</t>
  </si>
  <si>
    <t>いちじるしい</t>
  </si>
  <si>
    <t>著[いちじる]しい</t>
  </si>
  <si>
    <t>đáng kể</t>
  </si>
  <si>
    <t>著しい成長。</t>
  </si>
  <si>
    <t>Sự tăng trưởng đáng kể.</t>
  </si>
  <si>
    <t>資産</t>
  </si>
  <si>
    <t>しさん</t>
  </si>
  <si>
    <t>資産[しさん]</t>
  </si>
  <si>
    <t>tài sản</t>
  </si>
  <si>
    <t>資産を運用する。</t>
  </si>
  <si>
    <t>Quản lý tài sản.</t>
  </si>
  <si>
    <t>運命</t>
  </si>
  <si>
    <t>うんめい</t>
  </si>
  <si>
    <t>運命[うんめい]</t>
  </si>
  <si>
    <t>số phận</t>
  </si>
  <si>
    <t>運命を感じる。</t>
  </si>
  <si>
    <t>Cảm thấy định mệnh.</t>
  </si>
  <si>
    <t>かりに</t>
  </si>
  <si>
    <t>giả sử</t>
  </si>
  <si>
    <t>かりにそうだとしよう。</t>
  </si>
  <si>
    <t>Giả sử là như vậy đi.</t>
  </si>
  <si>
    <t>クイズ</t>
  </si>
  <si>
    <t>くいず</t>
  </si>
  <si>
    <t>đố vui</t>
  </si>
  <si>
    <t>クイズ番組を見る。</t>
  </si>
  <si>
    <t>Xem chương trình đố vui.</t>
  </si>
  <si>
    <t>こだわる</t>
  </si>
  <si>
    <t>câu nệ</t>
  </si>
  <si>
    <t>細かいことにこだわる。</t>
  </si>
  <si>
    <t>Câu nệ những việc nhỏ nhặt.</t>
  </si>
  <si>
    <t>ドライバー</t>
  </si>
  <si>
    <t>どらいばー</t>
  </si>
  <si>
    <t>tài xế</t>
  </si>
  <si>
    <t>バスのドライバー。</t>
  </si>
  <si>
    <t>Tài xế xe buýt.</t>
  </si>
  <si>
    <t>ポジション</t>
  </si>
  <si>
    <t>ぽじしょん</t>
  </si>
  <si>
    <t>vị trí</t>
  </si>
  <si>
    <t>正しいポジション。</t>
  </si>
  <si>
    <t>Vị trí đúng.</t>
  </si>
  <si>
    <t>一切</t>
  </si>
  <si>
    <t>いっさい</t>
  </si>
  <si>
    <t>一切[いっさい]</t>
  </si>
  <si>
    <t>一切関係ない。</t>
  </si>
  <si>
    <t>Tất cả không liên quan.</t>
  </si>
  <si>
    <t>取り組む</t>
  </si>
  <si>
    <t>とりくむ</t>
  </si>
  <si>
    <t>取[と]り組[く]む</t>
  </si>
  <si>
    <t>nỗ lực</t>
  </si>
  <si>
    <t>新しい課題に取り組む。</t>
  </si>
  <si>
    <t>Nỗ lực với bài tập mới.</t>
  </si>
  <si>
    <t>繊維</t>
  </si>
  <si>
    <t>せんい</t>
  </si>
  <si>
    <t>繊維[せんい]</t>
  </si>
  <si>
    <t>sợi</t>
  </si>
  <si>
    <t>天然繊維の服。</t>
  </si>
  <si>
    <t>Quần áo từ sợi tự nhiên.</t>
  </si>
  <si>
    <t>肉体</t>
  </si>
  <si>
    <t>にくたい</t>
  </si>
  <si>
    <t>肉体[にくたい]</t>
  </si>
  <si>
    <t>肉体を鍛える。</t>
  </si>
  <si>
    <t>Rèn luyện cơ thể.</t>
  </si>
  <si>
    <t>ヒント</t>
  </si>
  <si>
    <t>ひんと</t>
  </si>
  <si>
    <t>gợi ý</t>
  </si>
  <si>
    <t>ヒントをもらう。</t>
  </si>
  <si>
    <t>Nhận được gợi ý.</t>
  </si>
  <si>
    <t>ジャンプ</t>
  </si>
  <si>
    <t>じゃんぷ</t>
  </si>
  <si>
    <t>nhảy</t>
  </si>
  <si>
    <t>高くジャンプする。</t>
  </si>
  <si>
    <t>Nhảy lên cao.</t>
  </si>
  <si>
    <t>了解</t>
  </si>
  <si>
    <t>りょうかい</t>
  </si>
  <si>
    <t>了解[りょうかい]</t>
  </si>
  <si>
    <t>了解しました。</t>
  </si>
  <si>
    <t>Đã hiểu rồi.</t>
  </si>
  <si>
    <t>叩く</t>
  </si>
  <si>
    <t>たたく</t>
  </si>
  <si>
    <t>叩[たた]く</t>
  </si>
  <si>
    <t>vỗ</t>
  </si>
  <si>
    <t>肩を軽く叩く。</t>
  </si>
  <si>
    <t>Tôi vỗ nhẹ vào vai.</t>
  </si>
  <si>
    <t>困難</t>
  </si>
  <si>
    <t>こんなん</t>
  </si>
  <si>
    <t>困難[こんなん]</t>
  </si>
  <si>
    <t>困難に立ち向かう。</t>
  </si>
  <si>
    <t>Tôi đối mặt với khó khăn.</t>
  </si>
  <si>
    <t>提案</t>
  </si>
  <si>
    <t>ていあん</t>
  </si>
  <si>
    <t>提案[ていあん]</t>
  </si>
  <si>
    <t>đề xuất</t>
  </si>
  <si>
    <t>案を提案する。</t>
  </si>
  <si>
    <t>Tôi đề xuất một ý tưởng.</t>
  </si>
  <si>
    <t>日曜日</t>
  </si>
  <si>
    <t>にちようび</t>
  </si>
  <si>
    <t>日曜日[にちようび]</t>
  </si>
  <si>
    <t>chủ nhật</t>
  </si>
  <si>
    <t>日曜日に休む。</t>
  </si>
  <si>
    <t>Tôi nghỉ vào chủ nhật.</t>
  </si>
  <si>
    <t>来年</t>
  </si>
  <si>
    <t>らいねん</t>
  </si>
  <si>
    <t>来年[らいねん]</t>
  </si>
  <si>
    <t>năm sau</t>
  </si>
  <si>
    <t>来年行く。</t>
  </si>
  <si>
    <t>Tôi sẽ đi vào năm sau.</t>
  </si>
  <si>
    <t>呼び出す</t>
  </si>
  <si>
    <t>よびだす</t>
  </si>
  <si>
    <t>呼[よ]び出[だ]す</t>
  </si>
  <si>
    <t>gọi ra</t>
  </si>
  <si>
    <t>会議に呼び出す。</t>
  </si>
  <si>
    <t>Tôi gọi người ra họp.</t>
  </si>
  <si>
    <t>地球</t>
  </si>
  <si>
    <t>ちきゅう</t>
  </si>
  <si>
    <t>地球[ちきゅう]</t>
  </si>
  <si>
    <t>trái đất</t>
  </si>
  <si>
    <t>地球を守る。</t>
  </si>
  <si>
    <t>Tôi bảo vệ trái đất.</t>
  </si>
  <si>
    <t>姿勢</t>
  </si>
  <si>
    <t>しせい</t>
  </si>
  <si>
    <t>姿勢[しせい]</t>
  </si>
  <si>
    <t>tư thế</t>
  </si>
  <si>
    <t>正しい姿勢。</t>
  </si>
  <si>
    <t>Tư thế đúng.</t>
  </si>
  <si>
    <t>止める</t>
  </si>
  <si>
    <t>とめる</t>
  </si>
  <si>
    <t>止[と]める</t>
  </si>
  <si>
    <t>dừng</t>
  </si>
  <si>
    <t>車を止める。</t>
  </si>
  <si>
    <t>Tôi dừng xe.</t>
  </si>
  <si>
    <t>従来</t>
  </si>
  <si>
    <t>じゅうらい</t>
  </si>
  <si>
    <t>従来[じゅうらい]</t>
  </si>
  <si>
    <t>từ trước đến nay</t>
  </si>
  <si>
    <t>従来のやり方。</t>
  </si>
  <si>
    <t>Cách làm từ trước đến nay.</t>
  </si>
  <si>
    <t>方式</t>
  </si>
  <si>
    <t>ほうしき</t>
  </si>
  <si>
    <t>方式[ほうしき]</t>
  </si>
  <si>
    <t>phương thức</t>
  </si>
  <si>
    <t>新しい方式。</t>
  </si>
  <si>
    <t>Phương thức mới.</t>
  </si>
  <si>
    <t>成り立つ</t>
  </si>
  <si>
    <t>なりたつ</t>
  </si>
  <si>
    <t>成[な]り立[た]つ</t>
  </si>
  <si>
    <t>基盤が成り立つ。</t>
  </si>
  <si>
    <t>Cơ bản được hình thành.</t>
  </si>
  <si>
    <t>対話</t>
  </si>
  <si>
    <t>たいわ</t>
  </si>
  <si>
    <t>対話[たいわ]</t>
  </si>
  <si>
    <t>đối thoại</t>
  </si>
  <si>
    <t>平和的な対話。</t>
  </si>
  <si>
    <t>Cuộc đối thoại hòa bình.</t>
  </si>
  <si>
    <t>展示</t>
  </si>
  <si>
    <t>てんじ</t>
  </si>
  <si>
    <t>展示[てんじ]</t>
  </si>
  <si>
    <t>trưng bày</t>
  </si>
  <si>
    <t>美術館に展示する。</t>
  </si>
  <si>
    <t>Trưng bày tại bảo tàng mỹ thuật.</t>
  </si>
  <si>
    <t>改革</t>
  </si>
  <si>
    <t>かいかく</t>
  </si>
  <si>
    <t>改革[かいかく]</t>
  </si>
  <si>
    <t>cải cách</t>
  </si>
  <si>
    <t>教育改革。</t>
  </si>
  <si>
    <t>Cải cách giáo dục.</t>
  </si>
  <si>
    <t>可愛そう</t>
  </si>
  <si>
    <t>かわいそう</t>
  </si>
  <si>
    <t>可愛[かわい]そう</t>
  </si>
  <si>
    <t>đáng thương</t>
  </si>
  <si>
    <t>怪我した鳥が可愛そうだ。</t>
  </si>
  <si>
    <t>Con chim bị thương thật đáng thương.</t>
  </si>
  <si>
    <t>商売</t>
  </si>
  <si>
    <t>しょうばい</t>
  </si>
  <si>
    <t>商売[しょうばい]</t>
  </si>
  <si>
    <t>buôn bán</t>
  </si>
  <si>
    <t>商売を始める。</t>
  </si>
  <si>
    <t>Tôi bắt đầu việc buôn bán.</t>
  </si>
  <si>
    <t>国会</t>
  </si>
  <si>
    <t>こっかい</t>
  </si>
  <si>
    <t>国会[こっかい]</t>
  </si>
  <si>
    <t>quốc hội</t>
  </si>
  <si>
    <t>国会で議論する。</t>
  </si>
  <si>
    <t>Họ thảo luận tại quốc hội.</t>
  </si>
  <si>
    <t>増やす</t>
  </si>
  <si>
    <t>ふやす</t>
  </si>
  <si>
    <t>増[ふ]やす</t>
  </si>
  <si>
    <t>tăng thêm</t>
  </si>
  <si>
    <t>貯金を増やす。</t>
  </si>
  <si>
    <t>Tôi tăng tiền tiết kiệm.</t>
  </si>
  <si>
    <t>期間</t>
  </si>
  <si>
    <t>きかん</t>
  </si>
  <si>
    <t>期間[きかん]</t>
  </si>
  <si>
    <t>thời hạn</t>
  </si>
  <si>
    <t>期間を決める。</t>
  </si>
  <si>
    <t>Tôi quyết định thời hạn.</t>
  </si>
  <si>
    <t>実行</t>
  </si>
  <si>
    <t>じっこう</t>
  </si>
  <si>
    <t>実行[じっこう]</t>
  </si>
  <si>
    <t>計画を実行する。</t>
  </si>
  <si>
    <t>東</t>
  </si>
  <si>
    <t>ひがし</t>
  </si>
  <si>
    <t>東[ひがし]</t>
  </si>
  <si>
    <t>phía đông</t>
  </si>
  <si>
    <t>東を向く。</t>
  </si>
  <si>
    <t>Tôi quay về phía đông.</t>
  </si>
  <si>
    <t>機能</t>
  </si>
  <si>
    <t>機能[きのう]</t>
  </si>
  <si>
    <t>chức năng</t>
  </si>
  <si>
    <t>機能を使う。</t>
  </si>
  <si>
    <t>Tôi sử dụng chức năng.</t>
  </si>
  <si>
    <t>場面</t>
  </si>
  <si>
    <t>ばめん</t>
  </si>
  <si>
    <t>場面[ばめん]</t>
  </si>
  <si>
    <t>cảnh</t>
  </si>
  <si>
    <t>映画の最後の場面。</t>
  </si>
  <si>
    <t>Cảnh cuối của bộ phim.</t>
  </si>
  <si>
    <t>真剣</t>
  </si>
  <si>
    <t>しんけん</t>
  </si>
  <si>
    <t>真剣[しんけん]</t>
  </si>
  <si>
    <t>nghiêm túc</t>
  </si>
  <si>
    <t>真剣に考える。</t>
  </si>
  <si>
    <t>Suy nghĩ nghiêm túc.</t>
  </si>
  <si>
    <t>多分</t>
  </si>
  <si>
    <t>たぶん</t>
  </si>
  <si>
    <t>多分[たぶん]</t>
  </si>
  <si>
    <t>có lẽ</t>
  </si>
  <si>
    <t>多分行けるだろう。</t>
  </si>
  <si>
    <t>Có lẽ tôi có thể đi.</t>
  </si>
  <si>
    <t>会員</t>
  </si>
  <si>
    <t>かいいん</t>
  </si>
  <si>
    <t>会員[かいいん]</t>
  </si>
  <si>
    <t>hội viên</t>
  </si>
  <si>
    <t>会員を募集する。</t>
  </si>
  <si>
    <t>Tôi tuyển hội viên.</t>
  </si>
  <si>
    <t>取り消す</t>
  </si>
  <si>
    <t>とりけす</t>
  </si>
  <si>
    <t>取[と]り消[け]す</t>
  </si>
  <si>
    <t>hủy bỏ</t>
  </si>
  <si>
    <t>予約を取り消す。</t>
  </si>
  <si>
    <t>Tôi hủy bỏ đặt chỗ.</t>
  </si>
  <si>
    <t>硬い</t>
  </si>
  <si>
    <t>かたい</t>
  </si>
  <si>
    <t>硬[かた]い</t>
  </si>
  <si>
    <t>cứng</t>
  </si>
  <si>
    <t>硬いパン。</t>
  </si>
  <si>
    <t>Chiếc bánh mì cứng.</t>
  </si>
  <si>
    <t>研修</t>
  </si>
  <si>
    <t>けんしゅう</t>
  </si>
  <si>
    <t>研修[けんしゅう]</t>
  </si>
  <si>
    <t>đào tạo</t>
  </si>
  <si>
    <t>研修を受ける。</t>
  </si>
  <si>
    <t>Tham gia đào tạo.</t>
  </si>
  <si>
    <t>金額</t>
  </si>
  <si>
    <t>きんがく</t>
  </si>
  <si>
    <t>金額[きんがく]</t>
  </si>
  <si>
    <t>số tiền</t>
  </si>
  <si>
    <t>金額を確認する。</t>
  </si>
  <si>
    <t>Kiểm tra số tiền.</t>
  </si>
  <si>
    <t>文</t>
  </si>
  <si>
    <t>文[ぶん]</t>
  </si>
  <si>
    <t>câu</t>
  </si>
  <si>
    <t>文を作る。</t>
  </si>
  <si>
    <t>Tôi viết một câu.</t>
  </si>
  <si>
    <t>春</t>
  </si>
  <si>
    <t>はる</t>
  </si>
  <si>
    <t>春[はる]</t>
  </si>
  <si>
    <t>mùa xuân</t>
  </si>
  <si>
    <t>春が来る。</t>
  </si>
  <si>
    <t>Mùa xuân đã tới.</t>
  </si>
  <si>
    <t>寄せる</t>
  </si>
  <si>
    <t>よせる</t>
  </si>
  <si>
    <t>寄[よ]せる</t>
  </si>
  <si>
    <t>gần lại</t>
  </si>
  <si>
    <t>波が岸に寄せる。</t>
  </si>
  <si>
    <t>Sóng dạt vào bờ.</t>
  </si>
  <si>
    <t>郵便局</t>
  </si>
  <si>
    <t>ゆうびんきょく</t>
  </si>
  <si>
    <t>郵便局[ゆうびんきょく]</t>
  </si>
  <si>
    <t>bưu cục</t>
  </si>
  <si>
    <t>郵便局へ行く。</t>
  </si>
  <si>
    <t>Đi tới bưu cục.</t>
  </si>
  <si>
    <t>外す</t>
  </si>
  <si>
    <t>はずす</t>
  </si>
  <si>
    <t>外[はず]す</t>
  </si>
  <si>
    <t>tháo</t>
  </si>
  <si>
    <t>メガネを外す。</t>
  </si>
  <si>
    <t>Tôi tháo kính.</t>
  </si>
  <si>
    <t>眼鏡</t>
  </si>
  <si>
    <t>めがね</t>
  </si>
  <si>
    <t>眼鏡[めがね]</t>
  </si>
  <si>
    <t>kính</t>
  </si>
  <si>
    <t>眼鏡をかける。</t>
  </si>
  <si>
    <t>Đeo kính.</t>
  </si>
  <si>
    <t>捨てる</t>
  </si>
  <si>
    <t>すてる</t>
  </si>
  <si>
    <t>捨[す]てる</t>
  </si>
  <si>
    <t>vứt bỏ</t>
  </si>
  <si>
    <t>古い書類を捨てる。</t>
  </si>
  <si>
    <t>Vứt bỏ tài liệu cũ.</t>
  </si>
  <si>
    <t>地下</t>
  </si>
  <si>
    <t>ちか</t>
  </si>
  <si>
    <t>地下[ちか]</t>
  </si>
  <si>
    <t>ngầm</t>
  </si>
  <si>
    <t>地下に駐車場がある。</t>
  </si>
  <si>
    <t>Có bãi đỗ xe dưới lòng đất.</t>
  </si>
  <si>
    <t>月曜日</t>
  </si>
  <si>
    <t>げつようび</t>
  </si>
  <si>
    <t>月曜日[げつようび]</t>
  </si>
  <si>
    <t>thứ hai</t>
  </si>
  <si>
    <t>月曜日に働く。</t>
  </si>
  <si>
    <t>Tôi làm việc vào thứ hai.</t>
  </si>
  <si>
    <t>奥</t>
  </si>
  <si>
    <t>奥[おく]</t>
  </si>
  <si>
    <t>sâu bên trong</t>
  </si>
  <si>
    <t>部屋の奥。</t>
  </si>
  <si>
    <t>Sâu bên trong căn phòng.</t>
  </si>
  <si>
    <t>喜び</t>
  </si>
  <si>
    <t>よろこび</t>
  </si>
  <si>
    <t>喜[よろこ]び</t>
  </si>
  <si>
    <t>niềm vui</t>
  </si>
  <si>
    <t>喜びを感じる。</t>
  </si>
  <si>
    <t>Tôi cảm thấy niềm vui.</t>
  </si>
  <si>
    <t>様子</t>
  </si>
  <si>
    <t>ようす</t>
  </si>
  <si>
    <t>様子[ようす]</t>
  </si>
  <si>
    <t>様子を見る。</t>
  </si>
  <si>
    <t>Tôi xem tình trạng.</t>
  </si>
  <si>
    <t>吸う</t>
  </si>
  <si>
    <t>すう</t>
  </si>
  <si>
    <t>吸[す]う</t>
  </si>
  <si>
    <t>hít</t>
  </si>
  <si>
    <t>空気を吸う。</t>
  </si>
  <si>
    <t>Tôi hít không khí.</t>
  </si>
  <si>
    <t>料金</t>
  </si>
  <si>
    <t>りょうきん</t>
  </si>
  <si>
    <t>料金[りょうきん]</t>
  </si>
  <si>
    <t>cước phí</t>
  </si>
  <si>
    <t>料金を払う。</t>
  </si>
  <si>
    <t>Tôi trả cước phí.</t>
  </si>
  <si>
    <t>服</t>
  </si>
  <si>
    <t>服[ふく]</t>
  </si>
  <si>
    <t>quần áo</t>
  </si>
  <si>
    <t>服を着る。</t>
  </si>
  <si>
    <t>Tôi mặc quần áo.</t>
  </si>
  <si>
    <t>数字</t>
  </si>
  <si>
    <t>すうじ</t>
  </si>
  <si>
    <t>数字[すうじ]</t>
  </si>
  <si>
    <t>chữ số</t>
  </si>
  <si>
    <t>数字を書く。</t>
  </si>
  <si>
    <t>Tôi viết chữ số.</t>
  </si>
  <si>
    <t>母親</t>
  </si>
  <si>
    <t>ははおや</t>
  </si>
  <si>
    <t>母親[ははおや]</t>
  </si>
  <si>
    <t>người mẹ</t>
  </si>
  <si>
    <t>母親の愛。</t>
  </si>
  <si>
    <t>Tình yêu của người mẹ.</t>
  </si>
  <si>
    <t>客観</t>
  </si>
  <si>
    <t>きゃっかん</t>
  </si>
  <si>
    <t>客観[きゃっかん]</t>
  </si>
  <si>
    <t>khách quan</t>
  </si>
  <si>
    <t>客観的な視点で分析する。</t>
  </si>
  <si>
    <t>Phân tích dưới góc độ khách quan.</t>
  </si>
  <si>
    <t>政権</t>
  </si>
  <si>
    <t>せいけん</t>
  </si>
  <si>
    <t>政権[せいけん]</t>
  </si>
  <si>
    <t>chính quyền</t>
  </si>
  <si>
    <t>政権を握る。</t>
  </si>
  <si>
    <t>Nắm giữ chính quyền.</t>
  </si>
  <si>
    <t>所属</t>
  </si>
  <si>
    <t>しょぞく</t>
  </si>
  <si>
    <t>所属[しょぞく]</t>
  </si>
  <si>
    <t>trực thuộc</t>
  </si>
  <si>
    <t>部署に所属する。</t>
  </si>
  <si>
    <t>Trực thuộc bộ phận.</t>
  </si>
  <si>
    <t>強制</t>
  </si>
  <si>
    <t>きょうせい</t>
  </si>
  <si>
    <t>強制[きょうせい]</t>
  </si>
  <si>
    <t>cưỡng chế</t>
  </si>
  <si>
    <t>強制的に退去させる。</t>
  </si>
  <si>
    <t>Cưỡng chế rời đi.</t>
  </si>
  <si>
    <t>工学</t>
  </si>
  <si>
    <t>こうがく</t>
  </si>
  <si>
    <t>工学[こうがく]</t>
  </si>
  <si>
    <t>機械工学を学ぶ。</t>
  </si>
  <si>
    <t>Học kỹ thuật cơ khí.</t>
  </si>
  <si>
    <t>情勢</t>
  </si>
  <si>
    <t>じょうせい</t>
  </si>
  <si>
    <t>情勢[じょうせい]</t>
  </si>
  <si>
    <t>tình thế</t>
  </si>
  <si>
    <t>情勢を判断する。</t>
  </si>
  <si>
    <t>Phán đoán tình thế.</t>
  </si>
  <si>
    <t>映像</t>
  </si>
  <si>
    <t>えいぞう</t>
  </si>
  <si>
    <t>映像[えいぞう]</t>
  </si>
  <si>
    <t>映像を流す。</t>
  </si>
  <si>
    <t>Chiếu hình ảnh.</t>
  </si>
  <si>
    <t>導く</t>
  </si>
  <si>
    <t>みちびく</t>
  </si>
  <si>
    <t>導[みちび]く</t>
  </si>
  <si>
    <t>dẫn dắt</t>
  </si>
  <si>
    <t>チームを導く。</t>
  </si>
  <si>
    <t>Dẫn dắt đội nhóm.</t>
  </si>
  <si>
    <t>履歴</t>
  </si>
  <si>
    <t>りれき</t>
  </si>
  <si>
    <t>履歴[りれき]</t>
  </si>
  <si>
    <t>lý lịch</t>
  </si>
  <si>
    <t>履歴書を書く。</t>
  </si>
  <si>
    <t>Viết sơ yếu lý lịch.</t>
  </si>
  <si>
    <t>拒否</t>
  </si>
  <si>
    <t>きょひ</t>
  </si>
  <si>
    <t>拒否[きょひ]</t>
  </si>
  <si>
    <t>từ chối</t>
  </si>
  <si>
    <t>要求を拒否する。</t>
  </si>
  <si>
    <t>Từ chối yêu cầu.</t>
  </si>
  <si>
    <t>文書</t>
  </si>
  <si>
    <t>ぶんしょ</t>
  </si>
  <si>
    <t>文書[ぶんしょ]</t>
  </si>
  <si>
    <t>văn bản</t>
  </si>
  <si>
    <t>文書を作成する。</t>
  </si>
  <si>
    <t>Tạo văn bản.</t>
  </si>
  <si>
    <t>廃止</t>
  </si>
  <si>
    <t>はいし</t>
  </si>
  <si>
    <t>廃止[はいし]</t>
  </si>
  <si>
    <t>bãi bỏ</t>
  </si>
  <si>
    <t>制度を廃止する。</t>
  </si>
  <si>
    <t>Bãi bỏ chế độ.</t>
  </si>
  <si>
    <t>恐れ</t>
  </si>
  <si>
    <t>おそれ</t>
  </si>
  <si>
    <t>恐[おそ]れ</t>
  </si>
  <si>
    <t>nỗi sợ</t>
  </si>
  <si>
    <t>失敗の恐れがある。</t>
  </si>
  <si>
    <t>Có nỗi sợ thất bại.</t>
  </si>
  <si>
    <t>投入</t>
  </si>
  <si>
    <t>とうにゅう</t>
  </si>
  <si>
    <t>投入[とうにゅう]</t>
  </si>
  <si>
    <t>bỏ vào</t>
  </si>
  <si>
    <t>資金を投入する。</t>
  </si>
  <si>
    <t>Bỏ vốn vào.</t>
  </si>
  <si>
    <t>施設</t>
  </si>
  <si>
    <t>しせつ</t>
  </si>
  <si>
    <t>施設[しせつ]</t>
  </si>
  <si>
    <t>福祉施設。</t>
  </si>
  <si>
    <t>Cơ sở phúc lợi.</t>
  </si>
  <si>
    <t>最も</t>
  </si>
  <si>
    <t>もっとも</t>
  </si>
  <si>
    <t>最[もっと]も</t>
  </si>
  <si>
    <t>nhất</t>
  </si>
  <si>
    <t>最も重要なこと。</t>
  </si>
  <si>
    <t>Đó là việc quan trọng nhất.</t>
  </si>
  <si>
    <t>改善</t>
  </si>
  <si>
    <t>かいぜん</t>
  </si>
  <si>
    <t>改善[かいぜん]</t>
  </si>
  <si>
    <t>cải thiện</t>
  </si>
  <si>
    <t>環境を改善する。</t>
  </si>
  <si>
    <t>Tôi cải thiện môi trường.</t>
  </si>
  <si>
    <t>毎年</t>
  </si>
  <si>
    <t>まいとし</t>
  </si>
  <si>
    <t>毎年[まいとし]</t>
  </si>
  <si>
    <t>mỗi năm</t>
  </si>
  <si>
    <t>毎年旅行する。</t>
  </si>
  <si>
    <t>Tôi đi du lịch mỗi năm.</t>
  </si>
  <si>
    <t>来月</t>
  </si>
  <si>
    <t>らいげつ</t>
  </si>
  <si>
    <t>来月[らいげつ]</t>
  </si>
  <si>
    <t>tháng sau</t>
  </si>
  <si>
    <t>来月会う。</t>
  </si>
  <si>
    <t>Tôi gặp vào tháng sau.</t>
  </si>
  <si>
    <t>壊す</t>
  </si>
  <si>
    <t>こわす</t>
  </si>
  <si>
    <t>壊[こわ]す</t>
  </si>
  <si>
    <t>phá hủy</t>
  </si>
  <si>
    <t>壁を壊す。</t>
  </si>
  <si>
    <t>Tôi phá hủy bức tường.</t>
  </si>
  <si>
    <t>叫ぶ</t>
  </si>
  <si>
    <t>さけぶ</t>
  </si>
  <si>
    <t>叫[さけ]ぶ</t>
  </si>
  <si>
    <t>hét</t>
  </si>
  <si>
    <t>大声で叫ぶ。</t>
  </si>
  <si>
    <t>Tôi hét lên thật lớn.</t>
  </si>
  <si>
    <t>実験</t>
  </si>
  <si>
    <t>じっけん</t>
  </si>
  <si>
    <t>実験[じっけん]</t>
  </si>
  <si>
    <t>thí nghiệm</t>
  </si>
  <si>
    <t>科学の実験。</t>
  </si>
  <si>
    <t>Thí nghiệm khoa học.</t>
  </si>
  <si>
    <t>昔</t>
  </si>
  <si>
    <t>むかし</t>
  </si>
  <si>
    <t>昔[むかし]</t>
  </si>
  <si>
    <t>ngày xưa</t>
  </si>
  <si>
    <t>昔の話。</t>
  </si>
  <si>
    <t>Câu chuyện ngày xưa.</t>
  </si>
  <si>
    <t>地位</t>
  </si>
  <si>
    <t>ちい</t>
  </si>
  <si>
    <t>地位[ちい]</t>
  </si>
  <si>
    <t>địa vị</t>
  </si>
  <si>
    <t>地位を確立する。</t>
  </si>
  <si>
    <t>Tôi xây dựng địa vị.</t>
  </si>
  <si>
    <t>回転</t>
  </si>
  <si>
    <t>かいてん</t>
  </si>
  <si>
    <t>回転[かいてん]</t>
  </si>
  <si>
    <t>xoay</t>
  </si>
  <si>
    <t>車輪が回転する。</t>
  </si>
  <si>
    <t>Bánh xe đang xoay.</t>
  </si>
  <si>
    <t>文章</t>
  </si>
  <si>
    <t>ぶんしょう</t>
  </si>
  <si>
    <t>文章[ぶんしょう]</t>
  </si>
  <si>
    <t>đoạn văn</t>
  </si>
  <si>
    <t>文章を直す。</t>
  </si>
  <si>
    <t>Tôi sửa đoạn văn.</t>
  </si>
  <si>
    <t>歌</t>
  </si>
  <si>
    <t>うた</t>
  </si>
  <si>
    <t>歌[うた]</t>
  </si>
  <si>
    <t>bài hát</t>
  </si>
  <si>
    <t>歌を聴く。</t>
  </si>
  <si>
    <t>Tôi nghe bài hát.</t>
  </si>
  <si>
    <t>機会</t>
  </si>
  <si>
    <t>きかい</t>
  </si>
  <si>
    <t>機会[きかい]</t>
  </si>
  <si>
    <t>機会を待つ。</t>
  </si>
  <si>
    <t>Tôi chờ cơ hội.</t>
  </si>
  <si>
    <t>呼吸</t>
  </si>
  <si>
    <t>こきゅう</t>
  </si>
  <si>
    <t>呼吸[こきゅう]</t>
  </si>
  <si>
    <t>hô hấp</t>
  </si>
  <si>
    <t>深い呼吸をする。</t>
  </si>
  <si>
    <t>Tôi thở sâu.</t>
  </si>
  <si>
    <t>悩み</t>
  </si>
  <si>
    <t>なやみ</t>
  </si>
  <si>
    <t>悩[なや]み</t>
  </si>
  <si>
    <t>nỗi lo</t>
  </si>
  <si>
    <t>悩みを打ち明ける。</t>
  </si>
  <si>
    <t>Tâm sự nỗi lo.</t>
  </si>
  <si>
    <t>実業家</t>
  </si>
  <si>
    <t>じつぎょうか</t>
  </si>
  <si>
    <t>実業家[じつぎょうか]</t>
  </si>
  <si>
    <t>nhà kinh doanh</t>
  </si>
  <si>
    <t>成功した実業家。</t>
  </si>
  <si>
    <t>Nhà kinh doanh thành công.</t>
  </si>
  <si>
    <t>手法</t>
  </si>
  <si>
    <t>しゅほう</t>
  </si>
  <si>
    <t>手法[しゅほう]</t>
  </si>
  <si>
    <t>新しい手法。</t>
  </si>
  <si>
    <t>Phương pháp mới.</t>
  </si>
  <si>
    <t>復活</t>
  </si>
  <si>
    <t>ふっかつ</t>
  </si>
  <si>
    <t>復活[ふっかつ]</t>
  </si>
  <si>
    <t>sống lại</t>
  </si>
  <si>
    <t>人気が復活する。</t>
  </si>
  <si>
    <t>Sự nổi tiếng sống lại.</t>
  </si>
  <si>
    <t>技</t>
  </si>
  <si>
    <t>わざ</t>
  </si>
  <si>
    <t>技[わざ]</t>
  </si>
  <si>
    <t>熟練の技。</t>
  </si>
  <si>
    <t>Kỹ thuật điêu luyện.</t>
  </si>
  <si>
    <t>振り返る</t>
  </si>
  <si>
    <t>ふりかえる</t>
  </si>
  <si>
    <t>振[ふ]り返[かえ]る</t>
  </si>
  <si>
    <t>nhìn lại</t>
  </si>
  <si>
    <t>過去を振り返る。</t>
  </si>
  <si>
    <t>Nhìn lại quá khứ.</t>
  </si>
  <si>
    <t>手当</t>
  </si>
  <si>
    <t>てあて</t>
  </si>
  <si>
    <t>手当[てあて]</t>
  </si>
  <si>
    <t>phụ cấp</t>
  </si>
  <si>
    <t>住宅手当を出す。</t>
  </si>
  <si>
    <t>Cung cấp phụ cấp nhà ở.</t>
  </si>
  <si>
    <t>把握</t>
  </si>
  <si>
    <t>はあく</t>
  </si>
  <si>
    <t>把握[はあく]</t>
  </si>
  <si>
    <t>nắm bắt</t>
  </si>
  <si>
    <t>内容を把握する。</t>
  </si>
  <si>
    <t>Nắm bắt nội dung.</t>
  </si>
  <si>
    <t>幹部</t>
  </si>
  <si>
    <t>かんぶ</t>
  </si>
  <si>
    <t>幹部[かんぶ]</t>
  </si>
  <si>
    <t>cán bộ</t>
  </si>
  <si>
    <t>会社の中枢幹部。</t>
  </si>
  <si>
    <t>Cán bộ cốt cán của công ty.</t>
  </si>
  <si>
    <t>有する</t>
  </si>
  <si>
    <t>ゆうする</t>
  </si>
  <si>
    <t>有[ゆう]する</t>
  </si>
  <si>
    <t>sở hữu</t>
  </si>
  <si>
    <t>権利を有する。</t>
  </si>
  <si>
    <t>Sở hữu quyền lợi.</t>
  </si>
  <si>
    <t>相</t>
  </si>
  <si>
    <t>相[あい]</t>
  </si>
  <si>
    <t>tương trợ</t>
  </si>
  <si>
    <t>相が良い。</t>
  </si>
  <si>
    <t>Sự tương trợ tốt.</t>
  </si>
  <si>
    <t>世論</t>
  </si>
  <si>
    <t>よろん</t>
  </si>
  <si>
    <t>世論[よろん]</t>
  </si>
  <si>
    <t>dư luận</t>
  </si>
  <si>
    <t>世論を調査する。</t>
  </si>
  <si>
    <t>Điều tra dư luận.</t>
  </si>
  <si>
    <t>限り</t>
  </si>
  <si>
    <t>かぎり</t>
  </si>
  <si>
    <t>限[かぎ]り</t>
  </si>
  <si>
    <t>今日限りのサービスです。</t>
  </si>
  <si>
    <t>Đây là dịch vụ chỉ dành cho hôm nay.</t>
  </si>
  <si>
    <t>夕方</t>
  </si>
  <si>
    <t>ゆうがた</t>
  </si>
  <si>
    <t>夕方[ゆうがた]</t>
  </si>
  <si>
    <t>夕方に会う。</t>
  </si>
  <si>
    <t>Chúng tôi gặp nhau vào buổi chiều.</t>
  </si>
  <si>
    <t>防ぐ</t>
  </si>
  <si>
    <t>ふせぐ</t>
  </si>
  <si>
    <t>防[ふせ]ぐ</t>
  </si>
  <si>
    <t>ngăn chặn</t>
  </si>
  <si>
    <t>事故を防ぐために確認する。</t>
  </si>
  <si>
    <t>Tôi xác nhận để ngăn chặn tai nạn.</t>
  </si>
  <si>
    <t>やがて</t>
  </si>
  <si>
    <t>やがて春になる。</t>
  </si>
  <si>
    <t>Chẳng bao lâu nữa sẽ là mùa xuân.</t>
  </si>
  <si>
    <t>対立</t>
  </si>
  <si>
    <t>たいりつ</t>
  </si>
  <si>
    <t>対立[たいりつ]</t>
  </si>
  <si>
    <t>đối lập</t>
  </si>
  <si>
    <t>意見の対立が激しい。</t>
  </si>
  <si>
    <t>Sự đối lập về ý kiến rất gay gắt.</t>
  </si>
  <si>
    <t>神社</t>
  </si>
  <si>
    <t>じんじゃ</t>
  </si>
  <si>
    <t>神社[じんじゃ]</t>
  </si>
  <si>
    <t>đền thờ</t>
  </si>
  <si>
    <t>神社へ初詣に行く。</t>
  </si>
  <si>
    <t>Tôi đến đền thờ để đi lễ đầu năm.</t>
  </si>
  <si>
    <t>女の人</t>
  </si>
  <si>
    <t>おんなのひと</t>
  </si>
  <si>
    <t>女[おんな]の人[ひと]</t>
  </si>
  <si>
    <t>người phụ nữ</t>
  </si>
  <si>
    <t>女の人と話す。</t>
  </si>
  <si>
    <t>Tôi nói chuyện với người phụ nữ.</t>
  </si>
  <si>
    <t>あいにく</t>
  </si>
  <si>
    <t>tiếc là</t>
  </si>
  <si>
    <t>あいにく明日は都合が悪いです。</t>
  </si>
  <si>
    <t>Tiếc là ngày mai tôi không tiện.</t>
  </si>
  <si>
    <t>続き</t>
  </si>
  <si>
    <t>つづき</t>
  </si>
  <si>
    <t>続[つづ]き</t>
  </si>
  <si>
    <t>phần tiếp theo</t>
  </si>
  <si>
    <t>本を続きから読む。</t>
  </si>
  <si>
    <t>Tôi đọc sách từ phần tiếp theo.</t>
  </si>
  <si>
    <t>秘密</t>
  </si>
  <si>
    <t>ひみつ</t>
  </si>
  <si>
    <t>秘密[ひみつ]</t>
  </si>
  <si>
    <t>bí mật</t>
  </si>
  <si>
    <t>これは秘密にする。</t>
  </si>
  <si>
    <t>Tôi sẽ giữ việc này làm bí mật.</t>
  </si>
  <si>
    <t>描く</t>
  </si>
  <si>
    <t>えがく</t>
  </si>
  <si>
    <t>描[えが]く</t>
  </si>
  <si>
    <t>vẽ</t>
  </si>
  <si>
    <t>未来を描く。</t>
  </si>
  <si>
    <t>Tôi vẽ ra viễn cảnh tương lai.</t>
  </si>
  <si>
    <t>レジ</t>
  </si>
  <si>
    <t>れじ</t>
  </si>
  <si>
    <t>máy tính tiền</t>
  </si>
  <si>
    <t>レジで払う。</t>
  </si>
  <si>
    <t>Thanh toán tại máy tính tiền.</t>
  </si>
  <si>
    <t>味わう</t>
  </si>
  <si>
    <t>あじわう</t>
  </si>
  <si>
    <t>味[あじ]わう</t>
  </si>
  <si>
    <t>thưởng thức</t>
  </si>
  <si>
    <t>料理をゆっくり味わう。</t>
  </si>
  <si>
    <t>Tôi thưởng thức món ăn từ từ.</t>
  </si>
  <si>
    <t>りっぱ</t>
  </si>
  <si>
    <t>りっぱな家だ。</t>
  </si>
  <si>
    <t>Đó là một ngôi nhà tuyệt vời.</t>
  </si>
  <si>
    <t>アフリカ</t>
  </si>
  <si>
    <t>あふりか</t>
  </si>
  <si>
    <t>châu phi</t>
  </si>
  <si>
    <t>アフリカへ旅行したいです。</t>
  </si>
  <si>
    <t>Tôi muốn đi du lịch châu Phi.</t>
  </si>
  <si>
    <t>秒</t>
  </si>
  <si>
    <t>びょう</t>
  </si>
  <si>
    <t>秒[びょう]</t>
  </si>
  <si>
    <t>giây</t>
  </si>
  <si>
    <t>あと五秒で終わる。</t>
  </si>
  <si>
    <t>Còn năm giây nữa là kết thúc.</t>
  </si>
  <si>
    <t>性質</t>
  </si>
  <si>
    <t>せいしつ</t>
  </si>
  <si>
    <t>性質[せいしつ]</t>
  </si>
  <si>
    <t>tính chất</t>
  </si>
  <si>
    <t>物質の性質を知る。</t>
  </si>
  <si>
    <t>Tìm hiểu tính chất vật chất.</t>
  </si>
  <si>
    <t>祝う</t>
  </si>
  <si>
    <t>いわう</t>
  </si>
  <si>
    <t>祝[いわ]う</t>
  </si>
  <si>
    <t>友人の誕生日を祝う。</t>
  </si>
  <si>
    <t>Tôi chúc mừng sinh nhật bạn.</t>
  </si>
  <si>
    <t>組合</t>
  </si>
  <si>
    <t>くみあい</t>
  </si>
  <si>
    <t>組合[くみあい]</t>
  </si>
  <si>
    <t>công đoàn</t>
  </si>
  <si>
    <t>組合に相談する。</t>
  </si>
  <si>
    <t>Tôi thảo luận với công đoàn.</t>
  </si>
  <si>
    <t>集中</t>
  </si>
  <si>
    <t>しゅうちゅう</t>
  </si>
  <si>
    <t>集中[しゅうちゅう]</t>
  </si>
  <si>
    <t>仕事に集中する。</t>
  </si>
  <si>
    <t>Tôi tập trung vào công việc.</t>
  </si>
  <si>
    <t>決まる</t>
  </si>
  <si>
    <t>きまる</t>
  </si>
  <si>
    <t>決[き]まる</t>
  </si>
  <si>
    <t>được quyết định</t>
  </si>
  <si>
    <t>予定が決まる。</t>
  </si>
  <si>
    <t>Lịch trình được quyết định.</t>
  </si>
  <si>
    <t>建つ</t>
  </si>
  <si>
    <t>建[た]つ</t>
  </si>
  <si>
    <t>được xây dựng</t>
  </si>
  <si>
    <t>新築の家が建つ。</t>
  </si>
  <si>
    <t>Ngôi nhà mới được xây dựng.</t>
  </si>
  <si>
    <t>共に</t>
  </si>
  <si>
    <t>ともに</t>
  </si>
  <si>
    <t>共[とも]に</t>
  </si>
  <si>
    <t>共に歩む。</t>
  </si>
  <si>
    <t>Chúng ta cùng nhau bước đi.</t>
  </si>
  <si>
    <t>四日</t>
  </si>
  <si>
    <t>よっか</t>
  </si>
  <si>
    <t>四日[よっか]</t>
  </si>
  <si>
    <t>ngày bốn</t>
  </si>
  <si>
    <t>四日に出発する。</t>
  </si>
  <si>
    <t>Tôi xuất phát vào ngày bốn.</t>
  </si>
  <si>
    <t>平和</t>
  </si>
  <si>
    <t>へいわ</t>
  </si>
  <si>
    <t>平和[へいわ]</t>
  </si>
  <si>
    <t>hòa bình</t>
  </si>
  <si>
    <t>世界の平和を願う。</t>
  </si>
  <si>
    <t>Cầu mong hòa bình thế giới.</t>
  </si>
  <si>
    <t>まさか</t>
  </si>
  <si>
    <t>không thể nào</t>
  </si>
  <si>
    <t>まさか本当か。</t>
  </si>
  <si>
    <t>Không thể nào là thật chứ?</t>
  </si>
  <si>
    <t>始まり</t>
  </si>
  <si>
    <t>はじまり</t>
  </si>
  <si>
    <t>始[はじ]まり</t>
  </si>
  <si>
    <t>sự bắt đầu</t>
  </si>
  <si>
    <t>物語の始まり。</t>
  </si>
  <si>
    <t>Sự bắt đầu của câu chuyện.</t>
  </si>
  <si>
    <t>驚く</t>
  </si>
  <si>
    <t>おどろく</t>
  </si>
  <si>
    <t>驚[おどろ]く</t>
  </si>
  <si>
    <t>結果に驚く。</t>
  </si>
  <si>
    <t>Tôi ngạc nhiên về kết quả.</t>
  </si>
  <si>
    <t>強調</t>
  </si>
  <si>
    <t>きょうちょう</t>
  </si>
  <si>
    <t>強調[きょうちょう]</t>
  </si>
  <si>
    <t>nhấn mạnh</t>
  </si>
  <si>
    <t>重要な点を強調する。</t>
  </si>
  <si>
    <t>Nhấn mạnh điểm quan trọng.</t>
  </si>
  <si>
    <t>問い合わせ</t>
  </si>
  <si>
    <t>といあわせ</t>
  </si>
  <si>
    <t>問[と]い合[あ]わせ</t>
  </si>
  <si>
    <t>truy vấn</t>
  </si>
  <si>
    <t>在庫を問い合わせる。</t>
  </si>
  <si>
    <t>Tôi truy vấn hàng tồn kho.</t>
  </si>
  <si>
    <t>少々</t>
  </si>
  <si>
    <t>しょうしょう</t>
  </si>
  <si>
    <t>少々[しょうしょう]</t>
  </si>
  <si>
    <t>少々お待ちください。</t>
  </si>
  <si>
    <t>Xin vui lòng đợi một chút.</t>
  </si>
  <si>
    <t>来週</t>
  </si>
  <si>
    <t>らいしゅう</t>
  </si>
  <si>
    <t>来週[らいしゅう]</t>
  </si>
  <si>
    <t>tuần sau</t>
  </si>
  <si>
    <t>来週働く。</t>
  </si>
  <si>
    <t>Tôi làm việc vào tuần sau.</t>
  </si>
  <si>
    <t>規制</t>
  </si>
  <si>
    <t>きせい</t>
  </si>
  <si>
    <t>規制[きせい]</t>
  </si>
  <si>
    <t>使用を規制する。</t>
  </si>
  <si>
    <t>Tôi quy định việc sử dụng.</t>
  </si>
  <si>
    <t>宿泊</t>
  </si>
  <si>
    <t>しゅくはく</t>
  </si>
  <si>
    <t>宿泊[しゅくはく]</t>
  </si>
  <si>
    <t>lưu trú</t>
  </si>
  <si>
    <t>ホテルに宿泊する。</t>
  </si>
  <si>
    <t>Tôi lưu trú tại khách sạn.</t>
  </si>
  <si>
    <t>想像</t>
  </si>
  <si>
    <t>そうぞう</t>
  </si>
  <si>
    <t>想像[そうぞう]</t>
  </si>
  <si>
    <t>tưởng tượng</t>
  </si>
  <si>
    <t>想像力を働かせる。</t>
  </si>
  <si>
    <t>Phát huy sức tưởng tượng.</t>
  </si>
  <si>
    <t>知事</t>
  </si>
  <si>
    <t>ちじ</t>
  </si>
  <si>
    <t>知事[ちじ]</t>
  </si>
  <si>
    <t>tỉnh trưởng</t>
  </si>
  <si>
    <t>県の知事に会う。</t>
  </si>
  <si>
    <t>Gặp tỉnh trưởng của tỉnh.</t>
  </si>
  <si>
    <t>全く</t>
  </si>
  <si>
    <t>まったく</t>
  </si>
  <si>
    <t>全[まった]く</t>
  </si>
  <si>
    <t>全く分からない。</t>
  </si>
  <si>
    <t>Tôi hoàn toàn không hiểu.</t>
  </si>
  <si>
    <t>固まる</t>
  </si>
  <si>
    <t>かたまる</t>
  </si>
  <si>
    <t>固[かた]まる</t>
  </si>
  <si>
    <t>đông cứng</t>
  </si>
  <si>
    <t>雪が固まる。</t>
  </si>
  <si>
    <t>Tuyết đang đông cứng lại.</t>
  </si>
  <si>
    <t>強力</t>
  </si>
  <si>
    <t>きょうりょく</t>
  </si>
  <si>
    <t>強力[きょうりょく]</t>
  </si>
  <si>
    <t>hùng mạnh</t>
  </si>
  <si>
    <t>強力なリーダー。</t>
  </si>
  <si>
    <t>Người lãnh đạo hùng mạnh.</t>
  </si>
  <si>
    <t>税金</t>
  </si>
  <si>
    <t>ぜいきん</t>
  </si>
  <si>
    <t>税金[ぜいきん]</t>
  </si>
  <si>
    <t>tiền thuế</t>
  </si>
  <si>
    <t>税金を支払う。</t>
  </si>
  <si>
    <t>Tôi thanh toán tiền thuế.</t>
  </si>
  <si>
    <t>年代</t>
  </si>
  <si>
    <t>ねんだい</t>
  </si>
  <si>
    <t>年代[ねんだい]</t>
  </si>
  <si>
    <t>80年代の音楽。</t>
  </si>
  <si>
    <t>Âm nhạc của thập niên 80.</t>
  </si>
  <si>
    <t>様々</t>
  </si>
  <si>
    <t>さまざま</t>
  </si>
  <si>
    <t>様々[さまざま]</t>
  </si>
  <si>
    <t>đa dạng</t>
  </si>
  <si>
    <t>様々な種類。</t>
  </si>
  <si>
    <t>Đó là nhiều loại đa dạng.</t>
  </si>
  <si>
    <t>雑誌</t>
  </si>
  <si>
    <t>ざっし</t>
  </si>
  <si>
    <t>雑誌[ざっし]</t>
  </si>
  <si>
    <t>tạp chí</t>
  </si>
  <si>
    <t>最新の雑誌を読む。</t>
  </si>
  <si>
    <t>Tôi đọc tạp chí mới nhất.</t>
  </si>
  <si>
    <t>壁</t>
  </si>
  <si>
    <t>かべ</t>
  </si>
  <si>
    <t>壁[かべ]</t>
  </si>
  <si>
    <t>tường</t>
  </si>
  <si>
    <t>壁に絵を掛ける。</t>
  </si>
  <si>
    <t>Tôi treo tranh lên tường.</t>
  </si>
  <si>
    <t>見つかる</t>
  </si>
  <si>
    <t>みつかる</t>
  </si>
  <si>
    <t>見[み]つかる</t>
  </si>
  <si>
    <t>được tìm thấy</t>
  </si>
  <si>
    <t>鍵が見つかる。</t>
  </si>
  <si>
    <t>Chìa khóa được tìm thấy.</t>
  </si>
  <si>
    <t>職場</t>
  </si>
  <si>
    <t>しょくば</t>
  </si>
  <si>
    <t>職場[しょくば]</t>
  </si>
  <si>
    <t>nơi làm việc</t>
  </si>
  <si>
    <t>職場へ行く。</t>
  </si>
  <si>
    <t>Tôi đi tới nơi làm việc.</t>
  </si>
  <si>
    <t>少年</t>
  </si>
  <si>
    <t>しょうねん</t>
  </si>
  <si>
    <t>少年[しょうねん]</t>
  </si>
  <si>
    <t>thiếu niên</t>
  </si>
  <si>
    <t>少年が走っていく。</t>
  </si>
  <si>
    <t>Thiếu niên đang chạy đi.</t>
  </si>
  <si>
    <t>判断</t>
  </si>
  <si>
    <t>はんだん</t>
  </si>
  <si>
    <t>判断[はんだん]</t>
  </si>
  <si>
    <t>phán đoán</t>
  </si>
  <si>
    <t>状況を判断する。</t>
  </si>
  <si>
    <t>Tôi phán đoán tình hình.</t>
  </si>
  <si>
    <t>差別</t>
  </si>
  <si>
    <t>さべつ</t>
  </si>
  <si>
    <t>差別[さべつ]</t>
  </si>
  <si>
    <t>phân biệt</t>
  </si>
  <si>
    <t>差別をなくす。</t>
  </si>
  <si>
    <t>Xóa bỏ phân biệt đối xử.</t>
  </si>
  <si>
    <t>患者</t>
  </si>
  <si>
    <t>かんじゃ</t>
  </si>
  <si>
    <t>患者[かんじゃ]</t>
  </si>
  <si>
    <t>bệnh nhân</t>
  </si>
  <si>
    <t>患者を診察する。</t>
  </si>
  <si>
    <t>Khám bệnh cho bệnh nhân.</t>
  </si>
  <si>
    <t>積極的</t>
  </si>
  <si>
    <t>せっきょくてき</t>
  </si>
  <si>
    <t>積極的[せっきょくてき]</t>
  </si>
  <si>
    <t>tích cực</t>
  </si>
  <si>
    <t>積極的な態度をとる。</t>
  </si>
  <si>
    <t>Tôi có thái độ tích cực.</t>
  </si>
  <si>
    <t>信用</t>
  </si>
  <si>
    <t>しんよう</t>
  </si>
  <si>
    <t>信用[しんよう]</t>
  </si>
  <si>
    <t>tin cậy</t>
  </si>
  <si>
    <t>信用を築く。</t>
  </si>
  <si>
    <t>Tôi xây dựng sự tin cậy.</t>
  </si>
  <si>
    <t>策</t>
  </si>
  <si>
    <t>さく</t>
  </si>
  <si>
    <t>策[さく]</t>
  </si>
  <si>
    <t>kế sách</t>
  </si>
  <si>
    <t>良い策を考える。</t>
  </si>
  <si>
    <t>Tôi nghĩ ra kế sách hay.</t>
  </si>
  <si>
    <t>繋がる</t>
  </si>
  <si>
    <t>つながる</t>
  </si>
  <si>
    <t>繋[つな]がる</t>
  </si>
  <si>
    <t>kết nối</t>
  </si>
  <si>
    <t>電話が繋がる。</t>
  </si>
  <si>
    <t>Điện thoại được kết nối.</t>
  </si>
  <si>
    <t>育つ</t>
  </si>
  <si>
    <t>そだつ</t>
  </si>
  <si>
    <t>育[そだ]つ</t>
  </si>
  <si>
    <t>lớn lên</t>
  </si>
  <si>
    <t>田舎で育つ。</t>
  </si>
  <si>
    <t>Tôi lớn lên ở nông thôn.</t>
  </si>
  <si>
    <t>注目</t>
  </si>
  <si>
    <t>ちゅうもく</t>
  </si>
  <si>
    <t>注目[ちゅうもく]</t>
  </si>
  <si>
    <t>新しい技術に注目する。</t>
  </si>
  <si>
    <t>Chú ý đến công nghệ mới.</t>
  </si>
  <si>
    <t>差し上げる</t>
  </si>
  <si>
    <t>さしあげる</t>
  </si>
  <si>
    <t>差[さ]し上[あ]げる</t>
  </si>
  <si>
    <t>biếu</t>
  </si>
  <si>
    <t>先生に本を差し上げる。</t>
  </si>
  <si>
    <t>Biếu sách cho thầy giáo.</t>
  </si>
  <si>
    <t>積む</t>
  </si>
  <si>
    <t>つむ</t>
  </si>
  <si>
    <t>積[つ]む</t>
  </si>
  <si>
    <t>chất</t>
  </si>
  <si>
    <t>荷物を車に積む。</t>
  </si>
  <si>
    <t>Tôi chất hành lý lên xe.</t>
  </si>
  <si>
    <t>際</t>
  </si>
  <si>
    <t>さい</t>
  </si>
  <si>
    <t>際[さい]</t>
  </si>
  <si>
    <t>khi</t>
  </si>
  <si>
    <t>会議の際に質問する。</t>
  </si>
  <si>
    <t>Tôi đặt câu hỏi khi họp.</t>
  </si>
  <si>
    <t>現場</t>
  </si>
  <si>
    <t>げんば</t>
  </si>
  <si>
    <t>現場[げんば]</t>
  </si>
  <si>
    <t>hiện trường</t>
  </si>
  <si>
    <t>事故の現場。</t>
  </si>
  <si>
    <t>Hiện trường vụ tai nạn.</t>
  </si>
  <si>
    <t>戦い</t>
  </si>
  <si>
    <t>たたかい</t>
  </si>
  <si>
    <t>戦[たたか]い</t>
  </si>
  <si>
    <t>trận chiến</t>
  </si>
  <si>
    <t>戦いに勝つ。</t>
  </si>
  <si>
    <t>Chiến thắng trận chiến.</t>
  </si>
  <si>
    <t>形式</t>
  </si>
  <si>
    <t>けいしき</t>
  </si>
  <si>
    <t>形式[けいしき]</t>
  </si>
  <si>
    <t>hình thức</t>
  </si>
  <si>
    <t>形式にとらわれる。</t>
  </si>
  <si>
    <t>Bị gò bó bởi hình thức.</t>
  </si>
  <si>
    <t>性能</t>
  </si>
  <si>
    <t>せいのう</t>
  </si>
  <si>
    <t>性能[せいのう]</t>
  </si>
  <si>
    <t>hiệu năng</t>
  </si>
  <si>
    <t>パソコンの性能。</t>
  </si>
  <si>
    <t>Hiệu năng của máy tính.</t>
  </si>
  <si>
    <t>上司</t>
  </si>
  <si>
    <t>じょうし</t>
  </si>
  <si>
    <t>上司[じょうし]</t>
  </si>
  <si>
    <t>cấp trên</t>
  </si>
  <si>
    <t>上司に相談する。</t>
  </si>
  <si>
    <t>Thảo luận với cấp trên.</t>
  </si>
  <si>
    <t>終える</t>
  </si>
  <si>
    <t>おえる</t>
  </si>
  <si>
    <t>終[お]える</t>
  </si>
  <si>
    <t>仕事を終える。</t>
  </si>
  <si>
    <t>Tôi kết thúc công việc.</t>
  </si>
  <si>
    <t>舞台</t>
  </si>
  <si>
    <t>ぶたい</t>
  </si>
  <si>
    <t>舞台[ぶたい]</t>
  </si>
  <si>
    <t>sân khấu</t>
  </si>
  <si>
    <t>舞台に立つ。</t>
  </si>
  <si>
    <t>Tôi đứng trên sân khấu.</t>
  </si>
  <si>
    <t>警察</t>
  </si>
  <si>
    <t>けいさつ</t>
  </si>
  <si>
    <t>警察[けいさつ]</t>
  </si>
  <si>
    <t>cảnh sát</t>
  </si>
  <si>
    <t>警察に届ける。</t>
  </si>
  <si>
    <t>Thông báo cho cảnh sát.</t>
  </si>
  <si>
    <t>会計</t>
  </si>
  <si>
    <t>かいけい</t>
  </si>
  <si>
    <t>会計[かいけい]</t>
  </si>
  <si>
    <t>kế toán</t>
  </si>
  <si>
    <t>会計を支払う。</t>
  </si>
  <si>
    <t>Tôi thanh toán kế toán.</t>
  </si>
  <si>
    <t>荷物</t>
  </si>
  <si>
    <t>にもつ</t>
  </si>
  <si>
    <t>荷物[にもつ]</t>
  </si>
  <si>
    <t>hành lý</t>
  </si>
  <si>
    <t>重い荷物を運ぶ。</t>
  </si>
  <si>
    <t>Vận chuyển hành lý nặng.</t>
  </si>
  <si>
    <t>変</t>
  </si>
  <si>
    <t>へん</t>
  </si>
  <si>
    <t>変[へん]</t>
  </si>
  <si>
    <t>変な音がする。</t>
  </si>
  <si>
    <t>Âm thanh kỳ lạ phát ra.</t>
  </si>
  <si>
    <t>鳥</t>
  </si>
  <si>
    <t>とり</t>
  </si>
  <si>
    <t>鳥[とり]</t>
  </si>
  <si>
    <t>chim</t>
  </si>
  <si>
    <t>鳥が飛ぶ。</t>
  </si>
  <si>
    <t>Chim bay.</t>
  </si>
  <si>
    <t>差す</t>
  </si>
  <si>
    <t>差[さ]す</t>
  </si>
  <si>
    <t>đâm</t>
  </si>
  <si>
    <t>太陽が差す。</t>
  </si>
  <si>
    <t>Ánh mặt trời chiếu vào.</t>
  </si>
  <si>
    <t>飛ぶ</t>
  </si>
  <si>
    <t>とぶ</t>
  </si>
  <si>
    <t>飛[と]ぶ</t>
  </si>
  <si>
    <t>bay</t>
  </si>
  <si>
    <t>空を鳥が飛ぶ。</t>
  </si>
  <si>
    <t>Chim bay trên bầu trời.</t>
  </si>
  <si>
    <t>マスコミ</t>
  </si>
  <si>
    <t>ますこみ</t>
  </si>
  <si>
    <t>マスコミに載る。</t>
  </si>
  <si>
    <t>Lên trên truyền thông.</t>
  </si>
  <si>
    <t>延びる</t>
  </si>
  <si>
    <t>のびる</t>
  </si>
  <si>
    <t>延[の]びる</t>
  </si>
  <si>
    <t>được kéo dài</t>
  </si>
  <si>
    <t>期限が延びる。</t>
  </si>
  <si>
    <t>Thời hạn được kéo dài.</t>
  </si>
  <si>
    <t>先月</t>
  </si>
  <si>
    <t>せんげつ</t>
  </si>
  <si>
    <t>先月[せんげつ]</t>
  </si>
  <si>
    <t>tháng trước</t>
  </si>
  <si>
    <t>先月帰った。</t>
  </si>
  <si>
    <t>Tôi đã về tháng trước.</t>
  </si>
  <si>
    <t>厳しい</t>
  </si>
  <si>
    <t>きびしい</t>
  </si>
  <si>
    <t>厳[きび]しい</t>
  </si>
  <si>
    <t>nghiêm khắc</t>
  </si>
  <si>
    <t>厳しい先生。</t>
  </si>
  <si>
    <t>Giáo viên nghiêm khắc.</t>
  </si>
  <si>
    <t>記者</t>
  </si>
  <si>
    <t>きしゃ</t>
  </si>
  <si>
    <t>記者[きしゃ]</t>
  </si>
  <si>
    <t>phóng viên</t>
  </si>
  <si>
    <t>記者が取材する。</t>
  </si>
  <si>
    <t>Phóng viên đi lấy tin.</t>
  </si>
  <si>
    <t>途中</t>
  </si>
  <si>
    <t>とちゅう</t>
  </si>
  <si>
    <t>途中[とちゅう]</t>
  </si>
  <si>
    <t>giữa đường</t>
  </si>
  <si>
    <t>帰りの途中で寄る。</t>
  </si>
  <si>
    <t>Ghé vào giữa đường về.</t>
  </si>
  <si>
    <t>法</t>
  </si>
  <si>
    <t>ほう</t>
  </si>
  <si>
    <t>法[ほう]</t>
  </si>
  <si>
    <t>pháp luật</t>
  </si>
  <si>
    <t>法を犯す。</t>
  </si>
  <si>
    <t>Tôi vi phạm pháp luật.</t>
  </si>
  <si>
    <t>一体</t>
  </si>
  <si>
    <t>いったい</t>
  </si>
  <si>
    <t>一体[いったい]</t>
  </si>
  <si>
    <t>rốt cuộc</t>
  </si>
  <si>
    <t>一体何だ。</t>
  </si>
  <si>
    <t>Rốt cuộc đó là cái gì?</t>
  </si>
  <si>
    <t>参加</t>
  </si>
  <si>
    <t>さんか</t>
  </si>
  <si>
    <t>参加[さんか]</t>
  </si>
  <si>
    <t>tham gia</t>
  </si>
  <si>
    <t>会議に参加する。</t>
  </si>
  <si>
    <t>Tôi tham gia cuộc họp.</t>
  </si>
  <si>
    <t>工夫</t>
  </si>
  <si>
    <t>くふう</t>
  </si>
  <si>
    <t>工夫[くふう]</t>
  </si>
  <si>
    <t>công phu</t>
  </si>
  <si>
    <t>勉強の仕方を工夫する。</t>
  </si>
  <si>
    <t>Cải tiến cách học tập.</t>
  </si>
  <si>
    <t>手段</t>
  </si>
  <si>
    <t>しゅだん</t>
  </si>
  <si>
    <t>手段[しゅだん]</t>
  </si>
  <si>
    <t>thủ đoạn</t>
  </si>
  <si>
    <t>目的のための手段。</t>
  </si>
  <si>
    <t>Thủ đoạn cho mục đích.</t>
  </si>
  <si>
    <t>立ち上がる</t>
  </si>
  <si>
    <t>たちあがる</t>
  </si>
  <si>
    <t>立[た]ち上[あ]がる</t>
  </si>
  <si>
    <t>đứng dậy</t>
  </si>
  <si>
    <t>椅子から立ち上がる。</t>
  </si>
  <si>
    <t>Tôi đứng dậy khỏi ghế.</t>
  </si>
  <si>
    <t>装置</t>
  </si>
  <si>
    <t>そうち</t>
  </si>
  <si>
    <t>装置[そうち]</t>
  </si>
  <si>
    <t>thiết bị</t>
  </si>
  <si>
    <t>装置を動かす。</t>
  </si>
  <si>
    <t>Tôi vận hành thiết bị.</t>
  </si>
  <si>
    <t>許可</t>
  </si>
  <si>
    <t>きょか</t>
  </si>
  <si>
    <t>許可[きょか]</t>
  </si>
  <si>
    <t>cho phép</t>
  </si>
  <si>
    <t>許可を得る。</t>
  </si>
  <si>
    <t>Nhận được sự cho phép.</t>
  </si>
  <si>
    <t>高める</t>
  </si>
  <si>
    <t>たかめる</t>
  </si>
  <si>
    <t>高[たか]める</t>
  </si>
  <si>
    <t>nâng cao</t>
  </si>
  <si>
    <t>技術を高める。</t>
  </si>
  <si>
    <t>Tôi nâng cao kỹ thuật.</t>
  </si>
  <si>
    <t>依頼</t>
  </si>
  <si>
    <t>依頼[いらい]</t>
  </si>
  <si>
    <t>仕事を依頼する。</t>
  </si>
  <si>
    <t>Tôi yêu cầu công việc.</t>
  </si>
  <si>
    <t>繰り返す</t>
  </si>
  <si>
    <t>くりかえす</t>
  </si>
  <si>
    <t>繰[く]り返[かえ]す</t>
  </si>
  <si>
    <t>lặp lại</t>
  </si>
  <si>
    <t>練習を繰り返す。</t>
  </si>
  <si>
    <t>Tôi lặp lại luyện tập.</t>
  </si>
  <si>
    <t>要求</t>
  </si>
  <si>
    <t>ようきゅう</t>
  </si>
  <si>
    <t>要求[ようきゅう]</t>
  </si>
  <si>
    <t>改善を要求する。</t>
  </si>
  <si>
    <t>Tôi yêu cầu cải thiện.</t>
  </si>
  <si>
    <t>保護</t>
  </si>
  <si>
    <t>ほご</t>
  </si>
  <si>
    <t>保護[ほご]</t>
  </si>
  <si>
    <t>bảo vệ</t>
  </si>
  <si>
    <t>環境を保護する。</t>
  </si>
  <si>
    <t>Tôi bảo vệ môi trường.</t>
  </si>
  <si>
    <t>心理</t>
  </si>
  <si>
    <t>しんり</t>
  </si>
  <si>
    <t>心理[しんり]</t>
  </si>
  <si>
    <t>tâm lý</t>
  </si>
  <si>
    <t>相手の心理を読む。</t>
  </si>
  <si>
    <t>Đọc tâm lý đối phương.</t>
  </si>
  <si>
    <t>細い</t>
  </si>
  <si>
    <t>ほそい</t>
  </si>
  <si>
    <t>細[ほそ]い</t>
  </si>
  <si>
    <t>mảnh</t>
  </si>
  <si>
    <t>細い糸を使う。</t>
  </si>
  <si>
    <t>Tôi dùng sợi chỉ mảnh.</t>
  </si>
  <si>
    <t>急</t>
  </si>
  <si>
    <t>急[きゅう]</t>
  </si>
  <si>
    <t>gấp</t>
  </si>
  <si>
    <t>急な用事が入る。</t>
  </si>
  <si>
    <t>Có việc gấp phát sinh.</t>
  </si>
  <si>
    <t>通信</t>
  </si>
  <si>
    <t>つうしん</t>
  </si>
  <si>
    <t>通信[つうしん]</t>
  </si>
  <si>
    <t>通信を利用する。</t>
  </si>
  <si>
    <t>Sử dụng truyền thông.</t>
  </si>
  <si>
    <t>中間</t>
  </si>
  <si>
    <t>ちゅうかん</t>
  </si>
  <si>
    <t>中間[ちゅうかん]</t>
  </si>
  <si>
    <t>trung gian</t>
  </si>
  <si>
    <t>中間テスト。</t>
  </si>
  <si>
    <t>Bài kiểm tra giữa kỳ.</t>
  </si>
  <si>
    <t>先週</t>
  </si>
  <si>
    <t>せんしゅう</t>
  </si>
  <si>
    <t>先週[せんしゅう]</t>
  </si>
  <si>
    <t>tuần trước</t>
  </si>
  <si>
    <t>先週行った。</t>
  </si>
  <si>
    <t>Tôi đã đi tuần trước.</t>
  </si>
  <si>
    <t>育てる</t>
  </si>
  <si>
    <t>そだてる</t>
  </si>
  <si>
    <t>育[そだ]てる</t>
  </si>
  <si>
    <t>nuôi dạy</t>
  </si>
  <si>
    <t>子供を大切に育てる。</t>
  </si>
  <si>
    <t>Nuôi dạy con cái cẩn thận.</t>
  </si>
  <si>
    <t>調整</t>
  </si>
  <si>
    <t>ちょうせい</t>
  </si>
  <si>
    <t>調整[ちょうせい]</t>
  </si>
  <si>
    <t>時間を調整する。</t>
  </si>
  <si>
    <t>Điều chỉnh thời gian.</t>
  </si>
  <si>
    <t>信頼</t>
  </si>
  <si>
    <t>しんらい</t>
  </si>
  <si>
    <t>信頼[しんらい]</t>
  </si>
  <si>
    <t>友人を信頼する。</t>
  </si>
  <si>
    <t>Tôi tin tưởng bạn bè.</t>
  </si>
  <si>
    <t>昼</t>
  </si>
  <si>
    <t>ひる</t>
  </si>
  <si>
    <t>昼[ひる]</t>
  </si>
  <si>
    <t>昼に食べる。</t>
  </si>
  <si>
    <t>Tôi ăn vào buổi trưa.</t>
  </si>
  <si>
    <t>伺う</t>
  </si>
  <si>
    <t>伺[うかが]う</t>
  </si>
  <si>
    <t>hỏi thăm</t>
  </si>
  <si>
    <t>先生に伺う。</t>
  </si>
  <si>
    <t>Tôi đi hỏi thăm thầy giáo.</t>
  </si>
  <si>
    <t>選択</t>
  </si>
  <si>
    <t>せんたく</t>
  </si>
  <si>
    <t>選択[せんたく]</t>
  </si>
  <si>
    <t>lựa chọn</t>
  </si>
  <si>
    <t>選択を間違える。</t>
  </si>
  <si>
    <t>Sai lầm khi lựa chọn.</t>
  </si>
  <si>
    <t>半分</t>
  </si>
  <si>
    <t>はんぶん</t>
  </si>
  <si>
    <t>半分[はんぶん]</t>
  </si>
  <si>
    <t>半分にする。</t>
  </si>
  <si>
    <t>Tôi chia làm một nửa.</t>
  </si>
  <si>
    <t>手続き</t>
  </si>
  <si>
    <t>てつづき</t>
  </si>
  <si>
    <t>手続[てつづ]き</t>
  </si>
  <si>
    <t>thủ tục</t>
  </si>
  <si>
    <t>入学の手続きをする。</t>
  </si>
  <si>
    <t>Làm thủ tục nhập học.</t>
  </si>
  <si>
    <t>維持</t>
  </si>
  <si>
    <t>いじ</t>
  </si>
  <si>
    <t>維持[いじ]</t>
  </si>
  <si>
    <t>duy trì</t>
  </si>
  <si>
    <t>健康を維持する。</t>
  </si>
  <si>
    <t>Tôi duy trì sức khỏe.</t>
  </si>
  <si>
    <t>自動</t>
  </si>
  <si>
    <t>じどう</t>
  </si>
  <si>
    <t>自動[じどう]</t>
  </si>
  <si>
    <t>tự động</t>
  </si>
  <si>
    <t>自動で動く。</t>
  </si>
  <si>
    <t>Nó hoạt động tự động.</t>
  </si>
  <si>
    <t>友達</t>
  </si>
  <si>
    <t>ともだち</t>
  </si>
  <si>
    <t>友達[ともだち]</t>
  </si>
  <si>
    <t>友達と楽しく遊ぶ。</t>
  </si>
  <si>
    <t>Chơi vui vẻ với bạn bè.</t>
  </si>
  <si>
    <t>無理</t>
  </si>
  <si>
    <t>むり</t>
  </si>
  <si>
    <t>無理[むり]</t>
  </si>
  <si>
    <t>vô lý</t>
  </si>
  <si>
    <t>無理な要求をする。</t>
  </si>
  <si>
    <t>Đưa ra yêu cầu vô lý.</t>
  </si>
  <si>
    <t>選手</t>
  </si>
  <si>
    <t>せんしゅ</t>
  </si>
  <si>
    <t>選手[せんしゅ]</t>
  </si>
  <si>
    <t>vận động viên</t>
  </si>
  <si>
    <t>選手を応援する。</t>
  </si>
  <si>
    <t>Cổ vũ vận động viên.</t>
  </si>
  <si>
    <t>原因</t>
  </si>
  <si>
    <t>げんいん</t>
  </si>
  <si>
    <t>原因[げんいん]</t>
  </si>
  <si>
    <t>原因を探る。</t>
  </si>
  <si>
    <t>Tôi tìm nguyên nhân.</t>
  </si>
  <si>
    <t>祈る</t>
  </si>
  <si>
    <t>いのる</t>
  </si>
  <si>
    <t>祈[いの]る</t>
  </si>
  <si>
    <t>cầu nguyện</t>
  </si>
  <si>
    <t>平和を祈る。</t>
  </si>
  <si>
    <t>Cầu nguyện cho hòa bình.</t>
  </si>
  <si>
    <t>笑い</t>
  </si>
  <si>
    <t>わらい</t>
  </si>
  <si>
    <t>笑[わら]い</t>
  </si>
  <si>
    <t>tiếng cười</t>
  </si>
  <si>
    <t>笑いが起きる。</t>
  </si>
  <si>
    <t>Tiếng cười vang lên.</t>
  </si>
  <si>
    <t>質</t>
  </si>
  <si>
    <t>しつ</t>
  </si>
  <si>
    <t>質[しつ]</t>
  </si>
  <si>
    <t>質を向上する。</t>
  </si>
  <si>
    <t>Nâng cao chất lượng.</t>
  </si>
  <si>
    <t>危険</t>
  </si>
  <si>
    <t>きけん</t>
  </si>
  <si>
    <t>危険[きけん]</t>
  </si>
  <si>
    <t>nguy hiểm</t>
  </si>
  <si>
    <t>危険を避ける。</t>
  </si>
  <si>
    <t>Tránh nguy hiểm.</t>
  </si>
  <si>
    <t>従う</t>
  </si>
  <si>
    <t>したがう</t>
  </si>
  <si>
    <t>従[したが]う</t>
  </si>
  <si>
    <t>tuân theo</t>
  </si>
  <si>
    <t>上司の命令に従う。</t>
  </si>
  <si>
    <t>Tuân theo mệnh lệnh của cấp trên.</t>
  </si>
  <si>
    <t>担当</t>
  </si>
  <si>
    <t>たんとう</t>
  </si>
  <si>
    <t>担当[たんとう]</t>
  </si>
  <si>
    <t>đảm nhiệm</t>
  </si>
  <si>
    <t>仕事を担当する。</t>
  </si>
  <si>
    <t>Đảm nhiệm công việc.</t>
  </si>
  <si>
    <t>誕生日</t>
  </si>
  <si>
    <t>たんじょうび</t>
  </si>
  <si>
    <t>誕生日[たんじょうび]</t>
  </si>
  <si>
    <t>sinh nhật</t>
  </si>
  <si>
    <t>誕生日をお祝いする。</t>
  </si>
  <si>
    <t>道路</t>
  </si>
  <si>
    <t>どうろ</t>
  </si>
  <si>
    <t>道路[どうろ]</t>
  </si>
  <si>
    <t>道路を走る。</t>
  </si>
  <si>
    <t>Chạy trên con đường.</t>
  </si>
  <si>
    <t>パスポート</t>
  </si>
  <si>
    <t>ぱすぽーと</t>
  </si>
  <si>
    <t>hộ chiếu</t>
  </si>
  <si>
    <t>パスポートを見せる。</t>
  </si>
  <si>
    <t>Xuất trình hộ chiếu.</t>
  </si>
  <si>
    <t>ぴったり</t>
  </si>
  <si>
    <t>vừa khít</t>
  </si>
  <si>
    <t>サイズがぴったりだ。</t>
  </si>
  <si>
    <t>Kích thước vừa khít.</t>
  </si>
  <si>
    <t>他人</t>
  </si>
  <si>
    <t>たにん</t>
  </si>
  <si>
    <t>他人[たにん]</t>
  </si>
  <si>
    <t>người lạ</t>
  </si>
  <si>
    <t>他人の意見。</t>
  </si>
  <si>
    <t>Ý kiến của người lạ.</t>
  </si>
  <si>
    <t>別れる</t>
  </si>
  <si>
    <t>わかれる</t>
  </si>
  <si>
    <t>別[わか]れる</t>
  </si>
  <si>
    <t>chia tay</t>
  </si>
  <si>
    <t>友達と別れる。</t>
  </si>
  <si>
    <t>Tôi chia tay bạn bè.</t>
  </si>
  <si>
    <t>巨大</t>
  </si>
  <si>
    <t>きょだい</t>
  </si>
  <si>
    <t>巨大[きょだい]</t>
  </si>
  <si>
    <t>khổng lồ</t>
  </si>
  <si>
    <t>巨大なビルがある。</t>
  </si>
  <si>
    <t>Có tòa nhà khổng lồ.</t>
  </si>
  <si>
    <t>影</t>
  </si>
  <si>
    <t>かげ</t>
  </si>
  <si>
    <t>影[かげ]</t>
  </si>
  <si>
    <t>cái bóng</t>
  </si>
  <si>
    <t>長い影ができる。</t>
  </si>
  <si>
    <t>Tạo ra cái bóng dài.</t>
  </si>
  <si>
    <t>結論</t>
  </si>
  <si>
    <t>けつろん</t>
  </si>
  <si>
    <t>結論[けつろん]</t>
  </si>
  <si>
    <t>kết luận</t>
  </si>
  <si>
    <t>結論を出す。</t>
  </si>
  <si>
    <t>Tôi đưa ra kết luận.</t>
  </si>
  <si>
    <t>高まる</t>
  </si>
  <si>
    <t>たかまる</t>
  </si>
  <si>
    <t>高[たか]まる</t>
  </si>
  <si>
    <t>dâng cao</t>
  </si>
  <si>
    <t>期待が高まる。</t>
  </si>
  <si>
    <t>Sự kỳ vọng dâng cao.</t>
  </si>
  <si>
    <t>体制</t>
  </si>
  <si>
    <t>たいせい</t>
  </si>
  <si>
    <t>体制[たいせい]</t>
  </si>
  <si>
    <t>thể chế</t>
  </si>
  <si>
    <t>新しい体制を作る。</t>
  </si>
  <si>
    <t>Tôi lập thể chế mới.</t>
  </si>
  <si>
    <t>期待</t>
  </si>
  <si>
    <t>きたい</t>
  </si>
  <si>
    <t>期待[きたい]</t>
  </si>
  <si>
    <t>kỳ vọng</t>
  </si>
  <si>
    <t>期待に応える。</t>
  </si>
  <si>
    <t>Tôi đáp ứng kỳ vọng.</t>
  </si>
  <si>
    <t>道具</t>
  </si>
  <si>
    <t>どうぐ</t>
  </si>
  <si>
    <t>道具[どうぐ]</t>
  </si>
  <si>
    <t>dụng cụ</t>
  </si>
  <si>
    <t>便利な道具だ。</t>
  </si>
  <si>
    <t>Là dụng cụ tiện lợi.</t>
  </si>
  <si>
    <t>位置</t>
  </si>
  <si>
    <t>位置[いち]</t>
  </si>
  <si>
    <t>位置を確認する。</t>
  </si>
  <si>
    <t>Tôi xác nhận vị trí.</t>
  </si>
  <si>
    <t>作成</t>
  </si>
  <si>
    <t>さくせい</t>
  </si>
  <si>
    <t>作成[さくせい]</t>
  </si>
  <si>
    <t>tạo ra</t>
  </si>
  <si>
    <t>書類を作成する。</t>
  </si>
  <si>
    <t>Tôi soạn thảo tài liệu.</t>
  </si>
  <si>
    <t>残す</t>
  </si>
  <si>
    <t>のこす</t>
  </si>
  <si>
    <t>残[のこ]す</t>
  </si>
  <si>
    <t>để lại</t>
  </si>
  <si>
    <t>メモを残す。</t>
  </si>
  <si>
    <t>Tôi để lại lời nhắn.</t>
  </si>
  <si>
    <t>応援</t>
  </si>
  <si>
    <t>おうえん</t>
  </si>
  <si>
    <t>応援[おうえん]</t>
  </si>
  <si>
    <t>cổ vũ</t>
  </si>
  <si>
    <t>試合で選手を応援する。</t>
  </si>
  <si>
    <t>Cổ vũ vận động viên trong trận đấu.</t>
  </si>
  <si>
    <t>要る</t>
  </si>
  <si>
    <t>要[い]る</t>
  </si>
  <si>
    <t>cần</t>
  </si>
  <si>
    <t>許可が要る。</t>
  </si>
  <si>
    <t>Tôi cần sự cho phép.</t>
  </si>
  <si>
    <t>芸術</t>
  </si>
  <si>
    <t>げいじゅつ</t>
  </si>
  <si>
    <t>芸術[げいじゅつ]</t>
  </si>
  <si>
    <t>nghệ thuật</t>
  </si>
  <si>
    <t>芸術を愛する。</t>
  </si>
  <si>
    <t>Tôi yêu nghệ thuật.</t>
  </si>
  <si>
    <t>利益</t>
  </si>
  <si>
    <t>りえき</t>
  </si>
  <si>
    <t>利益[りえき]</t>
  </si>
  <si>
    <t>lợi nhuận</t>
  </si>
  <si>
    <t>利益を上げる。</t>
  </si>
  <si>
    <t>Tôi tăng lợi nhuận.</t>
  </si>
  <si>
    <t>売上</t>
  </si>
  <si>
    <t>うりあげ</t>
  </si>
  <si>
    <t>売上[うりあげ]</t>
  </si>
  <si>
    <t>doanh thu</t>
  </si>
  <si>
    <t>売上を計算する。</t>
  </si>
  <si>
    <t>Tôi tính doanh thu.</t>
  </si>
  <si>
    <t>幸せ</t>
  </si>
  <si>
    <t>しあわせ</t>
  </si>
  <si>
    <t>幸[しあわ]せ</t>
  </si>
  <si>
    <t>hạnh phúc</t>
  </si>
  <si>
    <t>幸せな家庭。</t>
  </si>
  <si>
    <t>Gia đình hạnh phúc.</t>
  </si>
  <si>
    <t>我慢</t>
  </si>
  <si>
    <t>がまん</t>
  </si>
  <si>
    <t>我慢[がまん]</t>
  </si>
  <si>
    <t>kiên nhẫn</t>
  </si>
  <si>
    <t>痛みを我慢する。</t>
  </si>
  <si>
    <t>Chịu đựng nỗi đau.</t>
  </si>
  <si>
    <t>現れる</t>
  </si>
  <si>
    <t>あらわれる</t>
  </si>
  <si>
    <t>現[あらわ]れる</t>
  </si>
  <si>
    <t>xuất hiện</t>
  </si>
  <si>
    <t>星が現れる。</t>
  </si>
  <si>
    <t>Ngôi sao xuất hiện.</t>
  </si>
  <si>
    <t>現実</t>
  </si>
  <si>
    <t>げんじつ</t>
  </si>
  <si>
    <t>現実[げんじつ]</t>
  </si>
  <si>
    <t>hiện thực</t>
  </si>
  <si>
    <t>現実を見る。</t>
  </si>
  <si>
    <t>Nhìn vào hiện thực.</t>
  </si>
  <si>
    <t>逆</t>
  </si>
  <si>
    <t>ぎゃく</t>
  </si>
  <si>
    <t>逆[ぎゃく]</t>
  </si>
  <si>
    <t>ngược lại</t>
  </si>
  <si>
    <t>逆の効果だ。</t>
  </si>
  <si>
    <t>Hiệu quả ngược lại.</t>
  </si>
  <si>
    <t>バンド</t>
  </si>
  <si>
    <t>ばんど</t>
  </si>
  <si>
    <t>ban nhạc</t>
  </si>
  <si>
    <t>バンドを組む。</t>
  </si>
  <si>
    <t>Thành lập ban nhạc.</t>
  </si>
  <si>
    <t>代る</t>
  </si>
  <si>
    <t>代[かわ]る</t>
  </si>
  <si>
    <t>先生に代る。</t>
  </si>
  <si>
    <t>Thay thế thầy giáo.</t>
  </si>
  <si>
    <t>傾向</t>
  </si>
  <si>
    <t>けいこう</t>
  </si>
  <si>
    <t>傾向[けいこう]</t>
  </si>
  <si>
    <t>xu hướng</t>
  </si>
  <si>
    <t>消費の傾向。</t>
  </si>
  <si>
    <t>Xu hướng tiêu dùng.</t>
  </si>
  <si>
    <t>加える</t>
  </si>
  <si>
    <t>くわえる</t>
  </si>
  <si>
    <t>加[くわ]える</t>
  </si>
  <si>
    <t>thêm vào</t>
  </si>
  <si>
    <t>砂糖を加える。</t>
  </si>
  <si>
    <t>Tôi thêm đường vào.</t>
  </si>
  <si>
    <t>感覚</t>
  </si>
  <si>
    <t>かんかく</t>
  </si>
  <si>
    <t>感覚[かんかく]</t>
  </si>
  <si>
    <t>感覚が鈍る。</t>
  </si>
  <si>
    <t>Cảm giác bị cùn đi.</t>
  </si>
  <si>
    <t>批判</t>
  </si>
  <si>
    <t>ひはん</t>
  </si>
  <si>
    <t>批判[ひはん]</t>
  </si>
  <si>
    <t>phê bình</t>
  </si>
  <si>
    <t>政府を批判する。</t>
  </si>
  <si>
    <t>Phê bình chính phủ.</t>
  </si>
  <si>
    <t>無くなる</t>
  </si>
  <si>
    <t>無[な]くなる</t>
  </si>
  <si>
    <t>biến mất</t>
  </si>
  <si>
    <t>財布が無くなった。</t>
  </si>
  <si>
    <t>Cái ví đã biến mất.</t>
  </si>
  <si>
    <t>目標</t>
  </si>
  <si>
    <t>もくひょう</t>
  </si>
  <si>
    <t>目標[もくひょう]</t>
  </si>
  <si>
    <t>mục tiêu</t>
  </si>
  <si>
    <t>目標を立てる。</t>
  </si>
  <si>
    <t>Thiết lập mục tiêu.</t>
  </si>
  <si>
    <t>崩れる</t>
  </si>
  <si>
    <t>くずれる</t>
  </si>
  <si>
    <t>崩[くず]れる</t>
  </si>
  <si>
    <t>sụp đổ</t>
  </si>
  <si>
    <t>山が崩れる。</t>
  </si>
  <si>
    <t>Ngọn núi bị sụp đổ.</t>
  </si>
  <si>
    <t>勝つ</t>
  </si>
  <si>
    <t>かつ</t>
  </si>
  <si>
    <t>勝[か]つ</t>
  </si>
  <si>
    <t>試合に勝つ。</t>
  </si>
  <si>
    <t>Chiến thắng trận đấu.</t>
  </si>
  <si>
    <t>分ける</t>
  </si>
  <si>
    <t>わける</t>
  </si>
  <si>
    <t>分[わ]ける</t>
  </si>
  <si>
    <t>chia</t>
  </si>
  <si>
    <t>利益を分ける。</t>
  </si>
  <si>
    <t>Tôi chia lợi nhuận.</t>
  </si>
  <si>
    <t>欲しい</t>
  </si>
  <si>
    <t>ほしい</t>
  </si>
  <si>
    <t>欲[ほ]しい</t>
  </si>
  <si>
    <t>muốn</t>
  </si>
  <si>
    <t>本が欲しい。</t>
  </si>
  <si>
    <t>Tôi muốn cuốn sách.</t>
  </si>
  <si>
    <t>用</t>
  </si>
  <si>
    <t>よう</t>
  </si>
  <si>
    <t>用[よう]</t>
  </si>
  <si>
    <t>dùng</t>
  </si>
  <si>
    <t>自分用のペン。</t>
  </si>
  <si>
    <t>Cây bút dùng riêng.</t>
  </si>
  <si>
    <t>深い</t>
  </si>
  <si>
    <t>ふかい</t>
  </si>
  <si>
    <t>深[ふか]い</t>
  </si>
  <si>
    <t>sâu</t>
  </si>
  <si>
    <t>深い穴を掘る。</t>
  </si>
  <si>
    <t>Đào một cái hố sâu.</t>
  </si>
  <si>
    <t>箱</t>
  </si>
  <si>
    <t>はこ</t>
  </si>
  <si>
    <t>箱[はこ]</t>
  </si>
  <si>
    <t>hộp</t>
  </si>
  <si>
    <t>箱に物を入れる。</t>
  </si>
  <si>
    <t>Tôi cho đồ vào hộp.</t>
  </si>
  <si>
    <t>番号</t>
  </si>
  <si>
    <t>ばんごう</t>
  </si>
  <si>
    <t>番号[ばんごう]</t>
  </si>
  <si>
    <t>số</t>
  </si>
  <si>
    <t>電話番号を書く。</t>
  </si>
  <si>
    <t>Viết số điện thoại.</t>
  </si>
  <si>
    <t>触る</t>
  </si>
  <si>
    <t>さわる</t>
  </si>
  <si>
    <t>触[さわ]る</t>
  </si>
  <si>
    <t>sờ</t>
  </si>
  <si>
    <t>物に触るな。</t>
  </si>
  <si>
    <t>Đừng sờ vào đồ vật.</t>
  </si>
  <si>
    <t>奥さん</t>
  </si>
  <si>
    <t>おくさん</t>
  </si>
  <si>
    <t>奥[おく]さん</t>
  </si>
  <si>
    <t>奥さんを紹介する。</t>
  </si>
  <si>
    <t>Tôi giới thiệu vợ.</t>
  </si>
  <si>
    <t>成立</t>
  </si>
  <si>
    <t>せいりつ</t>
  </si>
  <si>
    <t>成立[せいりつ]</t>
  </si>
  <si>
    <t>thành lập</t>
  </si>
  <si>
    <t>会社を成立する。</t>
  </si>
  <si>
    <t>Thành lập công ty.</t>
  </si>
  <si>
    <t>発表</t>
  </si>
  <si>
    <t>はっぴょう</t>
  </si>
  <si>
    <t>発表[はっぴょう]</t>
  </si>
  <si>
    <t>phát biểu</t>
  </si>
  <si>
    <t>結果を発表する。</t>
  </si>
  <si>
    <t>Phát biểu kết quả.</t>
  </si>
  <si>
    <t>習慣</t>
  </si>
  <si>
    <t>しゅうかん</t>
  </si>
  <si>
    <t>習慣[しゅうかん]</t>
  </si>
  <si>
    <t>thói quen</t>
  </si>
  <si>
    <t>早起きの習慣。</t>
  </si>
  <si>
    <t>Thói quen dậy sớm.</t>
  </si>
  <si>
    <t>虫</t>
  </si>
  <si>
    <t>むし</t>
  </si>
  <si>
    <t>虫[むし]</t>
  </si>
  <si>
    <t>côn trùng</t>
  </si>
  <si>
    <t>虫を捕まえる。</t>
  </si>
  <si>
    <t>Tôi bắt côn trùng.</t>
  </si>
  <si>
    <t>交換</t>
  </si>
  <si>
    <t>こうかん</t>
  </si>
  <si>
    <t>交換[こうかん]</t>
  </si>
  <si>
    <t>trao đổi</t>
  </si>
  <si>
    <t>品物を交換する。</t>
  </si>
  <si>
    <t>Trao đổi hàng hóa.</t>
  </si>
  <si>
    <t>出かける</t>
  </si>
  <si>
    <t>でかける</t>
  </si>
  <si>
    <t>出[で]かける</t>
  </si>
  <si>
    <t>出かける準備。</t>
  </si>
  <si>
    <t>Chuẩn bị ra ngoài.</t>
  </si>
  <si>
    <t>指定</t>
  </si>
  <si>
    <t>してい</t>
  </si>
  <si>
    <t>指定[してい]</t>
  </si>
  <si>
    <t>chỉ định</t>
  </si>
  <si>
    <t>座席を指定する。</t>
  </si>
  <si>
    <t>Chỉ định chỗ ngồi.</t>
  </si>
  <si>
    <t>義務</t>
  </si>
  <si>
    <t>ぎむ</t>
  </si>
  <si>
    <t>義務[ぎむ]</t>
  </si>
  <si>
    <t>nghĩa vụ</t>
  </si>
  <si>
    <t>教育の義務。</t>
  </si>
  <si>
    <t>Nghĩa vụ giáo dục.</t>
  </si>
  <si>
    <t>超える</t>
  </si>
  <si>
    <t>こえる</t>
  </si>
  <si>
    <t>超[こ]える</t>
  </si>
  <si>
    <t>vượt qua</t>
  </si>
  <si>
    <t>制限を超える。</t>
  </si>
  <si>
    <t>Vượt quá giới hạn.</t>
  </si>
  <si>
    <t>外れる</t>
  </si>
  <si>
    <t>はずれる</t>
  </si>
  <si>
    <t>外[はず]れる</t>
  </si>
  <si>
    <t>tuột ra</t>
  </si>
  <si>
    <t>ボタンが外れる。</t>
  </si>
  <si>
    <t>Cúc áo bị tuột ra.</t>
  </si>
  <si>
    <t>漢字</t>
  </si>
  <si>
    <t>漢字[かんじ]</t>
  </si>
  <si>
    <t>chữ hán</t>
  </si>
  <si>
    <t>漢字を練習する。</t>
  </si>
  <si>
    <t>Luyện tập chữ Hán.</t>
  </si>
  <si>
    <t>自己</t>
  </si>
  <si>
    <t>自己[じこ]</t>
  </si>
  <si>
    <t>tự thân</t>
  </si>
  <si>
    <t>自己紹介する。</t>
  </si>
  <si>
    <t>Tôi tự giới thiệu.</t>
  </si>
  <si>
    <t>苦しい</t>
  </si>
  <si>
    <t>くるしい</t>
  </si>
  <si>
    <t>苦[くる]しい</t>
  </si>
  <si>
    <t>đau khổ</t>
  </si>
  <si>
    <t>苦しい生活。</t>
  </si>
  <si>
    <t>Cuộc sống đau khổ.</t>
  </si>
  <si>
    <t>下す</t>
  </si>
  <si>
    <t>くだす</t>
  </si>
  <si>
    <t>下[くだ]す</t>
  </si>
  <si>
    <t>đưa ra</t>
  </si>
  <si>
    <t>判決を下す。</t>
  </si>
  <si>
    <t>Đưa ra phán quyết.</t>
  </si>
  <si>
    <t>出会う</t>
  </si>
  <si>
    <t>であう</t>
  </si>
  <si>
    <t>出会[であ]う</t>
  </si>
  <si>
    <t>gặp gỡ</t>
  </si>
  <si>
    <t>駅で出会う。</t>
  </si>
  <si>
    <t>Tôi gặp gỡ tại ga.</t>
  </si>
  <si>
    <t>要素</t>
  </si>
  <si>
    <t>ようそ</t>
  </si>
  <si>
    <t>要素[ようそ]</t>
  </si>
  <si>
    <t>yếu tố</t>
  </si>
  <si>
    <t>重要な要素。</t>
  </si>
  <si>
    <t>Yếu tố quan trọng.</t>
  </si>
  <si>
    <t>まずい</t>
  </si>
  <si>
    <t>dở</t>
  </si>
  <si>
    <t>この料理はまずい。</t>
  </si>
  <si>
    <t>Món ăn này rất dở.</t>
  </si>
  <si>
    <t>処理</t>
  </si>
  <si>
    <t>しょり</t>
  </si>
  <si>
    <t>処理[しょり]</t>
  </si>
  <si>
    <t>xử lý</t>
  </si>
  <si>
    <t>データを処理する。</t>
  </si>
  <si>
    <t>Tôi xử lý dữ liệu.</t>
  </si>
  <si>
    <t>基礎</t>
  </si>
  <si>
    <t>きそ</t>
  </si>
  <si>
    <t>基礎[きそ]</t>
  </si>
  <si>
    <t>基礎を固める。</t>
  </si>
  <si>
    <t>Củng cố nền tảng cơ sở.</t>
  </si>
  <si>
    <t>触れる</t>
  </si>
  <si>
    <t>ふれる</t>
  </si>
  <si>
    <t>触[ふ]れる</t>
  </si>
  <si>
    <t>chạm</t>
  </si>
  <si>
    <t>画面に触れる。</t>
  </si>
  <si>
    <t>Chạm vào màn hình.</t>
  </si>
  <si>
    <t>訴える</t>
  </si>
  <si>
    <t>うったえる</t>
  </si>
  <si>
    <t>訴[うった]える</t>
  </si>
  <si>
    <t>kiện</t>
  </si>
  <si>
    <t>警察に訴える。</t>
  </si>
  <si>
    <t>Kiện lên cảnh sát.</t>
  </si>
  <si>
    <t>引っ張る</t>
  </si>
  <si>
    <t>ひっぱる</t>
  </si>
  <si>
    <t>引[ひ]っ張[ぱ]る</t>
  </si>
  <si>
    <t>ロープを引っ張る。</t>
  </si>
  <si>
    <t>Kéo sợi dây thừng.</t>
  </si>
  <si>
    <t>耳</t>
  </si>
  <si>
    <t>みみ</t>
  </si>
  <si>
    <t>耳[みみ]</t>
  </si>
  <si>
    <t>tai</t>
  </si>
  <si>
    <t>耳を澄ます。</t>
  </si>
  <si>
    <t>Tôi lắng tai nghe.</t>
  </si>
  <si>
    <t>岸</t>
  </si>
  <si>
    <t>きし</t>
  </si>
  <si>
    <t>岸[きし]</t>
  </si>
  <si>
    <t>bờ</t>
  </si>
  <si>
    <t>岸を歩く。</t>
  </si>
  <si>
    <t>Đi bộ dọc bờ sông.</t>
  </si>
  <si>
    <t>リポート</t>
  </si>
  <si>
    <t>りぽーと</t>
  </si>
  <si>
    <t>bài báo cáo</t>
  </si>
  <si>
    <t>リポートを書く。</t>
  </si>
  <si>
    <t>Viết bài báo cáo.</t>
  </si>
  <si>
    <t>建築</t>
  </si>
  <si>
    <t>けんちく</t>
  </si>
  <si>
    <t>建築[けんちく]</t>
  </si>
  <si>
    <t>kiến trúc</t>
  </si>
  <si>
    <t>建築を学ぶ。</t>
  </si>
  <si>
    <t>Học về kiến trúc.</t>
  </si>
  <si>
    <t>自宅</t>
  </si>
  <si>
    <t>じたく</t>
  </si>
  <si>
    <t>自宅[じたく]</t>
  </si>
  <si>
    <t>nhà riêng</t>
  </si>
  <si>
    <t>自宅に帰る。</t>
  </si>
  <si>
    <t>Tôi về nhà riêng.</t>
  </si>
  <si>
    <t>述べる</t>
  </si>
  <si>
    <t>のべる</t>
  </si>
  <si>
    <t>述[の]べる</t>
  </si>
  <si>
    <t>自分の意見を述べる。</t>
  </si>
  <si>
    <t>Phát biểu ý kiến của bản thân.</t>
  </si>
  <si>
    <t>金融</t>
  </si>
  <si>
    <t>きんゆう</t>
  </si>
  <si>
    <t>金融[きんゆう]</t>
  </si>
  <si>
    <t>金融を学ぶ。</t>
  </si>
  <si>
    <t>Học về tài chính.</t>
  </si>
  <si>
    <t>一種</t>
  </si>
  <si>
    <t>いっしゅ</t>
  </si>
  <si>
    <t>一種[いっしゅ]</t>
  </si>
  <si>
    <t>một loại</t>
  </si>
  <si>
    <t>一種の病気だ。</t>
  </si>
  <si>
    <t>Là một loại bệnh.</t>
  </si>
  <si>
    <t>人物</t>
  </si>
  <si>
    <t>じんぶつ</t>
  </si>
  <si>
    <t>人物[じんぶつ]</t>
  </si>
  <si>
    <t>nhân vật</t>
  </si>
  <si>
    <t>歴史上の人物。</t>
  </si>
  <si>
    <t>Nhân vật lịch sử.</t>
  </si>
  <si>
    <t>同士</t>
  </si>
  <si>
    <t>どうし</t>
  </si>
  <si>
    <t>同士[どうし]</t>
  </si>
  <si>
    <t>仲間同士で遊ぶ。</t>
  </si>
  <si>
    <t>Họ chơi với nhau.</t>
  </si>
  <si>
    <t>属する</t>
  </si>
  <si>
    <t>ぞくする</t>
  </si>
  <si>
    <t>属[ぞく]する</t>
  </si>
  <si>
    <t>thuộc về</t>
  </si>
  <si>
    <t>このチームに属する。</t>
  </si>
  <si>
    <t>Thuộc về đội này.</t>
  </si>
  <si>
    <t>感動</t>
  </si>
  <si>
    <t>かんどう</t>
  </si>
  <si>
    <t>感動[かんどう]</t>
  </si>
  <si>
    <t>cảm động</t>
  </si>
  <si>
    <t>感動的な映画。</t>
  </si>
  <si>
    <t>Bộ phim cảm động.</t>
  </si>
  <si>
    <t>身</t>
  </si>
  <si>
    <t>み</t>
  </si>
  <si>
    <t>身[み]</t>
  </si>
  <si>
    <t>thân thể</t>
  </si>
  <si>
    <t>身を粉にする。</t>
  </si>
  <si>
    <t>Làm việc tận tụy.</t>
  </si>
  <si>
    <t>過ごす</t>
  </si>
  <si>
    <t>すごす</t>
  </si>
  <si>
    <t>過[す]ごす</t>
  </si>
  <si>
    <t>trải qua</t>
  </si>
  <si>
    <t>休暇を過ごす。</t>
  </si>
  <si>
    <t>Trải qua kỳ nghỉ.</t>
  </si>
  <si>
    <t>ぶつける</t>
  </si>
  <si>
    <t>đập vào</t>
  </si>
  <si>
    <t>机に足をぶつける。</t>
  </si>
  <si>
    <t>Đập chân vào bàn.</t>
  </si>
  <si>
    <t>時期</t>
  </si>
  <si>
    <t>じき</t>
  </si>
  <si>
    <t>時期[じき]</t>
  </si>
  <si>
    <t>thời kỳ</t>
  </si>
  <si>
    <t>時期を選ぶ。</t>
  </si>
  <si>
    <t>Tôi chọn thời kỳ.</t>
  </si>
  <si>
    <t>費用</t>
  </si>
  <si>
    <t>ひよう</t>
  </si>
  <si>
    <t>費用[ひよう]</t>
  </si>
  <si>
    <t>chi phí</t>
  </si>
  <si>
    <t>旅行の費用を負担する。</t>
  </si>
  <si>
    <t>Chi trả chi phí du lịch.</t>
  </si>
  <si>
    <t>過去</t>
  </si>
  <si>
    <t>かこ</t>
  </si>
  <si>
    <t>過去[かこ]</t>
  </si>
  <si>
    <t>quá khứ</t>
  </si>
  <si>
    <t>自分の過去を振り返る。</t>
  </si>
  <si>
    <t>Nhìn lại quá khứ của bản thân.</t>
  </si>
  <si>
    <t>悪</t>
  </si>
  <si>
    <t>あく</t>
  </si>
  <si>
    <t>悪[あく]</t>
  </si>
  <si>
    <t>cái ác</t>
  </si>
  <si>
    <t>悪を倒す。</t>
  </si>
  <si>
    <t>Tiêu diệt cái ác.</t>
  </si>
  <si>
    <t>石油</t>
  </si>
  <si>
    <t>せきゆ</t>
  </si>
  <si>
    <t>石油[せきゆ]</t>
  </si>
  <si>
    <t>dầu mỏ</t>
  </si>
  <si>
    <t>石油を輸入する。</t>
  </si>
  <si>
    <t>Nhập khẩu dầu mỏ.</t>
  </si>
  <si>
    <t>年齢</t>
  </si>
  <si>
    <t>ねんれい</t>
  </si>
  <si>
    <t>年齢[ねんれい]</t>
  </si>
  <si>
    <t>tuổi</t>
  </si>
  <si>
    <t>年齢を確認する。</t>
  </si>
  <si>
    <t>Xác nhận độ tuổi.</t>
  </si>
  <si>
    <t>持ち上げる</t>
  </si>
  <si>
    <t>もちあげる</t>
  </si>
  <si>
    <t>持[も]ち上[あ]げる</t>
  </si>
  <si>
    <t>箱を持ち上げる。</t>
  </si>
  <si>
    <t>Nâng cái hộp lên.</t>
  </si>
  <si>
    <t>小説</t>
  </si>
  <si>
    <t>しょうせつ</t>
  </si>
  <si>
    <t>小説[しょうせつ]</t>
  </si>
  <si>
    <t>tiểu thuyết</t>
  </si>
  <si>
    <t>小説を読む。</t>
  </si>
  <si>
    <t>Đọc tiểu thuyết.</t>
  </si>
  <si>
    <t>給料</t>
  </si>
  <si>
    <t>きゅうりょう</t>
  </si>
  <si>
    <t>給料[きゅうりょう]</t>
  </si>
  <si>
    <t>給料が上がる。</t>
  </si>
  <si>
    <t>Tiền lương tăng.</t>
  </si>
  <si>
    <t>マイナス</t>
  </si>
  <si>
    <t>まいなす</t>
  </si>
  <si>
    <t>số âm</t>
  </si>
  <si>
    <t>マイナスの意見。</t>
  </si>
  <si>
    <t>Ý kiến số âm.</t>
  </si>
  <si>
    <t>一致</t>
  </si>
  <si>
    <t>いっち</t>
  </si>
  <si>
    <t>一致[いっち]</t>
  </si>
  <si>
    <t>nhất trí</t>
  </si>
  <si>
    <t>意見が一致する。</t>
  </si>
  <si>
    <t>Ý kiến nhất trí.</t>
  </si>
  <si>
    <t>拡大</t>
  </si>
  <si>
    <t>かくだい</t>
  </si>
  <si>
    <t>拡大[かくだい]</t>
  </si>
  <si>
    <t>phóng to</t>
  </si>
  <si>
    <t>地図を拡大する。</t>
  </si>
  <si>
    <t>Phóng to bản đồ.</t>
  </si>
  <si>
    <t>現代</t>
  </si>
  <si>
    <t>げんだい</t>
  </si>
  <si>
    <t>現代[げんだい]</t>
  </si>
  <si>
    <t>hiện đại</t>
  </si>
  <si>
    <t>現代の社会。</t>
  </si>
  <si>
    <t>Xã hội hiện đại.</t>
  </si>
  <si>
    <t>複雑</t>
  </si>
  <si>
    <t>ふくざつ</t>
  </si>
  <si>
    <t>複雑[ふくざつ]</t>
  </si>
  <si>
    <t>phức tạp</t>
  </si>
  <si>
    <t>複雑な問題。</t>
  </si>
  <si>
    <t>Vấn đề phức tạp.</t>
  </si>
  <si>
    <t>応ずる</t>
  </si>
  <si>
    <t>おうずる</t>
  </si>
  <si>
    <t>応[おう]ずる</t>
  </si>
  <si>
    <t>質問に応ずる。</t>
  </si>
  <si>
    <t>Đáp ứng câu hỏi.</t>
  </si>
  <si>
    <t>用いる</t>
  </si>
  <si>
    <t>もちいる</t>
  </si>
  <si>
    <t>用[もち]いる</t>
  </si>
  <si>
    <t>道具を用いる。</t>
  </si>
  <si>
    <t>Sử dụng dụng cụ.</t>
  </si>
  <si>
    <t>記憶</t>
  </si>
  <si>
    <t>きおく</t>
  </si>
  <si>
    <t>記憶[きおく]</t>
  </si>
  <si>
    <t>trí nhớ</t>
  </si>
  <si>
    <t>記憶を保つ。</t>
  </si>
  <si>
    <t>Duy trì trí nhớ.</t>
  </si>
  <si>
    <t>フリー</t>
  </si>
  <si>
    <t>ふりー</t>
  </si>
  <si>
    <t>フリーな時間。</t>
  </si>
  <si>
    <t>Thời gian tự do.</t>
  </si>
  <si>
    <t>締める</t>
  </si>
  <si>
    <t>締[し]める</t>
  </si>
  <si>
    <t>thắt</t>
  </si>
  <si>
    <t>会議の前にネクタイを締める。</t>
  </si>
  <si>
    <t>Thắt cà vạt trước cuộc họp.</t>
  </si>
  <si>
    <t>袋</t>
  </si>
  <si>
    <t>ふくろ</t>
  </si>
  <si>
    <t>袋[ふくろ]</t>
  </si>
  <si>
    <t>túi</t>
  </si>
  <si>
    <t>袋に入れる。</t>
  </si>
  <si>
    <t>Tôi cho vào túi.</t>
  </si>
  <si>
    <t>ワイン</t>
  </si>
  <si>
    <t>わいん</t>
  </si>
  <si>
    <t>rượu vang</t>
  </si>
  <si>
    <t>ワインを飲む。</t>
  </si>
  <si>
    <t>Uống rượu vang.</t>
  </si>
  <si>
    <t>凄い</t>
  </si>
  <si>
    <t>すごい</t>
  </si>
  <si>
    <t>凄[すご]い</t>
  </si>
  <si>
    <t>凄いです。</t>
  </si>
  <si>
    <t>Thật tuyệt vời.</t>
  </si>
  <si>
    <t>破る</t>
  </si>
  <si>
    <t>やぶる</t>
  </si>
  <si>
    <t>破[やぶ]る</t>
  </si>
  <si>
    <t>làm rách</t>
  </si>
  <si>
    <t>約束を破る。</t>
  </si>
  <si>
    <t>Phá vỡ lời hứa.</t>
  </si>
  <si>
    <t>腕</t>
  </si>
  <si>
    <t>うで</t>
  </si>
  <si>
    <t>腕[うで]</t>
  </si>
  <si>
    <t>cánh tay</t>
  </si>
  <si>
    <t>腕を組む。</t>
  </si>
  <si>
    <t>Tôi khoanh tay.</t>
  </si>
  <si>
    <t>試合</t>
  </si>
  <si>
    <t>しあい</t>
  </si>
  <si>
    <t>試合[しあい]</t>
  </si>
  <si>
    <t>trận đấu</t>
  </si>
  <si>
    <t>今日の試合に勝つ。</t>
  </si>
  <si>
    <t>Chi thắng trận đấu hôm nay.</t>
  </si>
  <si>
    <t>製造</t>
  </si>
  <si>
    <t>せいぞう</t>
  </si>
  <si>
    <t>製造[せいぞう]</t>
  </si>
  <si>
    <t>chế tạo</t>
  </si>
  <si>
    <t>車を製造する。</t>
  </si>
  <si>
    <t>Tôi chế tạo xe.</t>
  </si>
  <si>
    <t>地図</t>
  </si>
  <si>
    <t>ちず</t>
  </si>
  <si>
    <t>地図[ちず]</t>
  </si>
  <si>
    <t>bản đồ</t>
  </si>
  <si>
    <t>地図を見る。</t>
  </si>
  <si>
    <t>Tôi xem bản đồ.</t>
  </si>
  <si>
    <t>裁判</t>
  </si>
  <si>
    <t>さいばん</t>
  </si>
  <si>
    <t>裁判[さいばん]</t>
  </si>
  <si>
    <t>xét xử</t>
  </si>
  <si>
    <t>裁判に勝つ。</t>
  </si>
  <si>
    <t>Tôi thắng kiện.</t>
  </si>
  <si>
    <t>共通</t>
  </si>
  <si>
    <t>きょうつう</t>
  </si>
  <si>
    <t>共通[きょうつう]</t>
  </si>
  <si>
    <t>chung</t>
  </si>
  <si>
    <t>共通の目的。</t>
  </si>
  <si>
    <t>Mục đích chung.</t>
  </si>
  <si>
    <t>雪</t>
  </si>
  <si>
    <t>ゆき</t>
  </si>
  <si>
    <t>雪[ゆき]</t>
  </si>
  <si>
    <t>tuyết</t>
  </si>
  <si>
    <t>雪が降っている。</t>
  </si>
  <si>
    <t>Tuyết đang rơi.</t>
  </si>
  <si>
    <t>流れる</t>
  </si>
  <si>
    <t>ながれる</t>
  </si>
  <si>
    <t>流[なが]れる</t>
  </si>
  <si>
    <t>chảy</t>
  </si>
  <si>
    <t>川の水が流れる。</t>
  </si>
  <si>
    <t>Nước sông chảy.</t>
  </si>
  <si>
    <t>遅い</t>
  </si>
  <si>
    <t>おそい</t>
  </si>
  <si>
    <t>遅[おそ]い</t>
  </si>
  <si>
    <t>chậm</t>
  </si>
  <si>
    <t>時間が遅い。</t>
  </si>
  <si>
    <t>Thời gian chậm.</t>
  </si>
  <si>
    <t>局</t>
  </si>
  <si>
    <t>きょく</t>
  </si>
  <si>
    <t>局[きょく]</t>
  </si>
  <si>
    <t>cục</t>
  </si>
  <si>
    <t>郵便局に行く。</t>
  </si>
  <si>
    <t>Đi đến bưu điện.</t>
  </si>
  <si>
    <t>美しい</t>
  </si>
  <si>
    <t>うつくしい</t>
  </si>
  <si>
    <t>美[うつく]しい</t>
  </si>
  <si>
    <t>美しい風景。</t>
  </si>
  <si>
    <t>Phong cảnh đẹp.</t>
  </si>
  <si>
    <t>角</t>
  </si>
  <si>
    <t>かど</t>
  </si>
  <si>
    <t>角[かど]</t>
  </si>
  <si>
    <t>角を曲がる。</t>
  </si>
  <si>
    <t>Rẽ ở góc đường.</t>
  </si>
  <si>
    <t>休憩</t>
  </si>
  <si>
    <t>きゅうけい</t>
  </si>
  <si>
    <t>休憩[きゅうけい]</t>
  </si>
  <si>
    <t>nghỉ giải lao</t>
  </si>
  <si>
    <t>休憩する。</t>
  </si>
  <si>
    <t>Nghỉ giải lao.</t>
  </si>
  <si>
    <t>予算</t>
  </si>
  <si>
    <t>よさん</t>
  </si>
  <si>
    <t>予算[よさん]</t>
  </si>
  <si>
    <t>ngân sách</t>
  </si>
  <si>
    <t>予算を立てる。</t>
  </si>
  <si>
    <t>Lập ngân sách.</t>
  </si>
  <si>
    <t>危ない</t>
  </si>
  <si>
    <t>あぶない</t>
  </si>
  <si>
    <t>危[あぶ]ない</t>
  </si>
  <si>
    <t>危ない場所。</t>
  </si>
  <si>
    <t>Nơi nguy hiểm.</t>
  </si>
  <si>
    <t>確か</t>
  </si>
  <si>
    <t>確[たし]か</t>
  </si>
  <si>
    <t>chính xác</t>
  </si>
  <si>
    <t>確かだ。</t>
  </si>
  <si>
    <t>Chính xác đấy.</t>
  </si>
  <si>
    <t>起こす</t>
  </si>
  <si>
    <t>おこす</t>
  </si>
  <si>
    <t>起[お]こす</t>
  </si>
  <si>
    <t>đánh thức</t>
  </si>
  <si>
    <t>友達を起こす。</t>
  </si>
  <si>
    <t>Đánh thức bạn.</t>
  </si>
  <si>
    <t>丁度</t>
  </si>
  <si>
    <t>ちょうど</t>
  </si>
  <si>
    <t>丁度[ちょうど]</t>
  </si>
  <si>
    <t>vừa đúng</t>
  </si>
  <si>
    <t>丁度いい。</t>
  </si>
  <si>
    <t>Vừa đúng luôn.</t>
  </si>
  <si>
    <t>世話</t>
  </si>
  <si>
    <t>せわ</t>
  </si>
  <si>
    <t>世話[せわ]</t>
  </si>
  <si>
    <t>chăm sóc</t>
  </si>
  <si>
    <t>世話になる。</t>
  </si>
  <si>
    <t>Được chăm sóc.</t>
  </si>
  <si>
    <t>言語</t>
  </si>
  <si>
    <t>げんご</t>
  </si>
  <si>
    <t>言語[げんご]</t>
  </si>
  <si>
    <t>外国語を学ぶ。</t>
  </si>
  <si>
    <t>Học ngoại ngữ.</t>
  </si>
  <si>
    <t>値段</t>
  </si>
  <si>
    <t>ねだん</t>
  </si>
  <si>
    <t>値段[ねだん]</t>
  </si>
  <si>
    <t>値段が高い。</t>
  </si>
  <si>
    <t>Giá cả đắt đỏ.</t>
  </si>
  <si>
    <t>恥ずかしい</t>
  </si>
  <si>
    <t>はずかしい</t>
  </si>
  <si>
    <t>恥[は]ずかしい</t>
  </si>
  <si>
    <t>xấu hổ</t>
  </si>
  <si>
    <t>顔が恥ずかしい。</t>
  </si>
  <si>
    <t>Mặt đỏ xấu hổ.</t>
  </si>
  <si>
    <t>話題</t>
  </si>
  <si>
    <t>わだい</t>
  </si>
  <si>
    <t>話題[わだい]</t>
  </si>
  <si>
    <t>新しい話題だ。</t>
  </si>
  <si>
    <t>Là chủ đề mới.</t>
  </si>
  <si>
    <t>借りる</t>
  </si>
  <si>
    <t>かりる</t>
  </si>
  <si>
    <t>借[か]りる</t>
  </si>
  <si>
    <t>mượn</t>
  </si>
  <si>
    <t>本を借りる。</t>
  </si>
  <si>
    <t>Tôi mượn sách.</t>
  </si>
  <si>
    <t>税</t>
  </si>
  <si>
    <t>ぜい</t>
  </si>
  <si>
    <t>税[ぜい]</t>
  </si>
  <si>
    <t>thuế</t>
  </si>
  <si>
    <t>税を納める。</t>
  </si>
  <si>
    <t>Tôi đóng thuế.</t>
  </si>
  <si>
    <t>遠い</t>
  </si>
  <si>
    <t>とおい</t>
  </si>
  <si>
    <t>遠[とお]い</t>
  </si>
  <si>
    <t>xa</t>
  </si>
  <si>
    <t>学校が遠い。</t>
  </si>
  <si>
    <t>Trường học xa.</t>
  </si>
  <si>
    <t>観光</t>
  </si>
  <si>
    <t>かんこう</t>
  </si>
  <si>
    <t>観光[かんこう]</t>
  </si>
  <si>
    <t>tham quan</t>
  </si>
  <si>
    <t>観光に行く。</t>
  </si>
  <si>
    <t>Đi tham quan.</t>
  </si>
  <si>
    <t>資料</t>
  </si>
  <si>
    <t>しりょう</t>
  </si>
  <si>
    <t>資料[しりょう]</t>
  </si>
  <si>
    <t>tài liệu</t>
  </si>
  <si>
    <t>資料を作成する。</t>
  </si>
  <si>
    <t>Tạo tài liệu.</t>
  </si>
  <si>
    <t>閉まる</t>
  </si>
  <si>
    <t>しまる</t>
  </si>
  <si>
    <t>閉[し]まる</t>
  </si>
  <si>
    <t>đóng lại</t>
  </si>
  <si>
    <t>ドアが閉まる。</t>
  </si>
  <si>
    <t>Cửa đóng lại.</t>
  </si>
  <si>
    <t>間違える</t>
  </si>
  <si>
    <t>まちがえる</t>
  </si>
  <si>
    <t>間違[まちが]える</t>
  </si>
  <si>
    <t>nhầm lẫn</t>
  </si>
  <si>
    <t>名前を間違える。</t>
  </si>
  <si>
    <t>Nhầm lẫn tên.</t>
  </si>
  <si>
    <t>点</t>
  </si>
  <si>
    <t>てん</t>
  </si>
  <si>
    <t>点[てん]</t>
  </si>
  <si>
    <t>いい点を取る。</t>
  </si>
  <si>
    <t>Lấy điểm tốt.</t>
  </si>
  <si>
    <t>病気</t>
  </si>
  <si>
    <t>びょうき</t>
  </si>
  <si>
    <t>病気[びょうき]</t>
  </si>
  <si>
    <t>bệnh</t>
  </si>
  <si>
    <t>病気で休む。</t>
  </si>
  <si>
    <t>Nghỉ vì bệnh.</t>
  </si>
  <si>
    <t>中止</t>
  </si>
  <si>
    <t>ちゅうし</t>
  </si>
  <si>
    <t>中止[ちゅうし]</t>
  </si>
  <si>
    <t>hủy</t>
  </si>
  <si>
    <t>試合を中止する。</t>
  </si>
  <si>
    <t>Hủy trận đấu.</t>
  </si>
  <si>
    <t>愛する</t>
  </si>
  <si>
    <t>あいする</t>
  </si>
  <si>
    <t>愛[あい]する</t>
  </si>
  <si>
    <t>yêu thương</t>
  </si>
  <si>
    <t>家族を深く愛する。</t>
  </si>
  <si>
    <t>Yêu thương gia đình sâu sắc.</t>
  </si>
  <si>
    <t>消す</t>
  </si>
  <si>
    <t>けす</t>
  </si>
  <si>
    <t>消[け]す</t>
  </si>
  <si>
    <t>tắt</t>
  </si>
  <si>
    <t>部屋の電気を消す。</t>
  </si>
  <si>
    <t>Tắt điện trong phòng.</t>
  </si>
  <si>
    <t>茶</t>
  </si>
  <si>
    <t>ちゃ</t>
  </si>
  <si>
    <t>茶[ちゃ]</t>
  </si>
  <si>
    <t>茶を飲む。</t>
  </si>
  <si>
    <t>Tôi uống trà.</t>
  </si>
  <si>
    <t>販売</t>
  </si>
  <si>
    <t>はんばい</t>
  </si>
  <si>
    <t>販売[はんばい]</t>
  </si>
  <si>
    <t>商品を販売する。</t>
  </si>
  <si>
    <t>Bán sản phẩm.</t>
  </si>
  <si>
    <t>遅れる</t>
  </si>
  <si>
    <t>おくれる</t>
  </si>
  <si>
    <t>遅[おく]れる</t>
  </si>
  <si>
    <t>trễ</t>
  </si>
  <si>
    <t>会議に遅れる。</t>
  </si>
  <si>
    <t>Trễ cuộc họp.</t>
  </si>
  <si>
    <t>鉄</t>
  </si>
  <si>
    <t>てつ</t>
  </si>
  <si>
    <t>鉄[てつ]</t>
  </si>
  <si>
    <t>sắt</t>
  </si>
  <si>
    <t>鉄を加工する。</t>
  </si>
  <si>
    <t>Gia công sắt.</t>
  </si>
  <si>
    <t>抱く</t>
  </si>
  <si>
    <t>いだく</t>
  </si>
  <si>
    <t>抱[いだ]く</t>
  </si>
  <si>
    <t>夢を抱く。</t>
  </si>
  <si>
    <t>Ôm ấp ước mơ.</t>
  </si>
  <si>
    <t>ポケット</t>
  </si>
  <si>
    <t>ぽけっと</t>
  </si>
  <si>
    <t>ポケットに入れる。</t>
  </si>
  <si>
    <t>Cho vào túi.</t>
  </si>
  <si>
    <t>配る</t>
  </si>
  <si>
    <t>くばる</t>
  </si>
  <si>
    <t>配[くば]る</t>
  </si>
  <si>
    <t>phân phát</t>
  </si>
  <si>
    <t>チラシを配る。</t>
  </si>
  <si>
    <t>Phát tờ rơi.</t>
  </si>
  <si>
    <t>ランチ</t>
  </si>
  <si>
    <t>らんち</t>
  </si>
  <si>
    <t>bữa trưa</t>
  </si>
  <si>
    <t>ランチを食べる。</t>
  </si>
  <si>
    <t>Ăn bữa trưa.</t>
  </si>
  <si>
    <t>息</t>
  </si>
  <si>
    <t>いき</t>
  </si>
  <si>
    <t>息[いき]</t>
  </si>
  <si>
    <t>hơi thở</t>
  </si>
  <si>
    <t>息を深く吸う。</t>
  </si>
  <si>
    <t>Hít thở sâu.</t>
  </si>
  <si>
    <t>課題</t>
  </si>
  <si>
    <t>かだい</t>
  </si>
  <si>
    <t>課題[かだい]</t>
  </si>
  <si>
    <t>bài tập</t>
  </si>
  <si>
    <t>課題を提出する。</t>
  </si>
  <si>
    <t>Nộp bài tập.</t>
  </si>
  <si>
    <t>間違い</t>
  </si>
  <si>
    <t>まちがい</t>
  </si>
  <si>
    <t>間違[まちが]い</t>
  </si>
  <si>
    <t>sai lầm</t>
  </si>
  <si>
    <t>間違いを直す。</t>
  </si>
  <si>
    <t>Sửa sai lầm.</t>
  </si>
  <si>
    <t>プリント</t>
  </si>
  <si>
    <t>ぷりんと</t>
  </si>
  <si>
    <t>bản in</t>
  </si>
  <si>
    <t>プリントを配る。</t>
  </si>
  <si>
    <t>Phát bản in.</t>
  </si>
  <si>
    <t>ボタン</t>
  </si>
  <si>
    <t>ぼたん</t>
  </si>
  <si>
    <t>cúc áo</t>
  </si>
  <si>
    <t>ボタンを外す。</t>
  </si>
  <si>
    <t>Tháo cúc áo.</t>
  </si>
  <si>
    <t>運転</t>
  </si>
  <si>
    <t>うんてん</t>
  </si>
  <si>
    <t>運転[うんてん]</t>
  </si>
  <si>
    <t>lái xe</t>
  </si>
  <si>
    <t>車を運転する。</t>
  </si>
  <si>
    <t>Lái xe ô tô.</t>
  </si>
  <si>
    <t>温かい</t>
  </si>
  <si>
    <t>あたたかい</t>
  </si>
  <si>
    <t>温[あたた]かい</t>
  </si>
  <si>
    <t>ấm áp</t>
  </si>
  <si>
    <t>温かいスープを飲む。</t>
  </si>
  <si>
    <t>Uống súp ấm.</t>
  </si>
  <si>
    <t>得意</t>
  </si>
  <si>
    <t>とくい</t>
  </si>
  <si>
    <t>得意[とくい]</t>
  </si>
  <si>
    <t>料理が得意だ。</t>
  </si>
  <si>
    <t>Giỏi nấu ăn.</t>
  </si>
  <si>
    <t>抜ける</t>
  </si>
  <si>
    <t>ぬける</t>
  </si>
  <si>
    <t>抜[ぬ]ける</t>
  </si>
  <si>
    <t>rụng</t>
  </si>
  <si>
    <t>髪が抜ける。</t>
  </si>
  <si>
    <t>Tóc bị rụng.</t>
  </si>
  <si>
    <t>肉</t>
  </si>
  <si>
    <t>にく</t>
  </si>
  <si>
    <t>肉[にく]</t>
  </si>
  <si>
    <t>thịt</t>
  </si>
  <si>
    <t>肉を食べる。</t>
  </si>
  <si>
    <t>Tôi ăn thịt.</t>
  </si>
  <si>
    <t>取り替える</t>
  </si>
  <si>
    <t>とりかえる</t>
  </si>
  <si>
    <t>取[と]り替[か]える</t>
  </si>
  <si>
    <t>đổi</t>
  </si>
  <si>
    <t>電池を取り替える。</t>
  </si>
  <si>
    <t>Tôi đổi pin.</t>
  </si>
  <si>
    <t>速い</t>
  </si>
  <si>
    <t>速[はや]い</t>
  </si>
  <si>
    <t>nhanh</t>
  </si>
  <si>
    <t>足が速い。</t>
  </si>
  <si>
    <t>Chạy nhanh.</t>
  </si>
  <si>
    <t>食べ物</t>
  </si>
  <si>
    <t>たべもの</t>
  </si>
  <si>
    <t>食[た]べ物[もの]</t>
  </si>
  <si>
    <t>đồ ăn</t>
  </si>
  <si>
    <t>美味しい食べ物。</t>
  </si>
  <si>
    <t>Đồ ăn ngon.</t>
  </si>
  <si>
    <t>付近</t>
  </si>
  <si>
    <t>ふきん</t>
  </si>
  <si>
    <t>付近[ふきん]</t>
  </si>
  <si>
    <t>駅の付近。</t>
  </si>
  <si>
    <t>パス</t>
  </si>
  <si>
    <t>ぱす</t>
  </si>
  <si>
    <t>試験にパスする。</t>
  </si>
  <si>
    <t>Đỗ kỳ thi.</t>
  </si>
  <si>
    <t>就く</t>
  </si>
  <si>
    <t>就[つ]く</t>
  </si>
  <si>
    <t>職に就く。</t>
  </si>
  <si>
    <t>Nhận việc.</t>
  </si>
  <si>
    <t>不足</t>
  </si>
  <si>
    <t>ふそく</t>
  </si>
  <si>
    <t>不足[ふそく]</t>
  </si>
  <si>
    <t>thiếu</t>
  </si>
  <si>
    <t>睡眠不足だ。</t>
  </si>
  <si>
    <t>Thiếu ngủ.</t>
  </si>
  <si>
    <t>眺める</t>
  </si>
  <si>
    <t>ながめる</t>
  </si>
  <si>
    <t>眺[なが]める</t>
  </si>
  <si>
    <t>ngắm</t>
  </si>
  <si>
    <t>海を眺める。</t>
  </si>
  <si>
    <t>Ngắm biển.</t>
  </si>
  <si>
    <t>尋ねる</t>
  </si>
  <si>
    <t>たずねる</t>
  </si>
  <si>
    <t>尋[たず]ねる</t>
  </si>
  <si>
    <t>道を尋ねる。</t>
  </si>
  <si>
    <t>Hỏi đường.</t>
  </si>
  <si>
    <t>迎える</t>
  </si>
  <si>
    <t>むかえる</t>
  </si>
  <si>
    <t>迎[むか]える</t>
  </si>
  <si>
    <t>đón</t>
  </si>
  <si>
    <t>空港へ客を迎える。</t>
  </si>
  <si>
    <t>Đón khách tại sân bay.</t>
  </si>
  <si>
    <t>はめる</t>
  </si>
  <si>
    <t>指輪をはめる。</t>
  </si>
  <si>
    <t>Đeo nhẫn.</t>
  </si>
  <si>
    <t>世</t>
  </si>
  <si>
    <t>よ</t>
  </si>
  <si>
    <t>世[よ]</t>
  </si>
  <si>
    <t>世の中。</t>
  </si>
  <si>
    <t>Thế giới.</t>
  </si>
  <si>
    <t>拾う</t>
  </si>
  <si>
    <t>ひろう</t>
  </si>
  <si>
    <t>拾[ひろ]う</t>
  </si>
  <si>
    <t>nhặt</t>
  </si>
  <si>
    <t>ゴミを拾う。</t>
  </si>
  <si>
    <t>Nhặt rác.</t>
  </si>
  <si>
    <t>熱い</t>
  </si>
  <si>
    <t>あつい</t>
  </si>
  <si>
    <t>熱[あつ]い</t>
  </si>
  <si>
    <t>nóng</t>
  </si>
  <si>
    <t>スープが熱い。</t>
  </si>
  <si>
    <t>Súp nóng.</t>
  </si>
  <si>
    <t>投げる</t>
  </si>
  <si>
    <t>なげる</t>
  </si>
  <si>
    <t>投[な]げる</t>
  </si>
  <si>
    <t>ném</t>
  </si>
  <si>
    <t>遠くにボールを投げる。</t>
  </si>
  <si>
    <t>Ném quả bóng ra xa.</t>
  </si>
  <si>
    <t>血液</t>
  </si>
  <si>
    <t>けつえき</t>
  </si>
  <si>
    <t>血液[けつえき]</t>
  </si>
  <si>
    <t>血液型。</t>
  </si>
  <si>
    <t>Nhóm máu.</t>
  </si>
  <si>
    <t>メモ</t>
  </si>
  <si>
    <t>めも</t>
  </si>
  <si>
    <t>ghi chú</t>
  </si>
  <si>
    <t>メモを取る。</t>
  </si>
  <si>
    <t>Ghi chú.</t>
  </si>
  <si>
    <t>御飯</t>
  </si>
  <si>
    <t>ごはん</t>
  </si>
  <si>
    <t>御飯[ごはん]</t>
  </si>
  <si>
    <t>cơm</t>
  </si>
  <si>
    <t>御飯を炊く。</t>
  </si>
  <si>
    <t>Nấu cơm.</t>
  </si>
  <si>
    <t>マーケット</t>
  </si>
  <si>
    <t>まーけっと</t>
  </si>
  <si>
    <t>マーケットへ行く。</t>
  </si>
  <si>
    <t>Đi chợ.</t>
  </si>
  <si>
    <t>現地</t>
  </si>
  <si>
    <t>げんち</t>
  </si>
  <si>
    <t>現地[げんち]</t>
  </si>
  <si>
    <t>tại chỗ</t>
  </si>
  <si>
    <t>現地を調査する。</t>
  </si>
  <si>
    <t>Điều tra tại chỗ.</t>
  </si>
  <si>
    <t>参議院</t>
  </si>
  <si>
    <t>さんぎいん</t>
  </si>
  <si>
    <t>参議院[さんぎいん]</t>
  </si>
  <si>
    <t>thượng nghị viện</t>
  </si>
  <si>
    <t>参議院で審議する。</t>
  </si>
  <si>
    <t>Thảo luận tại thượng nghị viện.</t>
  </si>
  <si>
    <t>取材</t>
  </si>
  <si>
    <t>しゅざい</t>
  </si>
  <si>
    <t>取材[しゅざい]</t>
  </si>
  <si>
    <t>sự thu thập tin</t>
  </si>
  <si>
    <t>現場を取材する。</t>
  </si>
  <si>
    <t>Thu thập tin tại hiện trường.</t>
  </si>
  <si>
    <t>いい加減</t>
  </si>
  <si>
    <t>いいかげん</t>
  </si>
  <si>
    <t>いい加減[かげん]</t>
  </si>
  <si>
    <t>vô trách nhiệm</t>
  </si>
  <si>
    <t>いい加減な仕事をするな。</t>
  </si>
  <si>
    <t>Đừng làm việc vô trách nhiệm.</t>
  </si>
  <si>
    <t>もてる</t>
  </si>
  <si>
    <t>được yêu thích</t>
  </si>
  <si>
    <t>彼はよくもてる。</t>
  </si>
  <si>
    <t>Anh ấy rất được yêu thích.</t>
  </si>
  <si>
    <t>傷付ける</t>
  </si>
  <si>
    <t>きずつける</t>
  </si>
  <si>
    <t>傷付[きずつ]ける</t>
  </si>
  <si>
    <t>làm tổn thương</t>
  </si>
  <si>
    <t>人の心を傷付ける。</t>
  </si>
  <si>
    <t>Làm tổn thương trái tim người khác.</t>
  </si>
  <si>
    <t>決勝</t>
  </si>
  <si>
    <t>けっしょう</t>
  </si>
  <si>
    <t>決勝[けっしょう]</t>
  </si>
  <si>
    <t>trận chung kết</t>
  </si>
  <si>
    <t>決勝に進出する。</t>
  </si>
  <si>
    <t>Tiến vào trận chung kết.</t>
  </si>
  <si>
    <t>ムード</t>
  </si>
  <si>
    <t>むーど</t>
  </si>
  <si>
    <t>ムードが良い。</t>
  </si>
  <si>
    <t>Bầu không khí rất tốt.</t>
  </si>
  <si>
    <t>参照</t>
  </si>
  <si>
    <t>さんしょう</t>
  </si>
  <si>
    <t>参照[さんしょう]</t>
  </si>
  <si>
    <t>sự tham chiếu</t>
  </si>
  <si>
    <t>資料を参照する。</t>
  </si>
  <si>
    <t>Tham chiếu tài liệu.</t>
  </si>
  <si>
    <t>国連</t>
  </si>
  <si>
    <t>こくれん</t>
  </si>
  <si>
    <t>国連[こくれん]</t>
  </si>
  <si>
    <t>liên hợp quốc</t>
  </si>
  <si>
    <t>国連に参加する。</t>
  </si>
  <si>
    <t>Tham gia Liên Hợp Quốc.</t>
  </si>
  <si>
    <t>殺人</t>
  </si>
  <si>
    <t>さつじん</t>
  </si>
  <si>
    <t>殺人[さつじん]</t>
  </si>
  <si>
    <t>sự giết người</t>
  </si>
  <si>
    <t>殺人事件が発生する。</t>
  </si>
  <si>
    <t>Vụ án giết người xảy ra.</t>
  </si>
  <si>
    <t>レギュラー</t>
  </si>
  <si>
    <t>れぎゅらー</t>
  </si>
  <si>
    <t>thường xuyên</t>
  </si>
  <si>
    <t>レギュラー番組。</t>
  </si>
  <si>
    <t>Chương trình thường xuyên.</t>
  </si>
  <si>
    <t>上位</t>
  </si>
  <si>
    <t>じょうい</t>
  </si>
  <si>
    <t>上位[じょうい]</t>
  </si>
  <si>
    <t>thứ hạng cao</t>
  </si>
  <si>
    <t>上位に入る。</t>
  </si>
  <si>
    <t>Nằm trong thứ hạng cao.</t>
  </si>
  <si>
    <t>判定</t>
  </si>
  <si>
    <t>はんてい</t>
  </si>
  <si>
    <t>判定[はんてい]</t>
  </si>
  <si>
    <t>sự phán đoán</t>
  </si>
  <si>
    <t>勝敗を判定する。</t>
  </si>
  <si>
    <t>Phán đoán thắng thua.</t>
  </si>
  <si>
    <t>向上</t>
  </si>
  <si>
    <t>向上[こうじょう]</t>
  </si>
  <si>
    <t>sự cải thiện</t>
  </si>
  <si>
    <t>技術を向上させる。</t>
  </si>
  <si>
    <t>Cải thiện kỹ thuật.</t>
  </si>
  <si>
    <t>変動</t>
  </si>
  <si>
    <t>へんどう</t>
  </si>
  <si>
    <t>変動[へんどう]</t>
  </si>
  <si>
    <t>sự biến động</t>
  </si>
  <si>
    <t>気温の変動が激しい。</t>
  </si>
  <si>
    <t>Sự biến động nhiệt độ dữ dội.</t>
  </si>
  <si>
    <t>フロント</t>
  </si>
  <si>
    <t>ふろんと</t>
  </si>
  <si>
    <t>フロントに連絡する。</t>
  </si>
  <si>
    <t>Liên lạc với quầy lễ tân.</t>
  </si>
  <si>
    <t>世帯</t>
  </si>
  <si>
    <t>せたい</t>
  </si>
  <si>
    <t>世帯[せたい]</t>
  </si>
  <si>
    <t>hộ gia đình</t>
  </si>
  <si>
    <t>世帯数が増える。</t>
  </si>
  <si>
    <t>Số hộ gia đình tăng lên.</t>
  </si>
  <si>
    <t>促進</t>
  </si>
  <si>
    <t>そくしん</t>
  </si>
  <si>
    <t>促進[そくしん]</t>
  </si>
  <si>
    <t>sự thúc đẩy</t>
  </si>
  <si>
    <t>健康促進の運動。</t>
  </si>
  <si>
    <t>Hoạt động thúc đẩy sức khỏe.</t>
  </si>
  <si>
    <t>入手</t>
  </si>
  <si>
    <t>にゅうしゅ</t>
  </si>
  <si>
    <t>入手[にゅうしゅ]</t>
  </si>
  <si>
    <t>sự thu nhận</t>
  </si>
  <si>
    <t>情報を入手する。</t>
  </si>
  <si>
    <t>Thu nhận thông tin.</t>
  </si>
  <si>
    <t>削減</t>
  </si>
  <si>
    <t>さくげん</t>
  </si>
  <si>
    <t>削減[さくげん]</t>
  </si>
  <si>
    <t>sự cắt giảm</t>
  </si>
  <si>
    <t>コストを削減する。</t>
  </si>
  <si>
    <t>Cắt giảm chi phí.</t>
  </si>
  <si>
    <t>加入</t>
  </si>
  <si>
    <t>かにゅう</t>
  </si>
  <si>
    <t>加入[かにゅう]</t>
  </si>
  <si>
    <t>sự gia nhập</t>
  </si>
  <si>
    <t>保険に加入する。</t>
  </si>
  <si>
    <t>Gia nhập bảo hiểm.</t>
  </si>
  <si>
    <t>加工</t>
  </si>
  <si>
    <t>かこう</t>
  </si>
  <si>
    <t>加工[かこう]</t>
  </si>
  <si>
    <t>sự gia công</t>
  </si>
  <si>
    <t>材料を加工する。</t>
  </si>
  <si>
    <t>Gia công nguyên liệu.</t>
  </si>
  <si>
    <t>正解</t>
  </si>
  <si>
    <t>せいかい</t>
  </si>
  <si>
    <t>正解[せいかい]</t>
  </si>
  <si>
    <t>đáp án đúng</t>
  </si>
  <si>
    <t>正解を導き出す。</t>
  </si>
  <si>
    <t>Đưa ra đáp án đúng.</t>
  </si>
  <si>
    <t>経過</t>
  </si>
  <si>
    <t>けいか</t>
  </si>
  <si>
    <t>経過[けいか]</t>
  </si>
  <si>
    <t>sự trôi qua</t>
  </si>
  <si>
    <t>時間が経過する。</t>
  </si>
  <si>
    <t>調べ</t>
  </si>
  <si>
    <t>しらべ</t>
  </si>
  <si>
    <t>調[しら]べ</t>
  </si>
  <si>
    <t>sự điều tra</t>
  </si>
  <si>
    <t>調べが進む。</t>
  </si>
  <si>
    <t>Cuộc điều tra tiến triển.</t>
  </si>
  <si>
    <t>転じる</t>
  </si>
  <si>
    <t>てんじる</t>
  </si>
  <si>
    <t>転[てん]じる</t>
  </si>
  <si>
    <t>chuyển sang</t>
  </si>
  <si>
    <t>方針を転じる。</t>
  </si>
  <si>
    <t>Chuyển sang phương châm khác.</t>
  </si>
  <si>
    <t>預金</t>
  </si>
  <si>
    <t>よきん</t>
  </si>
  <si>
    <t>預金[よきん]</t>
  </si>
  <si>
    <t>sự gửi tiền</t>
  </si>
  <si>
    <t>銀行に預金する。</t>
  </si>
  <si>
    <t>Gửi tiền vào ngân hàng.</t>
  </si>
  <si>
    <t>作戦</t>
  </si>
  <si>
    <t>さくせん</t>
  </si>
  <si>
    <t>作戦[さくせん]</t>
  </si>
  <si>
    <t>chiến lược</t>
  </si>
  <si>
    <t>作戦を立てる。</t>
  </si>
  <si>
    <t>Lập chiến lược.</t>
  </si>
  <si>
    <t>出産</t>
  </si>
  <si>
    <t>しゅっさん</t>
  </si>
  <si>
    <t>出産[しゅっさん]</t>
  </si>
  <si>
    <t>sự sinh đẻ</t>
  </si>
  <si>
    <t>子供を出産する。</t>
  </si>
  <si>
    <t>Sinh con.</t>
  </si>
  <si>
    <t>原則</t>
  </si>
  <si>
    <t>げんそく</t>
  </si>
  <si>
    <t>原則[げんそく]</t>
  </si>
  <si>
    <t>nguyên tắc</t>
  </si>
  <si>
    <t>原則として禁止。</t>
  </si>
  <si>
    <t>Cấm theo nguyên tắc.</t>
  </si>
  <si>
    <t>反する</t>
  </si>
  <si>
    <t>はんする</t>
  </si>
  <si>
    <t>反[はん]する</t>
  </si>
  <si>
    <t>trái ngược</t>
  </si>
  <si>
    <t>法に反する。</t>
  </si>
  <si>
    <t>Trái ngược với pháp luật.</t>
  </si>
  <si>
    <t>回収</t>
  </si>
  <si>
    <t>かいしゅう</t>
  </si>
  <si>
    <t>回収[かいしゅう]</t>
  </si>
  <si>
    <t>sự thu hồi</t>
  </si>
  <si>
    <t>アンケートを回収する。</t>
  </si>
  <si>
    <t>Thu hồi bảng khảo sát.</t>
  </si>
  <si>
    <t>固定</t>
  </si>
  <si>
    <t>こてい</t>
  </si>
  <si>
    <t>固定[こてい]</t>
  </si>
  <si>
    <t>sự cố định</t>
  </si>
  <si>
    <t>画面を固定する。</t>
  </si>
  <si>
    <t>Cố định màn hình.</t>
  </si>
  <si>
    <t>地元</t>
  </si>
  <si>
    <t>じもと</t>
  </si>
  <si>
    <t>地元[じもと]</t>
  </si>
  <si>
    <t>地元のお店。</t>
  </si>
  <si>
    <t>Cửa hàng địa phương.</t>
  </si>
  <si>
    <t>定義</t>
  </si>
  <si>
    <t>ていぎ</t>
  </si>
  <si>
    <t>定義[ていぎ]</t>
  </si>
  <si>
    <t>định nghĩa</t>
  </si>
  <si>
    <t>言葉を定義する。</t>
  </si>
  <si>
    <t>Định nghĩa từ ngữ.</t>
  </si>
  <si>
    <t>確保</t>
  </si>
  <si>
    <t>かくほ</t>
  </si>
  <si>
    <t>確保[かくほ]</t>
  </si>
  <si>
    <t>sự đảm bảo</t>
  </si>
  <si>
    <t>座席を確保する。</t>
  </si>
  <si>
    <t>Đảm bảo chỗ ngồi.</t>
  </si>
  <si>
    <t>空間</t>
  </si>
  <si>
    <t>くうかん</t>
  </si>
  <si>
    <t>空間[くうかん]</t>
  </si>
  <si>
    <t>広い空間を作る。</t>
  </si>
  <si>
    <t>Tạo không gian rộng rãi.</t>
  </si>
  <si>
    <t>融資</t>
  </si>
  <si>
    <t>ゆうし</t>
  </si>
  <si>
    <t>融資[ゆうし]</t>
  </si>
  <si>
    <t>sự cho vay</t>
  </si>
  <si>
    <t>銀行から融資を受ける。</t>
  </si>
  <si>
    <t>Nhận vốn vay từ ngân hàng.</t>
  </si>
  <si>
    <t>見通し</t>
  </si>
  <si>
    <t>みとおし</t>
  </si>
  <si>
    <t>見通[みとお]し</t>
  </si>
  <si>
    <t>triển vọng</t>
  </si>
  <si>
    <t>今後の見通し。</t>
  </si>
  <si>
    <t>Triển vọng sau này.</t>
  </si>
  <si>
    <t>訴え</t>
  </si>
  <si>
    <t>うったえ</t>
  </si>
  <si>
    <t>訴[うった]え</t>
  </si>
  <si>
    <t>sự kêu gọi</t>
  </si>
  <si>
    <t>平和の訴え。</t>
  </si>
  <si>
    <t>Lời kêu gọi hòa bình.</t>
  </si>
  <si>
    <t>調和</t>
  </si>
  <si>
    <t>ちょうわ</t>
  </si>
  <si>
    <t>調和[ちょうわ]</t>
  </si>
  <si>
    <t>sự hòa hợp</t>
  </si>
  <si>
    <t>色を調和させる。</t>
  </si>
  <si>
    <t>Làm cho màu sắc hòa hợp.</t>
  </si>
  <si>
    <t>象徴</t>
  </si>
  <si>
    <t>しょうちょう</t>
  </si>
  <si>
    <t>象徴[しょうちょう]</t>
  </si>
  <si>
    <t>biểu tượng</t>
  </si>
  <si>
    <t>平和の象徴。</t>
  </si>
  <si>
    <t>Biểu tượng của hòa bình.</t>
  </si>
  <si>
    <t>はまる</t>
  </si>
  <si>
    <t>bị nghiện</t>
  </si>
  <si>
    <t>ゲームにはまる。</t>
  </si>
  <si>
    <t>Bị nghiện trò chơi.</t>
  </si>
  <si>
    <t>傷付く</t>
  </si>
  <si>
    <t>きずつく</t>
  </si>
  <si>
    <t>傷付[きずつ]く</t>
  </si>
  <si>
    <t>bị thương</t>
  </si>
  <si>
    <t>心が傷付く経験。</t>
  </si>
  <si>
    <t>Trải nghiệm bị tổn thương.</t>
  </si>
  <si>
    <t>充実</t>
  </si>
  <si>
    <t>じゅうじつ</t>
  </si>
  <si>
    <t>充実[じゅうじつ]</t>
  </si>
  <si>
    <t>sự đầy đủ</t>
  </si>
  <si>
    <t>充実した一日を過ごす。</t>
  </si>
  <si>
    <t>Trải qua một ngày trọn vẹn.</t>
  </si>
  <si>
    <t>制服</t>
  </si>
  <si>
    <t>せいふく</t>
  </si>
  <si>
    <t>制服[せいふく]</t>
  </si>
  <si>
    <t>đồng phục</t>
  </si>
  <si>
    <t>学校の制服を着る。</t>
  </si>
  <si>
    <t>Mặc đồng phục trường.</t>
  </si>
  <si>
    <t>合わす</t>
  </si>
  <si>
    <t>あわす</t>
  </si>
  <si>
    <t>合[あ]わす</t>
  </si>
  <si>
    <t>力を合わす。</t>
  </si>
  <si>
    <t>Cùng nhau chung sức.</t>
  </si>
  <si>
    <t>合意</t>
  </si>
  <si>
    <t>ごうい</t>
  </si>
  <si>
    <t>合意[ごうい]</t>
  </si>
  <si>
    <t>sự đồng ý</t>
  </si>
  <si>
    <t>契約に合意する。</t>
  </si>
  <si>
    <t>Đồng ý với hợp đồng.</t>
  </si>
  <si>
    <t>同意</t>
  </si>
  <si>
    <t>どうい</t>
  </si>
  <si>
    <t>同意[どうい]</t>
  </si>
  <si>
    <t>提案に同意する。</t>
  </si>
  <si>
    <t>Đồng ý với đề xuất.</t>
  </si>
  <si>
    <t>告げる</t>
  </si>
  <si>
    <t>つげる</t>
  </si>
  <si>
    <t>告[つ]げる</t>
  </si>
  <si>
    <t>結果を告げる。</t>
  </si>
  <si>
    <t>Thông báo kết quả.</t>
  </si>
  <si>
    <t>本音</t>
  </si>
  <si>
    <t>ほんね</t>
  </si>
  <si>
    <t>本音[ほんね]</t>
  </si>
  <si>
    <t>lòng thật</t>
  </si>
  <si>
    <t>本音を話す。</t>
  </si>
  <si>
    <t>Nói lòng thật.</t>
  </si>
  <si>
    <t>概念</t>
  </si>
  <si>
    <t>がいねん</t>
  </si>
  <si>
    <t>概念[がいねん]</t>
  </si>
  <si>
    <t>khái niệm</t>
  </si>
  <si>
    <t>新しい概念を学ぶ。</t>
  </si>
  <si>
    <t>Học khái niệm mới.</t>
  </si>
  <si>
    <t>権力</t>
  </si>
  <si>
    <t>けんりょく</t>
  </si>
  <si>
    <t>権力[けんりょく]</t>
  </si>
  <si>
    <t>quyền lực</t>
  </si>
  <si>
    <t>権力を掌握する。</t>
  </si>
  <si>
    <t>Nắm giữ quyền lực.</t>
  </si>
  <si>
    <t>決意</t>
  </si>
  <si>
    <t>けつい</t>
  </si>
  <si>
    <t>決意[けつい]</t>
  </si>
  <si>
    <t>quyết tâm</t>
  </si>
  <si>
    <t>留学を決意する。</t>
  </si>
  <si>
    <t>Quyết tâm đi du học.</t>
  </si>
  <si>
    <t>流通</t>
  </si>
  <si>
    <t>りゅうつう</t>
  </si>
  <si>
    <t>流通[りゅうつう]</t>
  </si>
  <si>
    <t>lưu thông</t>
  </si>
  <si>
    <t>商品の流通を促す。</t>
  </si>
  <si>
    <t>Thúc đẩy lưu thông hàng hóa.</t>
  </si>
  <si>
    <t>解除</t>
  </si>
  <si>
    <t>かいじょ</t>
  </si>
  <si>
    <t>解除[かいじょ]</t>
  </si>
  <si>
    <t>sự bãi bỏ</t>
  </si>
  <si>
    <t>警報を解除する。</t>
  </si>
  <si>
    <t>Bãi bỏ cảnh báo.</t>
  </si>
  <si>
    <t>込める</t>
  </si>
  <si>
    <t>こめる</t>
  </si>
  <si>
    <t>込[こ]める</t>
  </si>
  <si>
    <t>chứa đựng</t>
  </si>
  <si>
    <t>心を込める。</t>
  </si>
  <si>
    <t>Chứa đựng tấm lòng.</t>
  </si>
  <si>
    <t>配置</t>
  </si>
  <si>
    <t>はいち</t>
  </si>
  <si>
    <t>配置[はいち]</t>
  </si>
  <si>
    <t>sự bố trí</t>
  </si>
  <si>
    <t>机を配置する。</t>
  </si>
  <si>
    <t>Bố trí bàn ghế.</t>
  </si>
  <si>
    <t>カテゴリー</t>
  </si>
  <si>
    <t>かてごりー</t>
  </si>
  <si>
    <t>hạng mục</t>
  </si>
  <si>
    <t>カテゴリーに分ける。</t>
  </si>
  <si>
    <t>Chia thành các hạng mục.</t>
  </si>
  <si>
    <t>じっくり</t>
  </si>
  <si>
    <t>kỹ lưỡng</t>
  </si>
  <si>
    <t>じっくり考える。</t>
  </si>
  <si>
    <t>Suy nghĩ kỹ lưỡng.</t>
  </si>
  <si>
    <t>セックス</t>
  </si>
  <si>
    <t>せっくす</t>
  </si>
  <si>
    <t>tình dục</t>
  </si>
  <si>
    <t>セックスについて教える。</t>
  </si>
  <si>
    <t>Giáo dục về tình dục.</t>
  </si>
  <si>
    <t>ソース</t>
  </si>
  <si>
    <t>そーす</t>
  </si>
  <si>
    <t>nước sốt</t>
  </si>
  <si>
    <t>サラダにソースをかける。</t>
  </si>
  <si>
    <t>Rưới nước sốt lên salad.</t>
  </si>
  <si>
    <t>チェンジ</t>
  </si>
  <si>
    <t>ちぇんじ</t>
  </si>
  <si>
    <t>予定をチェンジする。</t>
  </si>
  <si>
    <t>Thay đổi dự định.</t>
  </si>
  <si>
    <t>フォーム</t>
  </si>
  <si>
    <t>ふぉーむ</t>
  </si>
  <si>
    <t>biểu mẫu</t>
  </si>
  <si>
    <t>フォームに記入する。</t>
  </si>
  <si>
    <t>Điền vào biểu mẫu.</t>
  </si>
  <si>
    <t>上回る</t>
  </si>
  <si>
    <t>うわまわる</t>
  </si>
  <si>
    <t>上回[うわまわ]る</t>
  </si>
  <si>
    <t>vượt quá</t>
  </si>
  <si>
    <t>期待を上回る。</t>
  </si>
  <si>
    <t>Vượt quá kỳ vọng.</t>
  </si>
  <si>
    <t>伴う</t>
  </si>
  <si>
    <t>ともなう</t>
  </si>
  <si>
    <t>伴[ともな]う</t>
  </si>
  <si>
    <t>kéo theo</t>
  </si>
  <si>
    <t>責任を伴う。</t>
  </si>
  <si>
    <t>Kéo theo trách nhiệm.</t>
  </si>
  <si>
    <t>動向</t>
  </si>
  <si>
    <t>どうこう</t>
  </si>
  <si>
    <t>動向[どうこう]</t>
  </si>
  <si>
    <t>市場の動向を探る。</t>
  </si>
  <si>
    <t>Tìm hiểu xu hướng thị trường.</t>
  </si>
  <si>
    <t>各種</t>
  </si>
  <si>
    <t>かくしゅ</t>
  </si>
  <si>
    <t>各種[かくしゅ]</t>
  </si>
  <si>
    <t>các loại</t>
  </si>
  <si>
    <t>各種のサービス。</t>
  </si>
  <si>
    <t>Các loại dịch vụ.</t>
  </si>
  <si>
    <t>定める</t>
  </si>
  <si>
    <t>さだめる</t>
  </si>
  <si>
    <t>定[さだ]める</t>
  </si>
  <si>
    <t>xác định</t>
  </si>
  <si>
    <t>ルールを定める。</t>
  </si>
  <si>
    <t>Xác định luật.</t>
  </si>
  <si>
    <t>欲</t>
  </si>
  <si>
    <t>欲[よく]</t>
  </si>
  <si>
    <t>ham muốn</t>
  </si>
  <si>
    <t>欲を抑える。</t>
  </si>
  <si>
    <t>Kìm nén ham muốn.</t>
  </si>
  <si>
    <t>災害</t>
  </si>
  <si>
    <t>さいがい</t>
  </si>
  <si>
    <t>災害[さいがい]</t>
  </si>
  <si>
    <t>thảm họa</t>
  </si>
  <si>
    <t>災害に備える。</t>
  </si>
  <si>
    <t>Chuẩn bị cho thảm họa.</t>
  </si>
  <si>
    <t>総合</t>
  </si>
  <si>
    <t>そうごう</t>
  </si>
  <si>
    <t>総合[そうごう]</t>
  </si>
  <si>
    <t>tổng hợp</t>
  </si>
  <si>
    <t>総合的に判断する。</t>
  </si>
  <si>
    <t>Phán đoán một cách tổng hợp.</t>
  </si>
  <si>
    <t>緩める</t>
  </si>
  <si>
    <t>ゆるめる</t>
  </si>
  <si>
    <t>緩[ゆる]める</t>
  </si>
  <si>
    <t>nới lỏng</t>
  </si>
  <si>
    <t>ベルトを緩める。</t>
  </si>
  <si>
    <t>Nới lỏng dây thắt lưng.</t>
  </si>
  <si>
    <t>背後</t>
  </si>
  <si>
    <t>はいご</t>
  </si>
  <si>
    <t>背後[はいご]</t>
  </si>
  <si>
    <t>đằng sau</t>
  </si>
  <si>
    <t>背後で誰かが動いている。</t>
  </si>
  <si>
    <t>Có ai đó đang hành động đằng sau.</t>
  </si>
  <si>
    <t>視野</t>
  </si>
  <si>
    <t>しや</t>
  </si>
  <si>
    <t>視野[しや]</t>
  </si>
  <si>
    <t>tầm nhìn</t>
  </si>
  <si>
    <t>視野を広げる。</t>
  </si>
  <si>
    <t>Mở rộng tầm nhìn.</t>
  </si>
  <si>
    <t>記述</t>
  </si>
  <si>
    <t>きじゅつ</t>
  </si>
  <si>
    <t>記述[きじゅつ]</t>
  </si>
  <si>
    <t>sự mô tả</t>
  </si>
  <si>
    <t>事細かに記述する。</t>
  </si>
  <si>
    <t>Mô tả chi tiết.</t>
  </si>
  <si>
    <t>踏まえる</t>
  </si>
  <si>
    <t>ふまえる</t>
  </si>
  <si>
    <t>踏[ふ]まえる</t>
  </si>
  <si>
    <t>現状を踏まえる。</t>
  </si>
  <si>
    <t>Dựa trên hiện trạng.</t>
  </si>
  <si>
    <t>遂げる</t>
  </si>
  <si>
    <t>とげる</t>
  </si>
  <si>
    <t>遂[と]げる</t>
  </si>
  <si>
    <t>目的を遂げる。</t>
  </si>
  <si>
    <t>Đạt được mục tiêu.</t>
  </si>
  <si>
    <t>部下</t>
  </si>
  <si>
    <t>ぶか</t>
  </si>
  <si>
    <t>部下[ぶか]</t>
  </si>
  <si>
    <t>cấp dưới</t>
  </si>
  <si>
    <t>部下を熱心に指導する。</t>
  </si>
  <si>
    <t>Chỉ đạo nhiệt tình cấp dưới.</t>
  </si>
  <si>
    <t>面する</t>
  </si>
  <si>
    <t>めんする</t>
  </si>
  <si>
    <t>面[めん]する</t>
  </si>
  <si>
    <t>海に面する家。</t>
  </si>
  <si>
    <t>Ngôi nhà hướng ra biển.</t>
  </si>
  <si>
    <t>グレー</t>
  </si>
  <si>
    <t>ぐれー</t>
  </si>
  <si>
    <t>màu xám</t>
  </si>
  <si>
    <t>グレーの服を着る。</t>
  </si>
  <si>
    <t>Mặc bộ quần áo màu xám.</t>
  </si>
  <si>
    <t>とって</t>
  </si>
  <si>
    <t>私にとって大切だ。</t>
  </si>
  <si>
    <t>Quan trọng đối với tôi.</t>
  </si>
  <si>
    <t>ブーム</t>
  </si>
  <si>
    <t>ぶーむ</t>
  </si>
  <si>
    <t>bùng nổ</t>
  </si>
  <si>
    <t>健康ブームが来る。</t>
  </si>
  <si>
    <t>Trào lưu sức khỏe bùng nổ.</t>
  </si>
  <si>
    <t>リード</t>
  </si>
  <si>
    <t>りーど</t>
  </si>
  <si>
    <t>dẫn đầu</t>
  </si>
  <si>
    <t>リードを広げる。</t>
  </si>
  <si>
    <t>Nới rộng khoảng cách dẫn đầu.</t>
  </si>
  <si>
    <t>レッスン</t>
  </si>
  <si>
    <t>れっすん</t>
  </si>
  <si>
    <t>bài học</t>
  </si>
  <si>
    <t>ピアノのレッスン。</t>
  </si>
  <si>
    <t>Bài học piano.</t>
  </si>
  <si>
    <t>一面</t>
  </si>
  <si>
    <t>いちめん</t>
  </si>
  <si>
    <t>一面[いちめん]</t>
  </si>
  <si>
    <t>toàn bộ</t>
  </si>
  <si>
    <t>一面雪景色だ。</t>
  </si>
  <si>
    <t>Toàn bộ là cảnh tuyết.</t>
  </si>
  <si>
    <t>会談</t>
  </si>
  <si>
    <t>かいだん</t>
  </si>
  <si>
    <t>会談[かいだん]</t>
  </si>
  <si>
    <t>hội đàm</t>
  </si>
  <si>
    <t>首脳と会談する。</t>
  </si>
  <si>
    <t>Hội đàm với nguyên thủ.</t>
  </si>
  <si>
    <t>体力</t>
  </si>
  <si>
    <t>たいりょく</t>
  </si>
  <si>
    <t>体力[たいりょく]</t>
  </si>
  <si>
    <t>thể lực</t>
  </si>
  <si>
    <t>体力をつける。</t>
  </si>
  <si>
    <t>及ぶ</t>
  </si>
  <si>
    <t>およぶ</t>
  </si>
  <si>
    <t>及[およ]ぶ</t>
  </si>
  <si>
    <t>đạt tới</t>
  </si>
  <si>
    <t>被害が広範囲に及ぶ。</t>
  </si>
  <si>
    <t>Thiệt hại đạt tới phạm vi rộng.</t>
  </si>
  <si>
    <t>取り戻す</t>
  </si>
  <si>
    <t>とりもどす</t>
  </si>
  <si>
    <t>取[と]り戻[もど]す</t>
  </si>
  <si>
    <t>lấy lại</t>
  </si>
  <si>
    <t>信頼を取り戻す。</t>
  </si>
  <si>
    <t>Lấy lại sự tin tưởng.</t>
  </si>
  <si>
    <t>固める</t>
  </si>
  <si>
    <t>かためる</t>
  </si>
  <si>
    <t>固[かた]める</t>
  </si>
  <si>
    <t>củng cố</t>
  </si>
  <si>
    <t>基礎をしっかり固める。</t>
  </si>
  <si>
    <t>Củng cố vững chắc nền tảng.</t>
  </si>
  <si>
    <t>報じる</t>
  </si>
  <si>
    <t>ほうじる</t>
  </si>
  <si>
    <t>報[ほう]じる</t>
  </si>
  <si>
    <t>đưa tin</t>
  </si>
  <si>
    <t>事件を報じる。</t>
  </si>
  <si>
    <t>Đưa tin vụ việc.</t>
  </si>
  <si>
    <t>大幅</t>
  </si>
  <si>
    <t>おおはば</t>
  </si>
  <si>
    <t>大幅[おおはば]</t>
  </si>
  <si>
    <t>大幅な改善。</t>
  </si>
  <si>
    <t>Sự cải thiện đáng kể.</t>
  </si>
  <si>
    <t>民族</t>
  </si>
  <si>
    <t>みんぞく</t>
  </si>
  <si>
    <t>民族[みんぞく]</t>
  </si>
  <si>
    <t>dân tộc</t>
  </si>
  <si>
    <t>民族の誇りを持つ。</t>
  </si>
  <si>
    <t>Có niềm tự hào dân tộc.</t>
  </si>
  <si>
    <t>理論</t>
  </si>
  <si>
    <t>りろん</t>
  </si>
  <si>
    <t>理論[りろん]</t>
  </si>
  <si>
    <t>lý thuyết</t>
  </si>
  <si>
    <t>難しい理論を学ぶ。</t>
  </si>
  <si>
    <t>Học các lý thuyết khó.</t>
  </si>
  <si>
    <t>職務</t>
  </si>
  <si>
    <t>しょくむ</t>
  </si>
  <si>
    <t>職務[しょくむ]</t>
  </si>
  <si>
    <t>chức vụ</t>
  </si>
  <si>
    <t>職務を果たす。</t>
  </si>
  <si>
    <t>Hoàn thành chức vụ.</t>
  </si>
  <si>
    <t>良好</t>
  </si>
  <si>
    <t>りょうこう</t>
  </si>
  <si>
    <t>良好[りょうこう]</t>
  </si>
  <si>
    <t>tốt đẹp</t>
  </si>
  <si>
    <t>良好な関係を保つ。</t>
  </si>
  <si>
    <t>Duy trì mối quan hệ tốt đẹp.</t>
  </si>
  <si>
    <t>色彩</t>
  </si>
  <si>
    <t>しきさい</t>
  </si>
  <si>
    <t>色彩[しきさい]</t>
  </si>
  <si>
    <t>màu sắc</t>
  </si>
  <si>
    <t>色彩が豊かだ。</t>
  </si>
  <si>
    <t>Màu sắc phong phú.</t>
  </si>
  <si>
    <t>見込み</t>
  </si>
  <si>
    <t>みこみ</t>
  </si>
  <si>
    <t>見込[みこ]み</t>
  </si>
  <si>
    <t>成功の見込み。</t>
  </si>
  <si>
    <t>Dự đoán thành công.</t>
  </si>
  <si>
    <t>記す</t>
  </si>
  <si>
    <t>しるす</t>
  </si>
  <si>
    <t>記[しる]す</t>
  </si>
  <si>
    <t>ghi lại</t>
  </si>
  <si>
    <t>日記に記す。</t>
  </si>
  <si>
    <t>Ghi lại vào nhật ký.</t>
  </si>
  <si>
    <t>サイクル</t>
  </si>
  <si>
    <t>さいくる</t>
  </si>
  <si>
    <t>chu kỳ</t>
  </si>
  <si>
    <t>景気のサイクル。</t>
  </si>
  <si>
    <t>Chu kỳ kinh tế.</t>
  </si>
  <si>
    <t>圧力</t>
  </si>
  <si>
    <t>あつりょく</t>
  </si>
  <si>
    <t>圧力[あつりょく]</t>
  </si>
  <si>
    <t>áp lực</t>
  </si>
  <si>
    <t>強い圧力をかける。</t>
  </si>
  <si>
    <t>Tạo áp lực mạnh.</t>
  </si>
  <si>
    <t>根拠</t>
  </si>
  <si>
    <t>こんきょ</t>
  </si>
  <si>
    <t>根拠[こんきょ]</t>
  </si>
  <si>
    <t>căn cứ</t>
  </si>
  <si>
    <t>主張の根拠を示す。</t>
  </si>
  <si>
    <t>Chỉ ra căn cứ của lập luận.</t>
  </si>
  <si>
    <t>自主</t>
  </si>
  <si>
    <t>じしゅ</t>
  </si>
  <si>
    <t>自主[じしゅ]</t>
  </si>
  <si>
    <t>tự chủ</t>
  </si>
  <si>
    <t>自主的に活動する。</t>
  </si>
  <si>
    <t>Hoạt động một cách tự chủ.</t>
  </si>
  <si>
    <t>見なす</t>
  </si>
  <si>
    <t>みなす</t>
  </si>
  <si>
    <t>見[み]なす</t>
  </si>
  <si>
    <t>coi là</t>
  </si>
  <si>
    <t>これを正解と見なす。</t>
  </si>
  <si>
    <t>Coi đây là đáp án đúng.</t>
  </si>
  <si>
    <t>アルミ</t>
  </si>
  <si>
    <t>あるみ</t>
  </si>
  <si>
    <t>nhôm</t>
  </si>
  <si>
    <t>アルミの鍋を使う。</t>
  </si>
  <si>
    <t>Sử dụng nồi nhôm.</t>
  </si>
  <si>
    <t>キャッチ</t>
  </si>
  <si>
    <t>きゃっち</t>
  </si>
  <si>
    <t>bắt</t>
  </si>
  <si>
    <t>ボールをキャッチする。</t>
  </si>
  <si>
    <t>Bắt quả bóng.</t>
  </si>
  <si>
    <t>バッテリー</t>
  </si>
  <si>
    <t>ばってりー</t>
  </si>
  <si>
    <t>pin</t>
  </si>
  <si>
    <t>バッテリーが切れる。</t>
  </si>
  <si>
    <t>Pin bị hết.</t>
  </si>
  <si>
    <t>ペア</t>
  </si>
  <si>
    <t>ぺあ</t>
  </si>
  <si>
    <t>cặp</t>
  </si>
  <si>
    <t>ペアで行動する。</t>
  </si>
  <si>
    <t>Hoạt động theo cặp.</t>
  </si>
  <si>
    <t>試みる</t>
  </si>
  <si>
    <t>こころみる</t>
  </si>
  <si>
    <t>試[こころ]みる</t>
  </si>
  <si>
    <t>thử</t>
  </si>
  <si>
    <t>解決を試みる。</t>
  </si>
  <si>
    <t>Thử giải quyết.</t>
  </si>
  <si>
    <t>対抗</t>
  </si>
  <si>
    <t>たいこう</t>
  </si>
  <si>
    <t>対抗[たいこう]</t>
  </si>
  <si>
    <t>đối kháng</t>
  </si>
  <si>
    <t>相手に対抗する。</t>
  </si>
  <si>
    <t>Đối kháng với đối phương.</t>
  </si>
  <si>
    <t>尽くす</t>
  </si>
  <si>
    <t>つくす</t>
  </si>
  <si>
    <t>尽[つ]くす</t>
  </si>
  <si>
    <t>cống hiến</t>
  </si>
  <si>
    <t>社会に尽くす。</t>
  </si>
  <si>
    <t>Cống hiến cho xã hội.</t>
  </si>
  <si>
    <t>推進</t>
  </si>
  <si>
    <t>すいしん</t>
  </si>
  <si>
    <t>推進[すいしん]</t>
  </si>
  <si>
    <t>改革を推進する。</t>
  </si>
  <si>
    <t>Thúc đẩy cải cách.</t>
  </si>
  <si>
    <t>抑制</t>
  </si>
  <si>
    <t>よくせい</t>
  </si>
  <si>
    <t>抑制[よくせい]</t>
  </si>
  <si>
    <t>kìm hãm</t>
  </si>
  <si>
    <t>物価を抑制する。</t>
  </si>
  <si>
    <t>Kìm hãm vật giá.</t>
  </si>
  <si>
    <t>悪化</t>
  </si>
  <si>
    <t>あっか</t>
  </si>
  <si>
    <t>悪化[あっか]</t>
  </si>
  <si>
    <t>xấu đi</t>
  </si>
  <si>
    <t>状況が悪化する。</t>
  </si>
  <si>
    <t>Tình hình xấu đi.</t>
  </si>
  <si>
    <t>各地</t>
  </si>
  <si>
    <t>かくち</t>
  </si>
  <si>
    <t>各地[かくち]</t>
  </si>
  <si>
    <t>các vùng</t>
  </si>
  <si>
    <t>各地でイベントが開かれる。</t>
  </si>
  <si>
    <t>Sự kiện được tổ chức ở các vùng.</t>
  </si>
  <si>
    <t>条件</t>
  </si>
  <si>
    <t>じょうけん</t>
  </si>
  <si>
    <t>条件[じょうけん]</t>
  </si>
  <si>
    <t>điều kiện</t>
  </si>
  <si>
    <t>条件を満たす。</t>
  </si>
  <si>
    <t>Tôi đáp ứng các điều kiện.</t>
  </si>
  <si>
    <t>囲む</t>
  </si>
  <si>
    <t>かこむ</t>
  </si>
  <si>
    <t>囲[かこ]む</t>
  </si>
  <si>
    <t>bao quanh</t>
  </si>
  <si>
    <t>山が町を囲む。</t>
  </si>
  <si>
    <t>Núi bao quanh thị trấn.</t>
  </si>
  <si>
    <t>楽む</t>
  </si>
  <si>
    <t>たのしむ</t>
  </si>
  <si>
    <t>楽[たのし]む</t>
  </si>
  <si>
    <t>tận hưởng</t>
  </si>
  <si>
    <t>音楽を楽む。</t>
  </si>
  <si>
    <t>Tôi tận hưởng âm nhạc.</t>
  </si>
  <si>
    <t>操作</t>
  </si>
  <si>
    <t>そうさ</t>
  </si>
  <si>
    <t>操作[そうさ]</t>
  </si>
  <si>
    <t>thao tác</t>
  </si>
  <si>
    <t>機械を操作する。</t>
  </si>
  <si>
    <t>Tôi vận hành máy móc.</t>
  </si>
  <si>
    <t>明らか</t>
  </si>
  <si>
    <t>あきらか</t>
  </si>
  <si>
    <t>明[あき]らか</t>
  </si>
  <si>
    <t>明らかにする。</t>
  </si>
  <si>
    <t>Tôi làm cho rõ ràng.</t>
  </si>
  <si>
    <t>気付く</t>
  </si>
  <si>
    <t>きづく</t>
  </si>
  <si>
    <t>気付[きづ]く</t>
  </si>
  <si>
    <t>nhận ra</t>
  </si>
  <si>
    <t>ミスに気付く。</t>
  </si>
  <si>
    <t>Tôi nhận ra lỗi sai.</t>
  </si>
  <si>
    <t>横</t>
  </si>
  <si>
    <t>よこ</t>
  </si>
  <si>
    <t>横[よこ]</t>
  </si>
  <si>
    <t>横に座る。</t>
  </si>
  <si>
    <t>Tôi ngồi bên cạnh.</t>
  </si>
  <si>
    <t>数学</t>
  </si>
  <si>
    <t>すうがく</t>
  </si>
  <si>
    <t>数学[すうがく]</t>
  </si>
  <si>
    <t>toán học</t>
  </si>
  <si>
    <t>数学を勉強する。</t>
  </si>
  <si>
    <t>Tôi học toán học.</t>
  </si>
  <si>
    <t>木曜日</t>
  </si>
  <si>
    <t>もくようび</t>
  </si>
  <si>
    <t>木曜日[もくようび]</t>
  </si>
  <si>
    <t>thứ năm</t>
  </si>
  <si>
    <t>木曜日に会議。</t>
  </si>
  <si>
    <t>Họp vào thứ năm.</t>
  </si>
  <si>
    <t>専用</t>
  </si>
  <si>
    <t>せんよう</t>
  </si>
  <si>
    <t>専用[せんよう]</t>
  </si>
  <si>
    <t>chuyên dụng</t>
  </si>
  <si>
    <t>女性専用の車両。</t>
  </si>
  <si>
    <t>Toa tàu dành riêng cho nữ giới.</t>
  </si>
  <si>
    <t>応募</t>
  </si>
  <si>
    <t>おうぼ</t>
  </si>
  <si>
    <t>応募[おうぼ]</t>
  </si>
  <si>
    <t>ứng tuyển</t>
  </si>
  <si>
    <t>求人に応募する。</t>
  </si>
  <si>
    <t>Ứng tuyển công việc.</t>
  </si>
  <si>
    <t>引き起こす</t>
  </si>
  <si>
    <t>ひきおこす</t>
  </si>
  <si>
    <t>引[ひ]き起[お]こす</t>
  </si>
  <si>
    <t>gây ra</t>
  </si>
  <si>
    <t>事故を引き起こす。</t>
  </si>
  <si>
    <t>Gây ra tai nạn.</t>
  </si>
  <si>
    <t>掲載</t>
  </si>
  <si>
    <t>けいさい</t>
  </si>
  <si>
    <t>掲載[けいさい]</t>
  </si>
  <si>
    <t>đăng</t>
  </si>
  <si>
    <t>新聞に掲載する。</t>
  </si>
  <si>
    <t>Đăng trên báo.</t>
  </si>
  <si>
    <t>旅</t>
  </si>
  <si>
    <t>たび</t>
  </si>
  <si>
    <t>旅[たび]</t>
  </si>
  <si>
    <t>chuyến đi</t>
  </si>
  <si>
    <t>旅に出る。</t>
  </si>
  <si>
    <t>Tôi lên đường đi du lịch.</t>
  </si>
  <si>
    <t>整理</t>
  </si>
  <si>
    <t>せいり</t>
  </si>
  <si>
    <t>整理[せいり]</t>
  </si>
  <si>
    <t>chỉnh lý</t>
  </si>
  <si>
    <t>机を整理する。</t>
  </si>
  <si>
    <t>Tôi dọn dẹp bàn làm việc.</t>
  </si>
  <si>
    <t>未来</t>
  </si>
  <si>
    <t>みらい</t>
  </si>
  <si>
    <t>未来[みらい]</t>
  </si>
  <si>
    <t>未来を考える。</t>
  </si>
  <si>
    <t>Tôi nghĩ về tương lai.</t>
  </si>
  <si>
    <t>更に</t>
  </si>
  <si>
    <t>さらに</t>
  </si>
  <si>
    <t>更[さら]に</t>
  </si>
  <si>
    <t>更に進める。</t>
  </si>
  <si>
    <t>Tôi thúc đẩy hơn nữa.</t>
  </si>
  <si>
    <t>機械</t>
  </si>
  <si>
    <t>機械[きかい]</t>
  </si>
  <si>
    <t>máy móc</t>
  </si>
  <si>
    <t>機械を動かす。</t>
  </si>
  <si>
    <t>Vận hành máy móc.</t>
  </si>
  <si>
    <t>気分</t>
  </si>
  <si>
    <t>きぶん</t>
  </si>
  <si>
    <t>気分[きぶん]</t>
  </si>
  <si>
    <t>tâm trạng</t>
  </si>
  <si>
    <t>気分が良い。</t>
  </si>
  <si>
    <t>Tâm trạng rất tốt.</t>
  </si>
  <si>
    <t>止まる</t>
  </si>
  <si>
    <t>とまる</t>
  </si>
  <si>
    <t>止[と]まる</t>
  </si>
  <si>
    <t>dừng lại</t>
  </si>
  <si>
    <t>バスが止まる。</t>
  </si>
  <si>
    <t>Xe buýt dừng lại.</t>
  </si>
  <si>
    <t>提出</t>
  </si>
  <si>
    <t>ていしゅつ</t>
  </si>
  <si>
    <t>提出[ていしゅつ]</t>
  </si>
  <si>
    <t>nộp</t>
  </si>
  <si>
    <t>書類を提出する。</t>
  </si>
  <si>
    <t>Tôi nộp tài liệu.</t>
  </si>
  <si>
    <t>密接</t>
  </si>
  <si>
    <t>みっせつ</t>
  </si>
  <si>
    <t>密接[みっせつ]</t>
  </si>
  <si>
    <t>mật thiết</t>
  </si>
  <si>
    <t>二つは密接に関係する。</t>
  </si>
  <si>
    <t>Hai cái đó có mối liên hệ mật thiết.</t>
  </si>
  <si>
    <t>戦闘</t>
  </si>
  <si>
    <t>せんとう</t>
  </si>
  <si>
    <t>戦闘[せんとう]</t>
  </si>
  <si>
    <t>戦闘に参加する。</t>
  </si>
  <si>
    <t>Tham gia chiến đấu.</t>
  </si>
  <si>
    <t>引き上げる</t>
  </si>
  <si>
    <t>ひきあげる</t>
  </si>
  <si>
    <t>引[ひ]き上[あ]げる</t>
  </si>
  <si>
    <t>価格を引き上げる。</t>
  </si>
  <si>
    <t>Nâng giá lên.</t>
  </si>
  <si>
    <t>所得</t>
  </si>
  <si>
    <t>しょとく</t>
  </si>
  <si>
    <t>所得[しょとく]</t>
  </si>
  <si>
    <t>所得が増える。</t>
  </si>
  <si>
    <t>Thu nhập tăng lên.</t>
  </si>
  <si>
    <t>提携</t>
  </si>
  <si>
    <t>ていけい</t>
  </si>
  <si>
    <t>提携[ていけい]</t>
  </si>
  <si>
    <t>hợp tác</t>
  </si>
  <si>
    <t>会社と提携する。</t>
  </si>
  <si>
    <t>Hợp tác với công ty.</t>
  </si>
  <si>
    <t>崩壊</t>
  </si>
  <si>
    <t>ほうかい</t>
  </si>
  <si>
    <t>崩壊[ほうかい]</t>
  </si>
  <si>
    <t>建物が崩壊する。</t>
  </si>
  <si>
    <t>Tòa nhà sụp đổ.</t>
  </si>
  <si>
    <t>意欲</t>
  </si>
  <si>
    <t>いよく</t>
  </si>
  <si>
    <t>意欲[いよく]</t>
  </si>
  <si>
    <t>ý muốn</t>
  </si>
  <si>
    <t>学習意欲。</t>
  </si>
  <si>
    <t>Ý muốn học tập.</t>
  </si>
  <si>
    <t>日常</t>
  </si>
  <si>
    <t>にちじょう</t>
  </si>
  <si>
    <t>日常[にちじょう]</t>
  </si>
  <si>
    <t>thường ngày</t>
  </si>
  <si>
    <t>日常の生活。</t>
  </si>
  <si>
    <t>Đó là cuộc sống thường ngày.</t>
  </si>
  <si>
    <t>案内</t>
  </si>
  <si>
    <t>あんない</t>
  </si>
  <si>
    <t>案内[あんない]</t>
  </si>
  <si>
    <t>駅を案内する。</t>
  </si>
  <si>
    <t>Tôi hướng dẫn đến nhà ga.</t>
  </si>
  <si>
    <t>重なる</t>
  </si>
  <si>
    <t>かさなる</t>
  </si>
  <si>
    <t>重[かさ]なる</t>
  </si>
  <si>
    <t>chồng lên</t>
  </si>
  <si>
    <t>予定が重なる。</t>
  </si>
  <si>
    <t>Lịch trình bị chồng chéo.</t>
  </si>
  <si>
    <t>本人</t>
  </si>
  <si>
    <t>ほんにん</t>
  </si>
  <si>
    <t>本人[ほんにん]</t>
  </si>
  <si>
    <t>chính người đó</t>
  </si>
  <si>
    <t>本人に会う。</t>
  </si>
  <si>
    <t>Tôi gặp chính người đó.</t>
  </si>
  <si>
    <t>夫婦</t>
  </si>
  <si>
    <t>ふうふ</t>
  </si>
  <si>
    <t>夫婦[ふうふ]</t>
  </si>
  <si>
    <t>vợ chồng</t>
  </si>
  <si>
    <t>夫婦で暮らす。</t>
  </si>
  <si>
    <t>Tôi sống cùng vợ chồng.</t>
  </si>
  <si>
    <t>毎月</t>
  </si>
  <si>
    <t>まいつき</t>
  </si>
  <si>
    <t>毎月[まいつき]</t>
  </si>
  <si>
    <t>mỗi tháng</t>
  </si>
  <si>
    <t>毎月会う。</t>
  </si>
  <si>
    <t>Tôi gặp vào mỗi tháng.</t>
  </si>
  <si>
    <t>撮影</t>
  </si>
  <si>
    <t>さつえい</t>
  </si>
  <si>
    <t>撮影[さつえい]</t>
  </si>
  <si>
    <t>quay phim</t>
  </si>
  <si>
    <t>映画を撮影する。</t>
  </si>
  <si>
    <t>Tôi quay một bộ phim.</t>
  </si>
  <si>
    <t>台所</t>
  </si>
  <si>
    <t>だいどころ</t>
  </si>
  <si>
    <t>台所[だいどころ]</t>
  </si>
  <si>
    <t>bếp</t>
  </si>
  <si>
    <t>台所で料理をする。</t>
  </si>
  <si>
    <t>Tôi nấu ăn trong bếp.</t>
  </si>
  <si>
    <t>時々</t>
  </si>
  <si>
    <t>ときどき</t>
  </si>
  <si>
    <t>時々[ときどき]</t>
  </si>
  <si>
    <t>時々行く。</t>
  </si>
  <si>
    <t>Thỉnh thoảng tôi đi.</t>
  </si>
  <si>
    <t>暗い</t>
  </si>
  <si>
    <t>くらい</t>
  </si>
  <si>
    <t>暗[くら]い</t>
  </si>
  <si>
    <t>tối</t>
  </si>
  <si>
    <t>暗い道。</t>
  </si>
  <si>
    <t>Đó là con đường tối.</t>
  </si>
  <si>
    <t>宣伝</t>
  </si>
  <si>
    <t>せんでん</t>
  </si>
  <si>
    <t>宣伝[せんでん]</t>
  </si>
  <si>
    <t>宣伝を流す。</t>
  </si>
  <si>
    <t>Tôi phát quảng cáo.</t>
  </si>
  <si>
    <t>唯一</t>
  </si>
  <si>
    <t>ゆいいつ</t>
  </si>
  <si>
    <t>唯一[ゆいいつ]</t>
  </si>
  <si>
    <t>duy nhất</t>
  </si>
  <si>
    <t>唯一の解決策。</t>
  </si>
  <si>
    <t>Giải pháp duy nhất.</t>
  </si>
  <si>
    <t>多少</t>
  </si>
  <si>
    <t>たしょう</t>
  </si>
  <si>
    <t>多少[たしょう]</t>
  </si>
  <si>
    <t>ít nhiều</t>
  </si>
  <si>
    <t>多少は理解する。</t>
  </si>
  <si>
    <t>Tôi hiểu ít nhiều.</t>
  </si>
  <si>
    <t>捜す</t>
  </si>
  <si>
    <t>捜[さが]す</t>
  </si>
  <si>
    <t>迷子を捜す。</t>
  </si>
  <si>
    <t>Tìm kiếm trẻ lạc.</t>
  </si>
  <si>
    <t>吸収</t>
  </si>
  <si>
    <t>きゅうしゅう</t>
  </si>
  <si>
    <t>吸収[きゅうしゅう]</t>
  </si>
  <si>
    <t>hấp thụ</t>
  </si>
  <si>
    <t>水分を吸収する。</t>
  </si>
  <si>
    <t>Tôi hấp thụ nước.</t>
  </si>
  <si>
    <t>命じる</t>
  </si>
  <si>
    <t>めいじる</t>
  </si>
  <si>
    <t>命[めい]じる</t>
  </si>
  <si>
    <t>ra lệnh</t>
  </si>
  <si>
    <t>上司が命じる。</t>
  </si>
  <si>
    <t>Cấp trên ra lệnh.</t>
  </si>
  <si>
    <t>歌う</t>
  </si>
  <si>
    <t>うたう</t>
  </si>
  <si>
    <t>歌[うた]う</t>
  </si>
  <si>
    <t>hát</t>
  </si>
  <si>
    <t>歌を歌う。</t>
  </si>
  <si>
    <t>Tôi hát bài hát.</t>
  </si>
  <si>
    <t>回数</t>
  </si>
  <si>
    <t>かいすう</t>
  </si>
  <si>
    <t>回数[かいすう]</t>
  </si>
  <si>
    <t>số lần</t>
  </si>
  <si>
    <t>回数を数える。</t>
  </si>
  <si>
    <t>Tôi đếm số lần.</t>
  </si>
  <si>
    <t>太陽</t>
  </si>
  <si>
    <t>たいよう</t>
  </si>
  <si>
    <t>太陽[たいよう]</t>
  </si>
  <si>
    <t>mặt trời</t>
  </si>
  <si>
    <t>太陽が昇る。</t>
  </si>
  <si>
    <t>Mặt trời mọc.</t>
  </si>
  <si>
    <t>着物</t>
  </si>
  <si>
    <t>きもの</t>
  </si>
  <si>
    <t>着物[きもの]</t>
  </si>
  <si>
    <t>kimono</t>
  </si>
  <si>
    <t>着物を着る。</t>
  </si>
  <si>
    <t>Mặc kimono.</t>
  </si>
  <si>
    <t>睡眠</t>
  </si>
  <si>
    <t>すいみん</t>
  </si>
  <si>
    <t>睡眠[すいみん]</t>
  </si>
  <si>
    <t>giấc ngủ</t>
  </si>
  <si>
    <t>睡眠をとる。</t>
  </si>
  <si>
    <t>Đi ngủ.</t>
  </si>
  <si>
    <t>所有</t>
  </si>
  <si>
    <t>しょゆう</t>
  </si>
  <si>
    <t>所有[しょゆう]</t>
  </si>
  <si>
    <t>quyền sở hữu</t>
  </si>
  <si>
    <t>土地を所有する。</t>
  </si>
  <si>
    <t>Sở hữu đất đai.</t>
  </si>
  <si>
    <t>当選</t>
  </si>
  <si>
    <t>とうせん</t>
  </si>
  <si>
    <t>当選[とうせん]</t>
  </si>
  <si>
    <t>trúng tuyển</t>
  </si>
  <si>
    <t>選挙に当選する。</t>
  </si>
  <si>
    <t>Trúng tuyển cử.</t>
  </si>
  <si>
    <t>提示</t>
  </si>
  <si>
    <t>ていじ</t>
  </si>
  <si>
    <t>提示[ていじ]</t>
  </si>
  <si>
    <t>xuất trình</t>
  </si>
  <si>
    <t>身分証を提示する。</t>
  </si>
  <si>
    <t>Xuất trình giấy tờ tùy thân.</t>
  </si>
  <si>
    <t>審議</t>
  </si>
  <si>
    <t>しんぎ</t>
  </si>
  <si>
    <t>審議[しんぎ]</t>
  </si>
  <si>
    <t>法案を審議する。</t>
  </si>
  <si>
    <t>Thảo luận dự luật.</t>
  </si>
  <si>
    <t>復興</t>
  </si>
  <si>
    <t>ふっこう</t>
  </si>
  <si>
    <t>復興[ふっこう]</t>
  </si>
  <si>
    <t>phục hưng</t>
  </si>
  <si>
    <t>町を復興する。</t>
  </si>
  <si>
    <t>Phục hưng thị trấn.</t>
  </si>
  <si>
    <t>控える</t>
  </si>
  <si>
    <t>ひかえる</t>
  </si>
  <si>
    <t>控[ひか]える</t>
  </si>
  <si>
    <t>kiềm chế</t>
  </si>
  <si>
    <t>塩分を控える。</t>
  </si>
  <si>
    <t>Kiềm chế ăn mặn.</t>
  </si>
  <si>
    <t>弁護</t>
  </si>
  <si>
    <t>べんご</t>
  </si>
  <si>
    <t>弁護[べんご]</t>
  </si>
  <si>
    <t>biện hộ</t>
  </si>
  <si>
    <t>被告を弁護する。</t>
  </si>
  <si>
    <t>Biện hộ cho bị cáo.</t>
  </si>
  <si>
    <t>得点</t>
  </si>
  <si>
    <t>とくてん</t>
  </si>
  <si>
    <t>得点[とくてん]</t>
  </si>
  <si>
    <t>điểm số</t>
  </si>
  <si>
    <t>得点を稼ぐ。</t>
  </si>
  <si>
    <t>Ghi điểm.</t>
  </si>
  <si>
    <t>意向</t>
  </si>
  <si>
    <t>いこう</t>
  </si>
  <si>
    <t>意向[いこう]</t>
  </si>
  <si>
    <t>ý hướng</t>
  </si>
  <si>
    <t>参加の意向を示す。</t>
  </si>
  <si>
    <t>Thể hiện ý hướng tham gia.</t>
  </si>
  <si>
    <t>打撃</t>
  </si>
  <si>
    <t>だげき</t>
  </si>
  <si>
    <t>打撃[だげき]</t>
  </si>
  <si>
    <t>cú đánh</t>
  </si>
  <si>
    <t>経済への打撃。</t>
  </si>
  <si>
    <t>Cú đánh vào kinh tế.</t>
  </si>
  <si>
    <t>扱い</t>
  </si>
  <si>
    <t>あつかい</t>
  </si>
  <si>
    <t>扱[あつか]い</t>
  </si>
  <si>
    <t>sự đối xử</t>
  </si>
  <si>
    <t>丁寧な扱いを受ける。</t>
  </si>
  <si>
    <t>Nhận được sự đối xử lịch sự.</t>
  </si>
  <si>
    <t>掲げる</t>
  </si>
  <si>
    <t>かかげる</t>
  </si>
  <si>
    <t>掲[かか]げる</t>
  </si>
  <si>
    <t>旗を掲げる。</t>
  </si>
  <si>
    <t>Treo cờ.</t>
  </si>
  <si>
    <t>合同</t>
  </si>
  <si>
    <t>ごうどう</t>
  </si>
  <si>
    <t>合同[ごうどう]</t>
  </si>
  <si>
    <t>hợp nhất</t>
  </si>
  <si>
    <t>合同練習を行う。</t>
  </si>
  <si>
    <t>Chúng tôi tiến hành luyện tập chung.</t>
  </si>
  <si>
    <t>有名</t>
  </si>
  <si>
    <t>ゆうめい</t>
  </si>
  <si>
    <t>有名[ゆうめい]</t>
  </si>
  <si>
    <t>有名な場所。</t>
  </si>
  <si>
    <t>Đó là địa điểm nổi tiếng.</t>
  </si>
  <si>
    <t>検討</t>
  </si>
  <si>
    <t>けんとう</t>
  </si>
  <si>
    <t>検討[けんとう]</t>
  </si>
  <si>
    <t>xem xét</t>
  </si>
  <si>
    <t>案を検討する。</t>
  </si>
  <si>
    <t>Tôi xem xét phương án.</t>
  </si>
  <si>
    <t>比べる</t>
  </si>
  <si>
    <t>くらべる</t>
  </si>
  <si>
    <t>比[くら]べる</t>
  </si>
  <si>
    <t>so sánh</t>
  </si>
  <si>
    <t>二人を比べる。</t>
  </si>
  <si>
    <t>Tôi so sánh hai người.</t>
  </si>
  <si>
    <t>死</t>
  </si>
  <si>
    <t>死[し]</t>
  </si>
  <si>
    <t>cái chết</t>
  </si>
  <si>
    <t>死を考える。</t>
  </si>
  <si>
    <t>Tôi nghĩ về cái chết.</t>
  </si>
  <si>
    <t>新幹線</t>
  </si>
  <si>
    <t>しんかんせん</t>
  </si>
  <si>
    <t>新幹線[しんかんせん]</t>
  </si>
  <si>
    <t>tàu siêu tốc</t>
  </si>
  <si>
    <t>新幹線に乗る。</t>
  </si>
  <si>
    <t>Tôi đi tàu siêu tốc.</t>
  </si>
  <si>
    <t>暮らす</t>
  </si>
  <si>
    <t>暮[く]らす</t>
  </si>
  <si>
    <t>日本で暮らす。</t>
  </si>
  <si>
    <t>察する</t>
  </si>
  <si>
    <t>さっする</t>
  </si>
  <si>
    <t>察[さっ]する</t>
  </si>
  <si>
    <t>cảm nhận</t>
  </si>
  <si>
    <t>危険を察する。</t>
  </si>
  <si>
    <t>Cảm nhận được nguy hiểm.</t>
  </si>
  <si>
    <t>お喋り</t>
  </si>
  <si>
    <t>おしゃべり</t>
  </si>
  <si>
    <t>お喋[しゃべ]り</t>
  </si>
  <si>
    <t>お喋りを楽しむ。</t>
  </si>
  <si>
    <t>Tận hưởng việc nói chuyện.</t>
  </si>
  <si>
    <t>お洒落</t>
  </si>
  <si>
    <t>おしゃれ</t>
  </si>
  <si>
    <t>お洒落[しゃれ]</t>
  </si>
  <si>
    <t>thời trang</t>
  </si>
  <si>
    <t>お洒落な服を着る。</t>
  </si>
  <si>
    <t>Mặc quần áo thời trang.</t>
  </si>
  <si>
    <t>皆</t>
  </si>
  <si>
    <t>皆[みんな]</t>
  </si>
  <si>
    <t>皆で遊ぶ。</t>
  </si>
  <si>
    <t>Mọi người cùng chơi.</t>
  </si>
  <si>
    <t>お出掛け</t>
  </si>
  <si>
    <t>おでかけ</t>
  </si>
  <si>
    <t>お出掛[でか]け</t>
  </si>
  <si>
    <t>お出掛けですか。</t>
  </si>
  <si>
    <t>Bạn đang ra ngoài à?</t>
  </si>
  <si>
    <t>辛い</t>
  </si>
  <si>
    <t>つらい</t>
  </si>
  <si>
    <t>辛[つら]い</t>
  </si>
  <si>
    <t>cay</t>
  </si>
  <si>
    <t>辛い料理が好き。</t>
  </si>
  <si>
    <t>Thích món ăn cay.</t>
  </si>
  <si>
    <t>お帰り</t>
  </si>
  <si>
    <t>おかえり</t>
  </si>
  <si>
    <t>お帰[かえ]り</t>
  </si>
  <si>
    <t>trở về</t>
  </si>
  <si>
    <t>お帰りはいつですか。</t>
  </si>
  <si>
    <t>Khi nào bạn về?</t>
  </si>
  <si>
    <t>生</t>
  </si>
  <si>
    <t>なま</t>
  </si>
  <si>
    <t>生[なま]</t>
  </si>
  <si>
    <t>tươi sống</t>
  </si>
  <si>
    <t>生で食べる。</t>
  </si>
  <si>
    <t>Ăn tươi sống.</t>
  </si>
  <si>
    <t>お参り</t>
  </si>
  <si>
    <t>おまいり</t>
  </si>
  <si>
    <t>お参[まい]り</t>
  </si>
  <si>
    <t>đi lễ</t>
  </si>
  <si>
    <t>神社へお参りに行く。</t>
  </si>
  <si>
    <t>Đi lễ đền.</t>
  </si>
  <si>
    <t>お皿</t>
  </si>
  <si>
    <t>おさら</t>
  </si>
  <si>
    <t>お皿[さら]</t>
  </si>
  <si>
    <t>đĩa</t>
  </si>
  <si>
    <t>お皿を洗う。</t>
  </si>
  <si>
    <t>Rửa đĩa.</t>
  </si>
  <si>
    <t>主</t>
  </si>
  <si>
    <t>ぬし</t>
  </si>
  <si>
    <t>主[ぬし]</t>
  </si>
  <si>
    <t>chủ</t>
  </si>
  <si>
    <t>家の主。</t>
  </si>
  <si>
    <t>Chủ của ngôi nhà.</t>
  </si>
  <si>
    <t>非常</t>
  </si>
  <si>
    <t>ひじょう</t>
  </si>
  <si>
    <t>非常[ひじょう]</t>
  </si>
  <si>
    <t>khẩn cấp</t>
  </si>
  <si>
    <t>非常の場合はボタンを押す。</t>
  </si>
  <si>
    <t>Hãy nhấn nút trong trường hợp khẩn cấp.</t>
  </si>
  <si>
    <t>納得</t>
  </si>
  <si>
    <t>なっとく</t>
  </si>
  <si>
    <t>納得[なっとく]</t>
  </si>
  <si>
    <t>thuyết phục</t>
  </si>
  <si>
    <t>説明に納得する。</t>
  </si>
  <si>
    <t>Tôi bị thuyết phục bởi lời giải thích.</t>
  </si>
  <si>
    <t>神経</t>
  </si>
  <si>
    <t>しんけい</t>
  </si>
  <si>
    <t>神経[しんけい]</t>
  </si>
  <si>
    <t>thần kinh</t>
  </si>
  <si>
    <t>神経を集中させる。</t>
  </si>
  <si>
    <t>Tôi tập trung thần kinh vào công việc.</t>
  </si>
  <si>
    <t>いずれ</t>
  </si>
  <si>
    <t>sớm muộn</t>
  </si>
  <si>
    <t>いずれまた会うでしょう。</t>
  </si>
  <si>
    <t>Sớm muộn gì chúng ta cũng sẽ gặp lại.</t>
  </si>
  <si>
    <t>緊張</t>
  </si>
  <si>
    <t>きんちょう</t>
  </si>
  <si>
    <t>緊張[きんちょう]</t>
  </si>
  <si>
    <t>面接で緊張する。</t>
  </si>
  <si>
    <t>Tôi căng thẳng trong buổi phỏng vấn.</t>
  </si>
  <si>
    <t>コーチ</t>
  </si>
  <si>
    <t>こーち</t>
  </si>
  <si>
    <t>huấn luyện viên</t>
  </si>
  <si>
    <t>コーチの指導を受ける。</t>
  </si>
  <si>
    <t>Nhận sự chỉ dẫn từ huấn luyện viên.</t>
  </si>
  <si>
    <t>いよいよ</t>
  </si>
  <si>
    <t>いよいよ明日出発だ。</t>
  </si>
  <si>
    <t>Cuối cùng ngày mai cũng xuất phát.</t>
  </si>
  <si>
    <t>あらゆる</t>
  </si>
  <si>
    <t>あらゆる方法を試した。</t>
  </si>
  <si>
    <t>Tôi đã thử tất cả các phương pháp.</t>
  </si>
  <si>
    <t>いわゆる</t>
  </si>
  <si>
    <t>cái gọi là</t>
  </si>
  <si>
    <t>それが、いわゆる天才だ。</t>
  </si>
  <si>
    <t>Đó chính là cái gọi là thiên tài.</t>
  </si>
  <si>
    <t>経る</t>
  </si>
  <si>
    <t>へる</t>
  </si>
  <si>
    <t>経[へ]る</t>
  </si>
  <si>
    <t>経験を経て成長する。</t>
  </si>
  <si>
    <t>Tôi trưởng thành qua trải nghiệm.</t>
  </si>
  <si>
    <t>食う</t>
  </si>
  <si>
    <t>くう</t>
  </si>
  <si>
    <t>食[く]う</t>
  </si>
  <si>
    <t>食事を勢いよく食う。</t>
  </si>
  <si>
    <t>Tôi ăn bữa ăn một cách ngon lành.</t>
  </si>
  <si>
    <t>こちらこそ</t>
  </si>
  <si>
    <t>tôi cũng vậy</t>
  </si>
  <si>
    <t>こちらこそよろしくお願いします。</t>
  </si>
  <si>
    <t>Tôi cũng rất mong được giúp đỡ.</t>
  </si>
  <si>
    <t>あいまい</t>
  </si>
  <si>
    <t>mơ hồ</t>
  </si>
  <si>
    <t>返事がいつもあいまいです。</t>
  </si>
  <si>
    <t>Câu trả lời lúc nào cũng mơ hồ.</t>
  </si>
  <si>
    <t>どうせ</t>
  </si>
  <si>
    <t>dù sao đi nữa</t>
  </si>
  <si>
    <t>どうせ無理だ。</t>
  </si>
  <si>
    <t>Dù sao đi nữa cũng không được.</t>
  </si>
  <si>
    <t>合流</t>
  </si>
  <si>
    <t>ごうりゅう</t>
  </si>
  <si>
    <t>合流[ごうりゅう]</t>
  </si>
  <si>
    <t>nhập luồng</t>
  </si>
  <si>
    <t>駅で合流する。</t>
  </si>
  <si>
    <t>Chúng tôi gặp nhau tại nhà ga.</t>
  </si>
  <si>
    <t>のんびり</t>
  </si>
  <si>
    <t>thong thả</t>
  </si>
  <si>
    <t>休日をのんびり過ごす。</t>
  </si>
  <si>
    <t>Thong thả tận hưởng ngày nghỉ.</t>
  </si>
  <si>
    <t>怪しい</t>
  </si>
  <si>
    <t>あやしい</t>
  </si>
  <si>
    <t>怪[あや]しい</t>
  </si>
  <si>
    <t>đáng ngờ</t>
  </si>
  <si>
    <t>怪しい男がいる。</t>
  </si>
  <si>
    <t>Có một người đàn ông đáng ngờ.</t>
  </si>
  <si>
    <t>もしも</t>
  </si>
  <si>
    <t>もしも夢がかなうなら。</t>
  </si>
  <si>
    <t>Giả sử ước mơ thành hiện thực.</t>
  </si>
  <si>
    <t>産業</t>
  </si>
  <si>
    <t>さんぎょう</t>
  </si>
  <si>
    <t>産業[さんぎょう]</t>
  </si>
  <si>
    <t>産業が発展する。</t>
  </si>
  <si>
    <t>Ngành công nghiệp phát triển.</t>
  </si>
  <si>
    <t>争う</t>
  </si>
  <si>
    <t>あらそう</t>
  </si>
  <si>
    <t>争[あらそ]う</t>
  </si>
  <si>
    <t>優勝を争う。</t>
  </si>
  <si>
    <t>Cạnh tranh giành chiến thắng.</t>
  </si>
  <si>
    <t>流れ</t>
  </si>
  <si>
    <t>ながれ</t>
  </si>
  <si>
    <t>流[なが]れ</t>
  </si>
  <si>
    <t>dòng chảy</t>
  </si>
  <si>
    <t>時代の流れが速い。</t>
  </si>
  <si>
    <t>Dòng chảy thời đại rất nhanh.</t>
  </si>
  <si>
    <t>静か</t>
  </si>
  <si>
    <t>しずか</t>
  </si>
  <si>
    <t>静[しず]か</t>
  </si>
  <si>
    <t>yên tĩnh</t>
  </si>
  <si>
    <t>静かな場所で休む。</t>
  </si>
  <si>
    <t>Tôi nghỉ ngơi ở nơi yên tĩnh.</t>
  </si>
  <si>
    <t>訓練</t>
  </si>
  <si>
    <t>くんれん</t>
  </si>
  <si>
    <t>訓練[くんれん]</t>
  </si>
  <si>
    <t>huấn luyện</t>
  </si>
  <si>
    <t>避難訓練をする。</t>
  </si>
  <si>
    <t>Thực hiện huấn luyện sơ tán.</t>
  </si>
  <si>
    <t>議論</t>
  </si>
  <si>
    <t>ぎろん</t>
  </si>
  <si>
    <t>議論[ぎろん]</t>
  </si>
  <si>
    <t>tranh luận</t>
  </si>
  <si>
    <t>議論を深める。</t>
  </si>
  <si>
    <t>Làm sâu sắc thêm tranh luận.</t>
  </si>
  <si>
    <t>味方</t>
  </si>
  <si>
    <t>みかた</t>
  </si>
  <si>
    <t>味方[みかた]</t>
  </si>
  <si>
    <t>đồng minh</t>
  </si>
  <si>
    <t>彼は僕の味方だ。</t>
  </si>
  <si>
    <t>Anh ấy là đồng minh của tôi.</t>
  </si>
  <si>
    <t>法律</t>
  </si>
  <si>
    <t>ほうりつ</t>
  </si>
  <si>
    <t>法律[ほうりつ]</t>
  </si>
  <si>
    <t>法律を守る必要があります。</t>
  </si>
  <si>
    <t>Cần phải tuân thủ pháp luật.</t>
  </si>
  <si>
    <t>直接</t>
  </si>
  <si>
    <t>ちょくせつ</t>
  </si>
  <si>
    <t>直接[ちょくせつ]</t>
  </si>
  <si>
    <t>trực tiếp</t>
  </si>
  <si>
    <t>直接会って話す。</t>
  </si>
  <si>
    <t>Gặp trực tiếp để nói chuyện.</t>
  </si>
  <si>
    <t>複数</t>
  </si>
  <si>
    <t>ふくすう</t>
  </si>
  <si>
    <t>複数[ふくすう]</t>
  </si>
  <si>
    <t>số nhiều</t>
  </si>
  <si>
    <t>複数を注文する。</t>
  </si>
  <si>
    <t>Tôi đặt hàng số lượng nhiều.</t>
  </si>
  <si>
    <t>青い</t>
  </si>
  <si>
    <t>あおい</t>
  </si>
  <si>
    <t>青[あお]い</t>
  </si>
  <si>
    <t>màu xanh</t>
  </si>
  <si>
    <t>青い海を見る。</t>
  </si>
  <si>
    <t>Tôi ngắm nhìn biển màu xanh.</t>
  </si>
  <si>
    <t>かまう</t>
  </si>
  <si>
    <t>bận tâm</t>
  </si>
  <si>
    <t>気にしないでかまわない。</t>
  </si>
  <si>
    <t>Đừng bận tâm, không sao đâu.</t>
  </si>
  <si>
    <t>飛行機</t>
  </si>
  <si>
    <t>ひこうき</t>
  </si>
  <si>
    <t>飛行機[ひこうき]</t>
  </si>
  <si>
    <t>máy bay</t>
  </si>
  <si>
    <t>飛行機で旅行する。</t>
  </si>
  <si>
    <t>Tôi đi du lịch bằng máy bay.</t>
  </si>
  <si>
    <t>漫画</t>
  </si>
  <si>
    <t>まんが</t>
  </si>
  <si>
    <t>漫画[まんが]</t>
  </si>
  <si>
    <t>truyện tranh</t>
  </si>
  <si>
    <t>漫画を読むのが好き。</t>
  </si>
  <si>
    <t>Tôi thích đọc truyện tranh.</t>
  </si>
  <si>
    <t>サークル</t>
  </si>
  <si>
    <t>さーくる</t>
  </si>
  <si>
    <t>câu lạc bộ</t>
  </si>
  <si>
    <t>テニスサークルに入る。</t>
  </si>
  <si>
    <t>Tham gia câu lạc bộ tennis.</t>
  </si>
  <si>
    <t>左右</t>
  </si>
  <si>
    <t>さゆう</t>
  </si>
  <si>
    <t>左右[さゆう]</t>
  </si>
  <si>
    <t>trái phải</t>
  </si>
  <si>
    <t>左右を確認する。</t>
  </si>
  <si>
    <t>Kiểm tra hai bên trái phải.</t>
  </si>
  <si>
    <t>計</t>
  </si>
  <si>
    <t>けい</t>
  </si>
  <si>
    <t>計[けい]</t>
  </si>
  <si>
    <t>計十万円かかる。</t>
  </si>
  <si>
    <t>Tổng cộng mất mười vạn yên.</t>
  </si>
  <si>
    <t>ぜひとも</t>
  </si>
  <si>
    <t>rất mong</t>
  </si>
  <si>
    <t>ぜひとも参加したい。</t>
  </si>
  <si>
    <t>Tôi rất mong muốn tham gia.</t>
  </si>
  <si>
    <t>幸い</t>
  </si>
  <si>
    <t>さいわい</t>
  </si>
  <si>
    <t>幸[さ]い</t>
  </si>
  <si>
    <t>may mắn</t>
  </si>
  <si>
    <t>幸い怪我はない。</t>
  </si>
  <si>
    <t>May mắn là không bị thương.</t>
  </si>
  <si>
    <t>散歩</t>
  </si>
  <si>
    <t>さんぽ</t>
  </si>
  <si>
    <t>散歩[さんぽ]</t>
  </si>
  <si>
    <t>đi dạo</t>
  </si>
  <si>
    <t>公園を散歩する。</t>
  </si>
  <si>
    <t>Tôi đi dạo trong công viên.</t>
  </si>
  <si>
    <t>訳</t>
  </si>
  <si>
    <t>わけ</t>
  </si>
  <si>
    <t>訳[わけ]</t>
  </si>
  <si>
    <t>遅れた訳がある。</t>
  </si>
  <si>
    <t>Có lý do cho việc chậm trễ.</t>
  </si>
  <si>
    <t>乗り物</t>
  </si>
  <si>
    <t>のりもの</t>
  </si>
  <si>
    <t>乗[の]り物[もの]</t>
  </si>
  <si>
    <t>phương tiện</t>
  </si>
  <si>
    <t>乗り物に乗る。</t>
  </si>
  <si>
    <t>Đi phương tiện giao thông.</t>
  </si>
  <si>
    <t>一人一人</t>
  </si>
  <si>
    <t>ひとりひとり</t>
  </si>
  <si>
    <t>一人一人[ひとりひとり]</t>
  </si>
  <si>
    <t>từng người</t>
  </si>
  <si>
    <t>一人一人話す。</t>
  </si>
  <si>
    <t>Nói chuyện từng người một.</t>
  </si>
  <si>
    <t>一瞬</t>
  </si>
  <si>
    <t>いっしゅん</t>
  </si>
  <si>
    <t>一瞬[いっしゅん]</t>
  </si>
  <si>
    <t>một thoáng</t>
  </si>
  <si>
    <t>一瞬止まる。</t>
  </si>
  <si>
    <t>Dừng lại trong một thoáng.</t>
  </si>
  <si>
    <t>とうとう</t>
  </si>
  <si>
    <t>とうとう完成した。</t>
  </si>
  <si>
    <t>Cuối cùng cũng hoàn thành.</t>
  </si>
  <si>
    <t>いじめる</t>
  </si>
  <si>
    <t>bắt nạt</t>
  </si>
  <si>
    <t>弱い者をいじめてはいけない。</t>
  </si>
  <si>
    <t>Không được bắt nạt kẻ yếu.</t>
  </si>
  <si>
    <t>苦労</t>
  </si>
  <si>
    <t>くろう</t>
  </si>
  <si>
    <t>苦労[くろう]</t>
  </si>
  <si>
    <t>苦労を重ねる。</t>
  </si>
  <si>
    <t>Tôi trải qua nhiều vất vả.</t>
  </si>
  <si>
    <t>当日</t>
  </si>
  <si>
    <t>とうじつ</t>
  </si>
  <si>
    <t>当日[とうじつ]</t>
  </si>
  <si>
    <t>ngày hôm đó</t>
  </si>
  <si>
    <t>当日に連絡する。</t>
  </si>
  <si>
    <t>Liên lạc vào ngày hôm đó.</t>
  </si>
  <si>
    <t>決して</t>
  </si>
  <si>
    <t>けっして</t>
  </si>
  <si>
    <t>決[けっ]して</t>
  </si>
  <si>
    <t>決して負けない。</t>
  </si>
  <si>
    <t>Tôi tuyệt đối không thua.</t>
  </si>
  <si>
    <t>勤める</t>
  </si>
  <si>
    <t>つとめる</t>
  </si>
  <si>
    <t>勤[つと]める</t>
  </si>
  <si>
    <t>会社に勤める。</t>
  </si>
  <si>
    <t>統計</t>
  </si>
  <si>
    <t>とうけい</t>
  </si>
  <si>
    <t>統計[とうけい]</t>
  </si>
  <si>
    <t>thống kê</t>
  </si>
  <si>
    <t>統計を取る。</t>
  </si>
  <si>
    <t>Tôi lấy số liệu thống kê.</t>
  </si>
  <si>
    <t>設備</t>
  </si>
  <si>
    <t>せつび</t>
  </si>
  <si>
    <t>設備[せつび]</t>
  </si>
  <si>
    <t>設備を導入する。</t>
  </si>
  <si>
    <t>Đưa thiết bị vào sử dụng.</t>
  </si>
  <si>
    <t>詳しい</t>
  </si>
  <si>
    <t>くわしい</t>
  </si>
  <si>
    <t>詳[くわ]しい</t>
  </si>
  <si>
    <t>詳しい説明を聞く。</t>
  </si>
  <si>
    <t>Nghe giải thích chi tiết.</t>
  </si>
  <si>
    <t>黒い</t>
  </si>
  <si>
    <t>くろい</t>
  </si>
  <si>
    <t>黒[くろ]い</t>
  </si>
  <si>
    <t>màu đen</t>
  </si>
  <si>
    <t>黒い靴を買う。</t>
  </si>
  <si>
    <t>Tôi mua đôi giày màu đen.</t>
  </si>
  <si>
    <t>たっぷり</t>
  </si>
  <si>
    <t>時間をたっぷり使う。</t>
  </si>
  <si>
    <t>Sử dụng thời gian đầy đủ.</t>
  </si>
  <si>
    <t>たとえ</t>
  </si>
  <si>
    <t>たとえ雨でも行く。</t>
  </si>
  <si>
    <t>Giả sử dù mưa tôi vẫn đi.</t>
  </si>
  <si>
    <t>したがって</t>
  </si>
  <si>
    <t>雨だ。したがって中止する。</t>
  </si>
  <si>
    <t>Trời mưa. Do đó tạm dừng.</t>
  </si>
  <si>
    <t>引っ掛かる</t>
  </si>
  <si>
    <t>ひっかかる</t>
  </si>
  <si>
    <t>引[ひ]っ掛[か]かる</t>
  </si>
  <si>
    <t>vướng</t>
  </si>
  <si>
    <t>服が木に引っ掛かる。</t>
  </si>
  <si>
    <t>Quần áo bị vướng vào cây.</t>
  </si>
  <si>
    <t>問う</t>
  </si>
  <si>
    <t>とう</t>
  </si>
  <si>
    <t>問[と]う</t>
  </si>
  <si>
    <t>責任を問う。</t>
  </si>
  <si>
    <t>Tôi truy cứu trách nhiệm.</t>
  </si>
  <si>
    <t>研究室</t>
  </si>
  <si>
    <t>けんきゅうしつ</t>
  </si>
  <si>
    <t>研究室[けんきゅうしつ]</t>
  </si>
  <si>
    <t>phòng nghiên cứu</t>
  </si>
  <si>
    <t>研究室へ行く。</t>
  </si>
  <si>
    <t>Đi đến phòng nghiên cứu.</t>
  </si>
  <si>
    <t>なんとなく</t>
  </si>
  <si>
    <t>không hiểu sao</t>
  </si>
  <si>
    <t>なんとなく分かる。</t>
  </si>
  <si>
    <t>Không hiểu sao tôi hiểu.</t>
  </si>
  <si>
    <t>おやつ</t>
  </si>
  <si>
    <t>bữa ăn nhẹ</t>
  </si>
  <si>
    <t>3時に何のおやつを食べる。</t>
  </si>
  <si>
    <t>3 giờ ăn bữa phụ gì vậy?</t>
  </si>
  <si>
    <t>かっこう</t>
  </si>
  <si>
    <t>ngoại hình</t>
  </si>
  <si>
    <t>かっこうが良い人。</t>
  </si>
  <si>
    <t>Người có ngoại hình đẹp.</t>
  </si>
  <si>
    <t>係わる</t>
  </si>
  <si>
    <t>かかわる</t>
  </si>
  <si>
    <t>係[かか]わる</t>
  </si>
  <si>
    <t>事件に係わる。</t>
  </si>
  <si>
    <t>Tôi liên quan đến vụ án.</t>
  </si>
  <si>
    <t>幸福</t>
  </si>
  <si>
    <t>こうふく</t>
  </si>
  <si>
    <t>幸福[こうふく]</t>
  </si>
  <si>
    <t>幸福な人生を送る。</t>
  </si>
  <si>
    <t>Sống cuộc đời hạnh phúc.</t>
  </si>
  <si>
    <t>父親</t>
  </si>
  <si>
    <t>ちちおや</t>
  </si>
  <si>
    <t>父親[ちちおや]</t>
  </si>
  <si>
    <t>người cha</t>
  </si>
  <si>
    <t>父親になる。</t>
  </si>
  <si>
    <t>Trở thành một người cha.</t>
  </si>
  <si>
    <t>ゼロ</t>
  </si>
  <si>
    <t>ぜろ</t>
  </si>
  <si>
    <t>số không</t>
  </si>
  <si>
    <t>答えはゼロだ。</t>
  </si>
  <si>
    <t>Câu trả lời là số không.</t>
  </si>
  <si>
    <t>一度に</t>
  </si>
  <si>
    <t>いちどに</t>
  </si>
  <si>
    <t>一度[いちど]に</t>
  </si>
  <si>
    <t>cùng lúc</t>
  </si>
  <si>
    <t>一度に運ぶ。</t>
  </si>
  <si>
    <t>Vận chuyển cùng một lúc.</t>
  </si>
  <si>
    <t>パイプ</t>
  </si>
  <si>
    <t>ぱいぷ</t>
  </si>
  <si>
    <t>ống dẫn</t>
  </si>
  <si>
    <t>パイプから水が出る。</t>
  </si>
  <si>
    <t>Nước chảy ra từ ống dẫn.</t>
  </si>
  <si>
    <t>何で</t>
  </si>
  <si>
    <t>なんで</t>
  </si>
  <si>
    <t>何[なん]で</t>
  </si>
  <si>
    <t>何で遅れたの。</t>
  </si>
  <si>
    <t>Tại sao bạn lại đến trễ.</t>
  </si>
  <si>
    <t>努力</t>
  </si>
  <si>
    <t>どりょく</t>
  </si>
  <si>
    <t>努力[どりょく]</t>
  </si>
  <si>
    <t>目標に努力する。</t>
  </si>
  <si>
    <t>Tôi nỗ lực đạt mục tiêu.</t>
  </si>
  <si>
    <t>当たり前</t>
  </si>
  <si>
    <t>あたりまえ</t>
  </si>
  <si>
    <t>当[あ]たり前[まえ]</t>
  </si>
  <si>
    <t>それは当たり前だ。</t>
  </si>
  <si>
    <t>Điều đó là đương nhiên.</t>
  </si>
  <si>
    <t>職業</t>
  </si>
  <si>
    <t>しょくぎょう</t>
  </si>
  <si>
    <t>職業[しょくぎょう]</t>
  </si>
  <si>
    <t>nghề nghiệp</t>
  </si>
  <si>
    <t>職業を聞く。</t>
  </si>
  <si>
    <t>Tôi hỏi về nghề nghiệp.</t>
  </si>
  <si>
    <t>大統領</t>
  </si>
  <si>
    <t>だいとうりょう</t>
  </si>
  <si>
    <t>大統領[だいとうりょう]</t>
  </si>
  <si>
    <t>tổng thống</t>
  </si>
  <si>
    <t>大統領と面会する。</t>
  </si>
  <si>
    <t>Tôi gặp mặt tổng thống.</t>
  </si>
  <si>
    <t>特徴</t>
  </si>
  <si>
    <t>とくちょう</t>
  </si>
  <si>
    <t>特徴[とくちょう]</t>
  </si>
  <si>
    <t>đặc trưng</t>
  </si>
  <si>
    <t>製品の特徴。</t>
  </si>
  <si>
    <t>Đặc trưng của sản phẩm.</t>
  </si>
  <si>
    <t>発見</t>
  </si>
  <si>
    <t>はっけん</t>
  </si>
  <si>
    <t>発見[はっけん]</t>
  </si>
  <si>
    <t>phát hiện</t>
  </si>
  <si>
    <t>新しい星を発見する。</t>
  </si>
  <si>
    <t>Phát hiện ngôi sao mới.</t>
  </si>
  <si>
    <t>視点</t>
  </si>
  <si>
    <t>してん</t>
  </si>
  <si>
    <t>視点[してん]</t>
  </si>
  <si>
    <t>視点を変える。</t>
  </si>
  <si>
    <t>Tôi thay đổi quan điểm.</t>
  </si>
  <si>
    <t>少女</t>
  </si>
  <si>
    <t>しょうじょ</t>
  </si>
  <si>
    <t>少女[しょうじょ]</t>
  </si>
  <si>
    <t>thiếu nữ</t>
  </si>
  <si>
    <t>少女が本を読んでいる。</t>
  </si>
  <si>
    <t>Thiếu nữ đang đọc sách.</t>
  </si>
  <si>
    <t>思い込む</t>
  </si>
  <si>
    <t>おもいこむ</t>
  </si>
  <si>
    <t>思[おも]い込[こ]む</t>
  </si>
  <si>
    <t>tin rằng</t>
  </si>
  <si>
    <t>成功すると思い込む。</t>
  </si>
  <si>
    <t>Tin rằng sẽ thành công.</t>
  </si>
  <si>
    <t>オーバー</t>
  </si>
  <si>
    <t>おーばー</t>
  </si>
  <si>
    <t>quá mức</t>
  </si>
  <si>
    <t>それは少しオーバーだ。</t>
  </si>
  <si>
    <t>Cái đó hơi quá mức rồi.</t>
  </si>
  <si>
    <t>すまない</t>
  </si>
  <si>
    <t>xin lỗi</t>
  </si>
  <si>
    <t>遅れてすまない。</t>
  </si>
  <si>
    <t>Xin lỗi vì đã đến muộn.</t>
  </si>
  <si>
    <t>覆う</t>
  </si>
  <si>
    <t>おおう</t>
  </si>
  <si>
    <t>覆[おお]う</t>
  </si>
  <si>
    <t>bao phủ</t>
  </si>
  <si>
    <t>雪が山を覆う。</t>
  </si>
  <si>
    <t>Tuyết bao phủ ngọn núi.</t>
  </si>
  <si>
    <t>継続</t>
  </si>
  <si>
    <t>けいぞく</t>
  </si>
  <si>
    <t>継続[けいぞく]</t>
  </si>
  <si>
    <t>kế tục</t>
  </si>
  <si>
    <t>練習を継続する。</t>
  </si>
  <si>
    <t>Tôi tiếp tục luyện tập.</t>
  </si>
  <si>
    <t>ちっとも</t>
  </si>
  <si>
    <t>không chút nào</t>
  </si>
  <si>
    <t>ちっとも面白くない。</t>
  </si>
  <si>
    <t>Không chút nào thú vị.</t>
  </si>
  <si>
    <t>二日</t>
  </si>
  <si>
    <t>ふつか</t>
  </si>
  <si>
    <t>二日[ふつか]</t>
  </si>
  <si>
    <t>ngày mùng hai</t>
  </si>
  <si>
    <t>二日に会う。</t>
  </si>
  <si>
    <t>Gặp vào ngày mùng hai.</t>
  </si>
  <si>
    <t>大勢</t>
  </si>
  <si>
    <t>おおぜい</t>
  </si>
  <si>
    <t>大勢[おおぜい]</t>
  </si>
  <si>
    <t>nhiều người</t>
  </si>
  <si>
    <t>大勢が集まる。</t>
  </si>
  <si>
    <t>Nhiều người tập trung.</t>
  </si>
  <si>
    <t>統一</t>
  </si>
  <si>
    <t>とういつ</t>
  </si>
  <si>
    <t>統一[とういつ]</t>
  </si>
  <si>
    <t>thống nhất</t>
  </si>
  <si>
    <t>意見を統一する。</t>
  </si>
  <si>
    <t>Tôi thống nhất ý kiến.</t>
  </si>
  <si>
    <t>分析</t>
  </si>
  <si>
    <t>ぶんせき</t>
  </si>
  <si>
    <t>分析[ぶんせき]</t>
  </si>
  <si>
    <t>phân tích</t>
  </si>
  <si>
    <t>データを分析する。</t>
  </si>
  <si>
    <t>Tôi phân tích dữ liệu.</t>
  </si>
  <si>
    <t>動かす</t>
  </si>
  <si>
    <t>うごかす</t>
  </si>
  <si>
    <t>動[うご]かす</t>
  </si>
  <si>
    <t>vận hành</t>
  </si>
  <si>
    <t>重い機械を動かす。</t>
  </si>
  <si>
    <t>Vận hành máy móc nặng.</t>
  </si>
  <si>
    <t>違い</t>
  </si>
  <si>
    <t>ちがい</t>
  </si>
  <si>
    <t>違[ちが]い</t>
  </si>
  <si>
    <t>khác biệt</t>
  </si>
  <si>
    <t>違いを見つける。</t>
  </si>
  <si>
    <t>Tìm ra điểm khác biệt.</t>
  </si>
  <si>
    <t>食品</t>
  </si>
  <si>
    <t>しょくひん</t>
  </si>
  <si>
    <t>食品[しょくひん]</t>
  </si>
  <si>
    <t>thực phẩm</t>
  </si>
  <si>
    <t>新しい食品を買う。</t>
  </si>
  <si>
    <t>Tôi mua thực phẩm mới.</t>
  </si>
  <si>
    <t>久しぶり</t>
  </si>
  <si>
    <t>ひさしぶり</t>
  </si>
  <si>
    <t>久[ひさ]しぶり</t>
  </si>
  <si>
    <t>lâu rồi</t>
  </si>
  <si>
    <t>久しぶりですね。</t>
  </si>
  <si>
    <t>Lâu rồi không gặp nhỉ.</t>
  </si>
  <si>
    <t>制限</t>
  </si>
  <si>
    <t>せいげん</t>
  </si>
  <si>
    <t>制限[せいげん]</t>
  </si>
  <si>
    <t>hạn chế</t>
  </si>
  <si>
    <t>制限を設ける。</t>
  </si>
  <si>
    <t>Tôi thiết lập hạn chế.</t>
  </si>
  <si>
    <t>ボーナス</t>
  </si>
  <si>
    <t>ぼーなす</t>
  </si>
  <si>
    <t>thưởng</t>
  </si>
  <si>
    <t>ボーナスが出る。</t>
  </si>
  <si>
    <t>Được nhận tiền thưởng.</t>
  </si>
  <si>
    <t>苦しむ</t>
  </si>
  <si>
    <t>くるしむ</t>
  </si>
  <si>
    <t>苦[くる]しむ</t>
  </si>
  <si>
    <t>khổ sở</t>
  </si>
  <si>
    <t>痛みに苦しむ。</t>
  </si>
  <si>
    <t>Tôi khổ sở vì đau đớn.</t>
  </si>
  <si>
    <t>選挙</t>
  </si>
  <si>
    <t>せんきょ</t>
  </si>
  <si>
    <t>選挙[せんきょ]</t>
  </si>
  <si>
    <t>bầu cử</t>
  </si>
  <si>
    <t>選挙に投票する。</t>
  </si>
  <si>
    <t>Bỏ phiếu trong bầu cử.</t>
  </si>
  <si>
    <t>余裕</t>
  </si>
  <si>
    <t>よゆう</t>
  </si>
  <si>
    <t>余裕[よゆう]</t>
  </si>
  <si>
    <t>dư dả</t>
  </si>
  <si>
    <t>時間的余裕。</t>
  </si>
  <si>
    <t>Sự dư dả về thời gian.</t>
  </si>
  <si>
    <t>親切</t>
  </si>
  <si>
    <t>しんせつ</t>
  </si>
  <si>
    <t>親切[しんせつ]</t>
  </si>
  <si>
    <t>tử tế</t>
  </si>
  <si>
    <t>親切な店員さんだ。</t>
  </si>
  <si>
    <t>Đó là nhân viên tử tế.</t>
  </si>
  <si>
    <t>あふれる</t>
  </si>
  <si>
    <t>tràn</t>
  </si>
  <si>
    <t>水がコップからあふれる。</t>
  </si>
  <si>
    <t>Nước tràn ra khỏi cốc.</t>
  </si>
  <si>
    <t>もしもし</t>
  </si>
  <si>
    <t>a lô</t>
  </si>
  <si>
    <t>もしもし、佐藤です。</t>
  </si>
  <si>
    <t>A lô, tôi là Sato đây.</t>
  </si>
  <si>
    <t>穴</t>
  </si>
  <si>
    <t>あな</t>
  </si>
  <si>
    <t>穴[あな]</t>
  </si>
  <si>
    <t>lỗ</t>
  </si>
  <si>
    <t>壁に穴を開ける。</t>
  </si>
  <si>
    <t>Tôi đục lỗ trên tường.</t>
  </si>
  <si>
    <t>別に</t>
  </si>
  <si>
    <t>べつに</t>
  </si>
  <si>
    <t>別[べつ]に</t>
  </si>
  <si>
    <t>không đặc biệt</t>
  </si>
  <si>
    <t>別にない。</t>
  </si>
  <si>
    <t>Không có gì đặc biệt.</t>
  </si>
  <si>
    <t>コンサート</t>
  </si>
  <si>
    <t>こんさーと</t>
  </si>
  <si>
    <t>buổi hòa nhạc</t>
  </si>
  <si>
    <t>コンサートに行く。</t>
  </si>
  <si>
    <t>Đi xem buổi hòa nhạc.</t>
  </si>
  <si>
    <t>地下鉄</t>
  </si>
  <si>
    <t>ちかてつ</t>
  </si>
  <si>
    <t>地下鉄[ちかてつ]</t>
  </si>
  <si>
    <t>tàu điện ngầm</t>
  </si>
  <si>
    <t>地下鉄に乗る。</t>
  </si>
  <si>
    <t>Tôi đi tàu điện ngầm.</t>
  </si>
  <si>
    <t>三日</t>
  </si>
  <si>
    <t>みっか</t>
  </si>
  <si>
    <t>三日[みっか]</t>
  </si>
  <si>
    <t>ngày mùng ba</t>
  </si>
  <si>
    <t>三日に会う。</t>
  </si>
  <si>
    <t>Gặp vào ngày mùng ba.</t>
  </si>
  <si>
    <t>さわやか</t>
  </si>
  <si>
    <t>sảng khoái</t>
  </si>
  <si>
    <t>さわやかな朝だ。</t>
  </si>
  <si>
    <t>Buổi sáng sảng khoái.</t>
  </si>
  <si>
    <t>スクール</t>
  </si>
  <si>
    <t>すくーる</t>
  </si>
  <si>
    <t>英会話スクール。</t>
  </si>
  <si>
    <t>Trường học tiếng Anh.</t>
  </si>
  <si>
    <t>水道</t>
  </si>
  <si>
    <t>すいどう</t>
  </si>
  <si>
    <t>水道[すいどう]</t>
  </si>
  <si>
    <t>đường nước</t>
  </si>
  <si>
    <t>水道を使う。</t>
  </si>
  <si>
    <t>Tôi sử dụng nước máy.</t>
  </si>
  <si>
    <t>がっかり</t>
  </si>
  <si>
    <t>thất vọng</t>
  </si>
  <si>
    <t>結果にがっかりする。</t>
  </si>
  <si>
    <t>Thất vọng vì kết quả.</t>
  </si>
  <si>
    <t>けがする</t>
  </si>
  <si>
    <t>足にけがする。</t>
  </si>
  <si>
    <t>Tôi bị thương ở chân.</t>
  </si>
  <si>
    <t>こないだ</t>
  </si>
  <si>
    <t>hôm trước</t>
  </si>
  <si>
    <t>こないだ会いましたね。</t>
  </si>
  <si>
    <t>Hôm trước đã gặp nhỉ.</t>
  </si>
  <si>
    <t>適当</t>
  </si>
  <si>
    <t>てきとう</t>
  </si>
  <si>
    <t>適当[てきとう]</t>
  </si>
  <si>
    <t>thích hợp</t>
  </si>
  <si>
    <t>適当な人を選ぶ。</t>
  </si>
  <si>
    <t>Chọn người thích hợp.</t>
  </si>
  <si>
    <t>都会</t>
  </si>
  <si>
    <t>とかい</t>
  </si>
  <si>
    <t>都会[とかい]</t>
  </si>
  <si>
    <t>thành thị</t>
  </si>
  <si>
    <t>都会で働く。</t>
  </si>
  <si>
    <t>Làm việc ở thành thị.</t>
  </si>
  <si>
    <t>なんとも</t>
  </si>
  <si>
    <t>なんとも言えない。</t>
  </si>
  <si>
    <t>Không thể nói gì được cả.</t>
  </si>
  <si>
    <t>思想</t>
  </si>
  <si>
    <t>しそう</t>
  </si>
  <si>
    <t>思想[しそう]</t>
  </si>
  <si>
    <t>tư tưởng</t>
  </si>
  <si>
    <t>新しい思想を学ぶ。</t>
  </si>
  <si>
    <t>Học hỏi tư tưởng mới.</t>
  </si>
  <si>
    <t>検査</t>
  </si>
  <si>
    <t>けんさ</t>
  </si>
  <si>
    <t>検査[けんさ]</t>
  </si>
  <si>
    <t>kiểm tra</t>
  </si>
  <si>
    <t>検査を受ける。</t>
  </si>
  <si>
    <t>Tôi thực hiện kiểm tra.</t>
  </si>
  <si>
    <t>消える</t>
  </si>
  <si>
    <t>きえる</t>
  </si>
  <si>
    <t>消[き]える</t>
  </si>
  <si>
    <t>明かりが消えた。</t>
  </si>
  <si>
    <t>Ánh sáng đã biến mất.</t>
  </si>
  <si>
    <t>編集</t>
  </si>
  <si>
    <t>へんしゅう</t>
  </si>
  <si>
    <t>編集[へんしゅう]</t>
  </si>
  <si>
    <t>biên tập</t>
  </si>
  <si>
    <t>記事を編集する。</t>
  </si>
  <si>
    <t>Tôi biên tập bài báo.</t>
  </si>
  <si>
    <t>趣味</t>
  </si>
  <si>
    <t>しゅみ</t>
  </si>
  <si>
    <t>趣味[しゅみ]</t>
  </si>
  <si>
    <t>sở thích</t>
  </si>
  <si>
    <t>趣味は読書だ。</t>
  </si>
  <si>
    <t>Sở thích là đọc sách.</t>
  </si>
  <si>
    <t>値</t>
  </si>
  <si>
    <t>あたい</t>
  </si>
  <si>
    <t>値[あたい]</t>
  </si>
  <si>
    <t>値を調べる。</t>
  </si>
  <si>
    <t>Tôi kiểm tra giá trị.</t>
  </si>
  <si>
    <t>大した</t>
  </si>
  <si>
    <t>たいした</t>
  </si>
  <si>
    <t>大[たい]した</t>
  </si>
  <si>
    <t>大した問題だ。</t>
  </si>
  <si>
    <t>Đó là vấn đề đáng kể.</t>
  </si>
  <si>
    <t>広さ</t>
  </si>
  <si>
    <t>ひろさ</t>
  </si>
  <si>
    <t>広[ひろ]さ</t>
  </si>
  <si>
    <t>độ rộng</t>
  </si>
  <si>
    <t>部屋の広さを測る。</t>
  </si>
  <si>
    <t>Đo độ rộng của phòng.</t>
  </si>
  <si>
    <t>当てはまる</t>
  </si>
  <si>
    <t>あてはまる</t>
  </si>
  <si>
    <t>当[あ]てはまる</t>
  </si>
  <si>
    <t>規則に当てはまる。</t>
  </si>
  <si>
    <t>Áp dụng theo quy tắc.</t>
  </si>
  <si>
    <t>競技</t>
  </si>
  <si>
    <t>きょうぎ</t>
  </si>
  <si>
    <t>競技[きょうぎ]</t>
  </si>
  <si>
    <t>thi đấu</t>
  </si>
  <si>
    <t>競技に参加する。</t>
  </si>
  <si>
    <t>Tôi tham gia thi đấu.</t>
  </si>
  <si>
    <t>考慮</t>
  </si>
  <si>
    <t>こうりょ</t>
  </si>
  <si>
    <t>考慮[こうりょ]</t>
  </si>
  <si>
    <t>計画を考慮する。</t>
  </si>
  <si>
    <t>Tôi xem xét kế hoạch.</t>
  </si>
  <si>
    <t>規則</t>
  </si>
  <si>
    <t>きそく</t>
  </si>
  <si>
    <t>規則[きそく]</t>
  </si>
  <si>
    <t>学校の規則を守る。</t>
  </si>
  <si>
    <t>Tuân thủ quy tắc trường học.</t>
  </si>
  <si>
    <t>豊か</t>
  </si>
  <si>
    <t>ゆたか</t>
  </si>
  <si>
    <t>豊[ゆた]か</t>
  </si>
  <si>
    <t>giàu có</t>
  </si>
  <si>
    <t>豊かな生活をする。</t>
  </si>
  <si>
    <t>Có cuộc sống giàu có.</t>
  </si>
  <si>
    <t>飲み物</t>
  </si>
  <si>
    <t>のみもの</t>
  </si>
  <si>
    <t>飲[の]み物[もの]</t>
  </si>
  <si>
    <t>đồ uống</t>
  </si>
  <si>
    <t>冷たい飲み物を注文する。</t>
  </si>
  <si>
    <t>Tôi gọi đồ uống lạnh.</t>
  </si>
  <si>
    <t>黒</t>
  </si>
  <si>
    <t>くろ</t>
  </si>
  <si>
    <t>黒[くろ]</t>
  </si>
  <si>
    <t>黒のペンを使う。</t>
  </si>
  <si>
    <t>Tôi dùng bút màu đen.</t>
  </si>
  <si>
    <t>予報</t>
  </si>
  <si>
    <t>よほう</t>
  </si>
  <si>
    <t>予報[よほう]</t>
  </si>
  <si>
    <t>dự báo</t>
  </si>
  <si>
    <t>天気予報を見る。</t>
  </si>
  <si>
    <t>Xem dự báo thời tiết.</t>
  </si>
  <si>
    <t>召し上がる</t>
  </si>
  <si>
    <t>めしあがる</t>
  </si>
  <si>
    <t>召[め]し上[あ]がる</t>
  </si>
  <si>
    <t>どうぞお召し上がりください。</t>
  </si>
  <si>
    <t>Xin mời ông dùng bữa.</t>
  </si>
  <si>
    <t>たまらない</t>
  </si>
  <si>
    <t>không chịu nổi</t>
  </si>
  <si>
    <t>暑くてたまらない。</t>
  </si>
  <si>
    <t>Nóng không chịu nổi.</t>
  </si>
  <si>
    <t>付き合い</t>
  </si>
  <si>
    <t>つきあい</t>
  </si>
  <si>
    <t>付[つ]き合[あ]い</t>
  </si>
  <si>
    <t>mối quan hệ</t>
  </si>
  <si>
    <t>付き合いが長い。</t>
  </si>
  <si>
    <t>Mối quan hệ lâu dài.</t>
  </si>
  <si>
    <t>揺れる</t>
  </si>
  <si>
    <t>ゆれる</t>
  </si>
  <si>
    <t>揺[ゆ]れる</t>
  </si>
  <si>
    <t>rung chuyển</t>
  </si>
  <si>
    <t>地面が揺れる。</t>
  </si>
  <si>
    <t>Mặt đất rung chuyển.</t>
  </si>
  <si>
    <t>すっきり</t>
  </si>
  <si>
    <t>気分がすっきりする。</t>
  </si>
  <si>
    <t>Cảm thấy sảng khoái.</t>
  </si>
  <si>
    <t>不可</t>
  </si>
  <si>
    <t>ふか</t>
  </si>
  <si>
    <t>不可[ふか]</t>
  </si>
  <si>
    <t>持ち込み不可。</t>
  </si>
  <si>
    <t>Không được mang vào.</t>
  </si>
  <si>
    <t>成績</t>
  </si>
  <si>
    <t>せいせき</t>
  </si>
  <si>
    <t>成績[せいせき]</t>
  </si>
  <si>
    <t>thành tích</t>
  </si>
  <si>
    <t>成績が上がる。</t>
  </si>
  <si>
    <t>Thành tích tăng lên.</t>
  </si>
  <si>
    <t>給与</t>
  </si>
  <si>
    <t>きゅうよ</t>
  </si>
  <si>
    <t>給与[きゅうよ]</t>
  </si>
  <si>
    <t>給与を受け取る。</t>
  </si>
  <si>
    <t>Tôi nhận tiền lương.</t>
  </si>
  <si>
    <t>ごちそう</t>
  </si>
  <si>
    <t>chiêu đãi</t>
  </si>
  <si>
    <t>ごちそうを食べる。</t>
  </si>
  <si>
    <t>Ăn món ăn chiêu đãi.</t>
  </si>
  <si>
    <t>なにしろ</t>
  </si>
  <si>
    <t>vì dù sao</t>
  </si>
  <si>
    <t>なにしろ暑い。</t>
  </si>
  <si>
    <t>Vì dù sao cũng nóng.</t>
  </si>
  <si>
    <t>去年</t>
  </si>
  <si>
    <t>きょねん</t>
  </si>
  <si>
    <t>去年[きょねん]</t>
  </si>
  <si>
    <t>năm ngoái</t>
  </si>
  <si>
    <t>去年行った。</t>
  </si>
  <si>
    <t>Tôi đã đi vào năm ngoái.</t>
  </si>
  <si>
    <t>白</t>
  </si>
  <si>
    <t>しろ</t>
  </si>
  <si>
    <t>白[しろ]</t>
  </si>
  <si>
    <t>màu trắng</t>
  </si>
  <si>
    <t>白が好き。</t>
  </si>
  <si>
    <t>Tôi thích màu trắng.</t>
  </si>
  <si>
    <t>不便</t>
  </si>
  <si>
    <t>ふべん</t>
  </si>
  <si>
    <t>不便[ふべん]</t>
  </si>
  <si>
    <t>bất tiện</t>
  </si>
  <si>
    <t>交通が不便だ。</t>
  </si>
  <si>
    <t>Giao thông bất tiện.</t>
  </si>
  <si>
    <t>仕様</t>
  </si>
  <si>
    <t>仕様[しよう]</t>
  </si>
  <si>
    <t>thông số</t>
  </si>
  <si>
    <t>仕様を決める。</t>
  </si>
  <si>
    <t>Quyết định thông số.</t>
  </si>
  <si>
    <t>分野</t>
  </si>
  <si>
    <t>ぶんや</t>
  </si>
  <si>
    <t>分野[ぶんや]</t>
  </si>
  <si>
    <t>専門の分野。</t>
  </si>
  <si>
    <t>必死</t>
  </si>
  <si>
    <t>ひっし</t>
  </si>
  <si>
    <t>必死[ひっし]</t>
  </si>
  <si>
    <t>quyết tử</t>
  </si>
  <si>
    <t>必死で働く。</t>
  </si>
  <si>
    <t>Làm việc quyết liệt.</t>
  </si>
  <si>
    <t>連続</t>
  </si>
  <si>
    <t>れんぞく</t>
  </si>
  <si>
    <t>連続[れんぞく]</t>
  </si>
  <si>
    <t>連続で成功する。</t>
  </si>
  <si>
    <t>Thành công liên tục.</t>
  </si>
  <si>
    <t>それとも</t>
  </si>
  <si>
    <t>hoặc là</t>
  </si>
  <si>
    <t>コーヒー？それともお茶？</t>
  </si>
  <si>
    <t>Cà phê? Hay là trà?</t>
  </si>
  <si>
    <t>ポスト</t>
  </si>
  <si>
    <t>ぽすと</t>
  </si>
  <si>
    <t>hòm thư</t>
  </si>
  <si>
    <t>手紙をポストに出す。</t>
  </si>
  <si>
    <t>Gửi thư vào hòm thư.</t>
  </si>
  <si>
    <t>不満</t>
  </si>
  <si>
    <t>ふまん</t>
  </si>
  <si>
    <t>不満[ふまん]</t>
  </si>
  <si>
    <t>bất mãn</t>
  </si>
  <si>
    <t>結果に不満だ。</t>
  </si>
  <si>
    <t>Bất mãn với kết quả.</t>
  </si>
  <si>
    <t>主要</t>
  </si>
  <si>
    <t>しゅよう</t>
  </si>
  <si>
    <t>主要[しゅよう]</t>
  </si>
  <si>
    <t>主要な原因。</t>
  </si>
  <si>
    <t>Nguyên nhân chủ yếu.</t>
  </si>
  <si>
    <t>保存</t>
  </si>
  <si>
    <t>ほぞん</t>
  </si>
  <si>
    <t>保存[ほぞん]</t>
  </si>
  <si>
    <t>lưu trữ</t>
  </si>
  <si>
    <t>大切なデータを保存する。</t>
  </si>
  <si>
    <t>Lưu dữ liệu quan trọng.</t>
  </si>
  <si>
    <t>制作</t>
  </si>
  <si>
    <t>制作[せいさく]</t>
  </si>
  <si>
    <t>映画を制作する。</t>
  </si>
  <si>
    <t>Tôi chế tạo bộ phim.</t>
  </si>
  <si>
    <t>電子</t>
  </si>
  <si>
    <t>でんし</t>
  </si>
  <si>
    <t>電子[でんし]</t>
  </si>
  <si>
    <t>điện tử</t>
  </si>
  <si>
    <t>電子メールを送る。</t>
  </si>
  <si>
    <t>ドライブ</t>
  </si>
  <si>
    <t>どらいぶ</t>
  </si>
  <si>
    <t>週末ドライブに行く。</t>
  </si>
  <si>
    <t>Cuối tuần đi lái xe.</t>
  </si>
  <si>
    <t>世間</t>
  </si>
  <si>
    <t>せけん</t>
  </si>
  <si>
    <t>世間[せけん]</t>
  </si>
  <si>
    <t>世間の評判。</t>
  </si>
  <si>
    <t>Đánh giá của xã hội.</t>
  </si>
  <si>
    <t>泣く</t>
  </si>
  <si>
    <t>なく</t>
  </si>
  <si>
    <t>泣[な]く</t>
  </si>
  <si>
    <t>khóc</t>
  </si>
  <si>
    <t>悲しくて泣いてしまった。</t>
  </si>
  <si>
    <t>Tôi đã khóc vì buồn.</t>
  </si>
  <si>
    <t>済む</t>
  </si>
  <si>
    <t>済[す]む</t>
  </si>
  <si>
    <t>xong</t>
  </si>
  <si>
    <t>仕事が済む。</t>
  </si>
  <si>
    <t>Công việc xong xuôi.</t>
  </si>
  <si>
    <t>洗う</t>
  </si>
  <si>
    <t>あらう</t>
  </si>
  <si>
    <t>洗[あら]う</t>
  </si>
  <si>
    <t>rửa</t>
  </si>
  <si>
    <t>手をよく洗ってください。</t>
  </si>
  <si>
    <t>Hãy rửa tay sạch sẽ.</t>
  </si>
  <si>
    <t>箇所</t>
  </si>
  <si>
    <t>かしょ</t>
  </si>
  <si>
    <t>箇所[かしょ]</t>
  </si>
  <si>
    <t>chỗ</t>
  </si>
  <si>
    <t>悪い箇所を直す。</t>
  </si>
  <si>
    <t>Tôi sửa chỗ bị hỏng.</t>
  </si>
  <si>
    <t>バター</t>
  </si>
  <si>
    <t>ばたー</t>
  </si>
  <si>
    <t>bơ</t>
  </si>
  <si>
    <t>パンにバターを塗る。</t>
  </si>
  <si>
    <t>Phết bơ lên bánh mì.</t>
  </si>
  <si>
    <t>県庁</t>
  </si>
  <si>
    <t>けんちょう</t>
  </si>
  <si>
    <t>県庁[けんちょう]</t>
  </si>
  <si>
    <t>trụ sở tỉnh</t>
  </si>
  <si>
    <t>県庁へ行く。</t>
  </si>
  <si>
    <t>Đi đến trụ sở tỉnh.</t>
  </si>
  <si>
    <t>西洋</t>
  </si>
  <si>
    <t>せいよう</t>
  </si>
  <si>
    <t>西洋[せいよう]</t>
  </si>
  <si>
    <t>phương tây</t>
  </si>
  <si>
    <t>西洋の文化。</t>
  </si>
  <si>
    <t>Văn hóa phương tây.</t>
  </si>
  <si>
    <t>解説</t>
  </si>
  <si>
    <t>かいせつ</t>
  </si>
  <si>
    <t>解説[かいせつ]</t>
  </si>
  <si>
    <t>ニュースを解説する。</t>
  </si>
  <si>
    <t>Giải thích tin tức.</t>
  </si>
  <si>
    <t>証明</t>
  </si>
  <si>
    <t>しょうめい</t>
  </si>
  <si>
    <t>証明[しょうめい]</t>
  </si>
  <si>
    <t>chứng minh</t>
  </si>
  <si>
    <t>事実を証明する。</t>
  </si>
  <si>
    <t>Chứng minh sự thật.</t>
  </si>
  <si>
    <t>デモ</t>
  </si>
  <si>
    <t>biểu tình</t>
  </si>
  <si>
    <t>デモに参加する。</t>
  </si>
  <si>
    <t>Tham gia biểu tình.</t>
  </si>
  <si>
    <t>上下</t>
  </si>
  <si>
    <t>じょうげ</t>
  </si>
  <si>
    <t>上下[じょうげ]</t>
  </si>
  <si>
    <t>trên dưới</t>
  </si>
  <si>
    <t>上下を確認する。</t>
  </si>
  <si>
    <t>Kiểm tra trên dưới.</t>
  </si>
  <si>
    <t>以降</t>
  </si>
  <si>
    <t>以降[いこう]</t>
  </si>
  <si>
    <t>kể từ sau</t>
  </si>
  <si>
    <t>明日以降。</t>
  </si>
  <si>
    <t>Kể từ sau ngày mai.</t>
  </si>
  <si>
    <t>承認</t>
  </si>
  <si>
    <t>しょうにん</t>
  </si>
  <si>
    <t>承認[しょうにん]</t>
  </si>
  <si>
    <t>thừa nhận</t>
  </si>
  <si>
    <t>計画を承認する。</t>
  </si>
  <si>
    <t>Phê duyệt kế hoạch.</t>
  </si>
  <si>
    <t>目指す</t>
  </si>
  <si>
    <t>めざす</t>
  </si>
  <si>
    <t>目指[めざ]す</t>
  </si>
  <si>
    <t>頂上を目指す。</t>
  </si>
  <si>
    <t>Hướng tới đỉnh núi.</t>
  </si>
  <si>
    <t>輸出</t>
  </si>
  <si>
    <t>ゆしゅつ</t>
  </si>
  <si>
    <t>輸出[ゆしゅつ]</t>
  </si>
  <si>
    <t>xuất khẩu</t>
  </si>
  <si>
    <t>商品を輸出する。</t>
  </si>
  <si>
    <t>Xuất khẩu sản phẩm.</t>
  </si>
  <si>
    <t>逃げる</t>
  </si>
  <si>
    <t>にげる</t>
  </si>
  <si>
    <t>逃[に]げる</t>
  </si>
  <si>
    <t>chạy trốn</t>
  </si>
  <si>
    <t>犯人が逃げる。</t>
  </si>
  <si>
    <t>Tội phạm chạy trốn.</t>
  </si>
  <si>
    <t>尊敬</t>
  </si>
  <si>
    <t>そんけい</t>
  </si>
  <si>
    <t>尊敬[そんけい]</t>
  </si>
  <si>
    <t>tôn kính</t>
  </si>
  <si>
    <t>先生を尊敬する。</t>
  </si>
  <si>
    <t>Tôn kính thầy giáo.</t>
  </si>
  <si>
    <t>広める</t>
  </si>
  <si>
    <t>ひろめる</t>
  </si>
  <si>
    <t>広[ひろ]める</t>
  </si>
  <si>
    <t>知識を広める。</t>
  </si>
  <si>
    <t>Phổ biến kiến thức.</t>
  </si>
  <si>
    <t>応用</t>
  </si>
  <si>
    <t>おうよう</t>
  </si>
  <si>
    <t>応用[おうよう]</t>
  </si>
  <si>
    <t>ứng dụng</t>
  </si>
  <si>
    <t>理論を応用する。</t>
  </si>
  <si>
    <t>Ứng dụng lý thuyết.</t>
  </si>
  <si>
    <t>折角</t>
  </si>
  <si>
    <t>せっかく</t>
  </si>
  <si>
    <t>折角[せっかく]</t>
  </si>
  <si>
    <t>cất công</t>
  </si>
  <si>
    <t>折角来たのに。</t>
  </si>
  <si>
    <t>Dù đã cất công đến.</t>
  </si>
  <si>
    <t>抵抗</t>
  </si>
  <si>
    <t>ていこう</t>
  </si>
  <si>
    <t>抵抗[ていこう]</t>
  </si>
  <si>
    <t>đề kháng</t>
  </si>
  <si>
    <t>ウイルスに抵抗する。</t>
  </si>
  <si>
    <t>Đề kháng với virus.</t>
  </si>
  <si>
    <t>真面目</t>
  </si>
  <si>
    <t>まじめ</t>
  </si>
  <si>
    <t>真面目[まじめ]</t>
  </si>
  <si>
    <t>chăm chỉ</t>
  </si>
  <si>
    <t>真面目な学生。</t>
  </si>
  <si>
    <t>Sinh viên chăm chỉ.</t>
  </si>
  <si>
    <t>越える</t>
  </si>
  <si>
    <t>越[こ]える</t>
  </si>
  <si>
    <t>国境を越える。</t>
  </si>
  <si>
    <t>Vượt qua biên giới.</t>
  </si>
  <si>
    <t>せめて</t>
  </si>
  <si>
    <t>ít nhất</t>
  </si>
  <si>
    <t>せめて1回行く。</t>
  </si>
  <si>
    <t>Ít nhất đi một lần.</t>
  </si>
  <si>
    <t>誰か</t>
  </si>
  <si>
    <t>だれか</t>
  </si>
  <si>
    <t>誰[だれ]か</t>
  </si>
  <si>
    <t>ai đó</t>
  </si>
  <si>
    <t>誰か助けて。</t>
  </si>
  <si>
    <t>Ai đó giúp tôi với.</t>
  </si>
  <si>
    <t>通じる</t>
  </si>
  <si>
    <t>つうじる</t>
  </si>
  <si>
    <t>通[つう]じる</t>
  </si>
  <si>
    <t>言葉が通じる。</t>
  </si>
  <si>
    <t>Ngôn ngữ được hiểu.</t>
  </si>
  <si>
    <t>アルコール</t>
  </si>
  <si>
    <t>あるこーる</t>
  </si>
  <si>
    <t>cồn</t>
  </si>
  <si>
    <t>アルコールで消毒する。</t>
  </si>
  <si>
    <t>Sát trùng bằng cồn.</t>
  </si>
  <si>
    <t>宅</t>
  </si>
  <si>
    <t>たく</t>
  </si>
  <si>
    <t>宅[たく]</t>
  </si>
  <si>
    <t>お宅に伺う。</t>
  </si>
  <si>
    <t>Tôi đến nhà ông bà.</t>
  </si>
  <si>
    <t>試す</t>
  </si>
  <si>
    <t>ためす</t>
  </si>
  <si>
    <t>試[ため]す</t>
  </si>
  <si>
    <t>新しい服を試す。</t>
  </si>
  <si>
    <t>Thử bộ quần áo mới.</t>
  </si>
  <si>
    <t>男の人</t>
  </si>
  <si>
    <t>おとこのひと</t>
  </si>
  <si>
    <t>男[おとこ]の人[ひと]</t>
  </si>
  <si>
    <t>người đàn ông</t>
  </si>
  <si>
    <t>男の人に聞く。</t>
  </si>
  <si>
    <t>Hỏi người đàn ông.</t>
  </si>
  <si>
    <t>番組</t>
  </si>
  <si>
    <t>ばんぐみ</t>
  </si>
  <si>
    <t>番組[ばんぐみ]</t>
  </si>
  <si>
    <t>テレビの番組。</t>
  </si>
  <si>
    <t>Chương trình tivi.</t>
  </si>
  <si>
    <t>緑</t>
  </si>
  <si>
    <t>みどり</t>
  </si>
  <si>
    <t>緑[みどり]</t>
  </si>
  <si>
    <t>màu xanh lá</t>
  </si>
  <si>
    <t>緑が豊かだ。</t>
  </si>
  <si>
    <t>Cây cối xanh tươi.</t>
  </si>
  <si>
    <t>挑戦</t>
  </si>
  <si>
    <t>ちょうせん</t>
  </si>
  <si>
    <t>挑戦[ちょうせん]</t>
  </si>
  <si>
    <t>thử thách</t>
  </si>
  <si>
    <t>山に挑戦する。</t>
  </si>
  <si>
    <t>Thử thách leo núi.</t>
  </si>
  <si>
    <t>輸入</t>
  </si>
  <si>
    <t>ゆにゅう</t>
  </si>
  <si>
    <t>輸入[ゆにゅう]</t>
  </si>
  <si>
    <t>nhập khẩu</t>
  </si>
  <si>
    <t>車を輸入する。</t>
  </si>
  <si>
    <t>Nhập khẩu xe ô tô.</t>
  </si>
  <si>
    <t>ショップ</t>
  </si>
  <si>
    <t>しょっぷ</t>
  </si>
  <si>
    <t>駅のショップ。</t>
  </si>
  <si>
    <t>Cửa hàng ở nhà ga.</t>
  </si>
  <si>
    <t>スター</t>
  </si>
  <si>
    <t>すたー</t>
  </si>
  <si>
    <t>ngôi sao</t>
  </si>
  <si>
    <t>映画のスター。</t>
  </si>
  <si>
    <t>Ngôi sao điện ảnh.</t>
  </si>
  <si>
    <t>ソファー</t>
  </si>
  <si>
    <t>そふぁー</t>
  </si>
  <si>
    <t>ghế sofa</t>
  </si>
  <si>
    <t>ソファーに座る。</t>
  </si>
  <si>
    <t>Ngồi lên ghế sofa.</t>
  </si>
  <si>
    <t>タオル</t>
  </si>
  <si>
    <t>たおる</t>
  </si>
  <si>
    <t>khăn tắm</t>
  </si>
  <si>
    <t>タオルで拭く。</t>
  </si>
  <si>
    <t>Lau bằng khăn tắm.</t>
  </si>
  <si>
    <t>ハンカチ</t>
  </si>
  <si>
    <t>はんかち</t>
  </si>
  <si>
    <t>khăn tay</t>
  </si>
  <si>
    <t>ハンカチで拭く。</t>
  </si>
  <si>
    <t>Lau bằng khăn tay.</t>
  </si>
  <si>
    <t>一旦</t>
  </si>
  <si>
    <t>いったん</t>
  </si>
  <si>
    <t>一旦[いったん]</t>
  </si>
  <si>
    <t>一旦停止する。</t>
  </si>
  <si>
    <t>Tạm thời dừng lại.</t>
  </si>
  <si>
    <t>思わず</t>
  </si>
  <si>
    <t>おもわず</t>
  </si>
  <si>
    <t>思[おも]わず</t>
  </si>
  <si>
    <t>bất giác</t>
  </si>
  <si>
    <t>思わず笑う。</t>
  </si>
  <si>
    <t>Bất giác mỉm cười.</t>
  </si>
  <si>
    <t>設計</t>
  </si>
  <si>
    <t>せっけい</t>
  </si>
  <si>
    <t>設計[せっけい]</t>
  </si>
  <si>
    <t>家を設計する。</t>
  </si>
  <si>
    <t>Thiết kế ngôi nhà.</t>
  </si>
  <si>
    <t>エンジン</t>
  </si>
  <si>
    <t>えんじん</t>
  </si>
  <si>
    <t>động cơ</t>
  </si>
  <si>
    <t>エンジンの音が大きい。</t>
  </si>
  <si>
    <t>Tiếng động cơ lớn.</t>
  </si>
  <si>
    <t>それなら</t>
  </si>
  <si>
    <t>nếu thế</t>
  </si>
  <si>
    <t>それなら行きます。</t>
  </si>
  <si>
    <t>Nếu thế tôi sẽ đi.</t>
  </si>
  <si>
    <t>ライター</t>
  </si>
  <si>
    <t>らいたー</t>
  </si>
  <si>
    <t>bật lửa</t>
  </si>
  <si>
    <t>ライターでつける。</t>
  </si>
  <si>
    <t>Quẹt bằng bật lửa.</t>
  </si>
  <si>
    <t>承知</t>
  </si>
  <si>
    <t>しょうち</t>
  </si>
  <si>
    <t>承知[しょうち]</t>
  </si>
  <si>
    <t>đã hiểu</t>
  </si>
  <si>
    <t>承知しました。</t>
  </si>
  <si>
    <t>Tôi đã hiểu rồi ạ.</t>
  </si>
  <si>
    <t>一生</t>
  </si>
  <si>
    <t>いっしょう</t>
  </si>
  <si>
    <t>一生[いっしょう]</t>
  </si>
  <si>
    <t>cả đời</t>
  </si>
  <si>
    <t>一生忘れない。</t>
  </si>
  <si>
    <t>Cả đời không quên.</t>
  </si>
  <si>
    <t>付合う</t>
  </si>
  <si>
    <t>つきあう</t>
  </si>
  <si>
    <t>付合[つきあ]う</t>
  </si>
  <si>
    <t>彼と付き合う。</t>
  </si>
  <si>
    <t>Hẹn hò với anh ấy.</t>
  </si>
  <si>
    <t>意思</t>
  </si>
  <si>
    <t>意思[いし]</t>
  </si>
  <si>
    <t>ý định</t>
  </si>
  <si>
    <t>意思を伝える。</t>
  </si>
  <si>
    <t>Truyền đạt ý định.</t>
  </si>
  <si>
    <t>通う</t>
  </si>
  <si>
    <t>かよう</t>
  </si>
  <si>
    <t>通[かよ]う</t>
  </si>
  <si>
    <t>đi lại</t>
  </si>
  <si>
    <t>学校に通う。</t>
  </si>
  <si>
    <t>Đi lại đến trường.</t>
  </si>
  <si>
    <t>住宅</t>
  </si>
  <si>
    <t>じゅうたく</t>
  </si>
  <si>
    <t>住宅[じゅうたく]</t>
  </si>
  <si>
    <t>nhà ở</t>
  </si>
  <si>
    <t>新しい住宅を建てる。</t>
  </si>
  <si>
    <t>Tôi xây nhà ở mới.</t>
  </si>
  <si>
    <t>恐らく</t>
  </si>
  <si>
    <t>おそらく</t>
  </si>
  <si>
    <t>恐[おそ]らく</t>
  </si>
  <si>
    <t>恐らく雨が降る。</t>
  </si>
  <si>
    <t>Có lẽ trời sẽ mưa.</t>
  </si>
  <si>
    <t>奪う</t>
  </si>
  <si>
    <t>うばう</t>
  </si>
  <si>
    <t>奪[うば]う</t>
  </si>
  <si>
    <t>cướp</t>
  </si>
  <si>
    <t>バッグを奪う。</t>
  </si>
  <si>
    <t>Tôi cướp túi xách.</t>
  </si>
  <si>
    <t>解く</t>
  </si>
  <si>
    <t>とく</t>
  </si>
  <si>
    <t>解[と]く</t>
  </si>
  <si>
    <t>giải</t>
  </si>
  <si>
    <t>問題を解く。</t>
  </si>
  <si>
    <t>追加</t>
  </si>
  <si>
    <t>ついか</t>
  </si>
  <si>
    <t>追加[ついか]</t>
  </si>
  <si>
    <t>thêm</t>
  </si>
  <si>
    <t>注文を追加する。</t>
  </si>
  <si>
    <t>Thêm đơn đặt hàng.</t>
  </si>
  <si>
    <t>トン</t>
  </si>
  <si>
    <t>とん</t>
  </si>
  <si>
    <t>tấn</t>
  </si>
  <si>
    <t>10トン運ぶ。</t>
  </si>
  <si>
    <t>Vận chuyển 10 tấn.</t>
  </si>
  <si>
    <t>一家</t>
  </si>
  <si>
    <t>いっか</t>
  </si>
  <si>
    <t>一家[いっか]</t>
  </si>
  <si>
    <t>cả gia đình</t>
  </si>
  <si>
    <t>一家で住む。</t>
  </si>
  <si>
    <t>Sống cả gia đình.</t>
  </si>
  <si>
    <t>愛情</t>
  </si>
  <si>
    <t>あいじょう</t>
  </si>
  <si>
    <t>愛情[あいじょう]</t>
  </si>
  <si>
    <t>tình thương</t>
  </si>
  <si>
    <t>愛情を注ぐ。</t>
  </si>
  <si>
    <t>Dành tình thương.</t>
  </si>
  <si>
    <t>ビニール</t>
  </si>
  <si>
    <t>びにーる</t>
  </si>
  <si>
    <t>nhựa vinyl</t>
  </si>
  <si>
    <t>ビニール袋を使う。</t>
  </si>
  <si>
    <t>Sử dụng túi nhựa.</t>
  </si>
  <si>
    <t>感想</t>
  </si>
  <si>
    <t>かんそう</t>
  </si>
  <si>
    <t>感想[かんそう]</t>
  </si>
  <si>
    <t>cảm tưởng</t>
  </si>
  <si>
    <t>感想を話す。</t>
  </si>
  <si>
    <t>Kể lại cảm tưởng.</t>
  </si>
  <si>
    <t>生じる</t>
  </si>
  <si>
    <t>しょうじる</t>
  </si>
  <si>
    <t>生[しょう]じる</t>
  </si>
  <si>
    <t>phát sinh</t>
  </si>
  <si>
    <t>問題が生じる。</t>
  </si>
  <si>
    <t>Phát sinh vấn đề.</t>
  </si>
  <si>
    <t>賛成</t>
  </si>
  <si>
    <t>さんせい</t>
  </si>
  <si>
    <t>賛成[さんせい]</t>
  </si>
  <si>
    <t>tán thành</t>
  </si>
  <si>
    <t>意見に賛成する。</t>
  </si>
  <si>
    <t>Tán thành ý kiến.</t>
  </si>
  <si>
    <t>一流</t>
  </si>
  <si>
    <t>いちりゅう</t>
  </si>
  <si>
    <t>一流[いちりゅう]</t>
  </si>
  <si>
    <t>hàng đầu</t>
  </si>
  <si>
    <t>一流の会社。</t>
  </si>
  <si>
    <t>Công ty hàng đầu.</t>
  </si>
  <si>
    <t>交流</t>
  </si>
  <si>
    <t>こうりゅう</t>
  </si>
  <si>
    <t>交流[こうりゅう]</t>
  </si>
  <si>
    <t>giao lưu</t>
  </si>
  <si>
    <t>文化交流。</t>
  </si>
  <si>
    <t>Giao lưu văn hóa.</t>
  </si>
  <si>
    <t>光</t>
  </si>
  <si>
    <t>ひかり</t>
  </si>
  <si>
    <t>光[ひかり]</t>
  </si>
  <si>
    <t>ánh sáng</t>
  </si>
  <si>
    <t>光を浴びる。</t>
  </si>
  <si>
    <t>Tắm ánh sáng.</t>
  </si>
  <si>
    <t>広まる</t>
  </si>
  <si>
    <t>ひろまる</t>
  </si>
  <si>
    <t>広[ひろ]まる</t>
  </si>
  <si>
    <t>lan truyền</t>
  </si>
  <si>
    <t>悪い噂が広まる。</t>
  </si>
  <si>
    <t>Lời đồn xấu lan truyền.</t>
  </si>
  <si>
    <t>恋</t>
  </si>
  <si>
    <t>こい</t>
  </si>
  <si>
    <t>恋[こい]</t>
  </si>
  <si>
    <t>恋に落ちる。</t>
  </si>
  <si>
    <t>Rơi vào tình yêu.</t>
  </si>
  <si>
    <t>生徒</t>
  </si>
  <si>
    <t>せいと</t>
  </si>
  <si>
    <t>生徒[せいと]</t>
  </si>
  <si>
    <t>học sinh</t>
  </si>
  <si>
    <t>生徒が勉強する。</t>
  </si>
  <si>
    <t>Học sinh học tập.</t>
  </si>
  <si>
    <t>観察</t>
  </si>
  <si>
    <t>かんさつ</t>
  </si>
  <si>
    <t>観察[かんさつ]</t>
  </si>
  <si>
    <t>quan sát</t>
  </si>
  <si>
    <t>よく観察する。</t>
  </si>
  <si>
    <t>Quan sát kỹ càng.</t>
  </si>
  <si>
    <t>載せる</t>
  </si>
  <si>
    <t>載[の]せる</t>
  </si>
  <si>
    <t>chất lên</t>
  </si>
  <si>
    <t>荷物を載せる。</t>
  </si>
  <si>
    <t>Chất hành lý lên.</t>
  </si>
  <si>
    <t>連れる</t>
  </si>
  <si>
    <t>つれる</t>
  </si>
  <si>
    <t>連[つ]れる</t>
  </si>
  <si>
    <t>dẫn theo</t>
  </si>
  <si>
    <t>子供を連れる。</t>
  </si>
  <si>
    <t>Dẫn theo trẻ con.</t>
  </si>
  <si>
    <t>噂</t>
  </si>
  <si>
    <t>うわさ</t>
  </si>
  <si>
    <t>噂[うわさ]</t>
  </si>
  <si>
    <t>lời đồn</t>
  </si>
  <si>
    <t>悪い噂を打ち消す。</t>
  </si>
  <si>
    <t>Phủ nhận lời đồn xấu.</t>
  </si>
  <si>
    <t>失礼</t>
  </si>
  <si>
    <t>しつれい</t>
  </si>
  <si>
    <t>失礼[しつれい]</t>
  </si>
  <si>
    <t>thất lễ</t>
  </si>
  <si>
    <t>失礼な言い方。</t>
  </si>
  <si>
    <t>Cách nói thất lễ.</t>
  </si>
  <si>
    <t>定期</t>
  </si>
  <si>
    <t>ていき</t>
  </si>
  <si>
    <t>定期[ていき]</t>
  </si>
  <si>
    <t>định kỳ</t>
  </si>
  <si>
    <t>定期的な検査。</t>
  </si>
  <si>
    <t>Kiểm tra định kỳ.</t>
  </si>
  <si>
    <t>延ばす</t>
  </si>
  <si>
    <t>のばす</t>
  </si>
  <si>
    <t>延[の]ばす</t>
  </si>
  <si>
    <t>kéo dài</t>
  </si>
  <si>
    <t>会議を延ばす。</t>
  </si>
  <si>
    <t>Kéo dài cuộc họp.</t>
  </si>
  <si>
    <t>意義</t>
  </si>
  <si>
    <t>いぎ</t>
  </si>
  <si>
    <t>意義[いぎ]</t>
  </si>
  <si>
    <t>人生の意義。</t>
  </si>
  <si>
    <t>Ý nghĩa cuộc đời.</t>
  </si>
  <si>
    <t>手伝い</t>
  </si>
  <si>
    <t>てつだい</t>
  </si>
  <si>
    <t>手伝[てつだ]い</t>
  </si>
  <si>
    <t>giúp đỡ</t>
  </si>
  <si>
    <t>手伝いをする。</t>
  </si>
  <si>
    <t>Làm việc giúp đỡ.</t>
  </si>
  <si>
    <t>記念</t>
  </si>
  <si>
    <t>きねん</t>
  </si>
  <si>
    <t>記念[きねん]</t>
  </si>
  <si>
    <t>記念品を贈る。</t>
  </si>
  <si>
    <t>Tặng quà kỷ niệm.</t>
  </si>
  <si>
    <t>おかず</t>
  </si>
  <si>
    <t>おかずをたくさん作る。</t>
  </si>
  <si>
    <t>Làm nhiều món ăn.</t>
  </si>
  <si>
    <t>およそ</t>
  </si>
  <si>
    <t>およそ1時間かかる。</t>
  </si>
  <si>
    <t>Mất khoảng 1 giờ.</t>
  </si>
  <si>
    <t>ボールペン</t>
  </si>
  <si>
    <t>ぼーるぺん</t>
  </si>
  <si>
    <t>bút bi</t>
  </si>
  <si>
    <t>ボールペンで書く。</t>
  </si>
  <si>
    <t>Viết bằng bút bi.</t>
  </si>
  <si>
    <t>異なる</t>
  </si>
  <si>
    <t>ことなる</t>
  </si>
  <si>
    <t>異[こと]なる</t>
  </si>
  <si>
    <t>意見が異なる。</t>
  </si>
  <si>
    <t>追う</t>
  </si>
  <si>
    <t>おう</t>
  </si>
  <si>
    <t>追[お]う</t>
  </si>
  <si>
    <t>đuổi</t>
  </si>
  <si>
    <t>夢を追う。</t>
  </si>
  <si>
    <t>Theo đuổi ước mơ.</t>
  </si>
  <si>
    <t>疲れる</t>
  </si>
  <si>
    <t>つかれる</t>
  </si>
  <si>
    <t>疲[つか]れる</t>
  </si>
  <si>
    <t>mệt</t>
  </si>
  <si>
    <t>仕事で疲れた。</t>
  </si>
  <si>
    <t>Mệt vì công việc.</t>
  </si>
  <si>
    <t>筋</t>
  </si>
  <si>
    <t>すじ</t>
  </si>
  <si>
    <t>筋[すじ]</t>
  </si>
  <si>
    <t>gân</t>
  </si>
  <si>
    <t>肉の筋を取る。</t>
  </si>
  <si>
    <t>Tôi lọc gân thịt.</t>
  </si>
  <si>
    <t>シャワー</t>
  </si>
  <si>
    <t>vòi hoa sen</t>
  </si>
  <si>
    <t>シャワーを浴びる。</t>
  </si>
  <si>
    <t>Tắm vòi hoa sen.</t>
  </si>
  <si>
    <t>農業</t>
  </si>
  <si>
    <t>のうぎょう</t>
  </si>
  <si>
    <t>農業[のうぎょう]</t>
  </si>
  <si>
    <t>nông nghiệp</t>
  </si>
  <si>
    <t>農業に従事する。</t>
  </si>
  <si>
    <t>Làm nông nghiệp.</t>
  </si>
  <si>
    <t>ギター</t>
  </si>
  <si>
    <t>ぎたー</t>
  </si>
  <si>
    <t>đàn guitar</t>
  </si>
  <si>
    <t>ギターを弾く。</t>
  </si>
  <si>
    <t>Chơi đàn guitar.</t>
  </si>
  <si>
    <t>乗り換える</t>
  </si>
  <si>
    <t>のりかえる</t>
  </si>
  <si>
    <t>乗[の]り換[か]える</t>
  </si>
  <si>
    <t>chuyển tàu</t>
  </si>
  <si>
    <t>電車を乗り換える。</t>
  </si>
  <si>
    <t>Chuyển tàu điện.</t>
  </si>
  <si>
    <t>手術</t>
  </si>
  <si>
    <t>しゅじゅつ</t>
  </si>
  <si>
    <t>手術[しゅじゅつ]</t>
  </si>
  <si>
    <t>phẫu thuật</t>
  </si>
  <si>
    <t>手術を受ける。</t>
  </si>
  <si>
    <t>Nhận phẫu thuật.</t>
  </si>
  <si>
    <t>北</t>
  </si>
  <si>
    <t>きた</t>
  </si>
  <si>
    <t>北[きた]</t>
  </si>
  <si>
    <t>phía bắc</t>
  </si>
  <si>
    <t>北に行く。</t>
  </si>
  <si>
    <t>Đi về phía bắc.</t>
  </si>
  <si>
    <t>息子</t>
  </si>
  <si>
    <t>むすこ</t>
  </si>
  <si>
    <t>息子[むすこ]</t>
  </si>
  <si>
    <t>con trai</t>
  </si>
  <si>
    <t>私の息子です。</t>
  </si>
  <si>
    <t>Là con trai tôi.</t>
  </si>
  <si>
    <t>生産</t>
  </si>
  <si>
    <t>せいさん</t>
  </si>
  <si>
    <t>生産[せいさん]</t>
  </si>
  <si>
    <t>sản xuất</t>
  </si>
  <si>
    <t>車を生産する。</t>
  </si>
  <si>
    <t>Sản xuất xe hơi.</t>
  </si>
  <si>
    <t>血圧</t>
  </si>
  <si>
    <t>けつあつ</t>
  </si>
  <si>
    <t>血圧[けつあつ]</t>
  </si>
  <si>
    <t>huyết áp</t>
  </si>
  <si>
    <t>血圧を測る。</t>
  </si>
  <si>
    <t>Tôi đo huyết áp.</t>
  </si>
  <si>
    <t>血管</t>
  </si>
  <si>
    <t>けっかん</t>
  </si>
  <si>
    <t>血管[けっかん]</t>
  </si>
  <si>
    <t>mạch máu</t>
  </si>
  <si>
    <t>血管が詰まる。</t>
  </si>
  <si>
    <t>Mạch máu bị tắc.</t>
  </si>
  <si>
    <t>ちょうだい</t>
  </si>
  <si>
    <t>cho tôi</t>
  </si>
  <si>
    <t>これ、ちょうだい。</t>
  </si>
  <si>
    <t>協力</t>
  </si>
  <si>
    <t>協力[きょうりょく]</t>
  </si>
  <si>
    <t>協力をお願いする。</t>
  </si>
  <si>
    <t>Tôi nhờ hợp tác.</t>
  </si>
  <si>
    <t>恐ろしい</t>
  </si>
  <si>
    <t>おそろしい</t>
  </si>
  <si>
    <t>恐[おそ]ろしい</t>
  </si>
  <si>
    <t>đáng sợ</t>
  </si>
  <si>
    <t>恐ろしい事故。</t>
  </si>
  <si>
    <t>Tai nạn đáng sợ.</t>
  </si>
  <si>
    <t>返事</t>
  </si>
  <si>
    <t>へんじ</t>
  </si>
  <si>
    <t>返事[へんじ]</t>
  </si>
  <si>
    <t>返事を待つ。</t>
  </si>
  <si>
    <t>Chờ câu trả lời.</t>
  </si>
  <si>
    <t>サイン</t>
  </si>
  <si>
    <t>さいん</t>
  </si>
  <si>
    <t>chữ ký</t>
  </si>
  <si>
    <t>紙にサインする。</t>
  </si>
  <si>
    <t>Ký tên vào giấy.</t>
  </si>
  <si>
    <t>ほっと</t>
  </si>
  <si>
    <t>ほっとする。</t>
  </si>
  <si>
    <t>Cảm thấy an tâm.</t>
  </si>
  <si>
    <t>以後</t>
  </si>
  <si>
    <t>いご</t>
  </si>
  <si>
    <t>以後[いご]</t>
  </si>
  <si>
    <t>以後注意する。</t>
  </si>
  <si>
    <t>Sau đó sẽ chú ý.</t>
  </si>
  <si>
    <t>八</t>
  </si>
  <si>
    <t>はち</t>
  </si>
  <si>
    <t>八[はち]</t>
  </si>
  <si>
    <t>số tám</t>
  </si>
  <si>
    <t>八を選ぶ。</t>
  </si>
  <si>
    <t>Tôi chọn số tám.</t>
  </si>
  <si>
    <t>折れる</t>
  </si>
  <si>
    <t>おれる</t>
  </si>
  <si>
    <t>折[お]れる</t>
  </si>
  <si>
    <t>bị gãy</t>
  </si>
  <si>
    <t>枝が折れる。</t>
  </si>
  <si>
    <t>Cành cây bị gãy.</t>
  </si>
  <si>
    <t>避ける</t>
  </si>
  <si>
    <t>さける</t>
  </si>
  <si>
    <t>避[さ]ける</t>
  </si>
  <si>
    <t>tránh</t>
  </si>
  <si>
    <t>危険な場所を避ける。</t>
  </si>
  <si>
    <t>Tránh nơi nguy hiểm.</t>
  </si>
  <si>
    <t>クリーム</t>
  </si>
  <si>
    <t>くりーむ</t>
  </si>
  <si>
    <t>kem</t>
  </si>
  <si>
    <t>手にクリームを塗る。</t>
  </si>
  <si>
    <t>Bôi kem lên tay.</t>
  </si>
  <si>
    <t>シーズン</t>
  </si>
  <si>
    <t>しーずん</t>
  </si>
  <si>
    <t>スキーのシーズン。</t>
  </si>
  <si>
    <t>Mùa trượt tuyết.</t>
  </si>
  <si>
    <t>御覧</t>
  </si>
  <si>
    <t>ごらん</t>
  </si>
  <si>
    <t>御覧[ごらん]</t>
  </si>
  <si>
    <t>これをご覧ください。</t>
  </si>
  <si>
    <t>Hãy xem cái này.</t>
  </si>
  <si>
    <t>肩</t>
  </si>
  <si>
    <t>肩[かた]</t>
  </si>
  <si>
    <t>vai</t>
  </si>
  <si>
    <t>肩を揉む。</t>
  </si>
  <si>
    <t>Xoa bóp vai.</t>
  </si>
  <si>
    <t>うっかり</t>
  </si>
  <si>
    <t>lỡ</t>
  </si>
  <si>
    <t>うっかり忘れた。</t>
  </si>
  <si>
    <t>Tôi lỡ quên mất.</t>
  </si>
  <si>
    <t>テキスト</t>
  </si>
  <si>
    <t>てきすと</t>
  </si>
  <si>
    <t>giáo trình</t>
  </si>
  <si>
    <t>テキストを読む。</t>
  </si>
  <si>
    <t>Đọc giáo trình.</t>
  </si>
  <si>
    <t>物語</t>
  </si>
  <si>
    <t>ものがたり</t>
  </si>
  <si>
    <t>物語[ものがたり]</t>
  </si>
  <si>
    <t>物語を読む。</t>
  </si>
  <si>
    <t>Đọc câu chuyện.</t>
  </si>
  <si>
    <t>通す</t>
  </si>
  <si>
    <t>とおす</t>
  </si>
  <si>
    <t>通[とお]す</t>
  </si>
  <si>
    <t>xuyên qua</t>
  </si>
  <si>
    <t>針に糸を通す。</t>
  </si>
  <si>
    <t>Xỏ chỉ qua kim.</t>
  </si>
  <si>
    <t>重ねる</t>
  </si>
  <si>
    <t>かさねる</t>
  </si>
  <si>
    <t>重[かさ]ねる</t>
  </si>
  <si>
    <t>本を重ねる。</t>
  </si>
  <si>
    <t>Chồng sách lên.</t>
  </si>
  <si>
    <t>優しい</t>
  </si>
  <si>
    <t>やさしい</t>
  </si>
  <si>
    <t>優[やさ]しい</t>
  </si>
  <si>
    <t>dịu dàng</t>
  </si>
  <si>
    <t>優しい人。</t>
  </si>
  <si>
    <t>Người dịu dàng.</t>
  </si>
  <si>
    <t>一層</t>
  </si>
  <si>
    <t>いっそう</t>
  </si>
  <si>
    <t>一層[いっそう]</t>
  </si>
  <si>
    <t>一層努力する。</t>
  </si>
  <si>
    <t>Nỗ lực hơn nữa.</t>
  </si>
  <si>
    <t>切れる</t>
  </si>
  <si>
    <t>きれる</t>
  </si>
  <si>
    <t>切[き]れる</t>
  </si>
  <si>
    <t>cắt đứt</t>
  </si>
  <si>
    <t>紐が切れる。</t>
  </si>
  <si>
    <t>Sợi dây bị đứt.</t>
  </si>
  <si>
    <t>ダウン</t>
  </si>
  <si>
    <t>だうん</t>
  </si>
  <si>
    <t>giảm</t>
  </si>
  <si>
    <t>売上がダウンする。</t>
  </si>
  <si>
    <t>Doanh thu giảm.</t>
  </si>
  <si>
    <t>弾く</t>
  </si>
  <si>
    <t>弾[ひ]く</t>
  </si>
  <si>
    <t>ピアノを弾く。</t>
  </si>
  <si>
    <t>Chơi đàn piano.</t>
  </si>
  <si>
    <t>布</t>
  </si>
  <si>
    <t>ぬの</t>
  </si>
  <si>
    <t>布[ぬの]</t>
  </si>
  <si>
    <t>vải</t>
  </si>
  <si>
    <t>布で袋を作る。</t>
  </si>
  <si>
    <t>Làm túi từ vải.</t>
  </si>
  <si>
    <t>課</t>
  </si>
  <si>
    <t>課[か]</t>
  </si>
  <si>
    <t>bài</t>
  </si>
  <si>
    <t>第一課を学ぶ。</t>
  </si>
  <si>
    <t>Học bài số một.</t>
  </si>
  <si>
    <t>テープ</t>
  </si>
  <si>
    <t>てーぷ</t>
  </si>
  <si>
    <t>băng dính</t>
  </si>
  <si>
    <t>テープを貼る。</t>
  </si>
  <si>
    <t>Dán băng dính.</t>
  </si>
  <si>
    <t>ベルト</t>
  </si>
  <si>
    <t>べると</t>
  </si>
  <si>
    <t>thắt lưng</t>
  </si>
  <si>
    <t>ベルトを締める。</t>
  </si>
  <si>
    <t>Thắt dây lưng.</t>
  </si>
  <si>
    <t>リズム</t>
  </si>
  <si>
    <t>りずむ</t>
  </si>
  <si>
    <t>nhịp điệu</t>
  </si>
  <si>
    <t>リズムをとる。</t>
  </si>
  <si>
    <t>Giữ nhịp điệu.</t>
  </si>
  <si>
    <t>論文</t>
  </si>
  <si>
    <t>ろんぶん</t>
  </si>
  <si>
    <t>論文[ろんぶん]</t>
  </si>
  <si>
    <t>luận văn</t>
  </si>
  <si>
    <t>論文を書く。</t>
  </si>
  <si>
    <t>Viết luận văn.</t>
  </si>
  <si>
    <t>人事</t>
  </si>
  <si>
    <t>じんじ</t>
  </si>
  <si>
    <t>人事[じんじ]</t>
  </si>
  <si>
    <t>nhân sự</t>
  </si>
  <si>
    <t>人事部。</t>
  </si>
  <si>
    <t>Phòng nhân sự.</t>
  </si>
  <si>
    <t>今晩</t>
  </si>
  <si>
    <t>こんばん</t>
  </si>
  <si>
    <t>今晩[こんばん]</t>
  </si>
  <si>
    <t>今晩は何を食べる。</t>
  </si>
  <si>
    <t>Tối nay ăn gì?</t>
  </si>
  <si>
    <t>トラック</t>
  </si>
  <si>
    <t>とらっく</t>
  </si>
  <si>
    <t>xe tải</t>
  </si>
  <si>
    <t>トラックが通る。</t>
  </si>
  <si>
    <t>Xe tải đi qua.</t>
  </si>
  <si>
    <t>アルバム</t>
  </si>
  <si>
    <t>あるばむ</t>
  </si>
  <si>
    <t>album</t>
  </si>
  <si>
    <t>写真のアルバムを見る。</t>
  </si>
  <si>
    <t>Xem album ảnh.</t>
  </si>
  <si>
    <t>意</t>
  </si>
  <si>
    <t>い</t>
  </si>
  <si>
    <t>意[い]</t>
  </si>
  <si>
    <t>ý chí</t>
  </si>
  <si>
    <t>意を尽くす。</t>
  </si>
  <si>
    <t>Dốc hết ý chí.</t>
  </si>
  <si>
    <t>意志</t>
  </si>
  <si>
    <t>意志[いし]</t>
  </si>
  <si>
    <t>意志が強い。</t>
  </si>
  <si>
    <t>Ý chí mạnh mẽ.</t>
  </si>
  <si>
    <t>ずうっと</t>
  </si>
  <si>
    <t>suốt</t>
  </si>
  <si>
    <t>ずうっと待っている。</t>
  </si>
  <si>
    <t>Đang đợi suốt.</t>
  </si>
  <si>
    <t>ストップ</t>
  </si>
  <si>
    <t>すとっぷ</t>
  </si>
  <si>
    <t>ストップのサイン。</t>
  </si>
  <si>
    <t>Biển báo dừng.</t>
  </si>
  <si>
    <t>医療</t>
  </si>
  <si>
    <t>いりょう</t>
  </si>
  <si>
    <t>医療[いりょう]</t>
  </si>
  <si>
    <t>y tế</t>
  </si>
  <si>
    <t>医療を受ける。</t>
  </si>
  <si>
    <t>Tôi nhận y tế.</t>
  </si>
  <si>
    <t>巻く</t>
  </si>
  <si>
    <t>まく</t>
  </si>
  <si>
    <t>巻[ま]く</t>
  </si>
  <si>
    <t>quấn</t>
  </si>
  <si>
    <t>包帯を巻く。</t>
  </si>
  <si>
    <t>Quấn băng gạc.</t>
  </si>
  <si>
    <t>学</t>
  </si>
  <si>
    <t>がく</t>
  </si>
  <si>
    <t>学[がく]</t>
  </si>
  <si>
    <t>学を修める。</t>
  </si>
  <si>
    <t>Tôi tu nghiệp.</t>
  </si>
  <si>
    <t>挟む</t>
  </si>
  <si>
    <t>はさむ</t>
  </si>
  <si>
    <t>挟[はさ]む</t>
  </si>
  <si>
    <t>kẹp</t>
  </si>
  <si>
    <t>しおりを挟む。</t>
  </si>
  <si>
    <t>Kẹp dấu trang.</t>
  </si>
  <si>
    <t>丸</t>
  </si>
  <si>
    <t>まる</t>
  </si>
  <si>
    <t>丸[まる]</t>
  </si>
  <si>
    <t>hình tròn</t>
  </si>
  <si>
    <t>丸を描く。</t>
  </si>
  <si>
    <t>Vẽ hình tròn.</t>
  </si>
  <si>
    <t>クーラー</t>
  </si>
  <si>
    <t>くーらー</t>
  </si>
  <si>
    <t>máy lạnh</t>
  </si>
  <si>
    <t>クーラーをつける。</t>
  </si>
  <si>
    <t>Bật máy lạnh.</t>
  </si>
  <si>
    <t>コード</t>
  </si>
  <si>
    <t>こーど</t>
  </si>
  <si>
    <t>dây điện</t>
  </si>
  <si>
    <t>コードを抜く。</t>
  </si>
  <si>
    <t>Rút dây điện.</t>
  </si>
  <si>
    <t>シャツ</t>
  </si>
  <si>
    <t>しゃつ</t>
  </si>
  <si>
    <t>áo sơ mi</t>
  </si>
  <si>
    <t>シャツを着る。</t>
  </si>
  <si>
    <t>Mặc áo sơ mi.</t>
  </si>
  <si>
    <t>スイッチ</t>
  </si>
  <si>
    <t>すいっち</t>
  </si>
  <si>
    <t>công tắc</t>
  </si>
  <si>
    <t>スイッチを入れる。</t>
  </si>
  <si>
    <t>Bật công tắc.</t>
  </si>
  <si>
    <t>ステージ</t>
  </si>
  <si>
    <t>すてーじ</t>
  </si>
  <si>
    <t>ステージに上がる。</t>
  </si>
  <si>
    <t>Lên sân khấu.</t>
  </si>
  <si>
    <t>ピンク</t>
  </si>
  <si>
    <t>ぴんく</t>
  </si>
  <si>
    <t>màu hồng</t>
  </si>
  <si>
    <t>ピンクの花。</t>
  </si>
  <si>
    <t>Hoa màu hồng.</t>
  </si>
  <si>
    <t>渡る</t>
  </si>
  <si>
    <t>わたる</t>
  </si>
  <si>
    <t>渡[わた]る</t>
  </si>
  <si>
    <t>băng qua</t>
  </si>
  <si>
    <t>橋を渡る。</t>
  </si>
  <si>
    <t>Băng qua cầu.</t>
  </si>
  <si>
    <t>確率</t>
  </si>
  <si>
    <t>かくりつ</t>
  </si>
  <si>
    <t>確率[かくりつ]</t>
  </si>
  <si>
    <t>xác suất</t>
  </si>
  <si>
    <t>確率が高い。</t>
  </si>
  <si>
    <t>Xác suất cao.</t>
  </si>
  <si>
    <t>訪問</t>
  </si>
  <si>
    <t>ほうもん</t>
  </si>
  <si>
    <t>訪問[ほうもん]</t>
  </si>
  <si>
    <t>家を訪問する。</t>
  </si>
  <si>
    <t>Ghé thăm nhà.</t>
  </si>
  <si>
    <t>カラー</t>
  </si>
  <si>
    <t>からー</t>
  </si>
  <si>
    <t>カラーテレビを見る。</t>
  </si>
  <si>
    <t>Xem tivi màu.</t>
  </si>
  <si>
    <t>まあまあ</t>
  </si>
  <si>
    <t>tàm tạm</t>
  </si>
  <si>
    <t>まあまあです。</t>
  </si>
  <si>
    <t>Cũng tàm tạm.</t>
  </si>
  <si>
    <t>延長</t>
  </si>
  <si>
    <t>えんちょう</t>
  </si>
  <si>
    <t>延長[えんちょう]</t>
  </si>
  <si>
    <t>gia hạn</t>
  </si>
  <si>
    <t>ビザを延長する。</t>
  </si>
  <si>
    <t>Gia hạn visa.</t>
  </si>
  <si>
    <t>すっと</t>
  </si>
  <si>
    <t>すっと立ち上がる。</t>
  </si>
  <si>
    <t>Đứng bật dậy.</t>
  </si>
  <si>
    <t>党</t>
  </si>
  <si>
    <t>党[とう]</t>
  </si>
  <si>
    <t>đảng</t>
  </si>
  <si>
    <t>党を作る。</t>
  </si>
  <si>
    <t>Tôi lập đảng.</t>
  </si>
  <si>
    <t>サンプル</t>
  </si>
  <si>
    <t>さんぷる</t>
  </si>
  <si>
    <t>サンプルを確認する。</t>
  </si>
  <si>
    <t>Kiểm tra mẫu.</t>
  </si>
  <si>
    <t>間に合う</t>
  </si>
  <si>
    <t>まにあう</t>
  </si>
  <si>
    <t>間[ま]に合[あ]う</t>
  </si>
  <si>
    <t>kịp</t>
  </si>
  <si>
    <t>電車に間に合う。</t>
  </si>
  <si>
    <t>Kịp tàu điện.</t>
  </si>
  <si>
    <t>計る</t>
  </si>
  <si>
    <t>計[はか]る</t>
  </si>
  <si>
    <t>đo</t>
  </si>
  <si>
    <t>時間を計る。</t>
  </si>
  <si>
    <t>Đo thời gian.</t>
  </si>
  <si>
    <t>人工</t>
  </si>
  <si>
    <t>人工[じんこう]</t>
  </si>
  <si>
    <t>nhân tạo</t>
  </si>
  <si>
    <t>人工の湖。</t>
  </si>
  <si>
    <t>Hồ nhân tạo.</t>
  </si>
  <si>
    <t>疑問</t>
  </si>
  <si>
    <t>ぎもん</t>
  </si>
  <si>
    <t>疑問[ぎもん]</t>
  </si>
  <si>
    <t>nghi vấn</t>
  </si>
  <si>
    <t>疑問を持つ。</t>
  </si>
  <si>
    <t>Có nghi vấn.</t>
  </si>
  <si>
    <t>ハンドル</t>
  </si>
  <si>
    <t>はんどる</t>
  </si>
  <si>
    <t>vô lăng</t>
  </si>
  <si>
    <t>ハンドルを握る。</t>
  </si>
  <si>
    <t>Cầm vô lăng.</t>
  </si>
  <si>
    <t>一言</t>
  </si>
  <si>
    <t>ひとこと</t>
  </si>
  <si>
    <t>一言[ひとこと]</t>
  </si>
  <si>
    <t>một lời</t>
  </si>
  <si>
    <t>一言言う。</t>
  </si>
  <si>
    <t>Nói một lời.</t>
  </si>
  <si>
    <t>主婦</t>
  </si>
  <si>
    <t>しゅふ</t>
  </si>
  <si>
    <t>主婦[しゅふ]</t>
  </si>
  <si>
    <t>nội trợ</t>
  </si>
  <si>
    <t>主婦をする。</t>
  </si>
  <si>
    <t>Làm nội trợ.</t>
  </si>
  <si>
    <t>予測</t>
  </si>
  <si>
    <t>よそく</t>
  </si>
  <si>
    <t>予測[よそく]</t>
  </si>
  <si>
    <t>dự tính</t>
  </si>
  <si>
    <t>予測を立てる。</t>
  </si>
  <si>
    <t>Lập dự tính.</t>
  </si>
  <si>
    <t>仲</t>
  </si>
  <si>
    <t>仲[なか]</t>
  </si>
  <si>
    <t>仲が良い。</t>
  </si>
  <si>
    <t>Quan hệ tốt.</t>
  </si>
  <si>
    <t>議員</t>
  </si>
  <si>
    <t>ぎいん</t>
  </si>
  <si>
    <t>議員[ぎいん]</t>
  </si>
  <si>
    <t>nghị sĩ</t>
  </si>
  <si>
    <t>議員を選ぶ。</t>
  </si>
  <si>
    <t>Bầu nghị sĩ.</t>
  </si>
  <si>
    <t>テニス</t>
  </si>
  <si>
    <t>てにす</t>
  </si>
  <si>
    <t>tennis</t>
  </si>
  <si>
    <t>テニスをする。</t>
  </si>
  <si>
    <t>Chơi tennis.</t>
  </si>
  <si>
    <t>ゴール</t>
  </si>
  <si>
    <t>ごーる</t>
  </si>
  <si>
    <t>đích</t>
  </si>
  <si>
    <t>ゴールに着く。</t>
  </si>
  <si>
    <t>Về đến đích.</t>
  </si>
  <si>
    <t>スカート</t>
  </si>
  <si>
    <t>すかーと</t>
  </si>
  <si>
    <t>váy</t>
  </si>
  <si>
    <t>新しいスカート。</t>
  </si>
  <si>
    <t>Cái váy mới.</t>
  </si>
  <si>
    <t>直す</t>
  </si>
  <si>
    <t>なおす</t>
  </si>
  <si>
    <t>直[なお]す</t>
  </si>
  <si>
    <t>sửa</t>
  </si>
  <si>
    <t>時計を直す。</t>
  </si>
  <si>
    <t>Sửa đồng hồ.</t>
  </si>
  <si>
    <t>ナンバー</t>
  </si>
  <si>
    <t>なんばー</t>
  </si>
  <si>
    <t>ナンバーを確認する。</t>
  </si>
  <si>
    <t>Kiểm tra số.</t>
  </si>
  <si>
    <t>恐れる</t>
  </si>
  <si>
    <t>おそれる</t>
  </si>
  <si>
    <t>恐[おそ]れる</t>
  </si>
  <si>
    <t>失敗を恐れる。</t>
  </si>
  <si>
    <t>Sợ thất bại.</t>
  </si>
  <si>
    <t>流す</t>
  </si>
  <si>
    <t>ながす</t>
  </si>
  <si>
    <t>流[なが]す</t>
  </si>
  <si>
    <t>xả</t>
  </si>
  <si>
    <t>水を流してください。</t>
  </si>
  <si>
    <t>Hãy xả nước.</t>
  </si>
  <si>
    <t>注文</t>
  </si>
  <si>
    <t>ちゅうもん</t>
  </si>
  <si>
    <t>注文[ちゅうもん]</t>
  </si>
  <si>
    <t>đặt hàng</t>
  </si>
  <si>
    <t>料理を注文する。</t>
  </si>
  <si>
    <t>Đặt món ăn.</t>
  </si>
  <si>
    <t>チーズ</t>
  </si>
  <si>
    <t>ちーず</t>
  </si>
  <si>
    <t>phô mai</t>
  </si>
  <si>
    <t>チーズを食べる。</t>
  </si>
  <si>
    <t>Ăn phô mai.</t>
  </si>
  <si>
    <t>五つ</t>
  </si>
  <si>
    <t>いつつ</t>
  </si>
  <si>
    <t>五[い]つ</t>
  </si>
  <si>
    <t>năm cái</t>
  </si>
  <si>
    <t>五つある。</t>
  </si>
  <si>
    <t>Có năm cái.</t>
  </si>
  <si>
    <t>買い物</t>
  </si>
  <si>
    <t>かいもの</t>
  </si>
  <si>
    <t>買[か]い物[もの]</t>
  </si>
  <si>
    <t>mua sắm</t>
  </si>
  <si>
    <t>買い物に行く。</t>
  </si>
  <si>
    <t>Đi mua sắm.</t>
  </si>
  <si>
    <t>伸びる</t>
  </si>
  <si>
    <t>伸[の]びる</t>
  </si>
  <si>
    <t>dài ra</t>
  </si>
  <si>
    <t>髪の毛が伸びる。</t>
  </si>
  <si>
    <t>Tóc dài ra.</t>
  </si>
  <si>
    <t>砂糖</t>
  </si>
  <si>
    <t>さとう</t>
  </si>
  <si>
    <t>砂糖[さとう]</t>
  </si>
  <si>
    <t>砂糖を入れる。</t>
  </si>
  <si>
    <t>Thêm đường.</t>
  </si>
  <si>
    <t>踏む</t>
  </si>
  <si>
    <t>ふむ</t>
  </si>
  <si>
    <t>踏[ふ]む</t>
  </si>
  <si>
    <t>giẫm</t>
  </si>
  <si>
    <t>ブレーキを踏む。</t>
  </si>
  <si>
    <t>Giẫm phanh.</t>
  </si>
  <si>
    <t>招く</t>
  </si>
  <si>
    <t>まねく</t>
  </si>
  <si>
    <t>招[まね]く</t>
  </si>
  <si>
    <t>mời</t>
  </si>
  <si>
    <t>友人を招く。</t>
  </si>
  <si>
    <t>Mời bạn bè.</t>
  </si>
  <si>
    <t>被る</t>
  </si>
  <si>
    <t>かぶる</t>
  </si>
  <si>
    <t>被[かぶ]る</t>
  </si>
  <si>
    <t>帽子を被る。</t>
  </si>
  <si>
    <t>Đội mũ.</t>
  </si>
  <si>
    <t>遠く</t>
  </si>
  <si>
    <t>とおく</t>
  </si>
  <si>
    <t>遠[とお]く</t>
  </si>
  <si>
    <t>遠くを見る。</t>
  </si>
  <si>
    <t>Nhìn ra xa.</t>
  </si>
  <si>
    <t>辞める</t>
  </si>
  <si>
    <t>やめる</t>
  </si>
  <si>
    <t>辞[や]める</t>
  </si>
  <si>
    <t>nghỉ việc</t>
  </si>
  <si>
    <t>仕事を辞める。</t>
  </si>
  <si>
    <t>Nghỉ việc.</t>
  </si>
  <si>
    <t>マッチ</t>
  </si>
  <si>
    <t>まっち</t>
  </si>
  <si>
    <t>diêm</t>
  </si>
  <si>
    <t>マッチをすり。</t>
  </si>
  <si>
    <t>Quẹt diêm.</t>
  </si>
  <si>
    <t>狭い</t>
  </si>
  <si>
    <t>せまい</t>
  </si>
  <si>
    <t>狭[せま]い</t>
  </si>
  <si>
    <t>hẹp</t>
  </si>
  <si>
    <t>道が狭い。</t>
  </si>
  <si>
    <t>Đường hẹp.</t>
  </si>
  <si>
    <t>センチ</t>
  </si>
  <si>
    <t>せんち</t>
  </si>
  <si>
    <t>cm</t>
  </si>
  <si>
    <t>10センチ切る。</t>
  </si>
  <si>
    <t>Cắt 10 cm.</t>
  </si>
  <si>
    <t>倒れる</t>
  </si>
  <si>
    <t>たおれる</t>
  </si>
  <si>
    <t>倒[たお]れる</t>
  </si>
  <si>
    <t>đổ</t>
  </si>
  <si>
    <t>木が倒れる。</t>
  </si>
  <si>
    <t>Cây bị đổ.</t>
  </si>
  <si>
    <t>肌</t>
  </si>
  <si>
    <t>はだ</t>
  </si>
  <si>
    <t>肌[はだ]</t>
  </si>
  <si>
    <t>da</t>
  </si>
  <si>
    <t>肌が荒れる。</t>
  </si>
  <si>
    <t>Da bị khô ráp.</t>
  </si>
  <si>
    <t>カレンダー</t>
  </si>
  <si>
    <t>かれんだー</t>
  </si>
  <si>
    <t>lịch</t>
  </si>
  <si>
    <t>カレンダーを見る。</t>
  </si>
  <si>
    <t>Xem lịch.</t>
  </si>
  <si>
    <t>ズボン</t>
  </si>
  <si>
    <t>ずぼん</t>
  </si>
  <si>
    <t>ズボンを履く。</t>
  </si>
  <si>
    <t>Mặc quần.</t>
  </si>
  <si>
    <t>ダンス</t>
  </si>
  <si>
    <t>だんす</t>
  </si>
  <si>
    <t>ダンスを踊る。</t>
  </si>
  <si>
    <t>Nhảy múa.</t>
  </si>
  <si>
    <t>折る</t>
  </si>
  <si>
    <t>折[お]る</t>
  </si>
  <si>
    <t>bẻ</t>
  </si>
  <si>
    <t>紙を折る。</t>
  </si>
  <si>
    <t>Gấp giấy.</t>
  </si>
  <si>
    <t>遊び</t>
  </si>
  <si>
    <t>あそび</t>
  </si>
  <si>
    <t>遊[あそ]び</t>
  </si>
  <si>
    <t>遊びに行く。</t>
  </si>
  <si>
    <t>Đi chơi.</t>
  </si>
  <si>
    <t>ランニング</t>
  </si>
  <si>
    <t>らんにんぐ</t>
  </si>
  <si>
    <t>chạy bộ</t>
  </si>
  <si>
    <t>ランニングをする。</t>
  </si>
  <si>
    <t>Chạy bộ.</t>
  </si>
  <si>
    <t>どなた</t>
  </si>
  <si>
    <t>vị nào</t>
  </si>
  <si>
    <t>どなたですか。</t>
  </si>
  <si>
    <t>Ai đó ạ?</t>
  </si>
  <si>
    <t>ガソリン</t>
  </si>
  <si>
    <t>がそりん</t>
  </si>
  <si>
    <t>xăng</t>
  </si>
  <si>
    <t>ガソリンを入れる。</t>
  </si>
  <si>
    <t>Đổ xăng.</t>
  </si>
  <si>
    <t>コップ</t>
  </si>
  <si>
    <t>こっぷ</t>
  </si>
  <si>
    <t>コップを洗う。</t>
  </si>
  <si>
    <t>Rửa cốc.</t>
  </si>
  <si>
    <t>スープ</t>
  </si>
  <si>
    <t>すーぷ</t>
  </si>
  <si>
    <t>súp</t>
  </si>
  <si>
    <t>スープを作る。</t>
  </si>
  <si>
    <t>Nấu súp.</t>
  </si>
  <si>
    <t>痛い</t>
  </si>
  <si>
    <t>いたい</t>
  </si>
  <si>
    <t>痛[いた]い</t>
  </si>
  <si>
    <t>đau</t>
  </si>
  <si>
    <t>頭が痛い。</t>
  </si>
  <si>
    <t>Đau đầu.</t>
  </si>
  <si>
    <t>帽子をかぶる。</t>
  </si>
  <si>
    <t>太い</t>
  </si>
  <si>
    <t>ふとい</t>
  </si>
  <si>
    <t>太[ふと]い</t>
  </si>
  <si>
    <t>太い木。</t>
  </si>
  <si>
    <t>Cây to.</t>
  </si>
  <si>
    <t>緩やか</t>
  </si>
  <si>
    <t>ゆるやか</t>
  </si>
  <si>
    <t>緩[ゆる]やか</t>
  </si>
  <si>
    <t>thoải mái</t>
  </si>
  <si>
    <t>緩やかな坂道。</t>
  </si>
  <si>
    <t>Con đường dốc thoải.</t>
  </si>
  <si>
    <t>どうにか</t>
  </si>
  <si>
    <t>bằng cách nào đó</t>
  </si>
  <si>
    <t>どうにか完成させる。</t>
  </si>
  <si>
    <t>Hoàn thành bằng cách nào đó.</t>
  </si>
  <si>
    <t>不可欠</t>
  </si>
  <si>
    <t>ふかけつ</t>
  </si>
  <si>
    <t>不可欠[ふかけつ]</t>
  </si>
  <si>
    <t>không thể thiếu</t>
  </si>
  <si>
    <t>水は不可欠だ。</t>
  </si>
  <si>
    <t>Nước là không thể thiếu.</t>
  </si>
  <si>
    <t>好評</t>
  </si>
  <si>
    <t>こうひょう</t>
  </si>
  <si>
    <t>好評[こうひょう]</t>
  </si>
  <si>
    <t>sự đánh giá cao</t>
  </si>
  <si>
    <t>映画が好評だ。</t>
  </si>
  <si>
    <t>Phim được đánh giá cao.</t>
  </si>
  <si>
    <t>財源</t>
  </si>
  <si>
    <t>ざいげん</t>
  </si>
  <si>
    <t>財源[ざいげん]</t>
  </si>
  <si>
    <t>nguồn tài chính</t>
  </si>
  <si>
    <t>財源を確保する。</t>
  </si>
  <si>
    <t>Đảm bảo nguồn tài chính.</t>
  </si>
  <si>
    <t>青春</t>
  </si>
  <si>
    <t>せいしゅん</t>
  </si>
  <si>
    <t>青春[せいしゅん]</t>
  </si>
  <si>
    <t>tuổi thanh xuân</t>
  </si>
  <si>
    <t>青春を謳歌する。</t>
  </si>
  <si>
    <t>Tận hưởng tuổi thanh xuân.</t>
  </si>
  <si>
    <t>討論</t>
  </si>
  <si>
    <t>とうろん</t>
  </si>
  <si>
    <t>討論[とうろん]</t>
  </si>
  <si>
    <t>cuộc thảo luận</t>
  </si>
  <si>
    <t>討論会に参加する。</t>
  </si>
  <si>
    <t>Tham gia cuộc thảo luận.</t>
  </si>
  <si>
    <t>説得</t>
  </si>
  <si>
    <t>せっとく</t>
  </si>
  <si>
    <t>説得[せっとく]</t>
  </si>
  <si>
    <t>sự thuyết phục</t>
  </si>
  <si>
    <t>親を説得する。</t>
  </si>
  <si>
    <t>Thuyết phục bố mẹ.</t>
  </si>
  <si>
    <t>カメラマン</t>
  </si>
  <si>
    <t>かめらまん</t>
  </si>
  <si>
    <t>nhiếp ảnh gia</t>
  </si>
  <si>
    <t>プロのカメラマンになる。</t>
  </si>
  <si>
    <t>Trở thành nhiếp ảnh gia chuyên nghiệp.</t>
  </si>
  <si>
    <t>伝説</t>
  </si>
  <si>
    <t>でんせつ</t>
  </si>
  <si>
    <t>伝説[でんせつ]</t>
  </si>
  <si>
    <t>truyền thuyết</t>
  </si>
  <si>
    <t>伝説を語る。</t>
  </si>
  <si>
    <t>Kể truyền thuyết.</t>
  </si>
  <si>
    <t>定まる</t>
  </si>
  <si>
    <t>さだまる</t>
  </si>
  <si>
    <t>定[さだ]まる</t>
  </si>
  <si>
    <t>được xác định</t>
  </si>
  <si>
    <t>方針が定まる。</t>
  </si>
  <si>
    <t>Phương châm được xác định.</t>
  </si>
  <si>
    <t>独自</t>
  </si>
  <si>
    <t>どくじ</t>
  </si>
  <si>
    <t>独自[どくじ]</t>
  </si>
  <si>
    <t>riêng</t>
  </si>
  <si>
    <t>独自の方法で解決する。</t>
  </si>
  <si>
    <t>Giải quyết bằng phương pháp riêng.</t>
  </si>
  <si>
    <t>補強</t>
  </si>
  <si>
    <t>ほきょう</t>
  </si>
  <si>
    <t>補強[ほきょう]</t>
  </si>
  <si>
    <t>sự tăng cường</t>
  </si>
  <si>
    <t>壁を補強する。</t>
  </si>
  <si>
    <t>Tăng cường bức tường.</t>
  </si>
  <si>
    <t>試み</t>
  </si>
  <si>
    <t>こころみ</t>
  </si>
  <si>
    <t>試[こころ]み</t>
  </si>
  <si>
    <t>sự thử nghiệm</t>
  </si>
  <si>
    <t>新しい試み。</t>
  </si>
  <si>
    <t>Thử nghiệm mới.</t>
  </si>
  <si>
    <t>進み</t>
  </si>
  <si>
    <t>すすみ</t>
  </si>
  <si>
    <t>進[すす]み</t>
  </si>
  <si>
    <t>sự tiến triển</t>
  </si>
  <si>
    <t>仕事の進みが遅い。</t>
  </si>
  <si>
    <t>Tiến triển công việc chậm.</t>
  </si>
  <si>
    <t>元年</t>
  </si>
  <si>
    <t>がんねん</t>
  </si>
  <si>
    <t>元年[がんねん]</t>
  </si>
  <si>
    <t>năm đầu tiên</t>
  </si>
  <si>
    <t>令和元年の出来事。</t>
  </si>
  <si>
    <t>Sự kiện năm đầu tiên thời Lệnh Hòa.</t>
  </si>
  <si>
    <t>出品</t>
  </si>
  <si>
    <t>しゅっぴん</t>
  </si>
  <si>
    <t>出品[しゅっぴん]</t>
  </si>
  <si>
    <t>sự trưng bày</t>
  </si>
  <si>
    <t>コンテストに出品する。</t>
  </si>
  <si>
    <t>Trưng bày tại cuộc thi.</t>
  </si>
  <si>
    <t>出現</t>
  </si>
  <si>
    <t>しゅつげん</t>
  </si>
  <si>
    <t>出現[しゅつげん]</t>
  </si>
  <si>
    <t>sự xuất hiện</t>
  </si>
  <si>
    <t>新しい星が出現する。</t>
  </si>
  <si>
    <t>Ngôi sao mới xuất hiện.</t>
  </si>
  <si>
    <t>原作</t>
  </si>
  <si>
    <t>げんさく</t>
  </si>
  <si>
    <t>原作[げんさく]</t>
  </si>
  <si>
    <t>tác phẩm gốc</t>
  </si>
  <si>
    <t>小説の原作を読む。</t>
  </si>
  <si>
    <t>Đọc tác phẩm gốc của tiểu thuyết.</t>
  </si>
  <si>
    <t>取扱</t>
  </si>
  <si>
    <t>とりあつかい</t>
  </si>
  <si>
    <t>取扱[とりあつかい]</t>
  </si>
  <si>
    <t>cách sử dụng</t>
  </si>
  <si>
    <t>取扱説明書を読む。</t>
  </si>
  <si>
    <t>Đọc hướng dẫn sử dụng.</t>
  </si>
  <si>
    <t>受け入れ</t>
  </si>
  <si>
    <t>うけいれ</t>
  </si>
  <si>
    <t>受[う]け入[い]れ</t>
  </si>
  <si>
    <t>sự tiếp nhận</t>
  </si>
  <si>
    <t>留学生の受け入れ。</t>
  </si>
  <si>
    <t>Tiếp nhận du học sinh.</t>
  </si>
  <si>
    <t>在庫</t>
  </si>
  <si>
    <t>ざいこ</t>
  </si>
  <si>
    <t>在庫[ざいこ]</t>
  </si>
  <si>
    <t>hàng tồn kho</t>
  </si>
  <si>
    <t>在庫を確認する。</t>
  </si>
  <si>
    <t>Kiểm tra hàng tồn kho.</t>
  </si>
  <si>
    <t>妊娠</t>
  </si>
  <si>
    <t>にんしん</t>
  </si>
  <si>
    <t>妊娠[にんしん]</t>
  </si>
  <si>
    <t>sự mang thai</t>
  </si>
  <si>
    <t>妊娠を報告する。</t>
  </si>
  <si>
    <t>Báo cáo việc mang thai.</t>
  </si>
  <si>
    <t>実家</t>
  </si>
  <si>
    <t>じっか</t>
  </si>
  <si>
    <t>実家[じっか]</t>
  </si>
  <si>
    <t>nhà bố mẹ đẻ</t>
  </si>
  <si>
    <t>実家に帰る。</t>
  </si>
  <si>
    <t>Về nhà bố mẹ đẻ.</t>
  </si>
  <si>
    <t>落ち着き</t>
  </si>
  <si>
    <t>おちつき</t>
  </si>
  <si>
    <t>落[お]ち着[つ]き</t>
  </si>
  <si>
    <t>sự bình tĩnh</t>
  </si>
  <si>
    <t>落ち着きがない。</t>
  </si>
  <si>
    <t>Không có sự bình tĩnh.</t>
  </si>
  <si>
    <t>装飾</t>
  </si>
  <si>
    <t>そうしょく</t>
  </si>
  <si>
    <t>装飾[そうしょく]</t>
  </si>
  <si>
    <t>sự trang trí</t>
  </si>
  <si>
    <t>壁を装飾する。</t>
  </si>
  <si>
    <t>Trang trí tường.</t>
  </si>
  <si>
    <t>誘導</t>
  </si>
  <si>
    <t>ゆうどう</t>
  </si>
  <si>
    <t>誘導[ゆうどう]</t>
  </si>
  <si>
    <t>sự hướng dẫn</t>
  </si>
  <si>
    <t>客を誘導する。</t>
  </si>
  <si>
    <t>Hướng dẫn khách.</t>
  </si>
  <si>
    <t>警戒</t>
  </si>
  <si>
    <t>けいかい</t>
  </si>
  <si>
    <t>警戒[けいかい]</t>
  </si>
  <si>
    <t>sự cảnh giác</t>
  </si>
  <si>
    <t>警戒を強める。</t>
  </si>
  <si>
    <t>Tăng cường cảnh giác.</t>
  </si>
  <si>
    <t>貧困</t>
  </si>
  <si>
    <t>ひんこん</t>
  </si>
  <si>
    <t>貧困[ひんこん]</t>
  </si>
  <si>
    <t>sự nghèo khó</t>
  </si>
  <si>
    <t>貧困をなくす。</t>
  </si>
  <si>
    <t>Xóa bỏ sự nghèo khó.</t>
  </si>
  <si>
    <t>逆転</t>
  </si>
  <si>
    <t>ぎゃくてん</t>
  </si>
  <si>
    <t>逆転[ぎゃくてん]</t>
  </si>
  <si>
    <t>sự đảo ngược</t>
  </si>
  <si>
    <t>試合が逆転する。</t>
  </si>
  <si>
    <t>Trận đấu đảo ngược.</t>
  </si>
  <si>
    <t>適応</t>
  </si>
  <si>
    <t>てきおう</t>
  </si>
  <si>
    <t>適応[てきおう]</t>
  </si>
  <si>
    <t>sự thích ứng</t>
  </si>
  <si>
    <t>環境に適応する。</t>
  </si>
  <si>
    <t>Thích ứng với môi trường.</t>
  </si>
  <si>
    <t>配布</t>
  </si>
  <si>
    <t>はいふ</t>
  </si>
  <si>
    <t>配布[はいふ]</t>
  </si>
  <si>
    <t>sự phân phát</t>
  </si>
  <si>
    <t>資料を配布する。</t>
  </si>
  <si>
    <t>Phân phát tài liệu.</t>
  </si>
  <si>
    <t>関与</t>
  </si>
  <si>
    <t>かんよ</t>
  </si>
  <si>
    <t>関与[かんよ]</t>
  </si>
  <si>
    <t>sự liên quan</t>
  </si>
  <si>
    <t>事件に関与する。</t>
  </si>
  <si>
    <t>Liên quan đến vụ việc.</t>
  </si>
  <si>
    <t>頻繁</t>
  </si>
  <si>
    <t>ひんぱん</t>
  </si>
  <si>
    <t>頻繁[ひんぱん]</t>
  </si>
  <si>
    <t>頻繁に連絡する。</t>
  </si>
  <si>
    <t>Liên lạc thường xuyên.</t>
  </si>
  <si>
    <t>いかにも</t>
  </si>
  <si>
    <t>quả thật là</t>
  </si>
  <si>
    <t>いかにも彼らしい。</t>
  </si>
  <si>
    <t>Đúng là phong cách của anh ấy.</t>
  </si>
  <si>
    <t>さっと</t>
  </si>
  <si>
    <t>nhanh chóng</t>
  </si>
  <si>
    <t>さっと掃除する。</t>
  </si>
  <si>
    <t>Dọn dẹp nhanh chóng.</t>
  </si>
  <si>
    <t>保管</t>
  </si>
  <si>
    <t>ほかん</t>
  </si>
  <si>
    <t>保管[ほかん]</t>
  </si>
  <si>
    <t>sự bảo quản</t>
  </si>
  <si>
    <t>貴重品を保管する。</t>
  </si>
  <si>
    <t>Bảo quản vật phẩm quý giá.</t>
  </si>
  <si>
    <t>共感</t>
  </si>
  <si>
    <t>きょうかん</t>
  </si>
  <si>
    <t>共感[きょうかん]</t>
  </si>
  <si>
    <t>sự đồng cảm</t>
  </si>
  <si>
    <t>友人の話に共感する。</t>
  </si>
  <si>
    <t>Đồng cảm với câu chuyện của bạn.</t>
  </si>
  <si>
    <t>再発</t>
  </si>
  <si>
    <t>さいはつ</t>
  </si>
  <si>
    <t>再発[さいはつ]</t>
  </si>
  <si>
    <t>sự tái phát</t>
  </si>
  <si>
    <t>病気の再発を防ぐ。</t>
  </si>
  <si>
    <t>Ngăn chặn sự tái phát bệnh.</t>
  </si>
  <si>
    <t>冷蔵</t>
  </si>
  <si>
    <t>れいぞう</t>
  </si>
  <si>
    <t>冷蔵[れいぞう]</t>
  </si>
  <si>
    <t>sự làm lạnh</t>
  </si>
  <si>
    <t>食品を冷蔵する。</t>
  </si>
  <si>
    <t>Làm lạnh thực phẩm.</t>
  </si>
  <si>
    <t>切替</t>
  </si>
  <si>
    <t>きりかえ</t>
  </si>
  <si>
    <t>切替[きりかえ]</t>
  </si>
  <si>
    <t>気持ちの切替をする。</t>
  </si>
  <si>
    <t>Thay đổi tâm trạng.</t>
  </si>
  <si>
    <t>反発</t>
  </si>
  <si>
    <t>はんぱつ</t>
  </si>
  <si>
    <t>反発[はんぱつ]</t>
  </si>
  <si>
    <t>sự phản đối</t>
  </si>
  <si>
    <t>意見に反発する。</t>
  </si>
  <si>
    <t>収集</t>
  </si>
  <si>
    <t>しゅうしゅう</t>
  </si>
  <si>
    <t>収集[しゅうしゅう]</t>
  </si>
  <si>
    <t>sự thu thập</t>
  </si>
  <si>
    <t>情報を収集する。</t>
  </si>
  <si>
    <t>正常</t>
  </si>
  <si>
    <t>せいじょう</t>
  </si>
  <si>
    <t>正常[せいじょう]</t>
  </si>
  <si>
    <t>システムが正常に戻る。</t>
  </si>
  <si>
    <t>Hệ thống trở lại bình thường.</t>
  </si>
  <si>
    <t>正義</t>
  </si>
  <si>
    <t>せいぎ</t>
  </si>
  <si>
    <t>正義[せいぎ]</t>
  </si>
  <si>
    <t>chính nghĩa</t>
  </si>
  <si>
    <t>正義を貫く。</t>
  </si>
  <si>
    <t>Giữ vững chính nghĩa.</t>
  </si>
  <si>
    <t>確定</t>
  </si>
  <si>
    <t>かくてい</t>
  </si>
  <si>
    <t>確定[かくてい]</t>
  </si>
  <si>
    <t>sự xác định</t>
  </si>
  <si>
    <t>日程を確定する。</t>
  </si>
  <si>
    <t>Xác định lịch trình.</t>
  </si>
  <si>
    <t>素材</t>
  </si>
  <si>
    <t>そざい</t>
  </si>
  <si>
    <t>素材[そざい]</t>
  </si>
  <si>
    <t>nguyên liệu</t>
  </si>
  <si>
    <t>素材を生かす料理。</t>
  </si>
  <si>
    <t>Món ăn tận dụng nguyên liệu.</t>
  </si>
  <si>
    <t>訂正</t>
  </si>
  <si>
    <t>ていせい</t>
  </si>
  <si>
    <t>訂正[ていせい]</t>
  </si>
  <si>
    <t>sự sửa chữa</t>
  </si>
  <si>
    <t>文章を訂正する。</t>
  </si>
  <si>
    <t>Sửa chữa văn bản.</t>
  </si>
  <si>
    <t>軽減</t>
  </si>
  <si>
    <t>けいげん</t>
  </si>
  <si>
    <t>軽減[けいげん]</t>
  </si>
  <si>
    <t>sự giảm bớt</t>
  </si>
  <si>
    <t>負担を軽減する。</t>
  </si>
  <si>
    <t>Giảm bớt gánh nặng.</t>
  </si>
  <si>
    <t>閉鎖</t>
  </si>
  <si>
    <t>へいさ</t>
  </si>
  <si>
    <t>閉鎖[へいさ]</t>
  </si>
  <si>
    <t>sự đóng cửa</t>
  </si>
  <si>
    <t>工場を閉鎖する。</t>
  </si>
  <si>
    <t>Đóng cửa nhà máy.</t>
  </si>
  <si>
    <t>類似</t>
  </si>
  <si>
    <t>るいじ</t>
  </si>
  <si>
    <t>類似[るいじ]</t>
  </si>
  <si>
    <t>sự tương tự</t>
  </si>
  <si>
    <t>類似点を探す。</t>
  </si>
  <si>
    <t>Tìm điểm tương tự.</t>
  </si>
  <si>
    <t>レンジ</t>
  </si>
  <si>
    <t>れんじ</t>
  </si>
  <si>
    <t>lò vi sóng</t>
  </si>
  <si>
    <t>レンジで温める。</t>
  </si>
  <si>
    <t>Làm nóng bằng lò vi sóng.</t>
  </si>
  <si>
    <t>事項</t>
  </si>
  <si>
    <t>じこう</t>
  </si>
  <si>
    <t>事項[じこう]</t>
  </si>
  <si>
    <t>điều khoản</t>
  </si>
  <si>
    <t>重要な事項。</t>
  </si>
  <si>
    <t>Điều khoản quan trọng.</t>
  </si>
  <si>
    <t>免れる</t>
  </si>
  <si>
    <t>まぬがれる</t>
  </si>
  <si>
    <t>免[まぬが]れる</t>
  </si>
  <si>
    <t>tránh khỏi</t>
  </si>
  <si>
    <t>責任を免れる。</t>
  </si>
  <si>
    <t>Tránh khỏi trách nhiệm.</t>
  </si>
  <si>
    <t>再会</t>
  </si>
  <si>
    <t>さいかい</t>
  </si>
  <si>
    <t>再会[さいかい]</t>
  </si>
  <si>
    <t>sự tái ngộ</t>
  </si>
  <si>
    <t>旧友との再会。</t>
  </si>
  <si>
    <t>Sự tái ngộ với bạn cũ.</t>
  </si>
  <si>
    <t>分離</t>
  </si>
  <si>
    <t>ぶんり</t>
  </si>
  <si>
    <t>分離[ぶんり]</t>
  </si>
  <si>
    <t>sự phân ly</t>
  </si>
  <si>
    <t>二つを分離する。</t>
  </si>
  <si>
    <t>Phân ly hai thứ.</t>
  </si>
  <si>
    <t>到達</t>
  </si>
  <si>
    <t>とうたつ</t>
  </si>
  <si>
    <t>到達[とうたつ]</t>
  </si>
  <si>
    <t>sự đạt đến</t>
  </si>
  <si>
    <t>頂上に到達する。</t>
  </si>
  <si>
    <t>Đạt đến đỉnh núi.</t>
  </si>
  <si>
    <t>制約</t>
  </si>
  <si>
    <t>せいやく</t>
  </si>
  <si>
    <t>制約[せいやく]</t>
  </si>
  <si>
    <t>sự hạn chế</t>
  </si>
  <si>
    <t>予算の制約がある。</t>
  </si>
  <si>
    <t>Có sự hạn chế về ngân sách.</t>
  </si>
  <si>
    <t>実態</t>
  </si>
  <si>
    <t>じったい</t>
  </si>
  <si>
    <t>実態[じったい]</t>
  </si>
  <si>
    <t>thực trạng</t>
  </si>
  <si>
    <t>事件の実態。</t>
  </si>
  <si>
    <t>Thực trạng vụ việc.</t>
  </si>
  <si>
    <t>権限</t>
  </si>
  <si>
    <t>けんげん</t>
  </si>
  <si>
    <t>権限[けんげん]</t>
  </si>
  <si>
    <t>thẩm quyền</t>
  </si>
  <si>
    <t>決定の権限を持つ。</t>
  </si>
  <si>
    <t>Có thẩm quyền quyết định.</t>
  </si>
  <si>
    <t>決断</t>
  </si>
  <si>
    <t>けつだん</t>
  </si>
  <si>
    <t>決断[けつだん]</t>
  </si>
  <si>
    <t>quyết đoán</t>
  </si>
  <si>
    <t>迅速な決断を下す。</t>
  </si>
  <si>
    <t>Đưa ra quyết định nhanh chóng.</t>
  </si>
  <si>
    <t>決算</t>
  </si>
  <si>
    <t>けっさん</t>
  </si>
  <si>
    <t>決算[けっさん]</t>
  </si>
  <si>
    <t>quyết toán</t>
  </si>
  <si>
    <t>決算書を作成する。</t>
  </si>
  <si>
    <t>Lập báo cáo quyết toán.</t>
  </si>
  <si>
    <t>派遣</t>
  </si>
  <si>
    <t>はけん</t>
  </si>
  <si>
    <t>派遣[はけん]</t>
  </si>
  <si>
    <t>sự phái cử</t>
  </si>
  <si>
    <t>社員を海外に派遣する。</t>
  </si>
  <si>
    <t>Phái cử nhân viên ra nước ngoài.</t>
  </si>
  <si>
    <t>申込</t>
  </si>
  <si>
    <t>もうしこみ</t>
  </si>
  <si>
    <t>申込[もうしこみ]</t>
  </si>
  <si>
    <t>参加の申込をする。</t>
  </si>
  <si>
    <t>Đăng ký tham gia.</t>
  </si>
  <si>
    <t>聖書</t>
  </si>
  <si>
    <t>せいしょ</t>
  </si>
  <si>
    <t>聖書[せいしょ]</t>
  </si>
  <si>
    <t>kinh thánh</t>
  </si>
  <si>
    <t>聖書を朗読する。</t>
  </si>
  <si>
    <t>Đọc to kinh thánh.</t>
  </si>
  <si>
    <t>脱する</t>
  </si>
  <si>
    <t>だっする</t>
  </si>
  <si>
    <t>脱[だっ]する</t>
  </si>
  <si>
    <t>thoát khỏi</t>
  </si>
  <si>
    <t>危機を脱する。</t>
  </si>
  <si>
    <t>Thoát khỏi khủng hoảng.</t>
  </si>
  <si>
    <t>芸</t>
  </si>
  <si>
    <t>げい</t>
  </si>
  <si>
    <t>芸[げい]</t>
  </si>
  <si>
    <t>芸を身につける。</t>
  </si>
  <si>
    <t>Tiếp thu nghệ thuật.</t>
  </si>
  <si>
    <t>補足</t>
  </si>
  <si>
    <t>ほそく</t>
  </si>
  <si>
    <t>補足[ほそく]</t>
  </si>
  <si>
    <t>sự bổ sung</t>
  </si>
  <si>
    <t>説明を補足する。</t>
  </si>
  <si>
    <t>Bổ sung lời giải thích.</t>
  </si>
  <si>
    <t>詐欺</t>
  </si>
  <si>
    <t>さぎ</t>
  </si>
  <si>
    <t>詐欺[さぎ]</t>
  </si>
  <si>
    <t>sự lừa đảo</t>
  </si>
  <si>
    <t>詐欺に遭う。</t>
  </si>
  <si>
    <t>Gặp phải lừa đảo.</t>
  </si>
  <si>
    <t>購買</t>
  </si>
  <si>
    <t>こうばい</t>
  </si>
  <si>
    <t>購買[こうばい]</t>
  </si>
  <si>
    <t>sự mua sắm</t>
  </si>
  <si>
    <t>購買意欲。</t>
  </si>
  <si>
    <t>Ý muốn mua sắm.</t>
  </si>
  <si>
    <t>逃れる</t>
  </si>
  <si>
    <t>のがれる</t>
  </si>
  <si>
    <t>逃[のが]れる</t>
  </si>
  <si>
    <t>trốn thoát</t>
  </si>
  <si>
    <t>危険を逃れる。</t>
  </si>
  <si>
    <t>Trốn thoát nguy hiểm.</t>
  </si>
  <si>
    <t>電源</t>
  </si>
  <si>
    <t>でんげん</t>
  </si>
  <si>
    <t>電源[でんげん]</t>
  </si>
  <si>
    <t>nguồn điện</t>
  </si>
  <si>
    <t>電源を入れる。</t>
  </si>
  <si>
    <t>Bật nguồn điện.</t>
  </si>
  <si>
    <t>養う</t>
  </si>
  <si>
    <t>やしなう</t>
  </si>
  <si>
    <t>養[やしな]う</t>
  </si>
  <si>
    <t>家族を養う。</t>
  </si>
  <si>
    <t>Nuôi dưỡng gia đình.</t>
  </si>
  <si>
    <t>アマチュア</t>
  </si>
  <si>
    <t>あまちゅあ</t>
  </si>
  <si>
    <t>nghiệp dư</t>
  </si>
  <si>
    <t>彼はアマチュアの画家だ。</t>
  </si>
  <si>
    <t>Anh ấy là họa sĩ nghiệp dư.</t>
  </si>
  <si>
    <t>ファイト</t>
  </si>
  <si>
    <t>ふぁいと</t>
  </si>
  <si>
    <t>ファイトを燃やす。</t>
  </si>
  <si>
    <t>Thắp lên tinh thần chiến đấu.</t>
  </si>
  <si>
    <t>ゆとり</t>
  </si>
  <si>
    <t>心にゆとりを持つ。</t>
  </si>
  <si>
    <t>Giữ tinh thần thong thả.</t>
  </si>
  <si>
    <t>健全</t>
  </si>
  <si>
    <t>けんぜん</t>
  </si>
  <si>
    <t>健全[けんぜん]</t>
  </si>
  <si>
    <t>lành mạnh</t>
  </si>
  <si>
    <t>健全な精神を養う。</t>
  </si>
  <si>
    <t>Nuôi dưỡng tinh thần lành mạnh.</t>
  </si>
  <si>
    <t>兵士</t>
  </si>
  <si>
    <t>へいし</t>
  </si>
  <si>
    <t>兵士[へいし]</t>
  </si>
  <si>
    <t>binh lính</t>
  </si>
  <si>
    <t>勇敢な兵士たち。</t>
  </si>
  <si>
    <t>Những người lính dũng cảm.</t>
  </si>
  <si>
    <t>処置</t>
  </si>
  <si>
    <t>しょち</t>
  </si>
  <si>
    <t>処置[しょち]</t>
  </si>
  <si>
    <t>sự xử trí</t>
  </si>
  <si>
    <t>適切な処置をとる。</t>
  </si>
  <si>
    <t>Có biện pháp xử trí thích hợp.</t>
  </si>
  <si>
    <t>出社</t>
  </si>
  <si>
    <t>しゅっしゃ</t>
  </si>
  <si>
    <t>出社[しゅっしゃ]</t>
  </si>
  <si>
    <t>sự đi làm</t>
  </si>
  <si>
    <t>朝九時に出社する。</t>
  </si>
  <si>
    <t>Đi làm lúc chín giờ sáng.</t>
  </si>
  <si>
    <t>協定</t>
  </si>
  <si>
    <t>きょうてい</t>
  </si>
  <si>
    <t>協定[きょうてい]</t>
  </si>
  <si>
    <t>hiệp định</t>
  </si>
  <si>
    <t>平和協定を結ぶ。</t>
  </si>
  <si>
    <t>Kết hiệp định hòa bình.</t>
  </si>
  <si>
    <t>収益</t>
  </si>
  <si>
    <t>しゅうえき</t>
  </si>
  <si>
    <t>収益[しゅうえき]</t>
  </si>
  <si>
    <t>収益を上げる。</t>
  </si>
  <si>
    <t>Tăng lợi nhuận.</t>
  </si>
  <si>
    <t>受け付ける</t>
  </si>
  <si>
    <t>うけつける</t>
  </si>
  <si>
    <t>受[う]け付[つ]ける</t>
  </si>
  <si>
    <t>tiếp nhận</t>
  </si>
  <si>
    <t>申し込みを受け付ける。</t>
  </si>
  <si>
    <t>Tiếp nhận đăng ký.</t>
  </si>
  <si>
    <t>営む</t>
  </si>
  <si>
    <t>いとなむ</t>
  </si>
  <si>
    <t>営[いとな]む</t>
  </si>
  <si>
    <t>điều hành</t>
  </si>
  <si>
    <t>店を営む。</t>
  </si>
  <si>
    <t>Điều hành cửa hàng.</t>
  </si>
  <si>
    <t>圧倒</t>
  </si>
  <si>
    <t>あっとう</t>
  </si>
  <si>
    <t>圧倒[あっとう]</t>
  </si>
  <si>
    <t>sự áp đảo</t>
  </si>
  <si>
    <t>圧倒的な勝利。</t>
  </si>
  <si>
    <t>Chiến thắng áp đảo.</t>
  </si>
  <si>
    <t>特集</t>
  </si>
  <si>
    <t>とくしゅう</t>
  </si>
  <si>
    <t>特集[とくしゅう]</t>
  </si>
  <si>
    <t>chuyên đề</t>
  </si>
  <si>
    <t>雑誌の特集記事。</t>
  </si>
  <si>
    <t>Bài viết chuyên đề của tạp chí.</t>
  </si>
  <si>
    <t>著名</t>
  </si>
  <si>
    <t>ちょめい</t>
  </si>
  <si>
    <t>著名[ちょめい]</t>
  </si>
  <si>
    <t>著名な学者。</t>
  </si>
  <si>
    <t>Học giả nổi tiếng.</t>
  </si>
  <si>
    <t>返済</t>
  </si>
  <si>
    <t>へんさい</t>
  </si>
  <si>
    <t>返済[へんさい]</t>
  </si>
  <si>
    <t>sự trả nợ</t>
  </si>
  <si>
    <t>借金を返済する。</t>
  </si>
  <si>
    <t>Trả nợ.</t>
  </si>
  <si>
    <t>連邦</t>
  </si>
  <si>
    <t>れんぽう</t>
  </si>
  <si>
    <t>連邦[れんぽう]</t>
  </si>
  <si>
    <t>liên bang</t>
  </si>
  <si>
    <t>連邦政府。</t>
  </si>
  <si>
    <t>Chính phủ liên bang.</t>
  </si>
  <si>
    <t>避難</t>
  </si>
  <si>
    <t>ひなん</t>
  </si>
  <si>
    <t>避難[ひなん]</t>
  </si>
  <si>
    <t>sự sơ tán</t>
  </si>
  <si>
    <t>高台へ避難する。</t>
  </si>
  <si>
    <t>Sơ tán đến vùng cao.</t>
  </si>
  <si>
    <t>インフレ</t>
  </si>
  <si>
    <t>いんふれ</t>
  </si>
  <si>
    <t>lạm phát</t>
  </si>
  <si>
    <t>インフレが進む。</t>
  </si>
  <si>
    <t>Lạm phát đang tiến triển.</t>
  </si>
  <si>
    <t>シナリオ</t>
  </si>
  <si>
    <t>しなりお</t>
  </si>
  <si>
    <t>kịch bản</t>
  </si>
  <si>
    <t>シナリオを読む。</t>
  </si>
  <si>
    <t>Đọc kịch bản.</t>
  </si>
  <si>
    <t>でかい</t>
  </si>
  <si>
    <t>でかい家を建てる。</t>
  </si>
  <si>
    <t>Xây ngôi nhà khổng lồ.</t>
  </si>
  <si>
    <t>バー</t>
  </si>
  <si>
    <t>ばー</t>
  </si>
  <si>
    <t>quán bar</t>
  </si>
  <si>
    <t>バーで酒を飲む。</t>
  </si>
  <si>
    <t>Uống rượu tại quán bar.</t>
  </si>
  <si>
    <t>レース</t>
  </si>
  <si>
    <t>れーす</t>
  </si>
  <si>
    <t>cuộc đua</t>
  </si>
  <si>
    <t>レースに参加する。</t>
  </si>
  <si>
    <t>Tham gia cuộc đua.</t>
  </si>
  <si>
    <t>任す</t>
  </si>
  <si>
    <t>まかす</t>
  </si>
  <si>
    <t>任[まか]す</t>
  </si>
  <si>
    <t>giao phó</t>
  </si>
  <si>
    <t>仕事を任す。</t>
  </si>
  <si>
    <t>Giao phó công việc.</t>
  </si>
  <si>
    <t>作用</t>
  </si>
  <si>
    <t>さよう</t>
  </si>
  <si>
    <t>作用[さよう]</t>
  </si>
  <si>
    <t>tác dụng</t>
  </si>
  <si>
    <t>薬の作用。</t>
  </si>
  <si>
    <t>Tác dụng của thuốc.</t>
  </si>
  <si>
    <t>兆</t>
  </si>
  <si>
    <t>ちょう</t>
  </si>
  <si>
    <t>兆[ちょう]</t>
  </si>
  <si>
    <t>nghìn tỷ</t>
  </si>
  <si>
    <t>一兆円の予算案。</t>
  </si>
  <si>
    <t>Đề án ngân sách một nghìn tỷ yên.</t>
  </si>
  <si>
    <t>冒頭</t>
  </si>
  <si>
    <t>ぼうとう</t>
  </si>
  <si>
    <t>冒頭[ぼうとう]</t>
  </si>
  <si>
    <t>đầu đoạn</t>
  </si>
  <si>
    <t>会議の冒頭で話す。</t>
  </si>
  <si>
    <t>Nói ở phần đầu cuộc họp.</t>
  </si>
  <si>
    <t>切ない</t>
  </si>
  <si>
    <t>せつない</t>
  </si>
  <si>
    <t>切[せつ]ない</t>
  </si>
  <si>
    <t>đau lòng</t>
  </si>
  <si>
    <t>切ない気持ちになる。</t>
  </si>
  <si>
    <t>Trở nên đau lòng.</t>
  </si>
  <si>
    <t>利点</t>
  </si>
  <si>
    <t>りてん</t>
  </si>
  <si>
    <t>利点[りてん]</t>
  </si>
  <si>
    <t>điểm lợi</t>
  </si>
  <si>
    <t>新機能の利点。</t>
  </si>
  <si>
    <t>Điểm lợi của tính năng mới.</t>
  </si>
  <si>
    <t>励ます</t>
  </si>
  <si>
    <t>はげます</t>
  </si>
  <si>
    <t>励[はげ]ます</t>
  </si>
  <si>
    <t>khích lệ</t>
  </si>
  <si>
    <t>友人を励ます。</t>
  </si>
  <si>
    <t>Khích lệ bạn bè.</t>
  </si>
  <si>
    <t>受け止める</t>
  </si>
  <si>
    <t>うけとめる</t>
  </si>
  <si>
    <t>受[う]け止[と]める</t>
  </si>
  <si>
    <t>đón nhận</t>
  </si>
  <si>
    <t>事実を受け止める。</t>
  </si>
  <si>
    <t>Đón nhận sự thật.</t>
  </si>
  <si>
    <t>生かす</t>
  </si>
  <si>
    <t>いかす</t>
  </si>
  <si>
    <t>生[い]かす</t>
  </si>
  <si>
    <t>tận dụng</t>
  </si>
  <si>
    <t>経験を生かす。</t>
  </si>
  <si>
    <t>Tận dụng kinh nghiệm.</t>
  </si>
  <si>
    <t>義理</t>
  </si>
  <si>
    <t>ぎり</t>
  </si>
  <si>
    <t>義理[ぎり]</t>
  </si>
  <si>
    <t>nghĩa lý</t>
  </si>
  <si>
    <t>義理で参加する。</t>
  </si>
  <si>
    <t>Tham gia vì nghĩa lý.</t>
  </si>
  <si>
    <t>花粉</t>
  </si>
  <si>
    <t>かふん</t>
  </si>
  <si>
    <t>花粉[かふん]</t>
  </si>
  <si>
    <t>phấn hoa</t>
  </si>
  <si>
    <t>花粉症になる。</t>
  </si>
  <si>
    <t>Bị dị ứng phấn hoa.</t>
  </si>
  <si>
    <t>英雄</t>
  </si>
  <si>
    <t>えいゆう</t>
  </si>
  <si>
    <t>英雄[えいゆう]</t>
  </si>
  <si>
    <t>anh hùng</t>
  </si>
  <si>
    <t>国民の英雄。</t>
  </si>
  <si>
    <t>Anh hùng dân tộc.</t>
  </si>
  <si>
    <t>複合</t>
  </si>
  <si>
    <t>ふくごう</t>
  </si>
  <si>
    <t>複合[ふくごう]</t>
  </si>
  <si>
    <t>phức hợp</t>
  </si>
  <si>
    <t>複合的な問題。</t>
  </si>
  <si>
    <t>Vấn đề phức hợp.</t>
  </si>
  <si>
    <t>襲う</t>
  </si>
  <si>
    <t>おそう</t>
  </si>
  <si>
    <t>襲[おそ]う</t>
  </si>
  <si>
    <t>tấn công</t>
  </si>
  <si>
    <t>敵を襲う。</t>
  </si>
  <si>
    <t>Tấn công kẻ địch.</t>
  </si>
  <si>
    <t>階層</t>
  </si>
  <si>
    <t>かいそう</t>
  </si>
  <si>
    <t>階層[かいそう]</t>
  </si>
  <si>
    <t>tầng lớp</t>
  </si>
  <si>
    <t>社会の階層。</t>
  </si>
  <si>
    <t>Tầng lớp xã hội.</t>
  </si>
  <si>
    <t>魂</t>
  </si>
  <si>
    <t>たましい</t>
  </si>
  <si>
    <t>魂[たましい]</t>
  </si>
  <si>
    <t>linh hồn</t>
  </si>
  <si>
    <t>魂が揺さぶられる。</t>
  </si>
  <si>
    <t>Linh hồn bị lay động.</t>
  </si>
  <si>
    <t>ユニーク</t>
  </si>
  <si>
    <t>ゆにーく</t>
  </si>
  <si>
    <t>độc đáo</t>
  </si>
  <si>
    <t>ユニークなアイデア。</t>
  </si>
  <si>
    <t>Ý tưởng độc đáo.</t>
  </si>
  <si>
    <t>主体</t>
  </si>
  <si>
    <t>しゅたい</t>
  </si>
  <si>
    <t>主体[しゅたい]</t>
  </si>
  <si>
    <t>chủ thể</t>
  </si>
  <si>
    <t>計画の主体。</t>
  </si>
  <si>
    <t>Chủ thể của kế hoạch.</t>
  </si>
  <si>
    <t>仕掛ける</t>
  </si>
  <si>
    <t>しかける</t>
  </si>
  <si>
    <t>仕掛[しか]ける</t>
  </si>
  <si>
    <t>戦いを仕掛ける。</t>
  </si>
  <si>
    <t>Bắt đầu cuộc chiến.</t>
  </si>
  <si>
    <t>保守</t>
  </si>
  <si>
    <t>ほしゅ</t>
  </si>
  <si>
    <t>保守[ほしゅ]</t>
  </si>
  <si>
    <t>bảo trì</t>
  </si>
  <si>
    <t>システムの保守作業。</t>
  </si>
  <si>
    <t>Công việc bảo trì hệ thống.</t>
  </si>
  <si>
    <t>個別</t>
  </si>
  <si>
    <t>こべつ</t>
  </si>
  <si>
    <t>個別[こべつ]</t>
  </si>
  <si>
    <t>cá biệt</t>
  </si>
  <si>
    <t>個別に対応する。</t>
  </si>
  <si>
    <t>Ứng phó một cách cá biệt.</t>
  </si>
  <si>
    <t>傾ける</t>
  </si>
  <si>
    <t>かたむける</t>
  </si>
  <si>
    <t>傾[かたむ]ける</t>
  </si>
  <si>
    <t>nghiêng</t>
  </si>
  <si>
    <t>耳を傾ける姿勢。</t>
  </si>
  <si>
    <t>Tư thế lắng nghe.</t>
  </si>
  <si>
    <t>分子</t>
  </si>
  <si>
    <t>ぶんし</t>
  </si>
  <si>
    <t>分子[ぶんし]</t>
  </si>
  <si>
    <t>phân tử</t>
  </si>
  <si>
    <t>水の分子構造。</t>
  </si>
  <si>
    <t>Cấu trúc phân tử nước.</t>
  </si>
  <si>
    <t>動機</t>
  </si>
  <si>
    <t>どうき</t>
  </si>
  <si>
    <t>動機[どうき]</t>
  </si>
  <si>
    <t>志望の動機を話す。</t>
  </si>
  <si>
    <t>Nói về động cơ nguyện vọng.</t>
  </si>
  <si>
    <t>勢力</t>
  </si>
  <si>
    <t>せいりょく</t>
  </si>
  <si>
    <t>勢力[せいりょく]</t>
  </si>
  <si>
    <t>thế lực</t>
  </si>
  <si>
    <t>大きな勢力を持つ。</t>
  </si>
  <si>
    <t>Có thế lực lớn.</t>
  </si>
  <si>
    <t>取り付ける</t>
  </si>
  <si>
    <t>とりつける</t>
  </si>
  <si>
    <t>取[と]り付[つ]ける</t>
  </si>
  <si>
    <t>lắp đặt</t>
  </si>
  <si>
    <t>エアコンを取り付ける。</t>
  </si>
  <si>
    <t>Lắp đặt điều hòa.</t>
  </si>
  <si>
    <t>取り除く</t>
  </si>
  <si>
    <t>とりのぞく</t>
  </si>
  <si>
    <t>取[と]り除[のぞ]く</t>
  </si>
  <si>
    <t>loại bỏ</t>
  </si>
  <si>
    <t>障害物を取り除く。</t>
  </si>
  <si>
    <t>Loại bỏ chướng ngại vật.</t>
  </si>
  <si>
    <t>名称</t>
  </si>
  <si>
    <t>めいしょう</t>
  </si>
  <si>
    <t>名称[めいしょう]</t>
  </si>
  <si>
    <t>tên gọi</t>
  </si>
  <si>
    <t>新しい製品の名称。</t>
  </si>
  <si>
    <t>Tên gọi sản phẩm mới.</t>
  </si>
  <si>
    <t>報ずる</t>
  </si>
  <si>
    <t>ほうずる</t>
  </si>
  <si>
    <t>報[ほう]ずる</t>
  </si>
  <si>
    <t>ニュースを報ずる。</t>
  </si>
  <si>
    <t>Đưa tin tin tức.</t>
  </si>
  <si>
    <t>多様</t>
  </si>
  <si>
    <t>たよう</t>
  </si>
  <si>
    <t>多様[たよう]</t>
  </si>
  <si>
    <t>多様な意見がある。</t>
  </si>
  <si>
    <t>Có ý kiến đa dạng.</t>
  </si>
  <si>
    <t>根本</t>
  </si>
  <si>
    <t>こんぽん</t>
  </si>
  <si>
    <t>根本[こんぽん]</t>
  </si>
  <si>
    <t>căn bản</t>
  </si>
  <si>
    <t>根本的な解決策を探る。</t>
  </si>
  <si>
    <t>Tìm kiếm giải pháp căn bản.</t>
  </si>
  <si>
    <t>法案</t>
  </si>
  <si>
    <t>ほうあん</t>
  </si>
  <si>
    <t>法案[ほうあん]</t>
  </si>
  <si>
    <t>dự luật</t>
  </si>
  <si>
    <t>法案を提出する。</t>
  </si>
  <si>
    <t>Trình dự luật.</t>
  </si>
  <si>
    <t>満たす</t>
  </si>
  <si>
    <t>みたす</t>
  </si>
  <si>
    <t>満[み]たす</t>
  </si>
  <si>
    <t>làm đầy</t>
  </si>
  <si>
    <t>コップに水を満たす。</t>
  </si>
  <si>
    <t>Rót đầy nước vào cốc.</t>
  </si>
  <si>
    <t>罰</t>
  </si>
  <si>
    <t>ばつ</t>
  </si>
  <si>
    <t>罰[ばつ]</t>
  </si>
  <si>
    <t>sự phạt</t>
  </si>
  <si>
    <t>罰を受ける。</t>
  </si>
  <si>
    <t>Phải chịu phạt.</t>
  </si>
  <si>
    <t>行い</t>
  </si>
  <si>
    <t>おこない</t>
  </si>
  <si>
    <t>行[おこな]い</t>
  </si>
  <si>
    <t>行いが悪い。</t>
  </si>
  <si>
    <t>Hành vi xấu.</t>
  </si>
  <si>
    <t>衣類</t>
  </si>
  <si>
    <t>いるい</t>
  </si>
  <si>
    <t>衣類[いるい]</t>
  </si>
  <si>
    <t>衣類を洗濯する。</t>
  </si>
  <si>
    <t>Giặt quần áo.</t>
  </si>
  <si>
    <t>訴訟</t>
  </si>
  <si>
    <t>そしょう</t>
  </si>
  <si>
    <t>訴訟[そしょう]</t>
  </si>
  <si>
    <t>vụ kiện</t>
  </si>
  <si>
    <t>訴訟を起こす。</t>
  </si>
  <si>
    <t>Khởi tố vụ kiện.</t>
  </si>
  <si>
    <t>誤る</t>
  </si>
  <si>
    <t>あやまる</t>
  </si>
  <si>
    <t>誤[あやま]る</t>
  </si>
  <si>
    <t>判断を誤る。</t>
  </si>
  <si>
    <t>Sai lầm trong phán đoán.</t>
  </si>
  <si>
    <t>赤字</t>
  </si>
  <si>
    <t>あかじ</t>
  </si>
  <si>
    <t>赤字[あかじ]</t>
  </si>
  <si>
    <t>thua lỗ</t>
  </si>
  <si>
    <t>会社が赤字だ。</t>
  </si>
  <si>
    <t>Công ty bị thua lỗ.</t>
  </si>
  <si>
    <t>走行</t>
  </si>
  <si>
    <t>そうこう</t>
  </si>
  <si>
    <t>走行[そうこう]</t>
  </si>
  <si>
    <t>sự chạy</t>
  </si>
  <si>
    <t>車が走行する。</t>
  </si>
  <si>
    <t>Xe đang chạy.</t>
  </si>
  <si>
    <t>追い込む</t>
  </si>
  <si>
    <t>おいこむ</t>
  </si>
  <si>
    <t>追[お]い込[こ]む</t>
  </si>
  <si>
    <t>dồn vào</t>
  </si>
  <si>
    <t>コーナーに追い込む。</t>
  </si>
  <si>
    <t>Dồn vào góc.</t>
  </si>
  <si>
    <t>ポーズ</t>
  </si>
  <si>
    <t>ぽーず</t>
  </si>
  <si>
    <t>写真を撮るポーズ。</t>
  </si>
  <si>
    <t>Tư thế chụp ảnh.</t>
  </si>
  <si>
    <t>仕組</t>
  </si>
  <si>
    <t>しくみ</t>
  </si>
  <si>
    <t>仕組[しくみ]</t>
  </si>
  <si>
    <t>cơ cấu</t>
  </si>
  <si>
    <t>機械の仕組。</t>
  </si>
  <si>
    <t>Cơ cấu của máy móc.</t>
  </si>
  <si>
    <t>入浴</t>
  </si>
  <si>
    <t>にゅうよく</t>
  </si>
  <si>
    <t>入浴[にゅうよく]</t>
  </si>
  <si>
    <t>sự tắm</t>
  </si>
  <si>
    <t>入浴をしてリラックスする。</t>
  </si>
  <si>
    <t>Tắm rửa để thư giãn.</t>
  </si>
  <si>
    <t>内緒</t>
  </si>
  <si>
    <t>ないしょ</t>
  </si>
  <si>
    <t>内緒[ないしょ]</t>
  </si>
  <si>
    <t>内緒の話をする。</t>
  </si>
  <si>
    <t>Nói chuyện bí mật.</t>
  </si>
  <si>
    <t>凝る</t>
  </si>
  <si>
    <t>こる</t>
  </si>
  <si>
    <t>凝[こ]る</t>
  </si>
  <si>
    <t>đam mê</t>
  </si>
  <si>
    <t>写真に凝る。</t>
  </si>
  <si>
    <t>Đam mê nhiếp ảnh.</t>
  </si>
  <si>
    <t>判決</t>
  </si>
  <si>
    <t>はんけつ</t>
  </si>
  <si>
    <t>判決[はんけつ]</t>
  </si>
  <si>
    <t>bản án</t>
  </si>
  <si>
    <t>裁判で判決が下る。</t>
  </si>
  <si>
    <t>Bản án được tuyên tại tòa.</t>
  </si>
  <si>
    <t>自立</t>
  </si>
  <si>
    <t>じりつ</t>
  </si>
  <si>
    <t>自立[じりつ]</t>
  </si>
  <si>
    <t>tự lập</t>
  </si>
  <si>
    <t>親から自立する。</t>
  </si>
  <si>
    <t>Tự lập khỏi cha mẹ.</t>
  </si>
  <si>
    <t>誇る</t>
  </si>
  <si>
    <t>ほこる</t>
  </si>
  <si>
    <t>誇[ほこ]る</t>
  </si>
  <si>
    <t>tự hào</t>
  </si>
  <si>
    <t>技術を誇る。</t>
  </si>
  <si>
    <t>Tự hào về kỹ thuật.</t>
  </si>
  <si>
    <t>事前</t>
  </si>
  <si>
    <t>じぜん</t>
  </si>
  <si>
    <t>事前[じぜん]</t>
  </si>
  <si>
    <t>trước</t>
  </si>
  <si>
    <t>事前の準備。</t>
  </si>
  <si>
    <t>Sự chuẩn bị trước.</t>
  </si>
  <si>
    <t>募る</t>
  </si>
  <si>
    <t>つのる</t>
  </si>
  <si>
    <t>募[つの]る</t>
  </si>
  <si>
    <t>tuyển</t>
  </si>
  <si>
    <t>参加者を募る。</t>
  </si>
  <si>
    <t>Tuyển người tham gia.</t>
  </si>
  <si>
    <t>取り扱う</t>
  </si>
  <si>
    <t>とりあつかう</t>
  </si>
  <si>
    <t>取[と]り扱[あつか]う</t>
  </si>
  <si>
    <t>慎重に取り扱う。</t>
  </si>
  <si>
    <t>Xử lý một cách thận trọng.</t>
  </si>
  <si>
    <t>比率</t>
  </si>
  <si>
    <t>ひりつ</t>
  </si>
  <si>
    <t>比率[ひりつ]</t>
  </si>
  <si>
    <t>tỷ lệ</t>
  </si>
  <si>
    <t>男女の比率を調べる。</t>
  </si>
  <si>
    <t>Kiểm tra tỷ lệ nam nữ.</t>
  </si>
  <si>
    <t>ずれ</t>
  </si>
  <si>
    <t>lệch</t>
  </si>
  <si>
    <t>意見のずれがある。</t>
  </si>
  <si>
    <t>Có sự lệch nhau về ý kiến.</t>
  </si>
  <si>
    <t>タワー</t>
  </si>
  <si>
    <t>たわー</t>
  </si>
  <si>
    <t>tháp</t>
  </si>
  <si>
    <t>高いタワーに登る。</t>
  </si>
  <si>
    <t>Leo lên tòa tháp cao.</t>
  </si>
  <si>
    <t>天</t>
  </si>
  <si>
    <t>天[てん]</t>
  </si>
  <si>
    <t>trời</t>
  </si>
  <si>
    <t>天と地。</t>
  </si>
  <si>
    <t>Trời và đất.</t>
  </si>
  <si>
    <t>演じる</t>
  </si>
  <si>
    <t>えんじる</t>
  </si>
  <si>
    <t>演[えん]じる</t>
  </si>
  <si>
    <t>diễn</t>
  </si>
  <si>
    <t>役を演じる。</t>
  </si>
  <si>
    <t>Diễn một vai.</t>
  </si>
  <si>
    <t>類</t>
  </si>
  <si>
    <t>るい</t>
  </si>
  <si>
    <t>類[るい]</t>
  </si>
  <si>
    <t>loại</t>
  </si>
  <si>
    <t>同類の物。</t>
  </si>
  <si>
    <t>Vật cùng loại.</t>
  </si>
  <si>
    <t>ニュー</t>
  </si>
  <si>
    <t>にゅー</t>
  </si>
  <si>
    <t>ニューアルバムを出す。</t>
  </si>
  <si>
    <t>Phát hành album mới.</t>
  </si>
  <si>
    <t>副</t>
  </si>
  <si>
    <t>副[ふく]</t>
  </si>
  <si>
    <t>phó</t>
  </si>
  <si>
    <t>副社長と相談する。</t>
  </si>
  <si>
    <t>Thảo luận với phó giám đốc.</t>
  </si>
  <si>
    <t>売り出す</t>
  </si>
  <si>
    <t>うりだす</t>
  </si>
  <si>
    <t>売[う]り出[だ]す</t>
  </si>
  <si>
    <t>新商品を売り出す。</t>
  </si>
  <si>
    <t>Bán sản phẩm mới.</t>
  </si>
  <si>
    <t>好調</t>
  </si>
  <si>
    <t>こうちょう</t>
  </si>
  <si>
    <t>好調[こうちょう]</t>
  </si>
  <si>
    <t>成績が好調だ。</t>
  </si>
  <si>
    <t>Thành tích tốt.</t>
  </si>
  <si>
    <t>良し</t>
  </si>
  <si>
    <t>よし</t>
  </si>
  <si>
    <t>良[よ]し</t>
  </si>
  <si>
    <t>これで良しとする。</t>
  </si>
  <si>
    <t>Coi như thế này là tốt.</t>
  </si>
  <si>
    <t>転ずる</t>
  </si>
  <si>
    <t>てんずる</t>
  </si>
  <si>
    <t>転[てん]ずる</t>
  </si>
  <si>
    <t>視点を転ずる。</t>
  </si>
  <si>
    <t>Đổi quan điểm.</t>
  </si>
  <si>
    <t>黒字</t>
  </si>
  <si>
    <t>くろじ</t>
  </si>
  <si>
    <t>黒字[くろじ]</t>
  </si>
  <si>
    <t>lãi</t>
  </si>
  <si>
    <t>経営が黒字だ。</t>
  </si>
  <si>
    <t>Kinh doanh có lãi.</t>
  </si>
  <si>
    <t>受かる</t>
  </si>
  <si>
    <t>うかる</t>
  </si>
  <si>
    <t>受[う]かる</t>
  </si>
  <si>
    <t>試験に受かる。</t>
  </si>
  <si>
    <t>同僚</t>
  </si>
  <si>
    <t>どうりょう</t>
  </si>
  <si>
    <t>同僚[どうりょう]</t>
  </si>
  <si>
    <t>đồng nghiệp</t>
  </si>
  <si>
    <t>同僚と相談する。</t>
  </si>
  <si>
    <t>Tôi thảo luận với đồng nghiệp.</t>
  </si>
  <si>
    <t>方針</t>
  </si>
  <si>
    <t>ほうしん</t>
  </si>
  <si>
    <t>方針[ほうしん]</t>
  </si>
  <si>
    <t>phương châm</t>
  </si>
  <si>
    <t>方針を決める。</t>
  </si>
  <si>
    <t>Quyết định phương châm.</t>
  </si>
  <si>
    <t>楽</t>
  </si>
  <si>
    <t>らく</t>
  </si>
  <si>
    <t>楽[らく]</t>
  </si>
  <si>
    <t>楽な仕事。</t>
  </si>
  <si>
    <t>Đó là công việc thoải mái.</t>
  </si>
  <si>
    <t>商業</t>
  </si>
  <si>
    <t>しょうぎょう</t>
  </si>
  <si>
    <t>商業[しょうぎょう]</t>
  </si>
  <si>
    <t>thương mại</t>
  </si>
  <si>
    <t>商業が発展する。</t>
  </si>
  <si>
    <t>Thương mại phát triển.</t>
  </si>
  <si>
    <t>暖かい</t>
  </si>
  <si>
    <t>暖[あたた]かい</t>
  </si>
  <si>
    <t>暖かい春。</t>
  </si>
  <si>
    <t>Đó là mùa xuân ấm áp.</t>
  </si>
  <si>
    <t>毎週</t>
  </si>
  <si>
    <t>まいしゅう</t>
  </si>
  <si>
    <t>毎週[まいしゅう]</t>
  </si>
  <si>
    <t>mỗi tuần</t>
  </si>
  <si>
    <t>毎週休む。</t>
  </si>
  <si>
    <t>Tôi nghỉ mỗi tuần.</t>
  </si>
  <si>
    <t>捕まえる</t>
  </si>
  <si>
    <t>つかまえる</t>
  </si>
  <si>
    <t>捕[つか]まえる</t>
  </si>
  <si>
    <t>蝶を捕まえる。</t>
  </si>
  <si>
    <t>Bắt bướm.</t>
  </si>
  <si>
    <t>抗議</t>
  </si>
  <si>
    <t>こうぎ</t>
  </si>
  <si>
    <t>抗議[こうぎ]</t>
  </si>
  <si>
    <t>kháng nghị</t>
  </si>
  <si>
    <t>デモで抗議する。</t>
  </si>
  <si>
    <t>Kháng nghị bằng biểu tình.</t>
  </si>
  <si>
    <t>対決</t>
  </si>
  <si>
    <t>たいけつ</t>
  </si>
  <si>
    <t>対決[たいけつ]</t>
  </si>
  <si>
    <t>đối quyết</t>
  </si>
  <si>
    <t>宿敵と対決する。</t>
  </si>
  <si>
    <t>Đối quyết với kẻ thù không đội trời chung.</t>
  </si>
  <si>
    <t>富</t>
  </si>
  <si>
    <t>とみ</t>
  </si>
  <si>
    <t>富[とみ]</t>
  </si>
  <si>
    <t>của cải</t>
  </si>
  <si>
    <t>富を築く。</t>
  </si>
  <si>
    <t>Xây dựng của cải.</t>
  </si>
  <si>
    <t>役職</t>
  </si>
  <si>
    <t>やくしょく</t>
  </si>
  <si>
    <t>役職[やくしょく]</t>
  </si>
  <si>
    <t>役職に就く。</t>
  </si>
  <si>
    <t>Nhận chức vụ.</t>
  </si>
  <si>
    <t>持続</t>
  </si>
  <si>
    <t>じぞく</t>
  </si>
  <si>
    <t>持続[じぞく]</t>
  </si>
  <si>
    <t>効果が持続する。</t>
  </si>
  <si>
    <t>Hiệu quả duy trì.</t>
  </si>
  <si>
    <t>放置</t>
  </si>
  <si>
    <t>ほうち</t>
  </si>
  <si>
    <t>放置[ほうち]</t>
  </si>
  <si>
    <t>để mặc</t>
  </si>
  <si>
    <t>ゴミを放置する。</t>
  </si>
  <si>
    <t>Để mặc rác.</t>
  </si>
  <si>
    <t>学会</t>
  </si>
  <si>
    <t>がっかい</t>
  </si>
  <si>
    <t>学会[がっかい]</t>
  </si>
  <si>
    <t>hội nghị khoa học</t>
  </si>
  <si>
    <t>学会で発表する。</t>
  </si>
  <si>
    <t>Tôi thuyết trình tại hội nghị khoa học.</t>
  </si>
  <si>
    <t>外交</t>
  </si>
  <si>
    <t>がいこう</t>
  </si>
  <si>
    <t>外交[がいこう]</t>
  </si>
  <si>
    <t>ngoại giao</t>
  </si>
  <si>
    <t>外交関係を築く。</t>
  </si>
  <si>
    <t>Tôi xây dựng quan hệ ngoại giao.</t>
  </si>
  <si>
    <t>古典</t>
  </si>
  <si>
    <t>こてん</t>
  </si>
  <si>
    <t>古典[こてん]</t>
  </si>
  <si>
    <t>cổ điển</t>
  </si>
  <si>
    <t>古典文学を研究する。</t>
  </si>
  <si>
    <t>Tôi nghiên cứu văn học cổ điển.</t>
  </si>
  <si>
    <t>合理</t>
  </si>
  <si>
    <t>ごうり</t>
  </si>
  <si>
    <t>合理[ごうり]</t>
  </si>
  <si>
    <t>hợp lý</t>
  </si>
  <si>
    <t>合理的な方法をとる。</t>
  </si>
  <si>
    <t>Tôi áp dụng phương pháp hợp lý.</t>
  </si>
  <si>
    <t>大臣</t>
  </si>
  <si>
    <t>だいじん</t>
  </si>
  <si>
    <t>大臣[だいじん]</t>
  </si>
  <si>
    <t>bộ trưởng</t>
  </si>
  <si>
    <t>大臣が答弁する。</t>
  </si>
  <si>
    <t>Bộ trưởng trả lời chất vấn.</t>
  </si>
  <si>
    <t>委員</t>
  </si>
  <si>
    <t>いいん</t>
  </si>
  <si>
    <t>委員[いいん]</t>
  </si>
  <si>
    <t>ủy viên</t>
  </si>
  <si>
    <t>委員に選ばれる。</t>
  </si>
  <si>
    <t>Tôi được chọn làm ủy viên.</t>
  </si>
  <si>
    <t>接する</t>
  </si>
  <si>
    <t>せっする</t>
  </si>
  <si>
    <t>接[せっ]する</t>
  </si>
  <si>
    <t>tiếp xúc</t>
  </si>
  <si>
    <t>客に接する。</t>
  </si>
  <si>
    <t>Tôi tiếp đón khách hàng.</t>
  </si>
  <si>
    <t>宇宙</t>
  </si>
  <si>
    <t>うちゅう</t>
  </si>
  <si>
    <t>宇宙[うちゅう]</t>
  </si>
  <si>
    <t>vũ trụ</t>
  </si>
  <si>
    <t>宇宙旅行をする。</t>
  </si>
  <si>
    <t>Tôi đi du lịch vũ trụ.</t>
  </si>
  <si>
    <t>振り</t>
  </si>
  <si>
    <t>ふり</t>
  </si>
  <si>
    <t>振[ふ]り</t>
  </si>
  <si>
    <t>vẻ</t>
  </si>
  <si>
    <t>知らない振りをする。</t>
  </si>
  <si>
    <t>Làm vẻ như không biết.</t>
  </si>
  <si>
    <t>書類</t>
  </si>
  <si>
    <t>しょるい</t>
  </si>
  <si>
    <t>書類[しょるい]</t>
  </si>
  <si>
    <t>書類をまとめる。</t>
  </si>
  <si>
    <t>Tôi sắp xếp tài liệu.</t>
  </si>
  <si>
    <t>咲く</t>
  </si>
  <si>
    <t>咲[さ]く</t>
  </si>
  <si>
    <t>nở</t>
  </si>
  <si>
    <t>桜が咲く。</t>
  </si>
  <si>
    <t>Hoa anh đào nở.</t>
  </si>
  <si>
    <t>金属</t>
  </si>
  <si>
    <t>きんぞく</t>
  </si>
  <si>
    <t>金属[きんぞく]</t>
  </si>
  <si>
    <t>kim loại</t>
  </si>
  <si>
    <t>金属を溶かす。</t>
  </si>
  <si>
    <t>Nung chảy kim loại.</t>
  </si>
  <si>
    <t>構造</t>
  </si>
  <si>
    <t>こうぞう</t>
  </si>
  <si>
    <t>構造[こうぞう]</t>
  </si>
  <si>
    <t>cấu trúc</t>
  </si>
  <si>
    <t>構造を知る。</t>
  </si>
  <si>
    <t>Tôi biết cấu trúc.</t>
  </si>
  <si>
    <t>相撲</t>
  </si>
  <si>
    <t>すもう</t>
  </si>
  <si>
    <t>相撲[すもう]</t>
  </si>
  <si>
    <t>sumo</t>
  </si>
  <si>
    <t>相撲を観戦する。</t>
  </si>
  <si>
    <t>Xem đấu vật sumo.</t>
  </si>
  <si>
    <t>時計</t>
  </si>
  <si>
    <t>とけい</t>
  </si>
  <si>
    <t>時計[とけい]</t>
  </si>
  <si>
    <t>đồng hồ</t>
  </si>
  <si>
    <t>時計を見る。</t>
  </si>
  <si>
    <t>Tôi xem đồng hồ.</t>
  </si>
  <si>
    <t>殺す</t>
  </si>
  <si>
    <t>ころす</t>
  </si>
  <si>
    <t>殺[ころ]す</t>
  </si>
  <si>
    <t>giết</t>
  </si>
  <si>
    <t>敵を殺す。</t>
  </si>
  <si>
    <t>Tôi giết kẻ thù.</t>
  </si>
  <si>
    <t>直線</t>
  </si>
  <si>
    <t>ちょくせん</t>
  </si>
  <si>
    <t>直線[ちょくせん]</t>
  </si>
  <si>
    <t>đường thẳng</t>
  </si>
  <si>
    <t>直線を引く。</t>
  </si>
  <si>
    <t>Vẽ đường thẳng.</t>
  </si>
  <si>
    <t>損</t>
  </si>
  <si>
    <t>そん</t>
  </si>
  <si>
    <t>損[そん]</t>
  </si>
  <si>
    <t>損をする。</t>
  </si>
  <si>
    <t>Tôi bị thua lỗ.</t>
  </si>
  <si>
    <t>情熱</t>
  </si>
  <si>
    <t>じょうねつ</t>
  </si>
  <si>
    <t>情熱[じょうねつ]</t>
  </si>
  <si>
    <t>nhiệt huyết</t>
  </si>
  <si>
    <t>情熱を注ぐ。</t>
  </si>
  <si>
    <t>Đổ nhiệt huyết vào.</t>
  </si>
  <si>
    <t>戦術</t>
  </si>
  <si>
    <t>せんじゅつ</t>
  </si>
  <si>
    <t>戦術[せんじゅつ]</t>
  </si>
  <si>
    <t>chiến thuật</t>
  </si>
  <si>
    <t>戦術を変える。</t>
  </si>
  <si>
    <t>Thay đổi chiến thuật.</t>
  </si>
  <si>
    <t>拡散</t>
  </si>
  <si>
    <t>かくさん</t>
  </si>
  <si>
    <t>拡散[かくさん]</t>
  </si>
  <si>
    <t>khuếch tán</t>
  </si>
  <si>
    <t>煙が拡散する。</t>
  </si>
  <si>
    <t>Khói khuếch tán.</t>
  </si>
  <si>
    <t>本気</t>
  </si>
  <si>
    <t>ほんき</t>
  </si>
  <si>
    <t>本気[ほんき]</t>
  </si>
  <si>
    <t>本気で怒る。</t>
  </si>
  <si>
    <t>Giận thật sự.</t>
  </si>
  <si>
    <t>手元</t>
  </si>
  <si>
    <t>てもと</t>
  </si>
  <si>
    <t>手元[てもと]</t>
  </si>
  <si>
    <t>trong tay</t>
  </si>
  <si>
    <t>手元に置く。</t>
  </si>
  <si>
    <t>Để trong tay.</t>
  </si>
  <si>
    <t>手順</t>
  </si>
  <si>
    <t>てじゅん</t>
  </si>
  <si>
    <t>手順[てじゅん]</t>
  </si>
  <si>
    <t>quy trình</t>
  </si>
  <si>
    <t>作業の手順。</t>
  </si>
  <si>
    <t>Quy trình công việc.</t>
  </si>
  <si>
    <t>挑む</t>
  </si>
  <si>
    <t>いどむ</t>
  </si>
  <si>
    <t>挑[いど]む</t>
  </si>
  <si>
    <t>大会に挑む。</t>
  </si>
  <si>
    <t>Thử thách ở cuộc thi.</t>
  </si>
  <si>
    <t>措置</t>
  </si>
  <si>
    <t>そち</t>
  </si>
  <si>
    <t>措置[そち]</t>
  </si>
  <si>
    <t>適切な措置をとる。</t>
  </si>
  <si>
    <t>Thực hiện biện pháp thích hợp.</t>
  </si>
  <si>
    <t>尽きる</t>
  </si>
  <si>
    <t>つきる</t>
  </si>
  <si>
    <t>尽[つ]きる</t>
  </si>
  <si>
    <t>cạn kiệt</t>
  </si>
  <si>
    <t>食料が尽きる。</t>
  </si>
  <si>
    <t>Cạn kiệt lương thực.</t>
  </si>
  <si>
    <t>工作</t>
  </si>
  <si>
    <t>こうさく</t>
  </si>
  <si>
    <t>工作[こうさく]</t>
  </si>
  <si>
    <t>thủ công</t>
  </si>
  <si>
    <t>工作をする。</t>
  </si>
  <si>
    <t>Làm đồ thủ công.</t>
  </si>
  <si>
    <t>廃棄</t>
  </si>
  <si>
    <t>はいき</t>
  </si>
  <si>
    <t>廃棄[はいき]</t>
  </si>
  <si>
    <t>phế thải</t>
  </si>
  <si>
    <t>ゴミを廃棄する。</t>
  </si>
  <si>
    <t>Xử lý rác thải.</t>
  </si>
  <si>
    <t>復旧</t>
  </si>
  <si>
    <t>ふっきゅう</t>
  </si>
  <si>
    <t>復旧[ふっきゅう]</t>
  </si>
  <si>
    <t>phục hồi</t>
  </si>
  <si>
    <t>道路を復旧する。</t>
  </si>
  <si>
    <t>Phục hồi đường sá.</t>
  </si>
  <si>
    <t>担う</t>
  </si>
  <si>
    <t>になう</t>
  </si>
  <si>
    <t>担[にな]う</t>
  </si>
  <si>
    <t>gánh vác</t>
  </si>
  <si>
    <t>責任を担う。</t>
  </si>
  <si>
    <t>Gánh vác trách nhiệm.</t>
  </si>
  <si>
    <t>排除</t>
  </si>
  <si>
    <t>はいじょ</t>
  </si>
  <si>
    <t>排除[はいじょ]</t>
  </si>
  <si>
    <t>loại trừ</t>
  </si>
  <si>
    <t>障害を排除する。</t>
  </si>
  <si>
    <t>Loại trừ chướng ngại.</t>
  </si>
  <si>
    <t>損失</t>
  </si>
  <si>
    <t>そんしつ</t>
  </si>
  <si>
    <t>損失[そんしつ]</t>
  </si>
  <si>
    <t>tổn thất</t>
  </si>
  <si>
    <t>大きな損失。</t>
  </si>
  <si>
    <t>Tổn thất lớn.</t>
  </si>
  <si>
    <t>改良</t>
  </si>
  <si>
    <t>かいりょう</t>
  </si>
  <si>
    <t>改良[かいりょう]</t>
  </si>
  <si>
    <t>cải tiến</t>
  </si>
  <si>
    <t>性能を改良する。</t>
  </si>
  <si>
    <t>Cải tiến tính năng.</t>
  </si>
  <si>
    <t>整える</t>
  </si>
  <si>
    <t>ととのえる</t>
  </si>
  <si>
    <t>整[ととの]える</t>
  </si>
  <si>
    <t>chỉnh đốn</t>
  </si>
  <si>
    <t>身なりを整える。</t>
  </si>
  <si>
    <t>Chỉnh đốn trang phục.</t>
  </si>
  <si>
    <t>暴力</t>
  </si>
  <si>
    <t>ぼうりょく</t>
  </si>
  <si>
    <t>暴力[ぼうりょく]</t>
  </si>
  <si>
    <t>bạo lực</t>
  </si>
  <si>
    <t>暴力反対。</t>
  </si>
  <si>
    <t>Phản đối bạo lực.</t>
  </si>
  <si>
    <t>本体</t>
  </si>
  <si>
    <t>ほんたい</t>
  </si>
  <si>
    <t>本体[ほんたい]</t>
  </si>
  <si>
    <t>bản thể</t>
  </si>
  <si>
    <t>機械の本体。</t>
  </si>
  <si>
    <t>Bản thể của máy móc.</t>
  </si>
  <si>
    <t>密度</t>
  </si>
  <si>
    <t>みつど</t>
  </si>
  <si>
    <t>密度[みつど]</t>
  </si>
  <si>
    <t>mật độ</t>
  </si>
  <si>
    <t>人口の密度が高い。</t>
  </si>
  <si>
    <t>Mật độ dân số cao.</t>
  </si>
  <si>
    <t>念</t>
  </si>
  <si>
    <t>ねん</t>
  </si>
  <si>
    <t>念[ねん]</t>
  </si>
  <si>
    <t>ý niệm</t>
  </si>
  <si>
    <t>念のために確認する。</t>
  </si>
  <si>
    <t>Xác nhận để chắc chắn.</t>
  </si>
  <si>
    <t>徒歩</t>
  </si>
  <si>
    <t>とほ</t>
  </si>
  <si>
    <t>徒歩[とほ]</t>
  </si>
  <si>
    <t>徒歩で通う。</t>
  </si>
  <si>
    <t>Đi bộ đi làm.</t>
  </si>
  <si>
    <t>弱</t>
  </si>
  <si>
    <t>じゃく</t>
  </si>
  <si>
    <t>弱[じゃく]</t>
  </si>
  <si>
    <t>予算は300万弱。</t>
  </si>
  <si>
    <t>Ngân sách thấp hơn 3 triệu một chút.</t>
  </si>
  <si>
    <t>我</t>
  </si>
  <si>
    <t>われ</t>
  </si>
  <si>
    <t>我[われ]</t>
  </si>
  <si>
    <t>我々は人間だ。</t>
  </si>
  <si>
    <t>Chúng tôi là con người.</t>
  </si>
  <si>
    <t>名刺</t>
  </si>
  <si>
    <t>めいし</t>
  </si>
  <si>
    <t>名刺[めいし]</t>
  </si>
  <si>
    <t>danh thiếp</t>
  </si>
  <si>
    <t>名刺を交換する。</t>
  </si>
  <si>
    <t>Chúng tôi trao đổi danh thiếp.</t>
  </si>
  <si>
    <t>同一</t>
  </si>
  <si>
    <t>どういつ</t>
  </si>
  <si>
    <t>同一[どういつ]</t>
  </si>
  <si>
    <t>đồng nhất</t>
  </si>
  <si>
    <t>同一人物を確認する。</t>
  </si>
  <si>
    <t>Tôi xác nhận cùng một người.</t>
  </si>
  <si>
    <t>整備</t>
  </si>
  <si>
    <t>せいび</t>
  </si>
  <si>
    <t>整備[せいび]</t>
  </si>
  <si>
    <t>bảo dưỡng</t>
  </si>
  <si>
    <t>車を整備する。</t>
  </si>
  <si>
    <t>Tôi bảo dưỡng chiếc xe.</t>
  </si>
  <si>
    <t>比較</t>
  </si>
  <si>
    <t>ひかく</t>
  </si>
  <si>
    <t>比較[ひかく]</t>
  </si>
  <si>
    <t>比較する。</t>
  </si>
  <si>
    <t>Tôi thực hiện so sánh.</t>
  </si>
  <si>
    <t>権利</t>
  </si>
  <si>
    <t>けんり</t>
  </si>
  <si>
    <t>権利[けんり]</t>
  </si>
  <si>
    <t>quyền lợi</t>
  </si>
  <si>
    <t>権利を守る。</t>
  </si>
  <si>
    <t>Tôi bảo vệ quyền lợi.</t>
  </si>
  <si>
    <t>掴む</t>
  </si>
  <si>
    <t>つかむ</t>
  </si>
  <si>
    <t>掴[つか]む</t>
  </si>
  <si>
    <t>チャンスを掴む。</t>
  </si>
  <si>
    <t>Tôi nắm bắt cơ hội.</t>
  </si>
  <si>
    <t>攻撃</t>
  </si>
  <si>
    <t>こうげき</t>
  </si>
  <si>
    <t>攻撃[こうげき]</t>
  </si>
  <si>
    <t>công kích</t>
  </si>
  <si>
    <t>軍が攻撃する。</t>
  </si>
  <si>
    <t>Quân đội tấn công.</t>
  </si>
  <si>
    <t>吐く</t>
  </si>
  <si>
    <t>はく</t>
  </si>
  <si>
    <t>吐[は]く</t>
  </si>
  <si>
    <t>nôn</t>
  </si>
  <si>
    <t>息を吐く。</t>
  </si>
  <si>
    <t>Tôi thở ra.</t>
  </si>
  <si>
    <t>楽しみ</t>
  </si>
  <si>
    <t>たのしみ</t>
  </si>
  <si>
    <t>楽[たの]しみ</t>
  </si>
  <si>
    <t>楽しみだ。</t>
  </si>
  <si>
    <t>Tôi rất mong chờ.</t>
  </si>
  <si>
    <t>向かい</t>
  </si>
  <si>
    <t>むかい</t>
  </si>
  <si>
    <t>向[む]かい</t>
  </si>
  <si>
    <t>đối diện</t>
  </si>
  <si>
    <t>向かいの店に行く。</t>
  </si>
  <si>
    <t>Tôi đi đến cửa hàng đối diện.</t>
  </si>
  <si>
    <t>最終</t>
  </si>
  <si>
    <t>さいしゅう</t>
  </si>
  <si>
    <t>最終[さいしゅう]</t>
  </si>
  <si>
    <t>最終のバス。</t>
  </si>
  <si>
    <t>Đó là chuyến xe buýt cuối.</t>
  </si>
  <si>
    <t>各自</t>
  </si>
  <si>
    <t>かくじ</t>
  </si>
  <si>
    <t>各自[かくじ]</t>
  </si>
  <si>
    <t>mỗi cá nhân</t>
  </si>
  <si>
    <t>各自で準備をする。</t>
  </si>
  <si>
    <t>Mỗi cá nhân tự chuẩn bị.</t>
  </si>
  <si>
    <t>星</t>
  </si>
  <si>
    <t>ほし</t>
  </si>
  <si>
    <t>星[ほし]</t>
  </si>
  <si>
    <t>sao</t>
  </si>
  <si>
    <t>星が光る。</t>
  </si>
  <si>
    <t>Các ngôi sao tỏa sáng.</t>
  </si>
  <si>
    <t>来</t>
  </si>
  <si>
    <t>らい</t>
  </si>
  <si>
    <t>来[らい]</t>
  </si>
  <si>
    <t>来の事。</t>
  </si>
  <si>
    <t>Chuyện tương lai.</t>
  </si>
  <si>
    <t>教授</t>
  </si>
  <si>
    <t>きょうじゅ</t>
  </si>
  <si>
    <t>教授[きょうじゅ]</t>
  </si>
  <si>
    <t>giáo sư</t>
  </si>
  <si>
    <t>教授に会う。</t>
  </si>
  <si>
    <t>Tôi gặp vị giáo sư.</t>
  </si>
  <si>
    <t>品物</t>
  </si>
  <si>
    <t>しなもの</t>
  </si>
  <si>
    <t>品物[しなもの]</t>
  </si>
  <si>
    <t>品物を注文する。</t>
  </si>
  <si>
    <t>Tôi đặt hàng hóa.</t>
  </si>
  <si>
    <t>捜査</t>
  </si>
  <si>
    <t>捜査[そうさ]</t>
  </si>
  <si>
    <t>事件を捜査する。</t>
  </si>
  <si>
    <t>Điều tra sự kiện.</t>
  </si>
  <si>
    <t>橋</t>
  </si>
  <si>
    <t>はし</t>
  </si>
  <si>
    <t>橋[はし]</t>
  </si>
  <si>
    <t>cầu</t>
  </si>
  <si>
    <t>古い橋を渡る。</t>
  </si>
  <si>
    <t>Băng qua cây cầu cũ.</t>
  </si>
  <si>
    <t>氏</t>
  </si>
  <si>
    <t>氏[し]</t>
  </si>
  <si>
    <t>山田氏。</t>
  </si>
  <si>
    <t>Đó là ông Yamada.</t>
  </si>
  <si>
    <t>換える</t>
  </si>
  <si>
    <t>換[か]える</t>
  </si>
  <si>
    <t>電池を換える。</t>
  </si>
  <si>
    <t>Tôi thay pin.</t>
  </si>
  <si>
    <t>家計</t>
  </si>
  <si>
    <t>かけい</t>
  </si>
  <si>
    <t>家計[かけい]</t>
  </si>
  <si>
    <t>kinh tế gia đình</t>
  </si>
  <si>
    <t>家計を立て直す。</t>
  </si>
  <si>
    <t>Khôi phục kinh tế gia đình.</t>
  </si>
  <si>
    <t>本文</t>
  </si>
  <si>
    <t>ほんぶん</t>
  </si>
  <si>
    <t>本文[ほんぶん]</t>
  </si>
  <si>
    <t>nội dung chính</t>
  </si>
  <si>
    <t>本文を読む。</t>
  </si>
  <si>
    <t>Đọc nội dung chính.</t>
  </si>
  <si>
    <t>干渉</t>
  </si>
  <si>
    <t>かんしょう</t>
  </si>
  <si>
    <t>干渉[かんしょう]</t>
  </si>
  <si>
    <t>can thiệp</t>
  </si>
  <si>
    <t>他人の事に干渉する。</t>
  </si>
  <si>
    <t>Can thiệp vào chuyện người khác.</t>
  </si>
  <si>
    <t>新人</t>
  </si>
  <si>
    <t>しんじん</t>
  </si>
  <si>
    <t>新人[しんじん]</t>
  </si>
  <si>
    <t>người mới</t>
  </si>
  <si>
    <t>新人の教育。</t>
  </si>
  <si>
    <t>Đào tạo người mới.</t>
  </si>
  <si>
    <t>従事</t>
  </si>
  <si>
    <t>じゅうじ</t>
  </si>
  <si>
    <t>従事[じゅうじ]</t>
  </si>
  <si>
    <t>研究に従事する。</t>
  </si>
  <si>
    <t>Tham gia nghiên cứu.</t>
  </si>
  <si>
    <t>態勢</t>
  </si>
  <si>
    <t>態勢[たいせい]</t>
  </si>
  <si>
    <t>thế trận</t>
  </si>
  <si>
    <t>受入態勢を整える。</t>
  </si>
  <si>
    <t>Chuẩn bị thế trận tiếp nhận.</t>
  </si>
  <si>
    <t>技能</t>
  </si>
  <si>
    <t>ぎのう</t>
  </si>
  <si>
    <t>技能[ぎのう]</t>
  </si>
  <si>
    <t>kỹ năng</t>
  </si>
  <si>
    <t>技能を磨く。</t>
  </si>
  <si>
    <t>Rèn luyện kỹ năng.</t>
  </si>
  <si>
    <t>方策</t>
  </si>
  <si>
    <t>ほうさく</t>
  </si>
  <si>
    <t>方策[ほうさく]</t>
  </si>
  <si>
    <t>解決の方策。</t>
  </si>
  <si>
    <t>Kế sách giải quyết.</t>
  </si>
  <si>
    <t>小売</t>
  </si>
  <si>
    <t>こうり</t>
  </si>
  <si>
    <t>小売[こうり]</t>
  </si>
  <si>
    <t>bán lẻ</t>
  </si>
  <si>
    <t>小売店を経営する。</t>
  </si>
  <si>
    <t>Kinh doanh cửa hàng bán lẻ.</t>
  </si>
  <si>
    <t>届</t>
  </si>
  <si>
    <t>とどけ</t>
  </si>
  <si>
    <t>届[とどけ]</t>
  </si>
  <si>
    <t>đơn từ</t>
  </si>
  <si>
    <t>退職届を出す。</t>
  </si>
  <si>
    <t>Nộp đơn nghỉ việc.</t>
  </si>
  <si>
    <t>強</t>
  </si>
  <si>
    <t>強[きょう]</t>
  </si>
  <si>
    <t>100人強。</t>
  </si>
  <si>
    <t>Hơn 100 người.</t>
  </si>
  <si>
    <t>経由</t>
  </si>
  <si>
    <t>けいゆ</t>
  </si>
  <si>
    <t>経由[けいゆ]</t>
  </si>
  <si>
    <t>thông qua</t>
  </si>
  <si>
    <t>東京を経由する。</t>
  </si>
  <si>
    <t>Tôi đi thông qua Tokyo.</t>
  </si>
  <si>
    <t>大分</t>
  </si>
  <si>
    <t>だいぶ</t>
  </si>
  <si>
    <t>大分[だいぶ]</t>
  </si>
  <si>
    <t>大分良くなる。</t>
  </si>
  <si>
    <t>Tôi đã khá hơn nhiều.</t>
  </si>
  <si>
    <t>杯</t>
  </si>
  <si>
    <t>さかずき</t>
  </si>
  <si>
    <t>杯[さかずき]</t>
  </si>
  <si>
    <t>chén rượu</t>
  </si>
  <si>
    <t>杯を交わして和解する。</t>
  </si>
  <si>
    <t>Nâng chén rượu để hòa giải.</t>
  </si>
  <si>
    <t>見逃す</t>
  </si>
  <si>
    <t>みのがす</t>
  </si>
  <si>
    <t>見逃[みのが]す</t>
  </si>
  <si>
    <t>bỏ lỡ</t>
  </si>
  <si>
    <t>チャンスを見逃す。</t>
  </si>
  <si>
    <t>Bỏ lỡ cơ hội.</t>
  </si>
  <si>
    <t>逃す</t>
  </si>
  <si>
    <t>のがす</t>
  </si>
  <si>
    <t>逃[のが]す</t>
  </si>
  <si>
    <t>魚を逃す。</t>
  </si>
  <si>
    <t>Để cá thoát mất.</t>
  </si>
  <si>
    <t>除く</t>
  </si>
  <si>
    <t>のぞく</t>
  </si>
  <si>
    <t>除[のぞ]く</t>
  </si>
  <si>
    <t>例外を除く全員が参加する。</t>
  </si>
  <si>
    <t>Tất cả mọi người ngoại trừ trường hợp ngoại lệ đều tham gia.</t>
  </si>
  <si>
    <t>活躍</t>
  </si>
  <si>
    <t>かつやく</t>
  </si>
  <si>
    <t>活躍[かつやく]</t>
  </si>
  <si>
    <t>đóng góp</t>
  </si>
  <si>
    <t>彼女は世界で活躍する。</t>
  </si>
  <si>
    <t>Cô ấy đóng góp tích cực trên thế giới.</t>
  </si>
  <si>
    <t>限界</t>
  </si>
  <si>
    <t>げんかい</t>
  </si>
  <si>
    <t>限界[げんかい]</t>
  </si>
  <si>
    <t>自分の限界に挑戦する。</t>
  </si>
  <si>
    <t>Tôi thử thách giới hạn của bản thân.</t>
  </si>
  <si>
    <t>面倒</t>
  </si>
  <si>
    <t>めんどう</t>
  </si>
  <si>
    <t>面倒[めんどう]</t>
  </si>
  <si>
    <t>phiền phức</t>
  </si>
  <si>
    <t>面倒な仕事を引き受ける。</t>
  </si>
  <si>
    <t>Tôi đảm nhận công việc phiền phức.</t>
  </si>
  <si>
    <t>あちこち</t>
  </si>
  <si>
    <t>khắp nơi</t>
  </si>
  <si>
    <t>あちこちを探したが見つからない。</t>
  </si>
  <si>
    <t>Tôi tìm khắp nơi nhưng không thấy.</t>
  </si>
  <si>
    <t>寿命</t>
  </si>
  <si>
    <t>じゅみょう</t>
  </si>
  <si>
    <t>寿命[じゅみょう]</t>
  </si>
  <si>
    <t>tuổi thọ</t>
  </si>
  <si>
    <t>機械の寿命が延びる。</t>
  </si>
  <si>
    <t>Tuổi thọ của máy móc được kéo dài.</t>
  </si>
  <si>
    <t>障害</t>
  </si>
  <si>
    <t>しょうがい</t>
  </si>
  <si>
    <t>障害[しょうがい]</t>
  </si>
  <si>
    <t>trở ngại</t>
  </si>
  <si>
    <t>通信に障害が発生した。</t>
  </si>
  <si>
    <t>Đã xảy ra trở ngại trong liên lạc.</t>
  </si>
  <si>
    <t>科目</t>
  </si>
  <si>
    <t>かもく</t>
  </si>
  <si>
    <t>科目[かもく]</t>
  </si>
  <si>
    <t>môn học</t>
  </si>
  <si>
    <t>好きな科目は数学だ。</t>
  </si>
  <si>
    <t>Môn học yêu thích của tôi là toán.</t>
  </si>
  <si>
    <t>伝統</t>
  </si>
  <si>
    <t>でんとう</t>
  </si>
  <si>
    <t>伝統[でんとう]</t>
  </si>
  <si>
    <t>truyền thống</t>
  </si>
  <si>
    <t>日本の伝統を守る。</t>
  </si>
  <si>
    <t>Tôi bảo vệ truyền thống Nhật Bản.</t>
  </si>
  <si>
    <t>航空</t>
  </si>
  <si>
    <t>こうくう</t>
  </si>
  <si>
    <t>航空[こうくう]</t>
  </si>
  <si>
    <t>hàng không</t>
  </si>
  <si>
    <t>航空会社に勤める。</t>
  </si>
  <si>
    <t>Tôi làm việc tại hãng hàng không.</t>
  </si>
  <si>
    <t>稼ぐ</t>
  </si>
  <si>
    <t>かせぐ</t>
  </si>
  <si>
    <t>稼[かせ]ぐ</t>
  </si>
  <si>
    <t>kiếm tiền</t>
  </si>
  <si>
    <t>アルバイトで稼ぐ。</t>
  </si>
  <si>
    <t>Tôi kiếm tiền bằng việc làm thêm.</t>
  </si>
  <si>
    <t>魅力</t>
  </si>
  <si>
    <t>みりょく</t>
  </si>
  <si>
    <t>魅力[みりょく]</t>
  </si>
  <si>
    <t>sức hút</t>
  </si>
  <si>
    <t>仕事の魅力を語る。</t>
  </si>
  <si>
    <t>Tôi nói về sức hút của công việc.</t>
  </si>
  <si>
    <t>防止</t>
  </si>
  <si>
    <t>ぼうし</t>
  </si>
  <si>
    <t>防止[ぼうし]</t>
  </si>
  <si>
    <t>phòng chống</t>
  </si>
  <si>
    <t>火災防止に努める。</t>
  </si>
  <si>
    <t>Tôi nỗ lực phòng chống hỏa hoạn.</t>
  </si>
  <si>
    <t>尊重</t>
  </si>
  <si>
    <t>そんちょう</t>
  </si>
  <si>
    <t>尊重[そんちょう]</t>
  </si>
  <si>
    <t>tôn trọng</t>
  </si>
  <si>
    <t>相手の意見を尊重する。</t>
  </si>
  <si>
    <t>Tôn trọng ý kiến của đối phương.</t>
  </si>
  <si>
    <t>降ろす</t>
  </si>
  <si>
    <t>おろす</t>
  </si>
  <si>
    <t>降[お]ろす</t>
  </si>
  <si>
    <t>荷物を棚から降ろす。</t>
  </si>
  <si>
    <t>Tôi hạ hành lý từ trên kệ xuống.</t>
  </si>
  <si>
    <t>青</t>
  </si>
  <si>
    <t>あお</t>
  </si>
  <si>
    <t>青[あお]</t>
  </si>
  <si>
    <t>màu xanh dương</t>
  </si>
  <si>
    <t>空は綺麗な青だ。</t>
  </si>
  <si>
    <t>Bầu trời có màu xanh dương đẹp.</t>
  </si>
  <si>
    <t>哲学</t>
  </si>
  <si>
    <t>てつがく</t>
  </si>
  <si>
    <t>哲学[てつがく]</t>
  </si>
  <si>
    <t>triết học</t>
  </si>
  <si>
    <t>哲学を専攻する。</t>
  </si>
  <si>
    <t>Tôi học chuyên ngành triết học.</t>
  </si>
  <si>
    <t>祭</t>
  </si>
  <si>
    <t>まつり</t>
  </si>
  <si>
    <t>祭[まつり]</t>
  </si>
  <si>
    <t>地域の祭に参加する。</t>
  </si>
  <si>
    <t>Tôi tham gia lễ hội địa phương.</t>
  </si>
  <si>
    <t>親しい</t>
  </si>
  <si>
    <t>したしい</t>
  </si>
  <si>
    <t>親[した]しい</t>
  </si>
  <si>
    <t>thân thiết</t>
  </si>
  <si>
    <t>親しい友人と遊ぶ。</t>
  </si>
  <si>
    <t>Chơi với người bạn thân thiết.</t>
  </si>
  <si>
    <t>階段</t>
  </si>
  <si>
    <t>階段[かいだん]</t>
  </si>
  <si>
    <t>cầu thang</t>
  </si>
  <si>
    <t>階段で二階へ上がる。</t>
  </si>
  <si>
    <t>Tôi đi cầu thang lên tầng hai.</t>
  </si>
  <si>
    <t>徹底</t>
  </si>
  <si>
    <t>てってい</t>
  </si>
  <si>
    <t>徹底[てってい]</t>
  </si>
  <si>
    <t>triệt để</t>
  </si>
  <si>
    <t>原因を徹底して調べる。</t>
  </si>
  <si>
    <t>Điều tra triệt để nguyên nhân.</t>
  </si>
  <si>
    <t>筆者</t>
  </si>
  <si>
    <t>ひっしゃ</t>
  </si>
  <si>
    <t>筆者[ひっしゃ]</t>
  </si>
  <si>
    <t>tác giả</t>
  </si>
  <si>
    <t>筆者の考えを知る。</t>
  </si>
  <si>
    <t>Tôi hiểu suy nghĩ của tác giả.</t>
  </si>
  <si>
    <t>致す</t>
  </si>
  <si>
    <t>いたす</t>
  </si>
  <si>
    <t>致[いた]す</t>
  </si>
  <si>
    <t>よろしくお願いします。</t>
  </si>
  <si>
    <t>Rất mong nhận được sự giúp đỡ.</t>
  </si>
  <si>
    <t>真似る</t>
  </si>
  <si>
    <t>まねる</t>
  </si>
  <si>
    <t>真似[まね]る</t>
  </si>
  <si>
    <t>bắt chước</t>
  </si>
  <si>
    <t>鳥の声を聞いて真似る。</t>
  </si>
  <si>
    <t>Nghe tiếng chim và bắt chước.</t>
  </si>
  <si>
    <t>需要</t>
  </si>
  <si>
    <t>じゅよう</t>
  </si>
  <si>
    <t>需要[じゅよう]</t>
  </si>
  <si>
    <t>nhu cầu</t>
  </si>
  <si>
    <t>製品の需要が増える。</t>
  </si>
  <si>
    <t>Nhu cầu về sản phẩm tăng lên.</t>
  </si>
  <si>
    <t>叱る</t>
  </si>
  <si>
    <t>しかる</t>
  </si>
  <si>
    <t>叱[しか]る</t>
  </si>
  <si>
    <t>mắng</t>
  </si>
  <si>
    <t>子供を厳しく叱る。</t>
  </si>
  <si>
    <t>Tôi nghiêm khắc mắng đứa trẻ.</t>
  </si>
  <si>
    <t>埋める</t>
  </si>
  <si>
    <t>うめる</t>
  </si>
  <si>
    <t>埋[う]める</t>
  </si>
  <si>
    <t>chôn</t>
  </si>
  <si>
    <t>地面に種を埋める。</t>
  </si>
  <si>
    <t>Tôi chôn hạt giống xuống đất.</t>
  </si>
  <si>
    <t>高校生</t>
  </si>
  <si>
    <t>こうこうせい</t>
  </si>
  <si>
    <t>高校生[こうこうせい]</t>
  </si>
  <si>
    <t>高校生が勉強する。</t>
  </si>
  <si>
    <t>Học sinh đang học bài.</t>
  </si>
  <si>
    <t>流行</t>
  </si>
  <si>
    <t>りゅうこう</t>
  </si>
  <si>
    <t>流行[りゅうこう]</t>
  </si>
  <si>
    <t>thịnh hành</t>
  </si>
  <si>
    <t>今、この歌が流行だ。</t>
  </si>
  <si>
    <t>Bài hát này đang thịnh hành.</t>
  </si>
  <si>
    <t>資源</t>
  </si>
  <si>
    <t>しげん</t>
  </si>
  <si>
    <t>資源[しげん]</t>
  </si>
  <si>
    <t>tài nguyên</t>
  </si>
  <si>
    <t>資源を有効にする。</t>
  </si>
  <si>
    <t>Sử dụng hiệu quả tài nguyên.</t>
  </si>
  <si>
    <t>審判</t>
  </si>
  <si>
    <t>しんぱん</t>
  </si>
  <si>
    <t>審判[しんぱん]</t>
  </si>
  <si>
    <t>trọng tài</t>
  </si>
  <si>
    <t>審判が判定する。</t>
  </si>
  <si>
    <t>Trọng tài đưa ra phán quyết.</t>
  </si>
  <si>
    <t>感心</t>
  </si>
  <si>
    <t>感心[かんしん]</t>
  </si>
  <si>
    <t>thán phục</t>
  </si>
  <si>
    <t>感心な態度だ。</t>
  </si>
  <si>
    <t>Thái độ thật đáng thán phục.</t>
  </si>
  <si>
    <t>誕生</t>
  </si>
  <si>
    <t>たんじょう</t>
  </si>
  <si>
    <t>誕生[たんじょう]</t>
  </si>
  <si>
    <t>sự ra đời</t>
  </si>
  <si>
    <t>新しい命の誕生。</t>
  </si>
  <si>
    <t>Sự ra đời của sinh linh mới.</t>
  </si>
  <si>
    <t>晴れる</t>
  </si>
  <si>
    <t>はれる</t>
  </si>
  <si>
    <t>晴[は]れる</t>
  </si>
  <si>
    <t>nắng lên</t>
  </si>
  <si>
    <t>空が晴れる。</t>
  </si>
  <si>
    <t>Bầu trời trở nên trong xanh.</t>
  </si>
  <si>
    <t>強める</t>
  </si>
  <si>
    <t>つよめる</t>
  </si>
  <si>
    <t>強[つよ]める</t>
  </si>
  <si>
    <t>làm mạnh lên</t>
  </si>
  <si>
    <t>決意を強める。</t>
  </si>
  <si>
    <t>Làm mạnh mẽ thêm quyết tâm.</t>
  </si>
  <si>
    <t>備える</t>
  </si>
  <si>
    <t>そなえる</t>
  </si>
  <si>
    <t>備[そな]える</t>
  </si>
  <si>
    <t>万が一の災害に備える。</t>
  </si>
  <si>
    <t>Chuẩn bị cho thảm họa bất ngờ.</t>
  </si>
  <si>
    <t>気配</t>
  </si>
  <si>
    <t>けはい</t>
  </si>
  <si>
    <t>気配[けはい]</t>
  </si>
  <si>
    <t>秋の気配。</t>
  </si>
  <si>
    <t>Đó là dấu hiệu của mùa thu.</t>
  </si>
  <si>
    <t>繋げる</t>
  </si>
  <si>
    <t>つなげる</t>
  </si>
  <si>
    <t>繋[つな]げる</t>
  </si>
  <si>
    <t>成功に繋げる。</t>
  </si>
  <si>
    <t>Tôi kết nối tới thành công.</t>
  </si>
  <si>
    <t>補う</t>
  </si>
  <si>
    <t>おぎなう</t>
  </si>
  <si>
    <t>補[おぎな]う</t>
  </si>
  <si>
    <t>bổ sung</t>
  </si>
  <si>
    <t>不足を補う。</t>
  </si>
  <si>
    <t>Tôi bổ sung phần thiếu hụt.</t>
  </si>
  <si>
    <t>役所</t>
  </si>
  <si>
    <t>やくしょ</t>
  </si>
  <si>
    <t>役所[やくしょ]</t>
  </si>
  <si>
    <t>cơ quan hành chính</t>
  </si>
  <si>
    <t>役所へ行く。</t>
  </si>
  <si>
    <t>Đi đến cơ quan hành chính.</t>
  </si>
  <si>
    <t>公園</t>
  </si>
  <si>
    <t>こうえん</t>
  </si>
  <si>
    <t>公園[こうえん]</t>
  </si>
  <si>
    <t>công viên</t>
  </si>
  <si>
    <t>公園を歩きます。</t>
  </si>
  <si>
    <t>境</t>
  </si>
  <si>
    <t>さかい</t>
  </si>
  <si>
    <t>境[さかい]</t>
  </si>
  <si>
    <t>ranh giới</t>
  </si>
  <si>
    <t>県境の山。</t>
  </si>
  <si>
    <t>Ngọn núi ở ranh giới tỉnh.</t>
  </si>
  <si>
    <t>引用</t>
  </si>
  <si>
    <t>いんよう</t>
  </si>
  <si>
    <t>引用[いんよう]</t>
  </si>
  <si>
    <t>trích dẫn</t>
  </si>
  <si>
    <t>本から文章を引用する。</t>
  </si>
  <si>
    <t>Trích dẫn văn bản từ sách.</t>
  </si>
  <si>
    <t>憧れる</t>
  </si>
  <si>
    <t>あこがれる</t>
  </si>
  <si>
    <t>憧[あこが]れる</t>
  </si>
  <si>
    <t>ngưỡng mộ</t>
  </si>
  <si>
    <t>有名な歌手に憧れる。</t>
  </si>
  <si>
    <t>Ngưỡng mộ ca sĩ nổi tiếng.</t>
  </si>
  <si>
    <t>首相</t>
  </si>
  <si>
    <t>しゅしょう</t>
  </si>
  <si>
    <t>首相[しゅしょう]</t>
  </si>
  <si>
    <t>thủ tướng</t>
  </si>
  <si>
    <t>首相が会見を行う。</t>
  </si>
  <si>
    <t>Thủ tướng tổ chức họp báo.</t>
  </si>
  <si>
    <t>只</t>
  </si>
  <si>
    <t>只[ただ]</t>
  </si>
  <si>
    <t>只でチケットをもらう。</t>
  </si>
  <si>
    <t>Tôi nhận được vé miễn phí.</t>
  </si>
  <si>
    <t>封筒</t>
  </si>
  <si>
    <t>ふうとう</t>
  </si>
  <si>
    <t>封筒[ふうとう]</t>
  </si>
  <si>
    <t>phong bì</t>
  </si>
  <si>
    <t>書類を封筒に入れる。</t>
  </si>
  <si>
    <t>Cho tài liệu vào phong bì.</t>
  </si>
  <si>
    <t>説</t>
  </si>
  <si>
    <t>せつ</t>
  </si>
  <si>
    <t>説[せつ]</t>
  </si>
  <si>
    <t>thuyết</t>
  </si>
  <si>
    <t>有力な説だ。</t>
  </si>
  <si>
    <t>Là một thuyết có sức nặng.</t>
  </si>
  <si>
    <t>波</t>
  </si>
  <si>
    <t>なみ</t>
  </si>
  <si>
    <t>波[なみ]</t>
  </si>
  <si>
    <t>sóng</t>
  </si>
  <si>
    <t>高い波が押し寄せる。</t>
  </si>
  <si>
    <t>Những con sóng cao ập đến.</t>
  </si>
  <si>
    <t>美術館</t>
  </si>
  <si>
    <t>びじゅつかん</t>
  </si>
  <si>
    <t>美術館[びじゅつかん]</t>
  </si>
  <si>
    <t>bảo tàng mỹ thuật</t>
  </si>
  <si>
    <t>美術館へ行く。</t>
  </si>
  <si>
    <t>Tôi đi bảo tàng mỹ thuật.</t>
  </si>
  <si>
    <t>ハンバーグ</t>
  </si>
  <si>
    <t>はんばーぐ</t>
  </si>
  <si>
    <t>bít tết thịt băm</t>
  </si>
  <si>
    <t>ハンバーグを作る。</t>
  </si>
  <si>
    <t>Làm món bít tết thịt băm.</t>
  </si>
  <si>
    <t>天気予報</t>
  </si>
  <si>
    <t>てんきよほう</t>
  </si>
  <si>
    <t>天気予報[てんきよほう]</t>
  </si>
  <si>
    <t>dự báo thời tiết</t>
  </si>
  <si>
    <t>今日の天気予報を聞く。</t>
  </si>
  <si>
    <t>Nghe dự báo thời tiết hôm nay.</t>
  </si>
  <si>
    <t>悔しい</t>
  </si>
  <si>
    <t>くやしい</t>
  </si>
  <si>
    <t>悔[くや]しい</t>
  </si>
  <si>
    <t>đáng tiếc</t>
  </si>
  <si>
    <t>負けて悔しい。</t>
  </si>
  <si>
    <t>Thua cuộc thật đáng tiếc.</t>
  </si>
  <si>
    <t>寧ろ</t>
  </si>
  <si>
    <t>むしろ</t>
  </si>
  <si>
    <t>寧[むし]ろ</t>
  </si>
  <si>
    <t>thà rằng</t>
  </si>
  <si>
    <t>むしろこちらがいい。</t>
  </si>
  <si>
    <t>Thà rằng cái này tốt hơn.</t>
  </si>
  <si>
    <t>短期</t>
  </si>
  <si>
    <t>たんき</t>
  </si>
  <si>
    <t>短期[たんき]</t>
  </si>
  <si>
    <t>ngắn hạn</t>
  </si>
  <si>
    <t>短期の出張。</t>
  </si>
  <si>
    <t>Chuyến công tác ngắn hạn.</t>
  </si>
  <si>
    <t>窓口</t>
  </si>
  <si>
    <t>まどぐち</t>
  </si>
  <si>
    <t>窓口[まどぐち]</t>
  </si>
  <si>
    <t>cửa quầy</t>
  </si>
  <si>
    <t>受付の窓口へ行く。</t>
  </si>
  <si>
    <t>Tôi đi đến quầy tiếp tân.</t>
  </si>
  <si>
    <t>夜中</t>
  </si>
  <si>
    <t>よなか</t>
  </si>
  <si>
    <t>夜中[よなか]</t>
  </si>
  <si>
    <t>nửa đêm</t>
  </si>
  <si>
    <t>夜中に起きる。</t>
  </si>
  <si>
    <t>Tôi thức dậy vào nửa đêm.</t>
  </si>
  <si>
    <t>思い付く</t>
  </si>
  <si>
    <t>おもいつく</t>
  </si>
  <si>
    <t>思[おも]い付[つ]く</t>
  </si>
  <si>
    <t>sực nhớ</t>
  </si>
  <si>
    <t>良い案を思い付く。</t>
  </si>
  <si>
    <t>Sực nhớ ra phương án hay.</t>
  </si>
  <si>
    <t>無くす</t>
  </si>
  <si>
    <t>なくす</t>
  </si>
  <si>
    <t>無[な]くす</t>
  </si>
  <si>
    <t>làm mất</t>
  </si>
  <si>
    <t>鍵を無くした。</t>
  </si>
  <si>
    <t>Tôi đã làm mất chìa khóa.</t>
  </si>
  <si>
    <t>敵</t>
  </si>
  <si>
    <t>てき</t>
  </si>
  <si>
    <t>敵[てき]</t>
  </si>
  <si>
    <t>kẻ thù</t>
  </si>
  <si>
    <t>敵と勇敢に戦う。</t>
  </si>
  <si>
    <t>Chiến đấu dũng cảm với kẻ thù.</t>
  </si>
  <si>
    <t>角度</t>
  </si>
  <si>
    <t>かくど</t>
  </si>
  <si>
    <t>角度[かくど]</t>
  </si>
  <si>
    <t>góc độ</t>
  </si>
  <si>
    <t>正しい角度で測る。</t>
  </si>
  <si>
    <t>Đo bằng góc độ chính xác.</t>
  </si>
  <si>
    <t>票</t>
  </si>
  <si>
    <t>ひょう</t>
  </si>
  <si>
    <t>票[ひょう]</t>
  </si>
  <si>
    <t>phiếu</t>
  </si>
  <si>
    <t>票を集計する。</t>
  </si>
  <si>
    <t>Tôi kiểm kê các lá phiếu.</t>
  </si>
  <si>
    <t>馬鹿</t>
  </si>
  <si>
    <t>ばか</t>
  </si>
  <si>
    <t>馬鹿[ばか]</t>
  </si>
  <si>
    <t>ngốc</t>
  </si>
  <si>
    <t>馬鹿なことをする。</t>
  </si>
  <si>
    <t>Tôi làm việc ngốc nghếch.</t>
  </si>
  <si>
    <t>端</t>
  </si>
  <si>
    <t>端[はし]</t>
  </si>
  <si>
    <t>道の端を歩く。</t>
  </si>
  <si>
    <t>Tôi đi bộ trên rìa đường.</t>
  </si>
  <si>
    <t>都心</t>
  </si>
  <si>
    <t>としん</t>
  </si>
  <si>
    <t>都心[としん]</t>
  </si>
  <si>
    <t>trung tâm thành phố</t>
  </si>
  <si>
    <t>都心に近い。</t>
  </si>
  <si>
    <t>Gần trung tâm thành phố.</t>
  </si>
  <si>
    <t>高速</t>
  </si>
  <si>
    <t>こうそく</t>
  </si>
  <si>
    <t>高速[こうそく]</t>
  </si>
  <si>
    <t>tốc độ cao</t>
  </si>
  <si>
    <t>高速で走る。</t>
  </si>
  <si>
    <t>Tôi chạy với tốc độ cao.</t>
  </si>
  <si>
    <t>平気</t>
  </si>
  <si>
    <t>へいき</t>
  </si>
  <si>
    <t>平気[へいき]</t>
  </si>
  <si>
    <t>bình thản</t>
  </si>
  <si>
    <t>平気な顔をする。</t>
  </si>
  <si>
    <t>Làm khuôn mặt bình thản.</t>
  </si>
  <si>
    <t>必ずしも</t>
  </si>
  <si>
    <t>かならずしも</t>
  </si>
  <si>
    <t>必[かなら]ずしも</t>
  </si>
  <si>
    <t>chưa chắc</t>
  </si>
  <si>
    <t>必ずしもそうではない。</t>
  </si>
  <si>
    <t>Chưa chắc đã là như vậy.</t>
  </si>
  <si>
    <t>残念</t>
  </si>
  <si>
    <t>ざんねん</t>
  </si>
  <si>
    <t>残念[ざんねん]</t>
  </si>
  <si>
    <t>残念な結果。</t>
  </si>
  <si>
    <t>Đó là kết quả đáng tiếc.</t>
  </si>
  <si>
    <t>移転</t>
  </si>
  <si>
    <t>いてん</t>
  </si>
  <si>
    <t>移転[いてん]</t>
  </si>
  <si>
    <t>事務所を移転する。</t>
  </si>
  <si>
    <t>Tôi di chuyển văn phòng.</t>
  </si>
  <si>
    <t>見解</t>
  </si>
  <si>
    <t>けんかい</t>
  </si>
  <si>
    <t>見解[けんかい]</t>
  </si>
  <si>
    <t>見解を述べる。</t>
  </si>
  <si>
    <t>Tôi trình bày quan điểm.</t>
  </si>
  <si>
    <t>国立</t>
  </si>
  <si>
    <t>こくりつ</t>
  </si>
  <si>
    <t>国立[こくりつ]</t>
  </si>
  <si>
    <t>quốc lập</t>
  </si>
  <si>
    <t>国立の大学。</t>
  </si>
  <si>
    <t>Trường đại học quốc lập.</t>
  </si>
  <si>
    <t>外出</t>
  </si>
  <si>
    <t>がいしゅつ</t>
  </si>
  <si>
    <t>外出[がいしゅつ]</t>
  </si>
  <si>
    <t>用事で外出する。</t>
  </si>
  <si>
    <t>Tôi ra ngoài vì có việc.</t>
  </si>
  <si>
    <t>近所</t>
  </si>
  <si>
    <t>きんじょ</t>
  </si>
  <si>
    <t>近所[きんじょ]</t>
  </si>
  <si>
    <t>hàng xóm</t>
  </si>
  <si>
    <t>近所と話す。</t>
  </si>
  <si>
    <t>Nói chuyện với hàng xóm.</t>
  </si>
  <si>
    <t>徐々に</t>
  </si>
  <si>
    <t>じょじょに</t>
  </si>
  <si>
    <t>徐々[じょじょ]に</t>
  </si>
  <si>
    <t>dần dần</t>
  </si>
  <si>
    <t>景気が徐々に良くなる。</t>
  </si>
  <si>
    <t>Kinh tế dần dần tốt lên.</t>
  </si>
  <si>
    <t>微妙</t>
  </si>
  <si>
    <t>びみょう</t>
  </si>
  <si>
    <t>微妙[びみょう]</t>
  </si>
  <si>
    <t>tinh tế</t>
  </si>
  <si>
    <t>微妙な違いがある。</t>
  </si>
  <si>
    <t>Có sự khác biệt tinh tế.</t>
  </si>
  <si>
    <t>自ら</t>
  </si>
  <si>
    <t>みずから</t>
  </si>
  <si>
    <t>自[みずか]ら</t>
  </si>
  <si>
    <t>tự mình</t>
  </si>
  <si>
    <t>自ら体験する。</t>
  </si>
  <si>
    <t>Tôi tự mình trải nghiệm.</t>
  </si>
  <si>
    <t>塩</t>
  </si>
  <si>
    <t>しお</t>
  </si>
  <si>
    <t>塩[しお]</t>
  </si>
  <si>
    <t>muối</t>
  </si>
  <si>
    <t>料理に塩を入れる。</t>
  </si>
  <si>
    <t>Tôi cho muối vào món ăn.</t>
  </si>
  <si>
    <t>塗る</t>
  </si>
  <si>
    <t>ぬる</t>
  </si>
  <si>
    <t>塗[ぬ]る</t>
  </si>
  <si>
    <t>bôi</t>
  </si>
  <si>
    <t>パンにジャムを塗る。</t>
  </si>
  <si>
    <t>Bôi mứt lên bánh mì.</t>
  </si>
  <si>
    <t>祖父</t>
  </si>
  <si>
    <t>そふ</t>
  </si>
  <si>
    <t>祖父[そふ]</t>
  </si>
  <si>
    <t>祖父が毎日散歩する。</t>
  </si>
  <si>
    <t>Ông tôi đi dạo mỗi ngày.</t>
  </si>
  <si>
    <t>店員</t>
  </si>
  <si>
    <t>てんいん</t>
  </si>
  <si>
    <t>店員[てんいん]</t>
  </si>
  <si>
    <t>nhân viên bán hàng</t>
  </si>
  <si>
    <t>店員を呼ぶ。</t>
  </si>
  <si>
    <t>Gọi nhân viên bán hàng.</t>
  </si>
  <si>
    <t>教科書</t>
  </si>
  <si>
    <t>きょうかしょ</t>
  </si>
  <si>
    <t>教科書[きょうかしょ]</t>
  </si>
  <si>
    <t>sách giáo khoa</t>
  </si>
  <si>
    <t>教科書を読む。</t>
  </si>
  <si>
    <t>Tôi đọc sách giáo khoa.</t>
  </si>
  <si>
    <t>広場</t>
  </si>
  <si>
    <t>ひろば</t>
  </si>
  <si>
    <t>広場[ひろば]</t>
  </si>
  <si>
    <t>quảng trường</t>
  </si>
  <si>
    <t>広場で待ち合わせる。</t>
  </si>
  <si>
    <t>Hẹn gặp ở quảng trường.</t>
  </si>
  <si>
    <t>働き</t>
  </si>
  <si>
    <t>はたらき</t>
  </si>
  <si>
    <t>働[はたら]き</t>
  </si>
  <si>
    <t>働きを評価する。</t>
  </si>
  <si>
    <t>Tôi đánh giá công việc.</t>
  </si>
  <si>
    <t>像</t>
  </si>
  <si>
    <t>ぞう</t>
  </si>
  <si>
    <t>像[ぞう]</t>
  </si>
  <si>
    <t>bức tượng</t>
  </si>
  <si>
    <t>像を建てる。</t>
  </si>
  <si>
    <t>Tôi xây dựng bức tượng.</t>
  </si>
  <si>
    <t>参考</t>
  </si>
  <si>
    <t>さんこう</t>
  </si>
  <si>
    <t>参考[さんこう]</t>
  </si>
  <si>
    <t>tham khảo</t>
  </si>
  <si>
    <t>資料を参考する。</t>
  </si>
  <si>
    <t>Tôi tham khảo tài liệu.</t>
  </si>
  <si>
    <t>始めに</t>
  </si>
  <si>
    <t>はじめに</t>
  </si>
  <si>
    <t>始[はじ]めに</t>
  </si>
  <si>
    <t>始めに挨拶する。</t>
  </si>
  <si>
    <t>Tôi chào hỏi trước hết.</t>
  </si>
  <si>
    <t>就任</t>
  </si>
  <si>
    <t>しゅうにん</t>
  </si>
  <si>
    <t>就任[しゅうにん]</t>
  </si>
  <si>
    <t>nhậm chức</t>
  </si>
  <si>
    <t>新社長が就任する。</t>
  </si>
  <si>
    <t>Giám đốc mới nhậm chức.</t>
  </si>
  <si>
    <t>望む</t>
  </si>
  <si>
    <t>のぞむ</t>
  </si>
  <si>
    <t>望[のぞ]む</t>
  </si>
  <si>
    <t>mong muốn</t>
  </si>
  <si>
    <t>平和を望む。</t>
  </si>
  <si>
    <t>Tôi mong muốn hòa bình.</t>
  </si>
  <si>
    <t>翻訳</t>
  </si>
  <si>
    <t>ほんやく</t>
  </si>
  <si>
    <t>翻訳[ほんやく]</t>
  </si>
  <si>
    <t>biên dịch</t>
  </si>
  <si>
    <t>文書を翻訳する。</t>
  </si>
  <si>
    <t>Tôi biên dịch tài liệu.</t>
  </si>
  <si>
    <t>兄</t>
  </si>
  <si>
    <t>あに</t>
  </si>
  <si>
    <t>兄[あに]</t>
  </si>
  <si>
    <t>兄と遊ぶ。</t>
  </si>
  <si>
    <t>Tôi chơi cùng anh trai.</t>
  </si>
  <si>
    <t>支配</t>
  </si>
  <si>
    <t>しはい</t>
  </si>
  <si>
    <t>支配[しはい]</t>
  </si>
  <si>
    <t>chi phối</t>
  </si>
  <si>
    <t>世界を支配する。</t>
  </si>
  <si>
    <t>Tôi thống trị thế giới.</t>
  </si>
  <si>
    <t>保証</t>
  </si>
  <si>
    <t>ほしょう</t>
  </si>
  <si>
    <t>保証[ほしょう]</t>
  </si>
  <si>
    <t>bảo đảm</t>
  </si>
  <si>
    <t>品質を保証する。</t>
  </si>
  <si>
    <t>Tôi bảo đảm chất lượng.</t>
  </si>
  <si>
    <t>化学</t>
  </si>
  <si>
    <t>化学[かがく]</t>
  </si>
  <si>
    <t>hóa học</t>
  </si>
  <si>
    <t>化学を研究する。</t>
  </si>
  <si>
    <t>Tôi nghiên cứu hóa học.</t>
  </si>
  <si>
    <t>祖母</t>
  </si>
  <si>
    <t>そぼ</t>
  </si>
  <si>
    <t>祖母[そぼ]</t>
  </si>
  <si>
    <t>祖母は料理が得意だ。</t>
  </si>
  <si>
    <t>Bà tôi rất giỏi nấu ăn.</t>
  </si>
  <si>
    <t>恵まれる</t>
  </si>
  <si>
    <t>めぐまれる</t>
  </si>
  <si>
    <t>恵[めぐ]まれる</t>
  </si>
  <si>
    <t>được ban cho</t>
  </si>
  <si>
    <t>才能に恵まれる。</t>
  </si>
  <si>
    <t>Được ban cho tài năng.</t>
  </si>
  <si>
    <t>薬局</t>
  </si>
  <si>
    <t>やっきょく</t>
  </si>
  <si>
    <t>薬局[やっきょく]</t>
  </si>
  <si>
    <t>hiệu thuốc</t>
  </si>
  <si>
    <t>薬局へ行く。</t>
  </si>
  <si>
    <t>Tôi đi đến hiệu thuốc.</t>
  </si>
  <si>
    <t>務める</t>
  </si>
  <si>
    <t>務[つと]める</t>
  </si>
  <si>
    <t>役を務める。</t>
  </si>
  <si>
    <t>Tôi đảm nhiệm vai trò.</t>
  </si>
  <si>
    <t>受け持つ</t>
  </si>
  <si>
    <t>うけもつ</t>
  </si>
  <si>
    <t>受[う]け持[も]つ</t>
  </si>
  <si>
    <t>phụ trách</t>
  </si>
  <si>
    <t>クラスを受け持つ。</t>
  </si>
  <si>
    <t>Tôi phụ trách lớp học.</t>
  </si>
  <si>
    <t>形態</t>
  </si>
  <si>
    <t>形態[けいたい]</t>
  </si>
  <si>
    <t>hình thái</t>
  </si>
  <si>
    <t>新しい形態の組織。</t>
  </si>
  <si>
    <t>Hình thái tổ chức mới.</t>
  </si>
  <si>
    <t>老人</t>
  </si>
  <si>
    <t>ろうじん</t>
  </si>
  <si>
    <t>老人[ろうじん]</t>
  </si>
  <si>
    <t>người già</t>
  </si>
  <si>
    <t>老人を助ける。</t>
  </si>
  <si>
    <t>Tôi giúp đỡ người già.</t>
  </si>
  <si>
    <t>褒める</t>
  </si>
  <si>
    <t>ほめる</t>
  </si>
  <si>
    <t>褒[ほ]める</t>
  </si>
  <si>
    <t>khen ngợi</t>
  </si>
  <si>
    <t>子供を褒める。</t>
  </si>
  <si>
    <t>Tôi khen ngợi con cái.</t>
  </si>
  <si>
    <t>願い</t>
  </si>
  <si>
    <t>ねがい</t>
  </si>
  <si>
    <t>願[ねが]い</t>
  </si>
  <si>
    <t>平和への願い。</t>
  </si>
  <si>
    <t>Mong muốn về hòa bình.</t>
  </si>
  <si>
    <t>好む</t>
  </si>
  <si>
    <t>このむ</t>
  </si>
  <si>
    <t>好[この]む</t>
  </si>
  <si>
    <t>ưa thích</t>
  </si>
  <si>
    <t>読書を好む。</t>
  </si>
  <si>
    <t>Tôi ưa thích đọc sách.</t>
  </si>
  <si>
    <t>実力</t>
  </si>
  <si>
    <t>じつりょく</t>
  </si>
  <si>
    <t>実力[じつりょく]</t>
  </si>
  <si>
    <t>thực lực</t>
  </si>
  <si>
    <t>実力を発揮する。</t>
  </si>
  <si>
    <t>Tôi phát huy thực lực.</t>
  </si>
  <si>
    <t>築く</t>
  </si>
  <si>
    <t>きずく</t>
  </si>
  <si>
    <t>築[きず]く</t>
  </si>
  <si>
    <t>信頼を築く。</t>
  </si>
  <si>
    <t>Tôi xây dựng lòng tin.</t>
  </si>
  <si>
    <t>議会</t>
  </si>
  <si>
    <t>ぎかい</t>
  </si>
  <si>
    <t>議会[ぎかい]</t>
  </si>
  <si>
    <t>議会を開く。</t>
  </si>
  <si>
    <t>Mở phiên họp quốc hội.</t>
  </si>
  <si>
    <t>超す</t>
  </si>
  <si>
    <t>こす</t>
  </si>
  <si>
    <t>超[こ]す</t>
  </si>
  <si>
    <t>山を一つ超す。</t>
  </si>
  <si>
    <t>Vượt qua một ngọn núi.</t>
  </si>
  <si>
    <t>地面</t>
  </si>
  <si>
    <t>じめん</t>
  </si>
  <si>
    <t>地面[じめん]</t>
  </si>
  <si>
    <t>mặt đất</t>
  </si>
  <si>
    <t>地面に座る。</t>
  </si>
  <si>
    <t>Tôi ngồi trên mặt đất.</t>
  </si>
  <si>
    <t>城</t>
  </si>
  <si>
    <t>城[しろ]</t>
  </si>
  <si>
    <t>lâu đài</t>
  </si>
  <si>
    <t>城を見学する。</t>
  </si>
  <si>
    <t>Tôi tham quan lâu đài.</t>
  </si>
  <si>
    <t>悲しむ</t>
  </si>
  <si>
    <t>かなしむ</t>
  </si>
  <si>
    <t>悲[かな]しむ</t>
  </si>
  <si>
    <t>別れを悲しむ。</t>
  </si>
  <si>
    <t>Buồn bã vì sự chia ly.</t>
  </si>
  <si>
    <t>見送る</t>
  </si>
  <si>
    <t>みおくる</t>
  </si>
  <si>
    <t>見送[みおく]る</t>
  </si>
  <si>
    <t>tiễn</t>
  </si>
  <si>
    <t>友人を駅で見送る。</t>
  </si>
  <si>
    <t>Tôi tiễn bạn ở nhà ga.</t>
  </si>
  <si>
    <t>億</t>
  </si>
  <si>
    <t>億[おく]</t>
  </si>
  <si>
    <t>một trăm triệu</t>
  </si>
  <si>
    <t>一億人。</t>
  </si>
  <si>
    <t>Một trăm triệu người.</t>
  </si>
  <si>
    <t>土産</t>
  </si>
  <si>
    <t>みやげ</t>
  </si>
  <si>
    <t>土産[みやげ]</t>
  </si>
  <si>
    <t>土産を買う。</t>
  </si>
  <si>
    <t>Tôi mua quà lưu niệm.</t>
  </si>
  <si>
    <t>天皇</t>
  </si>
  <si>
    <t>てんのう</t>
  </si>
  <si>
    <t>天皇[てんのう]</t>
  </si>
  <si>
    <t>thiên hoàng</t>
  </si>
  <si>
    <t>天皇が即位する。</t>
  </si>
  <si>
    <t>Thiên hoàng lên ngôi.</t>
  </si>
  <si>
    <t>マスター</t>
  </si>
  <si>
    <t>ますたー</t>
  </si>
  <si>
    <t>thành thạo</t>
  </si>
  <si>
    <t>英語をマスターする。</t>
  </si>
  <si>
    <t>Thành thạo tiếng Anh.</t>
  </si>
  <si>
    <t>成分</t>
  </si>
  <si>
    <t>せいぶん</t>
  </si>
  <si>
    <t>成分[せいぶん]</t>
  </si>
  <si>
    <t>thành phần</t>
  </si>
  <si>
    <t>成分を分析する。</t>
  </si>
  <si>
    <t>Phân tích thành phần.</t>
  </si>
  <si>
    <t>論じる</t>
  </si>
  <si>
    <t>ろんじる</t>
  </si>
  <si>
    <t>論[ろん]じる</t>
  </si>
  <si>
    <t>問題を論じる。</t>
  </si>
  <si>
    <t>Tranh luận về vấn đề.</t>
  </si>
  <si>
    <t>進行</t>
  </si>
  <si>
    <t>しんこう</t>
  </si>
  <si>
    <t>進行[しんこう]</t>
  </si>
  <si>
    <t>tiến trình</t>
  </si>
  <si>
    <t>進行を早める。</t>
  </si>
  <si>
    <t>Đẩy nhanh tiến trình.</t>
  </si>
  <si>
    <t>恋人</t>
  </si>
  <si>
    <t>こいびと</t>
  </si>
  <si>
    <t>恋人[こいびと]</t>
  </si>
  <si>
    <t>người yêu</t>
  </si>
  <si>
    <t>恋人とデートする。</t>
  </si>
  <si>
    <t>Hẹn hò với người yêu.</t>
  </si>
  <si>
    <t>重視</t>
  </si>
  <si>
    <t>じゅうし</t>
  </si>
  <si>
    <t>重視[じゅうし]</t>
  </si>
  <si>
    <t>coi trọng</t>
  </si>
  <si>
    <t>品質を重視する。</t>
  </si>
  <si>
    <t>Coi trọng chất lượng.</t>
  </si>
  <si>
    <t>修正</t>
  </si>
  <si>
    <t>しゅうせい</t>
  </si>
  <si>
    <t>修正[しゅうせい]</t>
  </si>
  <si>
    <t>sửa chữa</t>
  </si>
  <si>
    <t>文書を修正する。</t>
  </si>
  <si>
    <t>Tôi sửa chữa văn bản.</t>
  </si>
  <si>
    <t>宗教</t>
  </si>
  <si>
    <t>しゅうきょう</t>
  </si>
  <si>
    <t>宗教[しゅうきょう]</t>
  </si>
  <si>
    <t>tôn giáo</t>
  </si>
  <si>
    <t>宗教を信じる。</t>
  </si>
  <si>
    <t>Tôi tin vào tôn giáo.</t>
  </si>
  <si>
    <t>将棋</t>
  </si>
  <si>
    <t>しょうぎ</t>
  </si>
  <si>
    <t>将棋[しょうぎ]</t>
  </si>
  <si>
    <t>cờ tướng</t>
  </si>
  <si>
    <t>父と将棋を指す。</t>
  </si>
  <si>
    <t>Đánh cờ tướng với bố.</t>
  </si>
  <si>
    <t>建て</t>
  </si>
  <si>
    <t>建[た]て</t>
  </si>
  <si>
    <t>木造建ての家。</t>
  </si>
  <si>
    <t>Ngôi nhà xây bằng gỗ.</t>
  </si>
  <si>
    <t>負う</t>
  </si>
  <si>
    <t>負[お]う</t>
  </si>
  <si>
    <t>責任を負う。</t>
  </si>
  <si>
    <t>住所</t>
  </si>
  <si>
    <t>じゅうしょ</t>
  </si>
  <si>
    <t>住所[じゅうしょ]</t>
  </si>
  <si>
    <t>địa chỉ</t>
  </si>
  <si>
    <t>住所を教える。</t>
  </si>
  <si>
    <t>Tôi cho biết địa chỉ.</t>
  </si>
  <si>
    <t>地区</t>
  </si>
  <si>
    <t>ちく</t>
  </si>
  <si>
    <t>地区[ちく]</t>
  </si>
  <si>
    <t>地区の集まり。</t>
  </si>
  <si>
    <t>Cuộc họp của khu vực.</t>
  </si>
  <si>
    <t>行事</t>
  </si>
  <si>
    <t>ぎょうじ</t>
  </si>
  <si>
    <t>行事[ぎょうじ]</t>
  </si>
  <si>
    <t>行事に参加する。</t>
  </si>
  <si>
    <t>Tôi tham gia sự kiện.</t>
  </si>
  <si>
    <t>見直す</t>
  </si>
  <si>
    <t>みなおす</t>
  </si>
  <si>
    <t>見直[みなお]す</t>
  </si>
  <si>
    <t>xem lại</t>
  </si>
  <si>
    <t>計画を見直す。</t>
  </si>
  <si>
    <t>Tôi xem lại kế hoạch.</t>
  </si>
  <si>
    <t>筋肉</t>
  </si>
  <si>
    <t>きんにく</t>
  </si>
  <si>
    <t>筋肉[きんにく]</t>
  </si>
  <si>
    <t>cơ bắp</t>
  </si>
  <si>
    <t>筋肉を鍛える。</t>
  </si>
  <si>
    <t>Tôi rèn luyện cơ bắp.</t>
  </si>
  <si>
    <t>自殺</t>
  </si>
  <si>
    <t>じさつ</t>
  </si>
  <si>
    <t>自殺[じさつ]</t>
  </si>
  <si>
    <t>tự sát</t>
  </si>
  <si>
    <t>自殺を防ぐ。</t>
  </si>
  <si>
    <t>Tôi ngăn chặn tự sát.</t>
  </si>
  <si>
    <t>坂</t>
  </si>
  <si>
    <t>さか</t>
  </si>
  <si>
    <t>坂[さか]</t>
  </si>
  <si>
    <t>dốc</t>
  </si>
  <si>
    <t>急な坂を登る。</t>
  </si>
  <si>
    <t>Tôi leo con dốc đứng.</t>
  </si>
  <si>
    <t>脳</t>
  </si>
  <si>
    <t>のう</t>
  </si>
  <si>
    <t>脳[のう]</t>
  </si>
  <si>
    <t>não</t>
  </si>
  <si>
    <t>脳を鍛える。</t>
  </si>
  <si>
    <t>Tôi rèn luyện não bộ.</t>
  </si>
  <si>
    <t>全員</t>
  </si>
  <si>
    <t>ぜんいん</t>
  </si>
  <si>
    <t>全員[ぜんいん]</t>
  </si>
  <si>
    <t>tất cả mọi người</t>
  </si>
  <si>
    <t>全員で祝う。</t>
  </si>
  <si>
    <t>Mọi người chúc mừng.</t>
  </si>
  <si>
    <t>平日</t>
  </si>
  <si>
    <t>へいじつ</t>
  </si>
  <si>
    <t>平日[へいじつ]</t>
  </si>
  <si>
    <t>ngày thường</t>
  </si>
  <si>
    <t>平日は忙しい。</t>
  </si>
  <si>
    <t>Ngày thường rất bận.</t>
  </si>
  <si>
    <t>相変わらず</t>
  </si>
  <si>
    <t>あいかわらず</t>
  </si>
  <si>
    <t>相変[あいか]わらず</t>
  </si>
  <si>
    <t>như mọi khi</t>
  </si>
  <si>
    <t>相変わらず忙しい。</t>
  </si>
  <si>
    <t>Vẫn bận như mọi khi.</t>
  </si>
  <si>
    <t>慎重</t>
  </si>
  <si>
    <t>しんちょう</t>
  </si>
  <si>
    <t>慎重[しんちょう]</t>
  </si>
  <si>
    <t>thận trọng</t>
  </si>
  <si>
    <t>慎重に選ぶ。</t>
  </si>
  <si>
    <t>Lựa chọn thận trọng.</t>
  </si>
  <si>
    <t>快適</t>
  </si>
  <si>
    <t>かいてき</t>
  </si>
  <si>
    <t>快適[かいてき]</t>
  </si>
  <si>
    <t>快適な生活。</t>
  </si>
  <si>
    <t>Cuộc sống thoải mái.</t>
  </si>
  <si>
    <t>豊富</t>
  </si>
  <si>
    <t>ほうふ</t>
  </si>
  <si>
    <t>豊富[ほうふ]</t>
  </si>
  <si>
    <t>phong phú</t>
  </si>
  <si>
    <t>知識が豊富だ。</t>
  </si>
  <si>
    <t>Kiến thức phong phú.</t>
  </si>
  <si>
    <t>貯金</t>
  </si>
  <si>
    <t>ちょきん</t>
  </si>
  <si>
    <t>貯金[ちょきん]</t>
  </si>
  <si>
    <t>tiết kiệm</t>
  </si>
  <si>
    <t>貯金をする。</t>
  </si>
  <si>
    <t>Thực hiện tiết kiệm.</t>
  </si>
  <si>
    <t>適切</t>
  </si>
  <si>
    <t>てきせつ</t>
  </si>
  <si>
    <t>適切[てきせつ]</t>
  </si>
  <si>
    <t>適切な判断だ。</t>
  </si>
  <si>
    <t>Phán đoán thích hợp.</t>
  </si>
  <si>
    <t>にこにこ</t>
  </si>
  <si>
    <t>mỉm cười</t>
  </si>
  <si>
    <t>にこにこ笑っている。</t>
  </si>
  <si>
    <t>Cô ấy đang mỉm cười.</t>
  </si>
  <si>
    <t>候補</t>
  </si>
  <si>
    <t>こうほ</t>
  </si>
  <si>
    <t>候補[こうほ]</t>
  </si>
  <si>
    <t>ứng viên</t>
  </si>
  <si>
    <t>候補に挙げる。</t>
  </si>
  <si>
    <t>Tôi đưa ra ứng viên.</t>
  </si>
  <si>
    <t>先輩</t>
  </si>
  <si>
    <t>せんぱい</t>
  </si>
  <si>
    <t>先輩[せんぱい]</t>
  </si>
  <si>
    <t>tiền bối</t>
  </si>
  <si>
    <t>先輩に習う。</t>
  </si>
  <si>
    <t>Tôi học từ tiền bối.</t>
  </si>
  <si>
    <t>弾</t>
  </si>
  <si>
    <t>たま</t>
  </si>
  <si>
    <t>弾[たま]</t>
  </si>
  <si>
    <t>viên đạn</t>
  </si>
  <si>
    <t>弾が当たる。</t>
  </si>
  <si>
    <t>Viên đạn trúng đích.</t>
  </si>
  <si>
    <t>役目</t>
  </si>
  <si>
    <t>やくめ</t>
  </si>
  <si>
    <t>役目[やくめ]</t>
  </si>
  <si>
    <t>nhiệm vụ</t>
  </si>
  <si>
    <t>私の役目です。</t>
  </si>
  <si>
    <t>Là nhiệm vụ của tôi.</t>
  </si>
  <si>
    <t>感ずる</t>
  </si>
  <si>
    <t>かんずる</t>
  </si>
  <si>
    <t>感[かん]ずる</t>
  </si>
  <si>
    <t>感謝の念を感ずる。</t>
  </si>
  <si>
    <t>Cảm thấy sự biết ơn.</t>
  </si>
  <si>
    <t>消費</t>
  </si>
  <si>
    <t>しょうひ</t>
  </si>
  <si>
    <t>消費[しょうひ]</t>
  </si>
  <si>
    <t>tiêu thụ</t>
  </si>
  <si>
    <t>エネルギーを消費する。</t>
  </si>
  <si>
    <t>Tiêu thụ năng lượng.</t>
  </si>
  <si>
    <t>温度</t>
  </si>
  <si>
    <t>おんど</t>
  </si>
  <si>
    <t>温度[おんど]</t>
  </si>
  <si>
    <t>nhiệt độ</t>
  </si>
  <si>
    <t>部屋の温度を下げる。</t>
  </si>
  <si>
    <t>Giảm nhiệt độ phòng.</t>
  </si>
  <si>
    <t>伸ばす</t>
  </si>
  <si>
    <t>伸[の]ばす</t>
  </si>
  <si>
    <t>背筋を伸ばす。</t>
  </si>
  <si>
    <t>Tôi duỗi thẳng lưng.</t>
  </si>
  <si>
    <t>問い</t>
  </si>
  <si>
    <t>とい</t>
  </si>
  <si>
    <t>問[と]い</t>
  </si>
  <si>
    <t>問いに答える。</t>
  </si>
  <si>
    <t>Tôi trả lời câu hỏi.</t>
  </si>
  <si>
    <t>組み立てる</t>
  </si>
  <si>
    <t>くみたてる</t>
  </si>
  <si>
    <t>組[く]み立[た]てる</t>
  </si>
  <si>
    <t>lắp ráp</t>
  </si>
  <si>
    <t>機械を組み立てる。</t>
  </si>
  <si>
    <t>Tôi lắp ráp máy móc.</t>
  </si>
  <si>
    <t>元々</t>
  </si>
  <si>
    <t>もともと</t>
  </si>
  <si>
    <t>元々[もともと]</t>
  </si>
  <si>
    <t>vốn dĩ</t>
  </si>
  <si>
    <t>元々好きだ。</t>
  </si>
  <si>
    <t>Vốn dĩ tôi thích nó.</t>
  </si>
  <si>
    <t>噛む</t>
  </si>
  <si>
    <t>かむ</t>
  </si>
  <si>
    <t>噛[か]む</t>
  </si>
  <si>
    <t>nhai</t>
  </si>
  <si>
    <t>食べ物をよく噛む。</t>
  </si>
  <si>
    <t>Tôi nhai kỹ thức ăn.</t>
  </si>
  <si>
    <t>堅い</t>
  </si>
  <si>
    <t>堅[かた]い</t>
  </si>
  <si>
    <t>堅いパンを食べる。</t>
  </si>
  <si>
    <t>Tôi ăn bánh mì cứng.</t>
  </si>
  <si>
    <t>嫌</t>
  </si>
  <si>
    <t>いや</t>
  </si>
  <si>
    <t>嫌[いや]</t>
  </si>
  <si>
    <t>嫌な仕事。</t>
  </si>
  <si>
    <t>Công việc đáng ghét.</t>
  </si>
  <si>
    <t>靴</t>
  </si>
  <si>
    <t>くつ</t>
  </si>
  <si>
    <t>靴[くつ]</t>
  </si>
  <si>
    <t>giày</t>
  </si>
  <si>
    <t>新しい靴を履く。</t>
  </si>
  <si>
    <t>Tôi đi đôi giày mới.</t>
  </si>
  <si>
    <t>帯</t>
  </si>
  <si>
    <t>おび</t>
  </si>
  <si>
    <t>帯[おび]</t>
  </si>
  <si>
    <t>đai</t>
  </si>
  <si>
    <t>着物に帯を締める。</t>
  </si>
  <si>
    <t>Thắt đai cho kimono.</t>
  </si>
  <si>
    <t>級</t>
  </si>
  <si>
    <t>級[きゅう]</t>
  </si>
  <si>
    <t>cấp</t>
  </si>
  <si>
    <t>上級のクラスに入る。</t>
  </si>
  <si>
    <t>Tôi vào lớp cấp cao.</t>
  </si>
  <si>
    <t>至る</t>
  </si>
  <si>
    <t>いたる</t>
  </si>
  <si>
    <t>至[いた]る</t>
  </si>
  <si>
    <t>結論に至る。</t>
  </si>
  <si>
    <t>Tôi đi đến kết luận.</t>
  </si>
  <si>
    <t>関西</t>
  </si>
  <si>
    <t>かんさい</t>
  </si>
  <si>
    <t>関西[かんさい]</t>
  </si>
  <si>
    <t>vùng kansai</t>
  </si>
  <si>
    <t>関西に住む。</t>
  </si>
  <si>
    <t>Sống ở vùng Kansai.</t>
  </si>
  <si>
    <t>実績</t>
  </si>
  <si>
    <t>じっせき</t>
  </si>
  <si>
    <t>実績[じっせき]</t>
  </si>
  <si>
    <t>実績を作る。</t>
  </si>
  <si>
    <t>Tôi tạo thành tích.</t>
  </si>
  <si>
    <t>引っ越す</t>
  </si>
  <si>
    <t>ひっこす</t>
  </si>
  <si>
    <t>引[ひ]っ越[こ]す</t>
  </si>
  <si>
    <t>chuyển nhà</t>
  </si>
  <si>
    <t>新しい家に引っ越す。</t>
  </si>
  <si>
    <t>Chuyển đến nhà mới.</t>
  </si>
  <si>
    <t>引越し</t>
  </si>
  <si>
    <t>ひっこし</t>
  </si>
  <si>
    <t>引越[ひっこ]し</t>
  </si>
  <si>
    <t>引越しを手伝う。</t>
  </si>
  <si>
    <t>Giúp đỡ chuyển nhà.</t>
  </si>
  <si>
    <t>慌てる</t>
  </si>
  <si>
    <t>あわてる</t>
  </si>
  <si>
    <t>慌[あわ]てる</t>
  </si>
  <si>
    <t>hoảng loạn</t>
  </si>
  <si>
    <t>慌てて逃げる。</t>
  </si>
  <si>
    <t>Hoảng loạn bỏ chạy.</t>
  </si>
  <si>
    <t>学年</t>
  </si>
  <si>
    <t>がくねん</t>
  </si>
  <si>
    <t>学年[がくねん]</t>
  </si>
  <si>
    <t>学年が変わる。</t>
  </si>
  <si>
    <t>Niên khóa thay đổi.</t>
  </si>
  <si>
    <t>寄付</t>
  </si>
  <si>
    <t>きふ</t>
  </si>
  <si>
    <t>寄付[きふ]</t>
  </si>
  <si>
    <t>quyên góp</t>
  </si>
  <si>
    <t>金銭を寄付する。</t>
  </si>
  <si>
    <t>Tôi quyên góp tiền.</t>
  </si>
  <si>
    <t>年月</t>
  </si>
  <si>
    <t>ねんげつ</t>
  </si>
  <si>
    <t>年月[ねんげつ]</t>
  </si>
  <si>
    <t>năm tháng</t>
  </si>
  <si>
    <t>年月が過ぎる。</t>
  </si>
  <si>
    <t>Năm tháng trôi qua.</t>
  </si>
  <si>
    <t>性別</t>
  </si>
  <si>
    <t>せいべつ</t>
  </si>
  <si>
    <t>性別[せいべつ]</t>
  </si>
  <si>
    <t>性別を記入する。</t>
  </si>
  <si>
    <t>Điền giới tính vào.</t>
  </si>
  <si>
    <t>申し上げる</t>
  </si>
  <si>
    <t>もうしあげる</t>
  </si>
  <si>
    <t>申[もう]し上[あ]げる</t>
  </si>
  <si>
    <t>kính thưa</t>
  </si>
  <si>
    <t>お礼を申し上げる。</t>
  </si>
  <si>
    <t>Xin gửi lời cảm ơn.</t>
  </si>
  <si>
    <t>話し合う</t>
  </si>
  <si>
    <t>はなしあう</t>
  </si>
  <si>
    <t>話[はな]し合[あ]う</t>
  </si>
  <si>
    <t>計画を話し合う。</t>
  </si>
  <si>
    <t>Thảo luận kế hoạch.</t>
  </si>
  <si>
    <t>載る</t>
  </si>
  <si>
    <t>載[の]る</t>
  </si>
  <si>
    <t>được đăng</t>
  </si>
  <si>
    <t>新聞に載る。</t>
  </si>
  <si>
    <t>Được đăng trên báo.</t>
  </si>
  <si>
    <t>パイロット</t>
  </si>
  <si>
    <t>ぱいろっと</t>
  </si>
  <si>
    <t>phi công</t>
  </si>
  <si>
    <t>彼はパイロットです。</t>
  </si>
  <si>
    <t>Anh ấy là phi công.</t>
  </si>
  <si>
    <t>中身</t>
  </si>
  <si>
    <t>なかみ</t>
  </si>
  <si>
    <t>中身[なかみ]</t>
  </si>
  <si>
    <t>箱の中身。</t>
  </si>
  <si>
    <t>Nội dung trong hộp.</t>
  </si>
  <si>
    <t>動物</t>
  </si>
  <si>
    <t>どうぶつ</t>
  </si>
  <si>
    <t>動物[どうぶつ]</t>
  </si>
  <si>
    <t>động vật</t>
  </si>
  <si>
    <t>動物が好きだ。</t>
  </si>
  <si>
    <t>Tôi thích động vật.</t>
  </si>
  <si>
    <t>請求</t>
  </si>
  <si>
    <t>せいきゅう</t>
  </si>
  <si>
    <t>請求[せいきゅう]</t>
  </si>
  <si>
    <t>支払いを請求する。</t>
  </si>
  <si>
    <t>Yêu cầu thanh toán.</t>
  </si>
  <si>
    <t>邪魔</t>
  </si>
  <si>
    <t>じゃま</t>
  </si>
  <si>
    <t>邪魔[じゃま]</t>
  </si>
  <si>
    <t>cản trở</t>
  </si>
  <si>
    <t>邪魔な存在だ。</t>
  </si>
  <si>
    <t>Sự tồn tại cản trở.</t>
  </si>
  <si>
    <t>帰す</t>
  </si>
  <si>
    <t>帰[かえ]す</t>
  </si>
  <si>
    <t>cho về</t>
  </si>
  <si>
    <t>子供を早く帰す。</t>
  </si>
  <si>
    <t>Cho trẻ về nhà sớm.</t>
  </si>
  <si>
    <t>章</t>
  </si>
  <si>
    <t>章[しょう]</t>
  </si>
  <si>
    <t>chương</t>
  </si>
  <si>
    <t>第一章を読む。</t>
  </si>
  <si>
    <t>Tôi đọc chương một.</t>
  </si>
  <si>
    <t>共同</t>
  </si>
  <si>
    <t>きょうどう</t>
  </si>
  <si>
    <t>共同[きょうどう]</t>
  </si>
  <si>
    <t>共同で作業する。</t>
  </si>
  <si>
    <t>Tôi làm việc chung.</t>
  </si>
  <si>
    <t>懐かしい</t>
  </si>
  <si>
    <t>なつかしい</t>
  </si>
  <si>
    <t>懐[なつ]かしい</t>
  </si>
  <si>
    <t>nhớ</t>
  </si>
  <si>
    <t>懐かしい写真。</t>
  </si>
  <si>
    <t>Bức ảnh nhớ thương.</t>
  </si>
  <si>
    <t>参る</t>
  </si>
  <si>
    <t>まいる</t>
  </si>
  <si>
    <t>参[まい]る</t>
  </si>
  <si>
    <t>神社に参る。</t>
  </si>
  <si>
    <t>Tôi đi đến đền thờ.</t>
  </si>
  <si>
    <t>因る</t>
  </si>
  <si>
    <t>因[よ]る</t>
  </si>
  <si>
    <t>do</t>
  </si>
  <si>
    <t>不注意に因る事故。</t>
  </si>
  <si>
    <t>Tai nạn do bất cẩn.</t>
  </si>
  <si>
    <t>岩</t>
  </si>
  <si>
    <t>いわ</t>
  </si>
  <si>
    <t>岩[いわ]</t>
  </si>
  <si>
    <t>大きな岩がある。</t>
  </si>
  <si>
    <t>Có một tảng đá lớn.</t>
  </si>
  <si>
    <t>味噌</t>
  </si>
  <si>
    <t>みそ</t>
  </si>
  <si>
    <t>味噌[みそ]</t>
  </si>
  <si>
    <t>tương miso</t>
  </si>
  <si>
    <t>味噌汁を作る。</t>
  </si>
  <si>
    <t>Tôi nấu canh miso.</t>
  </si>
  <si>
    <t>手前</t>
  </si>
  <si>
    <t>てまえ</t>
  </si>
  <si>
    <t>手前[てまえ]</t>
  </si>
  <si>
    <t>駅の手前。</t>
  </si>
  <si>
    <t>Phía trước nhà ga.</t>
  </si>
  <si>
    <t>関東</t>
  </si>
  <si>
    <t>かんとう</t>
  </si>
  <si>
    <t>関東[かんとう]</t>
  </si>
  <si>
    <t>vùng kanto</t>
  </si>
  <si>
    <t>関東へ行く。</t>
  </si>
  <si>
    <t>Đi đến vùng Kanto.</t>
  </si>
  <si>
    <t>千</t>
  </si>
  <si>
    <t>千[せん]</t>
  </si>
  <si>
    <t>một nghìn</t>
  </si>
  <si>
    <t>千を払う。</t>
  </si>
  <si>
    <t>Tôi trả một nghìn.</t>
  </si>
  <si>
    <t>憲法</t>
  </si>
  <si>
    <t>けんぽう</t>
  </si>
  <si>
    <t>憲法[けんぽう]</t>
  </si>
  <si>
    <t>hiến pháp</t>
  </si>
  <si>
    <t>憲法を改正する。</t>
  </si>
  <si>
    <t>Sửa đổi hiến pháp.</t>
  </si>
  <si>
    <t>総理大臣</t>
  </si>
  <si>
    <t>そうりだいじん</t>
  </si>
  <si>
    <t>総理大臣[そうりだいじん]</t>
  </si>
  <si>
    <t>総理大臣に会う。</t>
  </si>
  <si>
    <t>Tôi gặp thủ tướng.</t>
  </si>
  <si>
    <t>職</t>
  </si>
  <si>
    <t>しょく</t>
  </si>
  <si>
    <t>職[しょく]</t>
  </si>
  <si>
    <t>職を探す。</t>
  </si>
  <si>
    <t>Tôi tìm công việc.</t>
  </si>
  <si>
    <t>落着く</t>
  </si>
  <si>
    <t>おちつく</t>
  </si>
  <si>
    <t>落着[おちつ]く</t>
  </si>
  <si>
    <t>bình tĩnh</t>
  </si>
  <si>
    <t>心を落ち着く。</t>
  </si>
  <si>
    <t>Tôi giữ bình tĩnh.</t>
  </si>
  <si>
    <t>重大</t>
  </si>
  <si>
    <t>じゅうだい</t>
  </si>
  <si>
    <t>重大[じゅうだい]</t>
  </si>
  <si>
    <t>trọng đại</t>
  </si>
  <si>
    <t>重大な事件だ。</t>
  </si>
  <si>
    <t>Sự việc trọng đại.</t>
  </si>
  <si>
    <t>停止</t>
  </si>
  <si>
    <t>ていし</t>
  </si>
  <si>
    <t>停止[ていし]</t>
  </si>
  <si>
    <t>運転を停止する。</t>
  </si>
  <si>
    <t>Tôi dừng vận hành.</t>
  </si>
  <si>
    <t>思い切り</t>
  </si>
  <si>
    <t>おもいきり</t>
  </si>
  <si>
    <t>思[おも]い切[き]り</t>
  </si>
  <si>
    <t>hết mình</t>
  </si>
  <si>
    <t>思い切り働く。</t>
  </si>
  <si>
    <t>Làm việc hết mình.</t>
  </si>
  <si>
    <t>涙</t>
  </si>
  <si>
    <t>なみだ</t>
  </si>
  <si>
    <t>涙[なみだ]</t>
  </si>
  <si>
    <t>nước mắt</t>
  </si>
  <si>
    <t>涙がこぼれ落ちる。</t>
  </si>
  <si>
    <t>Nước mắt trào rơi.</t>
  </si>
  <si>
    <t>特定</t>
  </si>
  <si>
    <t>とくてい</t>
  </si>
  <si>
    <t>特定[とくてい]</t>
  </si>
  <si>
    <t>犯人を特定する。</t>
  </si>
  <si>
    <t>Xác định tội phạm.</t>
  </si>
  <si>
    <t>観客</t>
  </si>
  <si>
    <t>かんきゃく</t>
  </si>
  <si>
    <t>観客[かんきゃく]</t>
  </si>
  <si>
    <t>khán giả</t>
  </si>
  <si>
    <t>観客が喜ぶ。</t>
  </si>
  <si>
    <t>Khán giả vui mừng.</t>
  </si>
  <si>
    <t>解答</t>
  </si>
  <si>
    <t>解答[かいとう]</t>
  </si>
  <si>
    <t>lời giải</t>
  </si>
  <si>
    <t>解答を記入する。</t>
  </si>
  <si>
    <t>Điền lời giải vào.</t>
  </si>
  <si>
    <t>込む</t>
  </si>
  <si>
    <t>こむ</t>
  </si>
  <si>
    <t>込[こ]む</t>
  </si>
  <si>
    <t>đông đúc</t>
  </si>
  <si>
    <t>電車が込む。</t>
  </si>
  <si>
    <t>Tàu điện đông đúc.</t>
  </si>
  <si>
    <t>はさみ</t>
  </si>
  <si>
    <t>cái kéo</t>
  </si>
  <si>
    <t>はさみで紙を切る。</t>
  </si>
  <si>
    <t>Cắt giấy bằng kéo.</t>
  </si>
  <si>
    <t>作家</t>
  </si>
  <si>
    <t>さっか</t>
  </si>
  <si>
    <t>作家[さっか]</t>
  </si>
  <si>
    <t>nhà văn</t>
  </si>
  <si>
    <t>有名な作家。</t>
  </si>
  <si>
    <t>Nhà văn nổi tiếng.</t>
  </si>
  <si>
    <t>実に</t>
  </si>
  <si>
    <t>じつに</t>
  </si>
  <si>
    <t>実[じつ]に</t>
  </si>
  <si>
    <t>thực sự</t>
  </si>
  <si>
    <t>実に素晴らしい。</t>
  </si>
  <si>
    <t>Thực sự tuyệt vời.</t>
  </si>
  <si>
    <t>崩す</t>
  </si>
  <si>
    <t>くずす</t>
  </si>
  <si>
    <t>崩[くず]す</t>
  </si>
  <si>
    <t>壁を崩す。</t>
  </si>
  <si>
    <t>Phá hủy bức tường.</t>
  </si>
  <si>
    <t>幼い</t>
  </si>
  <si>
    <t>おさない</t>
  </si>
  <si>
    <t>幼[おさな]い</t>
  </si>
  <si>
    <t>non nớt</t>
  </si>
  <si>
    <t>幼い頃の記憶。</t>
  </si>
  <si>
    <t>Ký ức thời thơ ấu.</t>
  </si>
  <si>
    <t>当てはめる</t>
  </si>
  <si>
    <t>あてはめる</t>
  </si>
  <si>
    <t>当[あ]てはめる</t>
  </si>
  <si>
    <t>例を当てはめる。</t>
  </si>
  <si>
    <t>Áp dụng ví dụ vào.</t>
  </si>
  <si>
    <t>男の子</t>
  </si>
  <si>
    <t>おとこのこ</t>
  </si>
  <si>
    <t>男[おとこ]の子[こ]</t>
  </si>
  <si>
    <t>bé trai</t>
  </si>
  <si>
    <t>男の子が遊ぶ。</t>
  </si>
  <si>
    <t>Bé trai đang chơi.</t>
  </si>
  <si>
    <t>進歩</t>
  </si>
  <si>
    <t>しんぽ</t>
  </si>
  <si>
    <t>進歩[しんぽ]</t>
  </si>
  <si>
    <t>tiến bộ</t>
  </si>
  <si>
    <t>技術が進歩する。</t>
  </si>
  <si>
    <t>Công nghệ tiến bộ.</t>
  </si>
  <si>
    <t>違反</t>
  </si>
  <si>
    <t>いはん</t>
  </si>
  <si>
    <t>違反[いはん]</t>
  </si>
  <si>
    <t>vi phạm</t>
  </si>
  <si>
    <t>法律に違反する。</t>
  </si>
  <si>
    <t>Vi phạm pháp luật.</t>
  </si>
  <si>
    <t>先日</t>
  </si>
  <si>
    <t>せんじつ</t>
  </si>
  <si>
    <t>先日[せんじつ]</t>
  </si>
  <si>
    <t>先日会った。</t>
  </si>
  <si>
    <t>Tôi đã gặp hôm nọ.</t>
  </si>
  <si>
    <t>医者</t>
  </si>
  <si>
    <t>いしゃ</t>
  </si>
  <si>
    <t>医者[いしゃ]</t>
  </si>
  <si>
    <t>bác sĩ</t>
  </si>
  <si>
    <t>医者に行く。</t>
  </si>
  <si>
    <t>Tôi đi đến bác sĩ.</t>
  </si>
  <si>
    <t>帰宅</t>
  </si>
  <si>
    <t>きたく</t>
  </si>
  <si>
    <t>帰宅[きたく]</t>
  </si>
  <si>
    <t>về nhà</t>
  </si>
  <si>
    <t>会社から帰宅する。</t>
  </si>
  <si>
    <t>Về nhà từ công ty.</t>
  </si>
  <si>
    <t>背中</t>
  </si>
  <si>
    <t>せなか</t>
  </si>
  <si>
    <t>背中[せなか]</t>
  </si>
  <si>
    <t>lưng</t>
  </si>
  <si>
    <t>背中を向ける。</t>
  </si>
  <si>
    <t>Tôi quay lưng lại.</t>
  </si>
  <si>
    <t>害</t>
  </si>
  <si>
    <t>がい</t>
  </si>
  <si>
    <t>害[がい]</t>
  </si>
  <si>
    <t>hại</t>
  </si>
  <si>
    <t>体に害がある。</t>
  </si>
  <si>
    <t>Có hại cho cơ thể.</t>
  </si>
  <si>
    <t>打合せ</t>
  </si>
  <si>
    <t>うちあわせ</t>
  </si>
  <si>
    <t>打合[うちあわ]せ</t>
  </si>
  <si>
    <t>họp</t>
  </si>
  <si>
    <t>会議の打合せ。</t>
  </si>
  <si>
    <t>Cuộc họp bàn thảo.</t>
  </si>
  <si>
    <t>汚い</t>
  </si>
  <si>
    <t>きたない</t>
  </si>
  <si>
    <t>汚[きたな]い</t>
  </si>
  <si>
    <t>bẩn</t>
  </si>
  <si>
    <t>汚い手。</t>
  </si>
  <si>
    <t>Đó là bàn tay bẩn.</t>
  </si>
  <si>
    <t>犬</t>
  </si>
  <si>
    <t>いぬ</t>
  </si>
  <si>
    <t>犬[いぬ]</t>
  </si>
  <si>
    <t>chó</t>
  </si>
  <si>
    <t>犬を飼いたい。</t>
  </si>
  <si>
    <t>Tôi muốn nuôi chó.</t>
  </si>
  <si>
    <t>習う</t>
  </si>
  <si>
    <t>ならう</t>
  </si>
  <si>
    <t>習[なら]う</t>
  </si>
  <si>
    <t>英語を習う。</t>
  </si>
  <si>
    <t>Tôi học tiếng Anh.</t>
  </si>
  <si>
    <t>叔母</t>
  </si>
  <si>
    <t>おば</t>
  </si>
  <si>
    <t>叔母[おば]</t>
  </si>
  <si>
    <t>cô</t>
  </si>
  <si>
    <t>叔母の家に行く。</t>
  </si>
  <si>
    <t>Tôi đi đến nhà cô.</t>
  </si>
  <si>
    <t>平等</t>
  </si>
  <si>
    <t>びょうどう</t>
  </si>
  <si>
    <t>平等[びょうどう]</t>
  </si>
  <si>
    <t>bình đẳng</t>
  </si>
  <si>
    <t>男女は平等だ。</t>
  </si>
  <si>
    <t>Nam nữ bình đẳng.</t>
  </si>
  <si>
    <t>診断</t>
  </si>
  <si>
    <t>しんだん</t>
  </si>
  <si>
    <t>診断[しんだん]</t>
  </si>
  <si>
    <t>chẩn đoán</t>
  </si>
  <si>
    <t>診断を下す。</t>
  </si>
  <si>
    <t>Đưa ra chẩn đoán.</t>
  </si>
  <si>
    <t>加わる</t>
  </si>
  <si>
    <t>くわわる</t>
  </si>
  <si>
    <t>加[くわ]わる</t>
  </si>
  <si>
    <t>gia nhập</t>
  </si>
  <si>
    <t>チームに加わる。</t>
  </si>
  <si>
    <t>Tôi gia nhập đội.</t>
  </si>
  <si>
    <t>労働</t>
  </si>
  <si>
    <t>ろうどう</t>
  </si>
  <si>
    <t>労働[ろうどう]</t>
  </si>
  <si>
    <t>lao động</t>
  </si>
  <si>
    <t>労働をする。</t>
  </si>
  <si>
    <t>Tôi làm lao động.</t>
  </si>
  <si>
    <t>単に</t>
  </si>
  <si>
    <t>たんに</t>
  </si>
  <si>
    <t>単[たん]に</t>
  </si>
  <si>
    <t>単に聞く。</t>
  </si>
  <si>
    <t>Tôi đơn giản hỏi.</t>
  </si>
  <si>
    <t>合図</t>
  </si>
  <si>
    <t>あいず</t>
  </si>
  <si>
    <t>合図[あいず]</t>
  </si>
  <si>
    <t>合図を待つ。</t>
  </si>
  <si>
    <t>Tôi chờ dấu hiệu.</t>
  </si>
  <si>
    <t>国語</t>
  </si>
  <si>
    <t>こくご</t>
  </si>
  <si>
    <t>国語[こくご]</t>
  </si>
  <si>
    <t>quốc ngữ</t>
  </si>
  <si>
    <t>国語を勉強する。</t>
  </si>
  <si>
    <t>Tôi học quốc ngữ.</t>
  </si>
  <si>
    <t>好み</t>
  </si>
  <si>
    <t>このみ</t>
  </si>
  <si>
    <t>好[この]み</t>
  </si>
  <si>
    <t>好みに合う。</t>
  </si>
  <si>
    <t>Hợp với sở thích.</t>
  </si>
  <si>
    <t>怒り</t>
  </si>
  <si>
    <t>いかり</t>
  </si>
  <si>
    <t>怒[いか]り</t>
  </si>
  <si>
    <t>cơn giận</t>
  </si>
  <si>
    <t>怒りを抑える。</t>
  </si>
  <si>
    <t>Kìm nén cơn giận.</t>
  </si>
  <si>
    <t>才能</t>
  </si>
  <si>
    <t>さいのう</t>
  </si>
  <si>
    <t>才能[さいのう]</t>
  </si>
  <si>
    <t>音楽の才能。</t>
  </si>
  <si>
    <t>Tài năng âm nhạc.</t>
  </si>
  <si>
    <t>紅茶</t>
  </si>
  <si>
    <t>こうちゃ</t>
  </si>
  <si>
    <t>紅茶[こうちゃ]</t>
  </si>
  <si>
    <t>hồng trà</t>
  </si>
  <si>
    <t>紅茶をいれる。</t>
  </si>
  <si>
    <t>Tôi pha hồng trà.</t>
  </si>
  <si>
    <t>軍</t>
  </si>
  <si>
    <t>ぐん</t>
  </si>
  <si>
    <t>軍[ぐん]</t>
  </si>
  <si>
    <t>quân đội</t>
  </si>
  <si>
    <t>軍を率いる。</t>
  </si>
  <si>
    <t>Dẫn dắt quân đội.</t>
  </si>
  <si>
    <t>優れる</t>
  </si>
  <si>
    <t>すぐれる</t>
  </si>
  <si>
    <t>優[すぐ]れる</t>
  </si>
  <si>
    <t>ưu việt</t>
  </si>
  <si>
    <t>能力が優れる。</t>
  </si>
  <si>
    <t>Năng lực ưu việt.</t>
  </si>
  <si>
    <t>屋根</t>
  </si>
  <si>
    <t>やね</t>
  </si>
  <si>
    <t>屋根[やね]</t>
  </si>
  <si>
    <t>mái nhà</t>
  </si>
  <si>
    <t>屋根を修理する。</t>
  </si>
  <si>
    <t>Sửa chữa mái nhà.</t>
  </si>
  <si>
    <t>指揮</t>
  </si>
  <si>
    <t>しき</t>
  </si>
  <si>
    <t>指揮[しき]</t>
  </si>
  <si>
    <t>chỉ huy</t>
  </si>
  <si>
    <t>楽団を指揮する。</t>
  </si>
  <si>
    <t>Chỉ huy ban nhạc.</t>
  </si>
  <si>
    <t>繋ぐ</t>
  </si>
  <si>
    <t>つなぐ</t>
  </si>
  <si>
    <t>繋[つな]ぐ</t>
  </si>
  <si>
    <t>手と手を繋ぐ。</t>
  </si>
  <si>
    <t>Tôi nắm tay nhau.</t>
  </si>
  <si>
    <t>製作</t>
  </si>
  <si>
    <t>製作[せいさく]</t>
  </si>
  <si>
    <t>chế tác</t>
  </si>
  <si>
    <t>映画を製作する。</t>
  </si>
  <si>
    <t>Tôi chế tác phim.</t>
  </si>
  <si>
    <t>迫る</t>
  </si>
  <si>
    <t>せまる</t>
  </si>
  <si>
    <t>迫[せま]る</t>
  </si>
  <si>
    <t>đến gần</t>
  </si>
  <si>
    <t>期限が迫る。</t>
  </si>
  <si>
    <t>Hạn chót đến gần.</t>
  </si>
  <si>
    <t>達する</t>
  </si>
  <si>
    <t>たっする</t>
  </si>
  <si>
    <t>達[たっ]する</t>
  </si>
  <si>
    <t>目標に達する。</t>
  </si>
  <si>
    <t>Đạt tới mục tiêu.</t>
  </si>
  <si>
    <t>身体</t>
  </si>
  <si>
    <t>身体[からだ]</t>
  </si>
  <si>
    <t>身体を鍛える。</t>
  </si>
  <si>
    <t>占める</t>
  </si>
  <si>
    <t>占[し]める</t>
  </si>
  <si>
    <t>chiếm</t>
  </si>
  <si>
    <t>場所を占める。</t>
  </si>
  <si>
    <t>Tôi chiếm vị trí.</t>
  </si>
  <si>
    <t>嫌う</t>
  </si>
  <si>
    <t>きらう</t>
  </si>
  <si>
    <t>嫌[きら]う</t>
  </si>
  <si>
    <t>嘘を嫌う。</t>
  </si>
  <si>
    <t>Tôi ghét nói dối.</t>
  </si>
  <si>
    <t>尻</t>
  </si>
  <si>
    <t>しり</t>
  </si>
  <si>
    <t>尻[しり]</t>
  </si>
  <si>
    <t>mông</t>
  </si>
  <si>
    <t>椅子に尻をつける。</t>
  </si>
  <si>
    <t>Đặt mông lên ghế.</t>
  </si>
  <si>
    <t>苦手</t>
  </si>
  <si>
    <t>にがて</t>
  </si>
  <si>
    <t>苦手[にがて]</t>
  </si>
  <si>
    <t>数学が苦手だ。</t>
  </si>
  <si>
    <t>Tôi kém môn toán.</t>
  </si>
  <si>
    <t>マラソン</t>
  </si>
  <si>
    <t>まらそん</t>
  </si>
  <si>
    <t>ma-ra-tông</t>
  </si>
  <si>
    <t>マラソンを走る。</t>
  </si>
  <si>
    <t>Chạy ma-ra-tông.</t>
  </si>
  <si>
    <t>当り</t>
  </si>
  <si>
    <t>あたり</t>
  </si>
  <si>
    <t>当[あた]り</t>
  </si>
  <si>
    <t>辺りを見る。</t>
  </si>
  <si>
    <t>Nhìn xung quanh.</t>
  </si>
  <si>
    <t>積もる</t>
  </si>
  <si>
    <t>つもる</t>
  </si>
  <si>
    <t>積[つ]もる</t>
  </si>
  <si>
    <t>chất đống</t>
  </si>
  <si>
    <t>雪が積もる。</t>
  </si>
  <si>
    <t>Tuyết chất đống.</t>
  </si>
  <si>
    <t>南</t>
  </si>
  <si>
    <t>みなみ</t>
  </si>
  <si>
    <t>南[みなみ]</t>
  </si>
  <si>
    <t>phía nam</t>
  </si>
  <si>
    <t>南に行く。</t>
  </si>
  <si>
    <t>Tôi đi phía nam.</t>
  </si>
  <si>
    <t>生まれ</t>
  </si>
  <si>
    <t>うまれ</t>
  </si>
  <si>
    <t>生[う]まれ</t>
  </si>
  <si>
    <t>nơi sinh</t>
  </si>
  <si>
    <t>東京生まれ。</t>
  </si>
  <si>
    <t>Sinh ra ở Tokyo.</t>
  </si>
  <si>
    <t>用意</t>
  </si>
  <si>
    <t>用意[ようい]</t>
  </si>
  <si>
    <t>食事を用意する。</t>
  </si>
  <si>
    <t>Chuẩn bị bữa ăn.</t>
  </si>
  <si>
    <t>余り</t>
  </si>
  <si>
    <t>あまり</t>
  </si>
  <si>
    <t>余[あま]り</t>
  </si>
  <si>
    <t>dư thừa</t>
  </si>
  <si>
    <t>お金の余り。</t>
  </si>
  <si>
    <t>Số tiền dư thừa.</t>
  </si>
  <si>
    <t>倍</t>
  </si>
  <si>
    <t>ばい</t>
  </si>
  <si>
    <t>倍[ばい]</t>
  </si>
  <si>
    <t>gấp đôi</t>
  </si>
  <si>
    <t>二倍になる。</t>
  </si>
  <si>
    <t>Nó tăng gấp đôi.</t>
  </si>
  <si>
    <t>再び</t>
  </si>
  <si>
    <t>ふたたび</t>
  </si>
  <si>
    <t>再[ふたた]び</t>
  </si>
  <si>
    <t>lần nữa</t>
  </si>
  <si>
    <t>再び会う。</t>
  </si>
  <si>
    <t>Tôi gặp lần nữa.</t>
  </si>
  <si>
    <t>助ける</t>
  </si>
  <si>
    <t>たすける</t>
  </si>
  <si>
    <t>助[たす]ける</t>
  </si>
  <si>
    <t>友人を助ける。</t>
  </si>
  <si>
    <t>Tôi giúp đỡ bạn.</t>
  </si>
  <si>
    <t>構成</t>
  </si>
  <si>
    <t>こうせい</t>
  </si>
  <si>
    <t>構成[こうせい]</t>
  </si>
  <si>
    <t>文を構成する。</t>
  </si>
  <si>
    <t>Tôi cấu tạo câu.</t>
  </si>
  <si>
    <t>破れる</t>
  </si>
  <si>
    <t>やぶれる</t>
  </si>
  <si>
    <t>破[やぶ]れる</t>
  </si>
  <si>
    <t>bị rách</t>
  </si>
  <si>
    <t>服が破れる。</t>
  </si>
  <si>
    <t>Quần áo bị rách.</t>
  </si>
  <si>
    <t>六</t>
  </si>
  <si>
    <t>ろく</t>
  </si>
  <si>
    <t>六[ろく]</t>
  </si>
  <si>
    <t>số sáu</t>
  </si>
  <si>
    <t>六を書く。</t>
  </si>
  <si>
    <t>Tôi viết số sáu.</t>
  </si>
  <si>
    <t>恐怖</t>
  </si>
  <si>
    <t>きょうふ</t>
  </si>
  <si>
    <t>恐怖[きょうふ]</t>
  </si>
  <si>
    <t>恐怖を感じる。</t>
  </si>
  <si>
    <t>Cảm thấy nỗi sợ.</t>
  </si>
  <si>
    <t>捕まる</t>
  </si>
  <si>
    <t>つかまる</t>
  </si>
  <si>
    <t>捕[つか]まる</t>
  </si>
  <si>
    <t>bị bắt</t>
  </si>
  <si>
    <t>警察に捕まる。</t>
  </si>
  <si>
    <t>Bị cảnh sát bắt.</t>
  </si>
  <si>
    <t>汚れる</t>
  </si>
  <si>
    <t>よごれる</t>
  </si>
  <si>
    <t>汚[よご]れる</t>
  </si>
  <si>
    <t>bị bẩn</t>
  </si>
  <si>
    <t>靴が汚れる。</t>
  </si>
  <si>
    <t>Đôi giày bị bẩn.</t>
  </si>
  <si>
    <t>離す</t>
  </si>
  <si>
    <t>離[はな]す</t>
  </si>
  <si>
    <t>rời xa</t>
  </si>
  <si>
    <t>手を離さないで。</t>
  </si>
  <si>
    <t>Đừng rời tay ra.</t>
  </si>
  <si>
    <t>熱</t>
  </si>
  <si>
    <t>ねつ</t>
  </si>
  <si>
    <t>熱[ねつ]</t>
  </si>
  <si>
    <t>nhiệt</t>
  </si>
  <si>
    <t>熱が高い。</t>
  </si>
  <si>
    <t>Đang bị sốt cao.</t>
  </si>
  <si>
    <t>甘い</t>
  </si>
  <si>
    <t>あまい</t>
  </si>
  <si>
    <t>甘[あま]い</t>
  </si>
  <si>
    <t>ngọt</t>
  </si>
  <si>
    <t>甘いケーキ。</t>
  </si>
  <si>
    <t>Chiếc bánh ngọt.</t>
  </si>
  <si>
    <t>到着</t>
  </si>
  <si>
    <t>とうちゃく</t>
  </si>
  <si>
    <t>到着[とうちゃく]</t>
  </si>
  <si>
    <t>空港に到着する。</t>
  </si>
  <si>
    <t>Tôi đến sân bay.</t>
  </si>
  <si>
    <t>布団</t>
  </si>
  <si>
    <t>ふとん</t>
  </si>
  <si>
    <t>布団[ふとん]</t>
  </si>
  <si>
    <t>nệm</t>
  </si>
  <si>
    <t>布団を敷いて寝る。</t>
  </si>
  <si>
    <t>Trải nệm ra ngủ.</t>
  </si>
  <si>
    <t>底</t>
  </si>
  <si>
    <t>底[そこ]</t>
  </si>
  <si>
    <t>đáy</t>
  </si>
  <si>
    <t>箱の底を見る。</t>
  </si>
  <si>
    <t>Xem đáy của hộp.</t>
  </si>
  <si>
    <t>足りる</t>
  </si>
  <si>
    <t>たりる</t>
  </si>
  <si>
    <t>足[た]りる</t>
  </si>
  <si>
    <t>đủ</t>
  </si>
  <si>
    <t>時間が足りる。</t>
  </si>
  <si>
    <t>Thời gian là đủ.</t>
  </si>
  <si>
    <t>具合</t>
  </si>
  <si>
    <t>ぐあい</t>
  </si>
  <si>
    <t>具合[ぐあい]</t>
  </si>
  <si>
    <t>具合が良い。</t>
  </si>
  <si>
    <t>迷惑</t>
  </si>
  <si>
    <t>めいわく</t>
  </si>
  <si>
    <t>迷惑[めいわく]</t>
  </si>
  <si>
    <t>迷惑をかける。</t>
  </si>
  <si>
    <t>Gây phiền phức.</t>
  </si>
  <si>
    <t>年中</t>
  </si>
  <si>
    <t>ねんじゅう</t>
  </si>
  <si>
    <t>年中[ねんじゅう]</t>
  </si>
  <si>
    <t>quanh năm</t>
  </si>
  <si>
    <t>年中暑い。</t>
  </si>
  <si>
    <t>Nóng quanh năm.</t>
  </si>
  <si>
    <t>看板</t>
  </si>
  <si>
    <t>かんばん</t>
  </si>
  <si>
    <t>看板[かんばん]</t>
  </si>
  <si>
    <t>bảng hiệu</t>
  </si>
  <si>
    <t>看板を立てる。</t>
  </si>
  <si>
    <t>Dựng bảng hiệu.</t>
  </si>
  <si>
    <t>分かれる</t>
  </si>
  <si>
    <t>分[わ]かれる</t>
  </si>
  <si>
    <t>chia ra</t>
  </si>
  <si>
    <t>意見が分かれる。</t>
  </si>
  <si>
    <t>Ý kiến chia ra.</t>
  </si>
  <si>
    <t>具体</t>
  </si>
  <si>
    <t>ぐたい</t>
  </si>
  <si>
    <t>具体[ぐたい]</t>
  </si>
  <si>
    <t>cụ thể</t>
  </si>
  <si>
    <t>具体的に話す。</t>
  </si>
  <si>
    <t>Tôi nói cụ thể.</t>
  </si>
  <si>
    <t>激しい</t>
  </si>
  <si>
    <t>はげしい</t>
  </si>
  <si>
    <t>激[はげ]しい</t>
  </si>
  <si>
    <t>dữ dội</t>
  </si>
  <si>
    <t>激しい雨が降る。</t>
  </si>
  <si>
    <t>Mưa rơi dữ dội.</t>
  </si>
  <si>
    <t>答</t>
  </si>
  <si>
    <t>こたえ</t>
  </si>
  <si>
    <t>答[こたえ]</t>
  </si>
  <si>
    <t>đáp án</t>
  </si>
  <si>
    <t>答を教える。</t>
  </si>
  <si>
    <t>Tôi chỉ đáp án.</t>
  </si>
  <si>
    <t>地点</t>
  </si>
  <si>
    <t>ちてん</t>
  </si>
  <si>
    <t>地点[ちてん]</t>
  </si>
  <si>
    <t>出発の地点。</t>
  </si>
  <si>
    <t>Điểm xuất phát.</t>
  </si>
  <si>
    <t>存じる</t>
  </si>
  <si>
    <t>ぞんじる</t>
  </si>
  <si>
    <t>存[ぞん]じる</t>
  </si>
  <si>
    <t>存じ上げません。</t>
  </si>
  <si>
    <t>Tôi không biết.</t>
  </si>
  <si>
    <t>訪ねる</t>
  </si>
  <si>
    <t>訪[たず]ねる</t>
  </si>
  <si>
    <t>thăm</t>
  </si>
  <si>
    <t>友人を訪ねる。</t>
  </si>
  <si>
    <t>Thăm người bạn.</t>
  </si>
  <si>
    <t>踊る</t>
  </si>
  <si>
    <t>おどる</t>
  </si>
  <si>
    <t>踊[おど]る</t>
  </si>
  <si>
    <t>音楽で踊る。</t>
  </si>
  <si>
    <t>Nhảy theo nhạc.</t>
  </si>
  <si>
    <t>招待</t>
  </si>
  <si>
    <t>しょうたい</t>
  </si>
  <si>
    <t>招待[しょうたい]</t>
  </si>
  <si>
    <t>パーティに招待する。</t>
  </si>
  <si>
    <t>Mời đi dự tiệc.</t>
  </si>
  <si>
    <t>油</t>
  </si>
  <si>
    <t>あぶら</t>
  </si>
  <si>
    <t>油[あぶら]</t>
  </si>
  <si>
    <t>dầu</t>
  </si>
  <si>
    <t>油を引く。</t>
  </si>
  <si>
    <t>Tôi đổ dầu vào.</t>
  </si>
  <si>
    <t>銀</t>
  </si>
  <si>
    <t>ぎん</t>
  </si>
  <si>
    <t>銀[ぎん]</t>
  </si>
  <si>
    <t>bạc</t>
  </si>
  <si>
    <t>銀の指輪だ。</t>
  </si>
  <si>
    <t>Chiếc nhẫn bạc.</t>
  </si>
  <si>
    <t>腰</t>
  </si>
  <si>
    <t>こし</t>
  </si>
  <si>
    <t>腰[こし]</t>
  </si>
  <si>
    <t>eo</t>
  </si>
  <si>
    <t>腰を痛める。</t>
  </si>
  <si>
    <t>Tôi làm đau eo.</t>
  </si>
  <si>
    <t>知合い</t>
  </si>
  <si>
    <t>しりあい</t>
  </si>
  <si>
    <t>知合[しりあ]い</t>
  </si>
  <si>
    <t>người quen</t>
  </si>
  <si>
    <t>昔の知合い。</t>
  </si>
  <si>
    <t>Người quen cũ.</t>
  </si>
  <si>
    <t>外部</t>
  </si>
  <si>
    <t>がいぶ</t>
  </si>
  <si>
    <t>外部[がいぶ]</t>
  </si>
  <si>
    <t>外部の力。</t>
  </si>
  <si>
    <t>Lực bên ngoài.</t>
  </si>
  <si>
    <t>衝突</t>
  </si>
  <si>
    <t>しょうとつ</t>
  </si>
  <si>
    <t>衝突[しょうとつ]</t>
  </si>
  <si>
    <t>車が衝突する。</t>
  </si>
  <si>
    <t>Xe bị va chạm.</t>
  </si>
  <si>
    <t>詰める</t>
  </si>
  <si>
    <t>つめる</t>
  </si>
  <si>
    <t>詰[つ]める</t>
  </si>
  <si>
    <t>nhồi nhét</t>
  </si>
  <si>
    <t>箱に詰める。</t>
  </si>
  <si>
    <t>Nhồi vào hộp.</t>
  </si>
  <si>
    <t>ポスター</t>
  </si>
  <si>
    <t>ぽすたー</t>
  </si>
  <si>
    <t>áp phích</t>
  </si>
  <si>
    <t>ポスターを貼る。</t>
  </si>
  <si>
    <t>Dán áp phích.</t>
  </si>
  <si>
    <t>冬</t>
  </si>
  <si>
    <t>ふゆ</t>
  </si>
  <si>
    <t>冬[ふゆ]</t>
  </si>
  <si>
    <t>mùa đông</t>
  </si>
  <si>
    <t>冬が来る。</t>
  </si>
  <si>
    <t>Mùa đông đến.</t>
  </si>
  <si>
    <t>座席</t>
  </si>
  <si>
    <t>ざせき</t>
  </si>
  <si>
    <t>座席[ざせき]</t>
  </si>
  <si>
    <t>座席を予約する。</t>
  </si>
  <si>
    <t>Đặt chỗ ngồi.</t>
  </si>
  <si>
    <t>強まる</t>
  </si>
  <si>
    <t>つよまる</t>
  </si>
  <si>
    <t>強[つよ]まる</t>
  </si>
  <si>
    <t>mạnh lên</t>
  </si>
  <si>
    <t>雨が強まる。</t>
  </si>
  <si>
    <t>Mưa mạnh lên.</t>
  </si>
  <si>
    <t>手間</t>
  </si>
  <si>
    <t>てま</t>
  </si>
  <si>
    <t>手間[てま]</t>
  </si>
  <si>
    <t>công sức</t>
  </si>
  <si>
    <t>手間がかかる。</t>
  </si>
  <si>
    <t>Tốn công sức.</t>
  </si>
  <si>
    <t>行列</t>
  </si>
  <si>
    <t>ぎょうれつ</t>
  </si>
  <si>
    <t>行列[ぎょうれつ]</t>
  </si>
  <si>
    <t>hàng đợi</t>
  </si>
  <si>
    <t>行列に並ぶ。</t>
  </si>
  <si>
    <t>Tôi xếp hàng.</t>
  </si>
  <si>
    <t>貸す</t>
  </si>
  <si>
    <t>かす</t>
  </si>
  <si>
    <t>貸[か]す</t>
  </si>
  <si>
    <t>cho mượn</t>
  </si>
  <si>
    <t>ペンを貸す。</t>
  </si>
  <si>
    <t>Cho mượn bút.</t>
  </si>
  <si>
    <t>資格</t>
  </si>
  <si>
    <t>しかく</t>
  </si>
  <si>
    <t>資格[しかく]</t>
  </si>
  <si>
    <t>bằng cấp</t>
  </si>
  <si>
    <t>資格を取る。</t>
  </si>
  <si>
    <t>Lấy bằng cấp.</t>
  </si>
  <si>
    <t>率</t>
  </si>
  <si>
    <t>りつ</t>
  </si>
  <si>
    <t>率[りつ]</t>
  </si>
  <si>
    <t>合格率が高い。</t>
  </si>
  <si>
    <t>Tỷ lệ đỗ cao.</t>
  </si>
  <si>
    <t>諦める</t>
  </si>
  <si>
    <t>あきらめる</t>
  </si>
  <si>
    <t>諦[あきら]める</t>
  </si>
  <si>
    <t>từ bỏ</t>
  </si>
  <si>
    <t>夢を諦める。</t>
  </si>
  <si>
    <t>Từ bỏ ước mơ.</t>
  </si>
  <si>
    <t>勝手に</t>
  </si>
  <si>
    <t>かってに</t>
  </si>
  <si>
    <t>勝手[かって]に</t>
  </si>
  <si>
    <t>tự ý</t>
  </si>
  <si>
    <t>勝手にする。</t>
  </si>
  <si>
    <t>Tôi tự ý làm.</t>
  </si>
  <si>
    <t>港</t>
  </si>
  <si>
    <t>みなと</t>
  </si>
  <si>
    <t>港[みなと]</t>
  </si>
  <si>
    <t>cảng</t>
  </si>
  <si>
    <t>港に船が着く。</t>
  </si>
  <si>
    <t>Tàu cập cảng.</t>
  </si>
  <si>
    <t>腹</t>
  </si>
  <si>
    <t>はら</t>
  </si>
  <si>
    <t>腹[はら]</t>
  </si>
  <si>
    <t>腹が減る。</t>
  </si>
  <si>
    <t>Tôi đói bụng.</t>
  </si>
  <si>
    <t>丈夫</t>
  </si>
  <si>
    <t>じょうぶ</t>
  </si>
  <si>
    <t>丈夫[じょうぶ]</t>
  </si>
  <si>
    <t>bền</t>
  </si>
  <si>
    <t>丈夫な靴。</t>
  </si>
  <si>
    <t>Đôi giày bền.</t>
  </si>
  <si>
    <t>砂</t>
  </si>
  <si>
    <t>すな</t>
  </si>
  <si>
    <t>砂[すな]</t>
  </si>
  <si>
    <t>cát</t>
  </si>
  <si>
    <t>砂で遊ぶ。</t>
  </si>
  <si>
    <t>Chơi với cát.</t>
  </si>
  <si>
    <t>納める</t>
  </si>
  <si>
    <t>納[おさ]める</t>
  </si>
  <si>
    <t>税金を納める。</t>
  </si>
  <si>
    <t>Tôi nộp thuế.</t>
  </si>
  <si>
    <t>罪</t>
  </si>
  <si>
    <t>つみ</t>
  </si>
  <si>
    <t>罪[つみ]</t>
  </si>
  <si>
    <t>tội lỗi</t>
  </si>
  <si>
    <t>罪を犯す。</t>
  </si>
  <si>
    <t>Phạm tội.</t>
  </si>
  <si>
    <t>投票</t>
  </si>
  <si>
    <t>とうひょう</t>
  </si>
  <si>
    <t>投票[とうひょう]</t>
  </si>
  <si>
    <t>bỏ phiếu</t>
  </si>
  <si>
    <t>投票に行く。</t>
  </si>
  <si>
    <t>Đi bỏ phiếu.</t>
  </si>
  <si>
    <t>フォーク</t>
  </si>
  <si>
    <t>ふぉーく</t>
  </si>
  <si>
    <t>cái dĩa</t>
  </si>
  <si>
    <t>フォークで食べる。</t>
  </si>
  <si>
    <t>Ăn bằng dĩa.</t>
  </si>
  <si>
    <t>乾燥</t>
  </si>
  <si>
    <t>乾燥[かんそう]</t>
  </si>
  <si>
    <t>sấy khô</t>
  </si>
  <si>
    <t>乾燥させる。</t>
  </si>
  <si>
    <t>Làm sấy khô.</t>
  </si>
  <si>
    <t>運</t>
  </si>
  <si>
    <t>運[うん]</t>
  </si>
  <si>
    <t>vận may</t>
  </si>
  <si>
    <t>運が良い。</t>
  </si>
  <si>
    <t>Vận may tốt.</t>
  </si>
  <si>
    <t>懸命</t>
  </si>
  <si>
    <t>けんめい</t>
  </si>
  <si>
    <t>懸命[けんめい]</t>
  </si>
  <si>
    <t>懸命に走る。</t>
  </si>
  <si>
    <t>Chạy nỗ lực.</t>
  </si>
  <si>
    <t>割る</t>
  </si>
  <si>
    <t>わる</t>
  </si>
  <si>
    <t>割[わ]る</t>
  </si>
  <si>
    <t>数を割る。</t>
  </si>
  <si>
    <t>Tôi chia số.</t>
  </si>
  <si>
    <t>減る</t>
  </si>
  <si>
    <t>減[へ]る</t>
  </si>
  <si>
    <t>人口が減る。</t>
  </si>
  <si>
    <t>Dân số giảm.</t>
  </si>
  <si>
    <t>節</t>
  </si>
  <si>
    <t>ふし</t>
  </si>
  <si>
    <t>節[ふし]</t>
  </si>
  <si>
    <t>khớp</t>
  </si>
  <si>
    <t>節が痛む。</t>
  </si>
  <si>
    <t>Khớp bị đau.</t>
  </si>
  <si>
    <t>ミルク</t>
  </si>
  <si>
    <t>みるく</t>
  </si>
  <si>
    <t>sữa</t>
  </si>
  <si>
    <t>ミルクを入れる。</t>
  </si>
  <si>
    <t>Cho sữa vào.</t>
  </si>
  <si>
    <t>猫</t>
  </si>
  <si>
    <t>ねこ</t>
  </si>
  <si>
    <t>猫[ねこ]</t>
  </si>
  <si>
    <t>mèo</t>
  </si>
  <si>
    <t>猫が鳴く。</t>
  </si>
  <si>
    <t>Con mèo kêu.</t>
  </si>
  <si>
    <t>弁当</t>
  </si>
  <si>
    <t>べんとう</t>
  </si>
  <si>
    <t>弁当[べんとう]</t>
  </si>
  <si>
    <t>弁当を食べる。</t>
  </si>
  <si>
    <t>ねじ</t>
  </si>
  <si>
    <t>ốc vít</t>
  </si>
  <si>
    <t>ねじを回す。</t>
  </si>
  <si>
    <t>Vặn ốc vít.</t>
  </si>
  <si>
    <t>赤ちゃん</t>
  </si>
  <si>
    <t>あかちゃん</t>
  </si>
  <si>
    <t>赤[あか]ちゃん</t>
  </si>
  <si>
    <t>em bé</t>
  </si>
  <si>
    <t>赤ちゃんが笑う。</t>
  </si>
  <si>
    <t>Em bé cười.</t>
  </si>
  <si>
    <t>ロビー</t>
  </si>
  <si>
    <t>ろびー</t>
  </si>
  <si>
    <t>sảnh</t>
  </si>
  <si>
    <t>ロビーで待つ。</t>
  </si>
  <si>
    <t>Chờ ở sảnh.</t>
  </si>
  <si>
    <t>誘う</t>
  </si>
  <si>
    <t>さそう</t>
  </si>
  <si>
    <t>誘[さそ]う</t>
  </si>
  <si>
    <t>友人を誘う。</t>
  </si>
  <si>
    <t>飯</t>
  </si>
  <si>
    <t>めし</t>
  </si>
  <si>
    <t>飯[めし]</t>
  </si>
  <si>
    <t>ご飯を食べる。</t>
  </si>
  <si>
    <t>Tôi ăn cơm.</t>
  </si>
  <si>
    <t>迷う</t>
  </si>
  <si>
    <t>まよう</t>
  </si>
  <si>
    <t>迷[まよ]う</t>
  </si>
  <si>
    <t>phân vân</t>
  </si>
  <si>
    <t>道に迷う。</t>
  </si>
  <si>
    <t>Lạc đường.</t>
  </si>
  <si>
    <t>マッサージ</t>
  </si>
  <si>
    <t>まっさーじ</t>
  </si>
  <si>
    <t>mát-xa</t>
  </si>
  <si>
    <t>マッサージを受ける。</t>
  </si>
  <si>
    <t>Đi mát-xa.</t>
  </si>
  <si>
    <t>速度</t>
  </si>
  <si>
    <t>そくど</t>
  </si>
  <si>
    <t>速度[そくど]</t>
  </si>
  <si>
    <t>tốc độ</t>
  </si>
  <si>
    <t>速度を測る。</t>
  </si>
  <si>
    <t>Đo tốc độ.</t>
  </si>
  <si>
    <t>割合</t>
  </si>
  <si>
    <t>わりあい</t>
  </si>
  <si>
    <t>割合[わりあい]</t>
  </si>
  <si>
    <t>高い割合。</t>
  </si>
  <si>
    <t>Tỷ lệ cao.</t>
  </si>
  <si>
    <t>空く</t>
  </si>
  <si>
    <t>空[あ]く</t>
  </si>
  <si>
    <t>trống</t>
  </si>
  <si>
    <t>席が空く。</t>
  </si>
  <si>
    <t>Ghế trống.</t>
  </si>
  <si>
    <t>冷たい</t>
  </si>
  <si>
    <t>つめたい</t>
  </si>
  <si>
    <t>冷[つめ]たい</t>
  </si>
  <si>
    <t>冷たい水。</t>
  </si>
  <si>
    <t>Nước lạnh.</t>
  </si>
  <si>
    <t>磨く</t>
  </si>
  <si>
    <t>みがく</t>
  </si>
  <si>
    <t>磨[みが]く</t>
  </si>
  <si>
    <t>歯を磨く。</t>
  </si>
  <si>
    <t>Đánh răng.</t>
  </si>
  <si>
    <t>鍵</t>
  </si>
  <si>
    <t>かぎ</t>
  </si>
  <si>
    <t>鍵[かぎ]</t>
  </si>
  <si>
    <t>chìa khóa</t>
  </si>
  <si>
    <t>鍵を掛ける。</t>
  </si>
  <si>
    <t>Khóa cửa.</t>
  </si>
  <si>
    <t>戸</t>
  </si>
  <si>
    <t>戸[と]</t>
  </si>
  <si>
    <t>戸を閉める。</t>
  </si>
  <si>
    <t>Đóng cửa.</t>
  </si>
  <si>
    <t>乗車</t>
  </si>
  <si>
    <t>じょうしゃ</t>
  </si>
  <si>
    <t>乗車[じょうしゃ]</t>
  </si>
  <si>
    <t>lên tàu</t>
  </si>
  <si>
    <t>乗車する。</t>
  </si>
  <si>
    <t>Lên tàu.</t>
  </si>
  <si>
    <t>門</t>
  </si>
  <si>
    <t>もん</t>
  </si>
  <si>
    <t>門[もん]</t>
  </si>
  <si>
    <t>cổng</t>
  </si>
  <si>
    <t>門を開ける。</t>
  </si>
  <si>
    <t>Mở cổng.</t>
  </si>
  <si>
    <t>心臓</t>
  </si>
  <si>
    <t>しんぞう</t>
  </si>
  <si>
    <t>心臓[しんぞう]</t>
  </si>
  <si>
    <t>tim</t>
  </si>
  <si>
    <t>心臓が動く。</t>
  </si>
  <si>
    <t>Tim đập.</t>
  </si>
  <si>
    <t>登る</t>
  </si>
  <si>
    <t>登[のぼ]る</t>
  </si>
  <si>
    <t>高い山に登る。</t>
  </si>
  <si>
    <t>Leo ngọn núi cao.</t>
  </si>
  <si>
    <t>貼る</t>
  </si>
  <si>
    <t>貼[は]る</t>
  </si>
  <si>
    <t>dán</t>
  </si>
  <si>
    <t>手紙に切手を貼る。</t>
  </si>
  <si>
    <t>Dán tem lên thư.</t>
  </si>
  <si>
    <t>資本</t>
  </si>
  <si>
    <t>しほん</t>
  </si>
  <si>
    <t>資本[しほん]</t>
  </si>
  <si>
    <t>資本を集める。</t>
  </si>
  <si>
    <t>Gom vốn.</t>
  </si>
  <si>
    <t>帽子</t>
  </si>
  <si>
    <t>帽子[ぼうし]</t>
  </si>
  <si>
    <t>mũ</t>
  </si>
  <si>
    <t>新しい帽子を被る。</t>
  </si>
  <si>
    <t>Đội chiếc mũ mới.</t>
  </si>
  <si>
    <t>礼</t>
  </si>
  <si>
    <t>礼[れい]</t>
  </si>
  <si>
    <t>lễ</t>
  </si>
  <si>
    <t>お礼を言う。</t>
  </si>
  <si>
    <t>Cảm ơn.</t>
  </si>
  <si>
    <t>国産</t>
  </si>
  <si>
    <t>こくさん</t>
  </si>
  <si>
    <t>国産[こくさん]</t>
  </si>
  <si>
    <t>sản phẩm trong nước</t>
  </si>
  <si>
    <t>国産の野菜を買う。</t>
  </si>
  <si>
    <t>Mua rau sản phẩm trong nước.</t>
  </si>
  <si>
    <t>練る</t>
  </si>
  <si>
    <t>練[ね]る</t>
  </si>
  <si>
    <t>trau chuốt</t>
  </si>
  <si>
    <t>計画を練る。</t>
  </si>
  <si>
    <t>Trau chuốt kế hoạch.</t>
  </si>
  <si>
    <t>パチンコ</t>
  </si>
  <si>
    <t>ぱちんこ</t>
  </si>
  <si>
    <t>trò chơi pachinko</t>
  </si>
  <si>
    <t>パチンコで遊ぶ。</t>
  </si>
  <si>
    <t>Chơi trò pachinko.</t>
  </si>
  <si>
    <t>構想</t>
  </si>
  <si>
    <t>こうそう</t>
  </si>
  <si>
    <t>構想[こうそう]</t>
  </si>
  <si>
    <t>ý tưởng</t>
  </si>
  <si>
    <t>新しい計画を構想する。</t>
  </si>
  <si>
    <t>Lên ý tưởng cho kế hoạch mới.</t>
  </si>
  <si>
    <t>議題</t>
  </si>
  <si>
    <t>ぎだい</t>
  </si>
  <si>
    <t>議題[ぎだい]</t>
  </si>
  <si>
    <t>chủ đề thảo luận</t>
  </si>
  <si>
    <t>議題に載せる。</t>
  </si>
  <si>
    <t>Đưa vào chủ đề thảo luận.</t>
  </si>
  <si>
    <t>叶う</t>
  </si>
  <si>
    <t>かなう</t>
  </si>
  <si>
    <t>叶[かな]う</t>
  </si>
  <si>
    <t>thành hiện thực</t>
  </si>
  <si>
    <t>願いが叶う。</t>
  </si>
  <si>
    <t>Nguyện vọng thành hiện thực.</t>
  </si>
  <si>
    <t>かなわない</t>
  </si>
  <si>
    <t>暑くてかなわない。</t>
  </si>
  <si>
    <t>何だか</t>
  </si>
  <si>
    <t>なんだか</t>
  </si>
  <si>
    <t>何[なん]だか</t>
  </si>
  <si>
    <t>何だか眠い。</t>
  </si>
  <si>
    <t>Không hiểu sao thấy buồn ngủ.</t>
  </si>
  <si>
    <t>原点</t>
  </si>
  <si>
    <t>げんてん</t>
  </si>
  <si>
    <t>原点[げんてん]</t>
  </si>
  <si>
    <t>điểm xuất phát</t>
  </si>
  <si>
    <t>初心を原点にする。</t>
  </si>
  <si>
    <t>Lấy sơ tâm làm điểm xuất phát.</t>
  </si>
  <si>
    <t>バット</t>
  </si>
  <si>
    <t>ばっと</t>
  </si>
  <si>
    <t>gậy bóng chày</t>
  </si>
  <si>
    <t>バットを振る。</t>
  </si>
  <si>
    <t>Vung gậy bóng chày.</t>
  </si>
  <si>
    <t>備わる</t>
  </si>
  <si>
    <t>そなわる</t>
  </si>
  <si>
    <t>備[そな]わる</t>
  </si>
  <si>
    <t>được trang bị</t>
  </si>
  <si>
    <t>最新の設備が備わる。</t>
  </si>
  <si>
    <t>Được trang bị thiết bị mới nhất.</t>
  </si>
  <si>
    <t>特許</t>
  </si>
  <si>
    <t>とっきょ</t>
  </si>
  <si>
    <t>特許[とっきょ]</t>
  </si>
  <si>
    <t>bằng sáng chế</t>
  </si>
  <si>
    <t>特許を取得する。</t>
  </si>
  <si>
    <t>Đạt được bằng sáng chế.</t>
  </si>
  <si>
    <t>獲得</t>
  </si>
  <si>
    <t>かくとく</t>
  </si>
  <si>
    <t>獲得[かくとく]</t>
  </si>
  <si>
    <t>sự giành được</t>
  </si>
  <si>
    <t>メダルを獲得する。</t>
  </si>
  <si>
    <t>Giành được huy chương.</t>
  </si>
  <si>
    <t>移行</t>
  </si>
  <si>
    <t>移行[いこう]</t>
  </si>
  <si>
    <t>システムを移行する。</t>
  </si>
  <si>
    <t>Chuyển đổi hệ thống.</t>
  </si>
  <si>
    <t>運送</t>
  </si>
  <si>
    <t>うんそう</t>
  </si>
  <si>
    <t>運送[うんそう]</t>
  </si>
  <si>
    <t>sự vận chuyển</t>
  </si>
  <si>
    <t>貨物を運送する。</t>
  </si>
  <si>
    <t>Vận chuyển hàng hóa.</t>
  </si>
  <si>
    <t>おまけ</t>
  </si>
  <si>
    <t>quà tặng kèm</t>
  </si>
  <si>
    <t>おまけに飴をくれる。</t>
  </si>
  <si>
    <t>Cho thêm viên kẹo làm quà.</t>
  </si>
  <si>
    <t>保育</t>
  </si>
  <si>
    <t>ほいく</t>
  </si>
  <si>
    <t>保育[ほいく]</t>
  </si>
  <si>
    <t>sự trông trẻ</t>
  </si>
  <si>
    <t>保育園で働く。</t>
  </si>
  <si>
    <t>Làm việc tại nhà trẻ.</t>
  </si>
  <si>
    <t>分裂</t>
  </si>
  <si>
    <t>ぶんれつ</t>
  </si>
  <si>
    <t>分裂[ぶんれつ]</t>
  </si>
  <si>
    <t>sự phân liệt</t>
  </si>
  <si>
    <t>組織が分裂する。</t>
  </si>
  <si>
    <t>Tổ chức bị phân liệt.</t>
  </si>
  <si>
    <t>取締り</t>
  </si>
  <si>
    <t>とりしまり</t>
  </si>
  <si>
    <t>取締[と]り</t>
  </si>
  <si>
    <t>sự kiểm soát</t>
  </si>
  <si>
    <t>取締りを強化する。</t>
  </si>
  <si>
    <t>Tăng cường kiểm soát.</t>
  </si>
  <si>
    <t>妥協</t>
  </si>
  <si>
    <t>だきょう</t>
  </si>
  <si>
    <t>妥協[だきょう]</t>
  </si>
  <si>
    <t>sự thỏa hiệp</t>
  </si>
  <si>
    <t>妥協案を探る。</t>
  </si>
  <si>
    <t>Tìm phương án thỏa hiệp.</t>
  </si>
  <si>
    <t>守備</t>
  </si>
  <si>
    <t>しゅび</t>
  </si>
  <si>
    <t>守備[しゅび]</t>
  </si>
  <si>
    <t>sự phòng thủ</t>
  </si>
  <si>
    <t>守備を固める。</t>
  </si>
  <si>
    <t>Củng cố phòng thủ.</t>
  </si>
  <si>
    <t>確立</t>
  </si>
  <si>
    <t>確立[かくりつ]</t>
  </si>
  <si>
    <t>sự thiết lập</t>
  </si>
  <si>
    <t>新しい制度を確立する。</t>
  </si>
  <si>
    <t>Thiết lập chế độ mới.</t>
  </si>
  <si>
    <t>繁栄</t>
  </si>
  <si>
    <t>繁栄[はんえい]</t>
  </si>
  <si>
    <t>sự phồn vinh</t>
  </si>
  <si>
    <t>国が繁栄する。</t>
  </si>
  <si>
    <t>Đất nước phồn vinh.</t>
  </si>
  <si>
    <t>該当</t>
  </si>
  <si>
    <t>がいとう</t>
  </si>
  <si>
    <t>該当[がいとう]</t>
  </si>
  <si>
    <t>sự tương ứng</t>
  </si>
  <si>
    <t>該当する項目。</t>
  </si>
  <si>
    <t>Mục tương ứng.</t>
  </si>
  <si>
    <t>貯蓄</t>
  </si>
  <si>
    <t>ちょちく</t>
  </si>
  <si>
    <t>貯蓄[ちょちく]</t>
  </si>
  <si>
    <t>sự tiết kiệm</t>
  </si>
  <si>
    <t>貯蓄を増やす。</t>
  </si>
  <si>
    <t>Tăng số tiền tiết kiệm.</t>
  </si>
  <si>
    <t>配分</t>
  </si>
  <si>
    <t>はいぶん</t>
  </si>
  <si>
    <t>配分[はいぶん]</t>
  </si>
  <si>
    <t>sự phân chia</t>
  </si>
  <si>
    <t>役割を配分する。</t>
  </si>
  <si>
    <t>Phân chia vai trò.</t>
  </si>
  <si>
    <t>阻止</t>
  </si>
  <si>
    <t>そし</t>
  </si>
  <si>
    <t>阻止[そし]</t>
  </si>
  <si>
    <t>sự ngăn chặn</t>
  </si>
  <si>
    <t>犯罪を阻止する。</t>
  </si>
  <si>
    <t>Ngăn chặn tội phạm.</t>
  </si>
  <si>
    <t>非難</t>
  </si>
  <si>
    <t>非難[ひなん]</t>
  </si>
  <si>
    <t>sự chỉ trích</t>
  </si>
  <si>
    <t>失敗を非難する。</t>
  </si>
  <si>
    <t>Chỉ trích sự thất bại.</t>
  </si>
  <si>
    <t>不況</t>
  </si>
  <si>
    <t>ふきょう</t>
  </si>
  <si>
    <t>不況[ふきょう]</t>
  </si>
  <si>
    <t>不況が続く。</t>
  </si>
  <si>
    <t>Khủng hoảng kéo dài.</t>
  </si>
  <si>
    <t>出血</t>
  </si>
  <si>
    <t>しゅっけつ</t>
  </si>
  <si>
    <t>出血[しゅっけつ]</t>
  </si>
  <si>
    <t>sự chảy máu</t>
  </si>
  <si>
    <t>傷口から出血する。</t>
  </si>
  <si>
    <t>Chảy máu từ vết thương.</t>
  </si>
  <si>
    <t>分散</t>
  </si>
  <si>
    <t>ぶんさん</t>
  </si>
  <si>
    <t>分散[ぶんさん]</t>
  </si>
  <si>
    <t>sự phân tán</t>
  </si>
  <si>
    <t>リスクを分散する。</t>
  </si>
  <si>
    <t>Phân tán rủi ro.</t>
  </si>
  <si>
    <t>厳密</t>
  </si>
  <si>
    <t>げんみつ</t>
  </si>
  <si>
    <t>厳密[げんみつ]</t>
  </si>
  <si>
    <t>nghiêm ngặt</t>
  </si>
  <si>
    <t>厳密に検査する。</t>
  </si>
  <si>
    <t>Kiểm tra nghiêm ngặt.</t>
  </si>
  <si>
    <t>合併</t>
  </si>
  <si>
    <t>がっぺい</t>
  </si>
  <si>
    <t>合併[がっぺい]</t>
  </si>
  <si>
    <t>sự sáp nhập</t>
  </si>
  <si>
    <t>会社の合併。</t>
  </si>
  <si>
    <t>Sự sáp nhập công ty.</t>
  </si>
  <si>
    <t>合成</t>
  </si>
  <si>
    <t>ごうせい</t>
  </si>
  <si>
    <t>合成[ごうせい]</t>
  </si>
  <si>
    <t>sự tổng hợp</t>
  </si>
  <si>
    <t>プラスチックの合成。</t>
  </si>
  <si>
    <t>Tổng hợp nhựa.</t>
  </si>
  <si>
    <t>天国</t>
  </si>
  <si>
    <t>てんごく</t>
  </si>
  <si>
    <t>天国[てんごく]</t>
  </si>
  <si>
    <t>thiên đường</t>
  </si>
  <si>
    <t>天国のような場所。</t>
  </si>
  <si>
    <t>Nơi như thiên đường.</t>
  </si>
  <si>
    <t>演出</t>
  </si>
  <si>
    <t>えんしゅつ</t>
  </si>
  <si>
    <t>演出[えんしゅつ]</t>
  </si>
  <si>
    <t>sự đạo diễn</t>
  </si>
  <si>
    <t>舞台を演出する。</t>
  </si>
  <si>
    <t>Đạo diễn sân khấu.</t>
  </si>
  <si>
    <t>統合</t>
  </si>
  <si>
    <t>とうごう</t>
  </si>
  <si>
    <t>統合[とうごう]</t>
  </si>
  <si>
    <t>sự hợp nhất</t>
  </si>
  <si>
    <t>組織を統合する。</t>
  </si>
  <si>
    <t>Hợp nhất các tổ chức.</t>
  </si>
  <si>
    <t>補給</t>
  </si>
  <si>
    <t>ほきゅう</t>
  </si>
  <si>
    <t>補給[ほきゅう]</t>
  </si>
  <si>
    <t>sự cung cấp</t>
  </si>
  <si>
    <t>水を補給する。</t>
  </si>
  <si>
    <t>Cung cấp nước.</t>
  </si>
  <si>
    <t>返還</t>
  </si>
  <si>
    <t>へんかん</t>
  </si>
  <si>
    <t>返還[へんかん]</t>
  </si>
  <si>
    <t>sự hoàn trả</t>
  </si>
  <si>
    <t>土地を返還する。</t>
  </si>
  <si>
    <t>Hoàn trả đất.</t>
  </si>
  <si>
    <t>追跡</t>
  </si>
  <si>
    <t>ついせき</t>
  </si>
  <si>
    <t>追跡[ついせき]</t>
  </si>
  <si>
    <t>sự theo dấu</t>
  </si>
  <si>
    <t>犯人を追跡する。</t>
  </si>
  <si>
    <t>Theo dấu phạm nhân.</t>
  </si>
  <si>
    <t>除外</t>
  </si>
  <si>
    <t>じょがい</t>
  </si>
  <si>
    <t>除外[じょがい]</t>
  </si>
  <si>
    <t>sự loại trừ</t>
  </si>
  <si>
    <t>対象から除外する。</t>
  </si>
  <si>
    <t>Loại trừ khỏi đối tượng.</t>
  </si>
  <si>
    <t>革新</t>
  </si>
  <si>
    <t>かくしん</t>
  </si>
  <si>
    <t>革新[かくしん]</t>
  </si>
  <si>
    <t>sự cải cách</t>
  </si>
  <si>
    <t>技術革新。</t>
  </si>
  <si>
    <t>Cải cách kỹ thuật.</t>
  </si>
  <si>
    <t>騒動</t>
  </si>
  <si>
    <t>そうどう</t>
  </si>
  <si>
    <t>騒動[そうどう]</t>
  </si>
  <si>
    <t>sự náo động</t>
  </si>
  <si>
    <t>騒動を起こす。</t>
  </si>
  <si>
    <t>Gây náo động.</t>
  </si>
  <si>
    <t>アクセル</t>
  </si>
  <si>
    <t>あくせる</t>
  </si>
  <si>
    <t>bàn đạp ga</t>
  </si>
  <si>
    <t>アクセルを踏む。</t>
  </si>
  <si>
    <t>Nhấn bàn đạp ga.</t>
  </si>
  <si>
    <t>乱れる</t>
  </si>
  <si>
    <t>みだれる</t>
  </si>
  <si>
    <t>乱[みだ]れる</t>
  </si>
  <si>
    <t>bị lộn xộn</t>
  </si>
  <si>
    <t>髪が乱れる。</t>
  </si>
  <si>
    <t>Tóc bị lộn xộn.</t>
  </si>
  <si>
    <t>争い</t>
  </si>
  <si>
    <t>あらそい</t>
  </si>
  <si>
    <t>争[あらそ]い</t>
  </si>
  <si>
    <t>tranh chấp</t>
  </si>
  <si>
    <t>国の争い。</t>
  </si>
  <si>
    <t>Tranh chấp của các quốc gia.</t>
  </si>
  <si>
    <t>仕上げる</t>
  </si>
  <si>
    <t>しあげる</t>
  </si>
  <si>
    <t>仕上[しあ]げる</t>
  </si>
  <si>
    <t>仕事を仕上げる。</t>
  </si>
  <si>
    <t>Hoàn thành công việc.</t>
  </si>
  <si>
    <t>偏見</t>
  </si>
  <si>
    <t>へんけん</t>
  </si>
  <si>
    <t>偏見[へんけん]</t>
  </si>
  <si>
    <t>thành kiến</t>
  </si>
  <si>
    <t>偏見を持たない。</t>
  </si>
  <si>
    <t>Không giữ thành kiến.</t>
  </si>
  <si>
    <t>区間</t>
  </si>
  <si>
    <t>くかん</t>
  </si>
  <si>
    <t>区間[くかん]</t>
  </si>
  <si>
    <t>đoạn đường</t>
  </si>
  <si>
    <t>この区間は走る。</t>
  </si>
  <si>
    <t>Chạy ở đoạn đường này.</t>
  </si>
  <si>
    <t>反射</t>
  </si>
  <si>
    <t>はんしゃ</t>
  </si>
  <si>
    <t>反射[はんしゃ]</t>
  </si>
  <si>
    <t>sự phản xạ</t>
  </si>
  <si>
    <t>光を反射する。</t>
  </si>
  <si>
    <t>Phản xạ ánh sáng.</t>
  </si>
  <si>
    <t>同等</t>
  </si>
  <si>
    <t>どうとう</t>
  </si>
  <si>
    <t>同等[どうとう]</t>
  </si>
  <si>
    <t>ngang hàng</t>
  </si>
  <si>
    <t>実力が同等である。</t>
  </si>
  <si>
    <t>Thực lực ngang hàng.</t>
  </si>
  <si>
    <t>国防</t>
  </si>
  <si>
    <t>こくぼう</t>
  </si>
  <si>
    <t>国防[こくぼう]</t>
  </si>
  <si>
    <t>quốc phòng</t>
  </si>
  <si>
    <t>国防を担当する。</t>
  </si>
  <si>
    <t>Phụ trách quốc phòng.</t>
  </si>
  <si>
    <t>委託</t>
  </si>
  <si>
    <t>いたく</t>
  </si>
  <si>
    <t>委託[いたく]</t>
  </si>
  <si>
    <t>sự ủy thác</t>
  </si>
  <si>
    <t>調査を委託する。</t>
  </si>
  <si>
    <t>Ủy thác điều tra.</t>
  </si>
  <si>
    <t>正当</t>
  </si>
  <si>
    <t>せいとう</t>
  </si>
  <si>
    <t>正当[せいとう]</t>
  </si>
  <si>
    <t>chính đáng</t>
  </si>
  <si>
    <t>正当な理由を述べる。</t>
  </si>
  <si>
    <t>Nêu lý do chính đáng.</t>
  </si>
  <si>
    <t>犠牲</t>
  </si>
  <si>
    <t>ぎせい</t>
  </si>
  <si>
    <t>犠牲[ぎせい]</t>
  </si>
  <si>
    <t>sự hy sinh</t>
  </si>
  <si>
    <t>犠牲を払う。</t>
  </si>
  <si>
    <t>Trả giá bằng sự hy sinh.</t>
  </si>
  <si>
    <t>直面</t>
  </si>
  <si>
    <t>ちょくめん</t>
  </si>
  <si>
    <t>直面[ちょくめん]</t>
  </si>
  <si>
    <t>sự đối mặt</t>
  </si>
  <si>
    <t>困難に直面する。</t>
  </si>
  <si>
    <t>Đối mặt với khó khăn.</t>
  </si>
  <si>
    <t>知的</t>
  </si>
  <si>
    <t>ちてき</t>
  </si>
  <si>
    <t>知的[ちてき]</t>
  </si>
  <si>
    <t>có trí tuệ</t>
  </si>
  <si>
    <t>知的で面白い本。</t>
  </si>
  <si>
    <t>Cuốn sách trí tuệ và thú vị.</t>
  </si>
  <si>
    <t>破壊</t>
  </si>
  <si>
    <t>はかい</t>
  </si>
  <si>
    <t>破壊[はかい]</t>
  </si>
  <si>
    <t>sự phá hủy</t>
  </si>
  <si>
    <t>環境を破壊する。</t>
  </si>
  <si>
    <t>Phá hủy môi trường.</t>
  </si>
  <si>
    <t>肝心</t>
  </si>
  <si>
    <t>かんじん</t>
  </si>
  <si>
    <t>肝心[かんじん]</t>
  </si>
  <si>
    <t>肝心なところを忘れた。</t>
  </si>
  <si>
    <t>Tôi đã quên mất chỗ quan trọng.</t>
  </si>
  <si>
    <t>自覚</t>
  </si>
  <si>
    <t>じかく</t>
  </si>
  <si>
    <t>自覚[じかく]</t>
  </si>
  <si>
    <t>sự tự giác</t>
  </si>
  <si>
    <t>責任を自覚する。</t>
  </si>
  <si>
    <t>Tự giác với trách nhiệm.</t>
  </si>
  <si>
    <t>返答</t>
  </si>
  <si>
    <t>へんとう</t>
  </si>
  <si>
    <t>返答[へんとう]</t>
  </si>
  <si>
    <t>sự trả lời</t>
  </si>
  <si>
    <t>質問に返答する。</t>
  </si>
  <si>
    <t>一同</t>
  </si>
  <si>
    <t>いちどう</t>
  </si>
  <si>
    <t>一同[いちどう]</t>
  </si>
  <si>
    <t>一同で集まる。</t>
  </si>
  <si>
    <t>Mọi người cùng tập trung.</t>
  </si>
  <si>
    <t>中断</t>
  </si>
  <si>
    <t>ちゅうだん</t>
  </si>
  <si>
    <t>中断[ちゅうだん]</t>
  </si>
  <si>
    <t>gián đoạn</t>
  </si>
  <si>
    <t>会議を中断する。</t>
  </si>
  <si>
    <t>Gián đoạn cuộc họp.</t>
  </si>
  <si>
    <t>了承</t>
  </si>
  <si>
    <t>りょうしょう</t>
  </si>
  <si>
    <t>了承[りょうしょう]</t>
  </si>
  <si>
    <t>thông cảm</t>
  </si>
  <si>
    <t>事情を了承する。</t>
  </si>
  <si>
    <t>Thông cảm cho tình hình.</t>
  </si>
  <si>
    <t>介入</t>
  </si>
  <si>
    <t>かいにゅう</t>
  </si>
  <si>
    <t>介入[かいにゅう]</t>
  </si>
  <si>
    <t>争いに介入する。</t>
  </si>
  <si>
    <t>Can thiệp vào tranh chấp.</t>
  </si>
  <si>
    <t>値する</t>
  </si>
  <si>
    <t>あたいする</t>
  </si>
  <si>
    <t>値[あたい]する</t>
  </si>
  <si>
    <t>xứng đáng</t>
  </si>
  <si>
    <t>称賛に値する行動。</t>
  </si>
  <si>
    <t>Hành động xứng đáng được khen ngợi.</t>
  </si>
  <si>
    <t>制する</t>
  </si>
  <si>
    <t>せいする</t>
  </si>
  <si>
    <t>制[せい]する</t>
  </si>
  <si>
    <t>kiểm soát</t>
  </si>
  <si>
    <t>感情を制する。</t>
  </si>
  <si>
    <t>Kiểm soát cảm xúc.</t>
  </si>
  <si>
    <t>勝る</t>
  </si>
  <si>
    <t>まさる</t>
  </si>
  <si>
    <t>勝[まさ]る</t>
  </si>
  <si>
    <t>vượt trội</t>
  </si>
  <si>
    <t>能力が人より勝る。</t>
  </si>
  <si>
    <t>Năng lực vượt trội hơn người.</t>
  </si>
  <si>
    <t>原子</t>
  </si>
  <si>
    <t>げんし</t>
  </si>
  <si>
    <t>原子[げんし]</t>
  </si>
  <si>
    <t>nguyên tử</t>
  </si>
  <si>
    <t>原子の構造。</t>
  </si>
  <si>
    <t>Cấu trúc của nguyên tử.</t>
  </si>
  <si>
    <t>取り巻く</t>
  </si>
  <si>
    <t>とりまく</t>
  </si>
  <si>
    <t>取[と]り巻[ま]く</t>
  </si>
  <si>
    <t>環境を取り巻く問題。</t>
  </si>
  <si>
    <t>Vấn đề bao quanh môi trường.</t>
  </si>
  <si>
    <t>叫び</t>
  </si>
  <si>
    <t>さけび</t>
  </si>
  <si>
    <t>叫[さけ]び</t>
  </si>
  <si>
    <t>tiếng kêu</t>
  </si>
  <si>
    <t>救いを求める叫び。</t>
  </si>
  <si>
    <t>Tiếng kêu cứu giúp.</t>
  </si>
  <si>
    <t>告白</t>
  </si>
  <si>
    <t>こくはく</t>
  </si>
  <si>
    <t>告白[こくはく]</t>
  </si>
  <si>
    <t>sự thổ lộ</t>
  </si>
  <si>
    <t>愛を告白する。</t>
  </si>
  <si>
    <t>Thổ lộ tình yêu.</t>
  </si>
  <si>
    <t>天才</t>
  </si>
  <si>
    <t>てんさい</t>
  </si>
  <si>
    <t>天才[てんさい]</t>
  </si>
  <si>
    <t>thiên tài</t>
  </si>
  <si>
    <t>音楽の天才。</t>
  </si>
  <si>
    <t>Thiên tài âm nhạc.</t>
  </si>
  <si>
    <t>好意</t>
  </si>
  <si>
    <t>好意[こうい]</t>
  </si>
  <si>
    <t>thiện chí</t>
  </si>
  <si>
    <t>好意を持つ。</t>
  </si>
  <si>
    <t>Có thiện chí.</t>
  </si>
  <si>
    <t>調理</t>
  </si>
  <si>
    <t>ちょうり</t>
  </si>
  <si>
    <t>調理[ちょうり]</t>
  </si>
  <si>
    <t>sự nấu ăn</t>
  </si>
  <si>
    <t>調理場に入る。</t>
  </si>
  <si>
    <t>Vào bếp nấu ăn.</t>
  </si>
  <si>
    <t>貫く</t>
  </si>
  <si>
    <t>つらぬく</t>
  </si>
  <si>
    <t>貫[つらぬ]く</t>
  </si>
  <si>
    <t>信念を貫く。</t>
  </si>
  <si>
    <t>Giữ vững niềm tin.</t>
  </si>
  <si>
    <t>かかと</t>
  </si>
  <si>
    <t>gót chân</t>
  </si>
  <si>
    <t>かかとを痛める。</t>
  </si>
  <si>
    <t>Đau gót chân.</t>
  </si>
  <si>
    <t>サボる</t>
  </si>
  <si>
    <t>さぼる</t>
  </si>
  <si>
    <t>trốn học</t>
  </si>
  <si>
    <t>学校をサボる。</t>
  </si>
  <si>
    <t>Trốn học.</t>
  </si>
  <si>
    <t>トーン</t>
  </si>
  <si>
    <t>とーん</t>
  </si>
  <si>
    <t>tông màu</t>
  </si>
  <si>
    <t>声のトーンを上げる。</t>
  </si>
  <si>
    <t>Tăng tông giọng lên.</t>
  </si>
  <si>
    <t>どうやら</t>
  </si>
  <si>
    <t>hình như</t>
  </si>
  <si>
    <t>どうやら雨が降りそうだ。</t>
  </si>
  <si>
    <t>Hình như trời sắp mưa.</t>
  </si>
  <si>
    <t>ニュアンス</t>
  </si>
  <si>
    <t>にゅあんす</t>
  </si>
  <si>
    <t>sắc thái</t>
  </si>
  <si>
    <t>言葉のニュアンス。</t>
  </si>
  <si>
    <t>Sắc thái của ngôn từ.</t>
  </si>
  <si>
    <t>わざわざ</t>
  </si>
  <si>
    <t>わざわざ来る。</t>
  </si>
  <si>
    <t>Cất công đến tận đây.</t>
  </si>
  <si>
    <t>一連</t>
  </si>
  <si>
    <t>いちれん</t>
  </si>
  <si>
    <t>一連[いちれん]</t>
  </si>
  <si>
    <t>một loạt</t>
  </si>
  <si>
    <t>一連の事件。</t>
  </si>
  <si>
    <t>Một loạt các sự kiện.</t>
  </si>
  <si>
    <t>不明</t>
  </si>
  <si>
    <t>ふめい</t>
  </si>
  <si>
    <t>不明[ふめい]</t>
  </si>
  <si>
    <t>không rõ</t>
  </si>
  <si>
    <t>原因が不明だ。</t>
  </si>
  <si>
    <t>Nguyên nhân không rõ.</t>
  </si>
  <si>
    <t>付け加える</t>
  </si>
  <si>
    <t>つけくわえる</t>
  </si>
  <si>
    <t>付[つ]け加[くわ]える</t>
  </si>
  <si>
    <t>意見を付け加える。</t>
  </si>
  <si>
    <t>Thêm vào ý kiến.</t>
  </si>
  <si>
    <t>任務</t>
  </si>
  <si>
    <t>にんむ</t>
  </si>
  <si>
    <t>任務[にんむ]</t>
  </si>
  <si>
    <t>任務を果たす。</t>
  </si>
  <si>
    <t>Hoàn thành nhiệm vụ.</t>
  </si>
  <si>
    <t>侵す</t>
  </si>
  <si>
    <t>おかす</t>
  </si>
  <si>
    <t>侵[おか]す</t>
  </si>
  <si>
    <t>xâm phạm</t>
  </si>
  <si>
    <t>他人の権利を侵す。</t>
  </si>
  <si>
    <t>Xâm phạm quyền lợi người khác.</t>
  </si>
  <si>
    <t>凌ぐ</t>
  </si>
  <si>
    <t>しのぐ</t>
  </si>
  <si>
    <t>凌[しの]ぐ</t>
  </si>
  <si>
    <t>困難を凌ぐ。</t>
  </si>
  <si>
    <t>Vượt qua khó khăn.</t>
  </si>
  <si>
    <t>利子</t>
  </si>
  <si>
    <t>りし</t>
  </si>
  <si>
    <t>利子[りし]</t>
  </si>
  <si>
    <t>tiền lãi</t>
  </si>
  <si>
    <t>銀行に利子を払う。</t>
  </si>
  <si>
    <t>Trả tiền lãi cho ngân hàng.</t>
  </si>
  <si>
    <t>利息</t>
  </si>
  <si>
    <t>りそく</t>
  </si>
  <si>
    <t>利息[りそく]</t>
  </si>
  <si>
    <t>利息が付く預金。</t>
  </si>
  <si>
    <t>Tiền gửi có lãi.</t>
  </si>
  <si>
    <t>労力</t>
  </si>
  <si>
    <t>ろうりょく</t>
  </si>
  <si>
    <t>労力[ろうりょく]</t>
  </si>
  <si>
    <t>労力を無駄にする。</t>
  </si>
  <si>
    <t>Lãng phí công sức.</t>
  </si>
  <si>
    <t>味わい</t>
  </si>
  <si>
    <t>あじわい</t>
  </si>
  <si>
    <t>味[あじ]わい</t>
  </si>
  <si>
    <t>hương vị</t>
  </si>
  <si>
    <t>秋の味わい。</t>
  </si>
  <si>
    <t>Hương vị mùa thu.</t>
  </si>
  <si>
    <t>好ましい</t>
  </si>
  <si>
    <t>このましい</t>
  </si>
  <si>
    <t>好[この]ましい</t>
  </si>
  <si>
    <t>好ましい態度。</t>
  </si>
  <si>
    <t>Thái độ đáng yêu.</t>
  </si>
  <si>
    <t>極端</t>
  </si>
  <si>
    <t>きょくたん</t>
  </si>
  <si>
    <t>極端[きょくたん]</t>
  </si>
  <si>
    <t>cực đoan</t>
  </si>
  <si>
    <t>極端な意見を持つ。</t>
  </si>
  <si>
    <t>Có ý kiến cực đoan.</t>
  </si>
  <si>
    <t>権威</t>
  </si>
  <si>
    <t>けんい</t>
  </si>
  <si>
    <t>権威[けんい]</t>
  </si>
  <si>
    <t>quyền uy</t>
  </si>
  <si>
    <t>学界の権威である。</t>
  </si>
  <si>
    <t>Là quyền uy trong giới học thuật.</t>
  </si>
  <si>
    <t>福祉</t>
  </si>
  <si>
    <t>ふくし</t>
  </si>
  <si>
    <t>福祉[ふくし]</t>
  </si>
  <si>
    <t>phúc lợi</t>
  </si>
  <si>
    <t>福祉施設を増やす。</t>
  </si>
  <si>
    <t>Tăng cường cơ sở phúc lợi.</t>
  </si>
  <si>
    <t>緊急</t>
  </si>
  <si>
    <t>きんきゅう</t>
  </si>
  <si>
    <t>緊急[きんきゅう]</t>
  </si>
  <si>
    <t>緊急の用事で帰る。</t>
  </si>
  <si>
    <t>Về vì việc khẩn cấp.</t>
  </si>
  <si>
    <t>脚本</t>
  </si>
  <si>
    <t>きゃくほん</t>
  </si>
  <si>
    <t>脚本[きゃくほん]</t>
  </si>
  <si>
    <t>脚本を書く。</t>
  </si>
  <si>
    <t>Viết kịch bản.</t>
  </si>
  <si>
    <t>舞う</t>
  </si>
  <si>
    <t>まう</t>
  </si>
  <si>
    <t>舞[ま]う</t>
  </si>
  <si>
    <t>nhảy múa</t>
  </si>
  <si>
    <t>花びらが舞う。</t>
  </si>
  <si>
    <t>Cánh hoa bay múa.</t>
  </si>
  <si>
    <t>著書</t>
  </si>
  <si>
    <t>ちょしょ</t>
  </si>
  <si>
    <t>著書[ちょしょ]</t>
  </si>
  <si>
    <t>著書を出版する。</t>
  </si>
  <si>
    <t>Xuất bản tác phẩm.</t>
  </si>
  <si>
    <t>証言</t>
  </si>
  <si>
    <t>しょうげん</t>
  </si>
  <si>
    <t>証言[しょうげん]</t>
  </si>
  <si>
    <t>lời khai</t>
  </si>
  <si>
    <t>事故の証言。</t>
  </si>
  <si>
    <t>Lời khai về tai nạn.</t>
  </si>
  <si>
    <t>階級</t>
  </si>
  <si>
    <t>かいきゅう</t>
  </si>
  <si>
    <t>階級[かいきゅう]</t>
  </si>
  <si>
    <t>giai cấp</t>
  </si>
  <si>
    <t>階級が上がる。</t>
  </si>
  <si>
    <t>Giai cấp đi lên.</t>
  </si>
  <si>
    <t>領土</t>
  </si>
  <si>
    <t>りょうど</t>
  </si>
  <si>
    <t>領土[りょうど]</t>
  </si>
  <si>
    <t>lãnh thổ</t>
  </si>
  <si>
    <t>領土を守る。</t>
  </si>
  <si>
    <t>Bảo vệ lãnh thổ.</t>
  </si>
  <si>
    <t>あっさり</t>
  </si>
  <si>
    <t>あっさり勝った。</t>
  </si>
  <si>
    <t>Đã thắng một cách dễ dàng.</t>
  </si>
  <si>
    <t>ごまかす</t>
  </si>
  <si>
    <t>lừa dối</t>
  </si>
  <si>
    <t>年齢をごまかす。</t>
  </si>
  <si>
    <t>Lừa dối về tuổi tác.</t>
  </si>
  <si>
    <t>ふさわしい</t>
  </si>
  <si>
    <t>phù hợp</t>
  </si>
  <si>
    <t>リーダーにふさわしい人。</t>
  </si>
  <si>
    <t>Người phù hợp làm lãnh đạo.</t>
  </si>
  <si>
    <t>一気</t>
  </si>
  <si>
    <t>いっき</t>
  </si>
  <si>
    <t>一気[いっき]</t>
  </si>
  <si>
    <t>một hơi</t>
  </si>
  <si>
    <t>酒を一気飲みする。</t>
  </si>
  <si>
    <t>Uống rượu một hơi.</t>
  </si>
  <si>
    <t>主催</t>
  </si>
  <si>
    <t>しゅさい</t>
  </si>
  <si>
    <t>主催[しゅさい]</t>
  </si>
  <si>
    <t>大会を主催する。</t>
  </si>
  <si>
    <t>Tổ chức đại hội.</t>
  </si>
  <si>
    <t>主導</t>
  </si>
  <si>
    <t>しゅどう</t>
  </si>
  <si>
    <t>主導[しゅどう]</t>
  </si>
  <si>
    <t>chủ đạo</t>
  </si>
  <si>
    <t>会議を主導する。</t>
  </si>
  <si>
    <t>Chủ đạo cuộc họp.</t>
  </si>
  <si>
    <t>内心</t>
  </si>
  <si>
    <t>ないしん</t>
  </si>
  <si>
    <t>内心[ないしん]</t>
  </si>
  <si>
    <t>nội tâm</t>
  </si>
  <si>
    <t>内心では喜んでいる。</t>
  </si>
  <si>
    <t>Trong thâm tâm thì đang vui.</t>
  </si>
  <si>
    <t>出費</t>
  </si>
  <si>
    <t>しゅっぴ</t>
  </si>
  <si>
    <t>出費[しゅっぴ]</t>
  </si>
  <si>
    <t>出費を抑える。</t>
  </si>
  <si>
    <t>Kìm hãm chi phí.</t>
  </si>
  <si>
    <t>励む</t>
  </si>
  <si>
    <t>はげむ</t>
  </si>
  <si>
    <t>励[はげ]む</t>
  </si>
  <si>
    <t>研究に励む。</t>
  </si>
  <si>
    <t>Cố gắng trong nghiên cứu.</t>
  </si>
  <si>
    <t>単独</t>
  </si>
  <si>
    <t>たんどく</t>
  </si>
  <si>
    <t>単独[たんどく]</t>
  </si>
  <si>
    <t>độc lập</t>
  </si>
  <si>
    <t>単独で行動する。</t>
  </si>
  <si>
    <t>Hành động độc lập.</t>
  </si>
  <si>
    <t>原油</t>
  </si>
  <si>
    <t>げんゆ</t>
  </si>
  <si>
    <t>原油[げんゆ]</t>
  </si>
  <si>
    <t>dầu thô</t>
  </si>
  <si>
    <t>原油の価格が上がる。</t>
  </si>
  <si>
    <t>Giá dầu thô tăng lên.</t>
  </si>
  <si>
    <t>収容</t>
  </si>
  <si>
    <t>しゅうよう</t>
  </si>
  <si>
    <t>収容[しゅうよう]</t>
  </si>
  <si>
    <t>sự chứa</t>
  </si>
  <si>
    <t>人を収容する施設。</t>
  </si>
  <si>
    <t>Cơ sở chứa người.</t>
  </si>
  <si>
    <t>取り締まる</t>
  </si>
  <si>
    <t>とりしまる</t>
  </si>
  <si>
    <t>取[と]り締[し]まる</t>
  </si>
  <si>
    <t>交通を取り締まる。</t>
  </si>
  <si>
    <t>Quản lý giao thông.</t>
  </si>
  <si>
    <t>叶える</t>
  </si>
  <si>
    <t>かなえる</t>
  </si>
  <si>
    <t>叶[かな]える</t>
  </si>
  <si>
    <t>夢を叶える。</t>
  </si>
  <si>
    <t>Đáp ứng ước mơ.</t>
  </si>
  <si>
    <t>名付ける</t>
  </si>
  <si>
    <t>なづける</t>
  </si>
  <si>
    <t>名付[なづ]ける</t>
  </si>
  <si>
    <t>đặt tên</t>
  </si>
  <si>
    <t>子供に名前を名付ける。</t>
  </si>
  <si>
    <t>Đặt tên cho con.</t>
  </si>
  <si>
    <t>和らげる</t>
  </si>
  <si>
    <t>やわらげる</t>
  </si>
  <si>
    <t>和[やわ]らげる</t>
  </si>
  <si>
    <t>làm dịu</t>
  </si>
  <si>
    <t>緊張を和らげる。</t>
  </si>
  <si>
    <t>Làm dịu sự căng thẳng.</t>
  </si>
  <si>
    <t>器</t>
  </si>
  <si>
    <t>うつわ</t>
  </si>
  <si>
    <t>器[うつわ]</t>
  </si>
  <si>
    <t>đồ đựng</t>
  </si>
  <si>
    <t>料理を器に盛る。</t>
  </si>
  <si>
    <t>Đựng thức ăn vào đồ đựng.</t>
  </si>
  <si>
    <t>固有</t>
  </si>
  <si>
    <t>こゆう</t>
  </si>
  <si>
    <t>固有[こゆう]</t>
  </si>
  <si>
    <t>đặc hữu</t>
  </si>
  <si>
    <t>文化固有の伝統。</t>
  </si>
  <si>
    <t>Truyền thống đặc hữu của văn hóa.</t>
  </si>
  <si>
    <t>報酬</t>
  </si>
  <si>
    <t>ほうしゅう</t>
  </si>
  <si>
    <t>報酬[ほうしゅう]</t>
  </si>
  <si>
    <t>thù lao</t>
  </si>
  <si>
    <t>報酬をもらう。</t>
  </si>
  <si>
    <t>Nhận thù lao.</t>
  </si>
  <si>
    <t>柔軟</t>
  </si>
  <si>
    <t>じゅうなん</t>
  </si>
  <si>
    <t>柔軟[じゅうなん]</t>
  </si>
  <si>
    <t>mềm dẻo</t>
  </si>
  <si>
    <t>柔軟な考え方をする。</t>
  </si>
  <si>
    <t>Suy nghĩ một cách linh hoạt.</t>
  </si>
  <si>
    <t>歩む</t>
  </si>
  <si>
    <t>あゆむ</t>
  </si>
  <si>
    <t>歩[あゆ]む</t>
  </si>
  <si>
    <t>bước đi</t>
  </si>
  <si>
    <t>人生を歩む。</t>
  </si>
  <si>
    <t>Bước đi trên con đường đời.</t>
  </si>
  <si>
    <t>率いる</t>
  </si>
  <si>
    <t>ひきいる</t>
  </si>
  <si>
    <t>率[ひき]いる</t>
  </si>
  <si>
    <t>チームを率いる。</t>
  </si>
  <si>
    <t>Dẫn dắt đội bóng.</t>
  </si>
  <si>
    <t>真実</t>
  </si>
  <si>
    <t>しんじつ</t>
  </si>
  <si>
    <t>真実[しんじつ]</t>
  </si>
  <si>
    <t>真実を語る。</t>
  </si>
  <si>
    <t>Kể sự thật.</t>
  </si>
  <si>
    <t>経費</t>
  </si>
  <si>
    <t>けいひ</t>
  </si>
  <si>
    <t>経費[けいひ]</t>
  </si>
  <si>
    <t>経費を削減する。</t>
  </si>
  <si>
    <t>誠に</t>
  </si>
  <si>
    <t>まことに</t>
  </si>
  <si>
    <t>誠[まこと]に</t>
  </si>
  <si>
    <t>誠に申し訳ない。</t>
  </si>
  <si>
    <t>Thực sự xin lỗi.</t>
  </si>
  <si>
    <t>身近</t>
  </si>
  <si>
    <t>みぢか</t>
  </si>
  <si>
    <t>身近[みぢか]</t>
  </si>
  <si>
    <t>gần gũi</t>
  </si>
  <si>
    <t>身近な問題。</t>
  </si>
  <si>
    <t>Vấn đề gần gũi.</t>
  </si>
  <si>
    <t>辿り着く</t>
  </si>
  <si>
    <t>たどりつく</t>
  </si>
  <si>
    <t>辿[たど]り着[つ]く</t>
  </si>
  <si>
    <t>đến nơi</t>
  </si>
  <si>
    <t>目的地に辿り着く。</t>
  </si>
  <si>
    <t>Đến nơi mục đích.</t>
  </si>
  <si>
    <t>いじる</t>
  </si>
  <si>
    <t>nghịch</t>
  </si>
  <si>
    <t>髪をいじる癖がある。</t>
  </si>
  <si>
    <t>Có thói quen nghịch tóc.</t>
  </si>
  <si>
    <t>そこら</t>
  </si>
  <si>
    <t>そこらを探す。</t>
  </si>
  <si>
    <t>Tìm kiếm ở đâu đó quanh đây.</t>
  </si>
  <si>
    <t>主題</t>
  </si>
  <si>
    <t>しゅだい</t>
  </si>
  <si>
    <t>主題[しゅだい]</t>
  </si>
  <si>
    <t>議論の主題。</t>
  </si>
  <si>
    <t>Chủ đề của cuộc thảo luận.</t>
  </si>
  <si>
    <t>優位</t>
  </si>
  <si>
    <t>ゆうい</t>
  </si>
  <si>
    <t>優位[ゆうい]</t>
  </si>
  <si>
    <t>ưu thế</t>
  </si>
  <si>
    <t>競争で優位に立つ。</t>
  </si>
  <si>
    <t>Đứng ở vị thế ưu thế trong cạnh tranh.</t>
  </si>
  <si>
    <t>兵器</t>
  </si>
  <si>
    <t>兵器[へいき]</t>
  </si>
  <si>
    <t>vũ khí</t>
  </si>
  <si>
    <t>近代的な兵器。</t>
  </si>
  <si>
    <t>Vũ khí hiện đại.</t>
  </si>
  <si>
    <t>古代</t>
  </si>
  <si>
    <t>こだい</t>
  </si>
  <si>
    <t>古代[こだい]</t>
  </si>
  <si>
    <t>cổ đại</t>
  </si>
  <si>
    <t>古代の歴史を学ぶ。</t>
  </si>
  <si>
    <t>Học lịch sử cổ đại.</t>
  </si>
  <si>
    <t>威力</t>
  </si>
  <si>
    <t>いりょく</t>
  </si>
  <si>
    <t>威力[いりょく]</t>
  </si>
  <si>
    <t>uy lực</t>
  </si>
  <si>
    <t>新薬の威力。</t>
  </si>
  <si>
    <t>Uy lực của thuốc mới.</t>
  </si>
  <si>
    <t>治安</t>
  </si>
  <si>
    <t>ちあん</t>
  </si>
  <si>
    <t>治安[ちあん]</t>
  </si>
  <si>
    <t>trị an</t>
  </si>
  <si>
    <t>治安を維持する。</t>
  </si>
  <si>
    <t>Duy trì trị an.</t>
  </si>
  <si>
    <t>覆す</t>
  </si>
  <si>
    <t>くつがえす</t>
  </si>
  <si>
    <t>覆[くつがえ]す</t>
  </si>
  <si>
    <t>lật đổ</t>
  </si>
  <si>
    <t>判決を覆す。</t>
  </si>
  <si>
    <t>Lật đổ bản án.</t>
  </si>
  <si>
    <t>誤差</t>
  </si>
  <si>
    <t>ごさ</t>
  </si>
  <si>
    <t>誤差[ごさ]</t>
  </si>
  <si>
    <t>sai số</t>
  </si>
  <si>
    <t>誤差が生じる。</t>
  </si>
  <si>
    <t>Sai số phát sinh.</t>
  </si>
  <si>
    <t>鮮やか</t>
  </si>
  <si>
    <t>あざやか</t>
  </si>
  <si>
    <t>鮮[あざ]やか</t>
  </si>
  <si>
    <t>rực rỡ</t>
  </si>
  <si>
    <t>鮮やかな色彩。</t>
  </si>
  <si>
    <t>Màu sắc rực rỡ.</t>
  </si>
  <si>
    <t>唱える</t>
  </si>
  <si>
    <t>となえる</t>
  </si>
  <si>
    <t>唱[とな]える</t>
  </si>
  <si>
    <t>xướng lên</t>
  </si>
  <si>
    <t>反対意見を唱える。</t>
  </si>
  <si>
    <t>Đưa ra ý kiến phản đối.</t>
  </si>
  <si>
    <t>残高</t>
  </si>
  <si>
    <t>ざんだか</t>
  </si>
  <si>
    <t>残高[ざんだか]</t>
  </si>
  <si>
    <t>số dư</t>
  </si>
  <si>
    <t>口座の残高を照会する。</t>
  </si>
  <si>
    <t>Tra cứu số dư tài khoản.</t>
  </si>
  <si>
    <t>カーペット</t>
  </si>
  <si>
    <t>かーぺっと</t>
  </si>
  <si>
    <t>thảm</t>
  </si>
  <si>
    <t>カーペットを敷く。</t>
  </si>
  <si>
    <t>Trải thảm.</t>
  </si>
  <si>
    <t>軸</t>
  </si>
  <si>
    <t>じく</t>
  </si>
  <si>
    <t>軸[じく]</t>
  </si>
  <si>
    <t>trục</t>
  </si>
  <si>
    <t>地球の軸。</t>
  </si>
  <si>
    <t>Trục trái đất.</t>
  </si>
  <si>
    <t>辿る</t>
  </si>
  <si>
    <t>たどる</t>
  </si>
  <si>
    <t>辿[たど]る</t>
  </si>
  <si>
    <t>theo</t>
  </si>
  <si>
    <t>記憶を辿る。</t>
  </si>
  <si>
    <t>Theo dòng ký ức.</t>
  </si>
  <si>
    <t>酸</t>
  </si>
  <si>
    <t>酸[さん]</t>
  </si>
  <si>
    <t>axit</t>
  </si>
  <si>
    <t>酸が強い。</t>
  </si>
  <si>
    <t>Axit mạnh.</t>
  </si>
  <si>
    <t>飲み込む</t>
  </si>
  <si>
    <t>のみこむ</t>
  </si>
  <si>
    <t>飲[の]み込[こ]む</t>
  </si>
  <si>
    <t>nuốt</t>
  </si>
  <si>
    <t>薬を飲み込む。</t>
  </si>
  <si>
    <t>Nuốt thuốc.</t>
  </si>
  <si>
    <t>黄金</t>
  </si>
  <si>
    <t>おうごん</t>
  </si>
  <si>
    <t>黄金[おうごん]</t>
  </si>
  <si>
    <t>vàng</t>
  </si>
  <si>
    <t>黄金を埋める。</t>
  </si>
  <si>
    <t>Chôn vàng.</t>
  </si>
  <si>
    <t>不良</t>
  </si>
  <si>
    <t>ふりょう</t>
  </si>
  <si>
    <t>不良[ふりょう]</t>
  </si>
  <si>
    <t>不良品を返す。</t>
  </si>
  <si>
    <t>Trả lại hàng hóa xấu.</t>
  </si>
  <si>
    <t>乳</t>
  </si>
  <si>
    <t>乳[ちち]</t>
  </si>
  <si>
    <t>乳を飲む。</t>
  </si>
  <si>
    <t>Uống sữa.</t>
  </si>
  <si>
    <t>手掛ける</t>
  </si>
  <si>
    <t>てがける</t>
  </si>
  <si>
    <t>手掛[てが]ける</t>
  </si>
  <si>
    <t>trực tiếp làm</t>
  </si>
  <si>
    <t>新事業を手掛ける。</t>
  </si>
  <si>
    <t>Trực tiếp làm dự án mới.</t>
  </si>
  <si>
    <t>徹する</t>
  </si>
  <si>
    <t>てっする</t>
  </si>
  <si>
    <t>徹[てっ]する</t>
  </si>
  <si>
    <t>chuyên tâm</t>
  </si>
  <si>
    <t>深夜まで徹する。</t>
  </si>
  <si>
    <t>Chuyên tâm đến tận khuya.</t>
  </si>
  <si>
    <t>推測</t>
  </si>
  <si>
    <t>すいそく</t>
  </si>
  <si>
    <t>推測[すいそく]</t>
  </si>
  <si>
    <t>phỏng đoán</t>
  </si>
  <si>
    <t>原因を推測する。</t>
  </si>
  <si>
    <t>Phỏng đoán nguyên nhân.</t>
  </si>
  <si>
    <t>待ち合わせ</t>
  </si>
  <si>
    <t>まちあわせ</t>
  </si>
  <si>
    <t>待[ま]ち合[あ]わせ</t>
  </si>
  <si>
    <t>cuộc hẹn gặp</t>
  </si>
  <si>
    <t>駅で待ち合わせをする。</t>
  </si>
  <si>
    <t>Thực hiện cuộc hẹn gặp tại nhà ga.</t>
  </si>
  <si>
    <t>慣れ</t>
  </si>
  <si>
    <t>なれ</t>
  </si>
  <si>
    <t>慣[な]れ</t>
  </si>
  <si>
    <t>làm quen</t>
  </si>
  <si>
    <t>仕事に慣れる。</t>
  </si>
  <si>
    <t>Làm quen với công việc.</t>
  </si>
  <si>
    <t>接触</t>
  </si>
  <si>
    <t>せっしょく</t>
  </si>
  <si>
    <t>接触[せっしょく]</t>
  </si>
  <si>
    <t>皮膚が接触する。</t>
  </si>
  <si>
    <t>Da tiếp xúc.</t>
  </si>
  <si>
    <t>携わる</t>
  </si>
  <si>
    <t>たずさわる</t>
  </si>
  <si>
    <t>携[たずさ]わる</t>
  </si>
  <si>
    <t>教育に携わる。</t>
  </si>
  <si>
    <t>Tham gia vào giáo dục.</t>
  </si>
  <si>
    <t>対面</t>
  </si>
  <si>
    <t>たいめん</t>
  </si>
  <si>
    <t>対面[たいめん]</t>
  </si>
  <si>
    <t>gặp mặt</t>
  </si>
  <si>
    <t>社長と対面する。</t>
  </si>
  <si>
    <t>Gặp mặt giám đốc.</t>
  </si>
  <si>
    <t>後退</t>
  </si>
  <si>
    <t>こうたい</t>
  </si>
  <si>
    <t>後退[こうたい]</t>
  </si>
  <si>
    <t>lùi lại</t>
  </si>
  <si>
    <t>景気が後退する。</t>
  </si>
  <si>
    <t>Kinh tế thụt lùi.</t>
  </si>
  <si>
    <t>教科</t>
  </si>
  <si>
    <t>教科[きょうか]</t>
  </si>
  <si>
    <t>教科を教える。</t>
  </si>
  <si>
    <t>Dạy môn học.</t>
  </si>
  <si>
    <t>未だ</t>
  </si>
  <si>
    <t>いまだ</t>
  </si>
  <si>
    <t>未[いま]だ</t>
  </si>
  <si>
    <t>vẫn</t>
  </si>
  <si>
    <t>未だ来ない。</t>
  </si>
  <si>
    <t>Vẫn chưa đến.</t>
  </si>
  <si>
    <t>改めて</t>
  </si>
  <si>
    <t>あらためて</t>
  </si>
  <si>
    <t>改[あらた]めて</t>
  </si>
  <si>
    <t>một lần nữa</t>
  </si>
  <si>
    <t>改めて挨拶する。</t>
  </si>
  <si>
    <t>Tôi xin chào hỏi một lần nữa.</t>
  </si>
  <si>
    <t>時刻</t>
  </si>
  <si>
    <t>じこく</t>
  </si>
  <si>
    <t>時刻[じこく]</t>
  </si>
  <si>
    <t>thời khắc</t>
  </si>
  <si>
    <t>時刻を確認する。</t>
  </si>
  <si>
    <t>Tôi kiểm tra thời gian.</t>
  </si>
  <si>
    <t>気を付ける</t>
  </si>
  <si>
    <t>きをつける</t>
  </si>
  <si>
    <t>気[き]を付[つ]ける</t>
  </si>
  <si>
    <t>cẩn thận</t>
  </si>
  <si>
    <t>車に気を付ける。</t>
  </si>
  <si>
    <t>Tôi cẩn thận với xe cộ.</t>
  </si>
  <si>
    <t>接続</t>
  </si>
  <si>
    <t>せつぞく</t>
  </si>
  <si>
    <t>接続[せつぞく]</t>
  </si>
  <si>
    <t>ネットに接続する。</t>
  </si>
  <si>
    <t>Tôi kết nối internet.</t>
  </si>
  <si>
    <t>救う</t>
  </si>
  <si>
    <t>すくう</t>
  </si>
  <si>
    <t>救[すく]う</t>
  </si>
  <si>
    <t>cứu giúp</t>
  </si>
  <si>
    <t>命を救う。</t>
  </si>
  <si>
    <t>Tôi cứu mạng người.</t>
  </si>
  <si>
    <t>正月</t>
  </si>
  <si>
    <t>しょうがつ</t>
  </si>
  <si>
    <t>正月[しょうがつ]</t>
  </si>
  <si>
    <t>tết</t>
  </si>
  <si>
    <t>正月に帰る。</t>
  </si>
  <si>
    <t>Tôi về vào dịp tết.</t>
  </si>
  <si>
    <t>暑い</t>
  </si>
  <si>
    <t>暑[あつ]い</t>
  </si>
  <si>
    <t>今日は暑い。</t>
  </si>
  <si>
    <t>Hôm nay trời nóng.</t>
  </si>
  <si>
    <t>根</t>
  </si>
  <si>
    <t>ね</t>
  </si>
  <si>
    <t>根[ね]</t>
  </si>
  <si>
    <t>rễ</t>
  </si>
  <si>
    <t>根を掘る。</t>
  </si>
  <si>
    <t>Tôi đào rễ cây.</t>
  </si>
  <si>
    <t>名字</t>
  </si>
  <si>
    <t>みょうじ</t>
  </si>
  <si>
    <t>名字[みょうじ]</t>
  </si>
  <si>
    <t>名字を尋ねる。</t>
  </si>
  <si>
    <t>Tôi hỏi họ.</t>
  </si>
  <si>
    <t>対比</t>
  </si>
  <si>
    <t>たいひ</t>
  </si>
  <si>
    <t>対比[たいひ]</t>
  </si>
  <si>
    <t>đối chiếu</t>
  </si>
  <si>
    <t>二つを対比する。</t>
  </si>
  <si>
    <t>Đối chiếu hai cái.</t>
  </si>
  <si>
    <t>待遇</t>
  </si>
  <si>
    <t>たいぐう</t>
  </si>
  <si>
    <t>待遇[たいぐう]</t>
  </si>
  <si>
    <t>đãi ngộ</t>
  </si>
  <si>
    <t>待遇を改善する。</t>
  </si>
  <si>
    <t>Cải thiện đãi ngộ.</t>
  </si>
  <si>
    <t>差し出す</t>
  </si>
  <si>
    <t>さしだす</t>
  </si>
  <si>
    <t>差[さ]し出[だ]す</t>
  </si>
  <si>
    <t>手を差し出す。</t>
  </si>
  <si>
    <t>Đưa tay ra.</t>
  </si>
  <si>
    <t>志</t>
  </si>
  <si>
    <t>こころざし</t>
  </si>
  <si>
    <t>志[こころざし]</t>
  </si>
  <si>
    <t>志を立てる。</t>
  </si>
  <si>
    <t>Thiết lập ý chí.</t>
  </si>
  <si>
    <t>普段</t>
  </si>
  <si>
    <t>ふだん</t>
  </si>
  <si>
    <t>普段[ふだん]</t>
  </si>
  <si>
    <t>普段の服装。</t>
  </si>
  <si>
    <t>Đây là trang phục thường ngày.</t>
  </si>
  <si>
    <t>正確</t>
  </si>
  <si>
    <t>正確[せいかく]</t>
  </si>
  <si>
    <t>正確な時間。</t>
  </si>
  <si>
    <t>Đây là thời gian chính xác.</t>
  </si>
  <si>
    <t>段階</t>
  </si>
  <si>
    <t>だんかい</t>
  </si>
  <si>
    <t>段階[だんかい]</t>
  </si>
  <si>
    <t>giai đoạn</t>
  </si>
  <si>
    <t>次の段階。</t>
  </si>
  <si>
    <t>Đây là giai đoạn tiếp theo.</t>
  </si>
  <si>
    <t>揃う</t>
  </si>
  <si>
    <t>そろう</t>
  </si>
  <si>
    <t>揃[そろ]う</t>
  </si>
  <si>
    <t>tập hợp đủ</t>
  </si>
  <si>
    <t>全員が揃う。</t>
  </si>
  <si>
    <t>Mọi người đã tập hợp đủ.</t>
  </si>
  <si>
    <t>改める</t>
  </si>
  <si>
    <t>あらためる</t>
  </si>
  <si>
    <t>改[あらた]める</t>
  </si>
  <si>
    <t>態度を改める。</t>
  </si>
  <si>
    <t>Tôi thay đổi thái độ.</t>
  </si>
  <si>
    <t>案</t>
  </si>
  <si>
    <t>あん</t>
  </si>
  <si>
    <t>案[あん]</t>
  </si>
  <si>
    <t>phương án</t>
  </si>
  <si>
    <t>案を出す。</t>
  </si>
  <si>
    <t>Tôi đưa ra phương án.</t>
  </si>
  <si>
    <t>文学</t>
  </si>
  <si>
    <t>ぶんがく</t>
  </si>
  <si>
    <t>文学[ぶんがく]</t>
  </si>
  <si>
    <t>văn học</t>
  </si>
  <si>
    <t>文学を読む。</t>
  </si>
  <si>
    <t>Tôi đọc văn học.</t>
  </si>
  <si>
    <t>就業</t>
  </si>
  <si>
    <t>しゅうぎょう</t>
  </si>
  <si>
    <t>就業[しゅうぎょう]</t>
  </si>
  <si>
    <t>就業規則を守る。</t>
  </si>
  <si>
    <t>Tuân thủ quy định làm việc.</t>
  </si>
  <si>
    <t>可愛らしい</t>
  </si>
  <si>
    <t>かわいらしい</t>
  </si>
  <si>
    <t>可愛[かわい]らしい</t>
  </si>
  <si>
    <t>dễ thương</t>
  </si>
  <si>
    <t>可愛らしい花が咲く。</t>
  </si>
  <si>
    <t>Những bông hoa dễ thương đang nở.</t>
  </si>
  <si>
    <t>推薦</t>
  </si>
  <si>
    <t>すいせん</t>
  </si>
  <si>
    <t>推薦[すいせん]</t>
  </si>
  <si>
    <t>先生に推薦される。</t>
  </si>
  <si>
    <t>Tôi được thầy giáo giới thiệu.</t>
  </si>
  <si>
    <t>景気</t>
  </si>
  <si>
    <t>けいき</t>
  </si>
  <si>
    <t>景気[けいき]</t>
  </si>
  <si>
    <t>tình hình kinh tế</t>
  </si>
  <si>
    <t>景気が良い。</t>
  </si>
  <si>
    <t>Tình hình kinh tế tốt.</t>
  </si>
  <si>
    <t>是非</t>
  </si>
  <si>
    <t>ぜひ</t>
  </si>
  <si>
    <t>是非[ぜひ]</t>
  </si>
  <si>
    <t>是非来てください。</t>
  </si>
  <si>
    <t>Nhất định hãy đến nhé.</t>
  </si>
  <si>
    <t>眠い</t>
  </si>
  <si>
    <t>ねむい</t>
  </si>
  <si>
    <t>眠[ねむ]い</t>
  </si>
  <si>
    <t>buồn ngủ</t>
  </si>
  <si>
    <t>夜遅くて眠い。</t>
  </si>
  <si>
    <t>Đêm muộn nên buồn ngủ.</t>
  </si>
  <si>
    <t>材料</t>
  </si>
  <si>
    <t>ざいりょう</t>
  </si>
  <si>
    <t>材料[ざいりょう]</t>
  </si>
  <si>
    <t>材料を買う。</t>
  </si>
  <si>
    <t>Tôi mua nguyên liệu.</t>
  </si>
  <si>
    <t>断る</t>
  </si>
  <si>
    <t>ことわる</t>
  </si>
  <si>
    <t>断[ことわ]る</t>
  </si>
  <si>
    <t>招待を断る。</t>
  </si>
  <si>
    <t>Tôi từ chối lời mời.</t>
  </si>
  <si>
    <t>植物</t>
  </si>
  <si>
    <t>しょくぶつ</t>
  </si>
  <si>
    <t>植物[しょくぶつ]</t>
  </si>
  <si>
    <t>thực vật</t>
  </si>
  <si>
    <t>植物を育てる。</t>
  </si>
  <si>
    <t>Tôi trồng thực vật.</t>
  </si>
  <si>
    <t>配達</t>
  </si>
  <si>
    <t>はいたつ</t>
  </si>
  <si>
    <t>配達[はいたつ]</t>
  </si>
  <si>
    <t>giao hàng</t>
  </si>
  <si>
    <t>配達を依頼する。</t>
  </si>
  <si>
    <t>Yêu cầu giao hàng.</t>
  </si>
  <si>
    <t>相続</t>
  </si>
  <si>
    <t>そうぞく</t>
  </si>
  <si>
    <t>相続[そうぞく]</t>
  </si>
  <si>
    <t>thừa kế</t>
  </si>
  <si>
    <t>財産を相続する。</t>
  </si>
  <si>
    <t>Thừa kế tài sản.</t>
  </si>
  <si>
    <t>握る</t>
  </si>
  <si>
    <t>にぎる</t>
  </si>
  <si>
    <t>握[にぎ]る</t>
  </si>
  <si>
    <t>nắm</t>
  </si>
  <si>
    <t>手を握る。</t>
  </si>
  <si>
    <t>Tôi nắm lấy tay.</t>
  </si>
  <si>
    <t>歯</t>
  </si>
  <si>
    <t>は</t>
  </si>
  <si>
    <t>歯[は]</t>
  </si>
  <si>
    <t>răng</t>
  </si>
  <si>
    <t>朝に歯を磨く。</t>
  </si>
  <si>
    <t>Đánh răng vào buổi sáng.</t>
  </si>
  <si>
    <t>叔父</t>
  </si>
  <si>
    <t>おじ</t>
  </si>
  <si>
    <t>叔父[おじ]</t>
  </si>
  <si>
    <t>chú</t>
  </si>
  <si>
    <t>叔父に会う。</t>
  </si>
  <si>
    <t>Tôi gặp chú.</t>
  </si>
  <si>
    <t>幹線</t>
  </si>
  <si>
    <t>幹線[かんせん]</t>
  </si>
  <si>
    <t>tuyến đường chính</t>
  </si>
  <si>
    <t>鉄道の幹線。</t>
  </si>
  <si>
    <t>Tuyến đường sắt chính.</t>
  </si>
  <si>
    <t>建前</t>
  </si>
  <si>
    <t>たてまえ</t>
  </si>
  <si>
    <t>建前[たてまえ]</t>
  </si>
  <si>
    <t>lý do bên ngoài</t>
  </si>
  <si>
    <t>建前と本音。</t>
  </si>
  <si>
    <t>Lý do bên ngoài và lòng thật.</t>
  </si>
  <si>
    <t>有力</t>
  </si>
  <si>
    <t>ゆうりょく</t>
  </si>
  <si>
    <t>有力[ゆうりょく]</t>
  </si>
  <si>
    <t>có ảnh hưởng</t>
  </si>
  <si>
    <t>有力な証拠。</t>
  </si>
  <si>
    <t>Chứng cứ có ảnh hưởng.</t>
  </si>
  <si>
    <t>展望</t>
  </si>
  <si>
    <t>てんぼう</t>
  </si>
  <si>
    <t>展望[てんぼう]</t>
  </si>
  <si>
    <t>将来の展望。</t>
  </si>
  <si>
    <t>Triển vọng tương lai.</t>
  </si>
  <si>
    <t>承諾</t>
  </si>
  <si>
    <t>しょうだく</t>
  </si>
  <si>
    <t>承諾[しょうだく]</t>
  </si>
  <si>
    <t>chấp thuận</t>
  </si>
  <si>
    <t>申し出を承諾する。</t>
  </si>
  <si>
    <t>Chấp thuận đề nghị.</t>
  </si>
  <si>
    <t>教材</t>
  </si>
  <si>
    <t>きょうざい</t>
  </si>
  <si>
    <t>教材[きょうざい]</t>
  </si>
  <si>
    <t>教材を作る。</t>
  </si>
  <si>
    <t>Làm giáo trình.</t>
  </si>
  <si>
    <t>本格</t>
  </si>
  <si>
    <t>ほんかく</t>
  </si>
  <si>
    <t>本格[ほんかく]</t>
  </si>
  <si>
    <t>chính thức</t>
  </si>
  <si>
    <t>本格的に始める。</t>
  </si>
  <si>
    <t>Bắt đầu một cách chính thức.</t>
  </si>
  <si>
    <t>強烈</t>
  </si>
  <si>
    <t>きょうれつ</t>
  </si>
  <si>
    <t>強烈[きょうれつ]</t>
  </si>
  <si>
    <t>mãnh liệt</t>
  </si>
  <si>
    <t>強烈な個性。</t>
  </si>
  <si>
    <t>Cá tính mãnh liệt.</t>
  </si>
  <si>
    <t>戦力</t>
  </si>
  <si>
    <t>せんりょく</t>
  </si>
  <si>
    <t>戦力[せんりょく]</t>
  </si>
  <si>
    <t>chiến lực</t>
  </si>
  <si>
    <t>戦力を強化する。</t>
  </si>
  <si>
    <t>Tăng cường chiến lực.</t>
  </si>
  <si>
    <t>打ち込む</t>
  </si>
  <si>
    <t>うちこむ</t>
  </si>
  <si>
    <t>打[う]ち込[こ]む</t>
  </si>
  <si>
    <t>研究に打ち込む。</t>
  </si>
  <si>
    <t>Tập trung vào nghiên cứu.</t>
  </si>
  <si>
    <t>折</t>
  </si>
  <si>
    <t>おり</t>
  </si>
  <si>
    <t>折[おり]</t>
  </si>
  <si>
    <t>折を見て行く。</t>
  </si>
  <si>
    <t>Đi vào thời điểm thích hợp.</t>
  </si>
  <si>
    <t>望ましい</t>
  </si>
  <si>
    <t>のぞましい</t>
  </si>
  <si>
    <t>望[のぞ]ましい</t>
  </si>
  <si>
    <t>望ましい行動。</t>
  </si>
  <si>
    <t>Hành động đáng mong muốn.</t>
  </si>
  <si>
    <t>寄与</t>
  </si>
  <si>
    <t>きよ</t>
  </si>
  <si>
    <t>寄与[きよ]</t>
  </si>
  <si>
    <t>社会に寄与する。</t>
  </si>
  <si>
    <t>Đóng góp cho xã hội.</t>
  </si>
  <si>
    <t>強行</t>
  </si>
  <si>
    <t>きょうこう</t>
  </si>
  <si>
    <t>強行[きょうこう]</t>
  </si>
  <si>
    <t>cưỡng ép</t>
  </si>
  <si>
    <t>強行突破する。</t>
  </si>
  <si>
    <t>Cưỡng ép vượt qua.</t>
  </si>
  <si>
    <t>捜索</t>
  </si>
  <si>
    <t>そうさく</t>
  </si>
  <si>
    <t>捜索[そうさく]</t>
  </si>
  <si>
    <t>行方不明者を捜索する。</t>
  </si>
  <si>
    <t>Tìm kiếm người mất tích.</t>
  </si>
  <si>
    <t>推理</t>
  </si>
  <si>
    <t>すいり</t>
  </si>
  <si>
    <t>推理[すいり]</t>
  </si>
  <si>
    <t>suy luận</t>
  </si>
  <si>
    <t>事件を推理する。</t>
  </si>
  <si>
    <t>Suy luận vụ án.</t>
  </si>
  <si>
    <t>寝かせる</t>
  </si>
  <si>
    <t>ねかせる</t>
  </si>
  <si>
    <t>寝[ね]かせる</t>
  </si>
  <si>
    <t>cho ngủ</t>
  </si>
  <si>
    <t>子供を寝かせる。</t>
  </si>
  <si>
    <t>Cho con ngủ.</t>
  </si>
  <si>
    <t>手配</t>
  </si>
  <si>
    <t>てはい</t>
  </si>
  <si>
    <t>手配[てはい]</t>
  </si>
  <si>
    <t>sắp xếp</t>
  </si>
  <si>
    <t>旅行の手配をする。</t>
  </si>
  <si>
    <t>Sắp xếp chuyến du lịch.</t>
  </si>
  <si>
    <t>描写</t>
  </si>
  <si>
    <t>びょうしゃ</t>
  </si>
  <si>
    <t>描写[びょうしゃ]</t>
  </si>
  <si>
    <t>miêu tả</t>
  </si>
  <si>
    <t>風景を描写する。</t>
  </si>
  <si>
    <t>Miêu tả phong cảnh.</t>
  </si>
  <si>
    <t>恥</t>
  </si>
  <si>
    <t>はじ</t>
  </si>
  <si>
    <t>恥[はじ]</t>
  </si>
  <si>
    <t>恥をかく。</t>
  </si>
  <si>
    <t>Gây xấu hổ.</t>
  </si>
  <si>
    <t>新た</t>
  </si>
  <si>
    <t>あらた</t>
  </si>
  <si>
    <t>新[あら]た</t>
  </si>
  <si>
    <t>新たに出発する。</t>
  </si>
  <si>
    <t>Tôi bắt đầu hành trình mới.</t>
  </si>
  <si>
    <t>支払</t>
  </si>
  <si>
    <t>しはらい</t>
  </si>
  <si>
    <t>支払[しはらい]</t>
  </si>
  <si>
    <t>thanh toán</t>
  </si>
  <si>
    <t>支払いを済ませる。</t>
  </si>
  <si>
    <t>Tôi hoàn tất thanh toán.</t>
  </si>
  <si>
    <t>標準</t>
  </si>
  <si>
    <t>ひょうじゅん</t>
  </si>
  <si>
    <t>標準[ひょうじゅん]</t>
  </si>
  <si>
    <t>標準を決める。</t>
  </si>
  <si>
    <t>Tôi quyết định tiêu chuẩn.</t>
  </si>
  <si>
    <t>晩</t>
  </si>
  <si>
    <t>ばん</t>
  </si>
  <si>
    <t>晩[ばん]</t>
  </si>
  <si>
    <t>buổi tối</t>
  </si>
  <si>
    <t>晩に会う。</t>
  </si>
  <si>
    <t>Tôi gặp vào buổi tối.</t>
  </si>
  <si>
    <t>数える</t>
  </si>
  <si>
    <t>かぞえる</t>
  </si>
  <si>
    <t>数[かぞ]える</t>
  </si>
  <si>
    <t>đếm</t>
  </si>
  <si>
    <t>数を数える。</t>
  </si>
  <si>
    <t>Tôi đếm các con số.</t>
  </si>
  <si>
    <t>曜日</t>
  </si>
  <si>
    <t>ようび</t>
  </si>
  <si>
    <t>曜日[ようび]</t>
  </si>
  <si>
    <t>thứ</t>
  </si>
  <si>
    <t>曜日を確認する。</t>
  </si>
  <si>
    <t>Tôi kiểm tra thứ.</t>
  </si>
  <si>
    <t>椅子</t>
  </si>
  <si>
    <t>いす</t>
  </si>
  <si>
    <t>椅子[いす]</t>
  </si>
  <si>
    <t>空いている椅子に座る。</t>
  </si>
  <si>
    <t>Ngồi vào chiếc ghế trống.</t>
  </si>
  <si>
    <t>正</t>
  </si>
  <si>
    <t>正[せい]</t>
  </si>
  <si>
    <t>正か誤か。</t>
  </si>
  <si>
    <t>Đúng hay sai.</t>
  </si>
  <si>
    <t>掘る</t>
  </si>
  <si>
    <t>ほる</t>
  </si>
  <si>
    <t>掘[ほ]る</t>
  </si>
  <si>
    <t>đào</t>
  </si>
  <si>
    <t>穴を掘る。</t>
  </si>
  <si>
    <t>Đào hố.</t>
  </si>
  <si>
    <t>基</t>
  </si>
  <si>
    <t>基[もと]</t>
  </si>
  <si>
    <t>nền tảng</t>
  </si>
  <si>
    <t>平和を基にする。</t>
  </si>
  <si>
    <t>Dựa trên nền tảng hòa bình.</t>
  </si>
  <si>
    <t>お嬢さん</t>
  </si>
  <si>
    <t>おじょうさん</t>
  </si>
  <si>
    <t>お嬢[じょう]さん</t>
  </si>
  <si>
    <t>お嬢さんはお元気ですか。</t>
  </si>
  <si>
    <t>Con gái bạn có khỏe không?</t>
  </si>
  <si>
    <t>お大事に</t>
  </si>
  <si>
    <t>おだいじに</t>
  </si>
  <si>
    <t>お大事[だいじ]に</t>
  </si>
  <si>
    <t>お大事にしてください。</t>
  </si>
  <si>
    <t>Hãy giữ gìn sức khỏe nhé.</t>
  </si>
  <si>
    <t>すれ違う</t>
  </si>
  <si>
    <t>すれちがう</t>
  </si>
  <si>
    <t>すれ違[ちが]う</t>
  </si>
  <si>
    <t>đi lướt qua</t>
  </si>
  <si>
    <t>道ですれ違う。</t>
  </si>
  <si>
    <t>Đi lướt qua trên đường.</t>
  </si>
  <si>
    <t>突っ込む</t>
  </si>
  <si>
    <t>つっこむ</t>
  </si>
  <si>
    <t>突[つ]っ込[こ]む</t>
  </si>
  <si>
    <t>nhét</t>
  </si>
  <si>
    <t>カバンに突っ込む。</t>
  </si>
  <si>
    <t>Tôi nhét vào túi xách.</t>
  </si>
  <si>
    <t>お代わり</t>
  </si>
  <si>
    <t>おかわり</t>
  </si>
  <si>
    <t>お代[か]わり</t>
  </si>
  <si>
    <t>lấy thêm</t>
  </si>
  <si>
    <t>ご飯のお代わりをください。</t>
  </si>
  <si>
    <t>Cho tôi lấy thêm cơm.</t>
  </si>
  <si>
    <t>お辞儀</t>
  </si>
  <si>
    <t>おじぎ</t>
  </si>
  <si>
    <t>お辞儀[じぎ]</t>
  </si>
  <si>
    <t>cúi chào</t>
  </si>
  <si>
    <t>丁寧にお辞儀をする。</t>
  </si>
  <si>
    <t>Cúi chào lịch sự.</t>
  </si>
  <si>
    <t>お見舞い</t>
  </si>
  <si>
    <t>おみまい</t>
  </si>
  <si>
    <t>お見舞[みま]い</t>
  </si>
  <si>
    <t>thăm bệnh</t>
  </si>
  <si>
    <t>病気のお見舞いに行く。</t>
  </si>
  <si>
    <t>Đi thăm bệnh.</t>
  </si>
  <si>
    <t>修行</t>
  </si>
  <si>
    <t>しゅぎょう</t>
  </si>
  <si>
    <t>修行[しゅぎょう]</t>
  </si>
  <si>
    <t>sự tu luyện</t>
  </si>
  <si>
    <t>厳しい修行に励む。</t>
  </si>
  <si>
    <t>Nỗ lực tu luyện khắc nghiệt.</t>
  </si>
  <si>
    <t>出生</t>
  </si>
  <si>
    <t>しゅっせい</t>
  </si>
  <si>
    <t>出生[しゅっせい]</t>
  </si>
  <si>
    <t>sự sinh ra</t>
  </si>
  <si>
    <t>出生の記録。</t>
  </si>
  <si>
    <t>Hồ sơ về sự sinh ra.</t>
  </si>
  <si>
    <t>尤も</t>
  </si>
  <si>
    <t>尤[もっと]も</t>
  </si>
  <si>
    <t>彼は頭がいい。尤も努力家でもある。</t>
  </si>
  <si>
    <t>Anh ấy thông minh. Tuy nhiên cũng là người nỗ lực.</t>
  </si>
  <si>
    <t>洗濯</t>
  </si>
  <si>
    <t>洗濯[せんたく]</t>
  </si>
  <si>
    <t>giặt giũ</t>
  </si>
  <si>
    <t>今日は洗濯日和だ。</t>
  </si>
  <si>
    <t>Hôm nay là ngày đẹp trời để giặt giũ.</t>
  </si>
  <si>
    <t>無</t>
  </si>
  <si>
    <t>む</t>
  </si>
  <si>
    <t>無[む]</t>
  </si>
  <si>
    <t>無の状態で考える。</t>
  </si>
  <si>
    <t>Suy nghĩ trong trạng thái trống rỗng.</t>
  </si>
  <si>
    <t>アクセント</t>
  </si>
  <si>
    <t>あくせんと</t>
  </si>
  <si>
    <t>trọng âm</t>
  </si>
  <si>
    <t>この単語のアクセントを教えてください。</t>
  </si>
  <si>
    <t>Hãy chỉ cho tôi trọng âm của từ này.</t>
  </si>
  <si>
    <t>穏やか</t>
  </si>
  <si>
    <t>おだやか</t>
  </si>
  <si>
    <t>穏[おだ]やか</t>
  </si>
  <si>
    <t>ôn hòa</t>
  </si>
  <si>
    <t>穏やかな性格の人だ。</t>
  </si>
  <si>
    <t>Anh ấy là người có tính cách ôn hòa.</t>
  </si>
  <si>
    <t>専攻</t>
  </si>
  <si>
    <t>せんこう</t>
  </si>
  <si>
    <t>専攻[せんこう]</t>
  </si>
  <si>
    <t>chuyên ngành</t>
  </si>
  <si>
    <t>大学で経済学を専攻する。</t>
  </si>
  <si>
    <t>Chuyên ngành kinh tế tại đại học.</t>
  </si>
  <si>
    <t>からかう</t>
  </si>
  <si>
    <t>trêu chọc</t>
  </si>
  <si>
    <t>人をからかってはいけない。</t>
  </si>
  <si>
    <t>Không được trêu chọc người khác.</t>
  </si>
  <si>
    <t>祝い</t>
  </si>
  <si>
    <t>いわい</t>
  </si>
  <si>
    <t>祝[いわ]い</t>
  </si>
  <si>
    <t>合格の祝いをする。</t>
  </si>
  <si>
    <t>Tôi tổ chức ăn mừng việc đỗ đạt.</t>
  </si>
  <si>
    <t>キャンパス</t>
  </si>
  <si>
    <t>きゃんぱす</t>
  </si>
  <si>
    <t>khuôn viên</t>
  </si>
  <si>
    <t>大学のキャンパスを歩く。</t>
  </si>
  <si>
    <t>Đi bộ trong khuôn viên đại học.</t>
  </si>
  <si>
    <t>たびたび</t>
  </si>
  <si>
    <t>nhiều lần</t>
  </si>
  <si>
    <t>たびたびすみません。</t>
  </si>
  <si>
    <t>Xin lỗi vì nhiều lần làm phiền.</t>
  </si>
  <si>
    <t>集まり</t>
  </si>
  <si>
    <t>あつまり</t>
  </si>
  <si>
    <t>集[あつ]まり</t>
  </si>
  <si>
    <t>cuộc họp</t>
  </si>
  <si>
    <t>午後に集まりがある。</t>
  </si>
  <si>
    <t>Tôi có cuộc họp vào buổi chiều.</t>
  </si>
  <si>
    <t>くたびれる</t>
  </si>
  <si>
    <t>mệt mỏi</t>
  </si>
  <si>
    <t>一日働いてくたびれる。</t>
  </si>
  <si>
    <t>Làm việc cả ngày nên mệt mỏi.</t>
  </si>
  <si>
    <t>順</t>
  </si>
  <si>
    <t>じゅん</t>
  </si>
  <si>
    <t>順[じゅん]</t>
  </si>
  <si>
    <t>thứ tự</t>
  </si>
  <si>
    <t>名前の順に並ぶ。</t>
  </si>
  <si>
    <t>Tôi xếp hàng theo thứ tự tên.</t>
  </si>
  <si>
    <t>ゼミ</t>
  </si>
  <si>
    <t>ぜみ</t>
  </si>
  <si>
    <t>buổi hội thảo</t>
  </si>
  <si>
    <t>ゼミで発表する。</t>
  </si>
  <si>
    <t>Phát biểu tại buổi hội thảo.</t>
  </si>
  <si>
    <t>しつこい</t>
  </si>
  <si>
    <t>dai dẳng</t>
  </si>
  <si>
    <t>しつこい営業電話。</t>
  </si>
  <si>
    <t>Cuộc gọi quảng cáo dai dẳng.</t>
  </si>
  <si>
    <t>大部分</t>
  </si>
  <si>
    <t>だいぶぶん</t>
  </si>
  <si>
    <t>大部分[だいぶぶん]</t>
  </si>
  <si>
    <t>phần lớn</t>
  </si>
  <si>
    <t>大部分が解決する。</t>
  </si>
  <si>
    <t>Phần lớn đã giải quyết xong.</t>
  </si>
  <si>
    <t>グラス</t>
  </si>
  <si>
    <t>ぐらす</t>
  </si>
  <si>
    <t>cốc thủy tinh</t>
  </si>
  <si>
    <t>グラスに水を注ぐ。</t>
  </si>
  <si>
    <t>Rót nước vào cốc thủy tinh.</t>
  </si>
  <si>
    <t>たちまち</t>
  </si>
  <si>
    <t>空がたちまち曇る。</t>
  </si>
  <si>
    <t>Bầu trời ngay lập tức u ám.</t>
  </si>
  <si>
    <t>弱点</t>
  </si>
  <si>
    <t>じゃくてん</t>
  </si>
  <si>
    <t>弱点[じゃくてん]</t>
  </si>
  <si>
    <t>điểm yếu</t>
  </si>
  <si>
    <t>自分の弱点を知る。</t>
  </si>
  <si>
    <t>Biết điểm yếu của bản thân.</t>
  </si>
  <si>
    <t>集団</t>
  </si>
  <si>
    <t>しゅうだん</t>
  </si>
  <si>
    <t>集団[しゅうだん]</t>
  </si>
  <si>
    <t>tập thể</t>
  </si>
  <si>
    <t>集団で行動する。</t>
  </si>
  <si>
    <t>Tôi hành động theo tập thể.</t>
  </si>
  <si>
    <t>項目</t>
  </si>
  <si>
    <t>こうもく</t>
  </si>
  <si>
    <t>項目[こうもく]</t>
  </si>
  <si>
    <t>mục</t>
  </si>
  <si>
    <t>必要な項目を入力する。</t>
  </si>
  <si>
    <t>Tôi nhập các mục cần thiết.</t>
  </si>
  <si>
    <t>預ける</t>
  </si>
  <si>
    <t>あずける</t>
  </si>
  <si>
    <t>預[あず]ける</t>
  </si>
  <si>
    <t>銀行にお金を預ける。</t>
  </si>
  <si>
    <t>Tôi gửi tiền vào ngân hàng.</t>
  </si>
  <si>
    <t>郵送</t>
  </si>
  <si>
    <t>ゆうそう</t>
  </si>
  <si>
    <t>郵送[ゆうそう]</t>
  </si>
  <si>
    <t>gửi qua bưu điện</t>
  </si>
  <si>
    <t>書類を郵送する。</t>
  </si>
  <si>
    <t>Gửi tài liệu qua bưu điện.</t>
  </si>
  <si>
    <t>話し掛ける</t>
  </si>
  <si>
    <t>はなしかける</t>
  </si>
  <si>
    <t>話[はな]し掛[か]ける</t>
  </si>
  <si>
    <t>bắt chuyện</t>
  </si>
  <si>
    <t>人に話し掛ける。</t>
  </si>
  <si>
    <t>Bắt chuyện với người khác.</t>
  </si>
  <si>
    <t>版</t>
  </si>
  <si>
    <t>版[はん]</t>
  </si>
  <si>
    <t>phiên bản</t>
  </si>
  <si>
    <t>第2版を出す。</t>
  </si>
  <si>
    <t>Phát hành phiên bản thứ 2.</t>
  </si>
  <si>
    <t>出張</t>
  </si>
  <si>
    <t>しゅっちょう</t>
  </si>
  <si>
    <t>出張[しゅっちょう]</t>
  </si>
  <si>
    <t>công tác</t>
  </si>
  <si>
    <t>東京へ出張する。</t>
  </si>
  <si>
    <t>Tôi đi công tác tại Tokyo.</t>
  </si>
  <si>
    <t>題</t>
  </si>
  <si>
    <t>題[だい]</t>
  </si>
  <si>
    <t>đề tài</t>
  </si>
  <si>
    <t>難しい題に取り組む。</t>
  </si>
  <si>
    <t>Tôi giải quyết đề tài khó.</t>
  </si>
  <si>
    <t>あれこれ</t>
  </si>
  <si>
    <t>cái này cái kia</t>
  </si>
  <si>
    <t>あれこれ考える。</t>
  </si>
  <si>
    <t>Suy nghĩ cái này cái kia.</t>
  </si>
  <si>
    <t>蛍光灯</t>
  </si>
  <si>
    <t>けいこうとう</t>
  </si>
  <si>
    <t>蛍光灯[けいこうとう]</t>
  </si>
  <si>
    <t>đèn huỳnh quang</t>
  </si>
  <si>
    <t>蛍光灯を変える。</t>
  </si>
  <si>
    <t>Tôi thay đèn huỳnh quang.</t>
  </si>
  <si>
    <t>課長</t>
  </si>
  <si>
    <t>かちょう</t>
  </si>
  <si>
    <t>課長[かちょう]</t>
  </si>
  <si>
    <t>課長に報告する。</t>
  </si>
  <si>
    <t>Báo cáo với trưởng phòng.</t>
  </si>
  <si>
    <t>中年</t>
  </si>
  <si>
    <t>ちゅうねん</t>
  </si>
  <si>
    <t>中年[ちゅうねん]</t>
  </si>
  <si>
    <t>trung niên</t>
  </si>
  <si>
    <t>中年の男性。</t>
  </si>
  <si>
    <t>Người đàn ông trung niên.</t>
  </si>
  <si>
    <t>景色</t>
  </si>
  <si>
    <t>けしき</t>
  </si>
  <si>
    <t>景色[けしき]</t>
  </si>
  <si>
    <t>phong cảnh</t>
  </si>
  <si>
    <t>景色を楽しむ。</t>
  </si>
  <si>
    <t>Tôi ngắm nhìn phong cảnh.</t>
  </si>
  <si>
    <t>衣服</t>
  </si>
  <si>
    <t>いふく</t>
  </si>
  <si>
    <t>衣服[いふく]</t>
  </si>
  <si>
    <t>trang phục</t>
  </si>
  <si>
    <t>衣服を整える。</t>
  </si>
  <si>
    <t>Tôi chỉnh đốn trang phục.</t>
  </si>
  <si>
    <t>さっぱり</t>
  </si>
  <si>
    <t>さっぱりわからない。</t>
  </si>
  <si>
    <t>線路</t>
  </si>
  <si>
    <t>せんろ</t>
  </si>
  <si>
    <t>線路[せんろ]</t>
  </si>
  <si>
    <t>đường ray</t>
  </si>
  <si>
    <t>線路を歩く。</t>
  </si>
  <si>
    <t>Tôi đi bộ trên đường ray.</t>
  </si>
  <si>
    <t>コンテスト</t>
  </si>
  <si>
    <t>こんてすと</t>
  </si>
  <si>
    <t>cuộc thi</t>
  </si>
  <si>
    <t>料理コンテストに出る。</t>
  </si>
  <si>
    <t>Tham gia cuộc thi nấu ăn.</t>
  </si>
  <si>
    <t>どっと</t>
  </si>
  <si>
    <t>観客がどっと笑う。</t>
  </si>
  <si>
    <t>Khán giả cùng lúc cười ồ.</t>
  </si>
  <si>
    <t>バイバイ</t>
  </si>
  <si>
    <t>ばいばい</t>
  </si>
  <si>
    <t>子供がバイバイする。</t>
  </si>
  <si>
    <t>Đứa trẻ vẫy tay tạm biệt.</t>
  </si>
  <si>
    <t>命ずる</t>
  </si>
  <si>
    <t>めいずる</t>
  </si>
  <si>
    <t>命[めい]ずる</t>
  </si>
  <si>
    <t>部下に命ずる。</t>
  </si>
  <si>
    <t>Tôi ra lệnh cho cấp dưới.</t>
  </si>
  <si>
    <t>飛ばす</t>
  </si>
  <si>
    <t>とばす</t>
  </si>
  <si>
    <t>飛[と]ばす</t>
  </si>
  <si>
    <t>làm bay</t>
  </si>
  <si>
    <t>紙飛行機を飛ばす。</t>
  </si>
  <si>
    <t>Tôi làm bay máy bay giấy.</t>
  </si>
  <si>
    <t>なぜなら</t>
  </si>
  <si>
    <t>bởi vì</t>
  </si>
  <si>
    <t>欠席だ。なぜなら病気。</t>
  </si>
  <si>
    <t>Vắng mặt. Bởi vì bị bệnh.</t>
  </si>
  <si>
    <t>係</t>
  </si>
  <si>
    <t>かかり</t>
  </si>
  <si>
    <t>係[かかり]</t>
  </si>
  <si>
    <t>người phụ trách</t>
  </si>
  <si>
    <t>係の人を呼ぶ。</t>
  </si>
  <si>
    <t>Tôi gọi người phụ trách.</t>
  </si>
  <si>
    <t>話合い</t>
  </si>
  <si>
    <t>はなしあい</t>
  </si>
  <si>
    <t>話合[はなしあ]い</t>
  </si>
  <si>
    <t>話合いを終える。</t>
  </si>
  <si>
    <t>Kết thúc cuộc thảo luận.</t>
  </si>
  <si>
    <t>にっこり</t>
  </si>
  <si>
    <t>mỉm cười tươi</t>
  </si>
  <si>
    <t>にっこりと微笑んだ。</t>
  </si>
  <si>
    <t>Anh ấy đã mỉm cười tươi.</t>
  </si>
  <si>
    <t>一通り</t>
  </si>
  <si>
    <t>ひととおり</t>
  </si>
  <si>
    <t>一通[ひととお]り</t>
  </si>
  <si>
    <t>一通り読んだ。</t>
  </si>
  <si>
    <t>Đã đọc qua một lượt.</t>
  </si>
  <si>
    <t>仕上がる</t>
  </si>
  <si>
    <t>しあがる</t>
  </si>
  <si>
    <t>仕上[しあ]がる</t>
  </si>
  <si>
    <t>仕事が仕上がる。</t>
  </si>
  <si>
    <t>Công việc đã hoàn thành.</t>
  </si>
  <si>
    <t>一帯</t>
  </si>
  <si>
    <t>一帯[いったい]</t>
  </si>
  <si>
    <t>toàn vùng</t>
  </si>
  <si>
    <t>一帯が静かだ。</t>
  </si>
  <si>
    <t>Toàn vùng thật yên tĩnh.</t>
  </si>
  <si>
    <t>信ずる</t>
  </si>
  <si>
    <t>しんずる</t>
  </si>
  <si>
    <t>信[しん]ずる</t>
  </si>
  <si>
    <t>神を信ずる。</t>
  </si>
  <si>
    <t>Tôi tin tưởng thần linh.</t>
  </si>
  <si>
    <t>出発</t>
  </si>
  <si>
    <t>しゅっぱつ</t>
  </si>
  <si>
    <t>出発[しゅっぱつ]</t>
  </si>
  <si>
    <t>xuất phát</t>
  </si>
  <si>
    <t>駅を出発する。</t>
  </si>
  <si>
    <t>Tôi xuất phát từ nhà ga.</t>
  </si>
  <si>
    <t>遂に</t>
  </si>
  <si>
    <t>ついに</t>
  </si>
  <si>
    <t>遂[つい]に</t>
  </si>
  <si>
    <t>遂に完成した。</t>
  </si>
  <si>
    <t>Cuối cùng đã hoàn thành.</t>
  </si>
  <si>
    <t>位</t>
  </si>
  <si>
    <t>位[くらい]</t>
  </si>
  <si>
    <t>thứ hạng</t>
  </si>
  <si>
    <t>一位になる。</t>
  </si>
  <si>
    <t>Tôi trở thành hạng nhất.</t>
  </si>
  <si>
    <t>引き返す</t>
  </si>
  <si>
    <t>ひきかえす</t>
  </si>
  <si>
    <t>引[ひ]き返[かえ]す</t>
  </si>
  <si>
    <t>忘れ物をして引き返す。</t>
  </si>
  <si>
    <t>Để quên đồ nên quay lại.</t>
  </si>
  <si>
    <t>追い付く</t>
  </si>
  <si>
    <t>おいつく</t>
  </si>
  <si>
    <t>追[お]い付[つ]く</t>
  </si>
  <si>
    <t>đuổi kịp</t>
  </si>
  <si>
    <t>先行者に追い付く。</t>
  </si>
  <si>
    <t>Đuổi kịp người đi trước.</t>
  </si>
  <si>
    <t>隣</t>
  </si>
  <si>
    <t>となり</t>
  </si>
  <si>
    <t>隣[となり]</t>
  </si>
  <si>
    <t>隣の席に座る。</t>
  </si>
  <si>
    <t>Tôi ngồi ở ghế bên cạnh.</t>
  </si>
  <si>
    <t>幸運</t>
  </si>
  <si>
    <t>こううん</t>
  </si>
  <si>
    <t>幸運[こううん]</t>
  </si>
  <si>
    <t>幸運に恵まれる。</t>
  </si>
  <si>
    <t>Được ban cho sự may mắn.</t>
  </si>
  <si>
    <t>組合せ</t>
  </si>
  <si>
    <t>くみあわせ</t>
  </si>
  <si>
    <t>組合[くみあわ]せ</t>
  </si>
  <si>
    <t>kết hợp</t>
  </si>
  <si>
    <t>色を組合せる。</t>
  </si>
  <si>
    <t>Tôi kết hợp các màu sắc.</t>
  </si>
  <si>
    <t>すなわち</t>
  </si>
  <si>
    <t>tức là</t>
  </si>
  <si>
    <t>彼、すなわち犯人だ。</t>
  </si>
  <si>
    <t>Anh ta, tức là thủ phạm.</t>
  </si>
  <si>
    <t>それなのに</t>
  </si>
  <si>
    <t>thế mà</t>
  </si>
  <si>
    <t>勉強した。それなのに失敗。</t>
  </si>
  <si>
    <t>Đã học. Thế mà thất bại.</t>
  </si>
  <si>
    <t>住民</t>
  </si>
  <si>
    <t>じゅうみん</t>
  </si>
  <si>
    <t>住民[じゅうみん]</t>
  </si>
  <si>
    <t>cư dân</t>
  </si>
  <si>
    <t>住民と交流する。</t>
  </si>
  <si>
    <t>Tôi giao lưu với cư dân.</t>
  </si>
  <si>
    <t>スピーカー</t>
  </si>
  <si>
    <t>すぴーかー</t>
  </si>
  <si>
    <t>loa</t>
  </si>
  <si>
    <t>スピーカーから音がする。</t>
  </si>
  <si>
    <t>Âm thanh phát ra từ loa.</t>
  </si>
  <si>
    <t>グランド</t>
  </si>
  <si>
    <t>ぐらんど</t>
  </si>
  <si>
    <t>sân vận động</t>
  </si>
  <si>
    <t>グランドで走る。</t>
  </si>
  <si>
    <t>Chạy trên sân vận động.</t>
  </si>
  <si>
    <t>ベテラン</t>
  </si>
  <si>
    <t>べてらん</t>
  </si>
  <si>
    <t>người kỳ cựu</t>
  </si>
  <si>
    <t>彼はベテランだ。</t>
  </si>
  <si>
    <t>Anh ấy là người kỳ cựu.</t>
  </si>
  <si>
    <t>女優</t>
  </si>
  <si>
    <t>じょゆう</t>
  </si>
  <si>
    <t>女優[じょゆう]</t>
  </si>
  <si>
    <t>nữ diễn viên</t>
  </si>
  <si>
    <t>有名な女優。</t>
  </si>
  <si>
    <t>Nữ diễn viên nổi tiếng.</t>
  </si>
  <si>
    <t>並</t>
  </si>
  <si>
    <t>並[なみ]</t>
  </si>
  <si>
    <t>並の成績。</t>
  </si>
  <si>
    <t>Thành tích bình thường.</t>
  </si>
  <si>
    <t>大使館</t>
  </si>
  <si>
    <t>たいしかん</t>
  </si>
  <si>
    <t>大使館[たいしかん]</t>
  </si>
  <si>
    <t>đại sứ quán</t>
  </si>
  <si>
    <t>大使館へ行く。</t>
  </si>
  <si>
    <t>Tôi đi đến đại sứ quán.</t>
  </si>
  <si>
    <t>ダイヤ</t>
  </si>
  <si>
    <t>だいや</t>
  </si>
  <si>
    <t>lịch trình</t>
  </si>
  <si>
    <t>ダイヤが乱れる。</t>
  </si>
  <si>
    <t>Lịch trình bị rối loạn.</t>
  </si>
  <si>
    <t>卒業</t>
  </si>
  <si>
    <t>そつぎょう</t>
  </si>
  <si>
    <t>卒業[そつぎょう]</t>
  </si>
  <si>
    <t>tốt nghiệp</t>
  </si>
  <si>
    <t>大学を卒業する。</t>
  </si>
  <si>
    <t>Tôi tốt nghiệp đại học.</t>
  </si>
  <si>
    <t>異常</t>
  </si>
  <si>
    <t>異常[いじょう]</t>
  </si>
  <si>
    <t>bất thường</t>
  </si>
  <si>
    <t>異常がない。</t>
  </si>
  <si>
    <t>Không có gì bất thường.</t>
  </si>
  <si>
    <t>いちいち</t>
  </si>
  <si>
    <t>từng chút</t>
  </si>
  <si>
    <t>いちいち文句を言う。</t>
  </si>
  <si>
    <t>Phàn nàn từng chút một.</t>
  </si>
  <si>
    <t>前後</t>
  </si>
  <si>
    <t>ぜんご</t>
  </si>
  <si>
    <t>前後[ぜんご]</t>
  </si>
  <si>
    <t>trước sau</t>
  </si>
  <si>
    <t>前後を確認する。</t>
  </si>
  <si>
    <t>Tôi kiểm tra trước sau.</t>
  </si>
  <si>
    <t>境界</t>
  </si>
  <si>
    <t>境界[きょうかい]</t>
  </si>
  <si>
    <t>biên giới</t>
  </si>
  <si>
    <t>境界を定める。</t>
  </si>
  <si>
    <t>Tôi xác định biên giới.</t>
  </si>
  <si>
    <t>薬品</t>
  </si>
  <si>
    <t>やくひん</t>
  </si>
  <si>
    <t>薬品[やくひん]</t>
  </si>
  <si>
    <t>dược phẩm</t>
  </si>
  <si>
    <t>薬品を保管する。</t>
  </si>
  <si>
    <t>Tôi bảo quản dược phẩm.</t>
  </si>
  <si>
    <t>作</t>
  </si>
  <si>
    <t>作[さく]</t>
  </si>
  <si>
    <t>素晴らしい作。</t>
  </si>
  <si>
    <t>Một tác phẩm tuyệt vời.</t>
  </si>
  <si>
    <t>供給</t>
  </si>
  <si>
    <t>きょうきゅう</t>
  </si>
  <si>
    <t>供給[きょうきゅう]</t>
  </si>
  <si>
    <t>電力を供給する。</t>
  </si>
  <si>
    <t>Tôi cung cấp điện năng.</t>
  </si>
  <si>
    <t>張り切る</t>
  </si>
  <si>
    <t>はりきる</t>
  </si>
  <si>
    <t>張[は]り切[き]る</t>
  </si>
  <si>
    <t>hăng hái</t>
  </si>
  <si>
    <t>仕事に張り切る。</t>
  </si>
  <si>
    <t>Hăng hái với công việc.</t>
  </si>
  <si>
    <t>慶ぶ</t>
  </si>
  <si>
    <t>慶[よろこ]ぶ</t>
  </si>
  <si>
    <t>成功を慶ぶ。</t>
  </si>
  <si>
    <t>Vui mừng vì thành công.</t>
  </si>
  <si>
    <t>うなずく</t>
  </si>
  <si>
    <t>gật đầu</t>
  </si>
  <si>
    <t>彼は静かにうなずいた。</t>
  </si>
  <si>
    <t>Anh ấy lặng lẽ gật đầu.</t>
  </si>
  <si>
    <t>こっそり</t>
  </si>
  <si>
    <t>lén lút</t>
  </si>
  <si>
    <t>こっそり部屋を出る。</t>
  </si>
  <si>
    <t>Lén lút rời khỏi phòng.</t>
  </si>
  <si>
    <t>機関</t>
  </si>
  <si>
    <t>機関[きかん]</t>
  </si>
  <si>
    <t>cơ quan</t>
  </si>
  <si>
    <t>教育機関。</t>
  </si>
  <si>
    <t>Đó là cơ quan giáo dục.</t>
  </si>
  <si>
    <t>叔父さん</t>
  </si>
  <si>
    <t>おじさん</t>
  </si>
  <si>
    <t>叔父[おじ]さん</t>
  </si>
  <si>
    <t>叔父さんと話す。</t>
  </si>
  <si>
    <t>Tôi nói chuyện với chú.</t>
  </si>
  <si>
    <t>成人</t>
  </si>
  <si>
    <t>せいじん</t>
  </si>
  <si>
    <t>成人[せいじん]</t>
  </si>
  <si>
    <t>người trưởng thành</t>
  </si>
  <si>
    <t>成人式に出る。</t>
  </si>
  <si>
    <t>Tham dự lễ thành nhân.</t>
  </si>
  <si>
    <t>二十日</t>
  </si>
  <si>
    <t>はつか</t>
  </si>
  <si>
    <t>二十日[はつか]</t>
  </si>
  <si>
    <t>ngày hai mươi</t>
  </si>
  <si>
    <t>二十日に来る。</t>
  </si>
  <si>
    <t>Đến vào ngày hai mươi.</t>
  </si>
  <si>
    <t>二十歳</t>
  </si>
  <si>
    <t>はたち</t>
  </si>
  <si>
    <t>二十歳[はたち]</t>
  </si>
  <si>
    <t>hai mươi tuổi</t>
  </si>
  <si>
    <t>二十歳になる。</t>
  </si>
  <si>
    <t>Trở nên hai mươi tuổi.</t>
  </si>
  <si>
    <t>五日</t>
  </si>
  <si>
    <t>五日[いつか]</t>
  </si>
  <si>
    <t>ngày mùng năm</t>
  </si>
  <si>
    <t>五日に会う。</t>
  </si>
  <si>
    <t>Gặp vào ngày mùng năm.</t>
  </si>
  <si>
    <t>傷</t>
  </si>
  <si>
    <t>きず</t>
  </si>
  <si>
    <t>傷[きず]</t>
  </si>
  <si>
    <t>vết thương</t>
  </si>
  <si>
    <t>傷を手当てする。</t>
  </si>
  <si>
    <t>Tôi sơ cứu vết thương.</t>
  </si>
  <si>
    <t>講師</t>
  </si>
  <si>
    <t>こうし</t>
  </si>
  <si>
    <t>講師[こうし]</t>
  </si>
  <si>
    <t>giảng viên</t>
  </si>
  <si>
    <t>講師を紹介する。</t>
  </si>
  <si>
    <t>Giới thiệu giảng viên.</t>
  </si>
  <si>
    <t>いらいら</t>
  </si>
  <si>
    <t>nóng ruột</t>
  </si>
  <si>
    <t>渋滞でいらいらする。</t>
  </si>
  <si>
    <t>Phát cáu vì tắc đường.</t>
  </si>
  <si>
    <t>廊下</t>
  </si>
  <si>
    <t>ろうか</t>
  </si>
  <si>
    <t>廊下[ろうか]</t>
  </si>
  <si>
    <t>hành lang</t>
  </si>
  <si>
    <t>廊下を走るな。</t>
  </si>
  <si>
    <t>Đừng chạy ở hành lang.</t>
  </si>
  <si>
    <t>預かる</t>
  </si>
  <si>
    <t>あずかる</t>
  </si>
  <si>
    <t>預[あず]かる</t>
  </si>
  <si>
    <t>trông giữ</t>
  </si>
  <si>
    <t>子供を預かる。</t>
  </si>
  <si>
    <t>Tôi trông giữ đứa trẻ.</t>
  </si>
  <si>
    <t>駐車場</t>
  </si>
  <si>
    <t>ちゅうしゃじょう</t>
  </si>
  <si>
    <t>駐車場[ちゅうしゃじょう]</t>
  </si>
  <si>
    <t>bãi đỗ xe</t>
  </si>
  <si>
    <t>駐車場に車を止める。</t>
  </si>
  <si>
    <t>Tôi để xe ở bãi đỗ xe.</t>
  </si>
  <si>
    <t>商店</t>
  </si>
  <si>
    <t>しょうてん</t>
  </si>
  <si>
    <t>商店[しょうてん]</t>
  </si>
  <si>
    <t>駅前の商店。</t>
  </si>
  <si>
    <t>Cửa hàng trước nhà ga.</t>
  </si>
  <si>
    <t>毎朝</t>
  </si>
  <si>
    <t>まいあさ</t>
  </si>
  <si>
    <t>毎朝[まいあさ]</t>
  </si>
  <si>
    <t>mỗi sáng</t>
  </si>
  <si>
    <t>毎朝走る。</t>
  </si>
  <si>
    <t>Tôi chạy vào mỗi sáng.</t>
  </si>
  <si>
    <t>輝く</t>
  </si>
  <si>
    <t>かがやく</t>
  </si>
  <si>
    <t>輝[かがや]く</t>
  </si>
  <si>
    <t>tỏa sáng</t>
  </si>
  <si>
    <t>星が輝く。</t>
  </si>
  <si>
    <t>一昨年</t>
  </si>
  <si>
    <t>おととし</t>
  </si>
  <si>
    <t>一昨年[おととし]</t>
  </si>
  <si>
    <t>năm kia</t>
  </si>
  <si>
    <t>一昨年結婚した。</t>
  </si>
  <si>
    <t>Đã kết hôn từ năm kia.</t>
  </si>
  <si>
    <t>美容</t>
  </si>
  <si>
    <t>びよう</t>
  </si>
  <si>
    <t>美容[びよう]</t>
  </si>
  <si>
    <t>làm đẹp</t>
  </si>
  <si>
    <t>美容に気を使う。</t>
  </si>
  <si>
    <t>Tôi chăm chút làm đẹp.</t>
  </si>
  <si>
    <t>親戚</t>
  </si>
  <si>
    <t>しんせき</t>
  </si>
  <si>
    <t>親戚[しんせき]</t>
  </si>
  <si>
    <t>họ hàng</t>
  </si>
  <si>
    <t>親戚が集まる。</t>
  </si>
  <si>
    <t>Họ hàng tập trung lại.</t>
  </si>
  <si>
    <t>適する</t>
  </si>
  <si>
    <t>てきする</t>
  </si>
  <si>
    <t>適[てき]する</t>
  </si>
  <si>
    <t>仕事に適する。</t>
  </si>
  <si>
    <t>Phù hợp với công việc.</t>
  </si>
  <si>
    <t>小麦</t>
  </si>
  <si>
    <t>こむぎ</t>
  </si>
  <si>
    <t>小麦[こむぎ]</t>
  </si>
  <si>
    <t>lúa mì</t>
  </si>
  <si>
    <t>小麦からパンを作る。</t>
  </si>
  <si>
    <t>Làm bánh mì từ lúa mì.</t>
  </si>
  <si>
    <t>慰める</t>
  </si>
  <si>
    <t>なぐさめる</t>
  </si>
  <si>
    <t>慰[なぐさ]める</t>
  </si>
  <si>
    <t>an ủi</t>
  </si>
  <si>
    <t>落ち込む人を慰める。</t>
  </si>
  <si>
    <t>An ủi người đang buồn.</t>
  </si>
  <si>
    <t>嵐</t>
  </si>
  <si>
    <t>あらし</t>
  </si>
  <si>
    <t>嵐[あらし]</t>
  </si>
  <si>
    <t>嵐が近づいている。</t>
  </si>
  <si>
    <t>Cơn bão đang tiến gần.</t>
  </si>
  <si>
    <t>或</t>
  </si>
  <si>
    <t>或[ある]</t>
  </si>
  <si>
    <t>或る日突然。</t>
  </si>
  <si>
    <t>Một ngày nọ đột nhiên.</t>
  </si>
  <si>
    <t>七日</t>
  </si>
  <si>
    <t>なのか</t>
  </si>
  <si>
    <t>七日[なのか]</t>
  </si>
  <si>
    <t>ngày mùng bảy</t>
  </si>
  <si>
    <t>七日に行く。</t>
  </si>
  <si>
    <t>Đi vào ngày mùng bảy.</t>
  </si>
  <si>
    <t>しばしば</t>
  </si>
  <si>
    <t>しばしばここへ来る。</t>
  </si>
  <si>
    <t>Thường xuyên đến đây.</t>
  </si>
  <si>
    <t>学者</t>
  </si>
  <si>
    <t>がくしゃ</t>
  </si>
  <si>
    <t>学者[がくしゃ]</t>
  </si>
  <si>
    <t>nhà khoa học</t>
  </si>
  <si>
    <t>歴史の学者。</t>
  </si>
  <si>
    <t>Nhà khoa học lịch sử.</t>
  </si>
  <si>
    <t>さっさと</t>
  </si>
  <si>
    <t>さっさと仕事をする。</t>
  </si>
  <si>
    <t>Làm việc nhanh chóng.</t>
  </si>
  <si>
    <t>上旬</t>
  </si>
  <si>
    <t>じょうじゅん</t>
  </si>
  <si>
    <t>上旬[じょうじゅん]</t>
  </si>
  <si>
    <t>thượng tuần</t>
  </si>
  <si>
    <t>四月の上旬。</t>
  </si>
  <si>
    <t>Thượng tuần tháng tư.</t>
  </si>
  <si>
    <t>大して</t>
  </si>
  <si>
    <t>たいして</t>
  </si>
  <si>
    <t>大[たい]して</t>
  </si>
  <si>
    <t>không nhiều</t>
  </si>
  <si>
    <t>大して知らない。</t>
  </si>
  <si>
    <t>Tôi không biết nhiều.</t>
  </si>
  <si>
    <t>乗客</t>
  </si>
  <si>
    <t>じょうきゃく</t>
  </si>
  <si>
    <t>乗客[じょうきゃく]</t>
  </si>
  <si>
    <t>hành khách</t>
  </si>
  <si>
    <t>乗客が降りる。</t>
  </si>
  <si>
    <t>Hành khách xuống tàu.</t>
  </si>
  <si>
    <t>完了</t>
  </si>
  <si>
    <t>かんりょう</t>
  </si>
  <si>
    <t>完了[かんりょう]</t>
  </si>
  <si>
    <t>仕事が完了する。</t>
  </si>
  <si>
    <t>Công việc hoàn thành.</t>
  </si>
  <si>
    <t>真似</t>
  </si>
  <si>
    <t>まね</t>
  </si>
  <si>
    <t>真似[まね]</t>
  </si>
  <si>
    <t>人の真似をする。</t>
  </si>
  <si>
    <t>Bắt chước người khác.</t>
  </si>
  <si>
    <t>過程</t>
  </si>
  <si>
    <t>過程[かてい]</t>
  </si>
  <si>
    <t>quá trình</t>
  </si>
  <si>
    <t>過程を説明する。</t>
  </si>
  <si>
    <t>Giải thích quá trình.</t>
  </si>
  <si>
    <t>ぐっすり</t>
  </si>
  <si>
    <t>ngủ ngon</t>
  </si>
  <si>
    <t>夜はぐっすり眠る。</t>
  </si>
  <si>
    <t>Ngủ ngon vào ban đêm.</t>
  </si>
  <si>
    <t>ふざける</t>
  </si>
  <si>
    <t>đùa giỡn</t>
  </si>
  <si>
    <t>子供がふざけている。</t>
  </si>
  <si>
    <t>Trẻ em đang đùa giỡn.</t>
  </si>
  <si>
    <t>満足</t>
  </si>
  <si>
    <t>まんぞく</t>
  </si>
  <si>
    <t>満足[まんぞく]</t>
  </si>
  <si>
    <t>thỏa mãn</t>
  </si>
  <si>
    <t>結果に満足する。</t>
  </si>
  <si>
    <t>Thỏa mãn với kết quả.</t>
  </si>
  <si>
    <t>犯罪</t>
  </si>
  <si>
    <t>はんざい</t>
  </si>
  <si>
    <t>犯罪[はんざい]</t>
  </si>
  <si>
    <t>tội phạm</t>
  </si>
  <si>
    <t>犯罪を防ぐ。</t>
  </si>
  <si>
    <t>Phòng chống tội phạm.</t>
  </si>
  <si>
    <t>そっと</t>
  </si>
  <si>
    <t>そっと置いておく。</t>
  </si>
  <si>
    <t>Đặt nhẹ nhàng vào đó.</t>
  </si>
  <si>
    <t>今に</t>
  </si>
  <si>
    <t>いまに</t>
  </si>
  <si>
    <t>今[いま]に</t>
  </si>
  <si>
    <t>sắp tới</t>
  </si>
  <si>
    <t>今にわかる。</t>
  </si>
  <si>
    <t>Sắp tới sẽ hiểu thôi.</t>
  </si>
  <si>
    <t>今にも</t>
  </si>
  <si>
    <t>いまにも</t>
  </si>
  <si>
    <t>今[いま]にも</t>
  </si>
  <si>
    <t>今にも泣きそうだ。</t>
  </si>
  <si>
    <t>Sắp sửa khóc đến nơi.</t>
  </si>
  <si>
    <t>受取</t>
  </si>
  <si>
    <t>うけとり</t>
  </si>
  <si>
    <t>受取[うけとり]</t>
  </si>
  <si>
    <t>sự nhận</t>
  </si>
  <si>
    <t>受取を確認する。</t>
  </si>
  <si>
    <t>Tôi xác nhận việc nhận hàng.</t>
  </si>
  <si>
    <t>大学院</t>
  </si>
  <si>
    <t>だいがくいん</t>
  </si>
  <si>
    <t>大学院[だいがくいん]</t>
  </si>
  <si>
    <t>cao học</t>
  </si>
  <si>
    <t>大学院へ進む。</t>
  </si>
  <si>
    <t>Tôi tiến lên cao học.</t>
  </si>
  <si>
    <t>決まり</t>
  </si>
  <si>
    <t>きまり</t>
  </si>
  <si>
    <t>決[き]まり</t>
  </si>
  <si>
    <t>決まりを守る。</t>
  </si>
  <si>
    <t>知能</t>
  </si>
  <si>
    <t>ちのう</t>
  </si>
  <si>
    <t>知能[ちのう]</t>
  </si>
  <si>
    <t>trí tuệ</t>
  </si>
  <si>
    <t>知能テスト。</t>
  </si>
  <si>
    <t>Bài kiểm tra trí tuệ.</t>
  </si>
  <si>
    <t>謝る</t>
  </si>
  <si>
    <t>謝[あやま]る</t>
  </si>
  <si>
    <t>すぐに謝る。</t>
  </si>
  <si>
    <t>Xin lỗi ngay lập tức.</t>
  </si>
  <si>
    <t>跡</t>
  </si>
  <si>
    <t>跡[あと]</t>
  </si>
  <si>
    <t>dấu vết</t>
  </si>
  <si>
    <t>犯人の跡だ。</t>
  </si>
  <si>
    <t>Dấu vết của tội phạm.</t>
  </si>
  <si>
    <t>兄弟</t>
  </si>
  <si>
    <t>きょうだい</t>
  </si>
  <si>
    <t>兄弟[きょうだい]</t>
  </si>
  <si>
    <t>anh em</t>
  </si>
  <si>
    <t>兄弟で住む。</t>
  </si>
  <si>
    <t>Tôi sống cùng anh em.</t>
  </si>
  <si>
    <t>医師</t>
  </si>
  <si>
    <t>医師[いし]</t>
  </si>
  <si>
    <t>医師に診る。</t>
  </si>
  <si>
    <t>Tôi được bác sĩ khám.</t>
  </si>
  <si>
    <t>通勤</t>
  </si>
  <si>
    <t>つうきん</t>
  </si>
  <si>
    <t>通勤[つうきん]</t>
  </si>
  <si>
    <t>đi làm</t>
  </si>
  <si>
    <t>通勤時間が長い。</t>
  </si>
  <si>
    <t>Thời gian đi làm dài.</t>
  </si>
  <si>
    <t>うんと</t>
  </si>
  <si>
    <t>うんと勉強した。</t>
  </si>
  <si>
    <t>Tôi đã học rất nhiều.</t>
  </si>
  <si>
    <t>地帯</t>
  </si>
  <si>
    <t>ちたい</t>
  </si>
  <si>
    <t>地帯[ちたい]</t>
  </si>
  <si>
    <t>vùng</t>
  </si>
  <si>
    <t>寒冷地帯に住む。</t>
  </si>
  <si>
    <t>Tôi sống ở vùng lạnh.</t>
  </si>
  <si>
    <t>村</t>
  </si>
  <si>
    <t>むら</t>
  </si>
  <si>
    <t>村[むら]</t>
  </si>
  <si>
    <t>làng</t>
  </si>
  <si>
    <t>村に住む。</t>
  </si>
  <si>
    <t>Tôi sống ở ngôi làng.</t>
  </si>
  <si>
    <t>いたずら</t>
  </si>
  <si>
    <t>trò nghịch ngợm</t>
  </si>
  <si>
    <t>子供がいたずらをする。</t>
  </si>
  <si>
    <t>Đứa trẻ nghịch ngợm.</t>
  </si>
  <si>
    <t>主役</t>
  </si>
  <si>
    <t>しゅやく</t>
  </si>
  <si>
    <t>主役[しゅやく]</t>
  </si>
  <si>
    <t>主役を演じる。</t>
  </si>
  <si>
    <t>Đóng nhân vật chính.</t>
  </si>
  <si>
    <t>禁煙</t>
  </si>
  <si>
    <t>きんえん</t>
  </si>
  <si>
    <t>禁煙[きんえん]</t>
  </si>
  <si>
    <t>cấm hút thuốc</t>
  </si>
  <si>
    <t>ここは禁煙です。</t>
  </si>
  <si>
    <t>Ở đây cấm hút thuốc.</t>
  </si>
  <si>
    <t>野党</t>
  </si>
  <si>
    <t>やとう</t>
  </si>
  <si>
    <t>野党[やとう]</t>
  </si>
  <si>
    <t>đảng đối lập</t>
  </si>
  <si>
    <t>野党を支持する。</t>
  </si>
  <si>
    <t>Ủng hộ đảng đối lập.</t>
  </si>
  <si>
    <t>スライド</t>
  </si>
  <si>
    <t>すらいど</t>
  </si>
  <si>
    <t>trang slide</t>
  </si>
  <si>
    <t>スライドを見せる。</t>
  </si>
  <si>
    <t>Cho xem trang slide.</t>
  </si>
  <si>
    <t>急速</t>
  </si>
  <si>
    <t>きゅうそく</t>
  </si>
  <si>
    <t>急速[きゅうそく]</t>
  </si>
  <si>
    <t>急速に進歩する。</t>
  </si>
  <si>
    <t>Tiến bộ nhanh chóng.</t>
  </si>
  <si>
    <t>手洗い</t>
  </si>
  <si>
    <t>てあらい</t>
  </si>
  <si>
    <t>手洗[てあら]い</t>
  </si>
  <si>
    <t>手洗いはどこですか。</t>
  </si>
  <si>
    <t>遅れ</t>
  </si>
  <si>
    <t>おくれ</t>
  </si>
  <si>
    <t>遅[おく]れ</t>
  </si>
  <si>
    <t>sự chậm trễ</t>
  </si>
  <si>
    <t>電車の遅れ。</t>
  </si>
  <si>
    <t>Sự chậm trễ của tàu.</t>
  </si>
  <si>
    <t>スマート</t>
  </si>
  <si>
    <t>すまーと</t>
  </si>
  <si>
    <t>thông minh</t>
  </si>
  <si>
    <t>スマートな人だ。</t>
  </si>
  <si>
    <t>Là người thông minh.</t>
  </si>
  <si>
    <t>屋外</t>
  </si>
  <si>
    <t>おくがい</t>
  </si>
  <si>
    <t>屋外[おくがい]</t>
  </si>
  <si>
    <t>ngoài trời</t>
  </si>
  <si>
    <t>屋外で運動する。</t>
  </si>
  <si>
    <t>Vận động ngoài trời.</t>
  </si>
  <si>
    <t>輸送</t>
  </si>
  <si>
    <t>ゆそう</t>
  </si>
  <si>
    <t>輸送[ゆそう]</t>
  </si>
  <si>
    <t>貨物を輸送する。</t>
  </si>
  <si>
    <t>遠慮</t>
  </si>
  <si>
    <t>えんりょ</t>
  </si>
  <si>
    <t>遠慮[えんりょ]</t>
  </si>
  <si>
    <t>ngại ngùng</t>
  </si>
  <si>
    <t>遠慮なく食べる。</t>
  </si>
  <si>
    <t>Ăn không ngại ngùng.</t>
  </si>
  <si>
    <t>並行</t>
  </si>
  <si>
    <t>へいこう</t>
  </si>
  <si>
    <t>並行[へいこう]</t>
  </si>
  <si>
    <t>song song</t>
  </si>
  <si>
    <t>並行して行う。</t>
  </si>
  <si>
    <t>Thực hiện song song.</t>
  </si>
  <si>
    <t>会議室</t>
  </si>
  <si>
    <t>かいぎしつ</t>
  </si>
  <si>
    <t>会議室[かいぎしつ]</t>
  </si>
  <si>
    <t>phòng họp</t>
  </si>
  <si>
    <t>会議室で待つ。</t>
  </si>
  <si>
    <t>Tôi đợi ở phòng họp.</t>
  </si>
  <si>
    <t>解ける</t>
  </si>
  <si>
    <t>とける</t>
  </si>
  <si>
    <t>解[と]ける</t>
  </si>
  <si>
    <t>được giải</t>
  </si>
  <si>
    <t>謎が解けた。</t>
  </si>
  <si>
    <t>Câu đố đã được giải.</t>
  </si>
  <si>
    <t>野</t>
  </si>
  <si>
    <t>の</t>
  </si>
  <si>
    <t>野[の]</t>
  </si>
  <si>
    <t>cánh đồng</t>
  </si>
  <si>
    <t>野を駆ける。</t>
  </si>
  <si>
    <t>Chạy trên cánh đồng.</t>
  </si>
  <si>
    <t>くだらない</t>
  </si>
  <si>
    <t>vô nghĩa</t>
  </si>
  <si>
    <t>くだらない話をする。</t>
  </si>
  <si>
    <t>Nói chuyện vô nghĩa.</t>
  </si>
  <si>
    <t>切り</t>
  </si>
  <si>
    <t>きり</t>
  </si>
  <si>
    <t>切[き]り</t>
  </si>
  <si>
    <t>話の切り。</t>
  </si>
  <si>
    <t>情</t>
  </si>
  <si>
    <t>じょう</t>
  </si>
  <si>
    <t>情[じょう]</t>
  </si>
  <si>
    <t>tình cảm</t>
  </si>
  <si>
    <t>情に厚い人。</t>
  </si>
  <si>
    <t>Người giàu tình cảm.</t>
  </si>
  <si>
    <t>攻める</t>
  </si>
  <si>
    <t>せめる</t>
  </si>
  <si>
    <t>攻[せ]める</t>
  </si>
  <si>
    <t>敵を攻める。</t>
  </si>
  <si>
    <t>Tôi tấn công kẻ thù.</t>
  </si>
  <si>
    <t>貢献</t>
  </si>
  <si>
    <t>こうけん</t>
  </si>
  <si>
    <t>貢献[こうけん]</t>
  </si>
  <si>
    <t>社会に貢献する。</t>
  </si>
  <si>
    <t>鳴る</t>
  </si>
  <si>
    <t>鳴[な]る</t>
  </si>
  <si>
    <t>kêu vang</t>
  </si>
  <si>
    <t>電話が鳴る。</t>
  </si>
  <si>
    <t>Điện thoại kêu vang.</t>
  </si>
  <si>
    <t>喉</t>
  </si>
  <si>
    <t>のど</t>
  </si>
  <si>
    <t>喉[のど]</t>
  </si>
  <si>
    <t>cổ họng</t>
  </si>
  <si>
    <t>喉が渇く。</t>
  </si>
  <si>
    <t>Cổ họng tôi bị khát.</t>
  </si>
  <si>
    <t>ゴム</t>
  </si>
  <si>
    <t>ごむ</t>
  </si>
  <si>
    <t>cao su</t>
  </si>
  <si>
    <t>ゴムの手袋をする。</t>
  </si>
  <si>
    <t>Đeo găng tay cao su.</t>
  </si>
  <si>
    <t>勧める</t>
  </si>
  <si>
    <t>勧[すす]める</t>
  </si>
  <si>
    <t>khuyên</t>
  </si>
  <si>
    <t>参加を勧める。</t>
  </si>
  <si>
    <t>Tôi khuyên tham gia.</t>
  </si>
  <si>
    <t>水曜日</t>
  </si>
  <si>
    <t>すいようび</t>
  </si>
  <si>
    <t>水曜日[すいようび]</t>
  </si>
  <si>
    <t>thứ tư</t>
  </si>
  <si>
    <t>水曜日に休む。</t>
  </si>
  <si>
    <t>Tôi nghỉ vào thứ tư.</t>
  </si>
  <si>
    <t>責める</t>
  </si>
  <si>
    <t>責[せ]める</t>
  </si>
  <si>
    <t>đổ lỗi</t>
  </si>
  <si>
    <t>自分を責める。</t>
  </si>
  <si>
    <t>Đổ lỗi cho bản thân.</t>
  </si>
  <si>
    <t>骨</t>
  </si>
  <si>
    <t>ほね</t>
  </si>
  <si>
    <t>骨[ほね]</t>
  </si>
  <si>
    <t>xương</t>
  </si>
  <si>
    <t>魚の骨を取る。</t>
  </si>
  <si>
    <t>Tôi lấy xương cá ra.</t>
  </si>
  <si>
    <t>延期</t>
  </si>
  <si>
    <t>えんき</t>
  </si>
  <si>
    <t>延期[えんき]</t>
  </si>
  <si>
    <t>hoãn</t>
  </si>
  <si>
    <t>旅行を延期する。</t>
  </si>
  <si>
    <t>Hoãn chuyến du lịch.</t>
  </si>
  <si>
    <t>額</t>
  </si>
  <si>
    <t>ひたい</t>
  </si>
  <si>
    <t>額[ひたい]</t>
  </si>
  <si>
    <t>trán</t>
  </si>
  <si>
    <t>額に汗をかく。</t>
  </si>
  <si>
    <t>Mồ hôi đổ trên trán.</t>
  </si>
  <si>
    <t>デザート</t>
  </si>
  <si>
    <t>でざーと</t>
  </si>
  <si>
    <t>món tráng miệng</t>
  </si>
  <si>
    <t>デザートを食べる。</t>
  </si>
  <si>
    <t>Ăn món tráng miệng.</t>
  </si>
  <si>
    <t>温泉</t>
  </si>
  <si>
    <t>おんせん</t>
  </si>
  <si>
    <t>温泉[おんせん]</t>
  </si>
  <si>
    <t>suối nước nóng</t>
  </si>
  <si>
    <t>温泉に入る。</t>
  </si>
  <si>
    <t>Tắm suối nước nóng.</t>
  </si>
  <si>
    <t>覚悟</t>
  </si>
  <si>
    <t>かくご</t>
  </si>
  <si>
    <t>覚悟[かくご]</t>
  </si>
  <si>
    <t>sự sẵn sàng</t>
  </si>
  <si>
    <t>覚悟を決める。</t>
  </si>
  <si>
    <t>Quyết tâm sẵn sàng.</t>
  </si>
  <si>
    <t>予防</t>
  </si>
  <si>
    <t>よぼう</t>
  </si>
  <si>
    <t>予防[よぼう]</t>
  </si>
  <si>
    <t>phòng ngừa</t>
  </si>
  <si>
    <t>風邪を予防する。</t>
  </si>
  <si>
    <t>Phòng ngừa cảm cúm.</t>
  </si>
  <si>
    <t>現状</t>
  </si>
  <si>
    <t>げんじょう</t>
  </si>
  <si>
    <t>現状[げんじょう]</t>
  </si>
  <si>
    <t>hiện trạng</t>
  </si>
  <si>
    <t>現状を維持する。</t>
  </si>
  <si>
    <t>Duy trì hiện trạng.</t>
  </si>
  <si>
    <t>発展</t>
  </si>
  <si>
    <t>はってん</t>
  </si>
  <si>
    <t>発展[はってん]</t>
  </si>
  <si>
    <t>経済が発展する。</t>
  </si>
  <si>
    <t>Kinh tế phát triển.</t>
  </si>
  <si>
    <t>一斉</t>
  </si>
  <si>
    <t>いっせい</t>
  </si>
  <si>
    <t>一斉[いっせい]</t>
  </si>
  <si>
    <t>đồng loạt</t>
  </si>
  <si>
    <t>一斉に立つ。</t>
  </si>
  <si>
    <t>Đứng dậy đồng loạt.</t>
  </si>
  <si>
    <t>不正</t>
  </si>
  <si>
    <t>ふせい</t>
  </si>
  <si>
    <t>不正[ふせい]</t>
  </si>
  <si>
    <t>bất chính</t>
  </si>
  <si>
    <t>不正を行う。</t>
  </si>
  <si>
    <t>Làm điều bất chính.</t>
  </si>
  <si>
    <t>助かる</t>
  </si>
  <si>
    <t>たすかる</t>
  </si>
  <si>
    <t>助[たす]かる</t>
  </si>
  <si>
    <t>được giúp</t>
  </si>
  <si>
    <t>命が助かる。</t>
  </si>
  <si>
    <t>Tính mạng được cứu.</t>
  </si>
  <si>
    <t>学科</t>
  </si>
  <si>
    <t>がっか</t>
  </si>
  <si>
    <t>学科[がっか]</t>
  </si>
  <si>
    <t>ngành học</t>
  </si>
  <si>
    <t>学科を選択する。</t>
  </si>
  <si>
    <t>Tôi chọn ngành học.</t>
  </si>
  <si>
    <t>調節</t>
  </si>
  <si>
    <t>ちょうせつ</t>
  </si>
  <si>
    <t>調節[ちょうせつ]</t>
  </si>
  <si>
    <t>điều tiết</t>
  </si>
  <si>
    <t>温度を調節する。</t>
  </si>
  <si>
    <t>Điều tiết nhiệt độ.</t>
  </si>
  <si>
    <t>追いかける</t>
  </si>
  <si>
    <t>おいかける</t>
  </si>
  <si>
    <t>追[お]いかける</t>
  </si>
  <si>
    <t>đuổi theo</t>
  </si>
  <si>
    <t>犯人を追いかける。</t>
  </si>
  <si>
    <t>Đuổi theo tội phạm.</t>
  </si>
  <si>
    <t>ひとまず</t>
  </si>
  <si>
    <t>ひとまず休む。</t>
  </si>
  <si>
    <t>Tạm thời nghỉ ngơi.</t>
  </si>
  <si>
    <t>ベンチ</t>
  </si>
  <si>
    <t>べんち</t>
  </si>
  <si>
    <t>ghế băng</t>
  </si>
  <si>
    <t>ベンチに座る。</t>
  </si>
  <si>
    <t>Ngồi trên ghế băng.</t>
  </si>
  <si>
    <t>予備</t>
  </si>
  <si>
    <t>よび</t>
  </si>
  <si>
    <t>予備[よび]</t>
  </si>
  <si>
    <t>dự phòng</t>
  </si>
  <si>
    <t>予備のキー。</t>
  </si>
  <si>
    <t>Chìa khóa dự phòng.</t>
  </si>
  <si>
    <t>交替</t>
  </si>
  <si>
    <t>交替[こうたい]</t>
  </si>
  <si>
    <t>交替で行う。</t>
  </si>
  <si>
    <t>Thực hiện thay thế.</t>
  </si>
  <si>
    <t>基盤</t>
  </si>
  <si>
    <t>きばん</t>
  </si>
  <si>
    <t>基盤[きばん]</t>
  </si>
  <si>
    <t>生活の基盤。</t>
  </si>
  <si>
    <t>Nền tảng cuộc sống.</t>
  </si>
  <si>
    <t>理想</t>
  </si>
  <si>
    <t>りそう</t>
  </si>
  <si>
    <t>理想[りそう]</t>
  </si>
  <si>
    <t>lý tưởng</t>
  </si>
  <si>
    <t>理想の人生。</t>
  </si>
  <si>
    <t>Cuộc sống lý tưởng.</t>
  </si>
  <si>
    <t>どきどき</t>
  </si>
  <si>
    <t>hồi hộp</t>
  </si>
  <si>
    <t>緊張してどきどきする。</t>
  </si>
  <si>
    <t>Hồi hộp vì lo lắng.</t>
  </si>
  <si>
    <t>一昨日</t>
  </si>
  <si>
    <t>おととい</t>
  </si>
  <si>
    <t>一昨日[おととい]</t>
  </si>
  <si>
    <t>hôm kia</t>
  </si>
  <si>
    <t>一昨日会った。</t>
  </si>
  <si>
    <t>Đã gặp vào hôm kia.</t>
  </si>
  <si>
    <t>不利</t>
  </si>
  <si>
    <t>不利[ふり]</t>
  </si>
  <si>
    <t>bất lợi</t>
  </si>
  <si>
    <t>立場が不利だ。</t>
  </si>
  <si>
    <t>Lập trường bất lợi.</t>
  </si>
  <si>
    <t>乱暴</t>
  </si>
  <si>
    <t>らんぼう</t>
  </si>
  <si>
    <t>乱暴[らんぼう]</t>
  </si>
  <si>
    <t>thô bạo</t>
  </si>
  <si>
    <t>乱暴な振る舞い。</t>
  </si>
  <si>
    <t>Cách cư xử thô bạo.</t>
  </si>
  <si>
    <t>要するに</t>
  </si>
  <si>
    <t>ようするに</t>
  </si>
  <si>
    <t>要[よう]するに</t>
  </si>
  <si>
    <t>要するに結果だ。</t>
  </si>
  <si>
    <t>Tóm lại là kết quả.</t>
  </si>
  <si>
    <t>オートバイ</t>
  </si>
  <si>
    <t>おーとばい</t>
  </si>
  <si>
    <t>xe máy</t>
  </si>
  <si>
    <t>オートバイで通勤する。</t>
  </si>
  <si>
    <t>Đi làm bằng xe máy.</t>
  </si>
  <si>
    <t>基地</t>
  </si>
  <si>
    <t>きち</t>
  </si>
  <si>
    <t>基地[きち]</t>
  </si>
  <si>
    <t>米軍の基地。</t>
  </si>
  <si>
    <t>Căn cứ quân đội Mỹ.</t>
  </si>
  <si>
    <t>拍手</t>
  </si>
  <si>
    <t>はくしゅ</t>
  </si>
  <si>
    <t>拍手[はくしゅ]</t>
  </si>
  <si>
    <t>vỗ tay</t>
  </si>
  <si>
    <t>拍手を送る。</t>
  </si>
  <si>
    <t>Gửi tràng pháo tay.</t>
  </si>
  <si>
    <t>似る</t>
  </si>
  <si>
    <t>にる</t>
  </si>
  <si>
    <t>似[に]る</t>
  </si>
  <si>
    <t>兄に似る。</t>
  </si>
  <si>
    <t>Tôi giống anh trai.</t>
  </si>
  <si>
    <t>ワンピース</t>
  </si>
  <si>
    <t>わんぴーす</t>
  </si>
  <si>
    <t>váy liền thân</t>
  </si>
  <si>
    <t>ワンピースを買う。</t>
  </si>
  <si>
    <t>Mua váy liền thân.</t>
  </si>
  <si>
    <t>クラシック</t>
  </si>
  <si>
    <t>くらしっく</t>
  </si>
  <si>
    <t>nhạc cổ điển</t>
  </si>
  <si>
    <t>クラシックを聴く。</t>
  </si>
  <si>
    <t>Nghe nhạc cổ điển.</t>
  </si>
  <si>
    <t>効く</t>
  </si>
  <si>
    <t>効[き]く</t>
  </si>
  <si>
    <t>có hiệu quả</t>
  </si>
  <si>
    <t>薬が効く。</t>
  </si>
  <si>
    <t>Thuốc có hiệu quả.</t>
  </si>
  <si>
    <t>乗換</t>
  </si>
  <si>
    <t>のりかえ</t>
  </si>
  <si>
    <t>乗換[のりかえ]</t>
  </si>
  <si>
    <t>乗換の駅。</t>
  </si>
  <si>
    <t>Nhà ga chuyển tàu.</t>
  </si>
  <si>
    <t>増大</t>
  </si>
  <si>
    <t>ぞうだい</t>
  </si>
  <si>
    <t>増大[ぞうだい]</t>
  </si>
  <si>
    <t>sự mở rộng</t>
  </si>
  <si>
    <t>負担が増大する。</t>
  </si>
  <si>
    <t>Gánh nặng mở rộng.</t>
  </si>
  <si>
    <t>交際</t>
  </si>
  <si>
    <t>こうさい</t>
  </si>
  <si>
    <t>交際[こうさい]</t>
  </si>
  <si>
    <t>giao tiếp</t>
  </si>
  <si>
    <t>交際を断る。</t>
  </si>
  <si>
    <t>Từ chối giao tiếp.</t>
  </si>
  <si>
    <t>人類</t>
  </si>
  <si>
    <t>じんるい</t>
  </si>
  <si>
    <t>人類[じんるい]</t>
  </si>
  <si>
    <t>nhân loại</t>
  </si>
  <si>
    <t>人類の歴史。</t>
  </si>
  <si>
    <t>Lịch sử nhân loại.</t>
  </si>
  <si>
    <t>要点</t>
  </si>
  <si>
    <t>ようてん</t>
  </si>
  <si>
    <t>要点[ようてん]</t>
  </si>
  <si>
    <t>trọng tâm</t>
  </si>
  <si>
    <t>要点を話す。</t>
  </si>
  <si>
    <t>Tôi nói trọng tâm.</t>
  </si>
  <si>
    <t>見事</t>
  </si>
  <si>
    <t>みごと</t>
  </si>
  <si>
    <t>見事[みごと]</t>
  </si>
  <si>
    <t>見事な出来栄え。</t>
  </si>
  <si>
    <t>Kết quả tuyệt vời.</t>
  </si>
  <si>
    <t>解釈</t>
  </si>
  <si>
    <t>かいしゃく</t>
  </si>
  <si>
    <t>解釈[かいしゃく]</t>
  </si>
  <si>
    <t>diễn giải</t>
  </si>
  <si>
    <t>意味を解釈する。</t>
  </si>
  <si>
    <t>Diễn giải ý nghĩa.</t>
  </si>
  <si>
    <t>講義</t>
  </si>
  <si>
    <t>講義[こうぎ]</t>
  </si>
  <si>
    <t>bài giảng</t>
  </si>
  <si>
    <t>講義に出席する。</t>
  </si>
  <si>
    <t>Tham dự bài giảng.</t>
  </si>
  <si>
    <t>通知</t>
  </si>
  <si>
    <t>つうち</t>
  </si>
  <si>
    <t>通知[つうち]</t>
  </si>
  <si>
    <t>結果を通知する。</t>
  </si>
  <si>
    <t>重点</t>
  </si>
  <si>
    <t>じゅうてん</t>
  </si>
  <si>
    <t>重点[じゅうてん]</t>
  </si>
  <si>
    <t>重点を置く。</t>
  </si>
  <si>
    <t>Đặt trọng tâm vào.</t>
  </si>
  <si>
    <t>飾る</t>
  </si>
  <si>
    <t>かざる</t>
  </si>
  <si>
    <t>飾[かざ]る</t>
  </si>
  <si>
    <t>trang trí</t>
  </si>
  <si>
    <t>花を飾る。</t>
  </si>
  <si>
    <t>Tôi trang trí hoa.</t>
  </si>
  <si>
    <t>不幸</t>
  </si>
  <si>
    <t>ふこう</t>
  </si>
  <si>
    <t>不幸[ふこう]</t>
  </si>
  <si>
    <t>bất hạnh</t>
  </si>
  <si>
    <t>不幸な人生。</t>
  </si>
  <si>
    <t>Cuộc đời bất hạnh.</t>
  </si>
  <si>
    <t>代理</t>
  </si>
  <si>
    <t>だいり</t>
  </si>
  <si>
    <t>代理[だいり]</t>
  </si>
  <si>
    <t>代理を務める。</t>
  </si>
  <si>
    <t>Đảm nhận đại diện.</t>
  </si>
  <si>
    <t>急激</t>
  </si>
  <si>
    <t>きゅうげき</t>
  </si>
  <si>
    <t>急激[きゅうげき]</t>
  </si>
  <si>
    <t>đột ngột</t>
  </si>
  <si>
    <t>急激に変化する。</t>
  </si>
  <si>
    <t>Thay đổi đột ngột.</t>
  </si>
  <si>
    <t>治療</t>
  </si>
  <si>
    <t>ちりょう</t>
  </si>
  <si>
    <t>治療[ちりょう]</t>
  </si>
  <si>
    <t>trị liệu</t>
  </si>
  <si>
    <t>治療を受ける。</t>
  </si>
  <si>
    <t>Tôi nhận điều trị.</t>
  </si>
  <si>
    <t>狙う</t>
  </si>
  <si>
    <t>ねらう</t>
  </si>
  <si>
    <t>狙[ねら]う</t>
  </si>
  <si>
    <t>nhắm vào</t>
  </si>
  <si>
    <t>標的を狙う。</t>
  </si>
  <si>
    <t>Nhắm vào mục tiêu.</t>
  </si>
  <si>
    <t>生物</t>
  </si>
  <si>
    <t>せいぶつ</t>
  </si>
  <si>
    <t>生物[せいぶつ]</t>
  </si>
  <si>
    <t>sinh vật</t>
  </si>
  <si>
    <t>生物の授業。</t>
  </si>
  <si>
    <t>Tiết học sinh vật.</t>
  </si>
  <si>
    <t>誤解</t>
  </si>
  <si>
    <t>ごかい</t>
  </si>
  <si>
    <t>誤解[ごかい]</t>
  </si>
  <si>
    <t>hiểu lầm</t>
  </si>
  <si>
    <t>誤解を解く。</t>
  </si>
  <si>
    <t>Giải tỏa hiểu lầm.</t>
  </si>
  <si>
    <t>越す</t>
  </si>
  <si>
    <t>越[こ]す</t>
  </si>
  <si>
    <t>川を越す。</t>
  </si>
  <si>
    <t>Vượt qua con sông.</t>
  </si>
  <si>
    <t>下旬</t>
  </si>
  <si>
    <t>げじゅん</t>
  </si>
  <si>
    <t>下旬[げじゅん]</t>
  </si>
  <si>
    <t>hạ tuần</t>
  </si>
  <si>
    <t>五月の下旬。</t>
  </si>
  <si>
    <t>Hạ tuần tháng năm.</t>
  </si>
  <si>
    <t>両側</t>
  </si>
  <si>
    <t>りょうがわ</t>
  </si>
  <si>
    <t>両側[りょうがわ]</t>
  </si>
  <si>
    <t>hai bên</t>
  </si>
  <si>
    <t>道の両側。</t>
  </si>
  <si>
    <t>Hai bên con đường.</t>
  </si>
  <si>
    <t>後輩</t>
  </si>
  <si>
    <t>こうはい</t>
  </si>
  <si>
    <t>後輩[こうはい]</t>
  </si>
  <si>
    <t>hậu bối</t>
  </si>
  <si>
    <t>後輩を指導する。</t>
  </si>
  <si>
    <t>Hướng dẫn hậu bối.</t>
  </si>
  <si>
    <t>衛星</t>
  </si>
  <si>
    <t>えいせい</t>
  </si>
  <si>
    <t>衛星[えいせい]</t>
  </si>
  <si>
    <t>vệ tinh</t>
  </si>
  <si>
    <t>衛星を打ち上げる。</t>
  </si>
  <si>
    <t>Tôi phóng vệ tinh.</t>
  </si>
  <si>
    <t>去る</t>
  </si>
  <si>
    <t>さる</t>
  </si>
  <si>
    <t>去[さ]る</t>
  </si>
  <si>
    <t>rời đi</t>
  </si>
  <si>
    <t>その地を去る。</t>
  </si>
  <si>
    <t>Tôi rời đi nơi đó.</t>
  </si>
  <si>
    <t>珍しい</t>
  </si>
  <si>
    <t>めずらしい</t>
  </si>
  <si>
    <t>珍[めずら]しい</t>
  </si>
  <si>
    <t>hiếm</t>
  </si>
  <si>
    <t>珍しい花を見る。</t>
  </si>
  <si>
    <t>Xem loài hoa hiếm.</t>
  </si>
  <si>
    <t>三角</t>
  </si>
  <si>
    <t>さんかく</t>
  </si>
  <si>
    <t>三角[さんかく]</t>
  </si>
  <si>
    <t>hình tam giác</t>
  </si>
  <si>
    <t>三角を描く。</t>
  </si>
  <si>
    <t>Vẽ hình tam giác.</t>
  </si>
  <si>
    <t>中世</t>
  </si>
  <si>
    <t>ちゅうせい</t>
  </si>
  <si>
    <t>中世[ちゅうせい]</t>
  </si>
  <si>
    <t>thời trung cổ</t>
  </si>
  <si>
    <t>中世の歴史。</t>
  </si>
  <si>
    <t>Lịch sử trung cổ.</t>
  </si>
  <si>
    <t>何でも</t>
  </si>
  <si>
    <t>なんでも</t>
  </si>
  <si>
    <t>何[なん]でも</t>
  </si>
  <si>
    <t>cái gì cũng</t>
  </si>
  <si>
    <t>何でも知っている。</t>
  </si>
  <si>
    <t>Tôi biết mọi thứ.</t>
  </si>
  <si>
    <t>賞</t>
  </si>
  <si>
    <t>賞[しょう]</t>
  </si>
  <si>
    <t>giải thưởng</t>
  </si>
  <si>
    <t>賞をもらう。</t>
  </si>
  <si>
    <t>Nhận giải thưởng.</t>
  </si>
  <si>
    <t>上品</t>
  </si>
  <si>
    <t>じょうひん</t>
  </si>
  <si>
    <t>上品[じょうひん]</t>
  </si>
  <si>
    <t>thanh lịch</t>
  </si>
  <si>
    <t>上品な服。</t>
  </si>
  <si>
    <t>Bộ đồ thanh lịch.</t>
  </si>
  <si>
    <t>トンネル</t>
  </si>
  <si>
    <t>とんねる</t>
  </si>
  <si>
    <t>đường hầm</t>
  </si>
  <si>
    <t>トンネルを抜ける。</t>
  </si>
  <si>
    <t>Đi qua đường hầm.</t>
  </si>
  <si>
    <t>出身</t>
  </si>
  <si>
    <t>しゅっしん</t>
  </si>
  <si>
    <t>出身[しゅっしん]</t>
  </si>
  <si>
    <t>quê quán</t>
  </si>
  <si>
    <t>出身を聞く。</t>
  </si>
  <si>
    <t>Tôi hỏi quê quán.</t>
  </si>
  <si>
    <t>初めに</t>
  </si>
  <si>
    <t>初[はじ]めに</t>
  </si>
  <si>
    <t>初めに話す。</t>
  </si>
  <si>
    <t>Tôi nói đầu tiên.</t>
  </si>
  <si>
    <t>打ち消す</t>
  </si>
  <si>
    <t>うちけす</t>
  </si>
  <si>
    <t>打[う]ち消[け]す</t>
  </si>
  <si>
    <t>phủ nhận</t>
  </si>
  <si>
    <t>噂を打ち消す。</t>
  </si>
  <si>
    <t>Phủ nhận lời đồn.</t>
  </si>
  <si>
    <t>批評</t>
  </si>
  <si>
    <t>ひひょう</t>
  </si>
  <si>
    <t>批評[ひひょう]</t>
  </si>
  <si>
    <t>映画を批評する。</t>
  </si>
  <si>
    <t>Phê bình bộ phim.</t>
  </si>
  <si>
    <t>減らす</t>
  </si>
  <si>
    <t>へらす</t>
  </si>
  <si>
    <t>減[へ]らす</t>
  </si>
  <si>
    <t>giảm bớt</t>
  </si>
  <si>
    <t>経費を減らす。</t>
  </si>
  <si>
    <t>Giảm bớt chi phí.</t>
  </si>
  <si>
    <t>裏切る</t>
  </si>
  <si>
    <t>うらぎる</t>
  </si>
  <si>
    <t>裏切[うらぎ]る</t>
  </si>
  <si>
    <t>phản bội</t>
  </si>
  <si>
    <t>友人を裏切る。</t>
  </si>
  <si>
    <t>Tôi phản bội bạn.</t>
  </si>
  <si>
    <t>読み</t>
  </si>
  <si>
    <t>よみ</t>
  </si>
  <si>
    <t>読[よ]み</t>
  </si>
  <si>
    <t>cách đọc</t>
  </si>
  <si>
    <t>漢字の読み方。</t>
  </si>
  <si>
    <t>Cách đọc chữ Hán.</t>
  </si>
  <si>
    <t>農家</t>
  </si>
  <si>
    <t>のうか</t>
  </si>
  <si>
    <t>農家[のうか]</t>
  </si>
  <si>
    <t>nông dân</t>
  </si>
  <si>
    <t>農家を手伝う。</t>
  </si>
  <si>
    <t>Giúp đỡ nông dân.</t>
  </si>
  <si>
    <t>遭う</t>
  </si>
  <si>
    <t>遭[あ]う</t>
  </si>
  <si>
    <t>gặp phải</t>
  </si>
  <si>
    <t>交通事故に遭う。</t>
  </si>
  <si>
    <t>Gặp tai nạn giao thông.</t>
  </si>
  <si>
    <t>拡張</t>
  </si>
  <si>
    <t>かくちょう</t>
  </si>
  <si>
    <t>拡張[かくちょう]</t>
  </si>
  <si>
    <t>ソフトを拡張する。</t>
  </si>
  <si>
    <t>Mở rộng phần mềm.</t>
  </si>
  <si>
    <t>申し訳ない</t>
  </si>
  <si>
    <t>もうしわけない</t>
  </si>
  <si>
    <t>申[もう]し訳[わけ]ない</t>
  </si>
  <si>
    <t>申し訳ない気持ち。</t>
  </si>
  <si>
    <t>Cảm giác xin lỗi.</t>
  </si>
  <si>
    <t>痛み</t>
  </si>
  <si>
    <t>いたみ</t>
  </si>
  <si>
    <t>痛[いた]み</t>
  </si>
  <si>
    <t>cơn đau</t>
  </si>
  <si>
    <t>痛みを抑える。</t>
  </si>
  <si>
    <t>Kiềm chế cơn đau.</t>
  </si>
  <si>
    <t>記号</t>
  </si>
  <si>
    <t>きごう</t>
  </si>
  <si>
    <t>記号[きごう]</t>
  </si>
  <si>
    <t>ký hiệu</t>
  </si>
  <si>
    <t>記号を調べる。</t>
  </si>
  <si>
    <t>Kiểm tra ký hiệu.</t>
  </si>
  <si>
    <t>逮捕</t>
  </si>
  <si>
    <t>たいほ</t>
  </si>
  <si>
    <t>逮捕[たいほ]</t>
  </si>
  <si>
    <t>bắt giữ</t>
  </si>
  <si>
    <t>犯人を逮捕する。</t>
  </si>
  <si>
    <t>Bắt giữ tội phạm.</t>
  </si>
  <si>
    <t>下り</t>
  </si>
  <si>
    <t>くだり</t>
  </si>
  <si>
    <t>下[くだ]り</t>
  </si>
  <si>
    <t>下りの電車。</t>
  </si>
  <si>
    <t>Chuyến tàu xuống.</t>
  </si>
  <si>
    <t>くっつく</t>
  </si>
  <si>
    <t>dính</t>
  </si>
  <si>
    <t>服にくっつく。</t>
  </si>
  <si>
    <t>Dính vào quần áo.</t>
  </si>
  <si>
    <t>幕</t>
  </si>
  <si>
    <t>幕[まく]</t>
  </si>
  <si>
    <t>màn</t>
  </si>
  <si>
    <t>幕が上がる。</t>
  </si>
  <si>
    <t>Màn được kéo lên.</t>
  </si>
  <si>
    <t>替える</t>
  </si>
  <si>
    <t>替[か]える</t>
  </si>
  <si>
    <t>席を替える。</t>
  </si>
  <si>
    <t>Tôi đổi chỗ ngồi.</t>
  </si>
  <si>
    <t>管</t>
  </si>
  <si>
    <t>くだ</t>
  </si>
  <si>
    <t>管[くだ]</t>
  </si>
  <si>
    <t>ống</t>
  </si>
  <si>
    <t>管を通す。</t>
  </si>
  <si>
    <t>Tôi luồn qua ống.</t>
  </si>
  <si>
    <t>髪</t>
  </si>
  <si>
    <t>髪[かみ]</t>
  </si>
  <si>
    <t>tóc</t>
  </si>
  <si>
    <t>髪を短くする。</t>
  </si>
  <si>
    <t>Tôi cắt tóc ngắn.</t>
  </si>
  <si>
    <t>ガム</t>
  </si>
  <si>
    <t>がむ</t>
  </si>
  <si>
    <t>kẹo cao su</t>
  </si>
  <si>
    <t>ガムをかむ。</t>
  </si>
  <si>
    <t>Nhai kẹo cao su.</t>
  </si>
  <si>
    <t>中途</t>
  </si>
  <si>
    <t>ちゅうと</t>
  </si>
  <si>
    <t>中途[ちゅうと]</t>
  </si>
  <si>
    <t>giữa chừng</t>
  </si>
  <si>
    <t>中途で止める。</t>
  </si>
  <si>
    <t>Dừng giữa chừng.</t>
  </si>
  <si>
    <t>醤油</t>
  </si>
  <si>
    <t>しょうゆ</t>
  </si>
  <si>
    <t>醤油[しょうゆ]</t>
  </si>
  <si>
    <t>nước tương</t>
  </si>
  <si>
    <t>醤油をかける。</t>
  </si>
  <si>
    <t>Rưới nước tương.</t>
  </si>
  <si>
    <t>無し</t>
  </si>
  <si>
    <t>なし</t>
  </si>
  <si>
    <t>無[な]し</t>
  </si>
  <si>
    <t>không có</t>
  </si>
  <si>
    <t>砂糖は無しで。</t>
  </si>
  <si>
    <t>Không lấy đường.</t>
  </si>
  <si>
    <t>直る</t>
  </si>
  <si>
    <t>なおる</t>
  </si>
  <si>
    <t>直[なお]る</t>
  </si>
  <si>
    <t>được sửa</t>
  </si>
  <si>
    <t>機械が直った。</t>
  </si>
  <si>
    <t>Máy đã được sửa.</t>
  </si>
  <si>
    <t>菓子</t>
  </si>
  <si>
    <t>かし</t>
  </si>
  <si>
    <t>菓子[かし]</t>
  </si>
  <si>
    <t>菓子を食べる。</t>
  </si>
  <si>
    <t>覚める</t>
  </si>
  <si>
    <t>さめる</t>
  </si>
  <si>
    <t>覚[さ]める</t>
  </si>
  <si>
    <t>tỉnh dậy</t>
  </si>
  <si>
    <t>目が覚めた。</t>
  </si>
  <si>
    <t>Tôi đã tỉnh dậy.</t>
  </si>
  <si>
    <t>ビタミン</t>
  </si>
  <si>
    <t>びたみん</t>
  </si>
  <si>
    <t>vitamin</t>
  </si>
  <si>
    <t>ビタミンをとる。</t>
  </si>
  <si>
    <t>Bổ sung vitamin.</t>
  </si>
  <si>
    <t>ロッカー</t>
  </si>
  <si>
    <t>ろっかー</t>
  </si>
  <si>
    <t>tủ khóa</t>
  </si>
  <si>
    <t>ロッカーにしまう。</t>
  </si>
  <si>
    <t>Cất vào tủ khóa.</t>
  </si>
  <si>
    <t>偶然</t>
  </si>
  <si>
    <t>ぐうぜん</t>
  </si>
  <si>
    <t>偶然[ぐうぜん]</t>
  </si>
  <si>
    <t>tình cờ</t>
  </si>
  <si>
    <t>偶然の出来事。</t>
  </si>
  <si>
    <t>Sự việc tình cờ.</t>
  </si>
  <si>
    <t>入口</t>
  </si>
  <si>
    <t>いりぐち</t>
  </si>
  <si>
    <t>入口[いりぐち]</t>
  </si>
  <si>
    <t>lối vào</t>
  </si>
  <si>
    <t>入口を探す。</t>
  </si>
  <si>
    <t>Tôi tìm lối vào.</t>
  </si>
  <si>
    <t>名詞</t>
  </si>
  <si>
    <t>名詞[めいし]</t>
  </si>
  <si>
    <t>danh từ</t>
  </si>
  <si>
    <t>名詞を学習する。</t>
  </si>
  <si>
    <t>Tôi học danh từ.</t>
  </si>
  <si>
    <t>洋服</t>
  </si>
  <si>
    <t>ようふく</t>
  </si>
  <si>
    <t>洋服[ようふく]</t>
  </si>
  <si>
    <t>新しい洋服を買う。</t>
  </si>
  <si>
    <t>Mua quần áo mới.</t>
  </si>
  <si>
    <t>瞳</t>
  </si>
  <si>
    <t>ひとみ</t>
  </si>
  <si>
    <t>瞳[ひとみ]</t>
  </si>
  <si>
    <t>đồng tử</t>
  </si>
  <si>
    <t>綺麗な瞳。</t>
  </si>
  <si>
    <t>Đôi đồng tử đẹp.</t>
  </si>
  <si>
    <t>誤り</t>
  </si>
  <si>
    <t>あやまり</t>
  </si>
  <si>
    <t>誤[あやま]り</t>
  </si>
  <si>
    <t>sai sót</t>
  </si>
  <si>
    <t>誤りを修正する。</t>
  </si>
  <si>
    <t>Sửa lỗi sai sót.</t>
  </si>
  <si>
    <t>近代</t>
  </si>
  <si>
    <t>きんだい</t>
  </si>
  <si>
    <t>近代[きんだい]</t>
  </si>
  <si>
    <t>cận đại</t>
  </si>
  <si>
    <t>近代の歴史。</t>
  </si>
  <si>
    <t>Lịch sử cận đại.</t>
  </si>
  <si>
    <t>適用</t>
  </si>
  <si>
    <t>てきよう</t>
  </si>
  <si>
    <t>適用[てきよう]</t>
  </si>
  <si>
    <t>規則を適用する。</t>
  </si>
  <si>
    <t>Áp dụng quy tắc.</t>
  </si>
  <si>
    <t>交差点</t>
  </si>
  <si>
    <t>こうさてん</t>
  </si>
  <si>
    <t>交差点[こうさてん]</t>
  </si>
  <si>
    <t>ngã tư</t>
  </si>
  <si>
    <t>交差点を渡る。</t>
  </si>
  <si>
    <t>Băng qua ngã tư.</t>
  </si>
  <si>
    <t>単位</t>
  </si>
  <si>
    <t>たんい</t>
  </si>
  <si>
    <t>単位[たんい]</t>
  </si>
  <si>
    <t>đơn vị</t>
  </si>
  <si>
    <t>単位を計算する。</t>
  </si>
  <si>
    <t>Tôi tính đơn vị.</t>
  </si>
  <si>
    <t>辺</t>
  </si>
  <si>
    <t>辺[へん]</t>
  </si>
  <si>
    <t>この辺に住む。</t>
  </si>
  <si>
    <t>Sống ở vùng này.</t>
  </si>
  <si>
    <t>オイル</t>
  </si>
  <si>
    <t>おいる</t>
  </si>
  <si>
    <t>機械にオイルをさす。</t>
  </si>
  <si>
    <t>Tra dầu vào máy.</t>
  </si>
  <si>
    <t>割れる</t>
  </si>
  <si>
    <t>われる</t>
  </si>
  <si>
    <t>割[わ]れる</t>
  </si>
  <si>
    <t>vỡ</t>
  </si>
  <si>
    <t>コップが割れる。</t>
  </si>
  <si>
    <t>Cái cốc bị vỡ.</t>
  </si>
  <si>
    <t>スキー</t>
  </si>
  <si>
    <t>すきー</t>
  </si>
  <si>
    <t>trượt tuyết</t>
  </si>
  <si>
    <t>スキーに行く。</t>
  </si>
  <si>
    <t>Đi trượt tuyết.</t>
  </si>
  <si>
    <t>ドレス</t>
  </si>
  <si>
    <t>どれす</t>
  </si>
  <si>
    <t>váy dạ hội</t>
  </si>
  <si>
    <t>ドレスを着る。</t>
  </si>
  <si>
    <t>Mặc váy dạ hội.</t>
  </si>
  <si>
    <t>発達</t>
  </si>
  <si>
    <t>はったつ</t>
  </si>
  <si>
    <t>発達[はったつ]</t>
  </si>
  <si>
    <t>脳が発達する。</t>
  </si>
  <si>
    <t>Não phát triển.</t>
  </si>
  <si>
    <t>評判</t>
  </si>
  <si>
    <t>ひょうばん</t>
  </si>
  <si>
    <t>評判[ひょうばん]</t>
  </si>
  <si>
    <t>danh tiếng</t>
  </si>
  <si>
    <t>評判が良い。</t>
  </si>
  <si>
    <t>Danh tiếng tốt.</t>
  </si>
  <si>
    <t>通行</t>
  </si>
  <si>
    <t>つうこう</t>
  </si>
  <si>
    <t>通行[つうこう]</t>
  </si>
  <si>
    <t>通行を止める。</t>
  </si>
  <si>
    <t>Cấm giao thông.</t>
  </si>
  <si>
    <t>おつり</t>
  </si>
  <si>
    <t>tiền thừa</t>
  </si>
  <si>
    <t>おつりをもらう。</t>
  </si>
  <si>
    <t>Nhận tiền thừa.</t>
  </si>
  <si>
    <t>知らせ</t>
  </si>
  <si>
    <t>しらせ</t>
  </si>
  <si>
    <t>知[し]らせ</t>
  </si>
  <si>
    <t>知らせを受ける。</t>
  </si>
  <si>
    <t>Nhận thông báo.</t>
  </si>
  <si>
    <t>行き</t>
  </si>
  <si>
    <t>行[い]き</t>
  </si>
  <si>
    <t>hướng đi</t>
  </si>
  <si>
    <t>東京行き。</t>
  </si>
  <si>
    <t>Hướng đi Tokyo.</t>
  </si>
  <si>
    <t>玄関</t>
  </si>
  <si>
    <t>げんかん</t>
  </si>
  <si>
    <t>玄関[げんかん]</t>
  </si>
  <si>
    <t>玄関を開ける。</t>
  </si>
  <si>
    <t>Mở cửa lối vào.</t>
  </si>
  <si>
    <t>財産</t>
  </si>
  <si>
    <t>ざいさん</t>
  </si>
  <si>
    <t>財産[ざいさん]</t>
  </si>
  <si>
    <t>財産を守る。</t>
  </si>
  <si>
    <t>Bảo vệ tài sản.</t>
  </si>
  <si>
    <t>わがまま</t>
  </si>
  <si>
    <t>ích kỷ</t>
  </si>
  <si>
    <t>わがままを言う。</t>
  </si>
  <si>
    <t>Nói lời ích kỷ.</t>
  </si>
  <si>
    <t>汗</t>
  </si>
  <si>
    <t>あせ</t>
  </si>
  <si>
    <t>汗[あせ]</t>
  </si>
  <si>
    <t>mồ hôi</t>
  </si>
  <si>
    <t>汗を拭く。</t>
  </si>
  <si>
    <t>Tôi lau mồ hôi.</t>
  </si>
  <si>
    <t>言い出す</t>
  </si>
  <si>
    <t>いいだす</t>
  </si>
  <si>
    <t>言[い]い出[だ]す</t>
  </si>
  <si>
    <t>nói ra</t>
  </si>
  <si>
    <t>真実を言い出す。</t>
  </si>
  <si>
    <t>Nói ra sự thật.</t>
  </si>
  <si>
    <t>空き</t>
  </si>
  <si>
    <t>空[あ]き</t>
  </si>
  <si>
    <t>空き部屋がある。</t>
  </si>
  <si>
    <t>Có phòng trống.</t>
  </si>
  <si>
    <t>カロリー</t>
  </si>
  <si>
    <t>かろりー</t>
  </si>
  <si>
    <t>calo</t>
  </si>
  <si>
    <t>カロリーを計算する。</t>
  </si>
  <si>
    <t>Tính toán calo.</t>
  </si>
  <si>
    <t>方面</t>
  </si>
  <si>
    <t>ほうめん</t>
  </si>
  <si>
    <t>方面[ほうめん]</t>
  </si>
  <si>
    <t>phía</t>
  </si>
  <si>
    <t>北の方面。</t>
  </si>
  <si>
    <t>Đó là phía Bắc.</t>
  </si>
  <si>
    <t>輪</t>
  </si>
  <si>
    <t>わ</t>
  </si>
  <si>
    <t>輪[わ]</t>
  </si>
  <si>
    <t>vòng</t>
  </si>
  <si>
    <t>輪を作る。</t>
  </si>
  <si>
    <t>Tạo thành vòng.</t>
  </si>
  <si>
    <t>上り</t>
  </si>
  <si>
    <t>のぼり</t>
  </si>
  <si>
    <t>上[のぼ]り</t>
  </si>
  <si>
    <t>上りの電車。</t>
  </si>
  <si>
    <t>Chuyến tàu lên.</t>
  </si>
  <si>
    <t>唇</t>
  </si>
  <si>
    <t>くちびる</t>
  </si>
  <si>
    <t>唇[くちびる]</t>
  </si>
  <si>
    <t>môi</t>
  </si>
  <si>
    <t>唇が乾く。</t>
  </si>
  <si>
    <t>Môi tôi bị khô.</t>
  </si>
  <si>
    <t>粉</t>
  </si>
  <si>
    <t>こな</t>
  </si>
  <si>
    <t>粉[こな]</t>
  </si>
  <si>
    <t>bột</t>
  </si>
  <si>
    <t>小麦粉を買う。</t>
  </si>
  <si>
    <t>Tôi mua bột mì.</t>
  </si>
  <si>
    <t>マフラー</t>
  </si>
  <si>
    <t>まふらー</t>
  </si>
  <si>
    <t>khăn quàng cổ</t>
  </si>
  <si>
    <t>マフラーを巻く。</t>
  </si>
  <si>
    <t>Quàng khăn cổ.</t>
  </si>
  <si>
    <t>カーブ</t>
  </si>
  <si>
    <t>かーぶ</t>
  </si>
  <si>
    <t>đường cong</t>
  </si>
  <si>
    <t>カーブを曲がる。</t>
  </si>
  <si>
    <t>Rẽ ở khúc cua.</t>
  </si>
  <si>
    <t>循環</t>
  </si>
  <si>
    <t>じゅんかん</t>
  </si>
  <si>
    <t>循環[じゅんかん]</t>
  </si>
  <si>
    <t>tuần hoàn</t>
  </si>
  <si>
    <t>血液が循環する。</t>
  </si>
  <si>
    <t>Máu tuần hoàn.</t>
  </si>
  <si>
    <t>湯</t>
  </si>
  <si>
    <t>ゆ</t>
  </si>
  <si>
    <t>湯[ゆ]</t>
  </si>
  <si>
    <t>nước nóng</t>
  </si>
  <si>
    <t>お湯を沸かしてください。</t>
  </si>
  <si>
    <t>Hãy đun nước nóng lên.</t>
  </si>
  <si>
    <t>スクリーン</t>
  </si>
  <si>
    <t>すくりーん</t>
  </si>
  <si>
    <t>スクリーンを見る。</t>
  </si>
  <si>
    <t>Nhìn màn hình.</t>
  </si>
  <si>
    <t>男子</t>
  </si>
  <si>
    <t>だんし</t>
  </si>
  <si>
    <t>男子[だんし]</t>
  </si>
  <si>
    <t>nam giới</t>
  </si>
  <si>
    <t>男子学生。</t>
  </si>
  <si>
    <t>Nam sinh viên.</t>
  </si>
  <si>
    <t>覚ます</t>
  </si>
  <si>
    <t>さます</t>
  </si>
  <si>
    <t>覚[さ]ます</t>
  </si>
  <si>
    <t>làm tỉnh</t>
  </si>
  <si>
    <t>目を覚ます。</t>
  </si>
  <si>
    <t>Tôi tỉnh giấc.</t>
  </si>
  <si>
    <t>くっつける</t>
  </si>
  <si>
    <t>gắn vào</t>
  </si>
  <si>
    <t>壁にくっつける。</t>
  </si>
  <si>
    <t>Gắn vào tường.</t>
  </si>
  <si>
    <t>テンポ</t>
  </si>
  <si>
    <t>てんぽ</t>
  </si>
  <si>
    <t>nhịp độ</t>
  </si>
  <si>
    <t>テンポが速い。</t>
  </si>
  <si>
    <t>Nhịp độ nhanh.</t>
  </si>
  <si>
    <t>とっくに</t>
  </si>
  <si>
    <t>とっくに帰った。</t>
  </si>
  <si>
    <t>Đã về lâu rồi.</t>
  </si>
  <si>
    <t>通過</t>
  </si>
  <si>
    <t>つうか</t>
  </si>
  <si>
    <t>通過[つうか]</t>
  </si>
  <si>
    <t>駅を通過する。</t>
  </si>
  <si>
    <t>Đi qua nhà ga.</t>
  </si>
  <si>
    <t>マイク</t>
  </si>
  <si>
    <t>まいく</t>
  </si>
  <si>
    <t>micro</t>
  </si>
  <si>
    <t>マイクを使う。</t>
  </si>
  <si>
    <t>Sử dụng micro.</t>
  </si>
  <si>
    <t>出</t>
  </si>
  <si>
    <t>で</t>
  </si>
  <si>
    <t>出[で]</t>
  </si>
  <si>
    <t>ra đi</t>
  </si>
  <si>
    <t>出を待つ。</t>
  </si>
  <si>
    <t>Tôi chờ ra đi.</t>
  </si>
  <si>
    <t>渡す</t>
  </si>
  <si>
    <t>わたす</t>
  </si>
  <si>
    <t>渡[わた]す</t>
  </si>
  <si>
    <t>trao</t>
  </si>
  <si>
    <t>書類を渡す。</t>
  </si>
  <si>
    <t>Trao tài liệu.</t>
  </si>
  <si>
    <t>厚い</t>
  </si>
  <si>
    <t>厚[あつ]い</t>
  </si>
  <si>
    <t>dày</t>
  </si>
  <si>
    <t>厚い本。</t>
  </si>
  <si>
    <t>Cuốn sách dày.</t>
  </si>
  <si>
    <t>迎え</t>
  </si>
  <si>
    <t>むかえ</t>
  </si>
  <si>
    <t>迎[むか]え</t>
  </si>
  <si>
    <t>迎えを頼む。</t>
  </si>
  <si>
    <t>Nhờ người đón.</t>
  </si>
  <si>
    <t>そっくり</t>
  </si>
  <si>
    <t>giống hệt</t>
  </si>
  <si>
    <t>父にそっくりだ。</t>
  </si>
  <si>
    <t>Giống hệt bố.</t>
  </si>
  <si>
    <t>治る</t>
  </si>
  <si>
    <t>治[なお]る</t>
  </si>
  <si>
    <t>chữa khỏi</t>
  </si>
  <si>
    <t>病気が治る。</t>
  </si>
  <si>
    <t>Bệnh đã khỏi.</t>
  </si>
  <si>
    <t>スピーチ</t>
  </si>
  <si>
    <t>すぴーち</t>
  </si>
  <si>
    <t>diễn văn</t>
  </si>
  <si>
    <t>スピーチをする。</t>
  </si>
  <si>
    <t>Đọc diễn văn.</t>
  </si>
  <si>
    <t>レンズ</t>
  </si>
  <si>
    <t>れんず</t>
  </si>
  <si>
    <t>ống kính</t>
  </si>
  <si>
    <t>レンズを磨く。</t>
  </si>
  <si>
    <t>Lau ống kính.</t>
  </si>
  <si>
    <t>上着</t>
  </si>
  <si>
    <t>うわぎ</t>
  </si>
  <si>
    <t>上着[うわぎ]</t>
  </si>
  <si>
    <t>上着を脱ぐ。</t>
  </si>
  <si>
    <t>Cởi áo khoác.</t>
  </si>
  <si>
    <t>代金</t>
  </si>
  <si>
    <t>だいきん</t>
  </si>
  <si>
    <t>代金[だいきん]</t>
  </si>
  <si>
    <t>tiền hàng</t>
  </si>
  <si>
    <t>商品の代金を払う。</t>
  </si>
  <si>
    <t>Chi trả tiền hàng hóa.</t>
  </si>
  <si>
    <t>記入</t>
  </si>
  <si>
    <t>きにゅう</t>
  </si>
  <si>
    <t>記入[きにゅう]</t>
  </si>
  <si>
    <t>điền vào</t>
  </si>
  <si>
    <t>名前を記入する。</t>
  </si>
  <si>
    <t>Điền tên vào.</t>
  </si>
  <si>
    <t>ぼんやり</t>
  </si>
  <si>
    <t>lơ đãng</t>
  </si>
  <si>
    <t>ぼんやり過ごす。</t>
  </si>
  <si>
    <t>Sống lơ đãng.</t>
  </si>
  <si>
    <t>モーター</t>
  </si>
  <si>
    <t>もーたー</t>
  </si>
  <si>
    <t>モーターが回る。</t>
  </si>
  <si>
    <t>Động cơ quay.</t>
  </si>
  <si>
    <t>レコード</t>
  </si>
  <si>
    <t>れこーど</t>
  </si>
  <si>
    <t>đĩa hát</t>
  </si>
  <si>
    <t>レコードを聴く。</t>
  </si>
  <si>
    <t>Nghe đĩa hát.</t>
  </si>
  <si>
    <t>一段と</t>
  </si>
  <si>
    <t>いちだんと</t>
  </si>
  <si>
    <t>一段[いちだん]と</t>
  </si>
  <si>
    <t>hơn hẳn</t>
  </si>
  <si>
    <t>一段と寒くなる。</t>
  </si>
  <si>
    <t>Lạnh hơn hẳn.</t>
  </si>
  <si>
    <t>着替える</t>
  </si>
  <si>
    <t>きがえる</t>
  </si>
  <si>
    <t>着替[きが]える</t>
  </si>
  <si>
    <t>thay đồ</t>
  </si>
  <si>
    <t>服を着替える。</t>
  </si>
  <si>
    <t>Thay quần áo.</t>
  </si>
  <si>
    <t>こぼれる</t>
  </si>
  <si>
    <t>水がこぼれる。</t>
  </si>
  <si>
    <t>Nước bị tràn.</t>
  </si>
  <si>
    <t>ずれる</t>
  </si>
  <si>
    <t>メガネがずれる。</t>
  </si>
  <si>
    <t>Kính bị lệch.</t>
  </si>
  <si>
    <t>燃える</t>
  </si>
  <si>
    <t>もえる</t>
  </si>
  <si>
    <t>燃[も]える</t>
  </si>
  <si>
    <t>cháy</t>
  </si>
  <si>
    <t>木が燃える。</t>
  </si>
  <si>
    <t>Cây cối cháy.</t>
  </si>
  <si>
    <t>縁</t>
  </si>
  <si>
    <t>ふち</t>
  </si>
  <si>
    <t>縁[ふち]</t>
  </si>
  <si>
    <t>viền</t>
  </si>
  <si>
    <t>茶碗の縁。</t>
  </si>
  <si>
    <t>Viền bát trà.</t>
  </si>
  <si>
    <t>背</t>
  </si>
  <si>
    <t>せ</t>
  </si>
  <si>
    <t>背[せ]</t>
  </si>
  <si>
    <t>背が高い人。</t>
  </si>
  <si>
    <t>Người cao.</t>
  </si>
  <si>
    <t>ナイフ</t>
  </si>
  <si>
    <t>ないふ</t>
  </si>
  <si>
    <t>dao</t>
  </si>
  <si>
    <t>ナイフで切る。</t>
  </si>
  <si>
    <t>Cắt bằng dao.</t>
  </si>
  <si>
    <t>リットル</t>
  </si>
  <si>
    <t>りっとる</t>
  </si>
  <si>
    <t>lít</t>
  </si>
  <si>
    <t>一リットルの水。</t>
  </si>
  <si>
    <t>Một lít nước.</t>
  </si>
  <si>
    <t>臭い</t>
  </si>
  <si>
    <t>くさい</t>
  </si>
  <si>
    <t>臭[くさ]い</t>
  </si>
  <si>
    <t>hôi</t>
  </si>
  <si>
    <t>部屋が臭い。</t>
  </si>
  <si>
    <t>Phòng bị hôi.</t>
  </si>
  <si>
    <t>転がる</t>
  </si>
  <si>
    <t>ころがる</t>
  </si>
  <si>
    <t>転[ころ]がる</t>
  </si>
  <si>
    <t>lăn</t>
  </si>
  <si>
    <t>ボールが転がる。</t>
  </si>
  <si>
    <t>Quả bóng lăn.</t>
  </si>
  <si>
    <t>測る</t>
  </si>
  <si>
    <t>測[はか]る</t>
  </si>
  <si>
    <t>身長を測る。</t>
  </si>
  <si>
    <t>Đo chiều cao.</t>
  </si>
  <si>
    <t>引き出し</t>
  </si>
  <si>
    <t>ひきだし</t>
  </si>
  <si>
    <t>引[ひ]き出[だ]し</t>
  </si>
  <si>
    <t>ngăn kéo</t>
  </si>
  <si>
    <t>引き出しを開ける。</t>
  </si>
  <si>
    <t>Mở ngăn kéo.</t>
  </si>
  <si>
    <t>ざっと</t>
  </si>
  <si>
    <t>qua loa</t>
  </si>
  <si>
    <t>ざっと目をとおす。</t>
  </si>
  <si>
    <t>Xem qua loa.</t>
  </si>
  <si>
    <t>スタンド</t>
  </si>
  <si>
    <t>すたんど</t>
  </si>
  <si>
    <t>đèn bàn</t>
  </si>
  <si>
    <t>スタンドをつける。</t>
  </si>
  <si>
    <t>Bật đèn bàn.</t>
  </si>
  <si>
    <t>ストーブ</t>
  </si>
  <si>
    <t>すとーぶ</t>
  </si>
  <si>
    <t>lò sưởi</t>
  </si>
  <si>
    <t>ストーブを消す。</t>
  </si>
  <si>
    <t>Tắt lò sưởi.</t>
  </si>
  <si>
    <t>上級</t>
  </si>
  <si>
    <t>じょうきゅう</t>
  </si>
  <si>
    <t>上級[じょうきゅう]</t>
  </si>
  <si>
    <t>cao cấp</t>
  </si>
  <si>
    <t>上級のクラス。</t>
  </si>
  <si>
    <t>Lớp cao cấp.</t>
  </si>
  <si>
    <t>申し込む</t>
  </si>
  <si>
    <t>もうしこむ</t>
  </si>
  <si>
    <t>申[もう]し込[こ]む</t>
  </si>
  <si>
    <t>đăng ký</t>
  </si>
  <si>
    <t>試験に申し込む。</t>
  </si>
  <si>
    <t>Đăng ký thi.</t>
  </si>
  <si>
    <t>こぼす</t>
  </si>
  <si>
    <t>làm đổ</t>
  </si>
  <si>
    <t>水をこぼす。</t>
  </si>
  <si>
    <t>Làm đổ nước.</t>
  </si>
  <si>
    <t>運転手</t>
  </si>
  <si>
    <t>うんてんしゅ</t>
  </si>
  <si>
    <t>運転手[うんてんしゅ]</t>
  </si>
  <si>
    <t>運転手を雇う。</t>
  </si>
  <si>
    <t>Thuê tài xế.</t>
  </si>
  <si>
    <t>中古</t>
  </si>
  <si>
    <t>ちゅうこ</t>
  </si>
  <si>
    <t>中古[ちゅうこ]</t>
  </si>
  <si>
    <t>đồ cũ</t>
  </si>
  <si>
    <t>中古の車。</t>
  </si>
  <si>
    <t>Chiếc xe cũ.</t>
  </si>
  <si>
    <t>憎む</t>
  </si>
  <si>
    <t>にくむ</t>
  </si>
  <si>
    <t>憎[にく]む</t>
  </si>
  <si>
    <t>罪を憎む。</t>
  </si>
  <si>
    <t>Ghét tội ác.</t>
  </si>
  <si>
    <t>乾く</t>
  </si>
  <si>
    <t>かわく</t>
  </si>
  <si>
    <t>乾[かわ]く</t>
  </si>
  <si>
    <t>khô</t>
  </si>
  <si>
    <t>服が乾く。</t>
  </si>
  <si>
    <t>Quần áo khô.</t>
  </si>
  <si>
    <t>友人</t>
  </si>
  <si>
    <t>ゆうじん</t>
  </si>
  <si>
    <t>友人[ゆうじん]</t>
  </si>
  <si>
    <t>友人に会う。</t>
  </si>
  <si>
    <t>Tôi gặp bạn.</t>
  </si>
  <si>
    <t>浴びる</t>
  </si>
  <si>
    <t>あびる</t>
  </si>
  <si>
    <t>浴[あ]びる</t>
  </si>
  <si>
    <t>tắm</t>
  </si>
  <si>
    <t>朝シャワーを浴びる。</t>
  </si>
  <si>
    <t>Tắm vào buổi sáng.</t>
  </si>
  <si>
    <t>見本</t>
  </si>
  <si>
    <t>みほん</t>
  </si>
  <si>
    <t>見本[みほん]</t>
  </si>
  <si>
    <t>見本を送る。</t>
  </si>
  <si>
    <t>Tôi gửi mẫu.</t>
  </si>
  <si>
    <t>豆</t>
  </si>
  <si>
    <t>まめ</t>
  </si>
  <si>
    <t>豆[まめ]</t>
  </si>
  <si>
    <t>đậu</t>
  </si>
  <si>
    <t>豆を料理する。</t>
  </si>
  <si>
    <t>Nấu món đậu.</t>
  </si>
  <si>
    <t>鼻</t>
  </si>
  <si>
    <t>鼻[はな]</t>
  </si>
  <si>
    <t>mũi</t>
  </si>
  <si>
    <t>鼻が高い。</t>
  </si>
  <si>
    <t>Mũi tôi cao.</t>
  </si>
  <si>
    <t>巣</t>
  </si>
  <si>
    <t>す</t>
  </si>
  <si>
    <t>巣[す]</t>
  </si>
  <si>
    <t>鳥が巣を作る。</t>
  </si>
  <si>
    <t>Chim làm tổ.</t>
  </si>
  <si>
    <t>財布</t>
  </si>
  <si>
    <t>さいふ</t>
  </si>
  <si>
    <t>財布[さいふ]</t>
  </si>
  <si>
    <t>ví</t>
  </si>
  <si>
    <t>財布を落とす。</t>
  </si>
  <si>
    <t>Đánh rơi ví.</t>
  </si>
  <si>
    <t>シャッター</t>
  </si>
  <si>
    <t>しゃったー</t>
  </si>
  <si>
    <t>cửa sập</t>
  </si>
  <si>
    <t>シャッターを下ろす。</t>
  </si>
  <si>
    <t>Hạ cửa sập.</t>
  </si>
  <si>
    <t>七つ</t>
  </si>
  <si>
    <t>ななつ</t>
  </si>
  <si>
    <t>七[なな]つ</t>
  </si>
  <si>
    <t>bảy cái</t>
  </si>
  <si>
    <t>七つある。</t>
  </si>
  <si>
    <t>Có bảy cái.</t>
  </si>
  <si>
    <t>ベル</t>
  </si>
  <si>
    <t>べる</t>
  </si>
  <si>
    <t>chuông</t>
  </si>
  <si>
    <t>ベルが鳴る。</t>
  </si>
  <si>
    <t>Chuông reo.</t>
  </si>
  <si>
    <t>人形</t>
  </si>
  <si>
    <t>にんぎょう</t>
  </si>
  <si>
    <t>人形[にんぎょう]</t>
  </si>
  <si>
    <t>búp bê</t>
  </si>
  <si>
    <t>人形を買う。</t>
  </si>
  <si>
    <t>Mua búp bê.</t>
  </si>
  <si>
    <t>譲る</t>
  </si>
  <si>
    <t>ゆずる</t>
  </si>
  <si>
    <t>譲[ゆず]る</t>
  </si>
  <si>
    <t>nhường</t>
  </si>
  <si>
    <t>席を譲る。</t>
  </si>
  <si>
    <t>Nhường ghế.</t>
  </si>
  <si>
    <t>焼く</t>
  </si>
  <si>
    <t>焼[や]く</t>
  </si>
  <si>
    <t>nướng</t>
  </si>
  <si>
    <t>肉を焼く。</t>
  </si>
  <si>
    <t>Nướng thịt.</t>
  </si>
  <si>
    <t>亡くす</t>
  </si>
  <si>
    <t>亡[な]くす</t>
  </si>
  <si>
    <t>親を亡くす。</t>
  </si>
  <si>
    <t>Mất cha mẹ.</t>
  </si>
  <si>
    <t>缶</t>
  </si>
  <si>
    <t>かん</t>
  </si>
  <si>
    <t>缶[かん]</t>
  </si>
  <si>
    <t>lon</t>
  </si>
  <si>
    <t>缶を開ける。</t>
  </si>
  <si>
    <t>Tôi mở lon.</t>
  </si>
  <si>
    <t>草</t>
  </si>
  <si>
    <t>くさ</t>
  </si>
  <si>
    <t>草[くさ]</t>
  </si>
  <si>
    <t>cỏ</t>
  </si>
  <si>
    <t>庭の草を抜く。</t>
  </si>
  <si>
    <t>Nhổ cỏ trong vườn.</t>
  </si>
  <si>
    <t>フィルム</t>
  </si>
  <si>
    <t>ふぃるむ</t>
  </si>
  <si>
    <t>phim chụp ảnh</t>
  </si>
  <si>
    <t>フィルムを入れ替える。</t>
  </si>
  <si>
    <t>Thay phim.</t>
  </si>
  <si>
    <t>休暇</t>
  </si>
  <si>
    <t>きゅうか</t>
  </si>
  <si>
    <t>休暇[きゅうか]</t>
  </si>
  <si>
    <t>kỳ nghỉ</t>
  </si>
  <si>
    <t>休暇をとる。</t>
  </si>
  <si>
    <t>Nghỉ phép.</t>
  </si>
  <si>
    <t>ノー</t>
  </si>
  <si>
    <t>のー</t>
  </si>
  <si>
    <t>ノーと言う。</t>
  </si>
  <si>
    <t>Nói không.</t>
  </si>
  <si>
    <t>ブレーキ</t>
  </si>
  <si>
    <t>ぶれーき</t>
  </si>
  <si>
    <t>phanh</t>
  </si>
  <si>
    <t>ブレーキをかける。</t>
  </si>
  <si>
    <t>Đạp phanh.</t>
  </si>
  <si>
    <t>わざと</t>
  </si>
  <si>
    <t>cố ý</t>
  </si>
  <si>
    <t>わざと負ける。</t>
  </si>
  <si>
    <t>Cố ý thua.</t>
  </si>
  <si>
    <t>羽</t>
  </si>
  <si>
    <t>はね</t>
  </si>
  <si>
    <t>羽[はね]</t>
  </si>
  <si>
    <t>cánh</t>
  </si>
  <si>
    <t>鳥の羽。</t>
  </si>
  <si>
    <t>Cánh chim.</t>
  </si>
  <si>
    <t>ダブル</t>
  </si>
  <si>
    <t>だぶる</t>
  </si>
  <si>
    <t>đôi</t>
  </si>
  <si>
    <t>ダブルの部屋。</t>
  </si>
  <si>
    <t>Phòng đôi.</t>
  </si>
  <si>
    <t>仮定</t>
  </si>
  <si>
    <t>仮定[かてい]</t>
  </si>
  <si>
    <t>giả định</t>
  </si>
  <si>
    <t>仮定する。</t>
  </si>
  <si>
    <t>Giả định.</t>
  </si>
  <si>
    <t>仏</t>
  </si>
  <si>
    <t>ほとけ</t>
  </si>
  <si>
    <t>仏[ほとけ]</t>
  </si>
  <si>
    <t>phật</t>
  </si>
  <si>
    <t>仏を拝む。</t>
  </si>
  <si>
    <t>Lạy Phật.</t>
  </si>
  <si>
    <t>表紙</t>
  </si>
  <si>
    <t>ひょうし</t>
  </si>
  <si>
    <t>表紙[ひょうし]</t>
  </si>
  <si>
    <t>bìa</t>
  </si>
  <si>
    <t>本をの表紙。</t>
  </si>
  <si>
    <t>Bìa sách.</t>
  </si>
  <si>
    <t>ひげ</t>
  </si>
  <si>
    <t>râu</t>
  </si>
  <si>
    <t>ひげをそる。</t>
  </si>
  <si>
    <t>Cạo râu.</t>
  </si>
  <si>
    <t>ファックス</t>
  </si>
  <si>
    <t>ふぁっくす</t>
  </si>
  <si>
    <t>fax</t>
  </si>
  <si>
    <t>ファックスを送る。</t>
  </si>
  <si>
    <t>Gửi fax.</t>
  </si>
  <si>
    <t>拭く</t>
  </si>
  <si>
    <t>拭[ふ]く</t>
  </si>
  <si>
    <t>lau</t>
  </si>
  <si>
    <t>机を拭く。</t>
  </si>
  <si>
    <t>Lau bàn.</t>
  </si>
  <si>
    <t>為す</t>
  </si>
  <si>
    <t>なす</t>
  </si>
  <si>
    <t>為[な]す</t>
  </si>
  <si>
    <t>努力を為す。</t>
  </si>
  <si>
    <t>Nỗ lực.</t>
  </si>
  <si>
    <t>ぶどう</t>
  </si>
  <si>
    <t>nho</t>
  </si>
  <si>
    <t>ぶどうを食べる。</t>
  </si>
  <si>
    <t>Ăn nho.</t>
  </si>
  <si>
    <t>葉</t>
  </si>
  <si>
    <t>葉[は]</t>
  </si>
  <si>
    <t>lá</t>
  </si>
  <si>
    <t>葉が落ちる。</t>
  </si>
  <si>
    <t>Lá rơi.</t>
  </si>
  <si>
    <t>看護</t>
  </si>
  <si>
    <t>かんご</t>
  </si>
  <si>
    <t>看護[かんご]</t>
  </si>
  <si>
    <t>入院患者を看護する。</t>
  </si>
  <si>
    <t>Chăm sóc bệnh nhân nằm viện.</t>
  </si>
  <si>
    <t>着手</t>
  </si>
  <si>
    <t>ちゃくしゅ</t>
  </si>
  <si>
    <t>着手[ちゃくしゅ]</t>
  </si>
  <si>
    <t>sự bắt tay vào làm</t>
  </si>
  <si>
    <t>計画に着手する。</t>
  </si>
  <si>
    <t>Bắt tay vào thực hiện kế hoạch.</t>
  </si>
  <si>
    <t>親しむ</t>
  </si>
  <si>
    <t>したしむ</t>
  </si>
  <si>
    <t>親[した]しむ</t>
  </si>
  <si>
    <t>trở nên thân thiết</t>
  </si>
  <si>
    <t>自然に親しむ。</t>
  </si>
  <si>
    <t>Trở nên thân thiết với thiên nhiên.</t>
  </si>
  <si>
    <t>不景気</t>
  </si>
  <si>
    <t>ふけいき</t>
  </si>
  <si>
    <t>不景気[ふけいき]</t>
  </si>
  <si>
    <t>kinh tế suy thoái</t>
  </si>
  <si>
    <t>不景気になる。</t>
  </si>
  <si>
    <t>Trở nên suy thoái kinh tế.</t>
  </si>
  <si>
    <t>共稼ぎ</t>
  </si>
  <si>
    <t>ともかせぎ</t>
  </si>
  <si>
    <t>共稼[ともかせ]ぎ</t>
  </si>
  <si>
    <t>sự cùng kiếm sống</t>
  </si>
  <si>
    <t>夫婦で共稼ぎをする。</t>
  </si>
  <si>
    <t>Vợ chồng cùng kiếm sống.</t>
  </si>
  <si>
    <t>国交</t>
  </si>
  <si>
    <t>こっこう</t>
  </si>
  <si>
    <t>国交[こっこう]</t>
  </si>
  <si>
    <t>giao lưu quốc gia</t>
  </si>
  <si>
    <t>国交を正常化する。</t>
  </si>
  <si>
    <t>Bình thường hóa giao lưu quốc gia.</t>
  </si>
  <si>
    <t>務まる</t>
  </si>
  <si>
    <t>つとまる</t>
  </si>
  <si>
    <t>務[つと]まる</t>
  </si>
  <si>
    <t>có thể đảm đương</t>
  </si>
  <si>
    <t>役目が務まる。</t>
  </si>
  <si>
    <t>Có thể đảm đương vai trò.</t>
  </si>
  <si>
    <t>倍率</t>
  </si>
  <si>
    <t>ばいりつ</t>
  </si>
  <si>
    <t>倍率[ばいりつ]</t>
  </si>
  <si>
    <t>tỷ lệ phóng đại</t>
  </si>
  <si>
    <t>競争率の倍率。</t>
  </si>
  <si>
    <t>Tỷ lệ cạnh tranh.</t>
  </si>
  <si>
    <t>共存</t>
  </si>
  <si>
    <t>きょうぞん</t>
  </si>
  <si>
    <t>共存[きょうぞん]</t>
  </si>
  <si>
    <t>sự cùng tồn tại</t>
  </si>
  <si>
    <t>平和に共存する。</t>
  </si>
  <si>
    <t>Cùng tồn tại trong hòa bình.</t>
  </si>
  <si>
    <t>再建</t>
  </si>
  <si>
    <t>さいけん</t>
  </si>
  <si>
    <t>再建[さいけん]</t>
  </si>
  <si>
    <t>sự xây dựng lại</t>
  </si>
  <si>
    <t>街を再建する。</t>
  </si>
  <si>
    <t>Xây dựng lại thị trấn.</t>
  </si>
  <si>
    <t>到底</t>
  </si>
  <si>
    <t>とうてい</t>
  </si>
  <si>
    <t>到底[とうてい]</t>
  </si>
  <si>
    <t>tuyệt đối không</t>
  </si>
  <si>
    <t>到底無理な計画。</t>
  </si>
  <si>
    <t>Kế hoạch tuyệt đối không thể.</t>
  </si>
  <si>
    <t>国有</t>
  </si>
  <si>
    <t>こくゆう</t>
  </si>
  <si>
    <t>国有[こくゆう]</t>
  </si>
  <si>
    <t>sở hữu quốc gia</t>
  </si>
  <si>
    <t>国有の土地。</t>
  </si>
  <si>
    <t>Đất đai sở hữu quốc gia.</t>
  </si>
  <si>
    <t>農地</t>
  </si>
  <si>
    <t>のうち</t>
  </si>
  <si>
    <t>農地[のうち]</t>
  </si>
  <si>
    <t>đất nông nghiệp</t>
  </si>
  <si>
    <t>農地を耕す。</t>
  </si>
  <si>
    <t>Cày xới đất nông nghiệp.</t>
  </si>
  <si>
    <t>途上</t>
  </si>
  <si>
    <t>とじょう</t>
  </si>
  <si>
    <t>途上[とじょう]</t>
  </si>
  <si>
    <t>đang trên đường</t>
  </si>
  <si>
    <t>開発途上。</t>
  </si>
  <si>
    <t>Đang trên đường phát triển.</t>
  </si>
  <si>
    <t>配偶者</t>
  </si>
  <si>
    <t>はいぐうしゃ</t>
  </si>
  <si>
    <t>配偶者[はいぐうしゃ]</t>
  </si>
  <si>
    <t>người phối ngẫu</t>
  </si>
  <si>
    <t>配偶者を同伴する。</t>
  </si>
  <si>
    <t>Đi cùng người phối ngẫu.</t>
  </si>
  <si>
    <t>共働き</t>
  </si>
  <si>
    <t>ともばたらき</t>
  </si>
  <si>
    <t>共働[ともばたら]き</t>
  </si>
  <si>
    <t>sự cùng đi làm</t>
  </si>
  <si>
    <t>共働きで生活する。</t>
  </si>
  <si>
    <t>Cùng đi làm để trang trải cuộc sống.</t>
  </si>
  <si>
    <t>相場</t>
  </si>
  <si>
    <t>そうば</t>
  </si>
  <si>
    <t>相場[そうば]</t>
  </si>
  <si>
    <t>giá thị trường</t>
  </si>
  <si>
    <t>株の相場を調べる。</t>
  </si>
  <si>
    <t>Kiểm tra giá thị trường cổ phiếu.</t>
  </si>
  <si>
    <t>送金</t>
  </si>
  <si>
    <t>そうきん</t>
  </si>
  <si>
    <t>送金[そうきん]</t>
  </si>
  <si>
    <t>sự chuyển tiền</t>
  </si>
  <si>
    <t>現金を送金する。</t>
  </si>
  <si>
    <t>Chuyển tiền mặt.</t>
  </si>
  <si>
    <t>内蔵</t>
  </si>
  <si>
    <t>ないぞう</t>
  </si>
  <si>
    <t>内蔵[ないぞう]</t>
  </si>
  <si>
    <t>gắn bên trong</t>
  </si>
  <si>
    <t>カメラを内蔵する。</t>
  </si>
  <si>
    <t>Gắn camera bên trong.</t>
  </si>
  <si>
    <t>処罰</t>
  </si>
  <si>
    <t>しょばつ</t>
  </si>
  <si>
    <t>処罰[しょばつ]</t>
  </si>
  <si>
    <t>sự trừng phạt</t>
  </si>
  <si>
    <t>厳しい処罰を受ける。</t>
  </si>
  <si>
    <t>Nhận sự trừng phạt nghiêm khắc.</t>
  </si>
  <si>
    <t>制裁</t>
  </si>
  <si>
    <t>せいさい</t>
  </si>
  <si>
    <t>制裁[せいさい]</t>
  </si>
  <si>
    <t>経済制裁を行う。</t>
  </si>
  <si>
    <t>Thực hiện trừng phạt kinh tế.</t>
  </si>
  <si>
    <t>勧告</t>
  </si>
  <si>
    <t>かんこく</t>
  </si>
  <si>
    <t>勧告[かんこく]</t>
  </si>
  <si>
    <t>sự khuyến cáo</t>
  </si>
  <si>
    <t>退職の勧告を受ける。</t>
  </si>
  <si>
    <t>Nhận khuyến cáo nghỉ việc.</t>
  </si>
  <si>
    <t>匹敵</t>
  </si>
  <si>
    <t>ひってき</t>
  </si>
  <si>
    <t>匹敵[ひってき]</t>
  </si>
  <si>
    <t>sự ngang hàng</t>
  </si>
  <si>
    <t>実力はプロに匹敵する。</t>
  </si>
  <si>
    <t>Thực lực ngang hàng với chuyên nghiệp.</t>
  </si>
  <si>
    <t>占領</t>
  </si>
  <si>
    <t>せんりょう</t>
  </si>
  <si>
    <t>占領[せんりょう]</t>
  </si>
  <si>
    <t>sự chiếm đóng</t>
  </si>
  <si>
    <t>領土を占領する。</t>
  </si>
  <si>
    <t>Chiếm đóng lãnh thổ.</t>
  </si>
  <si>
    <t>原爆</t>
  </si>
  <si>
    <t>げんばく</t>
  </si>
  <si>
    <t>原爆[げんばく]</t>
  </si>
  <si>
    <t>bom nguyên tử</t>
  </si>
  <si>
    <t>原爆の悲劇。</t>
  </si>
  <si>
    <t>Bi kịch của bom nguyên tử.</t>
  </si>
  <si>
    <t>合間</t>
  </si>
  <si>
    <t>あいま</t>
  </si>
  <si>
    <t>合間[あいま]</t>
  </si>
  <si>
    <t>thời gian rỗi</t>
  </si>
  <si>
    <t>仕事の合間に休む。</t>
  </si>
  <si>
    <t>Nghỉ trong thời gian rỗi công việc.</t>
  </si>
  <si>
    <t>同居</t>
  </si>
  <si>
    <t>どうきょ</t>
  </si>
  <si>
    <t>同居[どうきょ]</t>
  </si>
  <si>
    <t>sự sống chung</t>
  </si>
  <si>
    <t>家族と同居する。</t>
  </si>
  <si>
    <t>Sống chung với gia đình.</t>
  </si>
  <si>
    <t>圧迫</t>
  </si>
  <si>
    <t>あっぱく</t>
  </si>
  <si>
    <t>圧迫[あっぱく]</t>
  </si>
  <si>
    <t>sự gây áp lực</t>
  </si>
  <si>
    <t>経済を圧迫する。</t>
  </si>
  <si>
    <t>Gây áp lực kinh tế.</t>
  </si>
  <si>
    <t>増強</t>
  </si>
  <si>
    <t>ぞうきょう</t>
  </si>
  <si>
    <t>増強[ぞうきょう]</t>
  </si>
  <si>
    <t>軍備を増強する。</t>
  </si>
  <si>
    <t>Tăng cường quân bị.</t>
  </si>
  <si>
    <t>定年</t>
  </si>
  <si>
    <t>ていねん</t>
  </si>
  <si>
    <t>定年[ていねん]</t>
  </si>
  <si>
    <t>tuổi nghỉ hưu</t>
  </si>
  <si>
    <t>定年を迎える。</t>
  </si>
  <si>
    <t>Đón tuổi nghỉ hưu.</t>
  </si>
  <si>
    <t>本館</t>
  </si>
  <si>
    <t>ほんかん</t>
  </si>
  <si>
    <t>本館[ほんかん]</t>
  </si>
  <si>
    <t>tòa nhà chính</t>
  </si>
  <si>
    <t>本館に入る。</t>
  </si>
  <si>
    <t>Vào tòa nhà chính.</t>
  </si>
  <si>
    <t>襲撃</t>
  </si>
  <si>
    <t>しゅうげき</t>
  </si>
  <si>
    <t>襲撃[しゅうげき]</t>
  </si>
  <si>
    <t>cuộc tấn công</t>
  </si>
  <si>
    <t>襲撃に備える。</t>
  </si>
  <si>
    <t>Chuẩn bị cho cuộc tấn công.</t>
  </si>
  <si>
    <t>論議</t>
  </si>
  <si>
    <t>ろんぎ</t>
  </si>
  <si>
    <t>論議[ろんぎ]</t>
  </si>
  <si>
    <t>sự tranh luận</t>
  </si>
  <si>
    <t>方針を論議する。</t>
  </si>
  <si>
    <t>Tranh luận về phương châm.</t>
  </si>
  <si>
    <t>議決</t>
  </si>
  <si>
    <t>ぎけつ</t>
  </si>
  <si>
    <t>議決[ぎけつ]</t>
  </si>
  <si>
    <t>sự biểu quyết</t>
  </si>
  <si>
    <t>法案を議決する。</t>
  </si>
  <si>
    <t>Biểu quyết dự luật.</t>
  </si>
  <si>
    <t>賠償</t>
  </si>
  <si>
    <t>ばいしょう</t>
  </si>
  <si>
    <t>賠償[ばいしょう]</t>
  </si>
  <si>
    <t>sự bồi thường</t>
  </si>
  <si>
    <t>損害を賠償する。</t>
  </si>
  <si>
    <t>Bồi thường thiệt hại.</t>
  </si>
  <si>
    <t>連帯</t>
  </si>
  <si>
    <t>れんたい</t>
  </si>
  <si>
    <t>連帯[れんたい]</t>
  </si>
  <si>
    <t>tình đoàn kết</t>
  </si>
  <si>
    <t>連帯責任を負う。</t>
  </si>
  <si>
    <t>Gánh chịu trách nhiệm tập thể.</t>
  </si>
  <si>
    <t>運搬</t>
  </si>
  <si>
    <t>うんぱん</t>
  </si>
  <si>
    <t>運搬[うんぱん]</t>
  </si>
  <si>
    <t>荷物を運搬する。</t>
  </si>
  <si>
    <t>Vận chuyển hành lý.</t>
  </si>
  <si>
    <t>公認</t>
  </si>
  <si>
    <t>こうにん</t>
  </si>
  <si>
    <t>公認[こうにん]</t>
  </si>
  <si>
    <t>sự công nhận</t>
  </si>
  <si>
    <t>公認の資格を取る。</t>
  </si>
  <si>
    <t>Lấy bằng cấp được công nhận.</t>
  </si>
  <si>
    <t>内訳</t>
  </si>
  <si>
    <t>うちわけ</t>
  </si>
  <si>
    <t>内訳[うちわけ]</t>
  </si>
  <si>
    <t>bản chi tiết</t>
  </si>
  <si>
    <t>費用の内訳を書く。</t>
  </si>
  <si>
    <t>Viết bản chi tiết chi phí.</t>
  </si>
  <si>
    <t>出世</t>
  </si>
  <si>
    <t>しゅっせ</t>
  </si>
  <si>
    <t>出世[しゅっせ]</t>
  </si>
  <si>
    <t>sự thành đạt</t>
  </si>
  <si>
    <t>仕事で出世する。</t>
  </si>
  <si>
    <t>Thành đạt trong công việc.</t>
  </si>
  <si>
    <t>出動</t>
  </si>
  <si>
    <t>しゅつどう</t>
  </si>
  <si>
    <t>出動[しゅつどう]</t>
  </si>
  <si>
    <t>sự xuất quân</t>
  </si>
  <si>
    <t>警察が出動する。</t>
  </si>
  <si>
    <t>Cảnh sát xuất quân.</t>
  </si>
  <si>
    <t>出題</t>
  </si>
  <si>
    <t>しゅつだい</t>
  </si>
  <si>
    <t>出題[しゅつだい]</t>
  </si>
  <si>
    <t>sự đưa ra đề</t>
  </si>
  <si>
    <t>試験に出題する。</t>
  </si>
  <si>
    <t>Đưa ra đề thi.</t>
  </si>
  <si>
    <t>分担</t>
  </si>
  <si>
    <t>ぶんたん</t>
  </si>
  <si>
    <t>分担[ぶんたん]</t>
  </si>
  <si>
    <t>作業を分担する。</t>
  </si>
  <si>
    <t>Phân chia công việc.</t>
  </si>
  <si>
    <t>分配</t>
  </si>
  <si>
    <t>ぶんぱい</t>
  </si>
  <si>
    <t>分配[ぶんぱい]</t>
  </si>
  <si>
    <t>sự phân phối</t>
  </si>
  <si>
    <t>利益を分配する。</t>
  </si>
  <si>
    <t>Phân phối lợi nhuận.</t>
  </si>
  <si>
    <t>前売</t>
  </si>
  <si>
    <t>まえうり</t>
  </si>
  <si>
    <t>前売[まえうり]</t>
  </si>
  <si>
    <t>sự bán trước</t>
  </si>
  <si>
    <t>チケットの前売券。</t>
  </si>
  <si>
    <t>Vé bán trước.</t>
  </si>
  <si>
    <t>創立</t>
  </si>
  <si>
    <t>そうりつ</t>
  </si>
  <si>
    <t>創立[そうりつ]</t>
  </si>
  <si>
    <t>会社の創立記念日。</t>
  </si>
  <si>
    <t>Ngày kỷ niệm thành lập công ty.</t>
  </si>
  <si>
    <t>募金</t>
  </si>
  <si>
    <t>ぼきん</t>
  </si>
  <si>
    <t>募金[ぼきん]</t>
  </si>
  <si>
    <t>sự quyên góp</t>
  </si>
  <si>
    <t>募金をお願いする。</t>
  </si>
  <si>
    <t>Nhờ quyên góp tiền.</t>
  </si>
  <si>
    <t>勤め先</t>
  </si>
  <si>
    <t>つとめさき</t>
  </si>
  <si>
    <t>勤[つと]め先[さき]</t>
  </si>
  <si>
    <t>新しい勤め先。</t>
  </si>
  <si>
    <t>Nơi làm việc mới.</t>
  </si>
  <si>
    <t>即座に</t>
  </si>
  <si>
    <t>そくざに</t>
  </si>
  <si>
    <t>即座[そくざ]に</t>
  </si>
  <si>
    <t>即座に返事をする。</t>
  </si>
  <si>
    <t>Trả lời ngay lập tức.</t>
  </si>
  <si>
    <t>反撃</t>
  </si>
  <si>
    <t>はんげき</t>
  </si>
  <si>
    <t>反撃[はんげき]</t>
  </si>
  <si>
    <t>sự phản kích</t>
  </si>
  <si>
    <t>敵に反撃する。</t>
  </si>
  <si>
    <t>Phản kích kẻ thù.</t>
  </si>
  <si>
    <t>同感</t>
  </si>
  <si>
    <t>どうかん</t>
  </si>
  <si>
    <t>同感[どうかん]</t>
  </si>
  <si>
    <t>sự tán thành</t>
  </si>
  <si>
    <t>その意見に同感だ。</t>
  </si>
  <si>
    <t>Tán thành với ý kiến đó.</t>
  </si>
  <si>
    <t>同調</t>
  </si>
  <si>
    <t>どうちょう</t>
  </si>
  <si>
    <t>同調[どうちょう]</t>
  </si>
  <si>
    <t>sự hưởng ứng</t>
  </si>
  <si>
    <t>意見に同調する。</t>
  </si>
  <si>
    <t>Hưởng ứng ý kiến.</t>
  </si>
  <si>
    <t>塾</t>
  </si>
  <si>
    <t>じゅく</t>
  </si>
  <si>
    <t>塾[じゅく]</t>
  </si>
  <si>
    <t>lớp học thêm</t>
  </si>
  <si>
    <t>塾に通う。</t>
  </si>
  <si>
    <t>Đi đến lớp học thêm.</t>
  </si>
  <si>
    <t>外相</t>
  </si>
  <si>
    <t>がいしょう</t>
  </si>
  <si>
    <t>外相[がいしょう]</t>
  </si>
  <si>
    <t>ngoại trưởng</t>
  </si>
  <si>
    <t>外相と会談する。</t>
  </si>
  <si>
    <t>Hội đàm với ngoại trưởng.</t>
  </si>
  <si>
    <t>確信</t>
  </si>
  <si>
    <t>確信[かくしん]</t>
  </si>
  <si>
    <t>sự tin tưởng</t>
  </si>
  <si>
    <t>成功を確信している。</t>
  </si>
  <si>
    <t>Tin tưởng vào sự thành công.</t>
  </si>
  <si>
    <t>聞き取り</t>
  </si>
  <si>
    <t>ききとり</t>
  </si>
  <si>
    <t>聞[き]き取[と]り</t>
  </si>
  <si>
    <t>sự nghe hiểu</t>
  </si>
  <si>
    <t>英語の聞き取り。</t>
  </si>
  <si>
    <t>Nghe hiểu tiếng Anh.</t>
  </si>
  <si>
    <t>脅迫</t>
  </si>
  <si>
    <t>きょうはく</t>
  </si>
  <si>
    <t>脅迫[きょうはく]</t>
  </si>
  <si>
    <t>sự cưỡng bức</t>
  </si>
  <si>
    <t>脅迫の罪に問われる。</t>
  </si>
  <si>
    <t>Bị khép vào tội đe dọa.</t>
  </si>
  <si>
    <t>融通</t>
  </si>
  <si>
    <t>ゆうずう</t>
  </si>
  <si>
    <t>融通[ゆうずう]</t>
  </si>
  <si>
    <t>sự linh hoạt</t>
  </si>
  <si>
    <t>融通が利く人。</t>
  </si>
  <si>
    <t>Người linh hoạt.</t>
  </si>
  <si>
    <t>見積もり</t>
  </si>
  <si>
    <t>みつもり</t>
  </si>
  <si>
    <t>見積[みつ]もり</t>
  </si>
  <si>
    <t>bản ước tính</t>
  </si>
  <si>
    <t>費用を見積もる。</t>
  </si>
  <si>
    <t>Ước tính chi phí.</t>
  </si>
  <si>
    <t>視察</t>
  </si>
  <si>
    <t>しさつ</t>
  </si>
  <si>
    <t>視察[しさつ]</t>
  </si>
  <si>
    <t>sự thanh tra</t>
  </si>
  <si>
    <t>工場を視察する。</t>
  </si>
  <si>
    <t>Thanh tra nhà máy.</t>
  </si>
  <si>
    <t>診療</t>
  </si>
  <si>
    <t>しんりょう</t>
  </si>
  <si>
    <t>診療[しんりょう]</t>
  </si>
  <si>
    <t>sự khám bệnh</t>
  </si>
  <si>
    <t>診療を受ける。</t>
  </si>
  <si>
    <t>Nhận khám bệnh.</t>
  </si>
  <si>
    <t>近郊</t>
  </si>
  <si>
    <t>きんこう</t>
  </si>
  <si>
    <t>近郊[きんこう]</t>
  </si>
  <si>
    <t>vùng ngoại ô</t>
  </si>
  <si>
    <t>都心の近郊。</t>
  </si>
  <si>
    <t>Vùng ngoại ô trung tâm.</t>
  </si>
  <si>
    <t>開拓</t>
  </si>
  <si>
    <t>かいたく</t>
  </si>
  <si>
    <t>開拓[かいたく]</t>
  </si>
  <si>
    <t>sự khai thác</t>
  </si>
  <si>
    <t>新市場を開拓する。</t>
  </si>
  <si>
    <t>Khai thác thị trường mới.</t>
  </si>
  <si>
    <t>主任</t>
  </si>
  <si>
    <t>しゅにん</t>
  </si>
  <si>
    <t>主任[しゅにん]</t>
  </si>
  <si>
    <t>trưởng nhóm</t>
  </si>
  <si>
    <t>主任に昇進する。</t>
  </si>
  <si>
    <t>Thăng chức làm trưởng nhóm.</t>
  </si>
  <si>
    <t>侵略</t>
  </si>
  <si>
    <t>しんりゃく</t>
  </si>
  <si>
    <t>侵略[しんりゃく]</t>
  </si>
  <si>
    <t>sự xâm lược</t>
  </si>
  <si>
    <t>国境を越えて侵略する。</t>
  </si>
  <si>
    <t>Xâm lược qua biên giới.</t>
  </si>
  <si>
    <t>値引き</t>
  </si>
  <si>
    <t>ねびき</t>
  </si>
  <si>
    <t>値引[ねび]き</t>
  </si>
  <si>
    <t>sự giảm giá</t>
  </si>
  <si>
    <t>商品を値引きする。</t>
  </si>
  <si>
    <t>Giảm giá sản phẩm.</t>
  </si>
  <si>
    <t>停滞</t>
  </si>
  <si>
    <t>ていたい</t>
  </si>
  <si>
    <t>停滞[ていたい]</t>
  </si>
  <si>
    <t>sự đình trệ</t>
  </si>
  <si>
    <t>経済の停滞が続く。</t>
  </si>
  <si>
    <t>Sự đình trệ kinh tế kéo dài.</t>
  </si>
  <si>
    <t>出くわす</t>
  </si>
  <si>
    <t>でくわす</t>
  </si>
  <si>
    <t>出[で]くわす</t>
  </si>
  <si>
    <t>tình cờ gặp</t>
  </si>
  <si>
    <t>街で友に出くわす。</t>
  </si>
  <si>
    <t>Tình cờ gặp bạn trên phố.</t>
  </si>
  <si>
    <t>制定</t>
  </si>
  <si>
    <t>せいてい</t>
  </si>
  <si>
    <t>制定[せいてい]</t>
  </si>
  <si>
    <t>sự ban hành</t>
  </si>
  <si>
    <t>新しい法律を制定する。</t>
  </si>
  <si>
    <t>Ban hành luật mới.</t>
  </si>
  <si>
    <t>動員</t>
  </si>
  <si>
    <t>どういん</t>
  </si>
  <si>
    <t>動員[どういん]</t>
  </si>
  <si>
    <t>sự huy động</t>
  </si>
  <si>
    <t>観客を動員する。</t>
  </si>
  <si>
    <t>Huy động khán giả.</t>
  </si>
  <si>
    <t>原型</t>
  </si>
  <si>
    <t>げんけい</t>
  </si>
  <si>
    <t>原型[げんけい]</t>
  </si>
  <si>
    <t>nguyên hình</t>
  </si>
  <si>
    <t>原型をとどめる。</t>
  </si>
  <si>
    <t>Giữ nguyên hình.</t>
  </si>
  <si>
    <t>原文</t>
  </si>
  <si>
    <t>げんぶん</t>
  </si>
  <si>
    <t>原文[げんぶん]</t>
  </si>
  <si>
    <t>văn bản gốc</t>
  </si>
  <si>
    <t>原文と訳文を比べる。</t>
  </si>
  <si>
    <t>So sánh văn bản gốc và bản dịch.</t>
  </si>
  <si>
    <t>反響</t>
  </si>
  <si>
    <t>はんきょう</t>
  </si>
  <si>
    <t>反響[はんきょう]</t>
  </si>
  <si>
    <t>sự phản hồi</t>
  </si>
  <si>
    <t>大きな反響を呼ぶ。</t>
  </si>
  <si>
    <t>Tạo ra phản hồi lớn.</t>
  </si>
  <si>
    <t>取り替え</t>
  </si>
  <si>
    <t>とりかえ</t>
  </si>
  <si>
    <t>取[と]り替[か]え</t>
  </si>
  <si>
    <t>sự thay thế</t>
  </si>
  <si>
    <t>部品の取り替えをする。</t>
  </si>
  <si>
    <t>Thực hiện thay thế phụ tùng.</t>
  </si>
  <si>
    <t>合致</t>
  </si>
  <si>
    <t>がっち</t>
  </si>
  <si>
    <t>合致[がっち]</t>
  </si>
  <si>
    <t>sự nhất trí</t>
  </si>
  <si>
    <t>目的と合致する。</t>
  </si>
  <si>
    <t>Nhất trí với mục đích.</t>
  </si>
  <si>
    <t>同情</t>
  </si>
  <si>
    <t>どうじょう</t>
  </si>
  <si>
    <t>同情[どうじょう]</t>
  </si>
  <si>
    <t>困った人に同情する。</t>
  </si>
  <si>
    <t>Đồng cảm với người gặp khó.</t>
  </si>
  <si>
    <t>団結</t>
  </si>
  <si>
    <t>だんけつ</t>
  </si>
  <si>
    <t>団結[だんけつ]</t>
  </si>
  <si>
    <t>sự đoàn kết</t>
  </si>
  <si>
    <t>団結して行動する。</t>
  </si>
  <si>
    <t>Đoàn kết để hành động.</t>
  </si>
  <si>
    <t>均衡</t>
  </si>
  <si>
    <t>均衡[きんこう]</t>
  </si>
  <si>
    <t>sự cân bằng</t>
  </si>
  <si>
    <t>力の均衡を保つ。</t>
  </si>
  <si>
    <t>Giữ cân bằng lực.</t>
  </si>
  <si>
    <t>堂々</t>
  </si>
  <si>
    <t>どうどう</t>
  </si>
  <si>
    <t>堂々[どうどう]</t>
  </si>
  <si>
    <t>đường hoàng</t>
  </si>
  <si>
    <t>堂々と話す。</t>
  </si>
  <si>
    <t>Nói chuyện đường hoàng.</t>
  </si>
  <si>
    <t>売り出し</t>
  </si>
  <si>
    <t>うりだし</t>
  </si>
  <si>
    <t>売[う]り出[だ]し</t>
  </si>
  <si>
    <t>sự mở bán</t>
  </si>
  <si>
    <t>新製品の売り出し。</t>
  </si>
  <si>
    <t>Mở bán sản phẩm mới.</t>
  </si>
  <si>
    <t>変革</t>
  </si>
  <si>
    <t>へんかく</t>
  </si>
  <si>
    <t>変革[へんかく]</t>
  </si>
  <si>
    <t>教育の変革。</t>
  </si>
  <si>
    <t>奨励</t>
  </si>
  <si>
    <t>しょうれい</t>
  </si>
  <si>
    <t>奨励[しょうれい]</t>
  </si>
  <si>
    <t>sự khích lệ</t>
  </si>
  <si>
    <t>読書を奨励する。</t>
  </si>
  <si>
    <t>Khích lệ đọc sách.</t>
  </si>
  <si>
    <t>点検</t>
  </si>
  <si>
    <t>てんけん</t>
  </si>
  <si>
    <t>点検[てんけん]</t>
  </si>
  <si>
    <t>sự kiểm tra</t>
  </si>
  <si>
    <t>車を点検する。</t>
  </si>
  <si>
    <t>Kiểm tra xe hơi.</t>
  </si>
  <si>
    <t>盛り上がる</t>
  </si>
  <si>
    <t>もりあがる</t>
  </si>
  <si>
    <t>盛[も]り上[あ]がる</t>
  </si>
  <si>
    <t>sôi nổi lên</t>
  </si>
  <si>
    <t>パーティーが盛り上がる。</t>
  </si>
  <si>
    <t>Bữa tiệc trở nên sôi nổi.</t>
  </si>
  <si>
    <t>脱出</t>
  </si>
  <si>
    <t>だっしゅつ</t>
  </si>
  <si>
    <t>脱出[だっしゅつ]</t>
  </si>
  <si>
    <t>sự thoát ra</t>
  </si>
  <si>
    <t>建物から脱出する。</t>
  </si>
  <si>
    <t>Thoát ra khỏi tòa nhà.</t>
  </si>
  <si>
    <t>責務</t>
  </si>
  <si>
    <t>せきむ</t>
  </si>
  <si>
    <t>責務[せきむ]</t>
  </si>
  <si>
    <t>責務を果たす。</t>
  </si>
  <si>
    <t>質疑</t>
  </si>
  <si>
    <t>しつぎ</t>
  </si>
  <si>
    <t>質疑[しつぎ]</t>
  </si>
  <si>
    <t>sự chất vấn</t>
  </si>
  <si>
    <t>質疑を行う。</t>
  </si>
  <si>
    <t>Thực hiện chất vấn.</t>
  </si>
  <si>
    <t>迅速</t>
  </si>
  <si>
    <t>じんそく</t>
  </si>
  <si>
    <t>迅速[じんそく]</t>
  </si>
  <si>
    <t>迅速な対応。</t>
  </si>
  <si>
    <t>Đối ứng nhanh chóng.</t>
  </si>
  <si>
    <t>追及</t>
  </si>
  <si>
    <t>ついきゅう</t>
  </si>
  <si>
    <t>追及[ついきゅう]</t>
  </si>
  <si>
    <t>sự truy cứu</t>
  </si>
  <si>
    <t>責任を追及する。</t>
  </si>
  <si>
    <t>Truy cứu trách nhiệm.</t>
  </si>
  <si>
    <t>連休</t>
  </si>
  <si>
    <t>れんきゅう</t>
  </si>
  <si>
    <t>連休[れんきゅう]</t>
  </si>
  <si>
    <t>kỳ nghỉ dài</t>
  </si>
  <si>
    <t>連休を楽しむ。</t>
  </si>
  <si>
    <t>Tận hưởng kỳ nghỉ dài.</t>
  </si>
  <si>
    <t>遅くとも</t>
  </si>
  <si>
    <t>おそくとも</t>
  </si>
  <si>
    <t>遅[おそ]くとも</t>
  </si>
  <si>
    <t>trễ nhất là</t>
  </si>
  <si>
    <t>遅くとも明日まで。</t>
  </si>
  <si>
    <t>Trễ nhất là đến ngày mai.</t>
  </si>
  <si>
    <t>集計</t>
  </si>
  <si>
    <t>しゅうけい</t>
  </si>
  <si>
    <t>集計[しゅうけい]</t>
  </si>
  <si>
    <t>sự tổng kết</t>
  </si>
  <si>
    <t>結果を集計する。</t>
  </si>
  <si>
    <t>Tổng kết kết quả.</t>
  </si>
  <si>
    <t>静止</t>
  </si>
  <si>
    <t>せいし</t>
  </si>
  <si>
    <t>静止[せいし]</t>
  </si>
  <si>
    <t>sự đứng yên</t>
  </si>
  <si>
    <t>静止する。</t>
  </si>
  <si>
    <t>Đứng yên.</t>
  </si>
  <si>
    <t>面会</t>
  </si>
  <si>
    <t>めんかい</t>
  </si>
  <si>
    <t>面会[めんかい]</t>
  </si>
  <si>
    <t>sự gặp mặt</t>
  </si>
  <si>
    <t>面会を申し込む。</t>
  </si>
  <si>
    <t>Đăng ký gặp mặt.</t>
  </si>
  <si>
    <t>傾斜</t>
  </si>
  <si>
    <t>けいしゃ</t>
  </si>
  <si>
    <t>傾斜[けいしゃ]</t>
  </si>
  <si>
    <t>độ nghiêng</t>
  </si>
  <si>
    <t>急な傾斜の坂。</t>
  </si>
  <si>
    <t>Con dốc có độ nghiêng dốc.</t>
  </si>
  <si>
    <t>切実</t>
  </si>
  <si>
    <t>せつじつ</t>
  </si>
  <si>
    <t>切実[せつじつ]</t>
  </si>
  <si>
    <t>khẩn thiết</t>
  </si>
  <si>
    <t>切実な願いを伝える。</t>
  </si>
  <si>
    <t>Truyền đạt mong muốn khẩn thiết.</t>
  </si>
  <si>
    <t>割当</t>
  </si>
  <si>
    <t>わりあて</t>
  </si>
  <si>
    <t>割当[わりあて]</t>
  </si>
  <si>
    <t>sự phân bổ</t>
  </si>
  <si>
    <t>仕事の割当をする。</t>
  </si>
  <si>
    <t>Phân bổ công việc.</t>
  </si>
  <si>
    <t>割込む</t>
  </si>
  <si>
    <t>わりこむ</t>
  </si>
  <si>
    <t>割込[わりこ]む</t>
  </si>
  <si>
    <t>chen ngang</t>
  </si>
  <si>
    <t>行列に割込む。</t>
  </si>
  <si>
    <t>Chen ngang hàng.</t>
  </si>
  <si>
    <t>助言</t>
  </si>
  <si>
    <t>じょげん</t>
  </si>
  <si>
    <t>助言[じょげん]</t>
  </si>
  <si>
    <t>lời khuyên</t>
  </si>
  <si>
    <t>専門家の助言を仰ぐ。</t>
  </si>
  <si>
    <t>Nhờ lời khuyên của chuyên gia.</t>
  </si>
  <si>
    <t>原形</t>
  </si>
  <si>
    <t>原形[げんけい]</t>
  </si>
  <si>
    <t>nguyên thể</t>
  </si>
  <si>
    <t>動詞の原形を使う。</t>
  </si>
  <si>
    <t>Dùng nguyên thể của động từ.</t>
  </si>
  <si>
    <t>口頭</t>
  </si>
  <si>
    <t>こうとう</t>
  </si>
  <si>
    <t>口頭[こうとう]</t>
  </si>
  <si>
    <t>bằng miệng</t>
  </si>
  <si>
    <t>口頭で伝える。</t>
  </si>
  <si>
    <t>Truyền đạt bằng miệng.</t>
  </si>
  <si>
    <t>土木</t>
  </si>
  <si>
    <t>どぼく</t>
  </si>
  <si>
    <t>土木[どぼく]</t>
  </si>
  <si>
    <t>công trình</t>
  </si>
  <si>
    <t>土木の仕事をする。</t>
  </si>
  <si>
    <t>Làm công việc xây dựng công trình.</t>
  </si>
  <si>
    <t>奉仕</t>
  </si>
  <si>
    <t>ほうし</t>
  </si>
  <si>
    <t>奉仕[ほうし]</t>
  </si>
  <si>
    <t>sự phục vụ</t>
  </si>
  <si>
    <t>社会に奉仕する。</t>
  </si>
  <si>
    <t>Phục vụ xã hội.</t>
  </si>
  <si>
    <t>妨害</t>
  </si>
  <si>
    <t>ぼうがい</t>
  </si>
  <si>
    <t>妨害[ぼうがい]</t>
  </si>
  <si>
    <t>sự cản trở</t>
  </si>
  <si>
    <t>進行を妨害する。</t>
  </si>
  <si>
    <t>Cản trở sự tiến triển.</t>
  </si>
  <si>
    <t>始末</t>
  </si>
  <si>
    <t>しまつ</t>
  </si>
  <si>
    <t>始末[しまつ]</t>
  </si>
  <si>
    <t>ゴミの始末をする。</t>
  </si>
  <si>
    <t>Xử lý rác.</t>
  </si>
  <si>
    <t>嫉妬</t>
  </si>
  <si>
    <t>しっと</t>
  </si>
  <si>
    <t>嫉妬[しっと]</t>
  </si>
  <si>
    <t>sự ghen tị</t>
  </si>
  <si>
    <t>嫉妬の心。</t>
  </si>
  <si>
    <t>Tâm lý ghen tị.</t>
  </si>
  <si>
    <t>存続</t>
  </si>
  <si>
    <t>そんぞく</t>
  </si>
  <si>
    <t>存続[そんぞく]</t>
  </si>
  <si>
    <t>組織の存続を図る。</t>
  </si>
  <si>
    <t>Lập kế hoạch duy trì tổ chức.</t>
  </si>
  <si>
    <t>決</t>
  </si>
  <si>
    <t>けつ</t>
  </si>
  <si>
    <t>決[けつ]</t>
  </si>
  <si>
    <t>最後は決が必要だ。</t>
  </si>
  <si>
    <t>Cuối cùng cần phải có quyết định.</t>
  </si>
  <si>
    <t>育ち</t>
  </si>
  <si>
    <t>そだち</t>
  </si>
  <si>
    <t>育[そだ]ち</t>
  </si>
  <si>
    <t>sự lớn lên</t>
  </si>
  <si>
    <t>育ちがいい人だ。</t>
  </si>
  <si>
    <t>Anh ấy là người được giáo dục tốt.</t>
  </si>
  <si>
    <t>衣装</t>
  </si>
  <si>
    <t>いしょう</t>
  </si>
  <si>
    <t>衣装[いしょう]</t>
  </si>
  <si>
    <t>衣装を整える。</t>
  </si>
  <si>
    <t>Chỉnh trang phục.</t>
  </si>
  <si>
    <t>補充</t>
  </si>
  <si>
    <t>ほじゅう</t>
  </si>
  <si>
    <t>補充[ほじゅう]</t>
  </si>
  <si>
    <t>在庫を補充する。</t>
  </si>
  <si>
    <t>Bổ sung hàng tồn kho.</t>
  </si>
  <si>
    <t>誠実</t>
  </si>
  <si>
    <t>せいじつ</t>
  </si>
  <si>
    <t>誠実[せいじつ]</t>
  </si>
  <si>
    <t>chân thành</t>
  </si>
  <si>
    <t>誠実な対応。</t>
  </si>
  <si>
    <t>Đối ứng chân thành.</t>
  </si>
  <si>
    <t>賄う</t>
  </si>
  <si>
    <t>まかなう</t>
  </si>
  <si>
    <t>賄[まかな]う</t>
  </si>
  <si>
    <t>trang trải</t>
  </si>
  <si>
    <t>費用を賄う。</t>
  </si>
  <si>
    <t>Trang trải chi phí.</t>
  </si>
  <si>
    <t>野外</t>
  </si>
  <si>
    <t>やがい</t>
  </si>
  <si>
    <t>野外[やがい]</t>
  </si>
  <si>
    <t>野外でコンサート。</t>
  </si>
  <si>
    <t>Buổi hòa nhạc ngoài trời.</t>
  </si>
  <si>
    <t>長官</t>
  </si>
  <si>
    <t>ちょうかん</t>
  </si>
  <si>
    <t>長官[ちょうかん]</t>
  </si>
  <si>
    <t>cục trưởng</t>
  </si>
  <si>
    <t>警察庁長官。</t>
  </si>
  <si>
    <t>Cục trưởng cục cảnh sát.</t>
  </si>
  <si>
    <t>お使い</t>
  </si>
  <si>
    <t>おつかい</t>
  </si>
  <si>
    <t>お使[つか]い</t>
  </si>
  <si>
    <t>đi mua đồ</t>
  </si>
  <si>
    <t>お使いを頼まれる。</t>
  </si>
  <si>
    <t>Được nhờ đi mua đồ.</t>
  </si>
  <si>
    <t>きっちり</t>
  </si>
  <si>
    <t>時間をきっちり守る。</t>
  </si>
  <si>
    <t>Tuân thủ thời gian chính xác.</t>
  </si>
  <si>
    <t>ジャズ</t>
  </si>
  <si>
    <t>じゃず</t>
  </si>
  <si>
    <t>nhạc jazz</t>
  </si>
  <si>
    <t>ジャズを聴く。</t>
  </si>
  <si>
    <t>Nghe nhạc jazz.</t>
  </si>
  <si>
    <t>メロディー</t>
  </si>
  <si>
    <t>めろでぃー</t>
  </si>
  <si>
    <t>giai điệu</t>
  </si>
  <si>
    <t>綺麗なメロディー。</t>
  </si>
  <si>
    <t>Giai điệu đẹp.</t>
  </si>
  <si>
    <t>ロープ</t>
  </si>
  <si>
    <t>ろーぷ</t>
  </si>
  <si>
    <t>dây thừng</t>
  </si>
  <si>
    <t>ロープを結ぶ。</t>
  </si>
  <si>
    <t>Buộc dây thừng.</t>
  </si>
  <si>
    <t>中枢</t>
  </si>
  <si>
    <t>ちゅうすう</t>
  </si>
  <si>
    <t>中枢[ちゅうすう]</t>
  </si>
  <si>
    <t>組織の中枢。</t>
  </si>
  <si>
    <t>Trung tâm của tổ chức.</t>
  </si>
  <si>
    <t>中立</t>
  </si>
  <si>
    <t>ちゅうりつ</t>
  </si>
  <si>
    <t>中立[ちゅうりつ]</t>
  </si>
  <si>
    <t>trung lập</t>
  </si>
  <si>
    <t>中立を守る。</t>
  </si>
  <si>
    <t>Giữ thái độ trung lập.</t>
  </si>
  <si>
    <t>交わる</t>
  </si>
  <si>
    <t>まじわる</t>
  </si>
  <si>
    <t>交[まじ]わる</t>
  </si>
  <si>
    <t>giao nhau</t>
  </si>
  <si>
    <t>線が交わる。</t>
  </si>
  <si>
    <t>Các đường thẳng giao nhau.</t>
  </si>
  <si>
    <t>休める</t>
  </si>
  <si>
    <t>やすめる</t>
  </si>
  <si>
    <t>休[やす]める</t>
  </si>
  <si>
    <t>体を休める。</t>
  </si>
  <si>
    <t>Nghỉ ngơi cơ thể.</t>
  </si>
  <si>
    <t>元素</t>
  </si>
  <si>
    <t>げんそ</t>
  </si>
  <si>
    <t>元素[げんそ]</t>
  </si>
  <si>
    <t>nguyên tố</t>
  </si>
  <si>
    <t>水の化学的な元素。</t>
  </si>
  <si>
    <t>Nguyên tố hóa học của nước.</t>
  </si>
  <si>
    <t>円滑</t>
  </si>
  <si>
    <t>えんかつ</t>
  </si>
  <si>
    <t>円滑[えんかつ]</t>
  </si>
  <si>
    <t>trôi chảy</t>
  </si>
  <si>
    <t>会議を円滑に進める。</t>
  </si>
  <si>
    <t>Tiến hành cuộc họp trôi chảy.</t>
  </si>
  <si>
    <t>凝らす</t>
  </si>
  <si>
    <t>こらす</t>
  </si>
  <si>
    <t>凝[こ]らす</t>
  </si>
  <si>
    <t>工夫を凝らす。</t>
  </si>
  <si>
    <t>Tập trung công sức cải tiến.</t>
  </si>
  <si>
    <t>切れ目</t>
  </si>
  <si>
    <t>きれめ</t>
  </si>
  <si>
    <t>切[き]れ目[め]</t>
  </si>
  <si>
    <t>đường cắt</t>
  </si>
  <si>
    <t>紙の切れ目を入れる。</t>
  </si>
  <si>
    <t>Tạo đường cắt trên giấy.</t>
  </si>
  <si>
    <t>劇団</t>
  </si>
  <si>
    <t>げきだん</t>
  </si>
  <si>
    <t>劇団[げきだん]</t>
  </si>
  <si>
    <t>đoàn kịch</t>
  </si>
  <si>
    <t>劇団に入団する。</t>
  </si>
  <si>
    <t>Vào đoàn kịch.</t>
  </si>
  <si>
    <t>同盟</t>
  </si>
  <si>
    <t>どうめい</t>
  </si>
  <si>
    <t>同盟[どうめい]</t>
  </si>
  <si>
    <t>liên minh</t>
  </si>
  <si>
    <t>同盟を結ぶ。</t>
  </si>
  <si>
    <t>Kết liên minh.</t>
  </si>
  <si>
    <t>品種</t>
  </si>
  <si>
    <t>ひんしゅ</t>
  </si>
  <si>
    <t>品種[ひんしゅ]</t>
  </si>
  <si>
    <t>giống cây</t>
  </si>
  <si>
    <t>新しい品種の開発。</t>
  </si>
  <si>
    <t>Phát triển giống cây mới.</t>
  </si>
  <si>
    <t>執着</t>
  </si>
  <si>
    <t>しゅうちゃく</t>
  </si>
  <si>
    <t>執着[しゅうちゃく]</t>
  </si>
  <si>
    <t>sự gắn bó</t>
  </si>
  <si>
    <t>過去に執着する。</t>
  </si>
  <si>
    <t>Gắn bó với quá khứ.</t>
  </si>
  <si>
    <t>夕暮れ</t>
  </si>
  <si>
    <t>ゆうぐれ</t>
  </si>
  <si>
    <t>夕暮[ゆうぐ]れ</t>
  </si>
  <si>
    <t>chiều tối</t>
  </si>
  <si>
    <t>夕暮れの空。</t>
  </si>
  <si>
    <t>Bầu trời chiều tối.</t>
  </si>
  <si>
    <t>大衆</t>
  </si>
  <si>
    <t>たいしゅう</t>
  </si>
  <si>
    <t>大衆[たいしゅう]</t>
  </si>
  <si>
    <t>đại chúng</t>
  </si>
  <si>
    <t>大衆を説得する。</t>
  </si>
  <si>
    <t>Thuyết phục đại chúng.</t>
  </si>
  <si>
    <t>孤独</t>
  </si>
  <si>
    <t>こどく</t>
  </si>
  <si>
    <t>孤独[こどく]</t>
  </si>
  <si>
    <t>sự cô độc</t>
  </si>
  <si>
    <t>孤独な生活。</t>
  </si>
  <si>
    <t>Cuộc sống cô độc.</t>
  </si>
  <si>
    <t>孤立</t>
  </si>
  <si>
    <t>こりつ</t>
  </si>
  <si>
    <t>孤立[こりつ]</t>
  </si>
  <si>
    <t>sự cô lập</t>
  </si>
  <si>
    <t>社会から孤立する。</t>
  </si>
  <si>
    <t>Cô lập khỏi xã hội.</t>
  </si>
  <si>
    <t>津波</t>
  </si>
  <si>
    <t>つなみ</t>
  </si>
  <si>
    <t>津波[つなみ]</t>
  </si>
  <si>
    <t>sóng thần</t>
  </si>
  <si>
    <t>津波から避難する。</t>
  </si>
  <si>
    <t>Sơ tán khỏi sóng thần.</t>
  </si>
  <si>
    <t>無論</t>
  </si>
  <si>
    <t>むろん</t>
  </si>
  <si>
    <t>無論[むろん]</t>
  </si>
  <si>
    <t>無論賛成だ。</t>
  </si>
  <si>
    <t>Tất nhiên là đồng ý.</t>
  </si>
  <si>
    <t>現行</t>
  </si>
  <si>
    <t>げんこう</t>
  </si>
  <si>
    <t>現行[げんこう]</t>
  </si>
  <si>
    <t>hiện hành</t>
  </si>
  <si>
    <t>現行の法律。</t>
  </si>
  <si>
    <t>Luật pháp hiện hành.</t>
  </si>
  <si>
    <t>良心</t>
  </si>
  <si>
    <t>良心[りょうしん]</t>
  </si>
  <si>
    <t>lương tâm</t>
  </si>
  <si>
    <t>良心に恥じる。</t>
  </si>
  <si>
    <t>Thẹn với lương tâm.</t>
  </si>
  <si>
    <t>見地</t>
  </si>
  <si>
    <t>けんち</t>
  </si>
  <si>
    <t>見地[けんち]</t>
  </si>
  <si>
    <t>客観的な見地。</t>
  </si>
  <si>
    <t>Quan điểm khách quan.</t>
  </si>
  <si>
    <t>言論</t>
  </si>
  <si>
    <t>げんろん</t>
  </si>
  <si>
    <t>言論[げんろん]</t>
  </si>
  <si>
    <t>ngôn luận</t>
  </si>
  <si>
    <t>言論の自由。</t>
  </si>
  <si>
    <t>Tự do ngôn luận.</t>
  </si>
  <si>
    <t>郷土</t>
  </si>
  <si>
    <t>きょうど</t>
  </si>
  <si>
    <t>郷土[きょうど]</t>
  </si>
  <si>
    <t>quê hương</t>
  </si>
  <si>
    <t>郷土料理を食べる。</t>
  </si>
  <si>
    <t>Ăn món ăn địa phương.</t>
  </si>
  <si>
    <t>重んじる</t>
  </si>
  <si>
    <t>おもんじる</t>
  </si>
  <si>
    <t>重[おも]んじる</t>
  </si>
  <si>
    <t>伝統を重んじる。</t>
  </si>
  <si>
    <t>Tôn trọng truyền thống.</t>
  </si>
  <si>
    <t>鍛える</t>
  </si>
  <si>
    <t>きたえる</t>
  </si>
  <si>
    <t>鍛[きた]える</t>
  </si>
  <si>
    <t>rèn luyện</t>
  </si>
  <si>
    <t>体を鍛える。</t>
  </si>
  <si>
    <t>関税</t>
  </si>
  <si>
    <t>かんぜい</t>
  </si>
  <si>
    <t>関税[かんぜい]</t>
  </si>
  <si>
    <t>thuế quan</t>
  </si>
  <si>
    <t>関税を課す。</t>
  </si>
  <si>
    <t>Áp thuế quan.</t>
  </si>
  <si>
    <t>風俗</t>
  </si>
  <si>
    <t>ふうぞく</t>
  </si>
  <si>
    <t>風俗[ふうぞく]</t>
  </si>
  <si>
    <t>phong tục</t>
  </si>
  <si>
    <t>地域の風俗。</t>
  </si>
  <si>
    <t>Phong tục địa phương.</t>
  </si>
  <si>
    <t>取り寄せる</t>
  </si>
  <si>
    <t>とりよせる</t>
  </si>
  <si>
    <t>取[と]り寄[よ]せる</t>
  </si>
  <si>
    <t>カタログから商品を取り寄せる。</t>
  </si>
  <si>
    <t>Đặt hàng sản phẩm từ danh mục.</t>
  </si>
  <si>
    <t>カクテル</t>
  </si>
  <si>
    <t>かくてる</t>
  </si>
  <si>
    <t>cocktail</t>
  </si>
  <si>
    <t>カクテルを注文する。</t>
  </si>
  <si>
    <t>Gọi cocktail.</t>
  </si>
  <si>
    <t>がっちり</t>
  </si>
  <si>
    <t>chặt chẽ</t>
  </si>
  <si>
    <t>がっちりお金を貯める。</t>
  </si>
  <si>
    <t>Tiết kiệm tiền chặt chẽ.</t>
  </si>
  <si>
    <t>ジャンボ</t>
  </si>
  <si>
    <t>じゃんぼ</t>
  </si>
  <si>
    <t>ジャンボ機が飛ぶ。</t>
  </si>
  <si>
    <t>Máy bay khổng lồ bay.</t>
  </si>
  <si>
    <t>ひたすら</t>
  </si>
  <si>
    <t>chỉ biết</t>
  </si>
  <si>
    <t>ひたすら勉強する。</t>
  </si>
  <si>
    <t>Chỉ biết học hành.</t>
  </si>
  <si>
    <t>もはや</t>
  </si>
  <si>
    <t>đã...rồi</t>
  </si>
  <si>
    <t>もはや手遅れだ。</t>
  </si>
  <si>
    <t>Đã muộn rồi.</t>
  </si>
  <si>
    <t>一見</t>
  </si>
  <si>
    <t>いっけん</t>
  </si>
  <si>
    <t>一見[いっけん]</t>
  </si>
  <si>
    <t>nhìn qua</t>
  </si>
  <si>
    <t>一見簡単そうだ。</t>
  </si>
  <si>
    <t>Nhìn qua có vẻ đơn giản.</t>
  </si>
  <si>
    <t>一部分</t>
  </si>
  <si>
    <t>いちぶぶん</t>
  </si>
  <si>
    <t>一部分[いちぶぶん]</t>
  </si>
  <si>
    <t>một phần</t>
  </si>
  <si>
    <t>一部分を直す。</t>
  </si>
  <si>
    <t>Sửa một phần.</t>
  </si>
  <si>
    <t>両立</t>
  </si>
  <si>
    <t>りょうりつ</t>
  </si>
  <si>
    <t>両立[りょうりつ]</t>
  </si>
  <si>
    <t>家庭と仕事を両立する。</t>
  </si>
  <si>
    <t>Cân bằng giữa gia đình và công việc.</t>
  </si>
  <si>
    <t>交える</t>
  </si>
  <si>
    <t>まじえる</t>
  </si>
  <si>
    <t>交[まじ]える</t>
  </si>
  <si>
    <t>trộn lẫn</t>
  </si>
  <si>
    <t>意見を交える。</t>
  </si>
  <si>
    <t>Trộn lẫn các ý kiến.</t>
  </si>
  <si>
    <t>傍ら</t>
  </si>
  <si>
    <t>かたわら</t>
  </si>
  <si>
    <t>傍[かたわ]ら</t>
  </si>
  <si>
    <t>道の傍らに咲く花。</t>
  </si>
  <si>
    <t>Hoa nở bên cạnh con đường.</t>
  </si>
  <si>
    <t>公立</t>
  </si>
  <si>
    <t>公立[こうりつ]</t>
  </si>
  <si>
    <t>công lập</t>
  </si>
  <si>
    <t>公立の学校に通う。</t>
  </si>
  <si>
    <t>Học trường công lập.</t>
  </si>
  <si>
    <t>冴える</t>
  </si>
  <si>
    <t>さえる</t>
  </si>
  <si>
    <t>冴[さ]える</t>
  </si>
  <si>
    <t>tỉnh táo</t>
  </si>
  <si>
    <t>頭が冴える夜。</t>
  </si>
  <si>
    <t>Đêm đầu óc tỉnh táo.</t>
  </si>
  <si>
    <t>刃</t>
  </si>
  <si>
    <t>刃[は]</t>
  </si>
  <si>
    <t>lưỡi dao</t>
  </si>
  <si>
    <t>鋭い刃で切る。</t>
  </si>
  <si>
    <t>Cắt bằng lưỡi dao sắc.</t>
  </si>
  <si>
    <t>効き目</t>
  </si>
  <si>
    <t>ききめ</t>
  </si>
  <si>
    <t>効[き]き目[め]</t>
  </si>
  <si>
    <t>薬の効き目がある。</t>
  </si>
  <si>
    <t>動力</t>
  </si>
  <si>
    <t>どうりょく</t>
  </si>
  <si>
    <t>動力[どうりょく]</t>
  </si>
  <si>
    <t>động lực</t>
  </si>
  <si>
    <t>エンジンの動力。</t>
  </si>
  <si>
    <t>Động lực của động cơ.</t>
  </si>
  <si>
    <t>勧誘</t>
  </si>
  <si>
    <t>かんゆう</t>
  </si>
  <si>
    <t>勧誘[かんゆう]</t>
  </si>
  <si>
    <t>sự dụ dỗ</t>
  </si>
  <si>
    <t>寄付の勧誘。</t>
  </si>
  <si>
    <t>Dụ dỗ quyên góp.</t>
  </si>
  <si>
    <t>化ける</t>
  </si>
  <si>
    <t>ばける</t>
  </si>
  <si>
    <t>化[ば]ける</t>
  </si>
  <si>
    <t>biến hóa</t>
  </si>
  <si>
    <t>タヌキが人間に化ける。</t>
  </si>
  <si>
    <t>Con lửng biến hóa thành người.</t>
  </si>
  <si>
    <t>区切り</t>
  </si>
  <si>
    <t>くぎり</t>
  </si>
  <si>
    <t>区切[くぎ]り</t>
  </si>
  <si>
    <t>dấu ngăn</t>
  </si>
  <si>
    <t>文章の区切り。</t>
  </si>
  <si>
    <t>Dấu ngăn của đoạn văn.</t>
  </si>
  <si>
    <t>単一</t>
  </si>
  <si>
    <t>たんいつ</t>
  </si>
  <si>
    <t>単一[たんいつ]</t>
  </si>
  <si>
    <t>単一の材料。</t>
  </si>
  <si>
    <t>Nguyên liệu duy nhất.</t>
  </si>
  <si>
    <t>即する</t>
  </si>
  <si>
    <t>そくする</t>
  </si>
  <si>
    <t>即[そく]する</t>
  </si>
  <si>
    <t>theo sát</t>
  </si>
  <si>
    <t>事実に即する説明。</t>
  </si>
  <si>
    <t>Giải thích theo sát thực tế.</t>
  </si>
  <si>
    <t>取り立てる</t>
  </si>
  <si>
    <t>とりたてる</t>
  </si>
  <si>
    <t>取[と]り立[た]てる</t>
  </si>
  <si>
    <t>thu</t>
  </si>
  <si>
    <t>借金を取り立てる。</t>
  </si>
  <si>
    <t>Thu nợ.</t>
  </si>
  <si>
    <t>取り調べる</t>
  </si>
  <si>
    <t>とりしらべる</t>
  </si>
  <si>
    <t>取[と]り調[しら]べる</t>
  </si>
  <si>
    <t>犯人を取り調べる。</t>
  </si>
  <si>
    <t>Điều tra tội phạm.</t>
  </si>
  <si>
    <t>台本</t>
  </si>
  <si>
    <t>だいほん</t>
  </si>
  <si>
    <t>台本[だいほん]</t>
  </si>
  <si>
    <t>台本を覚える。</t>
  </si>
  <si>
    <t>Ghi nhớ kịch bản.</t>
  </si>
  <si>
    <t>嘆く</t>
  </si>
  <si>
    <t>なげく</t>
  </si>
  <si>
    <t>嘆[なげ]く</t>
  </si>
  <si>
    <t>than vãn</t>
  </si>
  <si>
    <t>失敗を嘆く。</t>
  </si>
  <si>
    <t>Than vãn về thất bại.</t>
  </si>
  <si>
    <t>土台</t>
  </si>
  <si>
    <t>どだい</t>
  </si>
  <si>
    <t>土台[どだい]</t>
  </si>
  <si>
    <t>家の土台を作る。</t>
  </si>
  <si>
    <t>Làm nền tảng ngôi nhà.</t>
  </si>
  <si>
    <t>地形</t>
  </si>
  <si>
    <t>ちけい</t>
  </si>
  <si>
    <t>地形[ちけい]</t>
  </si>
  <si>
    <t>địa hình</t>
  </si>
  <si>
    <t>起伏の多い地形。</t>
  </si>
  <si>
    <t>Địa hình nhiều nhấp nhô.</t>
  </si>
  <si>
    <t>地獄</t>
  </si>
  <si>
    <t>じごく</t>
  </si>
  <si>
    <t>地獄[じごく]</t>
  </si>
  <si>
    <t>địa ngục</t>
  </si>
  <si>
    <t>地獄のような苦しみ。</t>
  </si>
  <si>
    <t>Nỗi khổ như địa ngục.</t>
  </si>
  <si>
    <t>外観</t>
  </si>
  <si>
    <t>がいかん</t>
  </si>
  <si>
    <t>外観[がいかん]</t>
  </si>
  <si>
    <t>diện mạo</t>
  </si>
  <si>
    <t>家の外観が良い。</t>
  </si>
  <si>
    <t>Diện mạo ngôi nhà tốt.</t>
  </si>
  <si>
    <t>天下</t>
  </si>
  <si>
    <t>てんか</t>
  </si>
  <si>
    <t>天下[てんか]</t>
  </si>
  <si>
    <t>thiên hạ</t>
  </si>
  <si>
    <t>天下を取る。</t>
  </si>
  <si>
    <t>Chiếm lĩnh thiên hạ.</t>
  </si>
  <si>
    <t>天地</t>
  </si>
  <si>
    <t>てんち</t>
  </si>
  <si>
    <t>天地[てんち]</t>
  </si>
  <si>
    <t>trời đất</t>
  </si>
  <si>
    <t>天地がひっくり返る。</t>
  </si>
  <si>
    <t>Trời đất đảo lộn.</t>
  </si>
  <si>
    <t>完ぺき</t>
  </si>
  <si>
    <t>かんぺき</t>
  </si>
  <si>
    <t>完[かん]ぺき</t>
  </si>
  <si>
    <t>hoàn hảo</t>
  </si>
  <si>
    <t>完ぺきな計画。</t>
  </si>
  <si>
    <t>Kế hoạch hoàn hảo.</t>
  </si>
  <si>
    <t>欲望</t>
  </si>
  <si>
    <t>よくぼう</t>
  </si>
  <si>
    <t>欲望[よくぼう]</t>
  </si>
  <si>
    <t>dục vọng</t>
  </si>
  <si>
    <t>欲望を満足させる。</t>
  </si>
  <si>
    <t>Thỏa mãn dục vọng.</t>
  </si>
  <si>
    <t>活発</t>
  </si>
  <si>
    <t>かっぱつ</t>
  </si>
  <si>
    <t>活発[かっぱつ]</t>
  </si>
  <si>
    <t>hoạt bát</t>
  </si>
  <si>
    <t>活発な議論をする。</t>
  </si>
  <si>
    <t>Thảo luận một cách hoạt bát.</t>
  </si>
  <si>
    <t>犯す</t>
  </si>
  <si>
    <t>犯[おか]す</t>
  </si>
  <si>
    <t>phạm</t>
  </si>
  <si>
    <t>重い罪を犯す。</t>
  </si>
  <si>
    <t>Phạm tội nặng.</t>
  </si>
  <si>
    <t>華やか</t>
  </si>
  <si>
    <t>はなやか</t>
  </si>
  <si>
    <t>華[はな]やか</t>
  </si>
  <si>
    <t>lộng lẫy</t>
  </si>
  <si>
    <t>華やかな衣装。</t>
  </si>
  <si>
    <t>Trang phục lộng lẫy.</t>
  </si>
  <si>
    <t>蛋白質</t>
  </si>
  <si>
    <t>たんぱくしつ</t>
  </si>
  <si>
    <t>蛋白質[たんぱくしつ]</t>
  </si>
  <si>
    <t>chất đạm</t>
  </si>
  <si>
    <t>蛋白質を摂取する。</t>
  </si>
  <si>
    <t>Hấp thụ chất đạm.</t>
  </si>
  <si>
    <t>規範</t>
  </si>
  <si>
    <t>きはん</t>
  </si>
  <si>
    <t>規範[きはん]</t>
  </si>
  <si>
    <t>quy phạm</t>
  </si>
  <si>
    <t>道徳的規範。</t>
  </si>
  <si>
    <t>Quy phạm đạo đức.</t>
  </si>
  <si>
    <t>観衆</t>
  </si>
  <si>
    <t>かんしゅう</t>
  </si>
  <si>
    <t>観衆[かんしゅう]</t>
  </si>
  <si>
    <t>観衆が沸く。</t>
  </si>
  <si>
    <t>Khán giả sôi động.</t>
  </si>
  <si>
    <t>趣旨</t>
  </si>
  <si>
    <t>しゅし</t>
  </si>
  <si>
    <t>趣旨[しゅし]</t>
  </si>
  <si>
    <t>趣旨を説明する。</t>
  </si>
  <si>
    <t>Giải thích mục đích.</t>
  </si>
  <si>
    <t>造り</t>
  </si>
  <si>
    <t>造[つく]り</t>
  </si>
  <si>
    <t>頑丈な造り。</t>
  </si>
  <si>
    <t>Cấu trúc vững chắc.</t>
  </si>
  <si>
    <t>運賃</t>
  </si>
  <si>
    <t>うんちん</t>
  </si>
  <si>
    <t>運賃[うんちん]</t>
  </si>
  <si>
    <t>運賃を支払う。</t>
  </si>
  <si>
    <t>Chi trả cước phí.</t>
  </si>
  <si>
    <t>野生</t>
  </si>
  <si>
    <t>やせい</t>
  </si>
  <si>
    <t>野生[やせい]</t>
  </si>
  <si>
    <t>hoang dã</t>
  </si>
  <si>
    <t>野生の動物。</t>
  </si>
  <si>
    <t>Động vật hoang dã.</t>
  </si>
  <si>
    <t>闇</t>
  </si>
  <si>
    <t>やみ</t>
  </si>
  <si>
    <t>闇[やみ]</t>
  </si>
  <si>
    <t>bóng tối</t>
  </si>
  <si>
    <t>闇が広がる。</t>
  </si>
  <si>
    <t>Bóng tối lan rộng.</t>
  </si>
  <si>
    <t>阻む</t>
  </si>
  <si>
    <t>はばむ</t>
  </si>
  <si>
    <t>阻[はば]む</t>
  </si>
  <si>
    <t>ngăn cản</t>
  </si>
  <si>
    <t>進路を阻む。</t>
  </si>
  <si>
    <t>Ngăn cản lộ trình.</t>
  </si>
  <si>
    <t>いざ</t>
  </si>
  <si>
    <t>đến lúc</t>
  </si>
  <si>
    <t>いざ出発する。</t>
  </si>
  <si>
    <t>Đến lúc xuất phát rồi.</t>
  </si>
  <si>
    <t>カルテ</t>
  </si>
  <si>
    <t>かるて</t>
  </si>
  <si>
    <t>bệnh án</t>
  </si>
  <si>
    <t>カルテに記入する。</t>
  </si>
  <si>
    <t>Ghi vào bệnh án.</t>
  </si>
  <si>
    <t>セクション</t>
  </si>
  <si>
    <t>せくしょん</t>
  </si>
  <si>
    <t>各セクションに配属する。</t>
  </si>
  <si>
    <t>Phân bổ vào các bộ phận.</t>
  </si>
  <si>
    <t>セレモニー</t>
  </si>
  <si>
    <t>せれもにー</t>
  </si>
  <si>
    <t>nghi lễ</t>
  </si>
  <si>
    <t>セレモニーに出席する。</t>
  </si>
  <si>
    <t>Tham dự nghi lễ.</t>
  </si>
  <si>
    <t>なにより</t>
  </si>
  <si>
    <t>hơn hết</t>
  </si>
  <si>
    <t>健康がなによりだ。</t>
  </si>
  <si>
    <t>Sức khỏe là hơn hết.</t>
  </si>
  <si>
    <t>一括</t>
  </si>
  <si>
    <t>いっかつ</t>
  </si>
  <si>
    <t>一括[いっかつ]</t>
  </si>
  <si>
    <t>gộp lại</t>
  </si>
  <si>
    <t>データを一括して送る。</t>
  </si>
  <si>
    <t>Gửi dữ liệu gộp lại.</t>
  </si>
  <si>
    <t>不振</t>
  </si>
  <si>
    <t>ふしん</t>
  </si>
  <si>
    <t>不振[ふしん]</t>
  </si>
  <si>
    <t>trì trệ</t>
  </si>
  <si>
    <t>売上が不振だ。</t>
  </si>
  <si>
    <t>Doanh số trì trệ.</t>
  </si>
  <si>
    <t>仕上がり</t>
  </si>
  <si>
    <t>しあがり</t>
  </si>
  <si>
    <t>仕上[しあ]がり</t>
  </si>
  <si>
    <t>仕上がりが綺麗だ。</t>
  </si>
  <si>
    <t>Kết quả rất đẹp.</t>
  </si>
  <si>
    <t>値打ち</t>
  </si>
  <si>
    <t>ねうち</t>
  </si>
  <si>
    <t>値打[ねう]ち</t>
  </si>
  <si>
    <t>この絵には値打ちがある。</t>
  </si>
  <si>
    <t>Bức tranh này có giá trị.</t>
  </si>
  <si>
    <t>催す</t>
  </si>
  <si>
    <t>もよおす</t>
  </si>
  <si>
    <t>催[もよお]す</t>
  </si>
  <si>
    <t>パーティーを催す。</t>
  </si>
  <si>
    <t>Tổ chức bữa tiệc.</t>
  </si>
  <si>
    <t>写し</t>
  </si>
  <si>
    <t>うつし</t>
  </si>
  <si>
    <t>写[うつ]し</t>
  </si>
  <si>
    <t>bản sao</t>
  </si>
  <si>
    <t>書類の写しをとる。</t>
  </si>
  <si>
    <t>Lấy bản sao tài liệu.</t>
  </si>
  <si>
    <t>前例</t>
  </si>
  <si>
    <t>ぜんれい</t>
  </si>
  <si>
    <t>前例[ぜんれい]</t>
  </si>
  <si>
    <t>tiền lệ</t>
  </si>
  <si>
    <t>前例のない挑戦。</t>
  </si>
  <si>
    <t>Thử thách không có tiền lệ.</t>
  </si>
  <si>
    <t>努めて</t>
  </si>
  <si>
    <t>つとめて</t>
  </si>
  <si>
    <t>努[つと]めて</t>
  </si>
  <si>
    <t>努めて平静にする。</t>
  </si>
  <si>
    <t>Cố gắng giữ bình tĩnh.</t>
  </si>
  <si>
    <t>区画</t>
  </si>
  <si>
    <t>くかく</t>
  </si>
  <si>
    <t>区画[くかく]</t>
  </si>
  <si>
    <t>土地を区画する。</t>
  </si>
  <si>
    <t>Phân chia khu vực đất.</t>
  </si>
  <si>
    <t>印鑑</t>
  </si>
  <si>
    <t>いんかん</t>
  </si>
  <si>
    <t>印鑑[いんかん]</t>
  </si>
  <si>
    <t>con dấu</t>
  </si>
  <si>
    <t>書類に印鑑を押す。</t>
  </si>
  <si>
    <t>Đóng con dấu vào tài liệu.</t>
  </si>
  <si>
    <t>収支</t>
  </si>
  <si>
    <t>しゅうし</t>
  </si>
  <si>
    <t>収支[しゅうし]</t>
  </si>
  <si>
    <t>thu chi</t>
  </si>
  <si>
    <t>収支を計算する。</t>
  </si>
  <si>
    <t>Tính toán thu chi.</t>
  </si>
  <si>
    <t>受け継ぐ</t>
  </si>
  <si>
    <t>うけつぐ</t>
  </si>
  <si>
    <t>受[う]け継[つ]ぐ</t>
  </si>
  <si>
    <t>kế thừa</t>
  </si>
  <si>
    <t>伝統を受け継ぐ。</t>
  </si>
  <si>
    <t>Kế thừa truyền thống.</t>
  </si>
  <si>
    <t>司法</t>
  </si>
  <si>
    <t>しほう</t>
  </si>
  <si>
    <t>司法[しほう]</t>
  </si>
  <si>
    <t>tư pháp</t>
  </si>
  <si>
    <t>司法の判断。</t>
  </si>
  <si>
    <t>Phán đoán của tư pháp.</t>
  </si>
  <si>
    <t>名簿</t>
  </si>
  <si>
    <t>めいぼ</t>
  </si>
  <si>
    <t>名簿[めいぼ]</t>
  </si>
  <si>
    <t>danh bạ</t>
  </si>
  <si>
    <t>会員の名簿を作る。</t>
  </si>
  <si>
    <t>Làm danh bạ hội viên.</t>
  </si>
  <si>
    <t>名誉</t>
  </si>
  <si>
    <t>めいよ</t>
  </si>
  <si>
    <t>名誉[めいよ]</t>
  </si>
  <si>
    <t>danh dự</t>
  </si>
  <si>
    <t>名誉なことである。</t>
  </si>
  <si>
    <t>Là việc danh dự.</t>
  </si>
  <si>
    <t>呟く</t>
  </si>
  <si>
    <t>つぶやく</t>
  </si>
  <si>
    <t>呟[つぶや]く</t>
  </si>
  <si>
    <t>lầm bầm</t>
  </si>
  <si>
    <t>何かを呟く。</t>
  </si>
  <si>
    <t>Lầm bầm cái gì đó.</t>
  </si>
  <si>
    <t>大方</t>
  </si>
  <si>
    <t>おおかた</t>
  </si>
  <si>
    <t>大方[おおかた]</t>
  </si>
  <si>
    <t>hầu hết</t>
  </si>
  <si>
    <t>仕事は大方終わる。</t>
  </si>
  <si>
    <t>Công việc hầu hết đã xong.</t>
  </si>
  <si>
    <t>定食</t>
  </si>
  <si>
    <t>ていしょく</t>
  </si>
  <si>
    <t>定食[ていしょく]</t>
  </si>
  <si>
    <t>phần ăn</t>
  </si>
  <si>
    <t>日替わりの定食。</t>
  </si>
  <si>
    <t>Phần ăn thay đổi hàng ngày.</t>
  </si>
  <si>
    <t>汚れ</t>
  </si>
  <si>
    <t>よごれ</t>
  </si>
  <si>
    <t>汚[よご]れ</t>
  </si>
  <si>
    <t>vết bẩn</t>
  </si>
  <si>
    <t>服の汚れを落とす。</t>
  </si>
  <si>
    <t>Tẩy vết bẩn trên quần áo.</t>
  </si>
  <si>
    <t>自我</t>
  </si>
  <si>
    <t>じが</t>
  </si>
  <si>
    <t>自我[じが]</t>
  </si>
  <si>
    <t>cái tôi</t>
  </si>
  <si>
    <t>自我が芽生える。</t>
  </si>
  <si>
    <t>Cái tôi bắt đầu nảy sinh.</t>
  </si>
  <si>
    <t>荷</t>
  </si>
  <si>
    <t>荷[に]</t>
  </si>
  <si>
    <t>荷を下ろす。</t>
  </si>
  <si>
    <t>Dỡ hành lý.</t>
  </si>
  <si>
    <t>規約</t>
  </si>
  <si>
    <t>きやく</t>
  </si>
  <si>
    <t>規約[きやく]</t>
  </si>
  <si>
    <t>điều lệ</t>
  </si>
  <si>
    <t>規約に同意する。</t>
  </si>
  <si>
    <t>Đồng ý với điều lệ.</t>
  </si>
  <si>
    <t>語彙</t>
  </si>
  <si>
    <t>ごい</t>
  </si>
  <si>
    <t>語彙[ごい]</t>
  </si>
  <si>
    <t>từ vựng</t>
  </si>
  <si>
    <t>語彙を増やす。</t>
  </si>
  <si>
    <t>Tăng cường từ vựng.</t>
  </si>
  <si>
    <t>議案</t>
  </si>
  <si>
    <t>ぎあん</t>
  </si>
  <si>
    <t>議案[ぎあん]</t>
  </si>
  <si>
    <t>議案を提出する。</t>
  </si>
  <si>
    <t>Đệ trình dự luật.</t>
  </si>
  <si>
    <t>財</t>
  </si>
  <si>
    <t>ざい</t>
  </si>
  <si>
    <t>財[ざい]</t>
  </si>
  <si>
    <t>国の財。</t>
  </si>
  <si>
    <t>Tài sản của quốc gia.</t>
  </si>
  <si>
    <t>貨幣</t>
  </si>
  <si>
    <t>かへい</t>
  </si>
  <si>
    <t>貨幣[かへい]</t>
  </si>
  <si>
    <t>tiền tệ</t>
  </si>
  <si>
    <t>貨幣の価値。</t>
  </si>
  <si>
    <t>Giá trị tiền tệ.</t>
  </si>
  <si>
    <t>軌道</t>
  </si>
  <si>
    <t>きどう</t>
  </si>
  <si>
    <t>軌道[きどう]</t>
  </si>
  <si>
    <t>quỹ đạo</t>
  </si>
  <si>
    <t>衛星が軌道に乗る。</t>
  </si>
  <si>
    <t>Vệ tinh đi vào quỹ đạo.</t>
  </si>
  <si>
    <t>連なる</t>
  </si>
  <si>
    <t>つらなる</t>
  </si>
  <si>
    <t>連[つら]なる</t>
  </si>
  <si>
    <t>山々が連なる。</t>
  </si>
  <si>
    <t>Những dãy núi kéo dài.</t>
  </si>
  <si>
    <t>運輸</t>
  </si>
  <si>
    <t>うんゆ</t>
  </si>
  <si>
    <t>運輸[うんゆ]</t>
  </si>
  <si>
    <t>vận tải</t>
  </si>
  <si>
    <t>運輸業界。</t>
  </si>
  <si>
    <t>Ngành vận tải.</t>
  </si>
  <si>
    <t>遺跡</t>
  </si>
  <si>
    <t>いせき</t>
  </si>
  <si>
    <t>遺跡[いせき]</t>
  </si>
  <si>
    <t>di tích</t>
  </si>
  <si>
    <t>遺跡を発掘する。</t>
  </si>
  <si>
    <t>Khai quật di tích.</t>
  </si>
  <si>
    <t>驚異</t>
  </si>
  <si>
    <t>きょうい</t>
  </si>
  <si>
    <t>驚異[きょうい]</t>
  </si>
  <si>
    <t>kỳ quan</t>
  </si>
  <si>
    <t>自然の驚異。</t>
  </si>
  <si>
    <t>Kỳ quan thiên nhiên.</t>
  </si>
  <si>
    <t>だと</t>
  </si>
  <si>
    <t>nếu là</t>
  </si>
  <si>
    <t>それだと困る。</t>
  </si>
  <si>
    <t>Nếu là thế thì phiền phức.</t>
  </si>
  <si>
    <t>パンク</t>
  </si>
  <si>
    <t>ぱんく</t>
  </si>
  <si>
    <t>nổ lốp</t>
  </si>
  <si>
    <t>タイヤがパンクする。</t>
  </si>
  <si>
    <t>Lốp xe bị nổ.</t>
  </si>
  <si>
    <t>信者</t>
  </si>
  <si>
    <t>しんじゃ</t>
  </si>
  <si>
    <t>信者[しんじゃ]</t>
  </si>
  <si>
    <t>tín đồ</t>
  </si>
  <si>
    <t>熱心な宗教の信者。</t>
  </si>
  <si>
    <t>Tín đồ tôn giáo nhiệt thành.</t>
  </si>
  <si>
    <t>元来</t>
  </si>
  <si>
    <t>がんらい</t>
  </si>
  <si>
    <t>元来[がんらい]</t>
  </si>
  <si>
    <t>彼は元来正直だ。</t>
  </si>
  <si>
    <t>Anh ấy vốn dĩ trung thực.</t>
  </si>
  <si>
    <t>周期</t>
  </si>
  <si>
    <t>しゅうき</t>
  </si>
  <si>
    <t>周期[しゅうき]</t>
  </si>
  <si>
    <t>景気の周期。</t>
  </si>
  <si>
    <t>大胆</t>
  </si>
  <si>
    <t>だいたん</t>
  </si>
  <si>
    <t>大胆[だいたん]</t>
  </si>
  <si>
    <t>gan dạ</t>
  </si>
  <si>
    <t>大胆な計画。</t>
  </si>
  <si>
    <t>Kế hoạch gan dạ.</t>
  </si>
  <si>
    <t>武力</t>
  </si>
  <si>
    <t>ぶりょく</t>
  </si>
  <si>
    <t>武力[ぶりょく]</t>
  </si>
  <si>
    <t>vũ lực</t>
  </si>
  <si>
    <t>武力を行使する。</t>
  </si>
  <si>
    <t>Sử dụng vũ lực.</t>
  </si>
  <si>
    <t>細胞</t>
  </si>
  <si>
    <t>さいぼう</t>
  </si>
  <si>
    <t>細胞[さいぼう]</t>
  </si>
  <si>
    <t>tế bào</t>
  </si>
  <si>
    <t>細胞を観察する。</t>
  </si>
  <si>
    <t>Quan sát tế bào.</t>
  </si>
  <si>
    <t>織物</t>
  </si>
  <si>
    <t>おりもの</t>
  </si>
  <si>
    <t>織物[おりもの]</t>
  </si>
  <si>
    <t>đồ dệt</t>
  </si>
  <si>
    <t>伝統的な織物。</t>
  </si>
  <si>
    <t>Đồ dệt truyền thống.</t>
  </si>
  <si>
    <t>落下</t>
  </si>
  <si>
    <t>らっか</t>
  </si>
  <si>
    <t>落下[らっか]</t>
  </si>
  <si>
    <t>sự rơi</t>
  </si>
  <si>
    <t>物が落下する。</t>
  </si>
  <si>
    <t>Vật rơi xuống.</t>
  </si>
  <si>
    <t>衰える</t>
  </si>
  <si>
    <t>おとろえる</t>
  </si>
  <si>
    <t>衰[おとろ]える</t>
  </si>
  <si>
    <t>yếu đi</t>
  </si>
  <si>
    <t>体力が衰える。</t>
  </si>
  <si>
    <t>Thể lực yếu đi.</t>
  </si>
  <si>
    <t>赴く</t>
  </si>
  <si>
    <t>おもむく</t>
  </si>
  <si>
    <t>赴[おもむ]く</t>
  </si>
  <si>
    <t>đi tới</t>
  </si>
  <si>
    <t>現地へ赴く。</t>
  </si>
  <si>
    <t>Đi tới hiện trường.</t>
  </si>
  <si>
    <t>遠ざかる</t>
  </si>
  <si>
    <t>とおざかる</t>
  </si>
  <si>
    <t>遠[とお]ざかる</t>
  </si>
  <si>
    <t>家から遠ざかる。</t>
  </si>
  <si>
    <t>Rời xa ngôi nhà.</t>
  </si>
  <si>
    <t>遥か</t>
  </si>
  <si>
    <t>はるか</t>
  </si>
  <si>
    <t>遥[はる]か</t>
  </si>
  <si>
    <t>xa xôi</t>
  </si>
  <si>
    <t>遥かな道のり。</t>
  </si>
  <si>
    <t>Con đường xa xôi.</t>
  </si>
  <si>
    <t>野心</t>
  </si>
  <si>
    <t>やしん</t>
  </si>
  <si>
    <t>野心[やしん]</t>
  </si>
  <si>
    <t>dã tâm</t>
  </si>
  <si>
    <t>野心を持つ。</t>
  </si>
  <si>
    <t>Có dã tâm.</t>
  </si>
  <si>
    <t>閲覧</t>
  </si>
  <si>
    <t>えつらん</t>
  </si>
  <si>
    <t>閲覧[えつらん]</t>
  </si>
  <si>
    <t>sự xem</t>
  </si>
  <si>
    <t>サイトを閲覧する。</t>
  </si>
  <si>
    <t>Xem trang web.</t>
  </si>
  <si>
    <t>アラブ</t>
  </si>
  <si>
    <t>あらぶ</t>
  </si>
  <si>
    <t>ả rập</t>
  </si>
  <si>
    <t>アラブ諸国を訪問する。</t>
  </si>
  <si>
    <t>Thăm các nước Ả Rập.</t>
  </si>
  <si>
    <t>ゼリー</t>
  </si>
  <si>
    <t>ぜりー</t>
  </si>
  <si>
    <t>thạch</t>
  </si>
  <si>
    <t>デザートにゼリーを食べる。</t>
  </si>
  <si>
    <t>Ăn thạch tráng miệng.</t>
  </si>
  <si>
    <t>もしかして</t>
  </si>
  <si>
    <t>もしかして忘れた？</t>
  </si>
  <si>
    <t>Có lẽ quên rồi à?</t>
  </si>
  <si>
    <t>侍</t>
  </si>
  <si>
    <t>さむらい</t>
  </si>
  <si>
    <t>侍[さむらい]</t>
  </si>
  <si>
    <t>võ sĩ</t>
  </si>
  <si>
    <t>侍の歴史。</t>
  </si>
  <si>
    <t>Lịch sử võ sĩ.</t>
  </si>
  <si>
    <t>言い訳</t>
  </si>
  <si>
    <t>いいわけ</t>
  </si>
  <si>
    <t>言[い]い訳[わけ]</t>
  </si>
  <si>
    <t>言い訳をするな。</t>
  </si>
  <si>
    <t>Đừng lấy lý do.</t>
  </si>
  <si>
    <t>貧乏</t>
  </si>
  <si>
    <t>びんぼう</t>
  </si>
  <si>
    <t>貧乏[びんぼう]</t>
  </si>
  <si>
    <t>nghèo</t>
  </si>
  <si>
    <t>貧乏な生活。</t>
  </si>
  <si>
    <t>Cuộc sống nghèo.</t>
  </si>
  <si>
    <t>もしくは</t>
  </si>
  <si>
    <t>電話もしくはメール。</t>
  </si>
  <si>
    <t>Điện thoại hoặc email.</t>
  </si>
  <si>
    <t>回路</t>
  </si>
  <si>
    <t>かいろ</t>
  </si>
  <si>
    <t>回路[かいろ]</t>
  </si>
  <si>
    <t>mạch</t>
  </si>
  <si>
    <t>電子の回路。</t>
  </si>
  <si>
    <t>Mạch điện tử.</t>
  </si>
  <si>
    <t>垂れる</t>
  </si>
  <si>
    <t>たれる</t>
  </si>
  <si>
    <t>垂[た]れる</t>
  </si>
  <si>
    <t>枝が垂れる。</t>
  </si>
  <si>
    <t>Cành treo xuống.</t>
  </si>
  <si>
    <t>埋め込む</t>
  </si>
  <si>
    <t>うめこむ</t>
  </si>
  <si>
    <t>埋[う]め込[こ]む</t>
  </si>
  <si>
    <t>データを埋め込む。</t>
  </si>
  <si>
    <t>Chôn dữ liệu.</t>
  </si>
  <si>
    <t>演ずる</t>
  </si>
  <si>
    <t>えんずる</t>
  </si>
  <si>
    <t>演[えん]ずる</t>
  </si>
  <si>
    <t>喜劇を演ずる。</t>
  </si>
  <si>
    <t>Diễn một vở kịch hài.</t>
  </si>
  <si>
    <t>用紙</t>
  </si>
  <si>
    <t>ようし</t>
  </si>
  <si>
    <t>用紙[ようし]</t>
  </si>
  <si>
    <t>申込用紙に記入する。</t>
  </si>
  <si>
    <t>Điền vào giấy đăng ký.</t>
  </si>
  <si>
    <t>脈</t>
  </si>
  <si>
    <t>みゃく</t>
  </si>
  <si>
    <t>脈[みゃく]</t>
  </si>
  <si>
    <t>脈を測る。</t>
  </si>
  <si>
    <t>Đo mạch.</t>
  </si>
  <si>
    <t>鉄鋼</t>
  </si>
  <si>
    <t>てっこう</t>
  </si>
  <si>
    <t>鉄鋼[てっこう]</t>
  </si>
  <si>
    <t>thép</t>
  </si>
  <si>
    <t>鉄鋼業。</t>
  </si>
  <si>
    <t>Ngành thép.</t>
  </si>
  <si>
    <t>静的</t>
  </si>
  <si>
    <t>せいてき</t>
  </si>
  <si>
    <t>静的[せいてき]</t>
  </si>
  <si>
    <t>tĩnh</t>
  </si>
  <si>
    <t>静的なコンテンツ。</t>
  </si>
  <si>
    <t>Nội dung tĩnh.</t>
  </si>
  <si>
    <t>ブーツ</t>
  </si>
  <si>
    <t>ぶーつ</t>
  </si>
  <si>
    <t>ủng</t>
  </si>
  <si>
    <t>ブーツを履く。</t>
  </si>
  <si>
    <t>Đi ủng.</t>
  </si>
  <si>
    <t>ライス</t>
  </si>
  <si>
    <t>らいす</t>
  </si>
  <si>
    <t>ライスを注文する。</t>
  </si>
  <si>
    <t>Gọi cơm.</t>
  </si>
  <si>
    <t>ランプ</t>
  </si>
  <si>
    <t>らんぷ</t>
  </si>
  <si>
    <t>đèn</t>
  </si>
  <si>
    <t>ランプをつける。</t>
  </si>
  <si>
    <t>剥ぐ</t>
  </si>
  <si>
    <t>はぐ</t>
  </si>
  <si>
    <t>剥[は]ぐ</t>
  </si>
  <si>
    <t>lột</t>
  </si>
  <si>
    <t>果物の皮を剥ぐ。</t>
  </si>
  <si>
    <t>Lột vỏ trái cây.</t>
  </si>
  <si>
    <t>基金</t>
  </si>
  <si>
    <t>ききん</t>
  </si>
  <si>
    <t>基金[ききん]</t>
  </si>
  <si>
    <t>quỹ</t>
  </si>
  <si>
    <t>基金を設立する。</t>
  </si>
  <si>
    <t>Thành lập quỹ.</t>
  </si>
  <si>
    <t>陣</t>
  </si>
  <si>
    <t>じん</t>
  </si>
  <si>
    <t>陣[じん]</t>
  </si>
  <si>
    <t>phe</t>
  </si>
  <si>
    <t>敵の陣。</t>
  </si>
  <si>
    <t>Phe kẻ địch.</t>
  </si>
  <si>
    <t>おむつ</t>
  </si>
  <si>
    <t>tã</t>
  </si>
  <si>
    <t>赤ちゃんのおむつを替える。</t>
  </si>
  <si>
    <t>Thay tã cho em bé.</t>
  </si>
  <si>
    <t>旅館</t>
  </si>
  <si>
    <t>りょかん</t>
  </si>
  <si>
    <t>旅館[りょかん]</t>
  </si>
  <si>
    <t>旅館に泊まる。</t>
  </si>
  <si>
    <t>Tôi trọ tại nhà nghỉ kiểu Nhật.</t>
  </si>
  <si>
    <t>次第</t>
  </si>
  <si>
    <t>しだい</t>
  </si>
  <si>
    <t>次第[しだい]</t>
  </si>
  <si>
    <t>tùy thuộc</t>
  </si>
  <si>
    <t>天気次第。</t>
  </si>
  <si>
    <t>Nó tùy thuộc vào thời tiết.</t>
  </si>
  <si>
    <t>死亡</t>
  </si>
  <si>
    <t>しぼう</t>
  </si>
  <si>
    <t>死亡[しぼう]</t>
  </si>
  <si>
    <t>tử vong</t>
  </si>
  <si>
    <t>死亡を確認する。</t>
  </si>
  <si>
    <t>Xác nhận tử vong.</t>
  </si>
  <si>
    <t>晴れ</t>
  </si>
  <si>
    <t>はれ</t>
  </si>
  <si>
    <t>晴[は]れ</t>
  </si>
  <si>
    <t>trời nắng</t>
  </si>
  <si>
    <t>明日は晴れだ。</t>
  </si>
  <si>
    <t>Ngày mai trời nắng.</t>
  </si>
  <si>
    <t>教会</t>
  </si>
  <si>
    <t>教会[きょうかい]</t>
  </si>
  <si>
    <t>nhà thờ</t>
  </si>
  <si>
    <t>教会へ行く。</t>
  </si>
  <si>
    <t>Đi đến nhà thờ.</t>
  </si>
  <si>
    <t>桜</t>
  </si>
  <si>
    <t>さくら</t>
  </si>
  <si>
    <t>桜[さくら]</t>
  </si>
  <si>
    <t>hoa anh đào</t>
  </si>
  <si>
    <t>きれいな桜が咲く。</t>
  </si>
  <si>
    <t>Hoa anh đào đẹp đang nở.</t>
  </si>
  <si>
    <t>採る</t>
  </si>
  <si>
    <t>採[と]る</t>
  </si>
  <si>
    <t>野菜を採る。</t>
  </si>
  <si>
    <t>Thu hoạch rau.</t>
  </si>
  <si>
    <t>密か</t>
  </si>
  <si>
    <t>ひそか</t>
  </si>
  <si>
    <t>密[ひそ]か</t>
  </si>
  <si>
    <t>密かな計画。</t>
  </si>
  <si>
    <t>Kế hoạch bí mật.</t>
  </si>
  <si>
    <t>可決</t>
  </si>
  <si>
    <t>かけつ</t>
  </si>
  <si>
    <t>可決[かけつ]</t>
  </si>
  <si>
    <t>phê duyệt</t>
  </si>
  <si>
    <t>法案が可決される。</t>
  </si>
  <si>
    <t>Dự luật được phê duyệt.</t>
  </si>
  <si>
    <t>新聞社</t>
  </si>
  <si>
    <t>しんぶんしゃ</t>
  </si>
  <si>
    <t>新聞社[しんぶんしゃ]</t>
  </si>
  <si>
    <t>tòa soạn báo</t>
  </si>
  <si>
    <t>新聞社で働く。</t>
  </si>
  <si>
    <t>Làm việc tại tòa soạn báo.</t>
  </si>
  <si>
    <t>揃える</t>
  </si>
  <si>
    <t>そろえる</t>
  </si>
  <si>
    <t>揃[そろ]える</t>
  </si>
  <si>
    <t>chuẩn bị sẵn</t>
  </si>
  <si>
    <t>靴を揃える。</t>
  </si>
  <si>
    <t>Xếp thẳng hàng giày dép.</t>
  </si>
  <si>
    <t>有効</t>
  </si>
  <si>
    <t>ゆうこう</t>
  </si>
  <si>
    <t>有効[ゆうこう]</t>
  </si>
  <si>
    <t>有効な方法。</t>
  </si>
  <si>
    <t>Đó là phương pháp hiệu quả.</t>
  </si>
  <si>
    <t>昼間</t>
  </si>
  <si>
    <t>ひるま</t>
  </si>
  <si>
    <t>昼間[ひるま]</t>
  </si>
  <si>
    <t>ban ngày</t>
  </si>
  <si>
    <t>昼間に働く。</t>
  </si>
  <si>
    <t>Làm việc vào ban ngày.</t>
  </si>
  <si>
    <t>既に</t>
  </si>
  <si>
    <t>すでに</t>
  </si>
  <si>
    <t>既[すで]に</t>
  </si>
  <si>
    <t>既に終わった。</t>
  </si>
  <si>
    <t>Mọi việc đã kết thúc rồi.</t>
  </si>
  <si>
    <t>故障</t>
  </si>
  <si>
    <t>こしょう</t>
  </si>
  <si>
    <t>故障[こしょう]</t>
  </si>
  <si>
    <t>hỏng hóc</t>
  </si>
  <si>
    <t>車が故障する。</t>
  </si>
  <si>
    <t>Xe bị hỏng.</t>
  </si>
  <si>
    <t>株</t>
  </si>
  <si>
    <t>かぶ</t>
  </si>
  <si>
    <t>株[かぶ]</t>
  </si>
  <si>
    <t>株を買う。</t>
  </si>
  <si>
    <t>Mua cổ phiếu.</t>
  </si>
  <si>
    <t>比較的</t>
  </si>
  <si>
    <t>ひかくてき</t>
  </si>
  <si>
    <t>比較的[ひかくてき]</t>
  </si>
  <si>
    <t>tương đối</t>
  </si>
  <si>
    <t>比較的に安い。</t>
  </si>
  <si>
    <t>Nó tương đối rẻ.</t>
  </si>
  <si>
    <t>感触</t>
  </si>
  <si>
    <t>かんしょく</t>
  </si>
  <si>
    <t>感触[かんしょく]</t>
  </si>
  <si>
    <t>cảm giác chạm</t>
  </si>
  <si>
    <t>柔らかい感触。</t>
  </si>
  <si>
    <t>Cảm giác chạm mềm mại.</t>
  </si>
  <si>
    <t>成熟</t>
  </si>
  <si>
    <t>せいじゅく</t>
  </si>
  <si>
    <t>成熟[せいじゅく]</t>
  </si>
  <si>
    <t>trưởng thành</t>
  </si>
  <si>
    <t>社会が成熟する。</t>
  </si>
  <si>
    <t>Xã hội trưởng thành.</t>
  </si>
  <si>
    <t>期日</t>
  </si>
  <si>
    <t>きじつ</t>
  </si>
  <si>
    <t>期日[きじつ]</t>
  </si>
  <si>
    <t>ngày kỳ hạn</t>
  </si>
  <si>
    <t>期日を守る。</t>
  </si>
  <si>
    <t>Tuân thủ ngày kỳ hạn.</t>
  </si>
  <si>
    <t>対談</t>
  </si>
  <si>
    <t>たいだん</t>
  </si>
  <si>
    <t>対談[たいだん]</t>
  </si>
  <si>
    <t>đàm thoại</t>
  </si>
  <si>
    <t>専門家と対談する。</t>
  </si>
  <si>
    <t>Đàm thoại với chuyên gia.</t>
  </si>
  <si>
    <t>心情</t>
  </si>
  <si>
    <t>しんじょう</t>
  </si>
  <si>
    <t>心情[しんじょう]</t>
  </si>
  <si>
    <t>複雑な心情。</t>
  </si>
  <si>
    <t>Tâm trạng phức tạp.</t>
  </si>
  <si>
    <t>採択</t>
  </si>
  <si>
    <t>さいたく</t>
  </si>
  <si>
    <t>採択[さいたく]</t>
  </si>
  <si>
    <t>案を採択する。</t>
  </si>
  <si>
    <t>Lựa chọn phương án.</t>
  </si>
  <si>
    <t>救い</t>
  </si>
  <si>
    <t>すくい</t>
  </si>
  <si>
    <t>救[すく]い</t>
  </si>
  <si>
    <t>彼女が救いだ。</t>
  </si>
  <si>
    <t>Cô ấy là sự cứu giúp.</t>
  </si>
  <si>
    <t>敗北</t>
  </si>
  <si>
    <t>はいぼく</t>
  </si>
  <si>
    <t>敗北[はいぼく]</t>
  </si>
  <si>
    <t>戦いに敗北する。</t>
  </si>
  <si>
    <t>Thất bại trong cuộc chiến.</t>
  </si>
  <si>
    <t>弾力</t>
  </si>
  <si>
    <t>だんりょく</t>
  </si>
  <si>
    <t>弾力[だんりょく]</t>
  </si>
  <si>
    <t>đàn hồi</t>
  </si>
  <si>
    <t>弾力のある素材。</t>
  </si>
  <si>
    <t>Chất liệu có độ đàn hồi.</t>
  </si>
  <si>
    <t>必然</t>
  </si>
  <si>
    <t>ひつぜん</t>
  </si>
  <si>
    <t>必然[ひつぜん]</t>
  </si>
  <si>
    <t>tất yếu</t>
  </si>
  <si>
    <t>必然の結果。</t>
  </si>
  <si>
    <t>Kết quả tất yếu.</t>
  </si>
  <si>
    <t>改定</t>
  </si>
  <si>
    <t>かいてい</t>
  </si>
  <si>
    <t>改定[かいてい]</t>
  </si>
  <si>
    <t>sửa đổi</t>
  </si>
  <si>
    <t>価格を改定する。</t>
  </si>
  <si>
    <t>Sửa đổi giá.</t>
  </si>
  <si>
    <t>明白</t>
  </si>
  <si>
    <t>めいはく</t>
  </si>
  <si>
    <t>明白[めいはく]</t>
  </si>
  <si>
    <t>明白な事実。</t>
  </si>
  <si>
    <t>Sự thật rõ ràng.</t>
  </si>
  <si>
    <t>所在</t>
  </si>
  <si>
    <t>しょざい</t>
  </si>
  <si>
    <t>所在[しょざい]</t>
  </si>
  <si>
    <t>nơi ở</t>
  </si>
  <si>
    <t>所在を確認する。</t>
  </si>
  <si>
    <t>Xác nhận nơi ở.</t>
  </si>
  <si>
    <t>帯びる</t>
  </si>
  <si>
    <t>おびる</t>
  </si>
  <si>
    <t>帯[お]びる</t>
  </si>
  <si>
    <t>mang</t>
  </si>
  <si>
    <t>熱を帯びる。</t>
  </si>
  <si>
    <t>Mang theo hơi nóng.</t>
  </si>
  <si>
    <t>施す</t>
  </si>
  <si>
    <t>ほどこす</t>
  </si>
  <si>
    <t>施[ほどこ]す</t>
  </si>
  <si>
    <t>支援を施す。</t>
  </si>
  <si>
    <t>Cho sự hỗ trợ.</t>
  </si>
  <si>
    <t>暮らし</t>
  </si>
  <si>
    <t>くらし</t>
  </si>
  <si>
    <t>暮[く]らし</t>
  </si>
  <si>
    <t>田舎の暮らし。</t>
  </si>
  <si>
    <t>Đó là cuộc sống ở nông thôn.</t>
  </si>
  <si>
    <t>映画館</t>
  </si>
  <si>
    <t>えいがかん</t>
  </si>
  <si>
    <t>映画館[えいがかん]</t>
  </si>
  <si>
    <t>rạp chiếu phim</t>
  </si>
  <si>
    <t>映画館へ行く。</t>
  </si>
  <si>
    <t>Đi đến rạp chiếu phim.</t>
  </si>
  <si>
    <t>早速</t>
  </si>
  <si>
    <t>さっそく</t>
  </si>
  <si>
    <t>早速[さっそく]</t>
  </si>
  <si>
    <t>早速取り掛かる。</t>
  </si>
  <si>
    <t>Bắt tay vào việc ngay.</t>
  </si>
  <si>
    <t>気に入る</t>
  </si>
  <si>
    <t>きにいる</t>
  </si>
  <si>
    <t>気[き]に入[い]る</t>
  </si>
  <si>
    <t>yêu thích</t>
  </si>
  <si>
    <t>服を気に入る。</t>
  </si>
  <si>
    <t>Yêu thích bộ quần áo.</t>
  </si>
  <si>
    <t>正面</t>
  </si>
  <si>
    <t>しょうめん</t>
  </si>
  <si>
    <t>正面[しょうめん]</t>
  </si>
  <si>
    <t>chính diện</t>
  </si>
  <si>
    <t>正面を見る。</t>
  </si>
  <si>
    <t>Nhìn vào chính diện.</t>
  </si>
  <si>
    <t>最低</t>
  </si>
  <si>
    <t>さいてい</t>
  </si>
  <si>
    <t>最低[さいてい]</t>
  </si>
  <si>
    <t>thấp nhất</t>
  </si>
  <si>
    <t>最低の点数。</t>
  </si>
  <si>
    <t>Đó là số điểm thấp nhất.</t>
  </si>
  <si>
    <t>改正</t>
  </si>
  <si>
    <t>かいせい</t>
  </si>
  <si>
    <t>改正[かいせい]</t>
  </si>
  <si>
    <t>法律を改正する。</t>
  </si>
  <si>
    <t>Sửa đổi luật pháp.</t>
  </si>
  <si>
    <t>柔らかい</t>
  </si>
  <si>
    <t>やわらかい</t>
  </si>
  <si>
    <t>柔[やわ]らかい</t>
  </si>
  <si>
    <t>mềm</t>
  </si>
  <si>
    <t>柔らかい肉。</t>
  </si>
  <si>
    <t>Đó là miếng thịt mềm.</t>
  </si>
  <si>
    <t>撃つ</t>
  </si>
  <si>
    <t>撃[う]つ</t>
  </si>
  <si>
    <t>bắn</t>
  </si>
  <si>
    <t>銃を撃つ。</t>
  </si>
  <si>
    <t>Bắn súng.</t>
  </si>
  <si>
    <t>庶民</t>
  </si>
  <si>
    <t>しょみん</t>
  </si>
  <si>
    <t>庶民[しょみん]</t>
  </si>
  <si>
    <t>thường dân</t>
  </si>
  <si>
    <t>庶民の生活。</t>
  </si>
  <si>
    <t>Cuộc sống của thường dân.</t>
  </si>
  <si>
    <t>対等</t>
  </si>
  <si>
    <t>たいとう</t>
  </si>
  <si>
    <t>対等[たいとう]</t>
  </si>
  <si>
    <t>対等な立場で話す。</t>
  </si>
  <si>
    <t>Nói chuyện trên lập trường bình đẳng.</t>
  </si>
  <si>
    <t>振動</t>
  </si>
  <si>
    <t>しんどう</t>
  </si>
  <si>
    <t>振動[しんどう]</t>
  </si>
  <si>
    <t>rung động</t>
  </si>
  <si>
    <t>大きな振動。</t>
  </si>
  <si>
    <t>Rung động mạnh.</t>
  </si>
  <si>
    <t>扉</t>
  </si>
  <si>
    <t>とびら</t>
  </si>
  <si>
    <t>扉[とびら]</t>
  </si>
  <si>
    <t>cánh cửa</t>
  </si>
  <si>
    <t>扉を開ける。</t>
  </si>
  <si>
    <t>Mở cánh cửa.</t>
  </si>
  <si>
    <t>情緒</t>
  </si>
  <si>
    <t>じょうちょ</t>
  </si>
  <si>
    <t>情緒[じょうちょ]</t>
  </si>
  <si>
    <t>情緒が豊かだ。</t>
  </si>
  <si>
    <t>Cảm xúc phong phú.</t>
  </si>
  <si>
    <t>居住</t>
  </si>
  <si>
    <t>きょじゅう</t>
  </si>
  <si>
    <t>居住[きょじゅう]</t>
  </si>
  <si>
    <t>cư trú</t>
  </si>
  <si>
    <t>居住地を登録する。</t>
  </si>
  <si>
    <t>Đăng ký nơi cư trú.</t>
  </si>
  <si>
    <t>弾む</t>
  </si>
  <si>
    <t>はずむ</t>
  </si>
  <si>
    <t>弾[はず]む</t>
  </si>
  <si>
    <t>nảy</t>
  </si>
  <si>
    <t>ボールが弾む。</t>
  </si>
  <si>
    <t>Bóng nảy.</t>
  </si>
  <si>
    <t>日程</t>
  </si>
  <si>
    <t>にってい</t>
  </si>
  <si>
    <t>日程[にってい]</t>
  </si>
  <si>
    <t>日程を調整する。</t>
  </si>
  <si>
    <t>Điều chỉnh lịch trình.</t>
  </si>
  <si>
    <t>支店</t>
  </si>
  <si>
    <t>支店[してん]</t>
  </si>
  <si>
    <t>chi nhánh</t>
  </si>
  <si>
    <t>銀行の支店。</t>
  </si>
  <si>
    <t>Đó là chi nhánh ngân hàng.</t>
  </si>
  <si>
    <t>普及</t>
  </si>
  <si>
    <t>ふきゅう</t>
  </si>
  <si>
    <t>普及[ふきゅう]</t>
  </si>
  <si>
    <t>phổ cập</t>
  </si>
  <si>
    <t>ネットが普及する。</t>
  </si>
  <si>
    <t>Internet được phổ cập.</t>
  </si>
  <si>
    <t>探る</t>
  </si>
  <si>
    <t>さぐる</t>
  </si>
  <si>
    <t>探[さぐ]る</t>
  </si>
  <si>
    <t>dò xét</t>
  </si>
  <si>
    <t>ポケットを探る。</t>
  </si>
  <si>
    <t>Mò vào túi quần.</t>
  </si>
  <si>
    <t>末</t>
  </si>
  <si>
    <t>すえ</t>
  </si>
  <si>
    <t>末[すえ]</t>
  </si>
  <si>
    <t>cuối</t>
  </si>
  <si>
    <t>月の末。</t>
  </si>
  <si>
    <t>Đó là cuối tháng.</t>
  </si>
  <si>
    <t>植える</t>
  </si>
  <si>
    <t>うえる</t>
  </si>
  <si>
    <t>植[う]える</t>
  </si>
  <si>
    <t>trồng</t>
  </si>
  <si>
    <t>花を植える。</t>
  </si>
  <si>
    <t>Trồng hoa.</t>
  </si>
  <si>
    <t>堪える</t>
  </si>
  <si>
    <t>こらえる</t>
  </si>
  <si>
    <t>堪[こら]える</t>
  </si>
  <si>
    <t>怒りを堪える。</t>
  </si>
  <si>
    <t>Chịu đựng cơn giận.</t>
  </si>
  <si>
    <t>万人</t>
  </si>
  <si>
    <t>ばんにん</t>
  </si>
  <si>
    <t>万人[ばんにん]</t>
  </si>
  <si>
    <t>万人に受ける。</t>
  </si>
  <si>
    <t>Được mọi người đón nhận.</t>
  </si>
  <si>
    <t>違える</t>
  </si>
  <si>
    <t>たがえる</t>
  </si>
  <si>
    <t>違[たが]える</t>
  </si>
  <si>
    <t>làm khác</t>
  </si>
  <si>
    <t>約束を違える。</t>
  </si>
  <si>
    <t>Không giữ lời hứa.</t>
  </si>
  <si>
    <t>名作</t>
  </si>
  <si>
    <t>めいさく</t>
  </si>
  <si>
    <t>名作[めいさく]</t>
  </si>
  <si>
    <t>tác phẩm nổi tiếng</t>
  </si>
  <si>
    <t>映画の名作を見る。</t>
  </si>
  <si>
    <t>Xem một tác phẩm điện ảnh nổi tiếng.</t>
  </si>
  <si>
    <t>古里</t>
  </si>
  <si>
    <t>ふるさと</t>
  </si>
  <si>
    <t>古里[ふるさと]</t>
  </si>
  <si>
    <t>久しぶりに古里へ帰る。</t>
  </si>
  <si>
    <t>Về quê hương sau một thời gian dài.</t>
  </si>
  <si>
    <t>惜しい</t>
  </si>
  <si>
    <t>おしい</t>
  </si>
  <si>
    <t>惜[お]しい</t>
  </si>
  <si>
    <t>あと一歩で惜しい。</t>
  </si>
  <si>
    <t>Chỉ còn một bước nữa, thật đáng tiếc.</t>
  </si>
  <si>
    <t>商社</t>
  </si>
  <si>
    <t>しょうしゃ</t>
  </si>
  <si>
    <t>商社[しょうしゃ]</t>
  </si>
  <si>
    <t>công ty thương mại</t>
  </si>
  <si>
    <t>商社に勤務する。</t>
  </si>
  <si>
    <t>Làm việc tại công ty thương mại.</t>
  </si>
  <si>
    <t>実感</t>
  </si>
  <si>
    <t>じっかん</t>
  </si>
  <si>
    <t>実感[じっかん]</t>
  </si>
  <si>
    <t>cảm giác thực</t>
  </si>
  <si>
    <t>成功を実感する。</t>
  </si>
  <si>
    <t>Cảm giác thực về sự thành công.</t>
  </si>
  <si>
    <t>面接</t>
  </si>
  <si>
    <t>めんせつ</t>
  </si>
  <si>
    <t>面接[めんせつ]</t>
  </si>
  <si>
    <t>会社で面接を受ける。</t>
  </si>
  <si>
    <t>Tham gia phỏng vấn tại công ty.</t>
  </si>
  <si>
    <t>陸</t>
  </si>
  <si>
    <t>りく</t>
  </si>
  <si>
    <t>陸[りく]</t>
  </si>
  <si>
    <t>đất liền</t>
  </si>
  <si>
    <t>船から陸が見える。</t>
  </si>
  <si>
    <t>Có thể nhìn thấy đất liền từ tàu.</t>
  </si>
  <si>
    <t>黙る</t>
  </si>
  <si>
    <t>だまる</t>
  </si>
  <si>
    <t>黙[だま]る</t>
  </si>
  <si>
    <t>im lặng</t>
  </si>
  <si>
    <t>黙って話を聞く。</t>
  </si>
  <si>
    <t>Im lặng lắng nghe câu chuyện.</t>
  </si>
  <si>
    <t>首都</t>
  </si>
  <si>
    <t>しゅと</t>
  </si>
  <si>
    <t>首都[しゅと]</t>
  </si>
  <si>
    <t>国の首都を訪れる。</t>
  </si>
  <si>
    <t>Đến thăm thủ đô của đất nước.</t>
  </si>
  <si>
    <t>響く</t>
  </si>
  <si>
    <t>ひびく</t>
  </si>
  <si>
    <t>響[ひび]く</t>
  </si>
  <si>
    <t>vang vọng</t>
  </si>
  <si>
    <t>声が廊下に響く。</t>
  </si>
  <si>
    <t>Giọng nói vang vọng ở hành lang.</t>
  </si>
  <si>
    <t>無視</t>
  </si>
  <si>
    <t>無視[むし]</t>
  </si>
  <si>
    <t>phớt lờ</t>
  </si>
  <si>
    <t>信号を無視する。</t>
  </si>
  <si>
    <t>Phớt lờ tín hiệu đèn giao thông.</t>
  </si>
  <si>
    <t>優勝</t>
  </si>
  <si>
    <t>ゆうしょう</t>
  </si>
  <si>
    <t>優勝[ゆうしょう]</t>
  </si>
  <si>
    <t>大会で優勝する。</t>
  </si>
  <si>
    <t>Chiến thắng trong giải đấu.</t>
  </si>
  <si>
    <t>志望</t>
  </si>
  <si>
    <t>志望[しぼう]</t>
  </si>
  <si>
    <t>nguyện vọng</t>
  </si>
  <si>
    <t>志望校を決める。</t>
  </si>
  <si>
    <t>Quyết định trường nguyện vọng.</t>
  </si>
  <si>
    <t>電力</t>
  </si>
  <si>
    <t>でんりょく</t>
  </si>
  <si>
    <t>電力[でんりょく]</t>
  </si>
  <si>
    <t>điện lực</t>
  </si>
  <si>
    <t>電力の消費を抑える。</t>
  </si>
  <si>
    <t>Hạn chế tiêu thụ điện lực.</t>
  </si>
  <si>
    <t>誇り</t>
  </si>
  <si>
    <t>ほこり</t>
  </si>
  <si>
    <t>誇[ほこ]り</t>
  </si>
  <si>
    <t>niềm tự hào</t>
  </si>
  <si>
    <t>仕事に誇りを持つ。</t>
  </si>
  <si>
    <t>Có niềm tự hào với công việc.</t>
  </si>
  <si>
    <t>便</t>
  </si>
  <si>
    <t>びん</t>
  </si>
  <si>
    <t>便[びん]</t>
  </si>
  <si>
    <t>chuyến bay</t>
  </si>
  <si>
    <t>次の便に乗る。</t>
  </si>
  <si>
    <t>Lên chuyến bay tiếp theo.</t>
  </si>
  <si>
    <t>解放</t>
  </si>
  <si>
    <t>かいほう</t>
  </si>
  <si>
    <t>解放[かいほう]</t>
  </si>
  <si>
    <t>giải phóng</t>
  </si>
  <si>
    <t>心身を解放する。</t>
  </si>
  <si>
    <t>Giải phóng tâm trí và cơ thể.</t>
  </si>
  <si>
    <t>ネックレス</t>
  </si>
  <si>
    <t>ねっくれす</t>
  </si>
  <si>
    <t>vòng cổ</t>
  </si>
  <si>
    <t>ネックレスを買った。</t>
  </si>
  <si>
    <t>Đã mua một chiếc vòng cổ.</t>
  </si>
  <si>
    <t>後悔</t>
  </si>
  <si>
    <t>こうかい</t>
  </si>
  <si>
    <t>後悔[こうかい]</t>
  </si>
  <si>
    <t>hối hận</t>
  </si>
  <si>
    <t>今さら後悔する。</t>
  </si>
  <si>
    <t>Bây giờ hối hận cũng đã muộn.</t>
  </si>
  <si>
    <t>突く</t>
  </si>
  <si>
    <t>突[つ]く</t>
  </si>
  <si>
    <t>杖で地面を突く。</t>
  </si>
  <si>
    <t>Dùng gậy chống xuống đất.</t>
  </si>
  <si>
    <t>喫茶店</t>
  </si>
  <si>
    <t>きっさてん</t>
  </si>
  <si>
    <t>喫茶店[きっさてん]</t>
  </si>
  <si>
    <t>quán cà phê</t>
  </si>
  <si>
    <t>喫茶店で休憩する。</t>
  </si>
  <si>
    <t>Nghỉ ngơi ở quán cà phê.</t>
  </si>
  <si>
    <t>可愛がる</t>
  </si>
  <si>
    <t>かわいがる</t>
  </si>
  <si>
    <t>可愛[かわい]がる</t>
  </si>
  <si>
    <t>祖父は孫を可愛がる。</t>
  </si>
  <si>
    <t>Ông nội rất yêu thương cháu.</t>
  </si>
  <si>
    <t>見上げる</t>
  </si>
  <si>
    <t>みあげる</t>
  </si>
  <si>
    <t>見上[みあ]げる</t>
  </si>
  <si>
    <t>ngước lên</t>
  </si>
  <si>
    <t>空を見上げる。</t>
  </si>
  <si>
    <t>Ngước lên nhìn bầu trời.</t>
  </si>
  <si>
    <t>兼ねる</t>
  </si>
  <si>
    <t>かねる</t>
  </si>
  <si>
    <t>兼[か]ねる</t>
  </si>
  <si>
    <t>kiêm nhiệm</t>
  </si>
  <si>
    <t>二役を兼ねる。</t>
  </si>
  <si>
    <t>Kiêm nhiệm hai vai trò.</t>
  </si>
  <si>
    <t>純粋</t>
  </si>
  <si>
    <t>じゅんすい</t>
  </si>
  <si>
    <t>純粋[じゅんすい]</t>
  </si>
  <si>
    <t>trong sáng</t>
  </si>
  <si>
    <t>純粋な人だ。</t>
  </si>
  <si>
    <t>Anh ấy là người trong sáng.</t>
  </si>
  <si>
    <t>隠す</t>
  </si>
  <si>
    <t>かくす</t>
  </si>
  <si>
    <t>隠[かく]す</t>
  </si>
  <si>
    <t>che giấu</t>
  </si>
  <si>
    <t>本音を隠す。</t>
  </si>
  <si>
    <t>Che giấu suy nghĩ thật.</t>
  </si>
  <si>
    <t>祝日</t>
  </si>
  <si>
    <t>しゅくじつ</t>
  </si>
  <si>
    <t>祝日[しゅくじつ]</t>
  </si>
  <si>
    <t>ngày lễ</t>
  </si>
  <si>
    <t>明日は日本の祝日だ。</t>
  </si>
  <si>
    <t>Ngày mai là ngày lễ ở Nhật.</t>
  </si>
  <si>
    <t>幼児</t>
  </si>
  <si>
    <t>ようじ</t>
  </si>
  <si>
    <t>幼児[ようじ]</t>
  </si>
  <si>
    <t>trẻ em</t>
  </si>
  <si>
    <t>幼児教育を行う。</t>
  </si>
  <si>
    <t>Thực hiện giáo dục mầm non.</t>
  </si>
  <si>
    <t>順番</t>
  </si>
  <si>
    <t>じゅんばん</t>
  </si>
  <si>
    <t>順番[じゅんばん]</t>
  </si>
  <si>
    <t>lượt</t>
  </si>
  <si>
    <t>次の順番を待つ。</t>
  </si>
  <si>
    <t>Chờ đến lượt tiếp theo.</t>
  </si>
  <si>
    <t>随分</t>
  </si>
  <si>
    <t>ずいぶん</t>
  </si>
  <si>
    <t>随分[ずいぶん]</t>
  </si>
  <si>
    <t>随分と涼しくなった。</t>
  </si>
  <si>
    <t>Trời đã trở nên rất mát mẻ.</t>
  </si>
  <si>
    <t>勝負</t>
  </si>
  <si>
    <t>しょうぶ</t>
  </si>
  <si>
    <t>勝負[しょうぶ]</t>
  </si>
  <si>
    <t>thắng thua</t>
  </si>
  <si>
    <t>勝負に挑む。</t>
  </si>
  <si>
    <t>Thách thức thắng thua.</t>
  </si>
  <si>
    <t>屋上</t>
  </si>
  <si>
    <t>おくじょう</t>
  </si>
  <si>
    <t>屋上[おくじょう]</t>
  </si>
  <si>
    <t>sân thượng</t>
  </si>
  <si>
    <t>屋上で休憩する。</t>
  </si>
  <si>
    <t>Nghỉ ngơi trên sân thượng.</t>
  </si>
  <si>
    <t>映る</t>
  </si>
  <si>
    <t>映[うつ]る</t>
  </si>
  <si>
    <t>phản chiếu</t>
  </si>
  <si>
    <t>鏡に映る。</t>
  </si>
  <si>
    <t>Nó phản chiếu trong gương.</t>
  </si>
  <si>
    <t>憎い</t>
  </si>
  <si>
    <t>にくい</t>
  </si>
  <si>
    <t>憎[にく]い</t>
  </si>
  <si>
    <t>đáng ghét</t>
  </si>
  <si>
    <t>相手が憎い。</t>
  </si>
  <si>
    <t>Đối phương thật đáng ghét.</t>
  </si>
  <si>
    <t>興奮</t>
  </si>
  <si>
    <t>こうふん</t>
  </si>
  <si>
    <t>興奮[こうふん]</t>
  </si>
  <si>
    <t>hưng phấn</t>
  </si>
  <si>
    <t>試合に興奮する。</t>
  </si>
  <si>
    <t>Hưng phấn vì trận đấu.</t>
  </si>
  <si>
    <t>引退</t>
  </si>
  <si>
    <t>いんたい</t>
  </si>
  <si>
    <t>引退[いんたい]</t>
  </si>
  <si>
    <t>nghỉ hưu</t>
  </si>
  <si>
    <t>スポーツ界から引退する。</t>
  </si>
  <si>
    <t>Nghỉ hưu từ giới thể thao.</t>
  </si>
  <si>
    <t>浮ぶ</t>
  </si>
  <si>
    <t>うかぶ</t>
  </si>
  <si>
    <t>浮[うか]ぶ</t>
  </si>
  <si>
    <t>hiện ra</t>
  </si>
  <si>
    <t>頭に考えが浮かぶ。</t>
  </si>
  <si>
    <t>Ý tưởng hiện ra trong đầu.</t>
  </si>
  <si>
    <t>出席</t>
  </si>
  <si>
    <t>しゅっせき</t>
  </si>
  <si>
    <t>出席[しゅっせき]</t>
  </si>
  <si>
    <t>có mặt</t>
  </si>
  <si>
    <t>会議に出席する。</t>
  </si>
  <si>
    <t>Có mặt trong cuộc họp.</t>
  </si>
  <si>
    <t>糸</t>
  </si>
  <si>
    <t>糸[いと]</t>
  </si>
  <si>
    <t>糸で服を縫う。</t>
  </si>
  <si>
    <t>Khâu quần áo bằng chỉ.</t>
  </si>
  <si>
    <t>政党</t>
  </si>
  <si>
    <t>政党[せいとう]</t>
  </si>
  <si>
    <t>chính đảng</t>
  </si>
  <si>
    <t>政党を作る。</t>
  </si>
  <si>
    <t>Thành lập chính đảng.</t>
  </si>
  <si>
    <t>芸能</t>
  </si>
  <si>
    <t>げいのう</t>
  </si>
  <si>
    <t>芸能[げいのう]</t>
  </si>
  <si>
    <t>芸能界に入る。</t>
  </si>
  <si>
    <t>Vào ngành nghệ thuật.</t>
  </si>
  <si>
    <t>補償</t>
  </si>
  <si>
    <t>補償[ほしょう]</t>
  </si>
  <si>
    <t>bồi thường</t>
  </si>
  <si>
    <t>損害を補償する。</t>
  </si>
  <si>
    <t>天候</t>
  </si>
  <si>
    <t>てんこう</t>
  </si>
  <si>
    <t>天候[てんこう]</t>
  </si>
  <si>
    <t>天候に恵まれる。</t>
  </si>
  <si>
    <t>Gặp may về thời tiết.</t>
  </si>
  <si>
    <t>立ち止まる</t>
  </si>
  <si>
    <t>たちどまる</t>
  </si>
  <si>
    <t>立[た]ち止[ど]まる</t>
  </si>
  <si>
    <t>đứng lại</t>
  </si>
  <si>
    <t>角で立ち止まる。</t>
  </si>
  <si>
    <t>Đứng lại ở góc đường.</t>
  </si>
  <si>
    <t>夢中</t>
  </si>
  <si>
    <t>むちゅう</t>
  </si>
  <si>
    <t>夢中[むちゅう]</t>
  </si>
  <si>
    <t>say mê</t>
  </si>
  <si>
    <t>ゲームに夢中だ。</t>
  </si>
  <si>
    <t>Đang say mê trò chơi.</t>
  </si>
  <si>
    <t>涼しい</t>
  </si>
  <si>
    <t>すずしい</t>
  </si>
  <si>
    <t>涼[すず]しい</t>
  </si>
  <si>
    <t>mát mẻ</t>
  </si>
  <si>
    <t>今日は涼しい天気だ。</t>
  </si>
  <si>
    <t>Hôm nay thời tiết mát mẻ.</t>
  </si>
  <si>
    <t>天然</t>
  </si>
  <si>
    <t>てんねん</t>
  </si>
  <si>
    <t>天然[てんねん]</t>
  </si>
  <si>
    <t>thiên nhiên</t>
  </si>
  <si>
    <t>天然の素材。</t>
  </si>
  <si>
    <t>Nguyên liệu thiên nhiên.</t>
  </si>
  <si>
    <t>家具</t>
  </si>
  <si>
    <t>かぐ</t>
  </si>
  <si>
    <t>家具[かぐ]</t>
  </si>
  <si>
    <t>đồ nội thất</t>
  </si>
  <si>
    <t>家具を並べる。</t>
  </si>
  <si>
    <t>Sắp xếp đồ nội thất.</t>
  </si>
  <si>
    <t>谷</t>
  </si>
  <si>
    <t>たに</t>
  </si>
  <si>
    <t>谷[たに]</t>
  </si>
  <si>
    <t>thung lũng</t>
  </si>
  <si>
    <t>深い谷を渡る。</t>
  </si>
  <si>
    <t>Băng qua thung lũng sâu.</t>
  </si>
  <si>
    <t>怒鳴る</t>
  </si>
  <si>
    <t>どなる</t>
  </si>
  <si>
    <t>怒鳴[どな]る</t>
  </si>
  <si>
    <t>gào thét</t>
  </si>
  <si>
    <t>大声で怒鳴る。</t>
  </si>
  <si>
    <t>Gào thét bằng giọng lớn.</t>
  </si>
  <si>
    <t>臨む</t>
  </si>
  <si>
    <t>臨[のぞ]む</t>
  </si>
  <si>
    <t>海に臨むホテル。</t>
  </si>
  <si>
    <t>Khách sạn đối diện biển.</t>
  </si>
  <si>
    <t>挟まる</t>
  </si>
  <si>
    <t>はさまる</t>
  </si>
  <si>
    <t>挟[はさ]まる</t>
  </si>
  <si>
    <t>bị kẹp</t>
  </si>
  <si>
    <t>ドアに指が挟まる。</t>
  </si>
  <si>
    <t>Ngón tay bị kẹp vào cửa.</t>
  </si>
  <si>
    <t>自治</t>
  </si>
  <si>
    <t>じち</t>
  </si>
  <si>
    <t>自治[じち]</t>
  </si>
  <si>
    <t>tự trị</t>
  </si>
  <si>
    <t>自治を重んじる。</t>
  </si>
  <si>
    <t>Coi trọng sự tự trị.</t>
  </si>
  <si>
    <t>大抵</t>
  </si>
  <si>
    <t>たいてい</t>
  </si>
  <si>
    <t>大抵[たいてい]</t>
  </si>
  <si>
    <t>大抵家にいる。</t>
  </si>
  <si>
    <t>Thông thường ở nhà.</t>
  </si>
  <si>
    <t>区別</t>
  </si>
  <si>
    <t>くべつ</t>
  </si>
  <si>
    <t>区別[くべつ]</t>
  </si>
  <si>
    <t>善悪を区別する。</t>
  </si>
  <si>
    <t>Phân biệt thiện ác.</t>
  </si>
  <si>
    <t>登場</t>
  </si>
  <si>
    <t>とうじょう</t>
  </si>
  <si>
    <t>登場[とうじょう]</t>
  </si>
  <si>
    <t>新キャラが登場する。</t>
  </si>
  <si>
    <t>Nhân vật mới xuất hiện.</t>
  </si>
  <si>
    <t>ブラシ</t>
  </si>
  <si>
    <t>ぶらし</t>
  </si>
  <si>
    <t>bàn chải</t>
  </si>
  <si>
    <t>髪をブラシでとく。</t>
  </si>
  <si>
    <t>Chải tóc bằng bàn chải.</t>
  </si>
  <si>
    <t>感激</t>
  </si>
  <si>
    <t>かんげき</t>
  </si>
  <si>
    <t>感激[かんげき]</t>
  </si>
  <si>
    <t>cảm kích</t>
  </si>
  <si>
    <t>感激して泣く。</t>
  </si>
  <si>
    <t>Cảm kích đến phát khóc.</t>
  </si>
  <si>
    <t>蓄える</t>
  </si>
  <si>
    <t>たくわえる</t>
  </si>
  <si>
    <t>蓄[たくわ]える</t>
  </si>
  <si>
    <t>tích lũy</t>
  </si>
  <si>
    <t>知識を蓄える。</t>
  </si>
  <si>
    <t>目立つ</t>
  </si>
  <si>
    <t>めだつ</t>
  </si>
  <si>
    <t>目立[めだ]つ</t>
  </si>
  <si>
    <t>nổi bật</t>
  </si>
  <si>
    <t>目立つ色の服。</t>
  </si>
  <si>
    <t>Bộ quần áo màu nổi bật.</t>
  </si>
  <si>
    <t>風邪</t>
  </si>
  <si>
    <t>風邪[かぜ]</t>
  </si>
  <si>
    <t>cảm cúm</t>
  </si>
  <si>
    <t>風邪で休む。</t>
  </si>
  <si>
    <t>Nghỉ vì bị cảm cúm.</t>
  </si>
  <si>
    <t>隠れる</t>
  </si>
  <si>
    <t>かくれる</t>
  </si>
  <si>
    <t>隠[かく]れる</t>
  </si>
  <si>
    <t>ẩn nấp</t>
  </si>
  <si>
    <t>木の後ろに隠れる。</t>
  </si>
  <si>
    <t>Ẩn nấp sau cái cây.</t>
  </si>
  <si>
    <t>出会い</t>
  </si>
  <si>
    <t>であい</t>
  </si>
  <si>
    <t>出会[であ]い</t>
  </si>
  <si>
    <t>cuộc gặp gỡ</t>
  </si>
  <si>
    <t>素敵な出会い。</t>
  </si>
  <si>
    <t>Cuộc gặp gỡ tuyệt vời.</t>
  </si>
  <si>
    <t>焼ける</t>
  </si>
  <si>
    <t>やける</t>
  </si>
  <si>
    <t>焼[や]ける</t>
  </si>
  <si>
    <t>được nướng</t>
  </si>
  <si>
    <t>パンが焼ける。</t>
  </si>
  <si>
    <t>Bánh mì đã được nướng.</t>
  </si>
  <si>
    <t>見当</t>
  </si>
  <si>
    <t>見当[けんとう]</t>
  </si>
  <si>
    <t>見当をつける。</t>
  </si>
  <si>
    <t>Đưa ra phỏng đoán.</t>
  </si>
  <si>
    <t>公式</t>
  </si>
  <si>
    <t>こうしき</t>
  </si>
  <si>
    <t>公式[こうしき]</t>
  </si>
  <si>
    <t>công thức</t>
  </si>
  <si>
    <t>公式を使う。</t>
  </si>
  <si>
    <t>Sử dụng công thức.</t>
  </si>
  <si>
    <t>強気</t>
  </si>
  <si>
    <t>つよき</t>
  </si>
  <si>
    <t>強気[つよき]</t>
  </si>
  <si>
    <t>kiên định</t>
  </si>
  <si>
    <t>強気な態度をとる。</t>
  </si>
  <si>
    <t>Giữ thái độ kiên định.</t>
  </si>
  <si>
    <t>見学</t>
  </si>
  <si>
    <t>けんがく</t>
  </si>
  <si>
    <t>見学[けんがく]</t>
  </si>
  <si>
    <t>工場を見学する。</t>
  </si>
  <si>
    <t>Tham quan nhà máy.</t>
  </si>
  <si>
    <t>修理</t>
  </si>
  <si>
    <t>しゅうり</t>
  </si>
  <si>
    <t>修理[しゅうり]</t>
  </si>
  <si>
    <t>車を修理する。</t>
  </si>
  <si>
    <t>Sửa chữa chiếc xe.</t>
  </si>
  <si>
    <t>児童</t>
  </si>
  <si>
    <t>児童[じどう]</t>
  </si>
  <si>
    <t>nhi đồng</t>
  </si>
  <si>
    <t>児童を育てる。</t>
  </si>
  <si>
    <t>Nuôi dạy nhi đồng.</t>
  </si>
  <si>
    <t>締切</t>
  </si>
  <si>
    <t>しめきり</t>
  </si>
  <si>
    <t>締切[しめきり]</t>
  </si>
  <si>
    <t>hạn chót</t>
  </si>
  <si>
    <t>締切を守る。</t>
  </si>
  <si>
    <t>Giữ đúng hạn chót.</t>
  </si>
  <si>
    <t>保障</t>
  </si>
  <si>
    <t>保障[ほしょう]</t>
  </si>
  <si>
    <t>生活を保障する。</t>
  </si>
  <si>
    <t>Bảo đảm cuộc sống.</t>
  </si>
  <si>
    <t>泊まる</t>
  </si>
  <si>
    <t>泊[と]まる</t>
  </si>
  <si>
    <t>trọ lại</t>
  </si>
  <si>
    <t>旅行でホテルに泊まる。</t>
  </si>
  <si>
    <t>Trọ lại khách sạn khi đi du lịch.</t>
  </si>
  <si>
    <t>頼る</t>
  </si>
  <si>
    <t>たよる</t>
  </si>
  <si>
    <t>頼[たよ]る</t>
  </si>
  <si>
    <t>dựa dẫm</t>
  </si>
  <si>
    <t>親に頼る。</t>
  </si>
  <si>
    <t>Dựa dẫm vào bố mẹ.</t>
  </si>
  <si>
    <t>詰まる</t>
  </si>
  <si>
    <t>つまる</t>
  </si>
  <si>
    <t>詰[つ]まる</t>
  </si>
  <si>
    <t>bị tắc</t>
  </si>
  <si>
    <t>予定が詰まる。</t>
  </si>
  <si>
    <t>Lịch trình bị dày đặc.</t>
  </si>
  <si>
    <t>密</t>
  </si>
  <si>
    <t>みつ</t>
  </si>
  <si>
    <t>密[みつ]</t>
  </si>
  <si>
    <t>mật</t>
  </si>
  <si>
    <t>密な関係。</t>
  </si>
  <si>
    <t>Mối quan hệ mật thiết.</t>
  </si>
  <si>
    <t>段</t>
  </si>
  <si>
    <t>だん</t>
  </si>
  <si>
    <t>段[だん]</t>
  </si>
  <si>
    <t>bậc</t>
  </si>
  <si>
    <t>段を上がる。</t>
  </si>
  <si>
    <t>Leo lên bậc thang.</t>
  </si>
  <si>
    <t>牛</t>
  </si>
  <si>
    <t>うし</t>
  </si>
  <si>
    <t>牛[うし]</t>
  </si>
  <si>
    <t>bò</t>
  </si>
  <si>
    <t>牧場で牛を飼う。</t>
  </si>
  <si>
    <t>Nuôi bò tại nông trại.</t>
  </si>
  <si>
    <t>低下</t>
  </si>
  <si>
    <t>ていか</t>
  </si>
  <si>
    <t>低下[ていか]</t>
  </si>
  <si>
    <t>sự suy giảm</t>
  </si>
  <si>
    <t>生産が低下する。</t>
  </si>
  <si>
    <t>Sản xuất bị suy giảm.</t>
  </si>
  <si>
    <t>真中</t>
  </si>
  <si>
    <t>まんなか</t>
  </si>
  <si>
    <t>真中[まんなか]</t>
  </si>
  <si>
    <t>chính giữa</t>
  </si>
  <si>
    <t>道の真中。</t>
  </si>
  <si>
    <t>Chính giữa con đường.</t>
  </si>
  <si>
    <t>寮</t>
  </si>
  <si>
    <t>寮[りょう]</t>
  </si>
  <si>
    <t>ký túc xá</t>
  </si>
  <si>
    <t>寮に住む。</t>
  </si>
  <si>
    <t>Sống ở ký túc xá.</t>
  </si>
  <si>
    <t>矛盾</t>
  </si>
  <si>
    <t>むじゅん</t>
  </si>
  <si>
    <t>矛盾[むじゅん]</t>
  </si>
  <si>
    <t>mâu thuẫn</t>
  </si>
  <si>
    <t>話に矛盾がある。</t>
  </si>
  <si>
    <t>Lời nói có mâu thuẫn.</t>
  </si>
  <si>
    <t>香り</t>
  </si>
  <si>
    <t>かおり</t>
  </si>
  <si>
    <t>香[かお]り</t>
  </si>
  <si>
    <t>mùi hương</t>
  </si>
  <si>
    <t>花の香りがする。</t>
  </si>
  <si>
    <t>Có mùi hương của hoa.</t>
  </si>
  <si>
    <t>入学</t>
  </si>
  <si>
    <t>にゅうがく</t>
  </si>
  <si>
    <t>入学[にゅうがく]</t>
  </si>
  <si>
    <t>nhập học</t>
  </si>
  <si>
    <t>大学に入学する。</t>
  </si>
  <si>
    <t>Nhập học đại học.</t>
  </si>
  <si>
    <t>慣らす</t>
  </si>
  <si>
    <t>ならす</t>
  </si>
  <si>
    <t>慣[な]らす</t>
  </si>
  <si>
    <t>耳を慣らす。</t>
  </si>
  <si>
    <t>Làm cho tai quen dần.</t>
  </si>
  <si>
    <t>系統</t>
  </si>
  <si>
    <t>けいとう</t>
  </si>
  <si>
    <t>系統[けいとう]</t>
  </si>
  <si>
    <t>新しい系統を学ぶ。</t>
  </si>
  <si>
    <t>Học hệ thống mới.</t>
  </si>
  <si>
    <t>脂肪</t>
  </si>
  <si>
    <t>脂肪[しぼう]</t>
  </si>
  <si>
    <t>chất béo</t>
  </si>
  <si>
    <t>脂肪を控える。</t>
  </si>
  <si>
    <t>Hạn chế chất béo.</t>
  </si>
  <si>
    <t>西暦</t>
  </si>
  <si>
    <t>せいれき</t>
  </si>
  <si>
    <t>西暦[せいれき]</t>
  </si>
  <si>
    <t>tây lịch</t>
  </si>
  <si>
    <t>西暦を使う。</t>
  </si>
  <si>
    <t>Sử dụng tây lịch.</t>
  </si>
  <si>
    <t>大陸</t>
  </si>
  <si>
    <t>たいりく</t>
  </si>
  <si>
    <t>大陸[たいりく]</t>
  </si>
  <si>
    <t>đại lục</t>
  </si>
  <si>
    <t>大陸を横断する。</t>
  </si>
  <si>
    <t>Băng qua đại lục.</t>
  </si>
  <si>
    <t>学力</t>
  </si>
  <si>
    <t>がくりょく</t>
  </si>
  <si>
    <t>学力[がくりょく]</t>
  </si>
  <si>
    <t>học lực</t>
  </si>
  <si>
    <t>学力を上げる。</t>
  </si>
  <si>
    <t>Nâng cao học lực.</t>
  </si>
  <si>
    <t>生ずる</t>
  </si>
  <si>
    <t>しょうずる</t>
  </si>
  <si>
    <t>生[しょう]ずる</t>
  </si>
  <si>
    <t>sinh ra</t>
  </si>
  <si>
    <t>差が生ずる。</t>
  </si>
  <si>
    <t>Sự khác biệt sinh ra.</t>
  </si>
  <si>
    <t>申請</t>
  </si>
  <si>
    <t>しんせい</t>
  </si>
  <si>
    <t>申請[しんせい]</t>
  </si>
  <si>
    <t>đơn xin</t>
  </si>
  <si>
    <t>パスポートを申請する。</t>
  </si>
  <si>
    <t>Đăng ký làm hộ chiếu.</t>
  </si>
  <si>
    <t>努める</t>
  </si>
  <si>
    <t>努[つと]める</t>
  </si>
  <si>
    <t>改善に努める。</t>
  </si>
  <si>
    <t>Nỗ lực cải thiện.</t>
  </si>
  <si>
    <t>本来</t>
  </si>
  <si>
    <t>ほんらい</t>
  </si>
  <si>
    <t>本来[ほんらい]</t>
  </si>
  <si>
    <t>本来の意味。</t>
  </si>
  <si>
    <t>Đó là ý nghĩa vốn dĩ.</t>
  </si>
  <si>
    <t>自慢</t>
  </si>
  <si>
    <t>じまん</t>
  </si>
  <si>
    <t>自慢[じまん]</t>
  </si>
  <si>
    <t>料理を自慢する。</t>
  </si>
  <si>
    <t>Tự hào về món ăn.</t>
  </si>
  <si>
    <t>飛び出す</t>
  </si>
  <si>
    <t>とびだす</t>
  </si>
  <si>
    <t>飛[と]び出[だ]す</t>
  </si>
  <si>
    <t>lao ra</t>
  </si>
  <si>
    <t>子供が道路に飛び出す。</t>
  </si>
  <si>
    <t>Đứa trẻ lao ra đường.</t>
  </si>
  <si>
    <t>拝見</t>
  </si>
  <si>
    <t>はいけん</t>
  </si>
  <si>
    <t>拝見[はいけん]</t>
  </si>
  <si>
    <t>手紙を拝見する。</t>
  </si>
  <si>
    <t>Xin phép đọc thư.</t>
  </si>
  <si>
    <t>直流</t>
  </si>
  <si>
    <t>ちょくりゅう</t>
  </si>
  <si>
    <t>直流[ちょくりゅう]</t>
  </si>
  <si>
    <t>dòng điện một chiều</t>
  </si>
  <si>
    <t>直流の電気。</t>
  </si>
  <si>
    <t>Dòng điện một chiều.</t>
  </si>
  <si>
    <t>素直</t>
  </si>
  <si>
    <t>すなお</t>
  </si>
  <si>
    <t>素直[すなお]</t>
  </si>
  <si>
    <t>ngoan ngoãn</t>
  </si>
  <si>
    <t>素直な子供。</t>
  </si>
  <si>
    <t>Đứa trẻ ngoan ngoãn.</t>
  </si>
  <si>
    <t>光る</t>
  </si>
  <si>
    <t>ひかる</t>
  </si>
  <si>
    <t>光[ひか]る</t>
  </si>
  <si>
    <t>夜空で星が光る。</t>
  </si>
  <si>
    <t>Các ngôi sao tỏa sáng trên bầu trời đêm.</t>
  </si>
  <si>
    <t>刺激</t>
  </si>
  <si>
    <t>しげき</t>
  </si>
  <si>
    <t>刺激[しげき]</t>
  </si>
  <si>
    <t>kích thích</t>
  </si>
  <si>
    <t>刺激を受ける。</t>
  </si>
  <si>
    <t>Nhận kích thích.</t>
  </si>
  <si>
    <t>日付</t>
  </si>
  <si>
    <t>ひづけ</t>
  </si>
  <si>
    <t>日付[ひづけ]</t>
  </si>
  <si>
    <t>ngày tháng</t>
  </si>
  <si>
    <t>日付を書く。</t>
  </si>
  <si>
    <t>Viết ngày tháng.</t>
  </si>
  <si>
    <t>妥当</t>
  </si>
  <si>
    <t>だとう</t>
  </si>
  <si>
    <t>妥当[だとう]</t>
  </si>
  <si>
    <t>thỏa đáng</t>
  </si>
  <si>
    <t>妥当な判断。</t>
  </si>
  <si>
    <t>Phán đoán thỏa đáng.</t>
  </si>
  <si>
    <t>役者</t>
  </si>
  <si>
    <t>やくしゃ</t>
  </si>
  <si>
    <t>役者[やくしゃ]</t>
  </si>
  <si>
    <t>diễn viên</t>
  </si>
  <si>
    <t>有名な役者。</t>
  </si>
  <si>
    <t>Diễn viên nổi tiếng.</t>
  </si>
  <si>
    <t>生命</t>
  </si>
  <si>
    <t>せいめい</t>
  </si>
  <si>
    <t>生命[せいめい]</t>
  </si>
  <si>
    <t>sinh mệnh</t>
  </si>
  <si>
    <t>生命を大切にする。</t>
  </si>
  <si>
    <t>Quý trọng sinh mệnh.</t>
  </si>
  <si>
    <t>観念</t>
  </si>
  <si>
    <t>かんねん</t>
  </si>
  <si>
    <t>観念[かんねん]</t>
  </si>
  <si>
    <t>quan niệm</t>
  </si>
  <si>
    <t>古い観念を捨てる。</t>
  </si>
  <si>
    <t>Vứt bỏ quan niệm cũ.</t>
  </si>
  <si>
    <t>観測</t>
  </si>
  <si>
    <t>かんそく</t>
  </si>
  <si>
    <t>観測[かんそく]</t>
  </si>
  <si>
    <t>quan trắc</t>
  </si>
  <si>
    <t>気象を観測する。</t>
  </si>
  <si>
    <t>Quan trắc khí tượng.</t>
  </si>
  <si>
    <t>逆らう</t>
  </si>
  <si>
    <t>さからう</t>
  </si>
  <si>
    <t>逆[さか]らう</t>
  </si>
  <si>
    <t>命令に逆らう。</t>
  </si>
  <si>
    <t>Chống lại mệnh lệnh.</t>
  </si>
  <si>
    <t>応対</t>
  </si>
  <si>
    <t>おうたい</t>
  </si>
  <si>
    <t>応対[おうたい]</t>
  </si>
  <si>
    <t>tiếp đón</t>
  </si>
  <si>
    <t>客を応対する。</t>
  </si>
  <si>
    <t>Tiếp đón khách hàng.</t>
  </si>
  <si>
    <t>払い込む</t>
  </si>
  <si>
    <t>はらいこむ</t>
  </si>
  <si>
    <t>払[はら]い込[こ]む</t>
  </si>
  <si>
    <t>nộp tiền</t>
  </si>
  <si>
    <t>代金を払い込む。</t>
  </si>
  <si>
    <t>Nộp tiền thanh toán.</t>
  </si>
  <si>
    <t>飛び込む</t>
  </si>
  <si>
    <t>とびこむ</t>
  </si>
  <si>
    <t>飛[と]び込[こ]む</t>
  </si>
  <si>
    <t>nhảy vào</t>
  </si>
  <si>
    <t>プールに飛び込む。</t>
  </si>
  <si>
    <t>Nhảy vào hồ bơi.</t>
  </si>
  <si>
    <t>先程</t>
  </si>
  <si>
    <t>さきほど</t>
  </si>
  <si>
    <t>先程[さきほど]</t>
  </si>
  <si>
    <t>先程見た。</t>
  </si>
  <si>
    <t>Vừa nãy đã thấy.</t>
  </si>
  <si>
    <t>公表</t>
  </si>
  <si>
    <t>公表[こうひょう]</t>
  </si>
  <si>
    <t>công bố</t>
  </si>
  <si>
    <t>結果を公表する。</t>
  </si>
  <si>
    <t>Công bố kết quả.</t>
  </si>
  <si>
    <t>引っ込む</t>
  </si>
  <si>
    <t>ひっこむ</t>
  </si>
  <si>
    <t>引[ひ]っ込[こ]む</t>
  </si>
  <si>
    <t>lùi vào</t>
  </si>
  <si>
    <t>部屋に引っ込む。</t>
  </si>
  <si>
    <t>Lùi vào trong phòng.</t>
  </si>
  <si>
    <t>物事</t>
  </si>
  <si>
    <t>ものごと</t>
  </si>
  <si>
    <t>物事[ものごと]</t>
  </si>
  <si>
    <t>sự việc</t>
  </si>
  <si>
    <t>物事を考える。</t>
  </si>
  <si>
    <t>Suy nghĩ về sự việc.</t>
  </si>
  <si>
    <t>貴重</t>
  </si>
  <si>
    <t>きちょう</t>
  </si>
  <si>
    <t>貴重[きちょう]</t>
  </si>
  <si>
    <t>quý giá</t>
  </si>
  <si>
    <t>貴重な経験だ。</t>
  </si>
  <si>
    <t>Trải nghiệm quý giá.</t>
  </si>
  <si>
    <t>倒す</t>
  </si>
  <si>
    <t>たおす</t>
  </si>
  <si>
    <t>倒[たお]す</t>
  </si>
  <si>
    <t>花瓶を倒す。</t>
  </si>
  <si>
    <t>Làm đổ bình hoa.</t>
  </si>
  <si>
    <t>騒ぐ</t>
  </si>
  <si>
    <t>さわぐ</t>
  </si>
  <si>
    <t>騒[さわ]ぐ</t>
  </si>
  <si>
    <t>làm ồn</t>
  </si>
  <si>
    <t>夜中に騒ぐ。</t>
  </si>
  <si>
    <t>Làm ồn giữa đêm.</t>
  </si>
  <si>
    <t>大いに</t>
  </si>
  <si>
    <t>おおいに</t>
  </si>
  <si>
    <t>大[おお]いに</t>
  </si>
  <si>
    <t>大いに楽しむ。</t>
  </si>
  <si>
    <t>Tận hưởng nhiều.</t>
  </si>
  <si>
    <t>欠ける</t>
  </si>
  <si>
    <t>欠[か]ける</t>
  </si>
  <si>
    <t>月が欠ける。</t>
  </si>
  <si>
    <t>Mặt trăng bị khuyết.</t>
  </si>
  <si>
    <t>等しい</t>
  </si>
  <si>
    <t>ひとしい</t>
  </si>
  <si>
    <t>等[ひと]しい</t>
  </si>
  <si>
    <t>bằng</t>
  </si>
  <si>
    <t>長さが等しい。</t>
  </si>
  <si>
    <t>Chiều dài bằng nhau.</t>
  </si>
  <si>
    <t>貿易</t>
  </si>
  <si>
    <t>ぼうえき</t>
  </si>
  <si>
    <t>貿易[ぼうえき]</t>
  </si>
  <si>
    <t>貿易を拡大する。</t>
  </si>
  <si>
    <t>Mở rộng thương mại.</t>
  </si>
  <si>
    <t>国境</t>
  </si>
  <si>
    <t>こっきょう</t>
  </si>
  <si>
    <t>国境[こっきょう]</t>
  </si>
  <si>
    <t>国境を越える旅。</t>
  </si>
  <si>
    <t>Chuyến đi vượt qua biên giới.</t>
  </si>
  <si>
    <t>承る</t>
  </si>
  <si>
    <t>うけたまわる</t>
  </si>
  <si>
    <t>承[うけたまわ]る</t>
  </si>
  <si>
    <t>注文を承る。</t>
  </si>
  <si>
    <t>Tiếp nhận đơn hàng.</t>
  </si>
  <si>
    <t>節約</t>
  </si>
  <si>
    <t>せつやく</t>
  </si>
  <si>
    <t>節約[せつやく]</t>
  </si>
  <si>
    <t>電気を節約する。</t>
  </si>
  <si>
    <t>Tiết kiệm điện.</t>
  </si>
  <si>
    <t>美人</t>
  </si>
  <si>
    <t>びじん</t>
  </si>
  <si>
    <t>美人[びじん]</t>
  </si>
  <si>
    <t>người đẹp</t>
  </si>
  <si>
    <t>彼女は美人だ。</t>
  </si>
  <si>
    <t>Cô ấy là người đẹp.</t>
  </si>
  <si>
    <t>葉書</t>
  </si>
  <si>
    <t>はがき</t>
  </si>
  <si>
    <t>葉書[はがき]</t>
  </si>
  <si>
    <t>bưu thiếp</t>
  </si>
  <si>
    <t>葉書を書く。</t>
  </si>
  <si>
    <t>Viết bưu thiếp.</t>
  </si>
  <si>
    <t>単純</t>
  </si>
  <si>
    <t>たんじゅん</t>
  </si>
  <si>
    <t>単純[たんじゅん]</t>
  </si>
  <si>
    <t>単純な作業。</t>
  </si>
  <si>
    <t>Công việc đơn giản.</t>
  </si>
  <si>
    <t>拘束</t>
  </si>
  <si>
    <t>拘束[こうそく]</t>
  </si>
  <si>
    <t>時間を拘束する。</t>
  </si>
  <si>
    <t>Giới hạn thời gian.</t>
  </si>
  <si>
    <t>無駄</t>
  </si>
  <si>
    <t>むだ</t>
  </si>
  <si>
    <t>無駄[むだ]</t>
  </si>
  <si>
    <t>lãng phí</t>
  </si>
  <si>
    <t>時間を使うのは無駄だ。</t>
  </si>
  <si>
    <t>Lãng phí thời gian.</t>
  </si>
  <si>
    <t>読書</t>
  </si>
  <si>
    <t>どくしょ</t>
  </si>
  <si>
    <t>読書[どくしょ]</t>
  </si>
  <si>
    <t>đọc sách</t>
  </si>
  <si>
    <t>読書が好きだ。</t>
  </si>
  <si>
    <t>Thích đọc sách.</t>
  </si>
  <si>
    <t>負け</t>
  </si>
  <si>
    <t>まけ</t>
  </si>
  <si>
    <t>負[ま]け</t>
  </si>
  <si>
    <t>負けを認める。</t>
  </si>
  <si>
    <t>Công nhận thất bại.</t>
  </si>
  <si>
    <t>貸し出し</t>
  </si>
  <si>
    <t>かしだし</t>
  </si>
  <si>
    <t>貸[か]し出[だ]し</t>
  </si>
  <si>
    <t>本の貸し出し。</t>
  </si>
  <si>
    <t>Việc cho mượn sách.</t>
  </si>
  <si>
    <t>夜間</t>
  </si>
  <si>
    <t>やかん</t>
  </si>
  <si>
    <t>夜間[やかん]</t>
  </si>
  <si>
    <t>ban đêm</t>
  </si>
  <si>
    <t>夜間の警備。</t>
  </si>
  <si>
    <t>Bảo vệ vào ban đêm.</t>
  </si>
  <si>
    <t>悪口</t>
  </si>
  <si>
    <t>わるぐち</t>
  </si>
  <si>
    <t>悪口[わるぐち]</t>
  </si>
  <si>
    <t>nói xấu</t>
  </si>
  <si>
    <t>他人の悪口を言う。</t>
  </si>
  <si>
    <t>Nói xấu người khác.</t>
  </si>
  <si>
    <t>溜まる</t>
  </si>
  <si>
    <t>たまる</t>
  </si>
  <si>
    <t>溜[た]まる</t>
  </si>
  <si>
    <t>tích tụ</t>
  </si>
  <si>
    <t>ストレスが溜まる。</t>
  </si>
  <si>
    <t>縮小</t>
  </si>
  <si>
    <t>しゅくしょう</t>
  </si>
  <si>
    <t>縮小[しゅくしょう]</t>
  </si>
  <si>
    <t>thu nhỏ</t>
  </si>
  <si>
    <t>規模を縮小する。</t>
  </si>
  <si>
    <t>Thu nhỏ quy mô.</t>
  </si>
  <si>
    <t>繋がり</t>
  </si>
  <si>
    <t>つながり</t>
  </si>
  <si>
    <t>繋[つな]がり</t>
  </si>
  <si>
    <t>心の繋がり。</t>
  </si>
  <si>
    <t>Sự kết nối tâm hồn.</t>
  </si>
  <si>
    <t>通貨</t>
  </si>
  <si>
    <t>通貨[つうか]</t>
  </si>
  <si>
    <t>外国の通貨。</t>
  </si>
  <si>
    <t>Tiền tệ nước ngoài.</t>
  </si>
  <si>
    <t>出場</t>
  </si>
  <si>
    <t>しゅつじょう</t>
  </si>
  <si>
    <t>出場[しゅつじょう]</t>
  </si>
  <si>
    <t>ra sân</t>
  </si>
  <si>
    <t>試合に出場する。</t>
  </si>
  <si>
    <t>Ra sân thi đấu.</t>
  </si>
  <si>
    <t>火曜日</t>
  </si>
  <si>
    <t>かようび</t>
  </si>
  <si>
    <t>火曜日[かようび]</t>
  </si>
  <si>
    <t>thứ ba</t>
  </si>
  <si>
    <t>明日は火曜日だ。</t>
  </si>
  <si>
    <t>Ngày mai là thứ ba.</t>
  </si>
  <si>
    <t>留学</t>
  </si>
  <si>
    <t>りゅうがく</t>
  </si>
  <si>
    <t>留学[りゅうがく]</t>
  </si>
  <si>
    <t>du học</t>
  </si>
  <si>
    <t>日本へ留学する。</t>
  </si>
  <si>
    <t>Đi du học Nhật Bản.</t>
  </si>
  <si>
    <t>弟子</t>
  </si>
  <si>
    <t>でし</t>
  </si>
  <si>
    <t>弟子[でし]</t>
  </si>
  <si>
    <t>đệ tử</t>
  </si>
  <si>
    <t>先生に弟子入りする。</t>
  </si>
  <si>
    <t>Làm đệ tử của thầy.</t>
  </si>
  <si>
    <t>似合う</t>
  </si>
  <si>
    <t>にあう</t>
  </si>
  <si>
    <t>似合[にあ]う</t>
  </si>
  <si>
    <t>服が似合う。</t>
  </si>
  <si>
    <t>Bộ quần áo rất hợp.</t>
  </si>
  <si>
    <t>埋まる</t>
  </si>
  <si>
    <t>うまる</t>
  </si>
  <si>
    <t>埋[う]まる</t>
  </si>
  <si>
    <t>bị chôn lấp</t>
  </si>
  <si>
    <t>穴が埋まる。</t>
  </si>
  <si>
    <t>Cái hố bị lấp đầy.</t>
  </si>
  <si>
    <t>寸法</t>
  </si>
  <si>
    <t>すんぽう</t>
  </si>
  <si>
    <t>寸法[すんぽう]</t>
  </si>
  <si>
    <t>寸法を測る。</t>
  </si>
  <si>
    <t>Đo kích thước.</t>
  </si>
  <si>
    <t>論ずる</t>
  </si>
  <si>
    <t>ろんずる</t>
  </si>
  <si>
    <t>論[ろん]ずる</t>
  </si>
  <si>
    <t>意見を論ずる。</t>
  </si>
  <si>
    <t>Tranh luận ý kiến.</t>
  </si>
  <si>
    <t>豪華</t>
  </si>
  <si>
    <t>ごうか</t>
  </si>
  <si>
    <t>豪華[ごうか]</t>
  </si>
  <si>
    <t>sang trọng</t>
  </si>
  <si>
    <t>豪華な食事だ。</t>
  </si>
  <si>
    <t>Bữa ăn sang trọng.</t>
  </si>
  <si>
    <t>通用</t>
  </si>
  <si>
    <t>つうよう</t>
  </si>
  <si>
    <t>通用[つうよう]</t>
  </si>
  <si>
    <t>thông dụng</t>
  </si>
  <si>
    <t>通用する言葉。</t>
  </si>
  <si>
    <t>Từ ngữ thông dụng.</t>
  </si>
  <si>
    <t>学術</t>
  </si>
  <si>
    <t>がくじゅつ</t>
  </si>
  <si>
    <t>学術[がくじゅつ]</t>
  </si>
  <si>
    <t>học thuật</t>
  </si>
  <si>
    <t>学術的な文章。</t>
  </si>
  <si>
    <t>Văn bản học thuật.</t>
  </si>
  <si>
    <t>実用</t>
  </si>
  <si>
    <t>じつよう</t>
  </si>
  <si>
    <t>実用[じつよう]</t>
  </si>
  <si>
    <t>thực dụng</t>
  </si>
  <si>
    <t>実用的な道具。</t>
  </si>
  <si>
    <t>Công cụ thực dụng.</t>
  </si>
  <si>
    <t>体重</t>
  </si>
  <si>
    <t>たいじゅう</t>
  </si>
  <si>
    <t>体重[たいじゅう]</t>
  </si>
  <si>
    <t>cân nặng</t>
  </si>
  <si>
    <t>体重を減らす。</t>
  </si>
  <si>
    <t>Giảm cân nặng.</t>
  </si>
  <si>
    <t>振り向く</t>
  </si>
  <si>
    <t>ふりむく</t>
  </si>
  <si>
    <t>振[ふ]り向[む]く</t>
  </si>
  <si>
    <t>後ろを振り向く。</t>
  </si>
  <si>
    <t>Quay lại phía sau.</t>
  </si>
  <si>
    <t>減少</t>
  </si>
  <si>
    <t>げんしょう</t>
  </si>
  <si>
    <t>減少[げんしょう]</t>
  </si>
  <si>
    <t>giảm sút</t>
  </si>
  <si>
    <t>売上が減少する。</t>
  </si>
  <si>
    <t>Doanh số giảm sút.</t>
  </si>
  <si>
    <t>解散</t>
  </si>
  <si>
    <t>かいさん</t>
  </si>
  <si>
    <t>解散[かいさん]</t>
  </si>
  <si>
    <t>giải tán</t>
  </si>
  <si>
    <t>会議を解散する。</t>
  </si>
  <si>
    <t>Giải tán cuộc họp.</t>
  </si>
  <si>
    <t>軍隊</t>
  </si>
  <si>
    <t>ぐんたい</t>
  </si>
  <si>
    <t>軍隊[ぐんたい]</t>
  </si>
  <si>
    <t>軍隊に入る。</t>
  </si>
  <si>
    <t>Gia nhập quân đội.</t>
  </si>
  <si>
    <t>警備</t>
  </si>
  <si>
    <t>けいび</t>
  </si>
  <si>
    <t>警備[けいび]</t>
  </si>
  <si>
    <t>an ninh</t>
  </si>
  <si>
    <t>警備が厳しい。</t>
  </si>
  <si>
    <t>An ninh nghiêm ngặt.</t>
  </si>
  <si>
    <t>大半</t>
  </si>
  <si>
    <t>たいはん</t>
  </si>
  <si>
    <t>大半[たいはん]</t>
  </si>
  <si>
    <t>đa số</t>
  </si>
  <si>
    <t>大半が終わる。</t>
  </si>
  <si>
    <t>Đa số đã kết thúc.</t>
  </si>
  <si>
    <t>嫌がる</t>
  </si>
  <si>
    <t>いやがる</t>
  </si>
  <si>
    <t>嫌[いや]がる</t>
  </si>
  <si>
    <t>勉強を嫌がる。</t>
  </si>
  <si>
    <t>Ghét việc học.</t>
  </si>
  <si>
    <t>孫</t>
  </si>
  <si>
    <t>まご</t>
  </si>
  <si>
    <t>孫[まご]</t>
  </si>
  <si>
    <t>cháu</t>
  </si>
  <si>
    <t>孫と遊ぶ。</t>
  </si>
  <si>
    <t>Chơi với cháu.</t>
  </si>
  <si>
    <t>寺院</t>
  </si>
  <si>
    <t>じいん</t>
  </si>
  <si>
    <t>寺院[じいん]</t>
  </si>
  <si>
    <t>寺院を建築する。</t>
  </si>
  <si>
    <t>Xây dựng chùa.</t>
  </si>
  <si>
    <t>講演</t>
  </si>
  <si>
    <t>講演[こうえん]</t>
  </si>
  <si>
    <t>diễn thuyết</t>
  </si>
  <si>
    <t>講演を聴く。</t>
  </si>
  <si>
    <t>Nghe diễn thuyết.</t>
  </si>
  <si>
    <t>尾</t>
  </si>
  <si>
    <t>お</t>
  </si>
  <si>
    <t>尾[お]</t>
  </si>
  <si>
    <t>cái đuôi</t>
  </si>
  <si>
    <t>犬が尾を振る。</t>
  </si>
  <si>
    <t>Con chó vẫy đuôi.</t>
  </si>
  <si>
    <t>無料</t>
  </si>
  <si>
    <t>むりょう</t>
  </si>
  <si>
    <t>無料[むりょう]</t>
  </si>
  <si>
    <t>入場は無料だ。</t>
  </si>
  <si>
    <t>Vào cửa miễn phí.</t>
  </si>
  <si>
    <t>競馬</t>
  </si>
  <si>
    <t>けいば</t>
  </si>
  <si>
    <t>競馬[けいば]</t>
  </si>
  <si>
    <t>đua ngựa</t>
  </si>
  <si>
    <t>競馬を見る。</t>
  </si>
  <si>
    <t>Xem đua ngựa.</t>
  </si>
  <si>
    <t>能</t>
  </si>
  <si>
    <t>能[のう]</t>
  </si>
  <si>
    <t>kịch noh</t>
  </si>
  <si>
    <t>能を鑑賞する。</t>
  </si>
  <si>
    <t>Xem kịch Noh.</t>
  </si>
  <si>
    <t>勢い</t>
  </si>
  <si>
    <t>いきおい</t>
  </si>
  <si>
    <t>勢[いきお]い</t>
  </si>
  <si>
    <t>khí thế</t>
  </si>
  <si>
    <t>勢いが強い。</t>
  </si>
  <si>
    <t>Khí thế rất mạnh.</t>
  </si>
  <si>
    <t>心得る</t>
  </si>
  <si>
    <t>こころえる</t>
  </si>
  <si>
    <t>心得[こころえ]る</t>
  </si>
  <si>
    <t>am hiểu</t>
  </si>
  <si>
    <t>作法を心得る。</t>
  </si>
  <si>
    <t>Am hiểu phép tắc.</t>
  </si>
  <si>
    <t>海岸</t>
  </si>
  <si>
    <t>かいがん</t>
  </si>
  <si>
    <t>海岸[かいがん]</t>
  </si>
  <si>
    <t>bờ biển</t>
  </si>
  <si>
    <t>海岸を散歩する。</t>
  </si>
  <si>
    <t>Đi dạo ở bờ biển.</t>
  </si>
  <si>
    <t>独立</t>
  </si>
  <si>
    <t>どくりつ</t>
  </si>
  <si>
    <t>独立[どくりつ]</t>
  </si>
  <si>
    <t>独立して働く。</t>
  </si>
  <si>
    <t>Làm việc độc lập.</t>
  </si>
  <si>
    <t>省略</t>
  </si>
  <si>
    <t>しょうりゃく</t>
  </si>
  <si>
    <t>省略[しょうりゃく]</t>
  </si>
  <si>
    <t>tóm tắt</t>
  </si>
  <si>
    <t>詳細を省略する。</t>
  </si>
  <si>
    <t>Tóm tắt chi tiết.</t>
  </si>
  <si>
    <t>礼儀</t>
  </si>
  <si>
    <t>れいぎ</t>
  </si>
  <si>
    <t>礼儀[れいぎ]</t>
  </si>
  <si>
    <t>lễ nghi</t>
  </si>
  <si>
    <t>礼儀が正しい。</t>
  </si>
  <si>
    <t>Lễ nghi đúng mực.</t>
  </si>
  <si>
    <t>出口</t>
  </si>
  <si>
    <t>でぐち</t>
  </si>
  <si>
    <t>出口[でぐち]</t>
  </si>
  <si>
    <t>lối ra</t>
  </si>
  <si>
    <t>出口を出る。</t>
  </si>
  <si>
    <t>Đi ra lối ra.</t>
  </si>
  <si>
    <t>復習</t>
  </si>
  <si>
    <t>ふくしゅう</t>
  </si>
  <si>
    <t>復習[ふくしゅう]</t>
  </si>
  <si>
    <t>ôn tập</t>
  </si>
  <si>
    <t>授業を復習する。</t>
  </si>
  <si>
    <t>Ôn tập bài giảng.</t>
  </si>
  <si>
    <t>池</t>
  </si>
  <si>
    <t>いけ</t>
  </si>
  <si>
    <t>池[いけ]</t>
  </si>
  <si>
    <t>cái ao</t>
  </si>
  <si>
    <t>池で泳ぐ。</t>
  </si>
  <si>
    <t>Bơi trong ao.</t>
  </si>
  <si>
    <t>脇</t>
  </si>
  <si>
    <t>わき</t>
  </si>
  <si>
    <t>脇[わき]</t>
  </si>
  <si>
    <t>nách</t>
  </si>
  <si>
    <t>脇に挟む。</t>
  </si>
  <si>
    <t>Kẹp vào nách.</t>
  </si>
  <si>
    <t>絞る</t>
  </si>
  <si>
    <t>しぼる</t>
  </si>
  <si>
    <t>絞[しぼ]る</t>
  </si>
  <si>
    <t>vắt</t>
  </si>
  <si>
    <t>雑巾を絞る。</t>
  </si>
  <si>
    <t>Vắt khăn lau.</t>
  </si>
  <si>
    <t>夫人</t>
  </si>
  <si>
    <t>ふじん</t>
  </si>
  <si>
    <t>夫人[ふじん]</t>
  </si>
  <si>
    <t>大臣夫人。</t>
  </si>
  <si>
    <t>Vợ của bộ trưởng.</t>
  </si>
  <si>
    <t>幼稚園</t>
  </si>
  <si>
    <t>ようちえん</t>
  </si>
  <si>
    <t>幼稚園[ようちえん]</t>
  </si>
  <si>
    <t>trường mẫu giáo</t>
  </si>
  <si>
    <t>幼稚園に通う。</t>
  </si>
  <si>
    <t>Đi học mẫu giáo.</t>
  </si>
  <si>
    <t>近付ける</t>
  </si>
  <si>
    <t>ちかづける</t>
  </si>
  <si>
    <t>近付[ちかづ]ける</t>
  </si>
  <si>
    <t>mang lại gần</t>
  </si>
  <si>
    <t>椅子を近付ける。</t>
  </si>
  <si>
    <t>Kéo ghế lại gần.</t>
  </si>
  <si>
    <t>申し訳</t>
  </si>
  <si>
    <t>もうしわけ</t>
  </si>
  <si>
    <t>申[もう]し訳[わけ]</t>
  </si>
  <si>
    <t>lời xin lỗi</t>
  </si>
  <si>
    <t>申し訳ないです。</t>
  </si>
  <si>
    <t>Tôi rất xin lỗi.</t>
  </si>
  <si>
    <t>試し</t>
  </si>
  <si>
    <t>ためし</t>
  </si>
  <si>
    <t>試[ため]し</t>
  </si>
  <si>
    <t>thử nghiệm</t>
  </si>
  <si>
    <t>一度試しにする。</t>
  </si>
  <si>
    <t>Làm thử một lần.</t>
  </si>
  <si>
    <t>公共</t>
  </si>
  <si>
    <t>こうきょう</t>
  </si>
  <si>
    <t>公共[こうきょう]</t>
  </si>
  <si>
    <t>公共の施設。</t>
  </si>
  <si>
    <t>Cơ sở công cộng.</t>
  </si>
  <si>
    <t>足元</t>
  </si>
  <si>
    <t>あしもと</t>
  </si>
  <si>
    <t>足元[あしもと]</t>
  </si>
  <si>
    <t>dưới chân</t>
  </si>
  <si>
    <t>足元に注意する。</t>
  </si>
  <si>
    <t>Chú ý dưới chân.</t>
  </si>
  <si>
    <t>果物</t>
  </si>
  <si>
    <t>くだもの</t>
  </si>
  <si>
    <t>果物[くだもの]</t>
  </si>
  <si>
    <t>trái cây</t>
  </si>
  <si>
    <t>果物を食べる。</t>
  </si>
  <si>
    <t>Ăn trái cây.</t>
  </si>
  <si>
    <t>警告</t>
  </si>
  <si>
    <t>けいこく</t>
  </si>
  <si>
    <t>警告[けいこく]</t>
  </si>
  <si>
    <t>cảnh cáo</t>
  </si>
  <si>
    <t>警告を与える。</t>
  </si>
  <si>
    <t>Đưa ra cảnh cáo.</t>
  </si>
  <si>
    <t>体育</t>
  </si>
  <si>
    <t>たいいく</t>
  </si>
  <si>
    <t>体育[たいいく]</t>
  </si>
  <si>
    <t>thể dục</t>
  </si>
  <si>
    <t>体育の授業。</t>
  </si>
  <si>
    <t>Giờ học thể dục.</t>
  </si>
  <si>
    <t>作者</t>
  </si>
  <si>
    <t>さくしゃ</t>
  </si>
  <si>
    <t>作者[さくしゃ]</t>
  </si>
  <si>
    <t>作者に会う。</t>
  </si>
  <si>
    <t>Gặp tác giả.</t>
  </si>
  <si>
    <t>夕飯</t>
  </si>
  <si>
    <t>ゆうはん</t>
  </si>
  <si>
    <t>夕飯[ゆうはん]</t>
  </si>
  <si>
    <t>bữa tối</t>
  </si>
  <si>
    <t>夕飯を作る。</t>
  </si>
  <si>
    <t>Nấu bữa tối.</t>
  </si>
  <si>
    <t>知恵</t>
  </si>
  <si>
    <t>ちえ</t>
  </si>
  <si>
    <t>知恵[ちえ]</t>
  </si>
  <si>
    <t>知恵を絞る。</t>
  </si>
  <si>
    <t>Vắt óc suy nghĩ.</t>
  </si>
  <si>
    <t>過剰</t>
  </si>
  <si>
    <t>かじょう</t>
  </si>
  <si>
    <t>過剰[かじょう]</t>
  </si>
  <si>
    <t>過剰な期待だ。</t>
  </si>
  <si>
    <t>Kỳ vọng quá mức.</t>
  </si>
  <si>
    <t>手帳</t>
  </si>
  <si>
    <t>てちょう</t>
  </si>
  <si>
    <t>手帳[てちょう]</t>
  </si>
  <si>
    <t>sổ tay</t>
  </si>
  <si>
    <t>手帳に書く。</t>
  </si>
  <si>
    <t>Viết vào sổ tay.</t>
  </si>
  <si>
    <t>高度</t>
  </si>
  <si>
    <t>こうど</t>
  </si>
  <si>
    <t>高度[こうど]</t>
  </si>
  <si>
    <t>độ cao</t>
  </si>
  <si>
    <t>高度を上げる。</t>
  </si>
  <si>
    <t>Tăng độ cao.</t>
  </si>
  <si>
    <t>怠る</t>
  </si>
  <si>
    <t>おこたる</t>
  </si>
  <si>
    <t>怠[おこた]る</t>
  </si>
  <si>
    <t>lơ là</t>
  </si>
  <si>
    <t>練習を怠る。</t>
  </si>
  <si>
    <t>Lơ là luyện tập.</t>
  </si>
  <si>
    <t>彫る</t>
  </si>
  <si>
    <t>彫[ほ]る</t>
  </si>
  <si>
    <t>khắc</t>
  </si>
  <si>
    <t>木に名前を彫る。</t>
  </si>
  <si>
    <t>Khắc tên lên gỗ.</t>
  </si>
  <si>
    <t>新鮮</t>
  </si>
  <si>
    <t>しんせん</t>
  </si>
  <si>
    <t>新鮮[しんせん]</t>
  </si>
  <si>
    <t>tươi</t>
  </si>
  <si>
    <t>魚が新鮮だ。</t>
  </si>
  <si>
    <t>Con cá rất tươi.</t>
  </si>
  <si>
    <t>沈む</t>
  </si>
  <si>
    <t>しずむ</t>
  </si>
  <si>
    <t>沈[しず]む</t>
  </si>
  <si>
    <t>chìm</t>
  </si>
  <si>
    <t>船が沈む。</t>
  </si>
  <si>
    <t>Con tàu bị chìm.</t>
  </si>
  <si>
    <t>足す</t>
  </si>
  <si>
    <t>たす</t>
  </si>
  <si>
    <t>足[た]す</t>
  </si>
  <si>
    <t>数字を足す。</t>
  </si>
  <si>
    <t>Cộng các con số.</t>
  </si>
  <si>
    <t>濃い</t>
  </si>
  <si>
    <t>濃[こ]い</t>
  </si>
  <si>
    <t>đậm</t>
  </si>
  <si>
    <t>濃いコーヒーを飲む。</t>
  </si>
  <si>
    <t>Uống cà phê đậm.</t>
  </si>
  <si>
    <t>被せる</t>
  </si>
  <si>
    <t>かぶせる</t>
  </si>
  <si>
    <t>被[かぶ]せる</t>
  </si>
  <si>
    <t>phủ</t>
  </si>
  <si>
    <t>布を被せる。</t>
  </si>
  <si>
    <t>Phủ vải lên.</t>
  </si>
  <si>
    <t>膨らむ</t>
  </si>
  <si>
    <t>ふくらむ</t>
  </si>
  <si>
    <t>膨[ふく]らむ</t>
  </si>
  <si>
    <t>phồng lên</t>
  </si>
  <si>
    <t>夢が膨らむ。</t>
  </si>
  <si>
    <t>Ước mơ lớn dần.</t>
  </si>
  <si>
    <t>評論</t>
  </si>
  <si>
    <t>ひょうろん</t>
  </si>
  <si>
    <t>評論[ひょうろん]</t>
  </si>
  <si>
    <t>評論を書く。</t>
  </si>
  <si>
    <t>Viết bình luận.</t>
  </si>
  <si>
    <t>意地悪</t>
  </si>
  <si>
    <t>いじわる</t>
  </si>
  <si>
    <t>意地悪[いじわる]</t>
  </si>
  <si>
    <t>xấu tính</t>
  </si>
  <si>
    <t>意地悪な人。</t>
  </si>
  <si>
    <t>Người xấu tính.</t>
  </si>
  <si>
    <t>往復</t>
  </si>
  <si>
    <t>おうふく</t>
  </si>
  <si>
    <t>往復[おうふく]</t>
  </si>
  <si>
    <t>khứ hồi</t>
  </si>
  <si>
    <t>切符を往復で買う。</t>
  </si>
  <si>
    <t>Mua vé khứ hồi.</t>
  </si>
  <si>
    <t>地理</t>
  </si>
  <si>
    <t>ちり</t>
  </si>
  <si>
    <t>地理[ちり]</t>
  </si>
  <si>
    <t>địa lý</t>
  </si>
  <si>
    <t>地理を学ぶ。</t>
  </si>
  <si>
    <t>Học địa lý.</t>
  </si>
  <si>
    <t>担ぐ</t>
  </si>
  <si>
    <t>かつぐ</t>
  </si>
  <si>
    <t>担[かつ]ぐ</t>
  </si>
  <si>
    <t>khiêng</t>
  </si>
  <si>
    <t>荷物を担ぐ。</t>
  </si>
  <si>
    <t>Khiêng hành lý.</t>
  </si>
  <si>
    <t>引受る</t>
  </si>
  <si>
    <t>ひきうける</t>
  </si>
  <si>
    <t>引受[ひきうけ]る</t>
  </si>
  <si>
    <t>仕事を引受る。</t>
  </si>
  <si>
    <t>Nhận công việc.</t>
  </si>
  <si>
    <t>玉</t>
  </si>
  <si>
    <t>玉[たま]</t>
  </si>
  <si>
    <t>viên</t>
  </si>
  <si>
    <t>光る玉。</t>
  </si>
  <si>
    <t>Viên sáng bóng.</t>
  </si>
  <si>
    <t>遅刻</t>
  </si>
  <si>
    <t>ちこく</t>
  </si>
  <si>
    <t>遅刻[ちこく]</t>
  </si>
  <si>
    <t>muộn</t>
  </si>
  <si>
    <t>遅刻を避ける。</t>
  </si>
  <si>
    <t>Tránh muộn giờ.</t>
  </si>
  <si>
    <t>恨む</t>
  </si>
  <si>
    <t>うらむ</t>
  </si>
  <si>
    <t>恨[うら]む</t>
  </si>
  <si>
    <t>hận</t>
  </si>
  <si>
    <t>他人を恨む。</t>
  </si>
  <si>
    <t>Hận người khác.</t>
  </si>
  <si>
    <t>転ぶ</t>
  </si>
  <si>
    <t>ころぶ</t>
  </si>
  <si>
    <t>転[ころ]ぶ</t>
  </si>
  <si>
    <t>ngã</t>
  </si>
  <si>
    <t>道で転ぶ。</t>
  </si>
  <si>
    <t>Ngã trên đường.</t>
  </si>
  <si>
    <t>氷</t>
  </si>
  <si>
    <t>こおり</t>
  </si>
  <si>
    <t>氷[こおり]</t>
  </si>
  <si>
    <t>氷を溶かす。</t>
  </si>
  <si>
    <t>Làm tan đá.</t>
  </si>
  <si>
    <t>連合</t>
  </si>
  <si>
    <t>れんごう</t>
  </si>
  <si>
    <t>連合[れんごう]</t>
  </si>
  <si>
    <t>連合を組む。</t>
  </si>
  <si>
    <t>Lập liên minh.</t>
  </si>
  <si>
    <t>手入れ</t>
  </si>
  <si>
    <t>ていれ</t>
  </si>
  <si>
    <t>手入[てい]れ</t>
  </si>
  <si>
    <t>庭の手入れをする。</t>
  </si>
  <si>
    <t>Chăm sóc vườn.</t>
  </si>
  <si>
    <t>独り</t>
  </si>
  <si>
    <t>独[ひと]り</t>
  </si>
  <si>
    <t>một mình</t>
  </si>
  <si>
    <t>独りで暮らす。</t>
  </si>
  <si>
    <t>Sống một mình.</t>
  </si>
  <si>
    <t>馬</t>
  </si>
  <si>
    <t>うま</t>
  </si>
  <si>
    <t>馬[うま]</t>
  </si>
  <si>
    <t>ngựa</t>
  </si>
  <si>
    <t>馬に乗る。</t>
  </si>
  <si>
    <t>Cưỡi ngựa.</t>
  </si>
  <si>
    <t>恋しい</t>
  </si>
  <si>
    <t>こいしい</t>
  </si>
  <si>
    <t>恋[こい]しい</t>
  </si>
  <si>
    <t>故郷が恋しい。</t>
  </si>
  <si>
    <t>Nhớ quê hương.</t>
  </si>
  <si>
    <t>用事</t>
  </si>
  <si>
    <t>用事[ようじ]</t>
  </si>
  <si>
    <t>用事がある。</t>
  </si>
  <si>
    <t>Có công việc.</t>
  </si>
  <si>
    <t>発売</t>
  </si>
  <si>
    <t>はつばい</t>
  </si>
  <si>
    <t>発売[はつばい]</t>
  </si>
  <si>
    <t>phát hành</t>
  </si>
  <si>
    <t>チケットを発売する。</t>
  </si>
  <si>
    <t>Phát hành vé.</t>
  </si>
  <si>
    <t>診察</t>
  </si>
  <si>
    <t>しんさつ</t>
  </si>
  <si>
    <t>診察[しんさつ]</t>
  </si>
  <si>
    <t>khám bệnh</t>
  </si>
  <si>
    <t>診察を受ける。</t>
  </si>
  <si>
    <t>Đi khám bệnh.</t>
  </si>
  <si>
    <t>身長</t>
  </si>
  <si>
    <t>身長[しんちょう]</t>
  </si>
  <si>
    <t>chiều cao</t>
  </si>
  <si>
    <t>自分の身長を測る。</t>
  </si>
  <si>
    <t>Đo chiều cao của bản thân.</t>
  </si>
  <si>
    <t>写す</t>
  </si>
  <si>
    <t>うつす</t>
  </si>
  <si>
    <t>写[うつ]す</t>
  </si>
  <si>
    <t>chụp ảnh</t>
  </si>
  <si>
    <t>写真を写す。</t>
  </si>
  <si>
    <t>Chụp ảnh.</t>
  </si>
  <si>
    <t>印</t>
  </si>
  <si>
    <t>しるし</t>
  </si>
  <si>
    <t>印[しるし]</t>
  </si>
  <si>
    <t>印をつける。</t>
  </si>
  <si>
    <t>Đánh dấu.</t>
  </si>
  <si>
    <t>印象</t>
  </si>
  <si>
    <t>いんしょう</t>
  </si>
  <si>
    <t>印象[いんしょう]</t>
  </si>
  <si>
    <t>ấn tượng</t>
  </si>
  <si>
    <t>良い印象。</t>
  </si>
  <si>
    <t>Ấn tượng tốt.</t>
  </si>
  <si>
    <t>荒れる</t>
  </si>
  <si>
    <t>あれる</t>
  </si>
  <si>
    <t>荒[あ]れる</t>
  </si>
  <si>
    <t>khô ráp</t>
  </si>
  <si>
    <t>乾燥で肌が荒れる。</t>
  </si>
  <si>
    <t>Da bị khô ráp do hanh khô.</t>
  </si>
  <si>
    <t>劇</t>
  </si>
  <si>
    <t>げき</t>
  </si>
  <si>
    <t>劇[げき]</t>
  </si>
  <si>
    <t>kịch</t>
  </si>
  <si>
    <t>劇を見る。</t>
  </si>
  <si>
    <t>Xem kịch.</t>
  </si>
  <si>
    <t>干す</t>
  </si>
  <si>
    <t>ほす</t>
  </si>
  <si>
    <t>干[ほ]す</t>
  </si>
  <si>
    <t>phơi</t>
  </si>
  <si>
    <t>洗濯物を干す。</t>
  </si>
  <si>
    <t>Phơi đồ giặt.</t>
  </si>
  <si>
    <t>縛る</t>
  </si>
  <si>
    <t>しばる</t>
  </si>
  <si>
    <t>縛[しば]る</t>
  </si>
  <si>
    <t>髪を縛る。</t>
  </si>
  <si>
    <t>Buộc tóc.</t>
  </si>
  <si>
    <t>群</t>
  </si>
  <si>
    <t>群[ぐん]</t>
  </si>
  <si>
    <t>群を作る。</t>
  </si>
  <si>
    <t>脱ぐ</t>
  </si>
  <si>
    <t>ぬぐ</t>
  </si>
  <si>
    <t>脱[ぬ]ぐ</t>
  </si>
  <si>
    <t>cởi</t>
  </si>
  <si>
    <t>靴を脱ぐ。</t>
  </si>
  <si>
    <t>Cởi giày.</t>
  </si>
  <si>
    <t>電池</t>
  </si>
  <si>
    <t>でんち</t>
  </si>
  <si>
    <t>電池[でんち]</t>
  </si>
  <si>
    <t>電池を交換する。</t>
  </si>
  <si>
    <t>Thay pin.</t>
  </si>
  <si>
    <t>著者</t>
  </si>
  <si>
    <t>ちょしゃ</t>
  </si>
  <si>
    <t>著者[ちょしゃ]</t>
  </si>
  <si>
    <t>著者の名前。</t>
  </si>
  <si>
    <t>Tên tác giả.</t>
  </si>
  <si>
    <t>辞書</t>
  </si>
  <si>
    <t>じしょ</t>
  </si>
  <si>
    <t>辞書[じしょ]</t>
  </si>
  <si>
    <t>từ điển</t>
  </si>
  <si>
    <t>辞書を買う。</t>
  </si>
  <si>
    <t>Mua từ điển.</t>
  </si>
  <si>
    <t>牛乳</t>
  </si>
  <si>
    <t>ぎゅうにゅう</t>
  </si>
  <si>
    <t>牛乳[ぎゅうにゅう]</t>
  </si>
  <si>
    <t>sữa bò</t>
  </si>
  <si>
    <t>牛乳を飲む。</t>
  </si>
  <si>
    <t>Uống sữa bò.</t>
  </si>
  <si>
    <t>包む</t>
  </si>
  <si>
    <t>つつむ</t>
  </si>
  <si>
    <t>包[つつ]む</t>
  </si>
  <si>
    <t>gói</t>
  </si>
  <si>
    <t>プレゼントを包む。</t>
  </si>
  <si>
    <t>Gói quà.</t>
  </si>
  <si>
    <t>塞ぐ</t>
  </si>
  <si>
    <t>ふさぐ</t>
  </si>
  <si>
    <t>塞[ふさ]ぐ</t>
  </si>
  <si>
    <t>bịt</t>
  </si>
  <si>
    <t>耳を塞ぐ。</t>
  </si>
  <si>
    <t>Bịt tai.</t>
  </si>
  <si>
    <t>姉妹</t>
  </si>
  <si>
    <t>しまい</t>
  </si>
  <si>
    <t>姉妹[しまい]</t>
  </si>
  <si>
    <t>chị em</t>
  </si>
  <si>
    <t>二人の姉妹。</t>
  </si>
  <si>
    <t>Hai chị em.</t>
  </si>
  <si>
    <t>物理</t>
  </si>
  <si>
    <t>ぶつり</t>
  </si>
  <si>
    <t>物理[ぶつり]</t>
  </si>
  <si>
    <t>vật lý</t>
  </si>
  <si>
    <t>物理を勉強する。</t>
  </si>
  <si>
    <t>Học vật lý.</t>
  </si>
  <si>
    <t>鏡</t>
  </si>
  <si>
    <t>かがみ</t>
  </si>
  <si>
    <t>鏡[かがみ]</t>
  </si>
  <si>
    <t>gương</t>
  </si>
  <si>
    <t>鏡を見る。</t>
  </si>
  <si>
    <t>Nhìn gương.</t>
  </si>
  <si>
    <t>緩い</t>
  </si>
  <si>
    <t>ゆるい</t>
  </si>
  <si>
    <t>緩[ゆる]い</t>
  </si>
  <si>
    <t>lỏng</t>
  </si>
  <si>
    <t>靴が緩い。</t>
  </si>
  <si>
    <t>Giày lỏng.</t>
  </si>
  <si>
    <t>溶ける</t>
  </si>
  <si>
    <t>溶[と]ける</t>
  </si>
  <si>
    <t>tan</t>
  </si>
  <si>
    <t>氷が溶ける。</t>
  </si>
  <si>
    <t>Đá tan ra.</t>
  </si>
  <si>
    <t>赤ん坊</t>
  </si>
  <si>
    <t>あかんぼう</t>
  </si>
  <si>
    <t>赤[あか]ん坊[ぼう]</t>
  </si>
  <si>
    <t>赤ん坊を抱く。</t>
  </si>
  <si>
    <t>Bế em bé.</t>
  </si>
  <si>
    <t>存ずる</t>
  </si>
  <si>
    <t>ぞんずる</t>
  </si>
  <si>
    <t>存[ぞん]ずる</t>
  </si>
  <si>
    <t>承知存ずる。</t>
  </si>
  <si>
    <t>Tôi biết.</t>
  </si>
  <si>
    <t>産む</t>
  </si>
  <si>
    <t>うむ</t>
  </si>
  <si>
    <t>産[う]む</t>
  </si>
  <si>
    <t>sinh</t>
  </si>
  <si>
    <t>子供を産む。</t>
  </si>
  <si>
    <t>贈る</t>
  </si>
  <si>
    <t>贈[おく]る</t>
  </si>
  <si>
    <t>花を贈る。</t>
  </si>
  <si>
    <t>Tặng hoa.</t>
  </si>
  <si>
    <t>酔う</t>
  </si>
  <si>
    <t>酔[よ]う</t>
  </si>
  <si>
    <t>say</t>
  </si>
  <si>
    <t>お酒に酔う。</t>
  </si>
  <si>
    <t>Say rượu.</t>
  </si>
  <si>
    <t>酸素</t>
  </si>
  <si>
    <t>さんそ</t>
  </si>
  <si>
    <t>酸素[さんそ]</t>
  </si>
  <si>
    <t>oxy</t>
  </si>
  <si>
    <t>酸素を吸う。</t>
  </si>
  <si>
    <t>Hít oxy.</t>
  </si>
  <si>
    <t>焦る</t>
  </si>
  <si>
    <t>あせる</t>
  </si>
  <si>
    <t>焦[あせ]る</t>
  </si>
  <si>
    <t>vội vàng</t>
  </si>
  <si>
    <t>試験前に焦る。</t>
  </si>
  <si>
    <t>Vội vàng trước kỳ thi.</t>
  </si>
  <si>
    <t>特有</t>
  </si>
  <si>
    <t>とくゆう</t>
  </si>
  <si>
    <t>特有[とくゆう]</t>
  </si>
  <si>
    <t>この地域特有の文化。</t>
  </si>
  <si>
    <t>Văn hóa đặc trưng của vùng này.</t>
  </si>
  <si>
    <t>アンコール</t>
  </si>
  <si>
    <t>あんこーる</t>
  </si>
  <si>
    <t>yêu cầu diễn lại</t>
  </si>
  <si>
    <t>アンコールに応える。</t>
  </si>
  <si>
    <t>Đáp lại yêu cầu diễn lại.</t>
  </si>
  <si>
    <t>組み込む</t>
  </si>
  <si>
    <t>くみこむ</t>
  </si>
  <si>
    <t>組[く]み込[こ]む</t>
  </si>
  <si>
    <t>lồng vào</t>
  </si>
  <si>
    <t>予定に組み込む。</t>
  </si>
  <si>
    <t>Lồng vào lịch trình.</t>
  </si>
  <si>
    <t>タイマー</t>
  </si>
  <si>
    <t>たいまー</t>
  </si>
  <si>
    <t>đồng hồ hẹn giờ</t>
  </si>
  <si>
    <t>タイマーをセットする。</t>
  </si>
  <si>
    <t>Cài đặt đồng hồ hẹn giờ.</t>
  </si>
  <si>
    <t>済ます</t>
  </si>
  <si>
    <t>すます</t>
  </si>
  <si>
    <t>済[す]ます</t>
  </si>
  <si>
    <t>用事を済ます。</t>
  </si>
  <si>
    <t>Giải quyết xong công việc.</t>
  </si>
  <si>
    <t>申し出る</t>
  </si>
  <si>
    <t>もうしでる</t>
  </si>
  <si>
    <t>申[もう]し出[で]る</t>
  </si>
  <si>
    <t>代表に申し出る。</t>
  </si>
  <si>
    <t>Đề xuất với đại diện.</t>
  </si>
  <si>
    <t>ずばり</t>
  </si>
  <si>
    <t>đúng trọng tâm</t>
  </si>
  <si>
    <t>ずばりと言う。</t>
  </si>
  <si>
    <t>Nói đúng trọng tâm.</t>
  </si>
  <si>
    <t>余暇</t>
  </si>
  <si>
    <t>よか</t>
  </si>
  <si>
    <t>余暇[よか]</t>
  </si>
  <si>
    <t>thời gian rảnh</t>
  </si>
  <si>
    <t>余暇を楽しむ。</t>
  </si>
  <si>
    <t>Tận hưởng thời gian rảnh.</t>
  </si>
  <si>
    <t>膨張</t>
  </si>
  <si>
    <t>ぼうちょう</t>
  </si>
  <si>
    <t>膨張[ぼうちょう]</t>
  </si>
  <si>
    <t>sự bành trướng</t>
  </si>
  <si>
    <t>金属が熱で膨張する。</t>
  </si>
  <si>
    <t>Kim loại nở ra do nhiệt.</t>
  </si>
  <si>
    <t>紛争</t>
  </si>
  <si>
    <t>ふんそう</t>
  </si>
  <si>
    <t>紛争[ふんそう]</t>
  </si>
  <si>
    <t>sự tranh chấp</t>
  </si>
  <si>
    <t>領土紛争が起きる。</t>
  </si>
  <si>
    <t>Tranh chấp lãnh thổ xảy ra.</t>
  </si>
  <si>
    <t>見渡す</t>
  </si>
  <si>
    <t>みわたす</t>
  </si>
  <si>
    <t>見渡[みわた]す</t>
  </si>
  <si>
    <t>nhìn bao quát</t>
  </si>
  <si>
    <t>海を見渡す。</t>
  </si>
  <si>
    <t>Nhìn bao quát biển.</t>
  </si>
  <si>
    <t>人体</t>
  </si>
  <si>
    <t>じんたい</t>
  </si>
  <si>
    <t>人体[じんたい]</t>
  </si>
  <si>
    <t>cơ thể người</t>
  </si>
  <si>
    <t>人体を研究する。</t>
  </si>
  <si>
    <t>Nghiên cứu cơ thể người.</t>
  </si>
  <si>
    <t>発足</t>
  </si>
  <si>
    <t>ほっそく</t>
  </si>
  <si>
    <t>発足[ほっそく]</t>
  </si>
  <si>
    <t>委員会が発足する。</t>
  </si>
  <si>
    <t>Ủy ban được thành lập.</t>
  </si>
  <si>
    <t>納まる</t>
  </si>
  <si>
    <t>納[おさ]まる</t>
  </si>
  <si>
    <t>được thu xếp</t>
  </si>
  <si>
    <t>棚に納まる。</t>
  </si>
  <si>
    <t>Được thu xếp trên kệ.</t>
  </si>
  <si>
    <t>逃走</t>
  </si>
  <si>
    <t>とうそう</t>
  </si>
  <si>
    <t>逃走[とうそう]</t>
  </si>
  <si>
    <t>sự chạy trốn</t>
  </si>
  <si>
    <t>犯人が逃走する。</t>
  </si>
  <si>
    <t>Phạm nhân chạy trốn.</t>
  </si>
  <si>
    <t>飼育</t>
  </si>
  <si>
    <t>しいく</t>
  </si>
  <si>
    <t>飼育[しいく]</t>
  </si>
  <si>
    <t>動物を飼育する。</t>
  </si>
  <si>
    <t>Nuôi dưỡng động vật.</t>
  </si>
  <si>
    <t>さほど</t>
  </si>
  <si>
    <t>không...lắm</t>
  </si>
  <si>
    <t>さほど難しくない。</t>
  </si>
  <si>
    <t>Không khó lắm.</t>
  </si>
  <si>
    <t>パトカー</t>
  </si>
  <si>
    <t>ぱとかー</t>
  </si>
  <si>
    <t>xe cảnh sát</t>
  </si>
  <si>
    <t>パトカーが走る。</t>
  </si>
  <si>
    <t>Xe cảnh sát chạy qua.</t>
  </si>
  <si>
    <t>武装</t>
  </si>
  <si>
    <t>ぶそう</t>
  </si>
  <si>
    <t>武装[ぶそう]</t>
  </si>
  <si>
    <t>sự vũ trang</t>
  </si>
  <si>
    <t>兵士が武装する。</t>
  </si>
  <si>
    <t>Binh lính vũ trang.</t>
  </si>
  <si>
    <t>疑惑</t>
  </si>
  <si>
    <t>ぎわく</t>
  </si>
  <si>
    <t>疑惑[ぎわく]</t>
  </si>
  <si>
    <t>sự nghi ngờ</t>
  </si>
  <si>
    <t>汚職の疑惑がある。</t>
  </si>
  <si>
    <t>Có sự nghi ngờ về tham nhũng.</t>
  </si>
  <si>
    <t>監視</t>
  </si>
  <si>
    <t>かんし</t>
  </si>
  <si>
    <t>監視[かんし]</t>
  </si>
  <si>
    <t>sự giám sát</t>
  </si>
  <si>
    <t>カメラで監視する。</t>
  </si>
  <si>
    <t>Giám sát bằng camera.</t>
  </si>
  <si>
    <t>還元</t>
  </si>
  <si>
    <t>かんげん</t>
  </si>
  <si>
    <t>還元[かんげん]</t>
  </si>
  <si>
    <t>sự hoàn lại</t>
  </si>
  <si>
    <t>利益を還元する。</t>
  </si>
  <si>
    <t>Hoàn lại lợi nhuận.</t>
  </si>
  <si>
    <t>題する</t>
  </si>
  <si>
    <t>だいする</t>
  </si>
  <si>
    <t>題[だい]する</t>
  </si>
  <si>
    <t>đặt tiêu đề</t>
  </si>
  <si>
    <t>～と題する本。</t>
  </si>
  <si>
    <t>Cuốn sách được đặt tiêu đề là...</t>
  </si>
  <si>
    <t>主演</t>
  </si>
  <si>
    <t>しゅえん</t>
  </si>
  <si>
    <t>主演[しゅえん]</t>
  </si>
  <si>
    <t>diễn chính</t>
  </si>
  <si>
    <t>映画に主演する。</t>
  </si>
  <si>
    <t>Diễn chính trong phim.</t>
  </si>
  <si>
    <t>仕上</t>
  </si>
  <si>
    <t>しあげ</t>
  </si>
  <si>
    <t>仕上[しあげ]</t>
  </si>
  <si>
    <t>hoàn thiện</t>
  </si>
  <si>
    <t>仕上がりが早い。</t>
  </si>
  <si>
    <t>Hoàn thiện nhanh.</t>
  </si>
  <si>
    <t>伝達</t>
  </si>
  <si>
    <t>でんたつ</t>
  </si>
  <si>
    <t>伝達[でんたつ]</t>
  </si>
  <si>
    <t>情報を伝達する。</t>
  </si>
  <si>
    <t>Truyền đạt thông tin.</t>
  </si>
  <si>
    <t>侮辱</t>
  </si>
  <si>
    <t>ぶじょく</t>
  </si>
  <si>
    <t>侮辱[ぶじょく]</t>
  </si>
  <si>
    <t>sự lăng mạ</t>
  </si>
  <si>
    <t>相手を侮辱する言葉。</t>
  </si>
  <si>
    <t>Lời nói lăng mạ đối phương.</t>
  </si>
  <si>
    <t>様式</t>
  </si>
  <si>
    <t>ようしき</t>
  </si>
  <si>
    <t>様式[ようしき]</t>
  </si>
  <si>
    <t>伝統的な様式に従う。</t>
  </si>
  <si>
    <t>Tuân theo phong cách truyền thống.</t>
  </si>
  <si>
    <t>決議</t>
  </si>
  <si>
    <t>けつぎ</t>
  </si>
  <si>
    <t>決議[けつぎ]</t>
  </si>
  <si>
    <t>nghị quyết</t>
  </si>
  <si>
    <t>議会で決議する。</t>
  </si>
  <si>
    <t>Thông qua nghị quyết tại nghị hội.</t>
  </si>
  <si>
    <t>燃料</t>
  </si>
  <si>
    <t>ねんりょう</t>
  </si>
  <si>
    <t>燃料[ねんりょう]</t>
  </si>
  <si>
    <t>nhiên liệu</t>
  </si>
  <si>
    <t>燃料を補給する。</t>
  </si>
  <si>
    <t>Tiếp thêm nhiên liệu.</t>
  </si>
  <si>
    <t>突破</t>
  </si>
  <si>
    <t>とっぱ</t>
  </si>
  <si>
    <t>突破[とっぱ]</t>
  </si>
  <si>
    <t>sự đột phá</t>
  </si>
  <si>
    <t>困難を突破する。</t>
  </si>
  <si>
    <t>Đột phá khó khăn.</t>
  </si>
  <si>
    <t>頑固</t>
  </si>
  <si>
    <t>がんこ</t>
  </si>
  <si>
    <t>頑固[がんこ]</t>
  </si>
  <si>
    <t>bướng bỉnh</t>
  </si>
  <si>
    <t>頑固な人。</t>
  </si>
  <si>
    <t>Người bướng bỉnh.</t>
  </si>
  <si>
    <t>高原</t>
  </si>
  <si>
    <t>こうげん</t>
  </si>
  <si>
    <t>高原[こうげん]</t>
  </si>
  <si>
    <t>cao nguyên</t>
  </si>
  <si>
    <t>高原をドライブする。</t>
  </si>
  <si>
    <t>Lái xe trên cao nguyên.</t>
  </si>
  <si>
    <t>うんざり</t>
  </si>
  <si>
    <t>chán ngấy</t>
  </si>
  <si>
    <t>説教にはうんざりだ。</t>
  </si>
  <si>
    <t>Tôi chán ngấy bài thuyết giáo rồi.</t>
  </si>
  <si>
    <t>おおげさ</t>
  </si>
  <si>
    <t>phóng đại</t>
  </si>
  <si>
    <t>おおげさに話す。</t>
  </si>
  <si>
    <t>Nói chuyện phóng đại.</t>
  </si>
  <si>
    <t>きっぱり</t>
  </si>
  <si>
    <t>dứt khoát</t>
  </si>
  <si>
    <t>きっぱり断る。</t>
  </si>
  <si>
    <t>Từ chối một cách dứt khoát.</t>
  </si>
  <si>
    <t>スト</t>
  </si>
  <si>
    <t>すと</t>
  </si>
  <si>
    <t>đình công</t>
  </si>
  <si>
    <t>ストを決行する。</t>
  </si>
  <si>
    <t>Quyết định đình công.</t>
  </si>
  <si>
    <t>ストライキ</t>
  </si>
  <si>
    <t>すとらいき</t>
  </si>
  <si>
    <t>労働者がストライキする。</t>
  </si>
  <si>
    <t>Người lao động đình công.</t>
  </si>
  <si>
    <t>ドリル</t>
  </si>
  <si>
    <t>どりる</t>
  </si>
  <si>
    <t>máy khoan</t>
  </si>
  <si>
    <t>ドリルで穴を開ける。</t>
  </si>
  <si>
    <t>Khoan lỗ bằng máy khoan.</t>
  </si>
  <si>
    <t>ポット</t>
  </si>
  <si>
    <t>ぽっと</t>
  </si>
  <si>
    <t>bình thủy</t>
  </si>
  <si>
    <t>ポットにお湯を入れる。</t>
  </si>
  <si>
    <t>Cho nước nóng vào bình thủy.</t>
  </si>
  <si>
    <t>まして</t>
  </si>
  <si>
    <t>huống chi</t>
  </si>
  <si>
    <t>大人でも無理だ、まして子供には。</t>
  </si>
  <si>
    <t>Người lớn còn không được, huống chi là trẻ con.</t>
  </si>
  <si>
    <t>一律</t>
  </si>
  <si>
    <t>いちりつ</t>
  </si>
  <si>
    <t>一律[いちりつ]</t>
  </si>
  <si>
    <t>料金を一律にする。</t>
  </si>
  <si>
    <t>Làm phí đồng loạt.</t>
  </si>
  <si>
    <t>上演</t>
  </si>
  <si>
    <t>じょうえん</t>
  </si>
  <si>
    <t>上演[じょうえん]</t>
  </si>
  <si>
    <t>công diễn</t>
  </si>
  <si>
    <t>劇を上演する。</t>
  </si>
  <si>
    <t>Công diễn vở kịch.</t>
  </si>
  <si>
    <t>不調</t>
  </si>
  <si>
    <t>ふちょう</t>
  </si>
  <si>
    <t>不調[ふちょう]</t>
  </si>
  <si>
    <t>trục trặc</t>
  </si>
  <si>
    <t>機械が不調だ。</t>
  </si>
  <si>
    <t>Máy móc bị trục trặc.</t>
  </si>
  <si>
    <t>中毒</t>
  </si>
  <si>
    <t>ちゅうどく</t>
  </si>
  <si>
    <t>中毒[ちゅうどく]</t>
  </si>
  <si>
    <t>trúng độc</t>
  </si>
  <si>
    <t>ガス中毒になる。</t>
  </si>
  <si>
    <t>Bị trúng độc khí gas.</t>
  </si>
  <si>
    <t>丸める</t>
  </si>
  <si>
    <t>まるめる</t>
  </si>
  <si>
    <t>丸[まる]める</t>
  </si>
  <si>
    <t>cuộn tròn</t>
  </si>
  <si>
    <t>紙を丸める。</t>
  </si>
  <si>
    <t>Cuộn tròn tờ giấy.</t>
  </si>
  <si>
    <t>主権</t>
  </si>
  <si>
    <t>しゅけん</t>
  </si>
  <si>
    <t>主権[しゅけん]</t>
  </si>
  <si>
    <t>chủ quyền</t>
  </si>
  <si>
    <t>国家の主権。</t>
  </si>
  <si>
    <t>Chủ quyền quốc gia.</t>
  </si>
  <si>
    <t>人格</t>
  </si>
  <si>
    <t>じんかく</t>
  </si>
  <si>
    <t>人格[じんかく]</t>
  </si>
  <si>
    <t>nhân cách</t>
  </si>
  <si>
    <t>人格を磨く。</t>
  </si>
  <si>
    <t>Rèn luyện nhân cách.</t>
  </si>
  <si>
    <t>仕切る</t>
  </si>
  <si>
    <t>しきる</t>
  </si>
  <si>
    <t>仕切[しき]る</t>
  </si>
  <si>
    <t>phân chia</t>
  </si>
  <si>
    <t>部屋をカーテンで仕切る。</t>
  </si>
  <si>
    <t>Phân chia phòng bằng rèm.</t>
  </si>
  <si>
    <t>余地</t>
  </si>
  <si>
    <t>よち</t>
  </si>
  <si>
    <t>余地[よち]</t>
  </si>
  <si>
    <t>chỗ trống</t>
  </si>
  <si>
    <t>考える余地がある。</t>
  </si>
  <si>
    <t>Có chỗ trống để suy nghĩ.</t>
  </si>
  <si>
    <t>気象</t>
  </si>
  <si>
    <t>きしょう</t>
  </si>
  <si>
    <t>気象[きしょう]</t>
  </si>
  <si>
    <t>khí tượng</t>
  </si>
  <si>
    <t>気象情報を確認する。</t>
  </si>
  <si>
    <t>Kiểm tra thông tin khí tượng.</t>
  </si>
  <si>
    <t>気軽</t>
  </si>
  <si>
    <t>きがる</t>
  </si>
  <si>
    <t>気軽[きがる]</t>
  </si>
  <si>
    <t>気軽に相談できる。</t>
  </si>
  <si>
    <t>Có thể thoải mái thảo luận.</t>
  </si>
  <si>
    <t>河川</t>
  </si>
  <si>
    <t>かせん</t>
  </si>
  <si>
    <t>河川[かせん]</t>
  </si>
  <si>
    <t>sông ngòi</t>
  </si>
  <si>
    <t>河川を整備する。</t>
  </si>
  <si>
    <t>Chỉnh trang sông ngòi.</t>
  </si>
  <si>
    <t>沿岸</t>
  </si>
  <si>
    <t>えんがん</t>
  </si>
  <si>
    <t>沿岸[えんがん]</t>
  </si>
  <si>
    <t>duyên hải</t>
  </si>
  <si>
    <t>沿岸の町に住む。</t>
  </si>
  <si>
    <t>Sống ở thị trấn duyên hải.</t>
  </si>
  <si>
    <t>源</t>
  </si>
  <si>
    <t>みなもと</t>
  </si>
  <si>
    <t>源[みなもと]</t>
  </si>
  <si>
    <t>nguồn gốc</t>
  </si>
  <si>
    <t>幸せの源。</t>
  </si>
  <si>
    <t>Nguồn gốc của hạnh phúc.</t>
  </si>
  <si>
    <t>縮まる</t>
  </si>
  <si>
    <t>ちぢまる</t>
  </si>
  <si>
    <t>縮[ちぢ]まる</t>
  </si>
  <si>
    <t>bị co lại</t>
  </si>
  <si>
    <t>距離が縮まる。</t>
  </si>
  <si>
    <t>Khoảng cách bị co lại.</t>
  </si>
  <si>
    <t>養護</t>
  </si>
  <si>
    <t>ようご</t>
  </si>
  <si>
    <t>養護[ようご]</t>
  </si>
  <si>
    <t>sự bảo vệ</t>
  </si>
  <si>
    <t>養護学校。</t>
  </si>
  <si>
    <t>Trường học bảo vệ.</t>
  </si>
  <si>
    <t>こたつ</t>
  </si>
  <si>
    <t>bàn sưởi</t>
  </si>
  <si>
    <t>こたつで暖まる。</t>
  </si>
  <si>
    <t>Sưởi ấm bằng bàn sưởi.</t>
  </si>
  <si>
    <t>そらす</t>
  </si>
  <si>
    <t>né tránh</t>
  </si>
  <si>
    <t>目をそらす。</t>
  </si>
  <si>
    <t>Né tránh ánh nhìn.</t>
  </si>
  <si>
    <t>ドライ</t>
  </si>
  <si>
    <t>どらい</t>
  </si>
  <si>
    <t>khô khan</t>
  </si>
  <si>
    <t>ドライな考え方。</t>
  </si>
  <si>
    <t>Cách suy nghĩ khô khan.</t>
  </si>
  <si>
    <t>一目</t>
  </si>
  <si>
    <t>ひとめ</t>
  </si>
  <si>
    <t>一目[ひとめ]</t>
  </si>
  <si>
    <t>一目見てわかる。</t>
  </si>
  <si>
    <t>Nhìn qua là hiểu.</t>
  </si>
  <si>
    <t>不在</t>
  </si>
  <si>
    <t>ふざい</t>
  </si>
  <si>
    <t>不在[ふざい]</t>
  </si>
  <si>
    <t>vắng mặt</t>
  </si>
  <si>
    <t>主人が不在だ。</t>
  </si>
  <si>
    <t>Chủ nhà vắng mặt.</t>
  </si>
  <si>
    <t>不当</t>
  </si>
  <si>
    <t>ふとう</t>
  </si>
  <si>
    <t>不当[ふとう]</t>
  </si>
  <si>
    <t>bất công</t>
  </si>
  <si>
    <t>不当な扱い。</t>
  </si>
  <si>
    <t>Sự đối xử bất công.</t>
  </si>
  <si>
    <t>乱す</t>
  </si>
  <si>
    <t>みだす</t>
  </si>
  <si>
    <t>乱[みだ]す</t>
  </si>
  <si>
    <t>làm loạn</t>
  </si>
  <si>
    <t>列を乱す。</t>
  </si>
  <si>
    <t>Làm loạn hàng ngũ.</t>
  </si>
  <si>
    <t>人民</t>
  </si>
  <si>
    <t>じんみん</t>
  </si>
  <si>
    <t>人民[じんみん]</t>
  </si>
  <si>
    <t>nhân dân</t>
  </si>
  <si>
    <t>人民を守る。</t>
  </si>
  <si>
    <t>Bảo vệ nhân dân.</t>
  </si>
  <si>
    <t>他方</t>
  </si>
  <si>
    <t>たほう</t>
  </si>
  <si>
    <t>他方[たほう]</t>
  </si>
  <si>
    <t>他方で努力する。</t>
  </si>
  <si>
    <t>Mặt khác nỗ lực.</t>
  </si>
  <si>
    <t>備え付ける</t>
  </si>
  <si>
    <t>そなえつける</t>
  </si>
  <si>
    <t>備[そな]え付[つ]ける</t>
  </si>
  <si>
    <t>会議室に機器を備え付ける。</t>
  </si>
  <si>
    <t>Trang bị thiết bị cho phòng họp.</t>
  </si>
  <si>
    <t>添える</t>
  </si>
  <si>
    <t>そえる</t>
  </si>
  <si>
    <t>添[そ]える</t>
  </si>
  <si>
    <t>kèm theo</t>
  </si>
  <si>
    <t>花に手紙を添える。</t>
  </si>
  <si>
    <t>Kèm theo bức thư cùng bó hoa.</t>
  </si>
  <si>
    <t>漏れる</t>
  </si>
  <si>
    <t>もれる</t>
  </si>
  <si>
    <t>漏[も]れる</t>
  </si>
  <si>
    <t>bị rò rỉ</t>
  </si>
  <si>
    <t>情報が漏れる。</t>
  </si>
  <si>
    <t>Thông tin bị rò rỉ.</t>
  </si>
  <si>
    <t>無意味</t>
  </si>
  <si>
    <t>むいみ</t>
  </si>
  <si>
    <t>無意味[むいみ]</t>
  </si>
  <si>
    <t>無意味な議論はやめる。</t>
  </si>
  <si>
    <t>Dừng cuộc tranh luận vô nghĩa lại.</t>
  </si>
  <si>
    <t>無線</t>
  </si>
  <si>
    <t>むせん</t>
  </si>
  <si>
    <t>無線[むせん]</t>
  </si>
  <si>
    <t>vô tuyến</t>
  </si>
  <si>
    <t>無線で連絡する。</t>
  </si>
  <si>
    <t>Liên lạc bằng vô tuyến.</t>
  </si>
  <si>
    <t>目覚める</t>
  </si>
  <si>
    <t>めざめる</t>
  </si>
  <si>
    <t>目覚[めざ]める</t>
  </si>
  <si>
    <t>朝早く目覚める。</t>
  </si>
  <si>
    <t>Thức dậy sớm vào buổi sáng.</t>
  </si>
  <si>
    <t>諦め</t>
  </si>
  <si>
    <t>あきらめ</t>
  </si>
  <si>
    <t>諦[あきら]め</t>
  </si>
  <si>
    <t>sự từ bỏ</t>
  </si>
  <si>
    <t>諦めが肝心だ。</t>
  </si>
  <si>
    <t>Từ bỏ là điều quan trọng.</t>
  </si>
  <si>
    <t>費やす</t>
  </si>
  <si>
    <t>ついやす</t>
  </si>
  <si>
    <t>費[つい]やす</t>
  </si>
  <si>
    <t>tiêu tốn</t>
  </si>
  <si>
    <t>時間を費やす。</t>
  </si>
  <si>
    <t>Tiêu tốn thời gian.</t>
  </si>
  <si>
    <t>踏み込む</t>
  </si>
  <si>
    <t>ふみこむ</t>
  </si>
  <si>
    <t>踏[ふ]み込[こ]む</t>
  </si>
  <si>
    <t>bước vào</t>
  </si>
  <si>
    <t>現場に踏み込む。</t>
  </si>
  <si>
    <t>Bước vào hiện trường.</t>
  </si>
  <si>
    <t>遮る</t>
  </si>
  <si>
    <t>さえぎる</t>
  </si>
  <si>
    <t>遮[さえぎ]る</t>
  </si>
  <si>
    <t>光を遮る。</t>
  </si>
  <si>
    <t>Ngăn cản ánh sáng.</t>
  </si>
  <si>
    <t>うつむく</t>
  </si>
  <si>
    <t>cúi mặt</t>
  </si>
  <si>
    <t>恥ずかしくてうつむく。</t>
  </si>
  <si>
    <t>Xấu hổ nên cúi mặt.</t>
  </si>
  <si>
    <t>クレーン</t>
  </si>
  <si>
    <t>くれーん</t>
  </si>
  <si>
    <t>cần cẩu</t>
  </si>
  <si>
    <t>クレーンで荷物を運ぶ。</t>
  </si>
  <si>
    <t>Vận chuyển hàng hóa bằng cần cẩu.</t>
  </si>
  <si>
    <t>ストロー</t>
  </si>
  <si>
    <t>すとろー</t>
  </si>
  <si>
    <t>ống hút</t>
  </si>
  <si>
    <t>ストローで飲む。</t>
  </si>
  <si>
    <t>Uống bằng ống hút.</t>
  </si>
  <si>
    <t>つくづく</t>
  </si>
  <si>
    <t>thật sự</t>
  </si>
  <si>
    <t>つくづく嫌になる。</t>
  </si>
  <si>
    <t>Thật sự cảm thấy chán nản.</t>
  </si>
  <si>
    <t>なおさら</t>
  </si>
  <si>
    <t>なおさら好きになる。</t>
  </si>
  <si>
    <t>Càng thích hơn nữa.</t>
  </si>
  <si>
    <t>ボルト</t>
  </si>
  <si>
    <t>ぼると</t>
  </si>
  <si>
    <t>bu lông</t>
  </si>
  <si>
    <t>ボルトを締める。</t>
  </si>
  <si>
    <t>Vặn chặt bu lông.</t>
  </si>
  <si>
    <t>ポンプ</t>
  </si>
  <si>
    <t>ぽんぷ</t>
  </si>
  <si>
    <t>máy bơm</t>
  </si>
  <si>
    <t>ポンプで吸い上げる。</t>
  </si>
  <si>
    <t>Bơm lên bằng máy bơm.</t>
  </si>
  <si>
    <t>レンタカー</t>
  </si>
  <si>
    <t>れんたかー</t>
  </si>
  <si>
    <t>xe thuê</t>
  </si>
  <si>
    <t>レンタカーを借りる。</t>
  </si>
  <si>
    <t>Thuê xe.</t>
  </si>
  <si>
    <t>乗り込む</t>
  </si>
  <si>
    <t>のりこむ</t>
  </si>
  <si>
    <t>乗[の]り込[こ]む</t>
  </si>
  <si>
    <t>列車に乗り込む。</t>
  </si>
  <si>
    <t>Lên tàu hỏa.</t>
  </si>
  <si>
    <t>用品</t>
  </si>
  <si>
    <t>ようひん</t>
  </si>
  <si>
    <t>用品[ようひん]</t>
  </si>
  <si>
    <t>đồ dùng</t>
  </si>
  <si>
    <t>事務用品を買う。</t>
  </si>
  <si>
    <t>Mua đồ dùng văn phòng.</t>
  </si>
  <si>
    <t>秩序</t>
  </si>
  <si>
    <t>ちつじょ</t>
  </si>
  <si>
    <t>秩序[ちつじょ]</t>
  </si>
  <si>
    <t>trật tự</t>
  </si>
  <si>
    <t>秩序を守る。</t>
  </si>
  <si>
    <t>Tuân thủ trật tự.</t>
  </si>
  <si>
    <t>立ち寄る</t>
  </si>
  <si>
    <t>たちよる</t>
  </si>
  <si>
    <t>立[た]ち寄[よ]る</t>
  </si>
  <si>
    <t>ghé qua</t>
  </si>
  <si>
    <t>コンビニに立ち寄る。</t>
  </si>
  <si>
    <t>Ghé qua cửa hàng tiện lợi.</t>
  </si>
  <si>
    <t>いたって</t>
  </si>
  <si>
    <t>いたって簡単だ。</t>
  </si>
  <si>
    <t>Cực kỳ đơn giản.</t>
  </si>
  <si>
    <t>くぐる</t>
  </si>
  <si>
    <t>門をくぐる。</t>
  </si>
  <si>
    <t>Đi qua cổng.</t>
  </si>
  <si>
    <t>パジャマ</t>
  </si>
  <si>
    <t>ぱじゃま</t>
  </si>
  <si>
    <t>đồ ngủ</t>
  </si>
  <si>
    <t>パジャマに着替える。</t>
  </si>
  <si>
    <t>Thay đồ ngủ.</t>
  </si>
  <si>
    <t>フィルタ</t>
  </si>
  <si>
    <t>ふぃるた</t>
  </si>
  <si>
    <t>bộ lọc</t>
  </si>
  <si>
    <t>フィルタを交換する。</t>
  </si>
  <si>
    <t>Thay bộ lọc.</t>
  </si>
  <si>
    <t>事柄</t>
  </si>
  <si>
    <t>ことがら</t>
  </si>
  <si>
    <t>事柄[ことがら]</t>
  </si>
  <si>
    <t>重要な事柄。</t>
  </si>
  <si>
    <t>Vấn đề quan trọng.</t>
  </si>
  <si>
    <t>見落とす</t>
  </si>
  <si>
    <t>みおとす</t>
  </si>
  <si>
    <t>見落[みお]とす</t>
  </si>
  <si>
    <t>bỏ sót</t>
  </si>
  <si>
    <t>間違いを見落とす。</t>
  </si>
  <si>
    <t>Bỏ sót lỗi sai.</t>
  </si>
  <si>
    <t>負債</t>
  </si>
  <si>
    <t>ふさい</t>
  </si>
  <si>
    <t>負債[ふさい]</t>
  </si>
  <si>
    <t>nợ nần</t>
  </si>
  <si>
    <t>負債を抱える。</t>
  </si>
  <si>
    <t>Gánh chịu nợ nần.</t>
  </si>
  <si>
    <t>転落</t>
  </si>
  <si>
    <t>てんらく</t>
  </si>
  <si>
    <t>転落[てんらく]</t>
  </si>
  <si>
    <t>sự ngã</t>
  </si>
  <si>
    <t>崖から転落する。</t>
  </si>
  <si>
    <t>Ngã từ vách đá.</t>
  </si>
  <si>
    <t>上陸</t>
  </si>
  <si>
    <t>じょうりく</t>
  </si>
  <si>
    <t>上陸[じょうりく]</t>
  </si>
  <si>
    <t>đổ bộ</t>
  </si>
  <si>
    <t>台風が上陸する。</t>
  </si>
  <si>
    <t>Bão đổ bộ.</t>
  </si>
  <si>
    <t>予め</t>
  </si>
  <si>
    <t>あらかじめ</t>
  </si>
  <si>
    <t>予[あらかじ]め</t>
  </si>
  <si>
    <t>予め連絡する。</t>
  </si>
  <si>
    <t>Liên lạc trước.</t>
  </si>
  <si>
    <t>ガレージ</t>
  </si>
  <si>
    <t>がれーじ</t>
  </si>
  <si>
    <t>gara</t>
  </si>
  <si>
    <t>車をガレージに入れる。</t>
  </si>
  <si>
    <t>Cho xe vào gara.</t>
  </si>
  <si>
    <t>まと</t>
  </si>
  <si>
    <t>まとを外れる。</t>
  </si>
  <si>
    <t>Trượt đích.</t>
  </si>
  <si>
    <t>禁じる</t>
  </si>
  <si>
    <t>きんじる</t>
  </si>
  <si>
    <t>禁[きん]じる</t>
  </si>
  <si>
    <t>立ち入りを禁じる。</t>
  </si>
  <si>
    <t>Cấm đi vào.</t>
  </si>
  <si>
    <t>蔵</t>
  </si>
  <si>
    <t>くら</t>
  </si>
  <si>
    <t>蔵[くら]</t>
  </si>
  <si>
    <t>kho</t>
  </si>
  <si>
    <t>蔵にしまう。</t>
  </si>
  <si>
    <t>Cất vào kho.</t>
  </si>
  <si>
    <t>顎</t>
  </si>
  <si>
    <t>あご</t>
  </si>
  <si>
    <t>顎[あご]</t>
  </si>
  <si>
    <t>cằm</t>
  </si>
  <si>
    <t>顎を引く。</t>
  </si>
  <si>
    <t>Thu cằm lại.</t>
  </si>
  <si>
    <t>且つ</t>
  </si>
  <si>
    <t>且[か]つ</t>
  </si>
  <si>
    <t>且つまた重要だ。</t>
  </si>
  <si>
    <t>Và cũng rất quan trọng.</t>
  </si>
  <si>
    <t>文化財</t>
  </si>
  <si>
    <t>ぶんかざい</t>
  </si>
  <si>
    <t>文化財[ぶんかざい]</t>
  </si>
  <si>
    <t>di sản văn hóa</t>
  </si>
  <si>
    <t>重要文化財。</t>
  </si>
  <si>
    <t>Di sản văn hóa quan trọng.</t>
  </si>
  <si>
    <t>有望</t>
  </si>
  <si>
    <t>ゆうぼう</t>
  </si>
  <si>
    <t>有望[ゆうぼう]</t>
  </si>
  <si>
    <t>có triển vọng</t>
  </si>
  <si>
    <t>有望な若者。</t>
  </si>
  <si>
    <t>Người trẻ có triển vọng.</t>
  </si>
  <si>
    <t>情け</t>
  </si>
  <si>
    <t>なさけ</t>
  </si>
  <si>
    <t>情[なさ]け</t>
  </si>
  <si>
    <t>lòng trắc ẩn</t>
  </si>
  <si>
    <t>情けをかける。</t>
  </si>
  <si>
    <t>Dành lòng trắc ẩn.</t>
  </si>
  <si>
    <t>時折</t>
  </si>
  <si>
    <t>ときおり</t>
  </si>
  <si>
    <t>時折[ときおり]</t>
  </si>
  <si>
    <t>時折笑う。</t>
  </si>
  <si>
    <t>Thỉnh thoảng cười.</t>
  </si>
  <si>
    <t>念願</t>
  </si>
  <si>
    <t>ねんがん</t>
  </si>
  <si>
    <t>念願[ねんがん]</t>
  </si>
  <si>
    <t>念願が叶う。</t>
  </si>
  <si>
    <t>Nguyện vọng được thực hiện.</t>
  </si>
  <si>
    <t>日頃</t>
  </si>
  <si>
    <t>ひごろ</t>
  </si>
  <si>
    <t>日頃[ひごろ]</t>
  </si>
  <si>
    <t>日頃の努力。</t>
  </si>
  <si>
    <t>Sự nỗ lực thường ngày.</t>
  </si>
  <si>
    <t>抜け出す</t>
  </si>
  <si>
    <t>ぬけだす</t>
  </si>
  <si>
    <t>抜[ぬ]け出[だ]す</t>
  </si>
  <si>
    <t>会議を抜け出す。</t>
  </si>
  <si>
    <t>Trốn thoát khỏi cuộc họp.</t>
  </si>
  <si>
    <t>採決</t>
  </si>
  <si>
    <t>さいけつ</t>
  </si>
  <si>
    <t>採決[さいけつ]</t>
  </si>
  <si>
    <t>biểu quyết</t>
  </si>
  <si>
    <t>法案を採決する。</t>
  </si>
  <si>
    <t>志向</t>
  </si>
  <si>
    <t>志向[しこう]</t>
  </si>
  <si>
    <t>平和志向。</t>
  </si>
  <si>
    <t>Hướng tới hòa bình.</t>
  </si>
  <si>
    <t>悲惨</t>
  </si>
  <si>
    <t>ひさん</t>
  </si>
  <si>
    <t>悲惨[ひさん]</t>
  </si>
  <si>
    <t>thảm khốc</t>
  </si>
  <si>
    <t>悲惨な光景。</t>
  </si>
  <si>
    <t>Cảnh tượng thảm khốc.</t>
  </si>
  <si>
    <t>惑星</t>
  </si>
  <si>
    <t>わくせい</t>
  </si>
  <si>
    <t>惑星[わくせい]</t>
  </si>
  <si>
    <t>hành tinh</t>
  </si>
  <si>
    <t>惑星を観測する。</t>
  </si>
  <si>
    <t>Quan sát hành tinh.</t>
  </si>
  <si>
    <t>憧れ</t>
  </si>
  <si>
    <t>あこがれ</t>
  </si>
  <si>
    <t>憧[あこが]れ</t>
  </si>
  <si>
    <t>憧れの職業。</t>
  </si>
  <si>
    <t>Nghề nghiệp ngưỡng mộ.</t>
  </si>
  <si>
    <t>捧げる</t>
  </si>
  <si>
    <t>ささげる</t>
  </si>
  <si>
    <t>捧[ささ]げる</t>
  </si>
  <si>
    <t>人生を捧げる。</t>
  </si>
  <si>
    <t>Cống hiến cuộc đời.</t>
  </si>
  <si>
    <t>改訂</t>
  </si>
  <si>
    <t>改訂[かいてい]</t>
  </si>
  <si>
    <t>chỉnh sửa</t>
  </si>
  <si>
    <t>本を改訂する。</t>
  </si>
  <si>
    <t>Chỉnh sửa sách.</t>
  </si>
  <si>
    <t>早める</t>
  </si>
  <si>
    <t>はやめる</t>
  </si>
  <si>
    <t>早[はや]める</t>
  </si>
  <si>
    <t>đẩy nhanh</t>
  </si>
  <si>
    <t>出発を早める。</t>
  </si>
  <si>
    <t>Đẩy nhanh ngày khởi hành.</t>
  </si>
  <si>
    <t>小児科</t>
  </si>
  <si>
    <t>しょうにか</t>
  </si>
  <si>
    <t>小児科[しょうにか]</t>
  </si>
  <si>
    <t>khoa nhi</t>
  </si>
  <si>
    <t>小児科を受診する。</t>
  </si>
  <si>
    <t>Đi khám khoa nhi.</t>
  </si>
  <si>
    <t>強硬</t>
  </si>
  <si>
    <t>強硬[きょうこう]</t>
  </si>
  <si>
    <t>cứng rắn</t>
  </si>
  <si>
    <t>強硬な手段をとる。</t>
  </si>
  <si>
    <t>Sử dụng biện pháp cứng rắn.</t>
  </si>
  <si>
    <t>当て</t>
  </si>
  <si>
    <t>あて</t>
  </si>
  <si>
    <t>当[あ]て</t>
  </si>
  <si>
    <t>当てが外れる。</t>
  </si>
  <si>
    <t>Mục tiêu không như dự tính.</t>
  </si>
  <si>
    <t>心地</t>
  </si>
  <si>
    <t>ここち</t>
  </si>
  <si>
    <t>心地[ここち]</t>
  </si>
  <si>
    <t>住み心地が良い。</t>
  </si>
  <si>
    <t>Cảm giác sống rất tốt.</t>
  </si>
  <si>
    <t>悟る</t>
  </si>
  <si>
    <t>さとる</t>
  </si>
  <si>
    <t>悟[さと]る</t>
  </si>
  <si>
    <t>giác ngộ</t>
  </si>
  <si>
    <t>真理を悟る。</t>
  </si>
  <si>
    <t>Giác ngộ chân lý.</t>
  </si>
  <si>
    <t>慣習</t>
  </si>
  <si>
    <t>慣習[かんしゅう]</t>
  </si>
  <si>
    <t>tập quán</t>
  </si>
  <si>
    <t>地元の慣習。</t>
  </si>
  <si>
    <t>Tập quán địa phương.</t>
  </si>
  <si>
    <t>所定</t>
  </si>
  <si>
    <t>しょてい</t>
  </si>
  <si>
    <t>所定[しょてい]</t>
  </si>
  <si>
    <t>所定の用紙。</t>
  </si>
  <si>
    <t>Giấy tờ theo quy định.</t>
  </si>
  <si>
    <t>手軽</t>
  </si>
  <si>
    <t>てがる</t>
  </si>
  <si>
    <t>手軽[てがる]</t>
  </si>
  <si>
    <t>手軽な料理。</t>
  </si>
  <si>
    <t>Món ăn đơn giản.</t>
  </si>
  <si>
    <t>打ち切る</t>
  </si>
  <si>
    <t>うちきる</t>
  </si>
  <si>
    <t>打[う]ち切[き]る</t>
  </si>
  <si>
    <t>契約を打ち切る。</t>
  </si>
  <si>
    <t>Kết thúc hợp đồng.</t>
  </si>
  <si>
    <t>抗争</t>
  </si>
  <si>
    <t>抗争[こうそう]</t>
  </si>
  <si>
    <t>xung đột</t>
  </si>
  <si>
    <t>派閥の抗争。</t>
  </si>
  <si>
    <t>Xung đột phe phái.</t>
  </si>
  <si>
    <t>抽選</t>
  </si>
  <si>
    <t>ちゅうせん</t>
  </si>
  <si>
    <t>抽選[ちゅうせん]</t>
  </si>
  <si>
    <t>bốc thăm</t>
  </si>
  <si>
    <t>抽選で決める。</t>
  </si>
  <si>
    <t>Quyết định bằng bốc thăm.</t>
  </si>
  <si>
    <t>拒絶</t>
  </si>
  <si>
    <t>きょぜつ</t>
  </si>
  <si>
    <t>拒絶[きょぜつ]</t>
  </si>
  <si>
    <t>cự tuyệt</t>
  </si>
  <si>
    <t>拒絶反応。</t>
  </si>
  <si>
    <t>Phản ứng cự tuyệt.</t>
  </si>
  <si>
    <t>操る</t>
  </si>
  <si>
    <t>あやつる</t>
  </si>
  <si>
    <t>操[あやつ]る</t>
  </si>
  <si>
    <t>機械を操る。</t>
  </si>
  <si>
    <t>Thao tác máy móc.</t>
  </si>
  <si>
    <t>放射能</t>
  </si>
  <si>
    <t>ほうしゃのう</t>
  </si>
  <si>
    <t>放射能[ほうしゃのう]</t>
  </si>
  <si>
    <t>phóng xạ</t>
  </si>
  <si>
    <t>放射能汚染。</t>
  </si>
  <si>
    <t>Ô nhiễm phóng xạ.</t>
  </si>
  <si>
    <t>敏感</t>
  </si>
  <si>
    <t>びんかん</t>
  </si>
  <si>
    <t>敏感[びんかん]</t>
  </si>
  <si>
    <t>nhạy cảm</t>
  </si>
  <si>
    <t>肌が敏感だ。</t>
  </si>
  <si>
    <t>Da nhạy cảm.</t>
  </si>
  <si>
    <t>敢えて</t>
  </si>
  <si>
    <t>あえて</t>
  </si>
  <si>
    <t>敢[あ]えて</t>
  </si>
  <si>
    <t>mạo muội</t>
  </si>
  <si>
    <t>敢えて挑戦する。</t>
  </si>
  <si>
    <t>Mạo muội thử thách.</t>
  </si>
  <si>
    <t>施行</t>
  </si>
  <si>
    <t>施行[しこう]</t>
  </si>
  <si>
    <t>thi hành</t>
  </si>
  <si>
    <t>法律を施行する。</t>
  </si>
  <si>
    <t>Thi hành luật pháp.</t>
  </si>
  <si>
    <t>早急</t>
  </si>
  <si>
    <t>さっきゅう</t>
  </si>
  <si>
    <t>早急[さっきゅう]</t>
  </si>
  <si>
    <t>早急に対処する。</t>
  </si>
  <si>
    <t>Đối phó khẩn cấp.</t>
  </si>
  <si>
    <t>暴露</t>
  </si>
  <si>
    <t>ばくろ</t>
  </si>
  <si>
    <t>暴露[ばくろ]</t>
  </si>
  <si>
    <t>phơi bày</t>
  </si>
  <si>
    <t>不正を暴露する。</t>
  </si>
  <si>
    <t>Phơi bày sự bất chính.</t>
  </si>
  <si>
    <t>最善</t>
  </si>
  <si>
    <t>さいぜん</t>
  </si>
  <si>
    <t>最善[さいぜん]</t>
  </si>
  <si>
    <t>最善を尽くす。</t>
  </si>
  <si>
    <t>Nỗ lực tốt nhất.</t>
  </si>
  <si>
    <t>本能</t>
  </si>
  <si>
    <t>ほんのう</t>
  </si>
  <si>
    <t>本能[ほんのう]</t>
  </si>
  <si>
    <t>bản năng</t>
  </si>
  <si>
    <t>生きる本能。</t>
  </si>
  <si>
    <t>Bản năng sống.</t>
  </si>
  <si>
    <t>宿命</t>
  </si>
  <si>
    <t>しゅくめい</t>
  </si>
  <si>
    <t>宿命[しゅくめい]</t>
  </si>
  <si>
    <t>số mệnh</t>
  </si>
  <si>
    <t>戦争は宿命だった。</t>
  </si>
  <si>
    <t>Chiến tranh là số mệnh.</t>
  </si>
  <si>
    <t>富む</t>
  </si>
  <si>
    <t>とむ</t>
  </si>
  <si>
    <t>富[と]む</t>
  </si>
  <si>
    <t>資源に富む国。</t>
  </si>
  <si>
    <t>Quốc gia giàu tài nguyên.</t>
  </si>
  <si>
    <t>強いる</t>
  </si>
  <si>
    <t>しいる</t>
  </si>
  <si>
    <t>強[し]いる</t>
  </si>
  <si>
    <t>ép buộc</t>
  </si>
  <si>
    <t>寄付を強いる。</t>
  </si>
  <si>
    <t>Ép buộc quyên góp.</t>
  </si>
  <si>
    <t>指令</t>
  </si>
  <si>
    <t>しれい</t>
  </si>
  <si>
    <t>指令[しれい]</t>
  </si>
  <si>
    <t>chỉ thị</t>
  </si>
  <si>
    <t>指令を出す。</t>
  </si>
  <si>
    <t>Ban hành chỉ thị.</t>
  </si>
  <si>
    <t>放出</t>
  </si>
  <si>
    <t>ほうしゅつ</t>
  </si>
  <si>
    <t>放出[ほうしゅつ]</t>
  </si>
  <si>
    <t>phát ra</t>
  </si>
  <si>
    <t>熱を放出する。</t>
  </si>
  <si>
    <t>Phát ra nhiệt.</t>
  </si>
  <si>
    <t>期末</t>
  </si>
  <si>
    <t>きまつ</t>
  </si>
  <si>
    <t>期末[きまつ]</t>
  </si>
  <si>
    <t>cuối kỳ</t>
  </si>
  <si>
    <t>期末試験。</t>
  </si>
  <si>
    <t>Kỳ thi cuối kỳ.</t>
  </si>
  <si>
    <t>専ら</t>
  </si>
  <si>
    <t>もっぱら</t>
  </si>
  <si>
    <t>専[もっぱ]ら</t>
  </si>
  <si>
    <t>chuyên</t>
  </si>
  <si>
    <t>専ら勉強する。</t>
  </si>
  <si>
    <t>Chuyên tâm học hành.</t>
  </si>
  <si>
    <t>座標</t>
  </si>
  <si>
    <t>ざひょう</t>
  </si>
  <si>
    <t>座標[ざひょう]</t>
  </si>
  <si>
    <t>tọa độ</t>
  </si>
  <si>
    <t>座標を特定する。</t>
  </si>
  <si>
    <t>Xác định tọa độ.</t>
  </si>
  <si>
    <t>引きずる</t>
  </si>
  <si>
    <t>ひきずる</t>
  </si>
  <si>
    <t>引[ひ]きずる</t>
  </si>
  <si>
    <t>kéo lê</t>
  </si>
  <si>
    <t>足を地面に引きずる。</t>
  </si>
  <si>
    <t>Kéo lê chân trên mặt đất.</t>
  </si>
  <si>
    <t>所持</t>
  </si>
  <si>
    <t>しょじ</t>
  </si>
  <si>
    <t>所持[しょじ]</t>
  </si>
  <si>
    <t>免許証を所持する。</t>
  </si>
  <si>
    <t>Sở hữu bằng lái.</t>
  </si>
  <si>
    <t>打開</t>
  </si>
  <si>
    <t>だかい</t>
  </si>
  <si>
    <t>打開[だかい]</t>
  </si>
  <si>
    <t>phá vỡ</t>
  </si>
  <si>
    <t>現状を打開する。</t>
  </si>
  <si>
    <t>Phá vỡ hiện trạng.</t>
  </si>
  <si>
    <t>投げ出す</t>
  </si>
  <si>
    <t>なげだす</t>
  </si>
  <si>
    <t>投[な]げ出[だ]す</t>
  </si>
  <si>
    <t>ném ra</t>
  </si>
  <si>
    <t>仕事を投げ出す。</t>
  </si>
  <si>
    <t>Bỏ dở công việc.</t>
  </si>
  <si>
    <t>改修</t>
  </si>
  <si>
    <t>改修[かいしゅう]</t>
  </si>
  <si>
    <t>tu sửa</t>
  </si>
  <si>
    <t>ビルを改修する。</t>
  </si>
  <si>
    <t>Tu sửa tòa nhà.</t>
  </si>
  <si>
    <t>救済</t>
  </si>
  <si>
    <t>きゅうさい</t>
  </si>
  <si>
    <t>救済[きゅうさい]</t>
  </si>
  <si>
    <t>cứu tế</t>
  </si>
  <si>
    <t>弱者を救済する。</t>
  </si>
  <si>
    <t>Cứu tế người yếu thế.</t>
  </si>
  <si>
    <t>明かす</t>
  </si>
  <si>
    <t>あかす</t>
  </si>
  <si>
    <t>明[あ]かす</t>
  </si>
  <si>
    <t>làm rõ</t>
  </si>
  <si>
    <t>秘密を明かす。</t>
  </si>
  <si>
    <t>Làm rõ bí mật.</t>
  </si>
  <si>
    <t>暗示</t>
  </si>
  <si>
    <t>あんじ</t>
  </si>
  <si>
    <t>暗示[あんじ]</t>
  </si>
  <si>
    <t>ám chỉ</t>
  </si>
  <si>
    <t>暗示をかける。</t>
  </si>
  <si>
    <t>Gợi ý ám chỉ.</t>
  </si>
  <si>
    <t>旦那</t>
  </si>
  <si>
    <t>だんな</t>
  </si>
  <si>
    <t>旦那[だんな]</t>
  </si>
  <si>
    <t>私の旦那です。</t>
  </si>
  <si>
    <t>Đó là chồng tôi.</t>
  </si>
  <si>
    <t>徴収</t>
  </si>
  <si>
    <t>ちょうしゅう</t>
  </si>
  <si>
    <t>徴収[ちょうしゅう]</t>
  </si>
  <si>
    <t>税金を徴収する。</t>
  </si>
  <si>
    <t>Thu thuế.</t>
  </si>
  <si>
    <t>恋する</t>
  </si>
  <si>
    <t>こいする</t>
  </si>
  <si>
    <t>恋[こい]する</t>
  </si>
  <si>
    <t>yêu</t>
  </si>
  <si>
    <t>誰かに恋する。</t>
  </si>
  <si>
    <t>Yêu một ai đó.</t>
  </si>
  <si>
    <t>据える</t>
  </si>
  <si>
    <t>すえる</t>
  </si>
  <si>
    <t>据[す]える</t>
  </si>
  <si>
    <t>カメラを据える。</t>
  </si>
  <si>
    <t>Đặt máy ảnh.</t>
  </si>
  <si>
    <t>岩石</t>
  </si>
  <si>
    <t>がんせき</t>
  </si>
  <si>
    <t>岩石[がんせき]</t>
  </si>
  <si>
    <t>岩石を調べる。</t>
  </si>
  <si>
    <t>Kiểm tra đá.</t>
  </si>
  <si>
    <t>援助</t>
  </si>
  <si>
    <t>えんじょ</t>
  </si>
  <si>
    <t>援助[えんじょ]</t>
  </si>
  <si>
    <t>viện trợ</t>
  </si>
  <si>
    <t>資金を援助する。</t>
  </si>
  <si>
    <t>Tôi viện trợ nguồn vốn.</t>
  </si>
  <si>
    <t>期限</t>
  </si>
  <si>
    <t>きげん</t>
  </si>
  <si>
    <t>期限[きげん]</t>
  </si>
  <si>
    <t>hạn cuối</t>
  </si>
  <si>
    <t>期限を守る。</t>
  </si>
  <si>
    <t>Tôi tuân thủ hạn cuối.</t>
  </si>
  <si>
    <t>残り</t>
  </si>
  <si>
    <t>のこり</t>
  </si>
  <si>
    <t>残[のこ]り</t>
  </si>
  <si>
    <t>phần còn lại</t>
  </si>
  <si>
    <t>残りを食べる。</t>
  </si>
  <si>
    <t>Tôi ăn phần còn lại.</t>
  </si>
  <si>
    <t>森</t>
  </si>
  <si>
    <t>もり</t>
  </si>
  <si>
    <t>森[もり]</t>
  </si>
  <si>
    <t>rừng</t>
  </si>
  <si>
    <t>森へ行く。</t>
  </si>
  <si>
    <t>Tôi đi vào rừng.</t>
  </si>
  <si>
    <t>敷く</t>
  </si>
  <si>
    <t>しく</t>
  </si>
  <si>
    <t>敷[し]く</t>
  </si>
  <si>
    <t>trải</t>
  </si>
  <si>
    <t>布団を敷く。</t>
  </si>
  <si>
    <t>Tôi trải nệm.</t>
  </si>
  <si>
    <t>明ける</t>
  </si>
  <si>
    <t>明[あ]ける</t>
  </si>
  <si>
    <t>夜が明ける。</t>
  </si>
  <si>
    <t>Đêm đã qua.</t>
  </si>
  <si>
    <t>待望</t>
  </si>
  <si>
    <t>たいぼう</t>
  </si>
  <si>
    <t>待望[たいぼう]</t>
  </si>
  <si>
    <t>được chờ đợi</t>
  </si>
  <si>
    <t>待望の赤ちゃん。</t>
  </si>
  <si>
    <t>Đứa bé được mong chờ.</t>
  </si>
  <si>
    <t>平常</t>
  </si>
  <si>
    <t>へいじょう</t>
  </si>
  <si>
    <t>平常[へいじょう]</t>
  </si>
  <si>
    <t>平常心で臨む。</t>
  </si>
  <si>
    <t>Đối mặt với tâm thế bình thường.</t>
  </si>
  <si>
    <t>封鎖</t>
  </si>
  <si>
    <t>ふうさ</t>
  </si>
  <si>
    <t>封鎖[ふうさ]</t>
  </si>
  <si>
    <t>phong tỏa</t>
  </si>
  <si>
    <t>道路を封鎖する。</t>
  </si>
  <si>
    <t>Phong tỏa đường sá.</t>
  </si>
  <si>
    <t>形勢</t>
  </si>
  <si>
    <t>形勢[けいせい]</t>
  </si>
  <si>
    <t>形勢が逆転する。</t>
  </si>
  <si>
    <t>Thế trận đảo ngược.</t>
  </si>
  <si>
    <t>手掛かり</t>
  </si>
  <si>
    <t>てがかり</t>
  </si>
  <si>
    <t>手掛[てが]かり</t>
  </si>
  <si>
    <t>manh mối</t>
  </si>
  <si>
    <t>事件の手掛かり。</t>
  </si>
  <si>
    <t>Manh mối vụ án.</t>
  </si>
  <si>
    <t>惜しむ</t>
  </si>
  <si>
    <t>おしむ</t>
  </si>
  <si>
    <t>惜[お]しむ</t>
  </si>
  <si>
    <t>tiếc</t>
  </si>
  <si>
    <t>別れを惜しむ。</t>
  </si>
  <si>
    <t>Tiếc nuối khi chia tay.</t>
  </si>
  <si>
    <t>曇り</t>
  </si>
  <si>
    <t>くもり</t>
  </si>
  <si>
    <t>曇[くも]り</t>
  </si>
  <si>
    <t>trời mây</t>
  </si>
  <si>
    <t>明日は曇り。</t>
  </si>
  <si>
    <t>Ngày mai trời nhiều mây.</t>
  </si>
  <si>
    <t>構いません</t>
  </si>
  <si>
    <t>かまいません</t>
  </si>
  <si>
    <t>構[かま]いません</t>
  </si>
  <si>
    <t>không sao</t>
  </si>
  <si>
    <t>構いません。</t>
  </si>
  <si>
    <t>Tôi không bận tâm.</t>
  </si>
  <si>
    <t>文法</t>
  </si>
  <si>
    <t>ぶんぽう</t>
  </si>
  <si>
    <t>文法[ぶんぽう]</t>
  </si>
  <si>
    <t>ngữ pháp</t>
  </si>
  <si>
    <t>文法を学ぶ。</t>
  </si>
  <si>
    <t>Tôi học ngữ pháp.</t>
  </si>
  <si>
    <t>日記</t>
  </si>
  <si>
    <t>にっき</t>
  </si>
  <si>
    <t>日記[にっき]</t>
  </si>
  <si>
    <t>nhật ký</t>
  </si>
  <si>
    <t>日記を付ける。</t>
  </si>
  <si>
    <t>Tôi viết nhật ký.</t>
  </si>
  <si>
    <t>放す</t>
  </si>
  <si>
    <t>放[はな]す</t>
  </si>
  <si>
    <t>thả</t>
  </si>
  <si>
    <t>手を放す。</t>
  </si>
  <si>
    <t>Tôi buông tay ra.</t>
  </si>
  <si>
    <t>机</t>
  </si>
  <si>
    <t>つくえ</t>
  </si>
  <si>
    <t>机[つくえ]</t>
  </si>
  <si>
    <t>机に座る。</t>
  </si>
  <si>
    <t>Tôi ngồi vào bàn.</t>
  </si>
  <si>
    <t>年頃</t>
  </si>
  <si>
    <t>としごろ</t>
  </si>
  <si>
    <t>年頃[としごろ]</t>
  </si>
  <si>
    <t>tuổi tác</t>
  </si>
  <si>
    <t>結婚する年頃。</t>
  </si>
  <si>
    <t>Tuổi kết hôn.</t>
  </si>
  <si>
    <t>山岳</t>
  </si>
  <si>
    <t>さんがく</t>
  </si>
  <si>
    <t>山岳[さんがく]</t>
  </si>
  <si>
    <t>núi cao</t>
  </si>
  <si>
    <t>山岳地帯を歩く。</t>
  </si>
  <si>
    <t>Đi bộ ở vùng núi cao.</t>
  </si>
  <si>
    <t>段々</t>
  </si>
  <si>
    <t>だんだん</t>
  </si>
  <si>
    <t>段々[だんだん]</t>
  </si>
  <si>
    <t>段々良くなる。</t>
  </si>
  <si>
    <t>Nó dần dần trở nên tốt hơn.</t>
  </si>
  <si>
    <t>支出</t>
  </si>
  <si>
    <t>ししゅつ</t>
  </si>
  <si>
    <t>支出[ししゅつ]</t>
  </si>
  <si>
    <t>chi tiêu</t>
  </si>
  <si>
    <t>支出を抑える。</t>
  </si>
  <si>
    <t>Tôi cắt giảm chi tiêu.</t>
  </si>
  <si>
    <t>歌手</t>
  </si>
  <si>
    <t>かしゅ</t>
  </si>
  <si>
    <t>歌手[かしゅ]</t>
  </si>
  <si>
    <t>ca sĩ</t>
  </si>
  <si>
    <t>有名な歌手。</t>
  </si>
  <si>
    <t>Đó là ca sĩ nổi tiếng.</t>
  </si>
  <si>
    <t>句</t>
  </si>
  <si>
    <t>く</t>
  </si>
  <si>
    <t>句[く]</t>
  </si>
  <si>
    <t>短い句を作る。</t>
  </si>
  <si>
    <t>Tôi viết một câu ngắn.</t>
  </si>
  <si>
    <t>映す</t>
  </si>
  <si>
    <t>映[うつ]す</t>
  </si>
  <si>
    <t>chiếu</t>
  </si>
  <si>
    <t>写真を映す。</t>
  </si>
  <si>
    <t>Tôi chiếu hình ảnh.</t>
  </si>
  <si>
    <t>枠</t>
  </si>
  <si>
    <t>わく</t>
  </si>
  <si>
    <t>枠[わく]</t>
  </si>
  <si>
    <t>khung</t>
  </si>
  <si>
    <t>枠を作る。</t>
  </si>
  <si>
    <t>Tôi làm cái khung.</t>
  </si>
  <si>
    <t>整う</t>
  </si>
  <si>
    <t>ととのう</t>
  </si>
  <si>
    <t>整[ととの]う</t>
  </si>
  <si>
    <t>được chuẩn bị</t>
  </si>
  <si>
    <t>準備が整う。</t>
  </si>
  <si>
    <t>Chuẩn bị đã xong.</t>
  </si>
  <si>
    <t>昼食</t>
  </si>
  <si>
    <t>ちゅうしょく</t>
  </si>
  <si>
    <t>昼食[ちゅうしょく]</t>
  </si>
  <si>
    <t>昼食をとる。</t>
  </si>
  <si>
    <t>Tôi ăn bữa trưa.</t>
  </si>
  <si>
    <t>直角</t>
  </si>
  <si>
    <t>ちょっかく</t>
  </si>
  <si>
    <t>直角[ちょっかく]</t>
  </si>
  <si>
    <t>góc vuông</t>
  </si>
  <si>
    <t>直角に曲がる。</t>
  </si>
  <si>
    <t>Rẽ vuông góc.</t>
  </si>
  <si>
    <t>捕える</t>
  </si>
  <si>
    <t>とらえる</t>
  </si>
  <si>
    <t>捕[とら]える</t>
  </si>
  <si>
    <t>犯人を捕える。</t>
  </si>
  <si>
    <t>Bắt tội phạm.</t>
  </si>
  <si>
    <t>曲る</t>
  </si>
  <si>
    <t>まがる</t>
  </si>
  <si>
    <t>曲[まが]る</t>
  </si>
  <si>
    <t>rẽ</t>
  </si>
  <si>
    <t>右に曲る。</t>
  </si>
  <si>
    <t>害する</t>
  </si>
  <si>
    <t>がいする</t>
  </si>
  <si>
    <t>害[がい]する</t>
  </si>
  <si>
    <t>gây hại</t>
  </si>
  <si>
    <t>健康を害する。</t>
  </si>
  <si>
    <t>Gây hại cho sức khỏe.</t>
  </si>
  <si>
    <t>悲観</t>
  </si>
  <si>
    <t>ひかん</t>
  </si>
  <si>
    <t>悲観[ひかん]</t>
  </si>
  <si>
    <t>bi quan</t>
  </si>
  <si>
    <t>未来を悲観する。</t>
  </si>
  <si>
    <t>Bi quan về tương lai.</t>
  </si>
  <si>
    <t>未定</t>
  </si>
  <si>
    <t>みてい</t>
  </si>
  <si>
    <t>未定[みてい]</t>
  </si>
  <si>
    <t>chưa quyết định</t>
  </si>
  <si>
    <t>予定は未定だ。</t>
  </si>
  <si>
    <t>Lịch trình chưa quyết định.</t>
  </si>
  <si>
    <t>本場</t>
  </si>
  <si>
    <t>ほんば</t>
  </si>
  <si>
    <t>本場[ほんば]</t>
  </si>
  <si>
    <t>nơi chính gốc</t>
  </si>
  <si>
    <t>本場の味。</t>
  </si>
  <si>
    <t>Hương vị chính gốc.</t>
  </si>
  <si>
    <t>平方</t>
  </si>
  <si>
    <t>へいほう</t>
  </si>
  <si>
    <t>平方[へいほう]</t>
  </si>
  <si>
    <t>bình phương</t>
  </si>
  <si>
    <t>平方メートルを計算する。</t>
  </si>
  <si>
    <t>Tính mét vuông.</t>
  </si>
  <si>
    <t>懸賞</t>
  </si>
  <si>
    <t>けんしょう</t>
  </si>
  <si>
    <t>懸賞[けんしょう]</t>
  </si>
  <si>
    <t>懸賞に応募する。</t>
  </si>
  <si>
    <t>Ứng tuyển nhận giải thưởng.</t>
  </si>
  <si>
    <t>征服</t>
  </si>
  <si>
    <t>征服[せいふく]</t>
  </si>
  <si>
    <t>chinh phục</t>
  </si>
  <si>
    <t>山を征服する。</t>
  </si>
  <si>
    <t>Chinh phục ngọn núi.</t>
  </si>
  <si>
    <t>忠告</t>
  </si>
  <si>
    <t>ちゅうこく</t>
  </si>
  <si>
    <t>忠告[ちゅうこく]</t>
  </si>
  <si>
    <t>忠告を聞く。</t>
  </si>
  <si>
    <t>Nghe lời khuyên.</t>
  </si>
  <si>
    <t>旅客</t>
  </si>
  <si>
    <t>りょかく</t>
  </si>
  <si>
    <t>旅客[りょかく]</t>
  </si>
  <si>
    <t>旅客機に乗る。</t>
  </si>
  <si>
    <t>Lên máy bay chở khách.</t>
  </si>
  <si>
    <t>尿</t>
  </si>
  <si>
    <t>にょう</t>
  </si>
  <si>
    <t>尿[にょう]</t>
  </si>
  <si>
    <t>nước tiểu</t>
  </si>
  <si>
    <t>尿検査を受ける。</t>
  </si>
  <si>
    <t>Làm xét nghiệm nước tiểu.</t>
  </si>
  <si>
    <t>延べ</t>
  </si>
  <si>
    <t>のべ</t>
  </si>
  <si>
    <t>延[の]べ</t>
  </si>
  <si>
    <t>延べ人数。</t>
  </si>
  <si>
    <t>Tổng số người.</t>
  </si>
  <si>
    <t>心得</t>
  </si>
  <si>
    <t>こころえ</t>
  </si>
  <si>
    <t>心得[こころえ]</t>
  </si>
  <si>
    <t>hiểu biết</t>
  </si>
  <si>
    <t>接客の心得。</t>
  </si>
  <si>
    <t>Kiến thức về phục vụ khách hàng.</t>
  </si>
  <si>
    <t>手引</t>
  </si>
  <si>
    <t>てびき</t>
  </si>
  <si>
    <t>手引[てびき]</t>
  </si>
  <si>
    <t>観光の手引。</t>
  </si>
  <si>
    <t>Hướng dẫn du lịch.</t>
  </si>
  <si>
    <t>採算</t>
  </si>
  <si>
    <t>さいさん</t>
  </si>
  <si>
    <t>採算[さいさん]</t>
  </si>
  <si>
    <t>採算が合う。</t>
  </si>
  <si>
    <t>Lợi nhuận phù hợp.</t>
  </si>
  <si>
    <t>幹</t>
  </si>
  <si>
    <t>みき</t>
  </si>
  <si>
    <t>幹[みき]</t>
  </si>
  <si>
    <t>thân cây</t>
  </si>
  <si>
    <t>木の幹が太い。</t>
  </si>
  <si>
    <t>Thân cây to.</t>
  </si>
  <si>
    <t>打ち消し</t>
  </si>
  <si>
    <t>うちけし</t>
  </si>
  <si>
    <t>打[う]ち消[け]し</t>
  </si>
  <si>
    <t>sự phủ định</t>
  </si>
  <si>
    <t>噂の打ち消しをする。</t>
  </si>
  <si>
    <t>控除</t>
  </si>
  <si>
    <t>こうじょ</t>
  </si>
  <si>
    <t>控除[こうじょ]</t>
  </si>
  <si>
    <t>khấu trừ</t>
  </si>
  <si>
    <t>税金を控除する。</t>
  </si>
  <si>
    <t>Khấu trừ thuế.</t>
  </si>
  <si>
    <t>攻め</t>
  </si>
  <si>
    <t>せめ</t>
  </si>
  <si>
    <t>攻[せ]め</t>
  </si>
  <si>
    <t>激しい攻め。</t>
  </si>
  <si>
    <t>Sự tấn công dữ dội.</t>
  </si>
  <si>
    <t>救援</t>
  </si>
  <si>
    <t>きゅうえん</t>
  </si>
  <si>
    <t>救援[きゅうえん]</t>
  </si>
  <si>
    <t>cứu viện</t>
  </si>
  <si>
    <t>救援隊を呼ぶ。</t>
  </si>
  <si>
    <t>Gọi đội cứu viện.</t>
  </si>
  <si>
    <t>普遍</t>
  </si>
  <si>
    <t>ふへん</t>
  </si>
  <si>
    <t>普遍[ふへん]</t>
  </si>
  <si>
    <t>普遍的な真理。</t>
  </si>
  <si>
    <t>Chân lý phổ biến.</t>
  </si>
  <si>
    <t>暴動</t>
  </si>
  <si>
    <t>ぼうどう</t>
  </si>
  <si>
    <t>暴動[ぼうどう]</t>
  </si>
  <si>
    <t>bạo động</t>
  </si>
  <si>
    <t>暴動が起きる。</t>
  </si>
  <si>
    <t>Bạo động xảy ra.</t>
  </si>
  <si>
    <t>感度</t>
  </si>
  <si>
    <t>かんど</t>
  </si>
  <si>
    <t>感度[かんど]</t>
  </si>
  <si>
    <t>độ nhạy</t>
  </si>
  <si>
    <t>感度が高いセンサー。</t>
  </si>
  <si>
    <t>Cảm biến độ nhạy cao.</t>
  </si>
  <si>
    <t>慣例</t>
  </si>
  <si>
    <t>かんれい</t>
  </si>
  <si>
    <t>慣例[かんれい]</t>
  </si>
  <si>
    <t>quán lệ</t>
  </si>
  <si>
    <t>会社の慣例。</t>
  </si>
  <si>
    <t>Quán lệ công ty.</t>
  </si>
  <si>
    <t>捕獲</t>
  </si>
  <si>
    <t>ほかく</t>
  </si>
  <si>
    <t>捕獲[ほかく]</t>
  </si>
  <si>
    <t>動物を捕獲する。</t>
  </si>
  <si>
    <t>Bắt giữ động vật.</t>
  </si>
  <si>
    <t>換算</t>
  </si>
  <si>
    <t>かんさん</t>
  </si>
  <si>
    <t>換算[かんさん]</t>
  </si>
  <si>
    <t>quy đổi</t>
  </si>
  <si>
    <t>円に換算する。</t>
  </si>
  <si>
    <t>Quy đổi ra yên.</t>
  </si>
  <si>
    <t>教訓</t>
  </si>
  <si>
    <t>きょうくん</t>
  </si>
  <si>
    <t>教訓[きょうくん]</t>
  </si>
  <si>
    <t>人生の教訓。</t>
  </si>
  <si>
    <t>Bài học cuộc đời.</t>
  </si>
  <si>
    <t>有益</t>
  </si>
  <si>
    <t>ゆうえき</t>
  </si>
  <si>
    <t>有益[ゆうえき]</t>
  </si>
  <si>
    <t>hữu ích</t>
  </si>
  <si>
    <t>有益な情報。</t>
  </si>
  <si>
    <t>Thông tin hữu ích.</t>
  </si>
  <si>
    <t>押し寄せる</t>
  </si>
  <si>
    <t>おしよせる</t>
  </si>
  <si>
    <t>押[お]し寄[よ]せる</t>
  </si>
  <si>
    <t>ùa vào</t>
  </si>
  <si>
    <t>群衆が押し寄せる。</t>
  </si>
  <si>
    <t>Đám đông ùa vào.</t>
  </si>
  <si>
    <t>放射</t>
  </si>
  <si>
    <t>ほうしゃ</t>
  </si>
  <si>
    <t>放射[ほうしゃ]</t>
  </si>
  <si>
    <t>bức xạ</t>
  </si>
  <si>
    <t>放射熱。</t>
  </si>
  <si>
    <t>Nhiệt bức xạ.</t>
  </si>
  <si>
    <t>断然</t>
  </si>
  <si>
    <t>だんぜん</t>
  </si>
  <si>
    <t>断然[だんぜん]</t>
  </si>
  <si>
    <t>hẳn</t>
  </si>
  <si>
    <t>断然こっちが良い。</t>
  </si>
  <si>
    <t>Đằng này tốt hơn hẳn.</t>
  </si>
  <si>
    <t>核</t>
  </si>
  <si>
    <t>核[かく]</t>
  </si>
  <si>
    <t>hạt nhân</t>
  </si>
  <si>
    <t>核の力。</t>
  </si>
  <si>
    <t>Đó là năng lượng hạt nhân.</t>
  </si>
  <si>
    <t>明確</t>
  </si>
  <si>
    <t>めいかく</t>
  </si>
  <si>
    <t>明確[めいかく]</t>
  </si>
  <si>
    <t>明確な答え。</t>
  </si>
  <si>
    <t>Đó là câu trả lời rõ ràng.</t>
  </si>
  <si>
    <t>暇</t>
  </si>
  <si>
    <t>ひま</t>
  </si>
  <si>
    <t>暇[ひま]</t>
  </si>
  <si>
    <t>rảnh rỗi</t>
  </si>
  <si>
    <t>暇な時間。</t>
  </si>
  <si>
    <t>Đó là thời gian rảnh.</t>
  </si>
  <si>
    <t>損害</t>
  </si>
  <si>
    <t>そんがい</t>
  </si>
  <si>
    <t>損害[そんがい]</t>
  </si>
  <si>
    <t>tổn hại</t>
  </si>
  <si>
    <t>損害を受ける。</t>
  </si>
  <si>
    <t>Tôi chịu thiệt hại.</t>
  </si>
  <si>
    <t>本部</t>
  </si>
  <si>
    <t>ほんぶ</t>
  </si>
  <si>
    <t>本部[ほんぶ]</t>
  </si>
  <si>
    <t>trụ sở</t>
  </si>
  <si>
    <t>本部に行く。</t>
  </si>
  <si>
    <t>Tôi đi đến trụ sở.</t>
  </si>
  <si>
    <t>散る</t>
  </si>
  <si>
    <t>ちる</t>
  </si>
  <si>
    <t>散[ち]る</t>
  </si>
  <si>
    <t>桜が散る。</t>
  </si>
  <si>
    <t>Hoa anh đào rụng.</t>
  </si>
  <si>
    <t>ご苦労様</t>
  </si>
  <si>
    <t>ごくろうさま</t>
  </si>
  <si>
    <t>ご苦労様[くろうさま]</t>
  </si>
  <si>
    <t>vất vả rồi</t>
  </si>
  <si>
    <t>お疲れ様、ご苦労様。</t>
  </si>
  <si>
    <t>Vất vả rồi, cảm ơn anh.</t>
  </si>
  <si>
    <t>盛ん</t>
  </si>
  <si>
    <t>さかん</t>
  </si>
  <si>
    <t>盛[さか]ん</t>
  </si>
  <si>
    <t>スポーツが盛んだ。</t>
  </si>
  <si>
    <t>Thể thao thịnh hành.</t>
  </si>
  <si>
    <t>留める</t>
  </si>
  <si>
    <t>とどめる</t>
  </si>
  <si>
    <t>留[とど]める</t>
  </si>
  <si>
    <t>đóng chặt</t>
  </si>
  <si>
    <t>心に留める。</t>
  </si>
  <si>
    <t>Đóng chặt trong tim.</t>
  </si>
  <si>
    <t>大金</t>
  </si>
  <si>
    <t>おおがね</t>
  </si>
  <si>
    <t>大金[おおがね]</t>
  </si>
  <si>
    <t>số tiền lớn</t>
  </si>
  <si>
    <t>大金を支払う。</t>
  </si>
  <si>
    <t>Chi trả số tiền lớn.</t>
  </si>
  <si>
    <t>相対</t>
  </si>
  <si>
    <t>あいたい</t>
  </si>
  <si>
    <t>相対[あいたい]</t>
  </si>
  <si>
    <t>sự đối đãi</t>
  </si>
  <si>
    <t>相対的な評価。</t>
  </si>
  <si>
    <t>Đánh giá tương đối.</t>
  </si>
  <si>
    <t>先だって</t>
  </si>
  <si>
    <t>せんだって</t>
  </si>
  <si>
    <t>先[せん]だって</t>
  </si>
  <si>
    <t>先だってはご馳走様。</t>
  </si>
  <si>
    <t>Cảm ơn về bữa ăn trước đây.</t>
  </si>
  <si>
    <t>先天的</t>
  </si>
  <si>
    <t>せんてんてき</t>
  </si>
  <si>
    <t>先天的[せんてんてき]</t>
  </si>
  <si>
    <t>bẩm sinh</t>
  </si>
  <si>
    <t>先天的な能力。</t>
  </si>
  <si>
    <t>Khả năng bẩm sinh.</t>
  </si>
  <si>
    <t>危害</t>
  </si>
  <si>
    <t>きがい</t>
  </si>
  <si>
    <t>危害[きがい]</t>
  </si>
  <si>
    <t>nguy hại</t>
  </si>
  <si>
    <t>他人に危害を加える。</t>
  </si>
  <si>
    <t>Gây nguy hại cho người khác.</t>
  </si>
  <si>
    <t>恐縮</t>
  </si>
  <si>
    <t>きょうしゅく</t>
  </si>
  <si>
    <t>恐縮[きょうしゅく]</t>
  </si>
  <si>
    <t>お忙しいのに恐縮です。</t>
  </si>
  <si>
    <t>Xin lỗi vì làm phiền khi anh đang bận.</t>
  </si>
  <si>
    <t>驚き</t>
  </si>
  <si>
    <t>おどろき</t>
  </si>
  <si>
    <t>驚[おどろ]き</t>
  </si>
  <si>
    <t>sự ngạc nhiên</t>
  </si>
  <si>
    <t>驚きを隠せない。</t>
  </si>
  <si>
    <t>Tôi không thể che giấu sự ngạc nhiên.</t>
  </si>
  <si>
    <t>私立</t>
  </si>
  <si>
    <t>しりつ</t>
  </si>
  <si>
    <t>私立[しりつ]</t>
  </si>
  <si>
    <t>tư thục</t>
  </si>
  <si>
    <t>私立の大学に通う。</t>
  </si>
  <si>
    <t>Tôi theo học trường đại học tư thục.</t>
  </si>
  <si>
    <t>呆れる</t>
  </si>
  <si>
    <t>あきれる</t>
  </si>
  <si>
    <t>呆[あき]れる</t>
  </si>
  <si>
    <t>無礼な態度に呆れる。</t>
  </si>
  <si>
    <t>Tôi ngạc nhiên trước thái độ vô lễ.</t>
  </si>
  <si>
    <t>福</t>
  </si>
  <si>
    <t>福[ふく]</t>
  </si>
  <si>
    <t>家庭に福を招く。</t>
  </si>
  <si>
    <t>Tôi mang hạnh phúc về cho gia đình.</t>
  </si>
  <si>
    <t>口実</t>
  </si>
  <si>
    <t>こうじつ</t>
  </si>
  <si>
    <t>口実[こうじつ]</t>
  </si>
  <si>
    <t>cái cớ</t>
  </si>
  <si>
    <t>忙しいという口実で断る。</t>
  </si>
  <si>
    <t>Tôi từ chối với cái cớ là bận rộn.</t>
  </si>
  <si>
    <t>信号</t>
  </si>
  <si>
    <t>しんごう</t>
  </si>
  <si>
    <t>信号[しんごう]</t>
  </si>
  <si>
    <t>tín hiệu</t>
  </si>
  <si>
    <t>信号を守る。</t>
  </si>
  <si>
    <t>Tôi tuân thủ tín hiệu giao thông.</t>
  </si>
  <si>
    <t>馴れる</t>
  </si>
  <si>
    <t>馴[な]れる</t>
  </si>
  <si>
    <t>新しい環境に馴れる。</t>
  </si>
  <si>
    <t>Tôi làm quen với môi trường mới.</t>
  </si>
  <si>
    <t>深まる</t>
  </si>
  <si>
    <t>ふかまる</t>
  </si>
  <si>
    <t>深[ふか]まる</t>
  </si>
  <si>
    <t>sâu sắc</t>
  </si>
  <si>
    <t>親睦が深まる。</t>
  </si>
  <si>
    <t>Tình thân thiết trở nên sâu sắc.</t>
  </si>
  <si>
    <t>対照</t>
  </si>
  <si>
    <t>対照[たいしょう]</t>
  </si>
  <si>
    <t>データを二つ対照する。</t>
  </si>
  <si>
    <t>Đối chiếu hai dữ liệu với nhau.</t>
  </si>
  <si>
    <t>後者</t>
  </si>
  <si>
    <t>こうしゃ</t>
  </si>
  <si>
    <t>後者[こうしゃ]</t>
  </si>
  <si>
    <t>cái sau</t>
  </si>
  <si>
    <t>前者を好み、後者を避ける。</t>
  </si>
  <si>
    <t>Thích cái trước, tránh cái sau.</t>
  </si>
  <si>
    <t>おめでたい</t>
  </si>
  <si>
    <t>đáng chúc mừng</t>
  </si>
  <si>
    <t>おめでたい日だ。</t>
  </si>
  <si>
    <t>Đó là một ngày đáng chúc mừng.</t>
  </si>
  <si>
    <t>州</t>
  </si>
  <si>
    <t>州[しゅう]</t>
  </si>
  <si>
    <t>tiểu bang</t>
  </si>
  <si>
    <t>州の法律に従う。</t>
  </si>
  <si>
    <t>Tuân theo luật của tiểu bang.</t>
  </si>
  <si>
    <t>見舞い</t>
  </si>
  <si>
    <t>みまい</t>
  </si>
  <si>
    <t>見舞[みま]い</t>
  </si>
  <si>
    <t>病院へ見舞いに行く。</t>
  </si>
  <si>
    <t>Tôi đi thăm bệnh ở bệnh viện.</t>
  </si>
  <si>
    <t>レジャー</t>
  </si>
  <si>
    <t>れじゃー</t>
  </si>
  <si>
    <t>giải trí</t>
  </si>
  <si>
    <t>レジャーを楽しむ。</t>
  </si>
  <si>
    <t>Tận hưởng hoạt động giải trí.</t>
  </si>
  <si>
    <t>活用</t>
  </si>
  <si>
    <t>かつよう</t>
  </si>
  <si>
    <t>活用[かつよう]</t>
  </si>
  <si>
    <t>資源を有効に活用する。</t>
  </si>
  <si>
    <t>Tận dụng hiệu quả tài nguyên.</t>
  </si>
  <si>
    <t>当番</t>
  </si>
  <si>
    <t>とうばん</t>
  </si>
  <si>
    <t>当番[とうばん]</t>
  </si>
  <si>
    <t>phiên trực</t>
  </si>
  <si>
    <t>掃除の当番。</t>
  </si>
  <si>
    <t>Đến lượt phiên trực dọn dẹp.</t>
  </si>
  <si>
    <t>球</t>
  </si>
  <si>
    <t>球[たま]</t>
  </si>
  <si>
    <t>quả cầu</t>
  </si>
  <si>
    <t>地球は球に近い。</t>
  </si>
  <si>
    <t>Trái đất gần giống hình cầu.</t>
  </si>
  <si>
    <t>居間</t>
  </si>
  <si>
    <t>居間[いま]</t>
  </si>
  <si>
    <t>phòng khách</t>
  </si>
  <si>
    <t>居間でくつろぐ。</t>
  </si>
  <si>
    <t>Thư giãn trong phòng khách.</t>
  </si>
  <si>
    <t>怠ける</t>
  </si>
  <si>
    <t>なまける</t>
  </si>
  <si>
    <t>怠[なま]ける</t>
  </si>
  <si>
    <t>lười biếng</t>
  </si>
  <si>
    <t>仕事を怠ける。</t>
  </si>
  <si>
    <t>Lười biếng trong công việc.</t>
  </si>
  <si>
    <t>要領</t>
  </si>
  <si>
    <t>ようりょう</t>
  </si>
  <si>
    <t>要領[ようりょう]</t>
  </si>
  <si>
    <t>điểm chính</t>
  </si>
  <si>
    <t>要領が悪い。</t>
  </si>
  <si>
    <t>Cách làm việc kém hiệu quả.</t>
  </si>
  <si>
    <t>昼休み</t>
  </si>
  <si>
    <t>ひるやすみ</t>
  </si>
  <si>
    <t>昼休[ひるやす]み</t>
  </si>
  <si>
    <t>nghỉ trưa</t>
  </si>
  <si>
    <t>昼休みに遊ぶ。</t>
  </si>
  <si>
    <t>Tôi chơi vào giờ nghỉ trưa.</t>
  </si>
  <si>
    <t>面積</t>
  </si>
  <si>
    <t>めんせき</t>
  </si>
  <si>
    <t>面積[めんせき]</t>
  </si>
  <si>
    <t>diện tích</t>
  </si>
  <si>
    <t>部屋の面積を測る。</t>
  </si>
  <si>
    <t>Tôi đo diện tích căn phòng.</t>
  </si>
  <si>
    <t>議長</t>
  </si>
  <si>
    <t>ぎちょう</t>
  </si>
  <si>
    <t>議長[ぎちょう]</t>
  </si>
  <si>
    <t>chủ tịch</t>
  </si>
  <si>
    <t>議長を務める。</t>
  </si>
  <si>
    <t>Đảm nhiệm vai trò chủ tịch.</t>
  </si>
  <si>
    <t>御免</t>
  </si>
  <si>
    <t>ごめん</t>
  </si>
  <si>
    <t>御免[ごめん]</t>
  </si>
  <si>
    <t>ごめんください。</t>
  </si>
  <si>
    <t>Xin lỗi, có ai ở nhà không?</t>
  </si>
  <si>
    <t>曇る</t>
  </si>
  <si>
    <t>くもる</t>
  </si>
  <si>
    <t>曇[くも]る</t>
  </si>
  <si>
    <t>có mây</t>
  </si>
  <si>
    <t>空が曇る。</t>
  </si>
  <si>
    <t>Bầu trời trở nên nhiều mây.</t>
  </si>
  <si>
    <t>平凡</t>
  </si>
  <si>
    <t>へいぼん</t>
  </si>
  <si>
    <t>平凡[へいぼん]</t>
  </si>
  <si>
    <t>平凡な生活を送る。</t>
  </si>
  <si>
    <t>Sống cuộc đời bình thường.</t>
  </si>
  <si>
    <t>コンクール</t>
  </si>
  <si>
    <t>こんくーる</t>
  </si>
  <si>
    <t>音楽コンクールに出る。</t>
  </si>
  <si>
    <t>Tham gia cuộc thi âm nhạc.</t>
  </si>
  <si>
    <t>ばからしい</t>
  </si>
  <si>
    <t>ngớ ngẩn</t>
  </si>
  <si>
    <t>それはばからしい話だ。</t>
  </si>
  <si>
    <t>Đó là câu chuyện ngớ ngẩn.</t>
  </si>
  <si>
    <t>名物</t>
  </si>
  <si>
    <t>めいぶつ</t>
  </si>
  <si>
    <t>名物[めいぶつ]</t>
  </si>
  <si>
    <t>đặc sản</t>
  </si>
  <si>
    <t>地元の名物を食べる。</t>
  </si>
  <si>
    <t>Tôi ăn đặc sản địa phương.</t>
  </si>
  <si>
    <t>汚染</t>
  </si>
  <si>
    <t>おせん</t>
  </si>
  <si>
    <t>汚染[おせん]</t>
  </si>
  <si>
    <t>ô nhiễm</t>
  </si>
  <si>
    <t>空気を汚染する。</t>
  </si>
  <si>
    <t>Tôi làm ô nhiễm không khí.</t>
  </si>
  <si>
    <t>うなる</t>
  </si>
  <si>
    <t>gầm gừ</t>
  </si>
  <si>
    <t>犬が低い声でうなる。</t>
  </si>
  <si>
    <t>Con chó gầm gừ tiếng thấp.</t>
  </si>
  <si>
    <t>あくび</t>
  </si>
  <si>
    <t>ngáp</t>
  </si>
  <si>
    <t>授業中あくびが出ました。</t>
  </si>
  <si>
    <t>Tôi đã ngáp trong giờ học.</t>
  </si>
  <si>
    <t>何とか</t>
  </si>
  <si>
    <t>なんとか</t>
  </si>
  <si>
    <t>何[なん]とか</t>
  </si>
  <si>
    <t>何とか終わった。</t>
  </si>
  <si>
    <t>Bằng cách nào đó đã xong.</t>
  </si>
  <si>
    <t>四角</t>
  </si>
  <si>
    <t>四角[しかく]</t>
  </si>
  <si>
    <t>hình vuông</t>
  </si>
  <si>
    <t>四角に切り取る。</t>
  </si>
  <si>
    <t>Tôi cắt thành hình vuông.</t>
  </si>
  <si>
    <t>失望</t>
  </si>
  <si>
    <t>しつぼう</t>
  </si>
  <si>
    <t>失望[しつぼう]</t>
  </si>
  <si>
    <t>結果に失望する。</t>
  </si>
  <si>
    <t>Tôi thất vọng về kết quả.</t>
  </si>
  <si>
    <t>強引</t>
  </si>
  <si>
    <t>ごういん</t>
  </si>
  <si>
    <t>強引[ごういん]</t>
  </si>
  <si>
    <t>強引に頼む。</t>
  </si>
  <si>
    <t>Nhờ vả một cách cưỡng ép.</t>
  </si>
  <si>
    <t>心身</t>
  </si>
  <si>
    <t>しんしん</t>
  </si>
  <si>
    <t>心身[しんしん]</t>
  </si>
  <si>
    <t>thân tâm</t>
  </si>
  <si>
    <t>心身を鍛える。</t>
  </si>
  <si>
    <t>Rèn luyện cả thân và tâm.</t>
  </si>
  <si>
    <t>物質</t>
  </si>
  <si>
    <t>ぶっしつ</t>
  </si>
  <si>
    <t>物質[ぶっしつ]</t>
  </si>
  <si>
    <t>vật chất</t>
  </si>
  <si>
    <t>化学物質を使う。</t>
  </si>
  <si>
    <t>Sử dụng vật chất hóa học.</t>
  </si>
  <si>
    <t>生涯</t>
  </si>
  <si>
    <t>生涯[しょうがい]</t>
  </si>
  <si>
    <t>生涯をかけて研究する。</t>
  </si>
  <si>
    <t>Nghiên cứu suốt cuộc đời.</t>
  </si>
  <si>
    <t>団地</t>
  </si>
  <si>
    <t>だんち</t>
  </si>
  <si>
    <t>団地[だんち]</t>
  </si>
  <si>
    <t>khu chung cư</t>
  </si>
  <si>
    <t>団地に住む。</t>
  </si>
  <si>
    <t>Tôi sống ở khu chung cư.</t>
  </si>
  <si>
    <t>素</t>
  </si>
  <si>
    <t>素[もと]</t>
  </si>
  <si>
    <t>素材を使う。</t>
  </si>
  <si>
    <t>Tôi sử dụng nguyên liệu.</t>
  </si>
  <si>
    <t>風景</t>
  </si>
  <si>
    <t>ふうけい</t>
  </si>
  <si>
    <t>風景[ふうけい]</t>
  </si>
  <si>
    <t>美しい風景を見る。</t>
  </si>
  <si>
    <t>Tôi ngắm phong cảnh đẹp.</t>
  </si>
  <si>
    <t>公務員</t>
  </si>
  <si>
    <t>こうむいん</t>
  </si>
  <si>
    <t>公務員[こうむいん]</t>
  </si>
  <si>
    <t>công chức</t>
  </si>
  <si>
    <t>公務員になる。</t>
  </si>
  <si>
    <t>Tôi trở thành công chức.</t>
  </si>
  <si>
    <t>台詞</t>
  </si>
  <si>
    <t>せりふ</t>
  </si>
  <si>
    <t>台詞[せりふ]</t>
  </si>
  <si>
    <t>lời thoại</t>
  </si>
  <si>
    <t>台詞を覚える。</t>
  </si>
  <si>
    <t>Tôi học thuộc lời thoại.</t>
  </si>
  <si>
    <t>憎らしい</t>
  </si>
  <si>
    <t>にくらしい</t>
  </si>
  <si>
    <t>憎[にく]らしい</t>
  </si>
  <si>
    <t>生意気で憎らしい。</t>
  </si>
  <si>
    <t>Xấc xược thật đáng ghét.</t>
  </si>
  <si>
    <t>しきりに</t>
  </si>
  <si>
    <t>しきりに電話が鳴る。</t>
  </si>
  <si>
    <t>Điện thoại reo liên tục.</t>
  </si>
  <si>
    <t>めでたい</t>
  </si>
  <si>
    <t>めでたい日だ。</t>
  </si>
  <si>
    <t>Đó là một ngày vui mừng.</t>
  </si>
  <si>
    <t>視覚</t>
  </si>
  <si>
    <t>視覚[しかく]</t>
  </si>
  <si>
    <t>thị giác</t>
  </si>
  <si>
    <t>視覚を刺激する。</t>
  </si>
  <si>
    <t>Tôi kích thích thị giác.</t>
  </si>
  <si>
    <t>親友</t>
  </si>
  <si>
    <t>しんゆう</t>
  </si>
  <si>
    <t>親友[しんゆう]</t>
  </si>
  <si>
    <t>bạn thân</t>
  </si>
  <si>
    <t>親友と話す。</t>
  </si>
  <si>
    <t>Nói chuyện với bạn thân.</t>
  </si>
  <si>
    <t>絵画</t>
  </si>
  <si>
    <t>かいが</t>
  </si>
  <si>
    <t>絵画[かいが]</t>
  </si>
  <si>
    <t>hội họa</t>
  </si>
  <si>
    <t>絵画を鑑賞する。</t>
  </si>
  <si>
    <t>Tôi thưởng thức hội họa.</t>
  </si>
  <si>
    <t>退く</t>
  </si>
  <si>
    <t>しりぞく</t>
  </si>
  <si>
    <t>退[しりぞ]く</t>
  </si>
  <si>
    <t>rút lui</t>
  </si>
  <si>
    <t>前線から退く。</t>
  </si>
  <si>
    <t>Rút lui khỏi tiền tuyến.</t>
  </si>
  <si>
    <t>カー</t>
  </si>
  <si>
    <t>かー</t>
  </si>
  <si>
    <t>xe</t>
  </si>
  <si>
    <t>赤いカーを買う。</t>
  </si>
  <si>
    <t>Mua một chiếc xe màu đỏ.</t>
  </si>
  <si>
    <t>うろうろ</t>
  </si>
  <si>
    <t>đi loanh quanh</t>
  </si>
  <si>
    <t>街をうろうろ歩く。</t>
  </si>
  <si>
    <t>Đi dạo loanh quanh phố.</t>
  </si>
  <si>
    <t>九日</t>
  </si>
  <si>
    <t>ここのか</t>
  </si>
  <si>
    <t>九日[ここのか]</t>
  </si>
  <si>
    <t>ngày mùng chín</t>
  </si>
  <si>
    <t>九日に来る。</t>
  </si>
  <si>
    <t>Đến vào ngày mùng chín.</t>
  </si>
  <si>
    <t>小遣い</t>
  </si>
  <si>
    <t>こづかい</t>
  </si>
  <si>
    <t>小遣[こづか]い</t>
  </si>
  <si>
    <t>tiền tiêu vặt</t>
  </si>
  <si>
    <t>小遣いが足りない。</t>
  </si>
  <si>
    <t>Không đủ tiền tiêu vặt.</t>
  </si>
  <si>
    <t>小数</t>
  </si>
  <si>
    <t>しょうすう</t>
  </si>
  <si>
    <t>小数[しょうすう]</t>
  </si>
  <si>
    <t>số thập phân</t>
  </si>
  <si>
    <t>小数の計算をする。</t>
  </si>
  <si>
    <t>Tính toán số thập phân.</t>
  </si>
  <si>
    <t>勝ち</t>
  </si>
  <si>
    <t>勝[か]ち</t>
  </si>
  <si>
    <t>勝利の勝ち。</t>
  </si>
  <si>
    <t>Chiến thắng vinh quang.</t>
  </si>
  <si>
    <t>栄養</t>
  </si>
  <si>
    <t>えいよう</t>
  </si>
  <si>
    <t>栄養[えいよう]</t>
  </si>
  <si>
    <t>dinh dưỡng</t>
  </si>
  <si>
    <t>栄養をとる。</t>
  </si>
  <si>
    <t>Tôi hấp thụ dinh dưỡng.</t>
  </si>
  <si>
    <t>正直</t>
  </si>
  <si>
    <t>しょうじき</t>
  </si>
  <si>
    <t>正直[しょうじき]</t>
  </si>
  <si>
    <t>trung thực</t>
  </si>
  <si>
    <t>正直な人。</t>
  </si>
  <si>
    <t>Đó là người trung thực.</t>
  </si>
  <si>
    <t>ぎっしり</t>
  </si>
  <si>
    <t>chật ních</t>
  </si>
  <si>
    <t>荷物がぎっしり詰まる。</t>
  </si>
  <si>
    <t>Hành lý đóng chật ních.</t>
  </si>
  <si>
    <t>但し</t>
  </si>
  <si>
    <t>ただし</t>
  </si>
  <si>
    <t>但[ただ]し</t>
  </si>
  <si>
    <t>但し条件がある。</t>
  </si>
  <si>
    <t>Tuy nhiên có điều kiện.</t>
  </si>
  <si>
    <t>展覧会</t>
  </si>
  <si>
    <t>てんらんかい</t>
  </si>
  <si>
    <t>展覧会[てんらんかい]</t>
  </si>
  <si>
    <t>triển lãm</t>
  </si>
  <si>
    <t>絵の展覧会に行く。</t>
  </si>
  <si>
    <t>Đi xem triển lãm tranh.</t>
  </si>
  <si>
    <t>彫刻</t>
  </si>
  <si>
    <t>ちょうこく</t>
  </si>
  <si>
    <t>彫刻[ちょうこく]</t>
  </si>
  <si>
    <t>điêu khắc</t>
  </si>
  <si>
    <t>彫刻を作る。</t>
  </si>
  <si>
    <t>Làm tác phẩm điêu khắc.</t>
  </si>
  <si>
    <t>まぶしい</t>
  </si>
  <si>
    <t>chói mắt</t>
  </si>
  <si>
    <t>光がまぶしい。</t>
  </si>
  <si>
    <t>Ánh sáng thật chói mắt.</t>
  </si>
  <si>
    <t>出版</t>
  </si>
  <si>
    <t>しゅっぱん</t>
  </si>
  <si>
    <t>出版[しゅっぱん]</t>
  </si>
  <si>
    <t>xuất bản</t>
  </si>
  <si>
    <t>本を出版する。</t>
  </si>
  <si>
    <t>Tôi xuất bản cuốn sách.</t>
  </si>
  <si>
    <t>娯楽</t>
  </si>
  <si>
    <t>ごらく</t>
  </si>
  <si>
    <t>娯楽[ごらく]</t>
  </si>
  <si>
    <t>娯楽を楽しむ。</t>
  </si>
  <si>
    <t>Tôi tận hưởng giải trí.</t>
  </si>
  <si>
    <t>混乱</t>
  </si>
  <si>
    <t>こんらん</t>
  </si>
  <si>
    <t>混乱[こんらん]</t>
  </si>
  <si>
    <t>hỗn loạn</t>
  </si>
  <si>
    <t>交通が混乱する。</t>
  </si>
  <si>
    <t>Giao thông bị hỗn loạn.</t>
  </si>
  <si>
    <t>黄色い</t>
  </si>
  <si>
    <t>きいろい</t>
  </si>
  <si>
    <t>黄色[き]い</t>
  </si>
  <si>
    <t>màu vàng</t>
  </si>
  <si>
    <t>黄色い服を着る。</t>
  </si>
  <si>
    <t>Tôi mặc bộ đồ màu vàng.</t>
  </si>
  <si>
    <t>おととし日本へ行った。</t>
  </si>
  <si>
    <t>Năm kia tôi đã đi Nhật.</t>
  </si>
  <si>
    <t>妨げる</t>
  </si>
  <si>
    <t>さまたげる</t>
  </si>
  <si>
    <t>妨[さまた]げる</t>
  </si>
  <si>
    <t>通行を妨げる。</t>
  </si>
  <si>
    <t>Tôi cản trở giao thông.</t>
  </si>
  <si>
    <t>愉快</t>
  </si>
  <si>
    <t>ゆかい</t>
  </si>
  <si>
    <t>愉快[ゆかい]</t>
  </si>
  <si>
    <t>vui vẻ</t>
  </si>
  <si>
    <t>愉快な仲間。</t>
  </si>
  <si>
    <t>Những người bạn vui vẻ.</t>
  </si>
  <si>
    <t>ためらう</t>
  </si>
  <si>
    <t>do dự</t>
  </si>
  <si>
    <t>ためらわずに決める。</t>
  </si>
  <si>
    <t>Quyết định không do dự.</t>
  </si>
  <si>
    <t>連れ</t>
  </si>
  <si>
    <t>つれ</t>
  </si>
  <si>
    <t>連[つ]れ</t>
  </si>
  <si>
    <t>bạn đồng hành</t>
  </si>
  <si>
    <t>連れと行く。</t>
  </si>
  <si>
    <t>Đi cùng bạn đồng hành.</t>
  </si>
  <si>
    <t>上等</t>
  </si>
  <si>
    <t>じょうとう</t>
  </si>
  <si>
    <t>上等[じょうとう]</t>
  </si>
  <si>
    <t>thượng hạng</t>
  </si>
  <si>
    <t>上等のワイン。</t>
  </si>
  <si>
    <t>Rượu vang thượng hạng.</t>
  </si>
  <si>
    <t>抽象</t>
  </si>
  <si>
    <t>ちゅうしょう</t>
  </si>
  <si>
    <t>抽象[ちゅうしょう]</t>
  </si>
  <si>
    <t>trừu tượng</t>
  </si>
  <si>
    <t>抽象的な話。</t>
  </si>
  <si>
    <t>Câu chuyện trừu tượng.</t>
  </si>
  <si>
    <t>余計</t>
  </si>
  <si>
    <t>よけい</t>
  </si>
  <si>
    <t>余計[よけい]</t>
  </si>
  <si>
    <t>thừa thãi</t>
  </si>
  <si>
    <t>余計なことを言う。</t>
  </si>
  <si>
    <t>Tôi nói lời thừa thãi.</t>
  </si>
  <si>
    <t>全身</t>
  </si>
  <si>
    <t>ぜんしん</t>
  </si>
  <si>
    <t>全身[ぜんしん]</t>
  </si>
  <si>
    <t>toàn thân</t>
  </si>
  <si>
    <t>全身を使う。</t>
  </si>
  <si>
    <t>Tôi sử dụng toàn thân.</t>
  </si>
  <si>
    <t>平野</t>
  </si>
  <si>
    <t>へいや</t>
  </si>
  <si>
    <t>平野[へいや]</t>
  </si>
  <si>
    <t>đồng bằng</t>
  </si>
  <si>
    <t>平野で米を作る。</t>
  </si>
  <si>
    <t>Trồng lúa ở đồng bằng.</t>
  </si>
  <si>
    <t>くれぐれも</t>
  </si>
  <si>
    <t>くれぐれもよろしく。</t>
  </si>
  <si>
    <t>Rất mong được giúp đỡ.</t>
  </si>
  <si>
    <t>動作</t>
  </si>
  <si>
    <t>どうさ</t>
  </si>
  <si>
    <t>動作[どうさ]</t>
  </si>
  <si>
    <t>động tác</t>
  </si>
  <si>
    <t>動作を確認する。</t>
  </si>
  <si>
    <t>Tôi xác nhận động tác.</t>
  </si>
  <si>
    <t>地名</t>
  </si>
  <si>
    <t>ちめい</t>
  </si>
  <si>
    <t>地名[ちめい]</t>
  </si>
  <si>
    <t>địa danh</t>
  </si>
  <si>
    <t>地名を確認する。</t>
  </si>
  <si>
    <t>Tôi xác nhận địa danh.</t>
  </si>
  <si>
    <t>臨時</t>
  </si>
  <si>
    <t>りんじ</t>
  </si>
  <si>
    <t>臨時[りんじ]</t>
  </si>
  <si>
    <t>臨時休業する。</t>
  </si>
  <si>
    <t>Tôi đóng cửa tạm thời.</t>
  </si>
  <si>
    <t>見舞う</t>
  </si>
  <si>
    <t>みまう</t>
  </si>
  <si>
    <t>見舞[みま]う</t>
  </si>
  <si>
    <t>災害に見舞う。</t>
  </si>
  <si>
    <t>Tôi gặp phải thảm họa.</t>
  </si>
  <si>
    <t>見送り</t>
  </si>
  <si>
    <t>みおくり</t>
  </si>
  <si>
    <t>見送[みおく]り</t>
  </si>
  <si>
    <t>tiễn đưa</t>
  </si>
  <si>
    <t>空港へ見送りに行く。</t>
  </si>
  <si>
    <t>Tôi đi tiễn ở sân bay.</t>
  </si>
  <si>
    <t>引き止める</t>
  </si>
  <si>
    <t>ひきとめる</t>
  </si>
  <si>
    <t>引[ひ]き止[と]める</t>
  </si>
  <si>
    <t>giữ lại</t>
  </si>
  <si>
    <t>帰る人を引き止める。</t>
  </si>
  <si>
    <t>Giữ người muốn về lại.</t>
  </si>
  <si>
    <t>乾杯</t>
  </si>
  <si>
    <t>かんぱい</t>
  </si>
  <si>
    <t>乾杯[かんぱい]</t>
  </si>
  <si>
    <t>cạn ly</t>
  </si>
  <si>
    <t>みんなで乾杯する。</t>
  </si>
  <si>
    <t>Mọi người cùng cạn ly.</t>
  </si>
  <si>
    <t>隊</t>
  </si>
  <si>
    <t>隊[たい]</t>
  </si>
  <si>
    <t>救助隊が到着した。</t>
  </si>
  <si>
    <t>Đội cứu hộ đã đến nơi.</t>
  </si>
  <si>
    <t>一休み</t>
  </si>
  <si>
    <t>ひとやすみ</t>
  </si>
  <si>
    <t>一休[ひとやす]み</t>
  </si>
  <si>
    <t>nghỉ một lát</t>
  </si>
  <si>
    <t>一休みしよう。</t>
  </si>
  <si>
    <t>Hãy nghỉ một lát nào.</t>
  </si>
  <si>
    <t>交番</t>
  </si>
  <si>
    <t>こうばん</t>
  </si>
  <si>
    <t>交番[こうばん]</t>
  </si>
  <si>
    <t>đồn cảnh sát</t>
  </si>
  <si>
    <t>交番で聞く。</t>
  </si>
  <si>
    <t>Hỏi tại đồn cảnh sát.</t>
  </si>
  <si>
    <t>育児</t>
  </si>
  <si>
    <t>いくじ</t>
  </si>
  <si>
    <t>育児[いくじ]</t>
  </si>
  <si>
    <t>chăm sóc trẻ</t>
  </si>
  <si>
    <t>育児に忙しい。</t>
  </si>
  <si>
    <t>Tôi bận chăm sóc trẻ.</t>
  </si>
  <si>
    <t>中旬</t>
  </si>
  <si>
    <t>ちゅうじゅん</t>
  </si>
  <si>
    <t>中旬[ちゅうじゅん]</t>
  </si>
  <si>
    <t>trung tuần</t>
  </si>
  <si>
    <t>六月中旬。</t>
  </si>
  <si>
    <t>Trung tuần tháng sáu.</t>
  </si>
  <si>
    <t>拝む</t>
  </si>
  <si>
    <t>おがむ</t>
  </si>
  <si>
    <t>拝[おが]む</t>
  </si>
  <si>
    <t>神に拝む。</t>
  </si>
  <si>
    <t>Cầu nguyện thần linh.</t>
  </si>
  <si>
    <t>説く</t>
  </si>
  <si>
    <t>説[と]く</t>
  </si>
  <si>
    <t>理論を説く。</t>
  </si>
  <si>
    <t>Giải thích lý thuyết.</t>
  </si>
  <si>
    <t>分解</t>
  </si>
  <si>
    <t>ぶんかい</t>
  </si>
  <si>
    <t>分解[ぶんかい]</t>
  </si>
  <si>
    <t>tháo rời</t>
  </si>
  <si>
    <t>機械を分解する。</t>
  </si>
  <si>
    <t>Tôi tháo rời máy móc.</t>
  </si>
  <si>
    <t>好き嫌い</t>
  </si>
  <si>
    <t>すききらい</t>
  </si>
  <si>
    <t>好[す]き嫌[きら]い</t>
  </si>
  <si>
    <t>kén chọn</t>
  </si>
  <si>
    <t>好き嫌いが多い。</t>
  </si>
  <si>
    <t>Tôi kén chọn ăn uống.</t>
  </si>
  <si>
    <t>文句</t>
  </si>
  <si>
    <t>もんく</t>
  </si>
  <si>
    <t>文句[もんく]</t>
  </si>
  <si>
    <t>phàn nàn</t>
  </si>
  <si>
    <t>文句を言う。</t>
  </si>
  <si>
    <t>Tôi nói lời phàn nàn.</t>
  </si>
  <si>
    <t>流行る</t>
  </si>
  <si>
    <t>はやる</t>
  </si>
  <si>
    <t>流行[はや]る</t>
  </si>
  <si>
    <t>lưu hành</t>
  </si>
  <si>
    <t>風邪が流行っている。</t>
  </si>
  <si>
    <t>Cảm cúm đang lây lan.</t>
  </si>
  <si>
    <t>疑う</t>
  </si>
  <si>
    <t>うたがう</t>
  </si>
  <si>
    <t>疑[うたが]う</t>
  </si>
  <si>
    <t>nghi ngờ</t>
  </si>
  <si>
    <t>嘘を疑う。</t>
  </si>
  <si>
    <t>Nghi ngờ lời nói dối.</t>
  </si>
  <si>
    <t>算数</t>
  </si>
  <si>
    <t>さんすう</t>
  </si>
  <si>
    <t>算数[さんすう]</t>
  </si>
  <si>
    <t>算数の宿題をする。</t>
  </si>
  <si>
    <t>Tôi làm bài tập toán.</t>
  </si>
  <si>
    <t>裁く</t>
  </si>
  <si>
    <t>さばく</t>
  </si>
  <si>
    <t>裁[さば]く</t>
  </si>
  <si>
    <t>phán xét</t>
  </si>
  <si>
    <t>罪を裁く。</t>
  </si>
  <si>
    <t>Tôi phán xét tội lỗi.</t>
  </si>
  <si>
    <t>黄色</t>
  </si>
  <si>
    <t>きいろ</t>
  </si>
  <si>
    <t>黄色[きいろ]</t>
  </si>
  <si>
    <t>花が黄色である。</t>
  </si>
  <si>
    <t>Bông hoa có màu vàng.</t>
  </si>
  <si>
    <t>入場</t>
  </si>
  <si>
    <t>にゅうじょう</t>
  </si>
  <si>
    <t>入場[にゅうじょう]</t>
  </si>
  <si>
    <t>vào cửa</t>
  </si>
  <si>
    <t>入場を許可する。</t>
  </si>
  <si>
    <t>Tôi cho phép vào cửa.</t>
  </si>
  <si>
    <t>竹</t>
  </si>
  <si>
    <t>たけ</t>
  </si>
  <si>
    <t>竹[たけ]</t>
  </si>
  <si>
    <t>tre</t>
  </si>
  <si>
    <t>竹でかごを作る。</t>
  </si>
  <si>
    <t>Tôi làm giỏ bằng tre.</t>
  </si>
  <si>
    <t>雲</t>
  </si>
  <si>
    <t>くも</t>
  </si>
  <si>
    <t>雲[くも]</t>
  </si>
  <si>
    <t>mây</t>
  </si>
  <si>
    <t>空に雲がある。</t>
  </si>
  <si>
    <t>Trên bầu trời có mây.</t>
  </si>
  <si>
    <t>遊園地</t>
  </si>
  <si>
    <t>ゆうえんち</t>
  </si>
  <si>
    <t>遊園地[ゆうえんち]</t>
  </si>
  <si>
    <t>khu vui chơi</t>
  </si>
  <si>
    <t>遊園地へ行く。</t>
  </si>
  <si>
    <t>Đi tới khu vui chơi.</t>
  </si>
  <si>
    <t>近頃</t>
  </si>
  <si>
    <t>ちかごろ</t>
  </si>
  <si>
    <t>近頃[ちかごろ]</t>
  </si>
  <si>
    <t>dạo gần đây</t>
  </si>
  <si>
    <t>近頃忙しい。</t>
  </si>
  <si>
    <t>Dạo gần đây bận rộn.</t>
  </si>
  <si>
    <t>だらしない</t>
  </si>
  <si>
    <t>luộm thuộm</t>
  </si>
  <si>
    <t>だらしない格好。</t>
  </si>
  <si>
    <t>Vẻ ngoài luộm thuộm.</t>
  </si>
  <si>
    <t>ぴかぴか</t>
  </si>
  <si>
    <t>sáng loáng</t>
  </si>
  <si>
    <t>靴がぴかぴかだ。</t>
  </si>
  <si>
    <t>Đôi giày sáng loáng.</t>
  </si>
  <si>
    <t>募集</t>
  </si>
  <si>
    <t>ぼしゅう</t>
  </si>
  <si>
    <t>募集[ぼしゅう]</t>
  </si>
  <si>
    <t>募集をかける。</t>
  </si>
  <si>
    <t>Tôi đăng tuyển dụng.</t>
  </si>
  <si>
    <t>忘れ物</t>
  </si>
  <si>
    <t>わすれもの</t>
  </si>
  <si>
    <t>忘[わす]れ物[もの]</t>
  </si>
  <si>
    <t>đồ để quên</t>
  </si>
  <si>
    <t>電車に忘れ物をする。</t>
  </si>
  <si>
    <t>Để quên đồ trên tàu.</t>
  </si>
  <si>
    <t>賢い</t>
  </si>
  <si>
    <t>かしこい</t>
  </si>
  <si>
    <t>賢[かしこ]い</t>
  </si>
  <si>
    <t>賢い選択だ。</t>
  </si>
  <si>
    <t>Lựa chọn thông minh.</t>
  </si>
  <si>
    <t>選考</t>
  </si>
  <si>
    <t>選考[せんこう]</t>
  </si>
  <si>
    <t>tuyển chọn</t>
  </si>
  <si>
    <t>学生を選考する。</t>
  </si>
  <si>
    <t>Tuyển chọn học sinh.</t>
  </si>
  <si>
    <t>ローマ字</t>
  </si>
  <si>
    <t>ろーまじ</t>
  </si>
  <si>
    <t>ローマ字[じ]</t>
  </si>
  <si>
    <t>chữ la mã</t>
  </si>
  <si>
    <t>ローマ字で書く。</t>
  </si>
  <si>
    <t>Viết bằng chữ La Mã.</t>
  </si>
  <si>
    <t>人種</t>
  </si>
  <si>
    <t>じんしゅ</t>
  </si>
  <si>
    <t>人種[じんしゅ]</t>
  </si>
  <si>
    <t>chủng tộc</t>
  </si>
  <si>
    <t>人種差別。</t>
  </si>
  <si>
    <t>Phân biệt chủng tộc.</t>
  </si>
  <si>
    <t>俳優</t>
  </si>
  <si>
    <t>はいゆう</t>
  </si>
  <si>
    <t>俳優[はいゆう]</t>
  </si>
  <si>
    <t>有名な俳優。</t>
  </si>
  <si>
    <t>年寄</t>
  </si>
  <si>
    <t>としより</t>
  </si>
  <si>
    <t>年寄[としより]</t>
  </si>
  <si>
    <t>年寄りを大切にする。</t>
  </si>
  <si>
    <t>Tôn trọng người già.</t>
  </si>
  <si>
    <t>先行</t>
  </si>
  <si>
    <t>先行[せんこう]</t>
  </si>
  <si>
    <t>先行する研究。</t>
  </si>
  <si>
    <t>Nghiên cứu đi trước.</t>
  </si>
  <si>
    <t>幾分</t>
  </si>
  <si>
    <t>いくぶん</t>
  </si>
  <si>
    <t>幾分[いくぶん]</t>
  </si>
  <si>
    <t>幾分良くなった。</t>
  </si>
  <si>
    <t>Đã tốt hơn một chút.</t>
  </si>
  <si>
    <t>徹夜</t>
  </si>
  <si>
    <t>てつや</t>
  </si>
  <si>
    <t>徹夜[てつや]</t>
  </si>
  <si>
    <t>thức đêm</t>
  </si>
  <si>
    <t>勉強で徹夜する。</t>
  </si>
  <si>
    <t>Thức đêm để học bài.</t>
  </si>
  <si>
    <t>課程</t>
  </si>
  <si>
    <t>課程[かてい]</t>
  </si>
  <si>
    <t>課程を修了する。</t>
  </si>
  <si>
    <t>Hoàn thành khóa học.</t>
  </si>
  <si>
    <t>よこす</t>
  </si>
  <si>
    <t>手紙をよこす。</t>
  </si>
  <si>
    <t>Gửi thư đến cho tôi.</t>
  </si>
  <si>
    <t>例える</t>
  </si>
  <si>
    <t>たとえる</t>
  </si>
  <si>
    <t>例[たと]える</t>
  </si>
  <si>
    <t>花に例える。</t>
  </si>
  <si>
    <t>Tôi so sánh với hoa.</t>
  </si>
  <si>
    <t>傾く</t>
  </si>
  <si>
    <t>かたむく</t>
  </si>
  <si>
    <t>傾[かたむ]く</t>
  </si>
  <si>
    <t>家が傾く。</t>
  </si>
  <si>
    <t>Ngôi nhà bị nghiêng.</t>
  </si>
  <si>
    <t>宝</t>
  </si>
  <si>
    <t>たから</t>
  </si>
  <si>
    <t>宝[たから]</t>
  </si>
  <si>
    <t>báu vật</t>
  </si>
  <si>
    <t>家族は宝だ。</t>
  </si>
  <si>
    <t>Gia đình là báu vật.</t>
  </si>
  <si>
    <t>小屋</t>
  </si>
  <si>
    <t>こや</t>
  </si>
  <si>
    <t>小屋[こや]</t>
  </si>
  <si>
    <t>túp lều</t>
  </si>
  <si>
    <t>庭に小屋を建てる。</t>
  </si>
  <si>
    <t>Dựng túp lều ở vườn.</t>
  </si>
  <si>
    <t>汚す</t>
  </si>
  <si>
    <t>よごす</t>
  </si>
  <si>
    <t>汚[よご]す</t>
  </si>
  <si>
    <t>làm bẩn</t>
  </si>
  <si>
    <t>服を汚す。</t>
  </si>
  <si>
    <t>Tôi làm bẩn quần áo.</t>
  </si>
  <si>
    <t>退ける</t>
  </si>
  <si>
    <t>どける</t>
  </si>
  <si>
    <t>退[ど]ける</t>
  </si>
  <si>
    <t>障害を退ける。</t>
  </si>
  <si>
    <t>Loại bỏ chướng ngại.</t>
  </si>
  <si>
    <t>震える</t>
  </si>
  <si>
    <t>ふるえる</t>
  </si>
  <si>
    <t>震[ふる]える</t>
  </si>
  <si>
    <t>run rẩy</t>
  </si>
  <si>
    <t>寒さで震える。</t>
  </si>
  <si>
    <t>Tôi run rẩy vì lạnh.</t>
  </si>
  <si>
    <t>大使</t>
  </si>
  <si>
    <t>たいし</t>
  </si>
  <si>
    <t>大使[たいし]</t>
  </si>
  <si>
    <t>đại sứ</t>
  </si>
  <si>
    <t>大使を任命する。</t>
  </si>
  <si>
    <t>Tôi bổ nhiệm đại sứ.</t>
  </si>
  <si>
    <t>悪魔</t>
  </si>
  <si>
    <t>あくま</t>
  </si>
  <si>
    <t>悪魔[あくま]</t>
  </si>
  <si>
    <t>ác quỷ</t>
  </si>
  <si>
    <t>悪魔のような心。</t>
  </si>
  <si>
    <t>Trái tim như ác quỷ.</t>
  </si>
  <si>
    <t>貧しい</t>
  </si>
  <si>
    <t>まずしい</t>
  </si>
  <si>
    <t>貧[まず]しい</t>
  </si>
  <si>
    <t>貧しい暮らしだ。</t>
  </si>
  <si>
    <t>Cuộc sống nghèo khó.</t>
  </si>
  <si>
    <t>縫う</t>
  </si>
  <si>
    <t>ぬう</t>
  </si>
  <si>
    <t>縫[ぬ]う</t>
  </si>
  <si>
    <t>khâu</t>
  </si>
  <si>
    <t>傷口を縫う。</t>
  </si>
  <si>
    <t>Tôi khâu vết thương.</t>
  </si>
  <si>
    <t>ジャム</t>
  </si>
  <si>
    <t>mứt</t>
  </si>
  <si>
    <t>パンにジャムを塗ります。</t>
  </si>
  <si>
    <t>Tôi bôi mứt lên bánh mì.</t>
  </si>
  <si>
    <t>送料</t>
  </si>
  <si>
    <t>そうりょう</t>
  </si>
  <si>
    <t>送料[そうりょう]</t>
  </si>
  <si>
    <t>phí vận chuyển</t>
  </si>
  <si>
    <t>送料を払う。</t>
  </si>
  <si>
    <t>Trả phí vận chuyển.</t>
  </si>
  <si>
    <t>キャプテン</t>
  </si>
  <si>
    <t>きゃぷてん</t>
  </si>
  <si>
    <t>đội trưởng</t>
  </si>
  <si>
    <t>チームのキャプテン。</t>
  </si>
  <si>
    <t>Đội trưởng của đội.</t>
  </si>
  <si>
    <t>加減</t>
  </si>
  <si>
    <t>かげん</t>
  </si>
  <si>
    <t>加減[かげん]</t>
  </si>
  <si>
    <t>火を加減する。</t>
  </si>
  <si>
    <t>Tôi điều chỉnh lửa.</t>
  </si>
  <si>
    <t>平ら</t>
  </si>
  <si>
    <t>たいら</t>
  </si>
  <si>
    <t>平[たい]ら</t>
  </si>
  <si>
    <t>bằng phẳng</t>
  </si>
  <si>
    <t>平らな地面。</t>
  </si>
  <si>
    <t>Mặt đất bằng phẳng.</t>
  </si>
  <si>
    <t>弱める</t>
  </si>
  <si>
    <t>よわめる</t>
  </si>
  <si>
    <t>弱[よわ]める</t>
  </si>
  <si>
    <t>làm yếu đi</t>
  </si>
  <si>
    <t>火力を弱める。</t>
  </si>
  <si>
    <t>Giảm bớt nhiệt lửa.</t>
  </si>
  <si>
    <t>そうっと</t>
  </si>
  <si>
    <t>nhẹ nhàng</t>
  </si>
  <si>
    <t>そうっとドアを閉める。</t>
  </si>
  <si>
    <t>Đóng cửa nhẹ nhàng.</t>
  </si>
  <si>
    <t>分類</t>
  </si>
  <si>
    <t>ぶんるい</t>
  </si>
  <si>
    <t>分類[ぶんるい]</t>
  </si>
  <si>
    <t>phân loại</t>
  </si>
  <si>
    <t>本を分類する。</t>
  </si>
  <si>
    <t>Tôi phân loại sách.</t>
  </si>
  <si>
    <t>行方</t>
  </si>
  <si>
    <t>ゆくえ</t>
  </si>
  <si>
    <t>行方[ゆくえ]</t>
  </si>
  <si>
    <t>tung tích</t>
  </si>
  <si>
    <t>行方不明。</t>
  </si>
  <si>
    <t>Tung tích không rõ.</t>
  </si>
  <si>
    <t>先端</t>
  </si>
  <si>
    <t>せんたん</t>
  </si>
  <si>
    <t>先端[せんたん]</t>
  </si>
  <si>
    <t>mũi nhọn</t>
  </si>
  <si>
    <t>先端の技術。</t>
  </si>
  <si>
    <t>Công nghệ mũi nhọn.</t>
  </si>
  <si>
    <t>平仮名</t>
  </si>
  <si>
    <t>ひらがな</t>
  </si>
  <si>
    <t>平仮名[ひらがな]</t>
  </si>
  <si>
    <t>hiragana</t>
  </si>
  <si>
    <t>平仮名で書く。</t>
  </si>
  <si>
    <t>Viết bằng hiragana.</t>
  </si>
  <si>
    <t>賭ける</t>
  </si>
  <si>
    <t>賭[か]ける</t>
  </si>
  <si>
    <t>đặt cược</t>
  </si>
  <si>
    <t>命を賭ける。</t>
  </si>
  <si>
    <t>Đặt cược mạng sống.</t>
  </si>
  <si>
    <t>退屈</t>
  </si>
  <si>
    <t>たいくつ</t>
  </si>
  <si>
    <t>退屈[たいくつ]</t>
  </si>
  <si>
    <t>chán nản</t>
  </si>
  <si>
    <t>退屈な時間だ。</t>
  </si>
  <si>
    <t>Thời gian chán nản.</t>
  </si>
  <si>
    <t>悔やむ</t>
  </si>
  <si>
    <t>くやむ</t>
  </si>
  <si>
    <t>悔[く]やむ</t>
  </si>
  <si>
    <t>過去を悔やむ。</t>
  </si>
  <si>
    <t>Hối hận về quá khứ.</t>
  </si>
  <si>
    <t>矢印</t>
  </si>
  <si>
    <t>やじるし</t>
  </si>
  <si>
    <t>矢印[やじるし]</t>
  </si>
  <si>
    <t>mũi tên</t>
  </si>
  <si>
    <t>矢印の方向へ。</t>
  </si>
  <si>
    <t>Theo hướng mũi tên.</t>
  </si>
  <si>
    <t>学期</t>
  </si>
  <si>
    <t>がっき</t>
  </si>
  <si>
    <t>学期[がっき]</t>
  </si>
  <si>
    <t>học kỳ</t>
  </si>
  <si>
    <t>新学期が始まる。</t>
  </si>
  <si>
    <t>Học kỳ mới bắt đầu.</t>
  </si>
  <si>
    <t>善</t>
  </si>
  <si>
    <t>ぜん</t>
  </si>
  <si>
    <t>善[ぜん]</t>
  </si>
  <si>
    <t>thiện</t>
  </si>
  <si>
    <t>善を行う。</t>
  </si>
  <si>
    <t>Tôi làm việc thiện.</t>
  </si>
  <si>
    <t>泳ぐ</t>
  </si>
  <si>
    <t>およぐ</t>
  </si>
  <si>
    <t>泳[およ]ぐ</t>
  </si>
  <si>
    <t>bơi</t>
  </si>
  <si>
    <t>海で泳ぐのは楽しい。</t>
  </si>
  <si>
    <t>Bơi ở biển rất vui.</t>
  </si>
  <si>
    <t>詩</t>
  </si>
  <si>
    <t>詩[し]</t>
  </si>
  <si>
    <t>thơ</t>
  </si>
  <si>
    <t>詩を暗記する。</t>
  </si>
  <si>
    <t>Học thuộc lòng thơ.</t>
  </si>
  <si>
    <t>誓う</t>
  </si>
  <si>
    <t>ちかう</t>
  </si>
  <si>
    <t>誓[ちか]う</t>
  </si>
  <si>
    <t>thề</t>
  </si>
  <si>
    <t>永遠を誓う。</t>
  </si>
  <si>
    <t>Thề nguyện mãi mãi.</t>
  </si>
  <si>
    <t>直前</t>
  </si>
  <si>
    <t>ちょくぜん</t>
  </si>
  <si>
    <t>直前[ちょくぜん]</t>
  </si>
  <si>
    <t>ngay trước</t>
  </si>
  <si>
    <t>試験の直前。</t>
  </si>
  <si>
    <t>Ngay trước kỳ thi.</t>
  </si>
  <si>
    <t>連想</t>
  </si>
  <si>
    <t>れんそう</t>
  </si>
  <si>
    <t>連想[れんそう]</t>
  </si>
  <si>
    <t>liên tưởng</t>
  </si>
  <si>
    <t>言葉を連想する。</t>
  </si>
  <si>
    <t>Liên tưởng từ ngữ.</t>
  </si>
  <si>
    <t>交ざる</t>
  </si>
  <si>
    <t>まざる</t>
  </si>
  <si>
    <t>交[ま]ざる</t>
  </si>
  <si>
    <t>được trộn</t>
  </si>
  <si>
    <t>色が交ざる。</t>
  </si>
  <si>
    <t>Màu sắc được trộn.</t>
  </si>
  <si>
    <t>免許</t>
  </si>
  <si>
    <t>めんきょ</t>
  </si>
  <si>
    <t>免許[めんきょ]</t>
  </si>
  <si>
    <t>giấy phép</t>
  </si>
  <si>
    <t>免許を取得する。</t>
  </si>
  <si>
    <t>Tôi lấy giấy phép.</t>
  </si>
  <si>
    <t>単なる</t>
  </si>
  <si>
    <t>たんなる</t>
  </si>
  <si>
    <t>単[たん]なる</t>
  </si>
  <si>
    <t>đơn thuần</t>
  </si>
  <si>
    <t>単なる冗談。</t>
  </si>
  <si>
    <t>Lời đùa đơn thuần.</t>
  </si>
  <si>
    <t>裸</t>
  </si>
  <si>
    <t>はだか</t>
  </si>
  <si>
    <t>裸[はだか]</t>
  </si>
  <si>
    <t>khỏa thân</t>
  </si>
  <si>
    <t>裸で泳ぐ。</t>
  </si>
  <si>
    <t>Tôi bơi khỏa thân.</t>
  </si>
  <si>
    <t>起源</t>
  </si>
  <si>
    <t>起源[きげん]</t>
  </si>
  <si>
    <t>起源を調べる。</t>
  </si>
  <si>
    <t>Tra cứu nguồn gốc.</t>
  </si>
  <si>
    <t>しゃがむ</t>
  </si>
  <si>
    <t>ngồi xổm</t>
  </si>
  <si>
    <t>床にしゃがむ。</t>
  </si>
  <si>
    <t>Ngồi xổm trên sàn.</t>
  </si>
  <si>
    <t>またぐ</t>
  </si>
  <si>
    <t>bước qua</t>
  </si>
  <si>
    <t>溝をまたぐ。</t>
  </si>
  <si>
    <t>Bước qua cái rãnh.</t>
  </si>
  <si>
    <t>交じる</t>
  </si>
  <si>
    <t>まじる</t>
  </si>
  <si>
    <t>交[ま]じる</t>
  </si>
  <si>
    <t>混じりけがない。</t>
  </si>
  <si>
    <t>Không có tạp chất.</t>
  </si>
  <si>
    <t>休業</t>
  </si>
  <si>
    <t>きゅうぎょう</t>
  </si>
  <si>
    <t>休業[きゅうぎょう]</t>
  </si>
  <si>
    <t>đóng cửa</t>
  </si>
  <si>
    <t>店を休業する。</t>
  </si>
  <si>
    <t>Cửa hàng đóng cửa.</t>
  </si>
  <si>
    <t>夫妻</t>
  </si>
  <si>
    <t>夫妻[ふさい]</t>
  </si>
  <si>
    <t>佐藤夫妻。</t>
  </si>
  <si>
    <t>Vợ chồng ông Sato.</t>
  </si>
  <si>
    <t>実習</t>
  </si>
  <si>
    <t>じっしゅう</t>
  </si>
  <si>
    <t>実習[じっしゅう]</t>
  </si>
  <si>
    <t>thực tập</t>
  </si>
  <si>
    <t>教育実習。</t>
  </si>
  <si>
    <t>Thực tập giáo dục.</t>
  </si>
  <si>
    <t>小鳥</t>
  </si>
  <si>
    <t>ことり</t>
  </si>
  <si>
    <t>小鳥[ことり]</t>
  </si>
  <si>
    <t>chim nhỏ</t>
  </si>
  <si>
    <t>小鳥が鳴いている。</t>
  </si>
  <si>
    <t>Chim nhỏ đang hót.</t>
  </si>
  <si>
    <t>慌ただしい</t>
  </si>
  <si>
    <t>あわただしい</t>
  </si>
  <si>
    <t>慌[あわ]ただしい</t>
  </si>
  <si>
    <t>慌ただしい毎日。</t>
  </si>
  <si>
    <t>Mỗi ngày vội vàng.</t>
  </si>
  <si>
    <t>現金</t>
  </si>
  <si>
    <t>げんきん</t>
  </si>
  <si>
    <t>現金[げんきん]</t>
  </si>
  <si>
    <t>tiền mặt</t>
  </si>
  <si>
    <t>現金で払う。</t>
  </si>
  <si>
    <t>Trả bằng tiền mặt.</t>
  </si>
  <si>
    <t>虫歯</t>
  </si>
  <si>
    <t>むしば</t>
  </si>
  <si>
    <t>虫歯[むしば]</t>
  </si>
  <si>
    <t>sâu răng</t>
  </si>
  <si>
    <t>虫歯を治す。</t>
  </si>
  <si>
    <t>Tôi chữa sâu răng.</t>
  </si>
  <si>
    <t>贈り物</t>
  </si>
  <si>
    <t>おくりもの</t>
  </si>
  <si>
    <t>贈[おく]り物[もの]</t>
  </si>
  <si>
    <t>贈り物を準備する。</t>
  </si>
  <si>
    <t>Chuẩn bị quà tặng.</t>
  </si>
  <si>
    <t>農民</t>
  </si>
  <si>
    <t>のうみん</t>
  </si>
  <si>
    <t>農民[のうみん]</t>
  </si>
  <si>
    <t>農民が働く。</t>
  </si>
  <si>
    <t>Nông dân làm việc.</t>
  </si>
  <si>
    <t>適度</t>
  </si>
  <si>
    <t>てきど</t>
  </si>
  <si>
    <t>適度[てきど]</t>
  </si>
  <si>
    <t>vừa phải</t>
  </si>
  <si>
    <t>適度な運動だ。</t>
  </si>
  <si>
    <t>Vận động vừa phải.</t>
  </si>
  <si>
    <t>ふわふわ</t>
  </si>
  <si>
    <t>mềm mại</t>
  </si>
  <si>
    <t>枕がふわふわだ。</t>
  </si>
  <si>
    <t>Chiếc gối mềm mại.</t>
  </si>
  <si>
    <t>上達</t>
  </si>
  <si>
    <t>じょうたつ</t>
  </si>
  <si>
    <t>上達[じょうたつ]</t>
  </si>
  <si>
    <t>英語が上達する。</t>
  </si>
  <si>
    <t>Tiếng Anh tiến bộ.</t>
  </si>
  <si>
    <t>別れ</t>
  </si>
  <si>
    <t>わかれ</t>
  </si>
  <si>
    <t>別[わか]れ</t>
  </si>
  <si>
    <t>chia ly</t>
  </si>
  <si>
    <t>別れを告げる。</t>
  </si>
  <si>
    <t>Tôi chào tạm biệt.</t>
  </si>
  <si>
    <t>思いっ切り</t>
  </si>
  <si>
    <t>おもいっきり</t>
  </si>
  <si>
    <t>思[おも]いっ切[き]り</t>
  </si>
  <si>
    <t>思いっ切り遊ぶ。</t>
  </si>
  <si>
    <t>Chơi hết sức mình.</t>
  </si>
  <si>
    <t>現す</t>
  </si>
  <si>
    <t>現[あらわ]す</t>
  </si>
  <si>
    <t>lộ diện</t>
  </si>
  <si>
    <t>姿を現す。</t>
  </si>
  <si>
    <t>Lộ diện bóng dáng.</t>
  </si>
  <si>
    <t>過失</t>
  </si>
  <si>
    <t>かしつ</t>
  </si>
  <si>
    <t>過失[かしつ]</t>
  </si>
  <si>
    <t>lỗi lầm</t>
  </si>
  <si>
    <t>過失を認める。</t>
  </si>
  <si>
    <t>Công nhận lỗi lầm.</t>
  </si>
  <si>
    <t>エプロン</t>
  </si>
  <si>
    <t>えぷろん</t>
  </si>
  <si>
    <t>tạp dề</t>
  </si>
  <si>
    <t>エプロンをして料理する。</t>
  </si>
  <si>
    <t>Đeo tạp dề nấu ăn.</t>
  </si>
  <si>
    <t>万一</t>
  </si>
  <si>
    <t>まんいち</t>
  </si>
  <si>
    <t>万一[まんいち]</t>
  </si>
  <si>
    <t>lỡ như</t>
  </si>
  <si>
    <t>万一の場合。</t>
  </si>
  <si>
    <t>Trường hợp lỡ như.</t>
  </si>
  <si>
    <t>胃</t>
  </si>
  <si>
    <t>胃[い]</t>
  </si>
  <si>
    <t>dạ dày</t>
  </si>
  <si>
    <t>胃が痛い。</t>
  </si>
  <si>
    <t>Tôi bị đau dạ dày.</t>
  </si>
  <si>
    <t>身分</t>
  </si>
  <si>
    <t>みぶん</t>
  </si>
  <si>
    <t>身分[みぶん]</t>
  </si>
  <si>
    <t>身分を証明する。</t>
  </si>
  <si>
    <t>Chứng minh địa vị.</t>
  </si>
  <si>
    <t>けち</t>
  </si>
  <si>
    <t>ki bo</t>
  </si>
  <si>
    <t>彼はけちだ。</t>
  </si>
  <si>
    <t>Anh ấy thật ki bo.</t>
  </si>
  <si>
    <t>印刷</t>
  </si>
  <si>
    <t>いんさつ</t>
  </si>
  <si>
    <t>印刷[いんさつ]</t>
  </si>
  <si>
    <t>in ấn</t>
  </si>
  <si>
    <t>文書を印刷する。</t>
  </si>
  <si>
    <t>Tôi in ấn văn bản.</t>
  </si>
  <si>
    <t>浅い</t>
  </si>
  <si>
    <t>あさい</t>
  </si>
  <si>
    <t>浅[あさ]い</t>
  </si>
  <si>
    <t>nông</t>
  </si>
  <si>
    <t>この川は浅い。</t>
  </si>
  <si>
    <t>Con sông này nông.</t>
  </si>
  <si>
    <t>丘</t>
  </si>
  <si>
    <t>おか</t>
  </si>
  <si>
    <t>丘[おか]</t>
  </si>
  <si>
    <t>đồi</t>
  </si>
  <si>
    <t>丘を越える。</t>
  </si>
  <si>
    <t>Vượt qua ngọn đồi.</t>
  </si>
  <si>
    <t>スリッパ</t>
  </si>
  <si>
    <t>すりっぱ</t>
  </si>
  <si>
    <t>dép đi trong nhà</t>
  </si>
  <si>
    <t>スリッパを履く。</t>
  </si>
  <si>
    <t>Đi dép trong nhà.</t>
  </si>
  <si>
    <t>心当たり</t>
  </si>
  <si>
    <t>こころあたり</t>
  </si>
  <si>
    <t>心当[こころあ]たり</t>
  </si>
  <si>
    <t>nhớ mang máng</t>
  </si>
  <si>
    <t>心当たりがある。</t>
  </si>
  <si>
    <t>Có chút manh mối.</t>
  </si>
  <si>
    <t>ワイシャツ</t>
  </si>
  <si>
    <t>わいしゃつ</t>
  </si>
  <si>
    <t>áo sơ mi nam</t>
  </si>
  <si>
    <t>ワイシャツを着る。</t>
  </si>
  <si>
    <t>Mặc áo sơ mi nam.</t>
  </si>
  <si>
    <t>語学</t>
  </si>
  <si>
    <t>ごがく</t>
  </si>
  <si>
    <t>語学[ごがく]</t>
  </si>
  <si>
    <t>ngôn ngữ học</t>
  </si>
  <si>
    <t>語学を勉強する。</t>
  </si>
  <si>
    <t>Học ngôn ngữ học.</t>
  </si>
  <si>
    <t>賞金</t>
  </si>
  <si>
    <t>しょうきん</t>
  </si>
  <si>
    <t>賞金[しょうきん]</t>
  </si>
  <si>
    <t>tiền thưởng</t>
  </si>
  <si>
    <t>賞金を獲得する。</t>
  </si>
  <si>
    <t>Nhận tiền thưởng.</t>
  </si>
  <si>
    <t>通ずる</t>
  </si>
  <si>
    <t>つうずる</t>
  </si>
  <si>
    <t>通[つう]ずる</t>
  </si>
  <si>
    <t>thông hiểu</t>
  </si>
  <si>
    <t>心が通ずる。</t>
  </si>
  <si>
    <t>Thông hiểu tâm ý.</t>
  </si>
  <si>
    <t>うがい</t>
  </si>
  <si>
    <t>súc miệng</t>
  </si>
  <si>
    <t>帰宅してうがいをする。</t>
  </si>
  <si>
    <t>Về nhà súc miệng.</t>
  </si>
  <si>
    <t>論争</t>
  </si>
  <si>
    <t>ろんそう</t>
  </si>
  <si>
    <t>論争[ろんそう]</t>
  </si>
  <si>
    <t>tranh cãi</t>
  </si>
  <si>
    <t>論争が起きる。</t>
  </si>
  <si>
    <t>Xảy ra tranh cãi.</t>
  </si>
  <si>
    <t>やっつける</t>
  </si>
  <si>
    <t>đánh bại</t>
  </si>
  <si>
    <t>敵をやっつける。</t>
  </si>
  <si>
    <t>Đánh bại kẻ địch.</t>
  </si>
  <si>
    <t>ユーモア</t>
  </si>
  <si>
    <t>ゆーもあ</t>
  </si>
  <si>
    <t>hài hước</t>
  </si>
  <si>
    <t>ユーモアがある。</t>
  </si>
  <si>
    <t>Có tính hài hước.</t>
  </si>
  <si>
    <t>不平</t>
  </si>
  <si>
    <t>ふへい</t>
  </si>
  <si>
    <t>不平[ふへい]</t>
  </si>
  <si>
    <t>bất bình</t>
  </si>
  <si>
    <t>不平を言う。</t>
  </si>
  <si>
    <t>Nói lời bất bình.</t>
  </si>
  <si>
    <t>家事</t>
  </si>
  <si>
    <t>かじ</t>
  </si>
  <si>
    <t>家事[かじ]</t>
  </si>
  <si>
    <t>việc nhà</t>
  </si>
  <si>
    <t>家事をする。</t>
  </si>
  <si>
    <t>Tôi làm việc nhà.</t>
  </si>
  <si>
    <t>犯人</t>
  </si>
  <si>
    <t>はんにん</t>
  </si>
  <si>
    <t>犯人[はんにん]</t>
  </si>
  <si>
    <t>犯人を捕まえる。</t>
  </si>
  <si>
    <t>追い越す</t>
  </si>
  <si>
    <t>おいこす</t>
  </si>
  <si>
    <t>追[お]い越[こ]す</t>
  </si>
  <si>
    <t>車を追い越す。</t>
  </si>
  <si>
    <t>Vượt qua xe ô tô.</t>
  </si>
  <si>
    <t>作文</t>
  </si>
  <si>
    <t>さくぶん</t>
  </si>
  <si>
    <t>作文[さくぶん]</t>
  </si>
  <si>
    <t>bài văn</t>
  </si>
  <si>
    <t>作文を書く。</t>
  </si>
  <si>
    <t>Tôi viết bài văn.</t>
  </si>
  <si>
    <t>特殊</t>
  </si>
  <si>
    <t>とくしゅ</t>
  </si>
  <si>
    <t>特殊[とくしゅ]</t>
  </si>
  <si>
    <t>đặc thù</t>
  </si>
  <si>
    <t>特殊な技術。</t>
  </si>
  <si>
    <t>Kỹ thuật đặc thù.</t>
  </si>
  <si>
    <t>癌</t>
  </si>
  <si>
    <t>がん</t>
  </si>
  <si>
    <t>癌[がん]</t>
  </si>
  <si>
    <t>ung thư</t>
  </si>
  <si>
    <t>癌を治療する。</t>
  </si>
  <si>
    <t>Điều trị ung thư.</t>
  </si>
  <si>
    <t>衣料</t>
  </si>
  <si>
    <t>衣料[いりょう]</t>
  </si>
  <si>
    <t>衣料品店。</t>
  </si>
  <si>
    <t>Cửa hàng quần áo.</t>
  </si>
  <si>
    <t>貸し</t>
  </si>
  <si>
    <t>貸[か]し</t>
  </si>
  <si>
    <t>cho vay</t>
  </si>
  <si>
    <t>貸しを作る。</t>
  </si>
  <si>
    <t>Tạo ra khoản vay.</t>
  </si>
  <si>
    <t>塞がる</t>
  </si>
  <si>
    <t>ふさがる</t>
  </si>
  <si>
    <t>塞[ふさ]がる</t>
  </si>
  <si>
    <t>道が塞がる。</t>
  </si>
  <si>
    <t>Con đường bị tắc.</t>
  </si>
  <si>
    <t>贅沢</t>
  </si>
  <si>
    <t>ぜいたく</t>
  </si>
  <si>
    <t>贅沢[ぜいたく]</t>
  </si>
  <si>
    <t>xa hoa</t>
  </si>
  <si>
    <t>贅沢な暮らしだ。</t>
  </si>
  <si>
    <t>Cuộc sống xa hoa.</t>
  </si>
  <si>
    <t>滑る</t>
  </si>
  <si>
    <t>すべる</t>
  </si>
  <si>
    <t>滑[すべ]る</t>
  </si>
  <si>
    <t>trượt</t>
  </si>
  <si>
    <t>雪で滑る。</t>
  </si>
  <si>
    <t>Trượt trên tuyết.</t>
  </si>
  <si>
    <t>注ぐ</t>
  </si>
  <si>
    <t>そそぐ</t>
  </si>
  <si>
    <t>注[そそ]ぐ</t>
  </si>
  <si>
    <t>rót</t>
  </si>
  <si>
    <t>コップに水を注ぐ。</t>
  </si>
  <si>
    <t>Rót nước vào cốc.</t>
  </si>
  <si>
    <t>急行</t>
  </si>
  <si>
    <t>きゅうこう</t>
  </si>
  <si>
    <t>急行[きゅうこう]</t>
  </si>
  <si>
    <t>tàu tốc hành</t>
  </si>
  <si>
    <t>急行に乗る。</t>
  </si>
  <si>
    <t>Đi tàu tốc hành.</t>
  </si>
  <si>
    <t>ブラウス</t>
  </si>
  <si>
    <t>ぶらうす</t>
  </si>
  <si>
    <t>áo sơ mi nữ</t>
  </si>
  <si>
    <t>ブラウスを買う。</t>
  </si>
  <si>
    <t>Mua áo sơ mi nữ.</t>
  </si>
  <si>
    <t>ボーイ</t>
  </si>
  <si>
    <t>ぼーい</t>
  </si>
  <si>
    <t>nam phục vụ</t>
  </si>
  <si>
    <t>ボーイを呼ぶ。</t>
  </si>
  <si>
    <t>Gọi nam phục vụ.</t>
  </si>
  <si>
    <t>進学</t>
  </si>
  <si>
    <t>しんがく</t>
  </si>
  <si>
    <t>進学[しんがく]</t>
  </si>
  <si>
    <t>học lên cao</t>
  </si>
  <si>
    <t>大学に進学する。</t>
  </si>
  <si>
    <t>Học lên đại học.</t>
  </si>
  <si>
    <t>スケート</t>
  </si>
  <si>
    <t>すけーと</t>
  </si>
  <si>
    <t>trượt băng</t>
  </si>
  <si>
    <t>スケートをする。</t>
  </si>
  <si>
    <t>Chơi trượt băng.</t>
  </si>
  <si>
    <t>バイオリン</t>
  </si>
  <si>
    <t>ばいおりん</t>
  </si>
  <si>
    <t>đàn vĩ cầm</t>
  </si>
  <si>
    <t>バイオリンを弾く。</t>
  </si>
  <si>
    <t>Chơi đàn vĩ cầm.</t>
  </si>
  <si>
    <t>透明</t>
  </si>
  <si>
    <t>とうめい</t>
  </si>
  <si>
    <t>透明[とうめい]</t>
  </si>
  <si>
    <t>trong suốt</t>
  </si>
  <si>
    <t>透明なガラス。</t>
  </si>
  <si>
    <t>Kính trong suốt.</t>
  </si>
  <si>
    <t>交差</t>
  </si>
  <si>
    <t>こうさ</t>
  </si>
  <si>
    <t>交差[こうさ]</t>
  </si>
  <si>
    <t>線が交差する。</t>
  </si>
  <si>
    <t>Đường giao nhau.</t>
  </si>
  <si>
    <t>不自由</t>
  </si>
  <si>
    <t>ふじゆう</t>
  </si>
  <si>
    <t>不自由[ふじゆう]</t>
  </si>
  <si>
    <t>体が不自由だ。</t>
  </si>
  <si>
    <t>Cơ thể bất tiện.</t>
  </si>
  <si>
    <t>慣行</t>
  </si>
  <si>
    <t>慣行[かんこう]</t>
  </si>
  <si>
    <t>昔からの慣行。</t>
  </si>
  <si>
    <t>Tập quán từ xưa.</t>
  </si>
  <si>
    <t>直後</t>
  </si>
  <si>
    <t>ちょくご</t>
  </si>
  <si>
    <t>直後[ちょくご]</t>
  </si>
  <si>
    <t>ngay sau</t>
  </si>
  <si>
    <t>食事の直後。</t>
  </si>
  <si>
    <t>Ngay sau bữa ăn.</t>
  </si>
  <si>
    <t>花火</t>
  </si>
  <si>
    <t>はなび</t>
  </si>
  <si>
    <t>花火[はなび]</t>
  </si>
  <si>
    <t>pháo hoa</t>
  </si>
  <si>
    <t>花火大会。</t>
  </si>
  <si>
    <t>Lễ hội pháo hoa.</t>
  </si>
  <si>
    <t>近寄る</t>
  </si>
  <si>
    <t>ちかよる</t>
  </si>
  <si>
    <t>近寄[ちかよ]る</t>
  </si>
  <si>
    <t>窓に近寄る。</t>
  </si>
  <si>
    <t>Tiếp cận cửa sổ.</t>
  </si>
  <si>
    <t>逃がす</t>
  </si>
  <si>
    <t>にがす</t>
  </si>
  <si>
    <t>逃[に]がす</t>
  </si>
  <si>
    <t>để thoát</t>
  </si>
  <si>
    <t>魚を逃がす。</t>
  </si>
  <si>
    <t>Để con cá thoát.</t>
  </si>
  <si>
    <t>借金</t>
  </si>
  <si>
    <t>しゃっきん</t>
  </si>
  <si>
    <t>借金[しゃっきん]</t>
  </si>
  <si>
    <t>nợ tiền</t>
  </si>
  <si>
    <t>借金を返す。</t>
  </si>
  <si>
    <t>Tôi trả nợ tiền.</t>
  </si>
  <si>
    <t>悲劇</t>
  </si>
  <si>
    <t>ひげき</t>
  </si>
  <si>
    <t>悲劇[ひげき]</t>
  </si>
  <si>
    <t>bi kịch</t>
  </si>
  <si>
    <t>悲劇的な最後。</t>
  </si>
  <si>
    <t>Cái kết bi kịch.</t>
  </si>
  <si>
    <t>片付ける</t>
  </si>
  <si>
    <t>かたづける</t>
  </si>
  <si>
    <t>片付[かたづ]ける</t>
  </si>
  <si>
    <t>本を片付ける。</t>
  </si>
  <si>
    <t>Dọn dẹp sách vở.</t>
  </si>
  <si>
    <t>疲れ</t>
  </si>
  <si>
    <t>つかれ</t>
  </si>
  <si>
    <t>疲[つか]れ</t>
  </si>
  <si>
    <t>疲れをとる。</t>
  </si>
  <si>
    <t>Xua tan mệt mỏi.</t>
  </si>
  <si>
    <t>茶色い</t>
  </si>
  <si>
    <t>ちゃいろい</t>
  </si>
  <si>
    <t>茶色[ちゃ]い</t>
  </si>
  <si>
    <t>màu nâu</t>
  </si>
  <si>
    <t>茶色い犬。</t>
  </si>
  <si>
    <t>Con chó màu nâu.</t>
  </si>
  <si>
    <t>見出し</t>
  </si>
  <si>
    <t>みだし</t>
  </si>
  <si>
    <t>見出[みだ]し</t>
  </si>
  <si>
    <t>見出しを付ける。</t>
  </si>
  <si>
    <t>Tôi đặt tiêu đề.</t>
  </si>
  <si>
    <t>見掛ける</t>
  </si>
  <si>
    <t>みかける</t>
  </si>
  <si>
    <t>見掛[みか]ける</t>
  </si>
  <si>
    <t>bắt gặp</t>
  </si>
  <si>
    <t>友人を見かける。</t>
  </si>
  <si>
    <t>Tôi bắt gặp bạn.</t>
  </si>
  <si>
    <t>規律</t>
  </si>
  <si>
    <t>きりつ</t>
  </si>
  <si>
    <t>規律[きりつ]</t>
  </si>
  <si>
    <t>kỷ luật</t>
  </si>
  <si>
    <t>規律を保つ。</t>
  </si>
  <si>
    <t>Tôi giữ kỷ luật.</t>
  </si>
  <si>
    <t>転がす</t>
  </si>
  <si>
    <t>ころがす</t>
  </si>
  <si>
    <t>転[ころ]がす</t>
  </si>
  <si>
    <t>làm lăn</t>
  </si>
  <si>
    <t>石を転がす。</t>
  </si>
  <si>
    <t>Làm lăn viên đá.</t>
  </si>
  <si>
    <t>偉い</t>
  </si>
  <si>
    <t>えらい</t>
  </si>
  <si>
    <t>偉[えら]い</t>
  </si>
  <si>
    <t>vĩ đại</t>
  </si>
  <si>
    <t>偉い人物。</t>
  </si>
  <si>
    <t>Nhân vật vĩ đại.</t>
  </si>
  <si>
    <t>通学</t>
  </si>
  <si>
    <t>つうがく</t>
  </si>
  <si>
    <t>通学[つうがく]</t>
  </si>
  <si>
    <t>đi học</t>
  </si>
  <si>
    <t>通学する生徒。</t>
  </si>
  <si>
    <t>Học sinh đi học.</t>
  </si>
  <si>
    <t>優秀</t>
  </si>
  <si>
    <t>ゆうしゅう</t>
  </si>
  <si>
    <t>優秀[ゆうしゅう]</t>
  </si>
  <si>
    <t>ưu tú</t>
  </si>
  <si>
    <t>優秀な学生。</t>
  </si>
  <si>
    <t>Sinh viên ưu tú.</t>
  </si>
  <si>
    <t>駐車</t>
  </si>
  <si>
    <t>ちゅうしゃ</t>
  </si>
  <si>
    <t>駐車[ちゅうしゃ]</t>
  </si>
  <si>
    <t>đỗ xe</t>
  </si>
  <si>
    <t>ここに駐車する。</t>
  </si>
  <si>
    <t>Tôi đỗ xe ở đây.</t>
  </si>
  <si>
    <t>フライパン</t>
  </si>
  <si>
    <t>ふらいぱん</t>
  </si>
  <si>
    <t>chảo</t>
  </si>
  <si>
    <t>フライパンで焼く。</t>
  </si>
  <si>
    <t>Chiên bằng chảo.</t>
  </si>
  <si>
    <t>強盗</t>
  </si>
  <si>
    <t>ごうとう</t>
  </si>
  <si>
    <t>強盗[ごうとう]</t>
  </si>
  <si>
    <t>強盗が逃げる。</t>
  </si>
  <si>
    <t>Kẻ cướp bỏ chạy.</t>
  </si>
  <si>
    <t>腐る</t>
  </si>
  <si>
    <t>くさる</t>
  </si>
  <si>
    <t>腐[くさ]る</t>
  </si>
  <si>
    <t>thối</t>
  </si>
  <si>
    <t>食べ物が腐る。</t>
  </si>
  <si>
    <t>Thức ăn bị thối.</t>
  </si>
  <si>
    <t>つまずく</t>
  </si>
  <si>
    <t>vấp</t>
  </si>
  <si>
    <t>石につまずく。</t>
  </si>
  <si>
    <t>Vấp phải hòn đá.</t>
  </si>
  <si>
    <t>友</t>
  </si>
  <si>
    <t>とも</t>
  </si>
  <si>
    <t>友[とも]</t>
  </si>
  <si>
    <t>友を助ける。</t>
  </si>
  <si>
    <t>唯</t>
  </si>
  <si>
    <t>唯[ただ]</t>
  </si>
  <si>
    <t>唯、それだけだ。</t>
  </si>
  <si>
    <t>Chỉ thế mà thôi.</t>
  </si>
  <si>
    <t>圧縮</t>
  </si>
  <si>
    <t>あっしゅく</t>
  </si>
  <si>
    <t>圧縮[あっしゅく]</t>
  </si>
  <si>
    <t>nén</t>
  </si>
  <si>
    <t>ファイルを圧縮する。</t>
  </si>
  <si>
    <t>Tôi nén tập tin.</t>
  </si>
  <si>
    <t>箸</t>
  </si>
  <si>
    <t>箸[はし]</t>
  </si>
  <si>
    <t>đũa</t>
  </si>
  <si>
    <t>箸で食べる。</t>
  </si>
  <si>
    <t>Tôi ăn bằng đũa.</t>
  </si>
  <si>
    <t>墓</t>
  </si>
  <si>
    <t>はか</t>
  </si>
  <si>
    <t>墓[はか]</t>
  </si>
  <si>
    <t>mộ</t>
  </si>
  <si>
    <t>墓にお参りする。</t>
  </si>
  <si>
    <t>Tôi đi viếng mộ.</t>
  </si>
  <si>
    <t>症状</t>
  </si>
  <si>
    <t>しょうじょう</t>
  </si>
  <si>
    <t>症状[しょうじょう]</t>
  </si>
  <si>
    <t>triệu chứng</t>
  </si>
  <si>
    <t>症状を話す。</t>
  </si>
  <si>
    <t>Kể triệu chứng.</t>
  </si>
  <si>
    <t>中性</t>
  </si>
  <si>
    <t>中性[ちゅうせい]</t>
  </si>
  <si>
    <t>trung tính</t>
  </si>
  <si>
    <t>中性の色。</t>
  </si>
  <si>
    <t>Màu trung tính.</t>
  </si>
  <si>
    <t>袖</t>
  </si>
  <si>
    <t>そで</t>
  </si>
  <si>
    <t>袖[そで]</t>
  </si>
  <si>
    <t>ống tay áo</t>
  </si>
  <si>
    <t>袖をまくる。</t>
  </si>
  <si>
    <t>Tôi xắn tay áo.</t>
  </si>
  <si>
    <t>通訳</t>
  </si>
  <si>
    <t>つうやく</t>
  </si>
  <si>
    <t>通訳[つうやく]</t>
  </si>
  <si>
    <t>phiên dịch</t>
  </si>
  <si>
    <t>通訳を頼む。</t>
  </si>
  <si>
    <t>Nhờ phiên dịch.</t>
  </si>
  <si>
    <t>じゃんけん</t>
  </si>
  <si>
    <t>oẳn tù tì</t>
  </si>
  <si>
    <t>じゃんけんをする。</t>
  </si>
  <si>
    <t>Chơi oẳn tù tì.</t>
  </si>
  <si>
    <t>微笑む</t>
  </si>
  <si>
    <t>ほほえむ</t>
  </si>
  <si>
    <t>微笑[ほほえ]む</t>
  </si>
  <si>
    <t>彼女が微笑む。</t>
  </si>
  <si>
    <t>Cô ấy mỉm cười.</t>
  </si>
  <si>
    <t>蘇る</t>
  </si>
  <si>
    <t>よみがえる</t>
  </si>
  <si>
    <t>蘇[よみがえ]る</t>
  </si>
  <si>
    <t>記憶が蘇る。</t>
  </si>
  <si>
    <t>Ký ức sống lại.</t>
  </si>
  <si>
    <t>豚肉</t>
  </si>
  <si>
    <t>ぶたにく</t>
  </si>
  <si>
    <t>豚肉[ぶたにく]</t>
  </si>
  <si>
    <t>thịt lợn</t>
  </si>
  <si>
    <t>豚肉を焼く。</t>
  </si>
  <si>
    <t>Nướng thịt lợn.</t>
  </si>
  <si>
    <t>踏切</t>
  </si>
  <si>
    <t>ふみきり</t>
  </si>
  <si>
    <t>踏切[ふみきり]</t>
  </si>
  <si>
    <t>chắn tàu</t>
  </si>
  <si>
    <t>踏切で待つ。</t>
  </si>
  <si>
    <t>Chờ ở chắn tàu.</t>
  </si>
  <si>
    <t>出来事</t>
  </si>
  <si>
    <t>できごと</t>
  </si>
  <si>
    <t>出来事[できごと]</t>
  </si>
  <si>
    <t>面白い出来事。</t>
  </si>
  <si>
    <t>Sự việc thú vị.</t>
  </si>
  <si>
    <t>無事</t>
  </si>
  <si>
    <t>ぶじ</t>
  </si>
  <si>
    <t>無事[ぶじ]</t>
  </si>
  <si>
    <t>bình an</t>
  </si>
  <si>
    <t>無事に帰宅する。</t>
  </si>
  <si>
    <t>Về nhà bình an.</t>
  </si>
  <si>
    <t>蕎麦</t>
  </si>
  <si>
    <t>蕎麦[そば]</t>
  </si>
  <si>
    <t>mì soba</t>
  </si>
  <si>
    <t>蕎麦を食べる。</t>
  </si>
  <si>
    <t>Tôi ăn mì Soba.</t>
  </si>
  <si>
    <t>郊外</t>
  </si>
  <si>
    <t>こうがい</t>
  </si>
  <si>
    <t>郊外[こうがい]</t>
  </si>
  <si>
    <t>ngoại ô</t>
  </si>
  <si>
    <t>郊外に住む。</t>
  </si>
  <si>
    <t>Sống ở ngoại ô.</t>
  </si>
  <si>
    <t>バケツ</t>
  </si>
  <si>
    <t>ばけつ</t>
  </si>
  <si>
    <t>cái xô</t>
  </si>
  <si>
    <t>バケツに水を入れる。</t>
  </si>
  <si>
    <t>Đổ nước vào xô.</t>
  </si>
  <si>
    <t>弱まる</t>
  </si>
  <si>
    <t>よわまる</t>
  </si>
  <si>
    <t>弱[よわ]まる</t>
  </si>
  <si>
    <t>台風が弱まる。</t>
  </si>
  <si>
    <t>Cơn bão yếu đi.</t>
  </si>
  <si>
    <t>ぶらさげる</t>
  </si>
  <si>
    <t>鍵をぶらさげる。</t>
  </si>
  <si>
    <t>Treo chìa khóa.</t>
  </si>
  <si>
    <t>訳す</t>
  </si>
  <si>
    <t>やくす</t>
  </si>
  <si>
    <t>訳[やく]す</t>
  </si>
  <si>
    <t>dịch</t>
  </si>
  <si>
    <t>英語を訳す。</t>
  </si>
  <si>
    <t>Dịch tiếng Anh.</t>
  </si>
  <si>
    <t>重たい</t>
  </si>
  <si>
    <t>おもたい</t>
  </si>
  <si>
    <t>重[おも]たい</t>
  </si>
  <si>
    <t>重たい石だ。</t>
  </si>
  <si>
    <t>Là hòn đá nặng.</t>
  </si>
  <si>
    <t>編む</t>
  </si>
  <si>
    <t>あむ</t>
  </si>
  <si>
    <t>編[あ]む</t>
  </si>
  <si>
    <t>đan</t>
  </si>
  <si>
    <t>セーターを編む。</t>
  </si>
  <si>
    <t>Tôi đan áo len.</t>
  </si>
  <si>
    <t>蓋</t>
  </si>
  <si>
    <t>ふた</t>
  </si>
  <si>
    <t>蓋[ふた]</t>
  </si>
  <si>
    <t>nắp</t>
  </si>
  <si>
    <t>鍋の蓋を開ける。</t>
  </si>
  <si>
    <t>Tôi mở nắp nồi.</t>
  </si>
  <si>
    <t>軟らかい</t>
  </si>
  <si>
    <t>軟[やわ]らかい</t>
  </si>
  <si>
    <t>軟らかいパンだ。</t>
  </si>
  <si>
    <t>Là bánh mì mềm.</t>
  </si>
  <si>
    <t>足る</t>
  </si>
  <si>
    <t>たる</t>
  </si>
  <si>
    <t>足[た]る</t>
  </si>
  <si>
    <t>必要に足る。</t>
  </si>
  <si>
    <t>Đủ cho nhu cầu.</t>
  </si>
  <si>
    <t>リボン</t>
  </si>
  <si>
    <t>りぼん</t>
  </si>
  <si>
    <t>dải ruy băng</t>
  </si>
  <si>
    <t>リボンを結ぶ。</t>
  </si>
  <si>
    <t>Thắt ruy băng.</t>
  </si>
  <si>
    <t>現象</t>
  </si>
  <si>
    <t>現象[げんしょう]</t>
  </si>
  <si>
    <t>hiện tượng</t>
  </si>
  <si>
    <t>不思議な現象。</t>
  </si>
  <si>
    <t>Hiện tượng lạ.</t>
  </si>
  <si>
    <t>ジーンズ</t>
  </si>
  <si>
    <t>じーんず</t>
  </si>
  <si>
    <t>quần jean</t>
  </si>
  <si>
    <t>ジーンズを買う。</t>
  </si>
  <si>
    <t>Mua quần jean.</t>
  </si>
  <si>
    <t>入院</t>
  </si>
  <si>
    <t>にゅういん</t>
  </si>
  <si>
    <t>入院[にゅういん]</t>
  </si>
  <si>
    <t>nhập viện</t>
  </si>
  <si>
    <t>病院に入院する。</t>
  </si>
  <si>
    <t>Tôi nhập viện.</t>
  </si>
  <si>
    <t>写る</t>
  </si>
  <si>
    <t>写[うつ]る</t>
  </si>
  <si>
    <t>được chụp</t>
  </si>
  <si>
    <t>綺麗に写る。</t>
  </si>
  <si>
    <t>Được chụp đẹp.</t>
  </si>
  <si>
    <t>畑</t>
  </si>
  <si>
    <t>はたけ</t>
  </si>
  <si>
    <t>畑[はたけ]</t>
  </si>
  <si>
    <t>野菜の畑。</t>
  </si>
  <si>
    <t>Cánh đồng rau.</t>
  </si>
  <si>
    <t>踊り</t>
  </si>
  <si>
    <t>おどり</t>
  </si>
  <si>
    <t>踊[おど]り</t>
  </si>
  <si>
    <t>điệu nhảy</t>
  </si>
  <si>
    <t>踊りを見る。</t>
  </si>
  <si>
    <t>Xem điệu nhảy.</t>
  </si>
  <si>
    <t>仮名</t>
  </si>
  <si>
    <t>かな</t>
  </si>
  <si>
    <t>仮名[かな]</t>
  </si>
  <si>
    <t>chữ kana</t>
  </si>
  <si>
    <t>仮名を書く。</t>
  </si>
  <si>
    <t>Viết chữ kana.</t>
  </si>
  <si>
    <t>狙い</t>
  </si>
  <si>
    <t>ねらい</t>
  </si>
  <si>
    <t>狙[ねら]い</t>
  </si>
  <si>
    <t>狙いを定める。</t>
  </si>
  <si>
    <t>Đặt mục tiêu.</t>
  </si>
  <si>
    <t>発行</t>
  </si>
  <si>
    <t>はっこう</t>
  </si>
  <si>
    <t>発行[はっこう]</t>
  </si>
  <si>
    <t>本を発行する。</t>
  </si>
  <si>
    <t>Xuất bản sách.</t>
  </si>
  <si>
    <t>もたれる</t>
  </si>
  <si>
    <t>dựa vào</t>
  </si>
  <si>
    <t>壁にもたれる。</t>
  </si>
  <si>
    <t>Dựa vào tường.</t>
  </si>
  <si>
    <t>途端</t>
  </si>
  <si>
    <t>とたん</t>
  </si>
  <si>
    <t>途端[とたん]</t>
  </si>
  <si>
    <t>ngay khi</t>
  </si>
  <si>
    <t>開けた途端だ。</t>
  </si>
  <si>
    <t>Ngay khi mở ra.</t>
  </si>
  <si>
    <t>過半数</t>
  </si>
  <si>
    <t>かはんすう</t>
  </si>
  <si>
    <t>過半数[かはんすう]</t>
  </si>
  <si>
    <t>quá bán</t>
  </si>
  <si>
    <t>過半数を占める。</t>
  </si>
  <si>
    <t>Chiếm quá bán.</t>
  </si>
  <si>
    <t>所々</t>
  </si>
  <si>
    <t>ところどころ</t>
  </si>
  <si>
    <t>所々[ところどころ]</t>
  </si>
  <si>
    <t>đây đó</t>
  </si>
  <si>
    <t>所々に花が咲く。</t>
  </si>
  <si>
    <t>Hoa nở đây đó.</t>
  </si>
  <si>
    <t>通り過ぎる</t>
  </si>
  <si>
    <t>とおりすぎる</t>
  </si>
  <si>
    <t>通[とお]り過[す]ぎる</t>
  </si>
  <si>
    <t>đi quá</t>
  </si>
  <si>
    <t>駅を通り過ぎる。</t>
  </si>
  <si>
    <t>Đi quá nhà ga.</t>
  </si>
  <si>
    <t>通路</t>
  </si>
  <si>
    <t>つうろ</t>
  </si>
  <si>
    <t>通路[つうろ]</t>
  </si>
  <si>
    <t>lối đi</t>
  </si>
  <si>
    <t>通路を通る。</t>
  </si>
  <si>
    <t>Đi qua lối đi.</t>
  </si>
  <si>
    <t>コンセント</t>
  </si>
  <si>
    <t>こんせんと</t>
  </si>
  <si>
    <t>ổ cắm</t>
  </si>
  <si>
    <t>コンセントに差し込む。</t>
  </si>
  <si>
    <t>Cắm vào ổ cắm.</t>
  </si>
  <si>
    <t>ばね</t>
  </si>
  <si>
    <t>lò xo</t>
  </si>
  <si>
    <t>ばねが伸びる。</t>
  </si>
  <si>
    <t>Lò xo bị giãn.</t>
  </si>
  <si>
    <t>やかましい</t>
  </si>
  <si>
    <t>子供がやかましい。</t>
  </si>
  <si>
    <t>Trẻ con ồn ào.</t>
  </si>
  <si>
    <t>医学</t>
  </si>
  <si>
    <t>いがく</t>
  </si>
  <si>
    <t>医学[いがく]</t>
  </si>
  <si>
    <t>y học</t>
  </si>
  <si>
    <t>医学を学ぶ。</t>
  </si>
  <si>
    <t>Tôi học y học.</t>
  </si>
  <si>
    <t>謎</t>
  </si>
  <si>
    <t>なぞ</t>
  </si>
  <si>
    <t>謎[なぞ]</t>
  </si>
  <si>
    <t>bí ẩn</t>
  </si>
  <si>
    <t>謎を解く。</t>
  </si>
  <si>
    <t>Giải mã bí ẩn.</t>
  </si>
  <si>
    <t>図書</t>
  </si>
  <si>
    <t>としょ</t>
  </si>
  <si>
    <t>図書[としょ]</t>
  </si>
  <si>
    <t>図書を借りる。</t>
  </si>
  <si>
    <t>くるむ</t>
  </si>
  <si>
    <t>紙でくるむ。</t>
  </si>
  <si>
    <t>Gói bằng giấy.</t>
  </si>
  <si>
    <t>匂い</t>
  </si>
  <si>
    <t>におい</t>
  </si>
  <si>
    <t>匂[にお]い</t>
  </si>
  <si>
    <t>mùi</t>
  </si>
  <si>
    <t>いい匂い。</t>
  </si>
  <si>
    <t>Mùi hương dễ chịu.</t>
  </si>
  <si>
    <t>予習</t>
  </si>
  <si>
    <t>よしゅう</t>
  </si>
  <si>
    <t>予習[よしゅう]</t>
  </si>
  <si>
    <t>chuẩn bị bài</t>
  </si>
  <si>
    <t>予習をする。</t>
  </si>
  <si>
    <t>Chuẩn bị bài.</t>
  </si>
  <si>
    <t>払い戻す</t>
  </si>
  <si>
    <t>はらいもどす</t>
  </si>
  <si>
    <t>払[はら]い戻[もど]す</t>
  </si>
  <si>
    <t>hoàn tiền</t>
  </si>
  <si>
    <t>チケットを払い戻す。</t>
  </si>
  <si>
    <t>Hoàn tiền vé.</t>
  </si>
  <si>
    <t>チップ</t>
  </si>
  <si>
    <t>ちっぷ</t>
  </si>
  <si>
    <t>tiền boa</t>
  </si>
  <si>
    <t>チップを渡す。</t>
  </si>
  <si>
    <t>Đưa tiền boa.</t>
  </si>
  <si>
    <t>ラベル</t>
  </si>
  <si>
    <t>らべる</t>
  </si>
  <si>
    <t>nhãn dán</t>
  </si>
  <si>
    <t>ラベルをはがす。</t>
  </si>
  <si>
    <t>Bóc nhãn dán.</t>
  </si>
  <si>
    <t>中味</t>
  </si>
  <si>
    <t>中味[なかみ]</t>
  </si>
  <si>
    <t>中味を見る。</t>
  </si>
  <si>
    <t>Xem nội dung.</t>
  </si>
  <si>
    <t>手袋</t>
  </si>
  <si>
    <t>てぶくろ</t>
  </si>
  <si>
    <t>手袋[てぶくろ]</t>
  </si>
  <si>
    <t>găng tay</t>
  </si>
  <si>
    <t>手袋をはめる。</t>
  </si>
  <si>
    <t>Đeo găng tay.</t>
  </si>
  <si>
    <t>警官</t>
  </si>
  <si>
    <t>けいかん</t>
  </si>
  <si>
    <t>警官[けいかん]</t>
  </si>
  <si>
    <t>警官を呼ぶ。</t>
  </si>
  <si>
    <t>Gọi cảnh sát.</t>
  </si>
  <si>
    <t>茶色</t>
  </si>
  <si>
    <t>ちゃいろ</t>
  </si>
  <si>
    <t>茶色[ちゃいろ]</t>
  </si>
  <si>
    <t>茶色の靴。</t>
  </si>
  <si>
    <t>Giày màu nâu.</t>
  </si>
  <si>
    <t>ノック</t>
  </si>
  <si>
    <t>のっく</t>
  </si>
  <si>
    <t>gõ cửa</t>
  </si>
  <si>
    <t>ドアをノックする。</t>
  </si>
  <si>
    <t>Gõ cửa phòng.</t>
  </si>
  <si>
    <t>卵</t>
  </si>
  <si>
    <t>たまご</t>
  </si>
  <si>
    <t>卵[たまご]</t>
  </si>
  <si>
    <t>trứng</t>
  </si>
  <si>
    <t>卵を食べる。</t>
  </si>
  <si>
    <t>Tôi ăn trứng.</t>
  </si>
  <si>
    <t>スプーン</t>
  </si>
  <si>
    <t>すぷーん</t>
  </si>
  <si>
    <t>thìa</t>
  </si>
  <si>
    <t>スプーンで食べる。</t>
  </si>
  <si>
    <t>Ăn bằng thìa.</t>
  </si>
  <si>
    <t>列</t>
  </si>
  <si>
    <t>れつ</t>
  </si>
  <si>
    <t>列[れつ]</t>
  </si>
  <si>
    <t>hàng</t>
  </si>
  <si>
    <t>列に並ぶ。</t>
  </si>
  <si>
    <t>芝居</t>
  </si>
  <si>
    <t>しばい</t>
  </si>
  <si>
    <t>芝居[しばい]</t>
  </si>
  <si>
    <t>芝居を見る。</t>
  </si>
  <si>
    <t>Tôi xem kịch.</t>
  </si>
  <si>
    <t>跳ねる</t>
  </si>
  <si>
    <t>はねる</t>
  </si>
  <si>
    <t>跳[は]ねる</t>
  </si>
  <si>
    <t>ウサギが跳ねる。</t>
  </si>
  <si>
    <t>Con thỏ nhảy.</t>
  </si>
  <si>
    <t>所為</t>
  </si>
  <si>
    <t>所為[せい]</t>
  </si>
  <si>
    <t>雨の所為だ。</t>
  </si>
  <si>
    <t>Tại trời mưa.</t>
  </si>
  <si>
    <t>申す</t>
  </si>
  <si>
    <t>もうす</t>
  </si>
  <si>
    <t>申[もう]す</t>
  </si>
  <si>
    <t>名前を申す。</t>
  </si>
  <si>
    <t>Tôi tên là...</t>
  </si>
  <si>
    <t>罹る</t>
  </si>
  <si>
    <t>罹[かか]る</t>
  </si>
  <si>
    <t>mắc</t>
  </si>
  <si>
    <t>病気に罹る。</t>
  </si>
  <si>
    <t>Tôi mắc bệnh.</t>
  </si>
  <si>
    <t>売り場</t>
  </si>
  <si>
    <t>うりば</t>
  </si>
  <si>
    <t>売[う]り場[ば]</t>
  </si>
  <si>
    <t>quầy bán hàng</t>
  </si>
  <si>
    <t>チケット売り場。</t>
  </si>
  <si>
    <t>Quầy bán vé.</t>
  </si>
  <si>
    <t>九つ</t>
  </si>
  <si>
    <t>ここのつ</t>
  </si>
  <si>
    <t>九[ここの]つ</t>
  </si>
  <si>
    <t>chín cái</t>
  </si>
  <si>
    <t>九つある。</t>
  </si>
  <si>
    <t>Có chín cái.</t>
  </si>
  <si>
    <t>仲良し</t>
  </si>
  <si>
    <t>なかよし</t>
  </si>
  <si>
    <t>仲良[なかよ]し</t>
  </si>
  <si>
    <t>仲良しだ。</t>
  </si>
  <si>
    <t>Chúng tôi là bạn thân.</t>
  </si>
  <si>
    <t>アンテナ</t>
  </si>
  <si>
    <t>あんてな</t>
  </si>
  <si>
    <t>ăng-ten</t>
  </si>
  <si>
    <t>アンテナを修理する。</t>
  </si>
  <si>
    <t>Sửa ăng-ten.</t>
  </si>
  <si>
    <t>ロケット</t>
  </si>
  <si>
    <t>ろけっと</t>
  </si>
  <si>
    <t>tên lửa</t>
  </si>
  <si>
    <t>ロケットが飛ぶ。</t>
  </si>
  <si>
    <t>Tên lửa bay.</t>
  </si>
  <si>
    <t>主語</t>
  </si>
  <si>
    <t>しゅご</t>
  </si>
  <si>
    <t>主語[しゅご]</t>
  </si>
  <si>
    <t>chủ ngữ</t>
  </si>
  <si>
    <t>主語を見つける。</t>
  </si>
  <si>
    <t>Tìm chủ ngữ.</t>
  </si>
  <si>
    <t>乾かす</t>
  </si>
  <si>
    <t>かわかす</t>
  </si>
  <si>
    <t>乾[かわ]かす</t>
  </si>
  <si>
    <t>làm khô</t>
  </si>
  <si>
    <t>髪を乾かす。</t>
  </si>
  <si>
    <t>Làm khô tóc.</t>
  </si>
  <si>
    <t>恨み</t>
  </si>
  <si>
    <t>うらみ</t>
  </si>
  <si>
    <t>恨[うら]み</t>
  </si>
  <si>
    <t>mối hận</t>
  </si>
  <si>
    <t>恨みを晴らす。</t>
  </si>
  <si>
    <t>Trả mối hận.</t>
  </si>
  <si>
    <t>手頃</t>
  </si>
  <si>
    <t>てごろ</t>
  </si>
  <si>
    <t>手頃[てごろ]</t>
  </si>
  <si>
    <t>vừa tầm</t>
  </si>
  <si>
    <t>手頃な値段。</t>
  </si>
  <si>
    <t>Giá vừa tầm.</t>
  </si>
  <si>
    <t>辞典</t>
  </si>
  <si>
    <t>じてん</t>
  </si>
  <si>
    <t>辞典[じてん]</t>
  </si>
  <si>
    <t>辞典で引く。</t>
  </si>
  <si>
    <t>Tra từ điển.</t>
  </si>
  <si>
    <t>道徳</t>
  </si>
  <si>
    <t>どうとく</t>
  </si>
  <si>
    <t>道徳[どうとく]</t>
  </si>
  <si>
    <t>đạo đức</t>
  </si>
  <si>
    <t>道徳を学ぶ。</t>
  </si>
  <si>
    <t>Học đạo đức.</t>
  </si>
  <si>
    <t>鍋</t>
  </si>
  <si>
    <t>なべ</t>
  </si>
  <si>
    <t>鍋[なべ]</t>
  </si>
  <si>
    <t>cái nồi</t>
  </si>
  <si>
    <t>鍋を洗う。</t>
  </si>
  <si>
    <t>Rửa cái nồi.</t>
  </si>
  <si>
    <t>タイア</t>
  </si>
  <si>
    <t>たいあ</t>
  </si>
  <si>
    <t>lốp xe</t>
  </si>
  <si>
    <t>タイアを交換する。</t>
  </si>
  <si>
    <t>Thay lốp xe.</t>
  </si>
  <si>
    <t>ダイヤル</t>
  </si>
  <si>
    <t>だいやる</t>
  </si>
  <si>
    <t>mặt số</t>
  </si>
  <si>
    <t>ダイヤルを回す。</t>
  </si>
  <si>
    <t>Xoay mặt số.</t>
  </si>
  <si>
    <t>ボート</t>
  </si>
  <si>
    <t>ぼーと</t>
  </si>
  <si>
    <t>thuyền</t>
  </si>
  <si>
    <t>ボートをこぐ。</t>
  </si>
  <si>
    <t>Chèo thuyền.</t>
  </si>
  <si>
    <t>手首</t>
  </si>
  <si>
    <t>てくび</t>
  </si>
  <si>
    <t>手首[てくび]</t>
  </si>
  <si>
    <t>cổ tay</t>
  </si>
  <si>
    <t>手首をひねる。</t>
  </si>
  <si>
    <t>Trẹo cổ tay.</t>
  </si>
  <si>
    <t>開放</t>
  </si>
  <si>
    <t>開放[かいほう]</t>
  </si>
  <si>
    <t>門を開放する。</t>
  </si>
  <si>
    <t>Mở cửa cổng.</t>
  </si>
  <si>
    <t>診る</t>
  </si>
  <si>
    <t>診[み]る</t>
  </si>
  <si>
    <t>khám</t>
  </si>
  <si>
    <t>医者が診る。</t>
  </si>
  <si>
    <t>Bác sĩ khám.</t>
  </si>
  <si>
    <t>インク</t>
  </si>
  <si>
    <t>いんく</t>
  </si>
  <si>
    <t>mực</t>
  </si>
  <si>
    <t>インクがなくなった。</t>
  </si>
  <si>
    <t>Hết mực rồi.</t>
  </si>
  <si>
    <t>グラム</t>
  </si>
  <si>
    <t>ぐらむ</t>
  </si>
  <si>
    <t>gam</t>
  </si>
  <si>
    <t>100グラム計る。</t>
  </si>
  <si>
    <t>Cân 100 gam.</t>
  </si>
  <si>
    <t>ずらす</t>
  </si>
  <si>
    <t>dời</t>
  </si>
  <si>
    <t>予定をずらす。</t>
  </si>
  <si>
    <t>Dời lịch trình.</t>
  </si>
  <si>
    <t>蹴る</t>
  </si>
  <si>
    <t>ける</t>
  </si>
  <si>
    <t>蹴[け]る</t>
  </si>
  <si>
    <t>ボールを蹴る。</t>
  </si>
  <si>
    <t>Đá quả bóng.</t>
  </si>
  <si>
    <t>たんす</t>
  </si>
  <si>
    <t>tủ quần áo</t>
  </si>
  <si>
    <t>たんすにしまう。</t>
  </si>
  <si>
    <t>Cất vào tủ.</t>
  </si>
  <si>
    <t>上京</t>
  </si>
  <si>
    <t>上京[じょうきょう]</t>
  </si>
  <si>
    <t>lên thủ đô</t>
  </si>
  <si>
    <t>上京する。</t>
  </si>
  <si>
    <t>Lên thủ đô.</t>
  </si>
  <si>
    <t>ステーキ</t>
  </si>
  <si>
    <t>すてーき</t>
  </si>
  <si>
    <t>bít tết</t>
  </si>
  <si>
    <t>ステーキを食べる。</t>
  </si>
  <si>
    <t>Ăn bít tết.</t>
  </si>
  <si>
    <t>牛肉</t>
  </si>
  <si>
    <t>ぎゅうにく</t>
  </si>
  <si>
    <t>牛肉[ぎゅうにく]</t>
  </si>
  <si>
    <t>thịt bò</t>
  </si>
  <si>
    <t>牛肉を食べる。</t>
  </si>
  <si>
    <t>Ăn thịt bò.</t>
  </si>
  <si>
    <t>セーター</t>
  </si>
  <si>
    <t>せーたー</t>
  </si>
  <si>
    <t>áo len</t>
  </si>
  <si>
    <t>セーターを着る。</t>
  </si>
  <si>
    <t>Mặc áo len.</t>
  </si>
  <si>
    <t>下着</t>
  </si>
  <si>
    <t>したぎ</t>
  </si>
  <si>
    <t>下着[したぎ]</t>
  </si>
  <si>
    <t>đồ lót</t>
  </si>
  <si>
    <t>下着を買う。</t>
  </si>
  <si>
    <t>Mua đồ lót.</t>
  </si>
  <si>
    <t>署名</t>
  </si>
  <si>
    <t>しょめい</t>
  </si>
  <si>
    <t>署名[しょめい]</t>
  </si>
  <si>
    <t>ký tên</t>
  </si>
  <si>
    <t>署名をする。</t>
  </si>
  <si>
    <t>Tôi ký tên.</t>
  </si>
  <si>
    <t>交ぜる</t>
  </si>
  <si>
    <t>まぜる</t>
  </si>
  <si>
    <t>交[ま]ぜる</t>
  </si>
  <si>
    <t>trộn</t>
  </si>
  <si>
    <t>卵を交ぜる。</t>
  </si>
  <si>
    <t>Trộn trứng.</t>
  </si>
  <si>
    <t>塊</t>
  </si>
  <si>
    <t>かたまり</t>
  </si>
  <si>
    <t>塊[かたまり]</t>
  </si>
  <si>
    <t>khối</t>
  </si>
  <si>
    <t>雪の塊。</t>
  </si>
  <si>
    <t>Khối tuyết.</t>
  </si>
  <si>
    <t>切符</t>
  </si>
  <si>
    <t>きっぷ</t>
  </si>
  <si>
    <t>切符[きっぷ]</t>
  </si>
  <si>
    <t>vé</t>
  </si>
  <si>
    <t>切符を買う。</t>
  </si>
  <si>
    <t>Tôi mua vé.</t>
  </si>
  <si>
    <t>休息</t>
  </si>
  <si>
    <t>休息[きゅうそく]</t>
  </si>
  <si>
    <t>休息をとる。</t>
  </si>
  <si>
    <t>Nghỉ ngơi.</t>
  </si>
  <si>
    <t>退院</t>
  </si>
  <si>
    <t>たいいん</t>
  </si>
  <si>
    <t>退院[たいいん]</t>
  </si>
  <si>
    <t>xuất viện</t>
  </si>
  <si>
    <t>病院を退院する。</t>
  </si>
  <si>
    <t>Xuất viện.</t>
  </si>
  <si>
    <t>逆さ</t>
  </si>
  <si>
    <t>さかさ</t>
  </si>
  <si>
    <t>逆[さか]さ</t>
  </si>
  <si>
    <t>đảo ngược</t>
  </si>
  <si>
    <t>逆さに持つ。</t>
  </si>
  <si>
    <t>Cầm ngược.</t>
  </si>
  <si>
    <t>傘</t>
  </si>
  <si>
    <t>かさ</t>
  </si>
  <si>
    <t>傘[かさ]</t>
  </si>
  <si>
    <t>chiếc ô</t>
  </si>
  <si>
    <t>傘をさす。</t>
  </si>
  <si>
    <t>Tôi che ô.</t>
  </si>
  <si>
    <t>両替</t>
  </si>
  <si>
    <t>りょうがえ</t>
  </si>
  <si>
    <t>両替[りょうがえ]</t>
  </si>
  <si>
    <t>đổi tiền</t>
  </si>
  <si>
    <t>両替をする。</t>
  </si>
  <si>
    <t>Đổi tiền.</t>
  </si>
  <si>
    <t>指輪</t>
  </si>
  <si>
    <t>ゆびわ</t>
  </si>
  <si>
    <t>指輪[ゆびわ]</t>
  </si>
  <si>
    <t>nhẫn</t>
  </si>
  <si>
    <t>大切な指輪をはめる。</t>
  </si>
  <si>
    <t>Đeo chiếc nhẫn quý giá.</t>
  </si>
  <si>
    <t>テント</t>
  </si>
  <si>
    <t>てんと</t>
  </si>
  <si>
    <t>lều</t>
  </si>
  <si>
    <t>テントを張る。</t>
  </si>
  <si>
    <t>Dựng lều.</t>
  </si>
  <si>
    <t>トランプ</t>
  </si>
  <si>
    <t>とらんぷ</t>
  </si>
  <si>
    <t>トランプをする。</t>
  </si>
  <si>
    <t>Chơi bài.</t>
  </si>
  <si>
    <t>峠</t>
  </si>
  <si>
    <t>とうげ</t>
  </si>
  <si>
    <t>峠[とうげ]</t>
  </si>
  <si>
    <t>đèo</t>
  </si>
  <si>
    <t>峠を越える。</t>
  </si>
  <si>
    <t>Vượt đèo.</t>
  </si>
  <si>
    <t>予期</t>
  </si>
  <si>
    <t>よき</t>
  </si>
  <si>
    <t>予期[よき]</t>
  </si>
  <si>
    <t>予期する。</t>
  </si>
  <si>
    <t>Kỳ vọng.</t>
  </si>
  <si>
    <t>意地</t>
  </si>
  <si>
    <t>意地[いじ]</t>
  </si>
  <si>
    <t>cố chấp</t>
  </si>
  <si>
    <t>意地を張る。</t>
  </si>
  <si>
    <t>Cố chấp.</t>
  </si>
  <si>
    <t>象</t>
  </si>
  <si>
    <t>象[ぞう]</t>
  </si>
  <si>
    <t>voi</t>
  </si>
  <si>
    <t>象を見る。</t>
  </si>
  <si>
    <t>Xem voi.</t>
  </si>
  <si>
    <t>田舎</t>
  </si>
  <si>
    <t>いなか</t>
  </si>
  <si>
    <t>田舎[いなか]</t>
  </si>
  <si>
    <t>quê</t>
  </si>
  <si>
    <t>田舎に帰る。</t>
  </si>
  <si>
    <t>Về quê.</t>
  </si>
  <si>
    <t>恩</t>
  </si>
  <si>
    <t>おん</t>
  </si>
  <si>
    <t>恩[おん]</t>
  </si>
  <si>
    <t>ơn</t>
  </si>
  <si>
    <t>恩を返す。</t>
  </si>
  <si>
    <t>Đền ơn.</t>
  </si>
  <si>
    <t>光熱費</t>
  </si>
  <si>
    <t>こうねつひ</t>
  </si>
  <si>
    <t>光熱費[こうねつひ]</t>
  </si>
  <si>
    <t>chi phí điện nước</t>
  </si>
  <si>
    <t>今月の光熱費が高い。</t>
  </si>
  <si>
    <t>Chi phí điện nước tháng này cao.</t>
  </si>
  <si>
    <t>転勤</t>
  </si>
  <si>
    <t>てんきん</t>
  </si>
  <si>
    <t>転勤[てんきん]</t>
  </si>
  <si>
    <t>chuyển chỗ làm</t>
  </si>
  <si>
    <t>支社へ転勤する。</t>
  </si>
  <si>
    <t>Chuyển chỗ làm đến chi nhánh.</t>
  </si>
  <si>
    <t>ハンガー</t>
  </si>
  <si>
    <t>はんがー</t>
  </si>
  <si>
    <t>móc treo quần áo</t>
  </si>
  <si>
    <t>服をハンガーにかける。</t>
  </si>
  <si>
    <t>Treo quần áo lên móc.</t>
  </si>
  <si>
    <t>軍備</t>
  </si>
  <si>
    <t>ぐんび</t>
  </si>
  <si>
    <t>軍備[ぐんび]</t>
  </si>
  <si>
    <t>trang bị quân sự</t>
  </si>
  <si>
    <t>軍備を拡張する。</t>
  </si>
  <si>
    <t>Mở rộng trang bị quân sự.</t>
  </si>
  <si>
    <t>失格</t>
  </si>
  <si>
    <t>しっかく</t>
  </si>
  <si>
    <t>失格[しっかく]</t>
  </si>
  <si>
    <t>mất tư cách</t>
  </si>
  <si>
    <t>選手が失格する。</t>
  </si>
  <si>
    <t>Vận động viên mất tư cách.</t>
  </si>
  <si>
    <t>祈り</t>
  </si>
  <si>
    <t>いのり</t>
  </si>
  <si>
    <t>祈[いの]り</t>
  </si>
  <si>
    <t>lời cầu nguyện</t>
  </si>
  <si>
    <t>平和を祈り捧げる。</t>
  </si>
  <si>
    <t>良質</t>
  </si>
  <si>
    <t>りょうしつ</t>
  </si>
  <si>
    <t>良質[りょうしつ]</t>
  </si>
  <si>
    <t>chất lượng tốt</t>
  </si>
  <si>
    <t>良質な素材を使う。</t>
  </si>
  <si>
    <t>Sử dụng nguyên liệu chất lượng tốt.</t>
  </si>
  <si>
    <t>街頭</t>
  </si>
  <si>
    <t>街頭[がいとう]</t>
  </si>
  <si>
    <t>trên đường phố</t>
  </si>
  <si>
    <t>街頭で宣伝する。</t>
  </si>
  <si>
    <t>Tuyên truyền trên đường phố.</t>
  </si>
  <si>
    <t>ぶらぶら</t>
  </si>
  <si>
    <t>đi lang thang</t>
  </si>
  <si>
    <t>街をぶらぶらする。</t>
  </si>
  <si>
    <t>Đi lang thang trên phố.</t>
  </si>
  <si>
    <t>一息</t>
  </si>
  <si>
    <t>ひといき</t>
  </si>
  <si>
    <t>一息[ひといき]</t>
  </si>
  <si>
    <t>nghỉ một chút</t>
  </si>
  <si>
    <t>一息入れる。</t>
  </si>
  <si>
    <t>Nghỉ một chút.</t>
  </si>
  <si>
    <t>人目</t>
  </si>
  <si>
    <t>人目[ひとめ]</t>
  </si>
  <si>
    <t>ánh mắt người</t>
  </si>
  <si>
    <t>人目を避ける。</t>
  </si>
  <si>
    <t>Tránh ánh mắt người khác.</t>
  </si>
  <si>
    <t>入賞</t>
  </si>
  <si>
    <t>にゅうしょう</t>
  </si>
  <si>
    <t>入賞[にゅうしょう]</t>
  </si>
  <si>
    <t>đoạt giải</t>
  </si>
  <si>
    <t>コンクールに入賞する。</t>
  </si>
  <si>
    <t>Đoạt giải trong cuộc thi.</t>
  </si>
  <si>
    <t>共鳴</t>
  </si>
  <si>
    <t>きょうめい</t>
  </si>
  <si>
    <t>共鳴[きょうめい]</t>
  </si>
  <si>
    <t>cộng hưởng</t>
  </si>
  <si>
    <t>社会に共鳴を呼ぶ。</t>
  </si>
  <si>
    <t>Tạo ra sự cộng hưởng trong xã hội.</t>
  </si>
  <si>
    <t>具わる</t>
  </si>
  <si>
    <t>具[そな]わる</t>
  </si>
  <si>
    <t>才能が具わる。</t>
  </si>
  <si>
    <t>Có tài năng.</t>
  </si>
  <si>
    <t>兼用</t>
  </si>
  <si>
    <t>けんよう</t>
  </si>
  <si>
    <t>兼用[けんよう]</t>
  </si>
  <si>
    <t>dùng chung</t>
  </si>
  <si>
    <t>二つの目的を兼用する。</t>
  </si>
  <si>
    <t>Dùng chung cho hai mục đích.</t>
  </si>
  <si>
    <t>反乱</t>
  </si>
  <si>
    <t>はんらん</t>
  </si>
  <si>
    <t>反乱[はんらん]</t>
  </si>
  <si>
    <t>nổi loạn</t>
  </si>
  <si>
    <t>反乱を鎮圧する。</t>
  </si>
  <si>
    <t>Trấn áp cuộc nổi loạn.</t>
  </si>
  <si>
    <t>命中</t>
  </si>
  <si>
    <t>めいちゅう</t>
  </si>
  <si>
    <t>命中[めいちゅう]</t>
  </si>
  <si>
    <t>trúng đích</t>
  </si>
  <si>
    <t>的を命中する。</t>
  </si>
  <si>
    <t>Trúng đích mục tiêu.</t>
  </si>
  <si>
    <t>回覧</t>
  </si>
  <si>
    <t>かいらん</t>
  </si>
  <si>
    <t>回覧[かいらん]</t>
  </si>
  <si>
    <t>truyền tay</t>
  </si>
  <si>
    <t>文書を回覧する。</t>
  </si>
  <si>
    <t>Truyền tay tài liệu.</t>
  </si>
  <si>
    <t>増進</t>
  </si>
  <si>
    <t>ぞうしん</t>
  </si>
  <si>
    <t>増進[ぞうしん]</t>
  </si>
  <si>
    <t>健康を増進する。</t>
  </si>
  <si>
    <t>Tăng cường sức khỏe.</t>
  </si>
  <si>
    <t>妥結</t>
  </si>
  <si>
    <t>だけつ</t>
  </si>
  <si>
    <t>妥結[だけつ]</t>
  </si>
  <si>
    <t>thỏa thuận</t>
  </si>
  <si>
    <t>交渉が妥結する。</t>
  </si>
  <si>
    <t>Đàm phán thỏa thuận.</t>
  </si>
  <si>
    <t>栽培</t>
  </si>
  <si>
    <t>さいばい</t>
  </si>
  <si>
    <t>栽培[さいばい]</t>
  </si>
  <si>
    <t>trồng trọt</t>
  </si>
  <si>
    <t>野菜を栽培する。</t>
  </si>
  <si>
    <t>Trồng trọt rau củ.</t>
  </si>
  <si>
    <t>鉱山</t>
  </si>
  <si>
    <t>こうざん</t>
  </si>
  <si>
    <t>鉱山[こうざん]</t>
  </si>
  <si>
    <t>mỏ khoáng sản</t>
  </si>
  <si>
    <t>鉱山で働く。</t>
  </si>
  <si>
    <t>Làm việc tại mỏ.</t>
  </si>
  <si>
    <t>ホース</t>
  </si>
  <si>
    <t>ほーす</t>
  </si>
  <si>
    <t>ống dẫn nước</t>
  </si>
  <si>
    <t>ホースで水を撒く。</t>
  </si>
  <si>
    <t>Tưới nước bằng ống dẫn.</t>
  </si>
  <si>
    <t>全滅</t>
  </si>
  <si>
    <t>ぜんめつ</t>
  </si>
  <si>
    <t>全滅[ぜんめつ]</t>
  </si>
  <si>
    <t>tiêu diệt</t>
  </si>
  <si>
    <t>作物が全滅する。</t>
  </si>
  <si>
    <t>Cây trồng bị tiêu diệt hoàn toàn.</t>
  </si>
  <si>
    <t>分業</t>
  </si>
  <si>
    <t>ぶんぎょう</t>
  </si>
  <si>
    <t>分業[ぶんぎょう]</t>
  </si>
  <si>
    <t>sự phân công</t>
  </si>
  <si>
    <t>効率的な分業制。</t>
  </si>
  <si>
    <t>Hệ thống phân công hiệu quả.</t>
  </si>
  <si>
    <t>受持ち</t>
  </si>
  <si>
    <t>うけもち</t>
  </si>
  <si>
    <t>受持[うけも]ち</t>
  </si>
  <si>
    <t>私の受持ち範囲。</t>
  </si>
  <si>
    <t>Phạm vi tôi phụ trách.</t>
  </si>
  <si>
    <t>合唱</t>
  </si>
  <si>
    <t>がっしょう</t>
  </si>
  <si>
    <t>合唱[がっしょう]</t>
  </si>
  <si>
    <t>hợp xướng</t>
  </si>
  <si>
    <t>合唱に参加する。</t>
  </si>
  <si>
    <t>Tham gia hợp xướng.</t>
  </si>
  <si>
    <t>呼び止める</t>
  </si>
  <si>
    <t>よびとめる</t>
  </si>
  <si>
    <t>呼[よ]び止[と]める</t>
  </si>
  <si>
    <t>gọi dừng lại</t>
  </si>
  <si>
    <t>タクシーを呼び止める。</t>
  </si>
  <si>
    <t>Gọi dừng taxi.</t>
  </si>
  <si>
    <t>問屋</t>
  </si>
  <si>
    <t>とんや</t>
  </si>
  <si>
    <t>問屋[とんや]</t>
  </si>
  <si>
    <t>nhà bán buôn</t>
  </si>
  <si>
    <t>問屋から仕入れる。</t>
  </si>
  <si>
    <t>Nhập hàng từ nhà bán buôn.</t>
  </si>
  <si>
    <t>埋蔵</t>
  </si>
  <si>
    <t>まいぞう</t>
  </si>
  <si>
    <t>埋蔵[まいぞう]</t>
  </si>
  <si>
    <t>chôn giấu</t>
  </si>
  <si>
    <t>金が埋蔵されている。</t>
  </si>
  <si>
    <t>Vàng được chôn giấu.</t>
  </si>
  <si>
    <t>夕焼け</t>
  </si>
  <si>
    <t>ゆうやけ</t>
  </si>
  <si>
    <t>夕焼[ゆうや]け</t>
  </si>
  <si>
    <t>ánh chiều tà</t>
  </si>
  <si>
    <t>夕焼けが綺麗だ。</t>
  </si>
  <si>
    <t>Ánh chiều tà đẹp.</t>
  </si>
  <si>
    <t>独占</t>
  </si>
  <si>
    <t>どくせん</t>
  </si>
  <si>
    <t>独占[どくせん]</t>
  </si>
  <si>
    <t>độc chiếm</t>
  </si>
  <si>
    <t>市場を独占する。</t>
  </si>
  <si>
    <t>Độc chiếm thị trường.</t>
  </si>
  <si>
    <t>舗装</t>
  </si>
  <si>
    <t>ほそう</t>
  </si>
  <si>
    <t>舗装[ほそう]</t>
  </si>
  <si>
    <t>lát đường</t>
  </si>
  <si>
    <t>道路を舗装する。</t>
  </si>
  <si>
    <t>Lát đường nhựa.</t>
  </si>
  <si>
    <t>製法</t>
  </si>
  <si>
    <t>せいほう</t>
  </si>
  <si>
    <t>製法[せいほう]</t>
  </si>
  <si>
    <t>cách chế tạo</t>
  </si>
  <si>
    <t>新しい製法。</t>
  </si>
  <si>
    <t>Cách chế tạo mới.</t>
  </si>
  <si>
    <t>討議</t>
  </si>
  <si>
    <t>とうぎ</t>
  </si>
  <si>
    <t>討議[とうぎ]</t>
  </si>
  <si>
    <t>方針を討議する。</t>
  </si>
  <si>
    <t>Thảo luận phương châm.</t>
  </si>
  <si>
    <t>譲歩</t>
  </si>
  <si>
    <t>じょうほ</t>
  </si>
  <si>
    <t>譲歩[じょうほ]</t>
  </si>
  <si>
    <t>nhượng bộ</t>
  </si>
  <si>
    <t>互いに譲歩する。</t>
  </si>
  <si>
    <t>Nhượng bộ lẫn nhau.</t>
  </si>
  <si>
    <t>負傷</t>
  </si>
  <si>
    <t>ふしょう</t>
  </si>
  <si>
    <t>負傷[ふしょう]</t>
  </si>
  <si>
    <t>事故で負傷する。</t>
  </si>
  <si>
    <t>Bị thương trong tai nạn.</t>
  </si>
  <si>
    <t>起点</t>
  </si>
  <si>
    <t>きてん</t>
  </si>
  <si>
    <t>起点[きてん]</t>
  </si>
  <si>
    <t>điểm bắt đầu</t>
  </si>
  <si>
    <t>旅行の起点。</t>
  </si>
  <si>
    <t>Điểm bắt đầu chuyến du lịch.</t>
  </si>
  <si>
    <t>追放</t>
  </si>
  <si>
    <t>ついほう</t>
  </si>
  <si>
    <t>追放[ついほう]</t>
  </si>
  <si>
    <t>trục xuất</t>
  </si>
  <si>
    <t>国内から追放する。</t>
  </si>
  <si>
    <t>Trục xuất khỏi quốc gia.</t>
  </si>
  <si>
    <t>過疎</t>
  </si>
  <si>
    <t>かそ</t>
  </si>
  <si>
    <t>過疎[かそ]</t>
  </si>
  <si>
    <t>thưa thớt dân cư</t>
  </si>
  <si>
    <t>過疎の村。</t>
  </si>
  <si>
    <t>Ngôi làng thưa thớt dân cư.</t>
  </si>
  <si>
    <t>重複</t>
  </si>
  <si>
    <t>ちょうふく</t>
  </si>
  <si>
    <t>重複[ちょうふく]</t>
  </si>
  <si>
    <t>trùng lặp</t>
  </si>
  <si>
    <t>予定が重複する。</t>
  </si>
  <si>
    <t>Lịch trình bị trùng lặp.</t>
  </si>
  <si>
    <t>長編</t>
  </si>
  <si>
    <t>ちょうへん</t>
  </si>
  <si>
    <t>長編[ちょうへん]</t>
  </si>
  <si>
    <t>tác phẩm dài</t>
  </si>
  <si>
    <t>長編小説を読む。</t>
  </si>
  <si>
    <t>Đọc tiểu thuyết dài.</t>
  </si>
  <si>
    <t>ふらふら</t>
  </si>
  <si>
    <t>choáng váng</t>
  </si>
  <si>
    <t>頭がふらふらする。</t>
  </si>
  <si>
    <t>Đầu óc choáng váng.</t>
  </si>
  <si>
    <t>今更</t>
  </si>
  <si>
    <t>いまさら</t>
  </si>
  <si>
    <t>今更[いまさら]</t>
  </si>
  <si>
    <t>đến lúc này</t>
  </si>
  <si>
    <t>今更言えない。</t>
  </si>
  <si>
    <t>Đến lúc này không thể nói.</t>
  </si>
  <si>
    <t>便宜</t>
  </si>
  <si>
    <t>べんぎ</t>
  </si>
  <si>
    <t>便宜[べんぎ]</t>
  </si>
  <si>
    <t>利用者に便宜を図る。</t>
  </si>
  <si>
    <t>Tạo điều kiện thuận lợi cho người dùng.</t>
  </si>
  <si>
    <t>免除</t>
  </si>
  <si>
    <t>めんじょ</t>
  </si>
  <si>
    <t>免除[めんじょ]</t>
  </si>
  <si>
    <t>miễn trừ</t>
  </si>
  <si>
    <t>税金を免除する。</t>
  </si>
  <si>
    <t>Miễn trừ thuế.</t>
  </si>
  <si>
    <t>公募</t>
  </si>
  <si>
    <t>こうぼ</t>
  </si>
  <si>
    <t>公募[こうぼ]</t>
  </si>
  <si>
    <t>tuyển mộ</t>
  </si>
  <si>
    <t>新しいデザインを公募する。</t>
  </si>
  <si>
    <t>Tuyển mộ thiết kế mới.</t>
  </si>
  <si>
    <t>創刊</t>
  </si>
  <si>
    <t>そうかん</t>
  </si>
  <si>
    <t>創刊[そうかん]</t>
  </si>
  <si>
    <t>雑誌を創刊する。</t>
  </si>
  <si>
    <t>Xuất bản tạp chí.</t>
  </si>
  <si>
    <t>助動詞</t>
  </si>
  <si>
    <t>じょどうし</t>
  </si>
  <si>
    <t>助動詞[じょどうし]</t>
  </si>
  <si>
    <t>trợ động từ</t>
  </si>
  <si>
    <t>助動詞を学ぶ。</t>
  </si>
  <si>
    <t>Học trợ động từ.</t>
  </si>
  <si>
    <t>勤労</t>
  </si>
  <si>
    <t>きんろう</t>
  </si>
  <si>
    <t>勤労[きんろう]</t>
  </si>
  <si>
    <t>勤労の喜びを知る。</t>
  </si>
  <si>
    <t>Biết được niềm vui lao động.</t>
  </si>
  <si>
    <t>反感</t>
  </si>
  <si>
    <t>はんかん</t>
  </si>
  <si>
    <t>反感[はんかん]</t>
  </si>
  <si>
    <t>phản cảm</t>
  </si>
  <si>
    <t>人々の反感を買う。</t>
  </si>
  <si>
    <t>Mua lấy sự phản cảm của mọi người.</t>
  </si>
  <si>
    <t>多数決</t>
  </si>
  <si>
    <t>たすうけつ</t>
  </si>
  <si>
    <t>多数決[たすうけつ]</t>
  </si>
  <si>
    <t>đa số thắng</t>
  </si>
  <si>
    <t>多数決で決める。</t>
  </si>
  <si>
    <t>Quyết định bằng đa số thắng.</t>
  </si>
  <si>
    <t>奮闘</t>
  </si>
  <si>
    <t>ふんとう</t>
  </si>
  <si>
    <t>奮闘[ふんとう]</t>
  </si>
  <si>
    <t>phấn đấu</t>
  </si>
  <si>
    <t>試合に奮闘する。</t>
  </si>
  <si>
    <t>Phấn đấu trong trận đấu.</t>
  </si>
  <si>
    <t>繁殖</t>
  </si>
  <si>
    <t>はんしょく</t>
  </si>
  <si>
    <t>繁殖[はんしょく]</t>
  </si>
  <si>
    <t>sinh sản</t>
  </si>
  <si>
    <t>動物が繁殖する。</t>
  </si>
  <si>
    <t>Động vật sinh sản.</t>
  </si>
  <si>
    <t>考古学</t>
  </si>
  <si>
    <t>こうこがく</t>
  </si>
  <si>
    <t>考古学[こうこがく]</t>
  </si>
  <si>
    <t>khảo cổ học</t>
  </si>
  <si>
    <t>考古学の研究。</t>
  </si>
  <si>
    <t>Nghiên cứu khảo cổ học.</t>
  </si>
  <si>
    <t>許容</t>
  </si>
  <si>
    <t>きょよう</t>
  </si>
  <si>
    <t>許容[きょよう]</t>
  </si>
  <si>
    <t>許容の範囲内。</t>
  </si>
  <si>
    <t>Trong phạm vi cho phép.</t>
  </si>
  <si>
    <t>調停</t>
  </si>
  <si>
    <t>ちょうてい</t>
  </si>
  <si>
    <t>調停[ちょうてい]</t>
  </si>
  <si>
    <t>hòa giải</t>
  </si>
  <si>
    <t>紛争を調停する。</t>
  </si>
  <si>
    <t>Hòa giải tranh chấp.</t>
  </si>
  <si>
    <t>辛抱</t>
  </si>
  <si>
    <t>しんぼう</t>
  </si>
  <si>
    <t>辛抱[しんぼう]</t>
  </si>
  <si>
    <t>nhẫn nại</t>
  </si>
  <si>
    <t>辛抱が足りない。</t>
  </si>
  <si>
    <t>Không đủ nhẫn nại.</t>
  </si>
  <si>
    <t>間柄</t>
  </si>
  <si>
    <t>あいだがら</t>
  </si>
  <si>
    <t>間柄[あいだがら]</t>
  </si>
  <si>
    <t>親しい間柄。</t>
  </si>
  <si>
    <t>Mối quan hệ thân thiết.</t>
  </si>
  <si>
    <t>いやに</t>
  </si>
  <si>
    <t>kinh khủng</t>
  </si>
  <si>
    <t>今日はいやに暑い。</t>
  </si>
  <si>
    <t>Hôm nay nóng kinh khủng.</t>
  </si>
  <si>
    <t>とかく</t>
  </si>
  <si>
    <t>dù sao thì</t>
  </si>
  <si>
    <t>とかく問題になりやすい。</t>
  </si>
  <si>
    <t>Dù sao thì cũng dễ gây vấn đề.</t>
  </si>
  <si>
    <t>乏しい</t>
  </si>
  <si>
    <t>とぼしい</t>
  </si>
  <si>
    <t>乏[とぼ]しい</t>
  </si>
  <si>
    <t>thiếu thốn</t>
  </si>
  <si>
    <t>資金が乏しい。</t>
  </si>
  <si>
    <t>Thiếu vốn.</t>
  </si>
  <si>
    <t>偽造</t>
  </si>
  <si>
    <t>ぎぞう</t>
  </si>
  <si>
    <t>偽造[ぎぞう]</t>
  </si>
  <si>
    <t>làm giả</t>
  </si>
  <si>
    <t>文書を偽造する。</t>
  </si>
  <si>
    <t>Làm giả tài liệu.</t>
  </si>
  <si>
    <t>優越</t>
  </si>
  <si>
    <t>ゆうえつ</t>
  </si>
  <si>
    <t>優越[ゆうえつ]</t>
  </si>
  <si>
    <t>優越感に浸る。</t>
  </si>
  <si>
    <t>Đắm chìm trong cảm giác ưu việt.</t>
  </si>
  <si>
    <t>前置き</t>
  </si>
  <si>
    <t>まえおき</t>
  </si>
  <si>
    <t>前置[まえお]き</t>
  </si>
  <si>
    <t>lời mở đầu</t>
  </si>
  <si>
    <t>前置きが長い話。</t>
  </si>
  <si>
    <t>Câu chuyện có lời mở đầu dài.</t>
  </si>
  <si>
    <t>勘弁</t>
  </si>
  <si>
    <t>かんべん</t>
  </si>
  <si>
    <t>勘弁[かんべん]</t>
  </si>
  <si>
    <t>もう勘弁してくれ。</t>
  </si>
  <si>
    <t>Hãy tha thứ cho tôi.</t>
  </si>
  <si>
    <t>原書</t>
  </si>
  <si>
    <t>げんしょ</t>
  </si>
  <si>
    <t>原書[げんしょ]</t>
  </si>
  <si>
    <t>外国語の原書。</t>
  </si>
  <si>
    <t>Nguyên bản ngoại ngữ.</t>
  </si>
  <si>
    <t>取り次ぐ</t>
  </si>
  <si>
    <t>とりつぐ</t>
  </si>
  <si>
    <t>取[と]り次[つ]ぐ</t>
  </si>
  <si>
    <t>chuyển lời</t>
  </si>
  <si>
    <t>電話を取り次ぐ。</t>
  </si>
  <si>
    <t>Chuyển lời cuộc gọi.</t>
  </si>
  <si>
    <t>同封</t>
  </si>
  <si>
    <t>どうふう</t>
  </si>
  <si>
    <t>同封[どうふう]</t>
  </si>
  <si>
    <t>gửi kèm</t>
  </si>
  <si>
    <t>書類を同封する。</t>
  </si>
  <si>
    <t>Gửi kèm tài liệu.</t>
  </si>
  <si>
    <t>吟味</t>
  </si>
  <si>
    <t>ぎんみ</t>
  </si>
  <si>
    <t>吟味[ぎんみ]</t>
  </si>
  <si>
    <t>材料を吟味する。</t>
  </si>
  <si>
    <t>Xem xét nguyên liệu.</t>
  </si>
  <si>
    <t>嘘つき</t>
  </si>
  <si>
    <t>うそつき</t>
  </si>
  <si>
    <t>嘘[うそ]つき</t>
  </si>
  <si>
    <t>kẻ nói dối</t>
  </si>
  <si>
    <t>嘘つきな人は嫌いだ。</t>
  </si>
  <si>
    <t>Tôi ghét người nói dối.</t>
  </si>
  <si>
    <t>噴出</t>
  </si>
  <si>
    <t>ふんしゅつ</t>
  </si>
  <si>
    <t>噴出[ふんしゅつ]</t>
  </si>
  <si>
    <t>phun ra</t>
  </si>
  <si>
    <t>ガスが噴出する。</t>
  </si>
  <si>
    <t>Khí phun ra.</t>
  </si>
  <si>
    <t>始発</t>
  </si>
  <si>
    <t>しはつ</t>
  </si>
  <si>
    <t>始発[しはつ]</t>
  </si>
  <si>
    <t>chuyến đầu</t>
  </si>
  <si>
    <t>始発に乗る。</t>
  </si>
  <si>
    <t>Đi chuyến đầu.</t>
  </si>
  <si>
    <t>学説</t>
  </si>
  <si>
    <t>がくせつ</t>
  </si>
  <si>
    <t>学説[がくせつ]</t>
  </si>
  <si>
    <t>học thuyết</t>
  </si>
  <si>
    <t>新しい学説を立てる。</t>
  </si>
  <si>
    <t>Thiết lập học thuyết mới.</t>
  </si>
  <si>
    <t>沈黙</t>
  </si>
  <si>
    <t>ちんもく</t>
  </si>
  <si>
    <t>沈黙[ちんもく]</t>
  </si>
  <si>
    <t>sự im lặng</t>
  </si>
  <si>
    <t>沈黙を守る。</t>
  </si>
  <si>
    <t>Giữ im lặng.</t>
  </si>
  <si>
    <t>疲労</t>
  </si>
  <si>
    <t>疲労[ひろう]</t>
  </si>
  <si>
    <t>疲労を蓄積する。</t>
  </si>
  <si>
    <t>Tích tụ sự mệt mỏi.</t>
  </si>
  <si>
    <t>真相</t>
  </si>
  <si>
    <t>しんそう</t>
  </si>
  <si>
    <t>真相[しんそう]</t>
  </si>
  <si>
    <t>chân tướng</t>
  </si>
  <si>
    <t>真相を究明する。</t>
  </si>
  <si>
    <t>Điều tra chân tướng.</t>
  </si>
  <si>
    <t>破損</t>
  </si>
  <si>
    <t>はそん</t>
  </si>
  <si>
    <t>破損[はそん]</t>
  </si>
  <si>
    <t>hư hỏng</t>
  </si>
  <si>
    <t>商品を破損する。</t>
  </si>
  <si>
    <t>Làm hư hỏng hàng hóa.</t>
  </si>
  <si>
    <t>結合</t>
  </si>
  <si>
    <t>けつごう</t>
  </si>
  <si>
    <t>結合[けつごう]</t>
  </si>
  <si>
    <t>原子が結合する。</t>
  </si>
  <si>
    <t>Các nguyên tử kết hợp.</t>
  </si>
  <si>
    <t>船舶</t>
  </si>
  <si>
    <t>せんぱく</t>
  </si>
  <si>
    <t>船舶[せんぱく]</t>
  </si>
  <si>
    <t>tàu thuyền</t>
  </si>
  <si>
    <t>船舶を検査する。</t>
  </si>
  <si>
    <t>Kiểm tra tàu thuyền.</t>
  </si>
  <si>
    <t>覚え</t>
  </si>
  <si>
    <t>おぼえ</t>
  </si>
  <si>
    <t>覚[おぼ]え</t>
  </si>
  <si>
    <t>覚えが早い。</t>
  </si>
  <si>
    <t>Ghi nhớ nhanh.</t>
  </si>
  <si>
    <t>辞職</t>
  </si>
  <si>
    <t>じしょく</t>
  </si>
  <si>
    <t>辞職[じしょく]</t>
  </si>
  <si>
    <t>từ chức</t>
  </si>
  <si>
    <t>部長が辞職する。</t>
  </si>
  <si>
    <t>Trưởng phòng từ chức.</t>
  </si>
  <si>
    <t>逃亡</t>
  </si>
  <si>
    <t>とうぼう</t>
  </si>
  <si>
    <t>逃亡[とうぼう]</t>
  </si>
  <si>
    <t>bỏ trốn</t>
  </si>
  <si>
    <t>現場から逃亡する。</t>
  </si>
  <si>
    <t>Bỏ trốn khỏi hiện trường.</t>
  </si>
  <si>
    <t>遭難</t>
  </si>
  <si>
    <t>そうなん</t>
  </si>
  <si>
    <t>遭難[そうなん]</t>
  </si>
  <si>
    <t>gặp nạn</t>
  </si>
  <si>
    <t>山で遭難する。</t>
  </si>
  <si>
    <t>Gặp nạn trên núi.</t>
  </si>
  <si>
    <t>配列</t>
  </si>
  <si>
    <t>はいれつ</t>
  </si>
  <si>
    <t>配列[はいれつ]</t>
  </si>
  <si>
    <t>データを配列する。</t>
  </si>
  <si>
    <t>Sắp xếp dữ liệu.</t>
  </si>
  <si>
    <t>防火</t>
  </si>
  <si>
    <t>ぼうか</t>
  </si>
  <si>
    <t>防火[ぼうか]</t>
  </si>
  <si>
    <t>phòng cháy</t>
  </si>
  <si>
    <t>防火設備。</t>
  </si>
  <si>
    <t>Thiết bị phòng cháy.</t>
  </si>
  <si>
    <t>雑談</t>
  </si>
  <si>
    <t>ざつだん</t>
  </si>
  <si>
    <t>雑談[ざつだん]</t>
  </si>
  <si>
    <t>tán gẫu</t>
  </si>
  <si>
    <t>雑談に花が咲く。</t>
  </si>
  <si>
    <t>Tán gẫu sôi nổi.</t>
  </si>
  <si>
    <t>飽和</t>
  </si>
  <si>
    <t>ほうわ</t>
  </si>
  <si>
    <t>飽和[ほうわ]</t>
  </si>
  <si>
    <t>bão hòa</t>
  </si>
  <si>
    <t>市場が飽和する。</t>
  </si>
  <si>
    <t>Thị trường bị bão hòa.</t>
  </si>
  <si>
    <t>動的</t>
  </si>
  <si>
    <t>どうてき</t>
  </si>
  <si>
    <t>動的[どうてき]</t>
  </si>
  <si>
    <t>năng động</t>
  </si>
  <si>
    <t>動的なウェブサイトを作る。</t>
  </si>
  <si>
    <t>Tạo một trang web năng động.</t>
  </si>
  <si>
    <t>かろうじて</t>
  </si>
  <si>
    <t>suýt soát</t>
  </si>
  <si>
    <t>かろうじて間に合った。</t>
  </si>
  <si>
    <t>Suýt soát thì kịp.</t>
  </si>
  <si>
    <t>ジーパン</t>
  </si>
  <si>
    <t>じーぱん</t>
  </si>
  <si>
    <t>ジーパンを履く。</t>
  </si>
  <si>
    <t>Mặc quần jean.</t>
  </si>
  <si>
    <t>ナプキン</t>
  </si>
  <si>
    <t>なぷきん</t>
  </si>
  <si>
    <t>khăn giấy</t>
  </si>
  <si>
    <t>ナプキンを使う。</t>
  </si>
  <si>
    <t>Sử dụng khăn giấy.</t>
  </si>
  <si>
    <t>まさしく</t>
  </si>
  <si>
    <t>これはまさしく真実だ。</t>
  </si>
  <si>
    <t>Đây chính xác là sự thật.</t>
  </si>
  <si>
    <t>もめる</t>
  </si>
  <si>
    <t>xích mích</t>
  </si>
  <si>
    <t>家族ともめる。</t>
  </si>
  <si>
    <t>Xích mích với gia đình.</t>
  </si>
  <si>
    <t>丈</t>
  </si>
  <si>
    <t>丈[たけ]</t>
  </si>
  <si>
    <t>chiều dài</t>
  </si>
  <si>
    <t>ズボンの丈。</t>
  </si>
  <si>
    <t>Chiều dài của quần.</t>
  </si>
  <si>
    <t>人柄</t>
  </si>
  <si>
    <t>ひとがら</t>
  </si>
  <si>
    <t>人柄[ひとがら]</t>
  </si>
  <si>
    <t>nhân phẩm</t>
  </si>
  <si>
    <t>人柄が良い。</t>
  </si>
  <si>
    <t>Nhân phẩm tốt.</t>
  </si>
  <si>
    <t>健やか</t>
  </si>
  <si>
    <t>すこやか</t>
  </si>
  <si>
    <t>健[すこ]やか</t>
  </si>
  <si>
    <t>健やかな成長を願う。</t>
  </si>
  <si>
    <t>Cầu mong sự phát triển khỏe mạnh.</t>
  </si>
  <si>
    <t>冷やかす</t>
  </si>
  <si>
    <t>ひやかす</t>
  </si>
  <si>
    <t>冷[ひ]やかす</t>
  </si>
  <si>
    <t>彼女を冷やかす。</t>
  </si>
  <si>
    <t>Trêu chọc cô ấy.</t>
  </si>
  <si>
    <t>刑罰</t>
  </si>
  <si>
    <t>けいばつ</t>
  </si>
  <si>
    <t>刑罰[けいばつ]</t>
  </si>
  <si>
    <t>hình phạt</t>
  </si>
  <si>
    <t>重い刑罰を科す。</t>
  </si>
  <si>
    <t>Áp đặt hình phạt nặng.</t>
  </si>
  <si>
    <t>利潤</t>
  </si>
  <si>
    <t>りじゅん</t>
  </si>
  <si>
    <t>利潤[りじゅん]</t>
  </si>
  <si>
    <t>利潤を追求する。</t>
  </si>
  <si>
    <t>Theo đuổi lợi nhuận.</t>
  </si>
  <si>
    <t>化石</t>
  </si>
  <si>
    <t>かせき</t>
  </si>
  <si>
    <t>化石[かせき]</t>
  </si>
  <si>
    <t>hóa thạch</t>
  </si>
  <si>
    <t>恐竜の化石を見つける。</t>
  </si>
  <si>
    <t>Tìm thấy hóa thạch khủng long.</t>
  </si>
  <si>
    <t>同い年</t>
  </si>
  <si>
    <t>おないどし</t>
  </si>
  <si>
    <t>同[おな]い年[どし]</t>
  </si>
  <si>
    <t>bằng tuổi</t>
  </si>
  <si>
    <t>彼女は私と同い年だ。</t>
  </si>
  <si>
    <t>Cô ấy bằng tuổi tôi.</t>
  </si>
  <si>
    <t>否決</t>
  </si>
  <si>
    <t>ひけつ</t>
  </si>
  <si>
    <t>否決[ひけつ]</t>
  </si>
  <si>
    <t>bác bỏ</t>
  </si>
  <si>
    <t>法案を否決する。</t>
  </si>
  <si>
    <t>Bác bỏ dự luật.</t>
  </si>
  <si>
    <t>境遇</t>
  </si>
  <si>
    <t>きょうぐう</t>
  </si>
  <si>
    <t>境遇[きょうぐう]</t>
  </si>
  <si>
    <t>境遇に負けない。</t>
  </si>
  <si>
    <t>Không chịu thua hoàn cảnh.</t>
  </si>
  <si>
    <t>墓地</t>
  </si>
  <si>
    <t>ぼち</t>
  </si>
  <si>
    <t>墓地[ぼち]</t>
  </si>
  <si>
    <t>nghĩa địa</t>
  </si>
  <si>
    <t>墓地にお参りする。</t>
  </si>
  <si>
    <t>Viếng nghĩa địa.</t>
  </si>
  <si>
    <t>外来</t>
  </si>
  <si>
    <t>がいらい</t>
  </si>
  <si>
    <t>外来[がいらい]</t>
  </si>
  <si>
    <t>ngoại lai</t>
  </si>
  <si>
    <t>外来の言葉。</t>
  </si>
  <si>
    <t>Từ ngữ ngoại lai.</t>
  </si>
  <si>
    <t>天体</t>
  </si>
  <si>
    <t>てんたい</t>
  </si>
  <si>
    <t>天体[てんたい]</t>
  </si>
  <si>
    <t>thiên thể</t>
  </si>
  <si>
    <t>天体の観測。</t>
  </si>
  <si>
    <t>Quan sát thiên thể.</t>
  </si>
  <si>
    <t>準じる</t>
  </si>
  <si>
    <t>じゅんじる</t>
  </si>
  <si>
    <t>準[じゅん]じる</t>
  </si>
  <si>
    <t>規則に準じる対応。</t>
  </si>
  <si>
    <t>Đối ứng tuân theo quy định.</t>
  </si>
  <si>
    <t>絡む</t>
  </si>
  <si>
    <t>からむ</t>
  </si>
  <si>
    <t>絡[から]む</t>
  </si>
  <si>
    <t>vướng vào</t>
  </si>
  <si>
    <t>複雑に絡む問題。</t>
  </si>
  <si>
    <t>Vấn đề vướng vào phức tạp.</t>
  </si>
  <si>
    <t>腐敗</t>
  </si>
  <si>
    <t>ふはい</t>
  </si>
  <si>
    <t>腐敗[ふはい]</t>
  </si>
  <si>
    <t>hủ bại</t>
  </si>
  <si>
    <t>社会が腐敗する。</t>
  </si>
  <si>
    <t>Xã hội bị hủ bại.</t>
  </si>
  <si>
    <t>誘惑</t>
  </si>
  <si>
    <t>ゆうわく</t>
  </si>
  <si>
    <t>誘惑[ゆうわく]</t>
  </si>
  <si>
    <t>cám dỗ</t>
  </si>
  <si>
    <t>誘惑に負ける。</t>
  </si>
  <si>
    <t>Thua trước cám dỗ.</t>
  </si>
  <si>
    <t>護衛</t>
  </si>
  <si>
    <t>ごえい</t>
  </si>
  <si>
    <t>護衛[ごえい]</t>
  </si>
  <si>
    <t>要人を護衛する。</t>
  </si>
  <si>
    <t>Bảo vệ yếu nhân.</t>
  </si>
  <si>
    <t>賢明</t>
  </si>
  <si>
    <t>賢明[けんめい]</t>
  </si>
  <si>
    <t>sáng suốt</t>
  </si>
  <si>
    <t>賢明な判断。</t>
  </si>
  <si>
    <t>Phán đoán sáng suốt.</t>
  </si>
  <si>
    <t>農場</t>
  </si>
  <si>
    <t>のうじょう</t>
  </si>
  <si>
    <t>農場[のうじょう]</t>
  </si>
  <si>
    <t>nông trại</t>
  </si>
  <si>
    <t>農場で働く。</t>
  </si>
  <si>
    <t>Làm việc tại nông trại.</t>
  </si>
  <si>
    <t>逃げ出す</t>
  </si>
  <si>
    <t>にげだす</t>
  </si>
  <si>
    <t>逃[に]げ出[だ]す</t>
  </si>
  <si>
    <t>家から逃げ出す。</t>
  </si>
  <si>
    <t>Chạy trốn khỏi nhà.</t>
  </si>
  <si>
    <t>連盟</t>
  </si>
  <si>
    <t>れんめい</t>
  </si>
  <si>
    <t>連盟[れんめい]</t>
  </si>
  <si>
    <t>スポーツ連盟。</t>
  </si>
  <si>
    <t>Liên minh thể thao.</t>
  </si>
  <si>
    <t>遠方</t>
  </si>
  <si>
    <t>えんぽう</t>
  </si>
  <si>
    <t>遠方[えんぽう]</t>
  </si>
  <si>
    <t>phương xa</t>
  </si>
  <si>
    <t>遠方から来る。</t>
  </si>
  <si>
    <t>Đến từ phương xa.</t>
  </si>
  <si>
    <t>重んずる</t>
  </si>
  <si>
    <t>おもんずる</t>
  </si>
  <si>
    <t>重[おも]んずる</t>
  </si>
  <si>
    <t>人命を重んずる。</t>
  </si>
  <si>
    <t>Trọng tâm tính mạng con người.</t>
  </si>
  <si>
    <t>雄</t>
  </si>
  <si>
    <t>雄[おす]</t>
  </si>
  <si>
    <t>giống đực</t>
  </si>
  <si>
    <t>雄の猫。</t>
  </si>
  <si>
    <t>Con mèo giống đực.</t>
  </si>
  <si>
    <t>雌</t>
  </si>
  <si>
    <t>めす</t>
  </si>
  <si>
    <t>雌[めす]</t>
  </si>
  <si>
    <t>giống cái</t>
  </si>
  <si>
    <t>雌の鳥。</t>
  </si>
  <si>
    <t>Con chim giống cái.</t>
  </si>
  <si>
    <t>頑丈</t>
  </si>
  <si>
    <t>がんじょう</t>
  </si>
  <si>
    <t>頑丈[がんじょう]</t>
  </si>
  <si>
    <t>頑丈な鍵。</t>
  </si>
  <si>
    <t>Chìa khóa chắc chắn.</t>
  </si>
  <si>
    <t>顧みる</t>
  </si>
  <si>
    <t>かえりみる</t>
  </si>
  <si>
    <t>顧[かえり]みる</t>
  </si>
  <si>
    <t>hồi tưởng</t>
  </si>
  <si>
    <t>過去を顧みる。</t>
  </si>
  <si>
    <t>Hồi tưởng lại quá khứ.</t>
  </si>
  <si>
    <t>風土</t>
  </si>
  <si>
    <t>ふうど</t>
  </si>
  <si>
    <t>風土[ふうど]</t>
  </si>
  <si>
    <t>phong thổ</t>
  </si>
  <si>
    <t>日本の風土。</t>
  </si>
  <si>
    <t>Phong thổ Nhật Bản.</t>
  </si>
  <si>
    <t>いっそ</t>
  </si>
  <si>
    <t>いっそやめてしまおう。</t>
  </si>
  <si>
    <t>Thà rằng bỏ cuộc đi thôi.</t>
  </si>
  <si>
    <t>カンニング</t>
  </si>
  <si>
    <t>かんにんぐ</t>
  </si>
  <si>
    <t>gian lận</t>
  </si>
  <si>
    <t>試験でカンニングする。</t>
  </si>
  <si>
    <t>Gian lận trong kỳ thi.</t>
  </si>
  <si>
    <t>きちっと</t>
  </si>
  <si>
    <t>chỉnh tề</t>
  </si>
  <si>
    <t>ネクタイをきちっと締める。</t>
  </si>
  <si>
    <t>Thắt cà vạt chỉnh tề.</t>
  </si>
  <si>
    <t>ジャンパー</t>
  </si>
  <si>
    <t>じゃんぱー</t>
  </si>
  <si>
    <t>暖かいジャンパーを着る。</t>
  </si>
  <si>
    <t>Mặc chiếc áo khoác ấm.</t>
  </si>
  <si>
    <t>すれちがい</t>
  </si>
  <si>
    <t>lướt qua</t>
  </si>
  <si>
    <t>駅ですれちがう。</t>
  </si>
  <si>
    <t>Lướt qua nhau ở nhà ga.</t>
  </si>
  <si>
    <t>タイル</t>
  </si>
  <si>
    <t>たいる</t>
  </si>
  <si>
    <t>gạch men</t>
  </si>
  <si>
    <t>タイルを張る。</t>
  </si>
  <si>
    <t>Lát gạch men.</t>
  </si>
  <si>
    <t>ちらっと</t>
  </si>
  <si>
    <t>liếc qua</t>
  </si>
  <si>
    <t>時計をちらっと見る。</t>
  </si>
  <si>
    <t>Liếc nhìn đồng hồ.</t>
  </si>
  <si>
    <t>てっきり</t>
  </si>
  <si>
    <t>cứ tưởng</t>
  </si>
  <si>
    <t>てっきり合格だと思った。</t>
  </si>
  <si>
    <t>Tôi cứ tưởng là đỗ rồi.</t>
  </si>
  <si>
    <t>ヤング</t>
  </si>
  <si>
    <t>やんぐ</t>
  </si>
  <si>
    <t>giới trẻ</t>
  </si>
  <si>
    <t>ヤング向けの商品。</t>
  </si>
  <si>
    <t>Sản phẩm dành cho giới trẻ.</t>
  </si>
  <si>
    <t>上空</t>
  </si>
  <si>
    <t>じょうくう</t>
  </si>
  <si>
    <t>上空[じょうくう]</t>
  </si>
  <si>
    <t>上空を飛ぶ。</t>
  </si>
  <si>
    <t>Bay trên bầu trời.</t>
  </si>
  <si>
    <t>主観</t>
  </si>
  <si>
    <t>しゅかん</t>
  </si>
  <si>
    <t>主観[しゅかん]</t>
  </si>
  <si>
    <t>chủ quan</t>
  </si>
  <si>
    <t>主観で判断する。</t>
  </si>
  <si>
    <t>Phán đoán bằng sự chủ quan.</t>
  </si>
  <si>
    <t>予感</t>
  </si>
  <si>
    <t>よかん</t>
  </si>
  <si>
    <t>予感[よかん]</t>
  </si>
  <si>
    <t>linh cảm</t>
  </si>
  <si>
    <t>悪い予感がする。</t>
  </si>
  <si>
    <t>Có linh cảm xấu.</t>
  </si>
  <si>
    <t>交互</t>
  </si>
  <si>
    <t>こうご</t>
  </si>
  <si>
    <t>交互[こうご]</t>
  </si>
  <si>
    <t>交互に話す。</t>
  </si>
  <si>
    <t>Nói chuyện lẫn nhau.</t>
  </si>
  <si>
    <t>交付</t>
  </si>
  <si>
    <t>こうふ</t>
  </si>
  <si>
    <t>交付[こうふ]</t>
  </si>
  <si>
    <t>cấp phát</t>
  </si>
  <si>
    <t>免許を交付する。</t>
  </si>
  <si>
    <t>Cấp phát giấy phép.</t>
  </si>
  <si>
    <t>任命</t>
  </si>
  <si>
    <t>にんめい</t>
  </si>
  <si>
    <t>任命[にんめい]</t>
  </si>
  <si>
    <t>bổ nhiệm</t>
  </si>
  <si>
    <t>リーダーを任命する。</t>
  </si>
  <si>
    <t>Bổ nhiệm trưởng nhóm.</t>
  </si>
  <si>
    <t>共和</t>
  </si>
  <si>
    <t>きょうわ</t>
  </si>
  <si>
    <t>共和[きょうわ]</t>
  </si>
  <si>
    <t>cộng hòa</t>
  </si>
  <si>
    <t>共和制の国。</t>
  </si>
  <si>
    <t>Quốc gia theo chế độ cộng hòa.</t>
  </si>
  <si>
    <t>円満</t>
  </si>
  <si>
    <t>えんまん</t>
  </si>
  <si>
    <t>円満[えんまん]</t>
  </si>
  <si>
    <t>viên mãn</t>
  </si>
  <si>
    <t>円満な解決を図る。</t>
  </si>
  <si>
    <t>Tìm kiếm giải pháp viên mãn.</t>
  </si>
  <si>
    <t>単調</t>
  </si>
  <si>
    <t>たんちょう</t>
  </si>
  <si>
    <t>単調[たんちょう]</t>
  </si>
  <si>
    <t>đơn điệu</t>
  </si>
  <si>
    <t>単調な作業を繰り返す。</t>
  </si>
  <si>
    <t>Lặp lại công việc đơn điệu.</t>
  </si>
  <si>
    <t>危ぶむ</t>
  </si>
  <si>
    <t>あやぶむ</t>
  </si>
  <si>
    <t>危[あや]ぶむ</t>
  </si>
  <si>
    <t>成功を危ぶむ。</t>
  </si>
  <si>
    <t>Nghi ngờ về sự thành công.</t>
  </si>
  <si>
    <t>台無し</t>
  </si>
  <si>
    <t>だいなし</t>
  </si>
  <si>
    <t>台無[だいな]し</t>
  </si>
  <si>
    <t>phá hỏng</t>
  </si>
  <si>
    <t>準備を台無しにする。</t>
  </si>
  <si>
    <t>Phá hỏng sự chuẩn bị.</t>
  </si>
  <si>
    <t>合議</t>
  </si>
  <si>
    <t>ごうぎ</t>
  </si>
  <si>
    <t>合議[ごうぎ]</t>
  </si>
  <si>
    <t>hội ý</t>
  </si>
  <si>
    <t>合議を重ねる。</t>
  </si>
  <si>
    <t>Hội ý nhiều lần.</t>
  </si>
  <si>
    <t>同級</t>
  </si>
  <si>
    <t>どうきゅう</t>
  </si>
  <si>
    <t>同級[どうきゅう]</t>
  </si>
  <si>
    <t>cùng cấp</t>
  </si>
  <si>
    <t>同級の友人と遊ぶ。</t>
  </si>
  <si>
    <t>Chơi với bạn cùng cấp.</t>
  </si>
  <si>
    <t>呆然</t>
  </si>
  <si>
    <t>ぼうぜん</t>
  </si>
  <si>
    <t>呆然[ぼうぜん]</t>
  </si>
  <si>
    <t>ngẩn ngơ</t>
  </si>
  <si>
    <t>呆然として立ち尽くす。</t>
  </si>
  <si>
    <t>Đứng ngẩn ngơ.</t>
  </si>
  <si>
    <t>和やか</t>
  </si>
  <si>
    <t>なごやか</t>
  </si>
  <si>
    <t>和[なご]やか</t>
  </si>
  <si>
    <t>和やかな雰囲気。</t>
  </si>
  <si>
    <t>Không khí hòa bình.</t>
  </si>
  <si>
    <t>喜劇</t>
  </si>
  <si>
    <t>きげき</t>
  </si>
  <si>
    <t>喜劇[きげき]</t>
  </si>
  <si>
    <t>hài kịch</t>
  </si>
  <si>
    <t>喜劇を鑑賞する。</t>
  </si>
  <si>
    <t>Thưởng thức hài kịch.</t>
  </si>
  <si>
    <t>外貨</t>
  </si>
  <si>
    <t>がいか</t>
  </si>
  <si>
    <t>外貨[がいか]</t>
  </si>
  <si>
    <t>ngoại tệ</t>
  </si>
  <si>
    <t>外貨を稼ぐ。</t>
  </si>
  <si>
    <t>Kiếm ngoại tệ.</t>
  </si>
  <si>
    <t>大空</t>
  </si>
  <si>
    <t>おおぞら</t>
  </si>
  <si>
    <t>大空[おおぞら]</t>
  </si>
  <si>
    <t>大空を飛ぶ。</t>
  </si>
  <si>
    <t>根底</t>
  </si>
  <si>
    <t>こんてい</t>
  </si>
  <si>
    <t>根底[こんてい]</t>
  </si>
  <si>
    <t>思想の根底にあるもの。</t>
  </si>
  <si>
    <t>Thứ nằm ở nền tảng của tư tưởng.</t>
  </si>
  <si>
    <t>歯科</t>
  </si>
  <si>
    <t>しか</t>
  </si>
  <si>
    <t>歯科[しか]</t>
  </si>
  <si>
    <t>nha khoa</t>
  </si>
  <si>
    <t>歯科に行く。</t>
  </si>
  <si>
    <t>Đi đến nha khoa.</t>
  </si>
  <si>
    <t>残酷</t>
  </si>
  <si>
    <t>ざんこく</t>
  </si>
  <si>
    <t>残酷[ざんこく]</t>
  </si>
  <si>
    <t>tàn khốc</t>
  </si>
  <si>
    <t>残酷な仕打ちを受ける。</t>
  </si>
  <si>
    <t>Phải chịu sự đối xử tàn khốc.</t>
  </si>
  <si>
    <t>簡易</t>
  </si>
  <si>
    <t>かんい</t>
  </si>
  <si>
    <t>簡易[かんい]</t>
  </si>
  <si>
    <t>簡易な食事をとる。</t>
  </si>
  <si>
    <t>Ăn bữa ăn đơn giản.</t>
  </si>
  <si>
    <t>経路</t>
  </si>
  <si>
    <t>けいろ</t>
  </si>
  <si>
    <t>経路[けいろ]</t>
  </si>
  <si>
    <t>lộ trình</t>
  </si>
  <si>
    <t>最短の経路を行く。</t>
  </si>
  <si>
    <t>Đi theo lộ trình ngắn nhất.</t>
  </si>
  <si>
    <t>背く</t>
  </si>
  <si>
    <t>そむく</t>
  </si>
  <si>
    <t>背[そむ]く</t>
  </si>
  <si>
    <t>làm trái</t>
  </si>
  <si>
    <t>命令に背く。</t>
  </si>
  <si>
    <t>Làm trái mệnh lệnh.</t>
  </si>
  <si>
    <t>見合わせる</t>
  </si>
  <si>
    <t>みあわせる</t>
  </si>
  <si>
    <t>見合[みあ]わせる</t>
  </si>
  <si>
    <t>tạm hoãn</t>
  </si>
  <si>
    <t>運行を見合わせる。</t>
  </si>
  <si>
    <t>Tạm hoãn vận hành.</t>
  </si>
  <si>
    <t>講習</t>
  </si>
  <si>
    <t>こうしゅう</t>
  </si>
  <si>
    <t>講習[こうしゅう]</t>
  </si>
  <si>
    <t>講習を受ける。</t>
  </si>
  <si>
    <t>Tham gia khóa học.</t>
  </si>
  <si>
    <t>賑わう</t>
  </si>
  <si>
    <t>にぎわう</t>
  </si>
  <si>
    <t>賑[にぎ]わう</t>
  </si>
  <si>
    <t>通りが賑わう。</t>
  </si>
  <si>
    <t>Con phố đông đúc.</t>
  </si>
  <si>
    <t>道場</t>
  </si>
  <si>
    <t>道場[どうじょう]</t>
  </si>
  <si>
    <t>võ đường</t>
  </si>
  <si>
    <t>道場で稽古する。</t>
  </si>
  <si>
    <t>Luyện tập tại võ đường.</t>
  </si>
  <si>
    <t>食い違う</t>
  </si>
  <si>
    <t>くいちがう</t>
  </si>
  <si>
    <t>食[く]い違[ちが]う</t>
  </si>
  <si>
    <t>bất đồng</t>
  </si>
  <si>
    <t>意見が食い違う。</t>
  </si>
  <si>
    <t>Ý kiến bất đồng.</t>
  </si>
  <si>
    <t>麻</t>
  </si>
  <si>
    <t>麻[あさ]</t>
  </si>
  <si>
    <t>vải lanh</t>
  </si>
  <si>
    <t>麻の服を着る。</t>
  </si>
  <si>
    <t>Mặc quần áo vải lanh.</t>
  </si>
  <si>
    <t>あざ</t>
  </si>
  <si>
    <t>vết bầm</t>
  </si>
  <si>
    <t>腕に青あざがある。</t>
  </si>
  <si>
    <t>Cánh tay có vết bầm tím.</t>
  </si>
  <si>
    <t>くっきり</t>
  </si>
  <si>
    <t>山がくっきり見える。</t>
  </si>
  <si>
    <t>Có thể nhìn thấy ngọn núi rõ ràng.</t>
  </si>
  <si>
    <t>レバー</t>
  </si>
  <si>
    <t>ればー</t>
  </si>
  <si>
    <t>cần gạt</t>
  </si>
  <si>
    <t>レバーを下げる。</t>
  </si>
  <si>
    <t>Gạt cần xuống.</t>
  </si>
  <si>
    <t>一挙に</t>
  </si>
  <si>
    <t>いっきょに</t>
  </si>
  <si>
    <t>一挙[いっきょ]に</t>
  </si>
  <si>
    <t>一挙に解決する。</t>
  </si>
  <si>
    <t>Giải quyết một hơi.</t>
  </si>
  <si>
    <t>万能</t>
  </si>
  <si>
    <t>ばんのう</t>
  </si>
  <si>
    <t>万能[ばんのう]</t>
  </si>
  <si>
    <t>đa năng</t>
  </si>
  <si>
    <t>万能な道具。</t>
  </si>
  <si>
    <t>Dụng cụ đa năng.</t>
  </si>
  <si>
    <t>修士</t>
  </si>
  <si>
    <t>修士[しゅうし]</t>
  </si>
  <si>
    <t>thạc sĩ</t>
  </si>
  <si>
    <t>修士論文を執筆する。</t>
  </si>
  <si>
    <t>Viết luận văn thạc sĩ.</t>
  </si>
  <si>
    <t>半端</t>
  </si>
  <si>
    <t>はんぱ</t>
  </si>
  <si>
    <t>半端[はんぱ]</t>
  </si>
  <si>
    <t>dở dang</t>
  </si>
  <si>
    <t>半端な仕事は嫌いだ。</t>
  </si>
  <si>
    <t>Tôi ghét công việc dở dang.</t>
  </si>
  <si>
    <t>受身</t>
  </si>
  <si>
    <t>うけみ</t>
  </si>
  <si>
    <t>受身[うけみ]</t>
  </si>
  <si>
    <t>bị động</t>
  </si>
  <si>
    <t>受身の姿勢をとる。</t>
  </si>
  <si>
    <t>Có tư thế bị động.</t>
  </si>
  <si>
    <t>司る</t>
  </si>
  <si>
    <t>つかさどる</t>
  </si>
  <si>
    <t>司[つかさど]る</t>
  </si>
  <si>
    <t>政治を司る。</t>
  </si>
  <si>
    <t>Quản lý chính trị.</t>
  </si>
  <si>
    <t>名札</t>
  </si>
  <si>
    <t>なふだ</t>
  </si>
  <si>
    <t>名札[なふだ]</t>
  </si>
  <si>
    <t>thẻ tên</t>
  </si>
  <si>
    <t>名札をつける。</t>
  </si>
  <si>
    <t>Đeo thẻ tên.</t>
  </si>
  <si>
    <t>名残</t>
  </si>
  <si>
    <t>なごり</t>
  </si>
  <si>
    <t>名残[なごり]</t>
  </si>
  <si>
    <t>冬の名残がある。</t>
  </si>
  <si>
    <t>Có dấu vết của mùa đông.</t>
  </si>
  <si>
    <t>味覚</t>
  </si>
  <si>
    <t>みかく</t>
  </si>
  <si>
    <t>味覚[みかく]</t>
  </si>
  <si>
    <t>vị giác</t>
  </si>
  <si>
    <t>味覚が鋭い。</t>
  </si>
  <si>
    <t>Vị giác sắc bén.</t>
  </si>
  <si>
    <t>善し悪し</t>
  </si>
  <si>
    <t>よしあし</t>
  </si>
  <si>
    <t>善[よ]し悪[あ]し</t>
  </si>
  <si>
    <t>tốt xấu</t>
  </si>
  <si>
    <t>善し悪しを判断する。</t>
  </si>
  <si>
    <t>Phán đoán tốt xấu.</t>
  </si>
  <si>
    <t>地主</t>
  </si>
  <si>
    <t>じぬし</t>
  </si>
  <si>
    <t>地主[じぬし]</t>
  </si>
  <si>
    <t>chủ đất</t>
  </si>
  <si>
    <t>地主に会う。</t>
  </si>
  <si>
    <t>Gặp chủ đất.</t>
  </si>
  <si>
    <t>壮大</t>
  </si>
  <si>
    <t>そうだい</t>
  </si>
  <si>
    <t>壮大[そうだい]</t>
  </si>
  <si>
    <t>hùng vĩ</t>
  </si>
  <si>
    <t>壮大な景観。</t>
  </si>
  <si>
    <t>Cảnh quan hùng vĩ.</t>
  </si>
  <si>
    <t>多忙</t>
  </si>
  <si>
    <t>たぼう</t>
  </si>
  <si>
    <t>多忙[たぼう]</t>
  </si>
  <si>
    <t>多忙な日々を送る。</t>
  </si>
  <si>
    <t>Trải qua ngày tháng bận rộn.</t>
  </si>
  <si>
    <t>大概</t>
  </si>
  <si>
    <t>たいがい</t>
  </si>
  <si>
    <t>大概[たいがい]</t>
  </si>
  <si>
    <t>大概は家で過ごす。</t>
  </si>
  <si>
    <t>Hầu như dành thời gian ở nhà.</t>
  </si>
  <si>
    <t>大筋</t>
  </si>
  <si>
    <t>おおすじ</t>
  </si>
  <si>
    <t>大筋[おおすじ]</t>
  </si>
  <si>
    <t>話の大筋を聞く。</t>
  </si>
  <si>
    <t>Nghe tóm tắt câu chuyện.</t>
  </si>
  <si>
    <t>妬む</t>
  </si>
  <si>
    <t>ねたむ</t>
  </si>
  <si>
    <t>妬[ねた]む</t>
  </si>
  <si>
    <t>ghen tị</t>
  </si>
  <si>
    <t>他人を妬む。</t>
  </si>
  <si>
    <t>Ghen tị với người khác.</t>
  </si>
  <si>
    <t>無効</t>
  </si>
  <si>
    <t>無効[むこう]</t>
  </si>
  <si>
    <t>vô hiệu</t>
  </si>
  <si>
    <t>切符が無効になる。</t>
  </si>
  <si>
    <t>Vé trở nên vô hiệu.</t>
  </si>
  <si>
    <t>無断</t>
  </si>
  <si>
    <t>むだん</t>
  </si>
  <si>
    <t>無断[むだん]</t>
  </si>
  <si>
    <t>無断で外出する。</t>
  </si>
  <si>
    <t>Tự tiện đi ra ngoài.</t>
  </si>
  <si>
    <t>物体</t>
  </si>
  <si>
    <t>ぶったい</t>
  </si>
  <si>
    <t>物体[ぶったい]</t>
  </si>
  <si>
    <t>vật thể</t>
  </si>
  <si>
    <t>未知の物体を発見する。</t>
  </si>
  <si>
    <t>Phát hiện vật thể lạ.</t>
  </si>
  <si>
    <t>知性</t>
  </si>
  <si>
    <t>ちせい</t>
  </si>
  <si>
    <t>知性[ちせい]</t>
  </si>
  <si>
    <t>知性を磨く。</t>
  </si>
  <si>
    <t>Rèn luyện trí tuệ.</t>
  </si>
  <si>
    <t>精密</t>
  </si>
  <si>
    <t>せいみつ</t>
  </si>
  <si>
    <t>精密[せいみつ]</t>
  </si>
  <si>
    <t>tinh vi</t>
  </si>
  <si>
    <t>精密な機械。</t>
  </si>
  <si>
    <t>Máy móc tinh vi.</t>
  </si>
  <si>
    <t>結び付ける</t>
  </si>
  <si>
    <t>むすびつける</t>
  </si>
  <si>
    <t>結[むす]び付[つ]ける</t>
  </si>
  <si>
    <t>事実を結び付ける。</t>
  </si>
  <si>
    <t>Kết nối các sự thật.</t>
  </si>
  <si>
    <t>総会</t>
  </si>
  <si>
    <t>そうかい</t>
  </si>
  <si>
    <t>総会[そうかい]</t>
  </si>
  <si>
    <t>株主総会を開く。</t>
  </si>
  <si>
    <t>Mở đại hội cổ đông.</t>
  </si>
  <si>
    <t>貴族</t>
  </si>
  <si>
    <t>きぞく</t>
  </si>
  <si>
    <t>貴族[きぞく]</t>
  </si>
  <si>
    <t>quý tộc</t>
  </si>
  <si>
    <t>貴族の暮らし。</t>
  </si>
  <si>
    <t>Cuộc sống quý tộc.</t>
  </si>
  <si>
    <t>追い出す</t>
  </si>
  <si>
    <t>おいだす</t>
  </si>
  <si>
    <t>追[お]い出[だ]す</t>
  </si>
  <si>
    <t>đuổi ra</t>
  </si>
  <si>
    <t>部屋から追い出す。</t>
  </si>
  <si>
    <t>Đuổi ra khỏi phòng.</t>
  </si>
  <si>
    <t>連ねる</t>
  </si>
  <si>
    <t>つらねる</t>
  </si>
  <si>
    <t>連[つら]ねる</t>
  </si>
  <si>
    <t>名前を連ねる。</t>
  </si>
  <si>
    <t>Ghi tên nối tiếp.</t>
  </si>
  <si>
    <t>進度</t>
  </si>
  <si>
    <t>しんど</t>
  </si>
  <si>
    <t>進度[しんど]</t>
  </si>
  <si>
    <t>tiến độ</t>
  </si>
  <si>
    <t>勉強の進度。</t>
  </si>
  <si>
    <t>Tiến độ học tập.</t>
  </si>
  <si>
    <t>過ち</t>
  </si>
  <si>
    <t>あやまち</t>
  </si>
  <si>
    <t>過[あやま]ち</t>
  </si>
  <si>
    <t>過ちを認める。</t>
  </si>
  <si>
    <t>Thừa nhận lỗi lầm.</t>
  </si>
  <si>
    <t>適性</t>
  </si>
  <si>
    <t>てきせい</t>
  </si>
  <si>
    <t>適性[てきせい]</t>
  </si>
  <si>
    <t>tố chất</t>
  </si>
  <si>
    <t>適性検査を受ける。</t>
  </si>
  <si>
    <t>Tham gia kiểm tra tố chất.</t>
  </si>
  <si>
    <t>隔たる</t>
  </si>
  <si>
    <t>へだたる</t>
  </si>
  <si>
    <t>隔[へだ]たる</t>
  </si>
  <si>
    <t>cách xa</t>
  </si>
  <si>
    <t>家と学校が隔たる。</t>
  </si>
  <si>
    <t>Nhà và trường học cách xa.</t>
  </si>
  <si>
    <t>雑</t>
  </si>
  <si>
    <t>ざつ</t>
  </si>
  <si>
    <t>雑[ざつ]</t>
  </si>
  <si>
    <t>cẩu thả</t>
  </si>
  <si>
    <t>仕事が雑だ。</t>
  </si>
  <si>
    <t>Công việc cẩu thả.</t>
  </si>
  <si>
    <t>雑貨</t>
  </si>
  <si>
    <t>ざっか</t>
  </si>
  <si>
    <t>雑貨[ざっか]</t>
  </si>
  <si>
    <t>tạp hóa</t>
  </si>
  <si>
    <t>雑貨を買う。</t>
  </si>
  <si>
    <t>Mua tạp hóa.</t>
  </si>
  <si>
    <t>顔付き</t>
  </si>
  <si>
    <t>かおつき</t>
  </si>
  <si>
    <t>顔付[かおつ]き</t>
  </si>
  <si>
    <t>nét mặt</t>
  </si>
  <si>
    <t>険しい顔付き。</t>
  </si>
  <si>
    <t>Nét mặt nghiêm nghị.</t>
  </si>
  <si>
    <t>サンキュー</t>
  </si>
  <si>
    <t>さんきゅー</t>
  </si>
  <si>
    <t>サンキューと言って笑う。</t>
  </si>
  <si>
    <t>Nói cảm ơn rồi cười.</t>
  </si>
  <si>
    <t>ソロ</t>
  </si>
  <si>
    <t>そろ</t>
  </si>
  <si>
    <t>đơn ca</t>
  </si>
  <si>
    <t>ソロで歌う。</t>
  </si>
  <si>
    <t>Hát đơn ca.</t>
  </si>
  <si>
    <t>たくましい</t>
  </si>
  <si>
    <t>vạm vỡ</t>
  </si>
  <si>
    <t>たくましい筋肉。</t>
  </si>
  <si>
    <t>Cơ bắp vạm vỡ.</t>
  </si>
  <si>
    <t>だるい</t>
  </si>
  <si>
    <t>uể oải</t>
  </si>
  <si>
    <t>熱で体がだるい。</t>
  </si>
  <si>
    <t>Cơ thể uể oải vì sốt.</t>
  </si>
  <si>
    <t>ダンプ</t>
  </si>
  <si>
    <t>だんぷ</t>
  </si>
  <si>
    <t>xe ben</t>
  </si>
  <si>
    <t>ダンプが土を運ぶ。</t>
  </si>
  <si>
    <t>Xe ben vận chuyển đất.</t>
  </si>
  <si>
    <t>仕掛</t>
  </si>
  <si>
    <t>しかけ</t>
  </si>
  <si>
    <t>仕掛[しかけ]</t>
  </si>
  <si>
    <t>cơ chế</t>
  </si>
  <si>
    <t>複雑な仕掛。</t>
  </si>
  <si>
    <t>Cơ chế phức tạp.</t>
  </si>
  <si>
    <t>優勢</t>
  </si>
  <si>
    <t>ゆうせい</t>
  </si>
  <si>
    <t>優勢[ゆうせい]</t>
  </si>
  <si>
    <t>戦いで優勢になる。</t>
  </si>
  <si>
    <t>Trở nên ưu thế trong trận chiến.</t>
  </si>
  <si>
    <t>分母</t>
  </si>
  <si>
    <t>ぶんぼ</t>
  </si>
  <si>
    <t>分母[ぶんぼ]</t>
  </si>
  <si>
    <t>mẫu số</t>
  </si>
  <si>
    <t>分母と分子を計算する。</t>
  </si>
  <si>
    <t>Tính toán mẫu số và tử số.</t>
  </si>
  <si>
    <t>十字路</t>
  </si>
  <si>
    <t>じゅうじろ</t>
  </si>
  <si>
    <t>十字路[じゅうじろ]</t>
  </si>
  <si>
    <t>十字路を右に曲がる。</t>
  </si>
  <si>
    <t>Rẽ phải ở ngã tư.</t>
  </si>
  <si>
    <t>土俵</t>
  </si>
  <si>
    <t>どひょう</t>
  </si>
  <si>
    <t>土俵[どひょう]</t>
  </si>
  <si>
    <t>võ đài</t>
  </si>
  <si>
    <t>土俵に上がる。</t>
  </si>
  <si>
    <t>Lên võ đài.</t>
  </si>
  <si>
    <t>墜落</t>
  </si>
  <si>
    <t>ついらく</t>
  </si>
  <si>
    <t>墜落[ついらく]</t>
  </si>
  <si>
    <t>飛行機が墜落する。</t>
  </si>
  <si>
    <t>Máy bay rơi.</t>
  </si>
  <si>
    <t>物資</t>
  </si>
  <si>
    <t>ぶっし</t>
  </si>
  <si>
    <t>物資[ぶっし]</t>
  </si>
  <si>
    <t>vật tư</t>
  </si>
  <si>
    <t>救援物資を送る。</t>
  </si>
  <si>
    <t>Gửi vật tư cứu trợ.</t>
  </si>
  <si>
    <t>脅す</t>
  </si>
  <si>
    <t>おどす</t>
  </si>
  <si>
    <t>脅[おど]す</t>
  </si>
  <si>
    <t>đe dọa</t>
  </si>
  <si>
    <t>ナイフで脅す。</t>
  </si>
  <si>
    <t>Đe dọa bằng dao.</t>
  </si>
  <si>
    <t>親父</t>
  </si>
  <si>
    <t>おやじ</t>
  </si>
  <si>
    <t>親父[おやじ]</t>
  </si>
  <si>
    <t>ông bố</t>
  </si>
  <si>
    <t>親父に相談する。</t>
  </si>
  <si>
    <t>Thảo luận với bố.</t>
  </si>
  <si>
    <t>読み上げる</t>
  </si>
  <si>
    <t>よみあげる</t>
  </si>
  <si>
    <t>読[よ]み上[あ]げる</t>
  </si>
  <si>
    <t>đọc to</t>
  </si>
  <si>
    <t>名前を読み上げる。</t>
  </si>
  <si>
    <t>Đọc to tên.</t>
  </si>
  <si>
    <t>趣</t>
  </si>
  <si>
    <t>おもむき</t>
  </si>
  <si>
    <t>趣[おもむき]</t>
  </si>
  <si>
    <t>趣のある家。</t>
  </si>
  <si>
    <t>Ngôi nhà có vẻ đẹp.</t>
  </si>
  <si>
    <t>香辛料</t>
  </si>
  <si>
    <t>こうしんりょう</t>
  </si>
  <si>
    <t>香辛料[こうしんりょう]</t>
  </si>
  <si>
    <t>gia vị</t>
  </si>
  <si>
    <t>香辛料を加える。</t>
  </si>
  <si>
    <t>Thêm gia vị.</t>
  </si>
  <si>
    <t>スプリング</t>
  </si>
  <si>
    <t>すぷりんぐ</t>
  </si>
  <si>
    <t>ベッドのスプリング。</t>
  </si>
  <si>
    <t>Lò xo của giường.</t>
  </si>
  <si>
    <t>切開</t>
  </si>
  <si>
    <t>せっかい</t>
  </si>
  <si>
    <t>切開[せっかい]</t>
  </si>
  <si>
    <t>mổ</t>
  </si>
  <si>
    <t>傷口を切開する。</t>
  </si>
  <si>
    <t>Mổ vết thương.</t>
  </si>
  <si>
    <t>土手</t>
  </si>
  <si>
    <t>どて</t>
  </si>
  <si>
    <t>土手[どて]</t>
  </si>
  <si>
    <t>bờ đê</t>
  </si>
  <si>
    <t>土手を歩く。</t>
  </si>
  <si>
    <t>Đi bộ trên bờ đê.</t>
  </si>
  <si>
    <t>染める</t>
  </si>
  <si>
    <t>そめる</t>
  </si>
  <si>
    <t>染[そ]める</t>
  </si>
  <si>
    <t>nhuộm</t>
  </si>
  <si>
    <t>布を赤く染める。</t>
  </si>
  <si>
    <t>Nhuộm tấm vải màu đỏ.</t>
  </si>
  <si>
    <t>理屈</t>
  </si>
  <si>
    <t>りくつ</t>
  </si>
  <si>
    <t>理屈[りくつ]</t>
  </si>
  <si>
    <t>lý lẽ</t>
  </si>
  <si>
    <t>理屈を並べる。</t>
  </si>
  <si>
    <t>Nêu ra các lý lẽ.</t>
  </si>
  <si>
    <t>脆い</t>
  </si>
  <si>
    <t>もろい</t>
  </si>
  <si>
    <t>脆[もろ]い</t>
  </si>
  <si>
    <t>dễ vỡ</t>
  </si>
  <si>
    <t>ガラスは脆い。</t>
  </si>
  <si>
    <t>Thủy tinh rất dễ vỡ.</t>
  </si>
  <si>
    <t>膨れる</t>
  </si>
  <si>
    <t>ふくれる</t>
  </si>
  <si>
    <t>膨[ふく]れる</t>
  </si>
  <si>
    <t>phồng</t>
  </si>
  <si>
    <t>パンが膨れる。</t>
  </si>
  <si>
    <t>Bánh mì phồng lên.</t>
  </si>
  <si>
    <t>剥げる</t>
  </si>
  <si>
    <t>はげる</t>
  </si>
  <si>
    <t>剥[は]げる</t>
  </si>
  <si>
    <t>bong</t>
  </si>
  <si>
    <t>塗装が剥げる。</t>
  </si>
  <si>
    <t>Sơn bị bong.</t>
  </si>
  <si>
    <t>嘗める</t>
  </si>
  <si>
    <t>なめる</t>
  </si>
  <si>
    <t>嘗[な]める</t>
  </si>
  <si>
    <t>liếm</t>
  </si>
  <si>
    <t>飴を嘗める。</t>
  </si>
  <si>
    <t>Liếm kẹo.</t>
  </si>
  <si>
    <t>腸</t>
  </si>
  <si>
    <t>腸[ちょう]</t>
  </si>
  <si>
    <t>ruột</t>
  </si>
  <si>
    <t>腸の調子が悪い。</t>
  </si>
  <si>
    <t>Tình trạng ruột không tốt.</t>
  </si>
  <si>
    <t>ソックス</t>
  </si>
  <si>
    <t>そっくす</t>
  </si>
  <si>
    <t>tất</t>
  </si>
  <si>
    <t>ソックスを脱ぐ。</t>
  </si>
  <si>
    <t>Cởi tất.</t>
  </si>
  <si>
    <t>ワット</t>
  </si>
  <si>
    <t>わっと</t>
  </si>
  <si>
    <t>oát</t>
  </si>
  <si>
    <t>100ワットの電球。</t>
  </si>
  <si>
    <t>Bóng đèn 100 oát.</t>
  </si>
  <si>
    <t>余程</t>
  </si>
  <si>
    <t>よほど</t>
  </si>
  <si>
    <t>余程[よほど]</t>
  </si>
  <si>
    <t>余程疲れた。</t>
  </si>
  <si>
    <t>Khá là mệt rồi.</t>
  </si>
  <si>
    <t>爆弾</t>
  </si>
  <si>
    <t>ばくだん</t>
  </si>
  <si>
    <t>爆弾[ばくだん]</t>
  </si>
  <si>
    <t>bom</t>
  </si>
  <si>
    <t>爆弾が爆発する。</t>
  </si>
  <si>
    <t>Quả bom phát nổ.</t>
  </si>
  <si>
    <t>お袋</t>
  </si>
  <si>
    <t>おふくろ</t>
  </si>
  <si>
    <t>お袋[ふくろ]</t>
  </si>
  <si>
    <t>お袋に電話する。</t>
  </si>
  <si>
    <t>Điện thoại cho mẹ.</t>
  </si>
  <si>
    <t>ほっぺた</t>
  </si>
  <si>
    <t>má</t>
  </si>
  <si>
    <t>ほっぺたが赤い。</t>
  </si>
  <si>
    <t>Má ửng hồng.</t>
  </si>
  <si>
    <t>並びに</t>
  </si>
  <si>
    <t>ならびに</t>
  </si>
  <si>
    <t>並[なら]びに</t>
  </si>
  <si>
    <t>社長並びに社員。</t>
  </si>
  <si>
    <t>Giám đốc và nhân viên.</t>
  </si>
  <si>
    <t>堤防</t>
  </si>
  <si>
    <t>ていぼう</t>
  </si>
  <si>
    <t>堤防[ていぼう]</t>
  </si>
  <si>
    <t>đê</t>
  </si>
  <si>
    <t>堤防を修理する。</t>
  </si>
  <si>
    <t>Sửa chữa đê.</t>
  </si>
  <si>
    <t>芝</t>
  </si>
  <si>
    <t>しば</t>
  </si>
  <si>
    <t>芝[しば]</t>
  </si>
  <si>
    <t>芝を刈る。</t>
  </si>
  <si>
    <t>Cắt cỏ.</t>
  </si>
  <si>
    <t>未満</t>
  </si>
  <si>
    <t>みまん</t>
  </si>
  <si>
    <t>未満[みまん]</t>
  </si>
  <si>
    <t>dưới</t>
  </si>
  <si>
    <t>二十歳未満。</t>
  </si>
  <si>
    <t>Đó là người dưới hai mươi tuổi.</t>
  </si>
  <si>
    <t>月末</t>
  </si>
  <si>
    <t>げつまつ</t>
  </si>
  <si>
    <t>月末[げつまつ]</t>
  </si>
  <si>
    <t>cuối tháng</t>
  </si>
  <si>
    <t>月末の仕事。</t>
  </si>
  <si>
    <t>Đó là công việc cuối tháng.</t>
  </si>
  <si>
    <t>接近</t>
  </si>
  <si>
    <t>せっきん</t>
  </si>
  <si>
    <t>接近[せっきん]</t>
  </si>
  <si>
    <t>台風が接近している。</t>
  </si>
  <si>
    <t>Bão đang tiến tới gần.</t>
  </si>
  <si>
    <t>機構</t>
  </si>
  <si>
    <t>きこう</t>
  </si>
  <si>
    <t>機構[きこう]</t>
  </si>
  <si>
    <t>機構を調べる。</t>
  </si>
  <si>
    <t>Tôi tìm hiểu cơ cấu.</t>
  </si>
  <si>
    <t>易しい</t>
  </si>
  <si>
    <t>易[やさ]しい</t>
  </si>
  <si>
    <t>dễ</t>
  </si>
  <si>
    <t>易しい問題。</t>
  </si>
  <si>
    <t>Đó là vấn đề dễ.</t>
  </si>
  <si>
    <t>毛</t>
  </si>
  <si>
    <t>け</t>
  </si>
  <si>
    <t>毛[け]</t>
  </si>
  <si>
    <t>lông</t>
  </si>
  <si>
    <t>毛を刈る。</t>
  </si>
  <si>
    <t>Tôi cắt lông.</t>
  </si>
  <si>
    <t>宮殿</t>
  </si>
  <si>
    <t>きゅうでん</t>
  </si>
  <si>
    <t>宮殿[きゅうでん]</t>
  </si>
  <si>
    <t>cung điện</t>
  </si>
  <si>
    <t>宮殿を見学する。</t>
  </si>
  <si>
    <t>Tham quan cung điện.</t>
  </si>
  <si>
    <t>引下げる</t>
  </si>
  <si>
    <t>ひきさげる</t>
  </si>
  <si>
    <t>引下[ひきさ]げる</t>
  </si>
  <si>
    <t>金利を引き下げる。</t>
  </si>
  <si>
    <t>Hạ lãi suất xuống.</t>
  </si>
  <si>
    <t>正式</t>
  </si>
  <si>
    <t>せいしき</t>
  </si>
  <si>
    <t>正式[せいしき]</t>
  </si>
  <si>
    <t>正式な会議。</t>
  </si>
  <si>
    <t>Đó là cuộc họp chính thức.</t>
  </si>
  <si>
    <t>曲げる</t>
  </si>
  <si>
    <t>まげる</t>
  </si>
  <si>
    <t>曲[ま]げる</t>
  </si>
  <si>
    <t>uốn cong</t>
  </si>
  <si>
    <t>針金を曲げる。</t>
  </si>
  <si>
    <t>Tôi uốn cong sợi dây thép.</t>
  </si>
  <si>
    <t>服装</t>
  </si>
  <si>
    <t>ふくそう</t>
  </si>
  <si>
    <t>服装[ふくそう]</t>
  </si>
  <si>
    <t>服装を整える。</t>
  </si>
  <si>
    <t>敬語</t>
  </si>
  <si>
    <t>けいご</t>
  </si>
  <si>
    <t>敬語[けいご]</t>
  </si>
  <si>
    <t>kính ngữ</t>
  </si>
  <si>
    <t>敬語を使う。</t>
  </si>
  <si>
    <t>Tôi sử dụng kính ngữ.</t>
  </si>
  <si>
    <t>模様</t>
  </si>
  <si>
    <t>もよう</t>
  </si>
  <si>
    <t>模様[もよう]</t>
  </si>
  <si>
    <t>hoa văn</t>
  </si>
  <si>
    <t>模様の服。</t>
  </si>
  <si>
    <t>Đó là áo có hoa văn.</t>
  </si>
  <si>
    <t>気温</t>
  </si>
  <si>
    <t>きおん</t>
  </si>
  <si>
    <t>気温[きおん]</t>
  </si>
  <si>
    <t>気温が上がる。</t>
  </si>
  <si>
    <t>明かり</t>
  </si>
  <si>
    <t>あかり</t>
  </si>
  <si>
    <t>明[あ]かり</t>
  </si>
  <si>
    <t>明かりを点ける。</t>
  </si>
  <si>
    <t>Tôi bật đèn lên.</t>
  </si>
  <si>
    <t>捕る</t>
  </si>
  <si>
    <t>捕[と]る</t>
  </si>
  <si>
    <t>魚を捕る。</t>
  </si>
  <si>
    <t>Bắt cá.</t>
  </si>
  <si>
    <t>悲鳴</t>
  </si>
  <si>
    <t>ひめい</t>
  </si>
  <si>
    <t>悲鳴[ひめい]</t>
  </si>
  <si>
    <t>tiếng thét</t>
  </si>
  <si>
    <t>悲鳴を上げる。</t>
  </si>
  <si>
    <t>Thét lên.</t>
  </si>
  <si>
    <t>扶養</t>
  </si>
  <si>
    <t>ふよう</t>
  </si>
  <si>
    <t>扶養[ふよう]</t>
  </si>
  <si>
    <t>家族を扶養する。</t>
  </si>
  <si>
    <t>年賀</t>
  </si>
  <si>
    <t>ねんが</t>
  </si>
  <si>
    <t>年賀[ねんが]</t>
  </si>
  <si>
    <t>chúc tết</t>
  </si>
  <si>
    <t>年賀状を送る。</t>
  </si>
  <si>
    <t>Gửi thiệp chúc tết.</t>
  </si>
  <si>
    <t>打ち明ける</t>
  </si>
  <si>
    <t>うちあける</t>
  </si>
  <si>
    <t>打[う]ち明[あ]ける</t>
  </si>
  <si>
    <t>tâm sự</t>
  </si>
  <si>
    <t>秘密を打ち明ける。</t>
  </si>
  <si>
    <t>Tâm sự bí mật.</t>
  </si>
  <si>
    <t>幽霊</t>
  </si>
  <si>
    <t>ゆうれい</t>
  </si>
  <si>
    <t>幽霊[ゆうれい]</t>
  </si>
  <si>
    <t>ma</t>
  </si>
  <si>
    <t>幽霊が出る。</t>
  </si>
  <si>
    <t>Ma xuất hiện.</t>
  </si>
  <si>
    <t>日時</t>
  </si>
  <si>
    <t>にちじ</t>
  </si>
  <si>
    <t>日時[にちじ]</t>
  </si>
  <si>
    <t>ngày giờ</t>
  </si>
  <si>
    <t>日時を指定する。</t>
  </si>
  <si>
    <t>Tôi chỉ định ngày giờ.</t>
  </si>
  <si>
    <t>昨夜</t>
  </si>
  <si>
    <t>さくや</t>
  </si>
  <si>
    <t>昨夜[さくや]</t>
  </si>
  <si>
    <t>tối hôm qua</t>
  </si>
  <si>
    <t>昨夜眠った。</t>
  </si>
  <si>
    <t>Tôi đã ngủ vào tối qua.</t>
  </si>
  <si>
    <t>有料</t>
  </si>
  <si>
    <t>ゆうりょう</t>
  </si>
  <si>
    <t>有料[ゆうりょう]</t>
  </si>
  <si>
    <t>trả phí</t>
  </si>
  <si>
    <t>有料の施設。</t>
  </si>
  <si>
    <t>Đó là cơ sở có thu phí.</t>
  </si>
  <si>
    <t>揚げる</t>
  </si>
  <si>
    <t>揚[あ]げる</t>
  </si>
  <si>
    <t>chiên</t>
  </si>
  <si>
    <t>天ぷらを揚げる。</t>
  </si>
  <si>
    <t>Tôi chiên món tempura.</t>
  </si>
  <si>
    <t>次ぐ</t>
  </si>
  <si>
    <t>つぐ</t>
  </si>
  <si>
    <t>次[つ]ぐ</t>
  </si>
  <si>
    <t>次ぐ者。</t>
  </si>
  <si>
    <t>Đó là người theo sau.</t>
  </si>
  <si>
    <t>文明</t>
  </si>
  <si>
    <t>ぶんめい</t>
  </si>
  <si>
    <t>文明[ぶんめい]</t>
  </si>
  <si>
    <t>văn minh</t>
  </si>
  <si>
    <t>文明が進む。</t>
  </si>
  <si>
    <t>Văn minh tiến bộ.</t>
  </si>
  <si>
    <t>枝</t>
  </si>
  <si>
    <t>えだ</t>
  </si>
  <si>
    <t>枝[えだ]</t>
  </si>
  <si>
    <t>cành cây</t>
  </si>
  <si>
    <t>枝を折る。</t>
  </si>
  <si>
    <t>Tôi bẻ cành cây.</t>
  </si>
  <si>
    <t>毎晩</t>
  </si>
  <si>
    <t>まいばん</t>
  </si>
  <si>
    <t>毎晩[まいばん]</t>
  </si>
  <si>
    <t>mỗi tối</t>
  </si>
  <si>
    <t>毎晩読む。</t>
  </si>
  <si>
    <t>Tôi đọc mỗi tối.</t>
  </si>
  <si>
    <t>時差</t>
  </si>
  <si>
    <t>じさ</t>
  </si>
  <si>
    <t>時差[じさ]</t>
  </si>
  <si>
    <t>chênh lệch giờ</t>
  </si>
  <si>
    <t>時差ぼけ。</t>
  </si>
  <si>
    <t>Lệch múi giờ.</t>
  </si>
  <si>
    <t>敗戦</t>
  </si>
  <si>
    <t>はいせん</t>
  </si>
  <si>
    <t>敗戦[はいせん]</t>
  </si>
  <si>
    <t>thua trận</t>
  </si>
  <si>
    <t>敗戦の記録。</t>
  </si>
  <si>
    <t>Ghi chép về thua trận.</t>
  </si>
  <si>
    <t>年長</t>
  </si>
  <si>
    <t>ねんちょう</t>
  </si>
  <si>
    <t>年長[ねんちょう]</t>
  </si>
  <si>
    <t>lớn tuổi</t>
  </si>
  <si>
    <t>年長者を敬う。</t>
  </si>
  <si>
    <t>Kính trọng người lớn tuổi.</t>
  </si>
  <si>
    <t>待ち望む</t>
  </si>
  <si>
    <t>まちのぞむ</t>
  </si>
  <si>
    <t>待[ま]ち望[のぞ]む</t>
  </si>
  <si>
    <t>mong đợi</t>
  </si>
  <si>
    <t>再会を待ち望む。</t>
  </si>
  <si>
    <t>Mong đợi ngày tái ngộ.</t>
  </si>
  <si>
    <t>微笑</t>
  </si>
  <si>
    <t>びしょう</t>
  </si>
  <si>
    <t>微笑[びしょう]</t>
  </si>
  <si>
    <t>優しい微笑を浮かべる。</t>
  </si>
  <si>
    <t>Để lộ nụ cười hiền hậu.</t>
  </si>
  <si>
    <t>思い付き</t>
  </si>
  <si>
    <t>おもいつき</t>
  </si>
  <si>
    <t>思[おも]い付[つ]き</t>
  </si>
  <si>
    <t>良い思い付き。</t>
  </si>
  <si>
    <t>Ý tưởng hay.</t>
  </si>
  <si>
    <t>折り返す</t>
  </si>
  <si>
    <t>おりかえす</t>
  </si>
  <si>
    <t>折[お]り返[かえ]す</t>
  </si>
  <si>
    <t>gấp lại</t>
  </si>
  <si>
    <t>電話を折り返す。</t>
  </si>
  <si>
    <t>Gọi lại điện thoại.</t>
  </si>
  <si>
    <t>断面</t>
  </si>
  <si>
    <t>だんめん</t>
  </si>
  <si>
    <t>断面[だんめん]</t>
  </si>
  <si>
    <t>mặt cắt</t>
  </si>
  <si>
    <t>断面を見る。</t>
  </si>
  <si>
    <t>Xem mặt cắt.</t>
  </si>
  <si>
    <t>恵み</t>
  </si>
  <si>
    <t>めぐみ</t>
  </si>
  <si>
    <t>恵[めぐ]み</t>
  </si>
  <si>
    <t>ban ơn</t>
  </si>
  <si>
    <t>自然の恵み。</t>
  </si>
  <si>
    <t>Sự ban ơn của thiên nhiên.</t>
  </si>
  <si>
    <t>欧米</t>
  </si>
  <si>
    <t>おうべい</t>
  </si>
  <si>
    <t>欧米[おうべい]</t>
  </si>
  <si>
    <t>âu mỹ</t>
  </si>
  <si>
    <t>欧米へ行く。</t>
  </si>
  <si>
    <t>Tôi đi đến phương Tây.</t>
  </si>
  <si>
    <t>推定</t>
  </si>
  <si>
    <t>すいてい</t>
  </si>
  <si>
    <t>推定[すいてい]</t>
  </si>
  <si>
    <t>suy đoán</t>
  </si>
  <si>
    <t>人口を推定する。</t>
  </si>
  <si>
    <t>Tôi ước tính dân số.</t>
  </si>
  <si>
    <t>極</t>
  </si>
  <si>
    <t>極[きょく]</t>
  </si>
  <si>
    <t>cực</t>
  </si>
  <si>
    <t>北極へ行く。</t>
  </si>
  <si>
    <t>Tôi đi đến cực Bắc.</t>
  </si>
  <si>
    <t>教わる</t>
  </si>
  <si>
    <t>おそわる</t>
  </si>
  <si>
    <t>教[おそ]わる</t>
  </si>
  <si>
    <t>được dạy</t>
  </si>
  <si>
    <t>先生に教わる。</t>
  </si>
  <si>
    <t>Tôi được thầy dạy.</t>
  </si>
  <si>
    <t>暖房</t>
  </si>
  <si>
    <t>だんぼう</t>
  </si>
  <si>
    <t>暖房[だんぼう]</t>
  </si>
  <si>
    <t>暖房を入れる。</t>
  </si>
  <si>
    <t>Tôi bật lò sưởi.</t>
  </si>
  <si>
    <t>板</t>
  </si>
  <si>
    <t>いた</t>
  </si>
  <si>
    <t>板[いた]</t>
  </si>
  <si>
    <t>tấm ván</t>
  </si>
  <si>
    <t>板を切る。</t>
  </si>
  <si>
    <t>Tôi cắt tấm ván.</t>
  </si>
  <si>
    <t>密集</t>
  </si>
  <si>
    <t>みっしゅう</t>
  </si>
  <si>
    <t>密集[みっしゅう]</t>
  </si>
  <si>
    <t>tập trung đông</t>
  </si>
  <si>
    <t>建物が密集する。</t>
  </si>
  <si>
    <t>Các tòa nhà tập trung san sát.</t>
  </si>
  <si>
    <t>愚か</t>
  </si>
  <si>
    <t>おろか</t>
  </si>
  <si>
    <t>愚[おろ]か</t>
  </si>
  <si>
    <t>ngu ngốc</t>
  </si>
  <si>
    <t>愚かな行動。</t>
  </si>
  <si>
    <t>Hành động ngu ngốc.</t>
  </si>
  <si>
    <t>心強い</t>
  </si>
  <si>
    <t>こころづよい</t>
  </si>
  <si>
    <t>心強[こころづよ]い</t>
  </si>
  <si>
    <t>仲間がいて心強い。</t>
  </si>
  <si>
    <t>Có đồng nghiệp nên an tâm.</t>
  </si>
  <si>
    <t>脅かす</t>
  </si>
  <si>
    <t>おびやかす</t>
  </si>
  <si>
    <t>脅[おびや]かす</t>
  </si>
  <si>
    <t>平和を脅かす。</t>
  </si>
  <si>
    <t>Tôi đe dọa hòa bình.</t>
  </si>
  <si>
    <t>最中</t>
  </si>
  <si>
    <t>さなか</t>
  </si>
  <si>
    <t>最中[さなか]</t>
  </si>
  <si>
    <t>giữa</t>
  </si>
  <si>
    <t>授業の最中。</t>
  </si>
  <si>
    <t>Đó là trong giờ học.</t>
  </si>
  <si>
    <t>私鉄</t>
  </si>
  <si>
    <t>してつ</t>
  </si>
  <si>
    <t>私鉄[してつ]</t>
  </si>
  <si>
    <t>đường sắt tư nhân</t>
  </si>
  <si>
    <t>私鉄で通勤する。</t>
  </si>
  <si>
    <t>Tôi đi làm bằng đường sắt tư nhân.</t>
  </si>
  <si>
    <t>大家</t>
  </si>
  <si>
    <t>おおや</t>
  </si>
  <si>
    <t>大家[おおや]</t>
  </si>
  <si>
    <t>chủ nhà</t>
  </si>
  <si>
    <t>大家に家賃を払う。</t>
  </si>
  <si>
    <t>Tôi trả tiền thuê nhà cho chủ nhà.</t>
  </si>
  <si>
    <t>高級</t>
  </si>
  <si>
    <t>こうきゅう</t>
  </si>
  <si>
    <t>高級[こうきゅう]</t>
  </si>
  <si>
    <t>高級レストランで食事する。</t>
  </si>
  <si>
    <t>Tôi dùng bữa tại nhà hàng cao cấp.</t>
  </si>
  <si>
    <t>受話器</t>
  </si>
  <si>
    <t>じゅわき</t>
  </si>
  <si>
    <t>受話器[じゅわき]</t>
  </si>
  <si>
    <t>ống nghe</t>
  </si>
  <si>
    <t>電話の受話器を取る。</t>
  </si>
  <si>
    <t>Tôi nhấc ống nghe điện thoại lên.</t>
  </si>
  <si>
    <t>青年</t>
  </si>
  <si>
    <t>せいねん</t>
  </si>
  <si>
    <t>青年[せいねん]</t>
  </si>
  <si>
    <t>thanh niên</t>
  </si>
  <si>
    <t>彼は立派な青年だ。</t>
  </si>
  <si>
    <t>Anh ấy là một thanh niên ưu tú.</t>
  </si>
  <si>
    <t>響き</t>
  </si>
  <si>
    <t>ひびき</t>
  </si>
  <si>
    <t>響[ひび]き</t>
  </si>
  <si>
    <t>tiếng vang</t>
  </si>
  <si>
    <t>鐘の響きが聞こえる。</t>
  </si>
  <si>
    <t>Tôi nghe tiếng vang của chuông.</t>
  </si>
  <si>
    <t>名人</t>
  </si>
  <si>
    <t>めいじん</t>
  </si>
  <si>
    <t>名人[めいじん]</t>
  </si>
  <si>
    <t>cao thủ</t>
  </si>
  <si>
    <t>将棋の名人になる。</t>
  </si>
  <si>
    <t>Tôi trở thành cao thủ cờ tướng.</t>
  </si>
  <si>
    <t>継ぐ</t>
  </si>
  <si>
    <t>継[つ]ぐ</t>
  </si>
  <si>
    <t>家業を継ぐ。</t>
  </si>
  <si>
    <t>Tôi kế thừa công việc gia đình.</t>
  </si>
  <si>
    <t>冷蔵庫</t>
  </si>
  <si>
    <t>れいぞうこ</t>
  </si>
  <si>
    <t>冷蔵庫[れいぞうこ]</t>
  </si>
  <si>
    <t>tủ lạnh</t>
  </si>
  <si>
    <t>食材を冷蔵庫に入れる。</t>
  </si>
  <si>
    <t>Tôi cho thực phẩm vào tủ lạnh.</t>
  </si>
  <si>
    <t>保健</t>
  </si>
  <si>
    <t>保健[ほけん]</t>
  </si>
  <si>
    <t>bảo vệ sức khỏe</t>
  </si>
  <si>
    <t>保健に加入する。</t>
  </si>
  <si>
    <t>Tôi tham gia bảo vệ sức khỏe.</t>
  </si>
  <si>
    <t>四角い</t>
  </si>
  <si>
    <t>しかくい</t>
  </si>
  <si>
    <t>四角[しかく]い</t>
  </si>
  <si>
    <t>四角い箱を持つ。</t>
  </si>
  <si>
    <t>Tôi cầm chiếc hộp hình vuông.</t>
  </si>
  <si>
    <t>留学生</t>
  </si>
  <si>
    <t>りゅうがくせい</t>
  </si>
  <si>
    <t>留学生[りゅうがくせい]</t>
  </si>
  <si>
    <t>du học sinh</t>
  </si>
  <si>
    <t>留学生と話す。</t>
  </si>
  <si>
    <t>Nói chuyện với du học sinh.</t>
  </si>
  <si>
    <t>地味</t>
  </si>
  <si>
    <t>じみ</t>
  </si>
  <si>
    <t>地味[じみ]</t>
  </si>
  <si>
    <t>giản dị</t>
  </si>
  <si>
    <t>地味な服を着る。</t>
  </si>
  <si>
    <t>Tôi mặc bộ quần áo giản dị.</t>
  </si>
  <si>
    <t>羨ましい</t>
  </si>
  <si>
    <t>うらやましい</t>
  </si>
  <si>
    <t>羨[うらや]ましい</t>
  </si>
  <si>
    <t>成功が羨ましい。</t>
  </si>
  <si>
    <t>Tôi ghen tị với thành công.</t>
  </si>
  <si>
    <t>恩恵</t>
  </si>
  <si>
    <t>おんけい</t>
  </si>
  <si>
    <t>恩恵[おんけい]</t>
  </si>
  <si>
    <t>ân huệ</t>
  </si>
  <si>
    <t>自然の恩恵を受ける。</t>
  </si>
  <si>
    <t>Nhận ân huệ từ thiên nhiên.</t>
  </si>
  <si>
    <t>浮く</t>
  </si>
  <si>
    <t>うく</t>
  </si>
  <si>
    <t>浮[う]く</t>
  </si>
  <si>
    <t>nổi</t>
  </si>
  <si>
    <t>水の上にボールが浮く。</t>
  </si>
  <si>
    <t>Quả bóng nổi trên mặt nước.</t>
  </si>
  <si>
    <t>背負う</t>
  </si>
  <si>
    <t>せおう</t>
  </si>
  <si>
    <t>背負[せお]う</t>
  </si>
  <si>
    <t>đeo trên lưng</t>
  </si>
  <si>
    <t>荷物を背負う。</t>
  </si>
  <si>
    <t>Tôi đeo hành lý trên lưng.</t>
  </si>
  <si>
    <t>深める</t>
  </si>
  <si>
    <t>ふかめる</t>
  </si>
  <si>
    <t>深[ふか]める</t>
  </si>
  <si>
    <t>làm sâu sắc</t>
  </si>
  <si>
    <t>友情を深める。</t>
  </si>
  <si>
    <t>Làm sâu sắc thêm tình bạn.</t>
  </si>
  <si>
    <t>射す</t>
  </si>
  <si>
    <t>射[さ]す</t>
  </si>
  <si>
    <t>chiếu sáng</t>
  </si>
  <si>
    <t>窓から日が射す。</t>
  </si>
  <si>
    <t>Ánh nắng chiếu qua cửa sổ.</t>
  </si>
  <si>
    <t>沿う</t>
  </si>
  <si>
    <t>沿[そ]う</t>
  </si>
  <si>
    <t>dọc theo</t>
  </si>
  <si>
    <t>道に沿う。</t>
  </si>
  <si>
    <t>Tôi đi dọc theo con đường.</t>
  </si>
  <si>
    <t>体操</t>
  </si>
  <si>
    <t>たいそう</t>
  </si>
  <si>
    <t>体操[たいそう]</t>
  </si>
  <si>
    <t>朝に体操をする。</t>
  </si>
  <si>
    <t>Tôi tập thể dục buổi sáng.</t>
  </si>
  <si>
    <t>縮める</t>
  </si>
  <si>
    <t>ちぢめる</t>
  </si>
  <si>
    <t>縮[ちぢ]める</t>
  </si>
  <si>
    <t>làm ngắn lại</t>
  </si>
  <si>
    <t>距離を縮める。</t>
  </si>
  <si>
    <t>Tôi rút ngắn khoảng cách.</t>
  </si>
  <si>
    <t>各々</t>
  </si>
  <si>
    <t>おのおの</t>
  </si>
  <si>
    <t>各々[おのおの]</t>
  </si>
  <si>
    <t>mỗi người</t>
  </si>
  <si>
    <t>各々が意見を言う。</t>
  </si>
  <si>
    <t>Mỗi người đều nêu ý kiến.</t>
  </si>
  <si>
    <t>ハイキング</t>
  </si>
  <si>
    <t>はいきんぐ</t>
  </si>
  <si>
    <t>đi bộ đường dài</t>
  </si>
  <si>
    <t>山へハイキングに行く。</t>
  </si>
  <si>
    <t>Đi bộ đường dài lên núi.</t>
  </si>
  <si>
    <t>監督</t>
  </si>
  <si>
    <t>かんとく</t>
  </si>
  <si>
    <t>監督[かんとく]</t>
  </si>
  <si>
    <t>監督に怒られる。</t>
  </si>
  <si>
    <t>Bị huấn luyện viên mắng.</t>
  </si>
  <si>
    <t>水準</t>
  </si>
  <si>
    <t>すいじゅん</t>
  </si>
  <si>
    <t>水準[すいじゅん]</t>
  </si>
  <si>
    <t>水準を上げる。</t>
  </si>
  <si>
    <t>Tôi nâng cao tiêu chuẩn.</t>
  </si>
  <si>
    <t>協議</t>
  </si>
  <si>
    <t>協議[きょうぎ]</t>
  </si>
  <si>
    <t>協議を重ねる。</t>
  </si>
  <si>
    <t>Tôi thảo luận nhiều lần.</t>
  </si>
  <si>
    <t>会合</t>
  </si>
  <si>
    <t>かいごう</t>
  </si>
  <si>
    <t>会合[かいごう]</t>
  </si>
  <si>
    <t>会合に出席する。</t>
  </si>
  <si>
    <t>Tôi sẽ tham dự cuộc họp.</t>
  </si>
  <si>
    <t>四季</t>
  </si>
  <si>
    <t>四季[しき]</t>
  </si>
  <si>
    <t>bốn mùa</t>
  </si>
  <si>
    <t>四季を楽しむ。</t>
  </si>
  <si>
    <t>Tôi thưởng thức bốn mùa.</t>
  </si>
  <si>
    <t>婦人</t>
  </si>
  <si>
    <t>婦人[ふじん]</t>
  </si>
  <si>
    <t>quý bà</t>
  </si>
  <si>
    <t>婦人の集まり。</t>
  </si>
  <si>
    <t>Cuộc gặp của các quý bà.</t>
  </si>
  <si>
    <t>救助</t>
  </si>
  <si>
    <t>きゅうじょ</t>
  </si>
  <si>
    <t>救助[きゅうじょ]</t>
  </si>
  <si>
    <t>cứu hộ</t>
  </si>
  <si>
    <t>遭難者を救助する。</t>
  </si>
  <si>
    <t>Tôi cứu hộ người bị nạn.</t>
  </si>
  <si>
    <t>振舞う</t>
  </si>
  <si>
    <t>ふるまう</t>
  </si>
  <si>
    <t>振舞[ふるま]う</t>
  </si>
  <si>
    <t>cư xử</t>
  </si>
  <si>
    <t>立派に振舞う。</t>
  </si>
  <si>
    <t>Cư xử một cách đứng đắn.</t>
  </si>
  <si>
    <t>出来上がる</t>
  </si>
  <si>
    <t>できあがる</t>
  </si>
  <si>
    <t>出来上[できあ]がる</t>
  </si>
  <si>
    <t>準備が出来上がる。</t>
  </si>
  <si>
    <t>Chuẩn bị đã hoàn thành.</t>
  </si>
  <si>
    <t>食料</t>
  </si>
  <si>
    <t>しょくりょう</t>
  </si>
  <si>
    <t>食料[しょくりょう]</t>
  </si>
  <si>
    <t>lương thực</t>
  </si>
  <si>
    <t>食料を確保する。</t>
  </si>
  <si>
    <t>Tôi đảm bảo lương thực.</t>
  </si>
  <si>
    <t>冷静</t>
  </si>
  <si>
    <t>れいせい</t>
  </si>
  <si>
    <t>冷静[れいせい]</t>
  </si>
  <si>
    <t>冷静に考える。</t>
  </si>
  <si>
    <t>Tôi suy nghĩ bình tĩnh.</t>
  </si>
  <si>
    <t>国籍</t>
  </si>
  <si>
    <t>こくせき</t>
  </si>
  <si>
    <t>国籍[こくせき]</t>
  </si>
  <si>
    <t>quốc tịch</t>
  </si>
  <si>
    <t>国籍を取得する。</t>
  </si>
  <si>
    <t>Tôi đạt được quốc tịch.</t>
  </si>
  <si>
    <t>眺め</t>
  </si>
  <si>
    <t>ながめ</t>
  </si>
  <si>
    <t>眺[なが]め</t>
  </si>
  <si>
    <t>cảnh quan</t>
  </si>
  <si>
    <t>眺めがいい部屋。</t>
  </si>
  <si>
    <t>Phòng có cảnh quan đẹp.</t>
  </si>
  <si>
    <t>稽古</t>
  </si>
  <si>
    <t>けいこ</t>
  </si>
  <si>
    <t>稽古[けいこ]</t>
  </si>
  <si>
    <t>剣道の稽古をする。</t>
  </si>
  <si>
    <t>Tôi luyện tập kiếm đạo.</t>
  </si>
  <si>
    <t>図形</t>
  </si>
  <si>
    <t>ずけい</t>
  </si>
  <si>
    <t>図形[ずけい]</t>
  </si>
  <si>
    <t>hình học</t>
  </si>
  <si>
    <t>図形を計算する。</t>
  </si>
  <si>
    <t>Tôi tính toán hình học.</t>
  </si>
  <si>
    <t>翼</t>
  </si>
  <si>
    <t>つばさ</t>
  </si>
  <si>
    <t>翼[つばさ]</t>
  </si>
  <si>
    <t>翼を広げる。</t>
  </si>
  <si>
    <t>Tôi dang rộng đôi cánh.</t>
  </si>
  <si>
    <t>雇う</t>
  </si>
  <si>
    <t>雇[やと]う</t>
  </si>
  <si>
    <t>thuê</t>
  </si>
  <si>
    <t>新しいスタッフを雇う。</t>
  </si>
  <si>
    <t>Tôi thuê nhân viên mới.</t>
  </si>
  <si>
    <t>家賃</t>
  </si>
  <si>
    <t>やちん</t>
  </si>
  <si>
    <t>家賃[やちん]</t>
  </si>
  <si>
    <t>tiền thuê nhà</t>
  </si>
  <si>
    <t>家賃を払う。</t>
  </si>
  <si>
    <t>Tôi trả tiền thuê nhà.</t>
  </si>
  <si>
    <t>英文</t>
  </si>
  <si>
    <t>えいぶん</t>
  </si>
  <si>
    <t>英文[えいぶん]</t>
  </si>
  <si>
    <t>câu tiếng anh</t>
  </si>
  <si>
    <t>英文を読む。</t>
  </si>
  <si>
    <t>Tôi đọc câu tiếng Anh.</t>
  </si>
  <si>
    <t>肯定</t>
  </si>
  <si>
    <t>こうてい</t>
  </si>
  <si>
    <t>肯定[こうてい]</t>
  </si>
  <si>
    <t>意見を肯定する。</t>
  </si>
  <si>
    <t>裏返す</t>
  </si>
  <si>
    <t>うらがえす</t>
  </si>
  <si>
    <t>裏返[うらがえ]す</t>
  </si>
  <si>
    <t>lật ngược</t>
  </si>
  <si>
    <t>服を裏返す。</t>
  </si>
  <si>
    <t>Tôi lật ngược quần áo.</t>
  </si>
  <si>
    <t>創作</t>
  </si>
  <si>
    <t>創作[そうさく]</t>
  </si>
  <si>
    <t>sáng tạo</t>
  </si>
  <si>
    <t>作品を創作する。</t>
  </si>
  <si>
    <t>Tôi sáng tạo tác phẩm.</t>
  </si>
  <si>
    <t>至急</t>
  </si>
  <si>
    <t>しきゅう</t>
  </si>
  <si>
    <t>至急[しきゅう]</t>
  </si>
  <si>
    <t>至急連絡する。</t>
  </si>
  <si>
    <t>Tôi liên lạc khẩn cấp.</t>
  </si>
  <si>
    <t>器具</t>
  </si>
  <si>
    <t>きぐ</t>
  </si>
  <si>
    <t>器具[きぐ]</t>
  </si>
  <si>
    <t>実験用の器具。</t>
  </si>
  <si>
    <t>Dụng cụ để thí nghiệm.</t>
  </si>
  <si>
    <t>学問</t>
  </si>
  <si>
    <t>がくもん</t>
  </si>
  <si>
    <t>学問[がくもん]</t>
  </si>
  <si>
    <t>học vấn</t>
  </si>
  <si>
    <t>学問を志す。</t>
  </si>
  <si>
    <t>Tôi theo đuổi học vấn.</t>
  </si>
  <si>
    <t>苦痛</t>
  </si>
  <si>
    <t>くつう</t>
  </si>
  <si>
    <t>苦痛[くつう]</t>
  </si>
  <si>
    <t>đau đớn</t>
  </si>
  <si>
    <t>苦痛に耐える。</t>
  </si>
  <si>
    <t>Tôi chịu đựng nỗi đau.</t>
  </si>
  <si>
    <t>契機</t>
  </si>
  <si>
    <t>契機[けいき]</t>
  </si>
  <si>
    <t>成功の契機。</t>
  </si>
  <si>
    <t>Cơ hội của thành công.</t>
  </si>
  <si>
    <t>録音</t>
  </si>
  <si>
    <t>ろくおん</t>
  </si>
  <si>
    <t>録音[ろくおん]</t>
  </si>
  <si>
    <t>ghi âm</t>
  </si>
  <si>
    <t>会話を録音する。</t>
  </si>
  <si>
    <t>Ghi âm cuộc hội thoại.</t>
  </si>
  <si>
    <t>大気</t>
  </si>
  <si>
    <t>たいき</t>
  </si>
  <si>
    <t>大気[たいき]</t>
  </si>
  <si>
    <t>khí quyển</t>
  </si>
  <si>
    <t>大気が汚れる。</t>
  </si>
  <si>
    <t>Khí quyển bị ô nhiễm.</t>
  </si>
  <si>
    <t>同志</t>
  </si>
  <si>
    <t>同志[どうし]</t>
  </si>
  <si>
    <t>đồng chí</t>
  </si>
  <si>
    <t>同志を募る。</t>
  </si>
  <si>
    <t>Tôi kêu gọi đồng chí.</t>
  </si>
  <si>
    <t>囁く</t>
  </si>
  <si>
    <t>ささやく</t>
  </si>
  <si>
    <t>囁[ささや]く</t>
  </si>
  <si>
    <t>thì thầm</t>
  </si>
  <si>
    <t>耳元で囁く。</t>
  </si>
  <si>
    <t>Tôi thì thầm bên tai.</t>
  </si>
  <si>
    <t>声明</t>
  </si>
  <si>
    <t>声明[せいめい]</t>
  </si>
  <si>
    <t>tuyên bố</t>
  </si>
  <si>
    <t>声明を発表する。</t>
  </si>
  <si>
    <t>Tôi công bố tuyên bố.</t>
  </si>
  <si>
    <t>売買</t>
  </si>
  <si>
    <t>売買[ばいばい]</t>
  </si>
  <si>
    <t>mua bán</t>
  </si>
  <si>
    <t>土地の売買。</t>
  </si>
  <si>
    <t>Việc mua bán đất đai.</t>
  </si>
  <si>
    <t>爆発</t>
  </si>
  <si>
    <t>ばくはつ</t>
  </si>
  <si>
    <t>爆発[ばくはつ]</t>
  </si>
  <si>
    <t>人気が爆発する。</t>
  </si>
  <si>
    <t>Sự nổi tiếng bùng nổ.</t>
  </si>
  <si>
    <t>集合</t>
  </si>
  <si>
    <t>しゅうごう</t>
  </si>
  <si>
    <t>集合[しゅうごう]</t>
  </si>
  <si>
    <t>tập hợp</t>
  </si>
  <si>
    <t>駅前に集合する。</t>
  </si>
  <si>
    <t>Tập hợp trước nhà ga.</t>
  </si>
  <si>
    <t>髪の毛</t>
  </si>
  <si>
    <t>かみのけ</t>
  </si>
  <si>
    <t>髪[かみ]の毛[け]</t>
  </si>
  <si>
    <t>sợi tóc</t>
  </si>
  <si>
    <t>床に髪の毛が落ちる。</t>
  </si>
  <si>
    <t>Sợi tóc rơi trên sàn.</t>
  </si>
  <si>
    <t>宝石</t>
  </si>
  <si>
    <t>ほうせき</t>
  </si>
  <si>
    <t>宝石[ほうせき]</t>
  </si>
  <si>
    <t>đá quý</t>
  </si>
  <si>
    <t>宝石を飾る。</t>
  </si>
  <si>
    <t>Tôi trang trí đá quý.</t>
  </si>
  <si>
    <t>渋滞</t>
  </si>
  <si>
    <t>じゅうたい</t>
  </si>
  <si>
    <t>渋滞[じゅうたい]</t>
  </si>
  <si>
    <t>kẹt xe</t>
  </si>
  <si>
    <t>道が渋滞している。</t>
  </si>
  <si>
    <t>Đường đang bị kẹt xe.</t>
  </si>
  <si>
    <t>混ぜる</t>
  </si>
  <si>
    <t>混[ま]ぜる</t>
  </si>
  <si>
    <t>材料をよく混ぜる。</t>
  </si>
  <si>
    <t>Trộn đều nguyên liệu.</t>
  </si>
  <si>
    <t>着せる</t>
  </si>
  <si>
    <t>きせる</t>
  </si>
  <si>
    <t>着[き]せる</t>
  </si>
  <si>
    <t>子供に服を着せる。</t>
  </si>
  <si>
    <t>Mặc quần áo cho con.</t>
  </si>
  <si>
    <t>儲ける</t>
  </si>
  <si>
    <t>儲[もう]ける</t>
  </si>
  <si>
    <t>大金を儲ける。</t>
  </si>
  <si>
    <t>Tôi kiếm nhiều tiền.</t>
  </si>
  <si>
    <t>狂う</t>
  </si>
  <si>
    <t>くるう</t>
  </si>
  <si>
    <t>狂[くる]う</t>
  </si>
  <si>
    <t>phát điên</t>
  </si>
  <si>
    <t>予定が狂う。</t>
  </si>
  <si>
    <t>Dự định bị xáo trộn.</t>
  </si>
  <si>
    <t>覗く</t>
  </si>
  <si>
    <t>覗[のぞ]く</t>
  </si>
  <si>
    <t>nhìn trộm</t>
  </si>
  <si>
    <t>穴から覗く。</t>
  </si>
  <si>
    <t>Tôi nhìn trộm từ lỗ.</t>
  </si>
  <si>
    <t>苦情</t>
  </si>
  <si>
    <t>くじょう</t>
  </si>
  <si>
    <t>苦情[くじょう]</t>
  </si>
  <si>
    <t>苦情を言う。</t>
  </si>
  <si>
    <t>Tôi đưa ra phàn nàn.</t>
  </si>
  <si>
    <t>失業</t>
  </si>
  <si>
    <t>しつぎょう</t>
  </si>
  <si>
    <t>失業[しつぎょう]</t>
  </si>
  <si>
    <t>thất nghiệp</t>
  </si>
  <si>
    <t>失業する。</t>
  </si>
  <si>
    <t>Tôi bị thất nghiệp.</t>
  </si>
  <si>
    <t>缶詰</t>
  </si>
  <si>
    <t>かんづめ</t>
  </si>
  <si>
    <t>缶詰[かんづめ]</t>
  </si>
  <si>
    <t>đồ đóng hộp</t>
  </si>
  <si>
    <t>缶詰を食べる。</t>
  </si>
  <si>
    <t>Tôi ăn đồ đóng hộp.</t>
  </si>
  <si>
    <t>見下ろす</t>
  </si>
  <si>
    <t>みおろす</t>
  </si>
  <si>
    <t>見下[みお]ろす</t>
  </si>
  <si>
    <t>nhìn xuống</t>
  </si>
  <si>
    <t>街を見下ろす。</t>
  </si>
  <si>
    <t>Tôi nhìn xuống phố.</t>
  </si>
  <si>
    <t>容積</t>
  </si>
  <si>
    <t>ようせき</t>
  </si>
  <si>
    <t>容積[ようせき]</t>
  </si>
  <si>
    <t>dung tích</t>
  </si>
  <si>
    <t>容積を計算する。</t>
  </si>
  <si>
    <t>Tôi tính dung tích.</t>
  </si>
  <si>
    <t>火事</t>
  </si>
  <si>
    <t>火事[かじ]</t>
  </si>
  <si>
    <t>hỏa hoạn</t>
  </si>
  <si>
    <t>火事が起きた。</t>
  </si>
  <si>
    <t>Hỏa hoạn đã xảy ra.</t>
  </si>
  <si>
    <t>腰掛ける</t>
  </si>
  <si>
    <t>こしかける</t>
  </si>
  <si>
    <t>腰掛[こしか]ける</t>
  </si>
  <si>
    <t>椅子に腰掛ける。</t>
  </si>
  <si>
    <t>Tôi ngồi xuống ghế.</t>
  </si>
  <si>
    <t>大人しい</t>
  </si>
  <si>
    <t>おとなしい</t>
  </si>
  <si>
    <t>大人[おとな]しい</t>
  </si>
  <si>
    <t>hiền lành</t>
  </si>
  <si>
    <t>大人しい子供。</t>
  </si>
  <si>
    <t>Đứa trẻ hiền lành.</t>
  </si>
  <si>
    <t>全力</t>
  </si>
  <si>
    <t>ぜんりょく</t>
  </si>
  <si>
    <t>全力[ぜんりょく]</t>
  </si>
  <si>
    <t>toàn lực</t>
  </si>
  <si>
    <t>全力で走る。</t>
  </si>
  <si>
    <t>Tôi chạy toàn lực.</t>
  </si>
  <si>
    <t>奨学金</t>
  </si>
  <si>
    <t>しょうがくきん</t>
  </si>
  <si>
    <t>奨学金[しょうがくきん]</t>
  </si>
  <si>
    <t>học bổng</t>
  </si>
  <si>
    <t>奨学金をもらう。</t>
  </si>
  <si>
    <t>Tôi nhận học bổng.</t>
  </si>
  <si>
    <t>省く</t>
  </si>
  <si>
    <t>はぶく</t>
  </si>
  <si>
    <t>省[はぶ]く</t>
  </si>
  <si>
    <t>lược bớt</t>
  </si>
  <si>
    <t>手間を省く。</t>
  </si>
  <si>
    <t>Lược bớt công sức.</t>
  </si>
  <si>
    <t>石鹸</t>
  </si>
  <si>
    <t>せっけん</t>
  </si>
  <si>
    <t>石鹸[せっけん]</t>
  </si>
  <si>
    <t>xà phòng</t>
  </si>
  <si>
    <t>石鹸で洗う。</t>
  </si>
  <si>
    <t>Rửa bằng xà phòng.</t>
  </si>
  <si>
    <t>容器</t>
  </si>
  <si>
    <t>ようき</t>
  </si>
  <si>
    <t>容器[ようき]</t>
  </si>
  <si>
    <t>đồ chứa</t>
  </si>
  <si>
    <t>食品の容器。</t>
  </si>
  <si>
    <t>Đồ chứa thực phẩm.</t>
  </si>
  <si>
    <t>独特</t>
  </si>
  <si>
    <t>どくとく</t>
  </si>
  <si>
    <t>独特[どくとく]</t>
  </si>
  <si>
    <t>独特な雰囲気。</t>
  </si>
  <si>
    <t>Không khí độc đáo.</t>
  </si>
  <si>
    <t>鉛筆</t>
  </si>
  <si>
    <t>えんぴつ</t>
  </si>
  <si>
    <t>鉛筆[えんぴつ]</t>
  </si>
  <si>
    <t>bút chì</t>
  </si>
  <si>
    <t>鉛筆で書く。</t>
  </si>
  <si>
    <t>Viết bằng bút chì.</t>
  </si>
  <si>
    <t>鋭い</t>
  </si>
  <si>
    <t>するどい</t>
  </si>
  <si>
    <t>鋭[するど]い</t>
  </si>
  <si>
    <t>sắc bén</t>
  </si>
  <si>
    <t>鋭いナイフだ。</t>
  </si>
  <si>
    <t>Chiếc dao sắc bén.</t>
  </si>
  <si>
    <t>縮む</t>
  </si>
  <si>
    <t>ちぢむ</t>
  </si>
  <si>
    <t>縮[ちぢ]む</t>
  </si>
  <si>
    <t>co lại</t>
  </si>
  <si>
    <t>服が縮む。</t>
  </si>
  <si>
    <t>Quần áo bị co lại.</t>
  </si>
  <si>
    <t>紅葉</t>
  </si>
  <si>
    <t>こうよう</t>
  </si>
  <si>
    <t>紅葉[こうよう]</t>
  </si>
  <si>
    <t>lá đỏ</t>
  </si>
  <si>
    <t>紅葉を見に行く。</t>
  </si>
  <si>
    <t>Tôi đi ngắm lá đỏ.</t>
  </si>
  <si>
    <t>八日</t>
  </si>
  <si>
    <t>ようか</t>
  </si>
  <si>
    <t>八日[ようか]</t>
  </si>
  <si>
    <t>ngày tám</t>
  </si>
  <si>
    <t>八日に来る。</t>
  </si>
  <si>
    <t>Tôi đến ngày tám.</t>
  </si>
  <si>
    <t>出合い</t>
  </si>
  <si>
    <t>出合[であ]い</t>
  </si>
  <si>
    <t>cuộc gặp</t>
  </si>
  <si>
    <t>偶然の出合い。</t>
  </si>
  <si>
    <t>Cuộc gặp tình cờ.</t>
  </si>
  <si>
    <t>炎</t>
  </si>
  <si>
    <t>ほのお</t>
  </si>
  <si>
    <t>炎[ほのお]</t>
  </si>
  <si>
    <t>ngọn lửa</t>
  </si>
  <si>
    <t>炎が上がる。</t>
  </si>
  <si>
    <t>Ngọn lửa bốc lên.</t>
  </si>
  <si>
    <t>膨大</t>
  </si>
  <si>
    <t>ぼうだい</t>
  </si>
  <si>
    <t>膨大[ぼうだい]</t>
  </si>
  <si>
    <t>膨大なデータ。</t>
  </si>
  <si>
    <t>Dữ liệu khổng lồ.</t>
  </si>
  <si>
    <t>余る</t>
  </si>
  <si>
    <t>あまる</t>
  </si>
  <si>
    <t>余[あま]る</t>
  </si>
  <si>
    <t>時間が余る。</t>
  </si>
  <si>
    <t>Tôi dư thời gian.</t>
  </si>
  <si>
    <t>拡充</t>
  </si>
  <si>
    <t>かくじゅう</t>
  </si>
  <si>
    <t>拡充[かくじゅう]</t>
  </si>
  <si>
    <t>設備を拡充する。</t>
  </si>
  <si>
    <t>Mở rộng thiết bị.</t>
  </si>
  <si>
    <t>点数</t>
  </si>
  <si>
    <t>てんすう</t>
  </si>
  <si>
    <t>点数[てんすう]</t>
  </si>
  <si>
    <t>点数が伸びる。</t>
  </si>
  <si>
    <t>Điểm số tăng lên.</t>
  </si>
  <si>
    <t>奇妙</t>
  </si>
  <si>
    <t>きみょう</t>
  </si>
  <si>
    <t>奇妙[きみょう]</t>
  </si>
  <si>
    <t>奇妙な物語。</t>
  </si>
  <si>
    <t>宴会</t>
  </si>
  <si>
    <t>えんかい</t>
  </si>
  <si>
    <t>宴会[えんかい]</t>
  </si>
  <si>
    <t>宴会を開く。</t>
  </si>
  <si>
    <t>Tôi tổ chức tiệc.</t>
  </si>
  <si>
    <t>刺す</t>
  </si>
  <si>
    <t>刺[さ]す</t>
  </si>
  <si>
    <t>針で刺す。</t>
  </si>
  <si>
    <t>Tôi đâm bằng kim.</t>
  </si>
  <si>
    <t>王</t>
  </si>
  <si>
    <t>王[おう]</t>
  </si>
  <si>
    <t>vua</t>
  </si>
  <si>
    <t>国の王。</t>
  </si>
  <si>
    <t>Vua của đất nước.</t>
  </si>
  <si>
    <t>旧</t>
  </si>
  <si>
    <t>旧[きゅう]</t>
  </si>
  <si>
    <t>旧の校舎。</t>
  </si>
  <si>
    <t>Đó là tòa nhà cũ.</t>
  </si>
  <si>
    <t>虎</t>
  </si>
  <si>
    <t>とら</t>
  </si>
  <si>
    <t>虎[とら]</t>
  </si>
  <si>
    <t>hổ</t>
  </si>
  <si>
    <t>虎を見る。</t>
  </si>
  <si>
    <t>Tôi nhìn thấy hổ.</t>
  </si>
  <si>
    <t>演奏</t>
  </si>
  <si>
    <t>えんそう</t>
  </si>
  <si>
    <t>演奏[えんそう]</t>
  </si>
  <si>
    <t>biểu diễn</t>
  </si>
  <si>
    <t>ピアノを演奏する。</t>
  </si>
  <si>
    <t>Biểu diễn piano.</t>
  </si>
  <si>
    <t>勇気</t>
  </si>
  <si>
    <t>ゆうき</t>
  </si>
  <si>
    <t>勇気[ゆうき]</t>
  </si>
  <si>
    <t>dũng khí</t>
  </si>
  <si>
    <t>勇気を持つ。</t>
  </si>
  <si>
    <t>Tôi có dũng khí.</t>
  </si>
  <si>
    <t>葬式</t>
  </si>
  <si>
    <t>そうしき</t>
  </si>
  <si>
    <t>葬式[そうしき]</t>
  </si>
  <si>
    <t>đám tang</t>
  </si>
  <si>
    <t>葬式に出る。</t>
  </si>
  <si>
    <t>Tôi đi đám tang.</t>
  </si>
  <si>
    <t>列車</t>
  </si>
  <si>
    <t>れっしゃ</t>
  </si>
  <si>
    <t>列車[れっしゃ]</t>
  </si>
  <si>
    <t>tàu hỏa</t>
  </si>
  <si>
    <t>列車に乗る。</t>
  </si>
  <si>
    <t>Tôi lên tàu hỏa.</t>
  </si>
  <si>
    <t>単語</t>
  </si>
  <si>
    <t>たんご</t>
  </si>
  <si>
    <t>単語[たんご]</t>
  </si>
  <si>
    <t>この単語を覚える。</t>
  </si>
  <si>
    <t>Ghi nhớ từ vựng này.</t>
  </si>
  <si>
    <t>太る</t>
  </si>
  <si>
    <t>ふとる</t>
  </si>
  <si>
    <t>太[ふと]る</t>
  </si>
  <si>
    <t>béo lên</t>
  </si>
  <si>
    <t>少し太る。</t>
  </si>
  <si>
    <t>Tôi hơi béo lên.</t>
  </si>
  <si>
    <t>嫁</t>
  </si>
  <si>
    <t>よめ</t>
  </si>
  <si>
    <t>嫁[よめ]</t>
  </si>
  <si>
    <t>con dâu</t>
  </si>
  <si>
    <t>嫁を迎える。</t>
  </si>
  <si>
    <t>Tôi đón con dâu.</t>
  </si>
  <si>
    <t>本物</t>
  </si>
  <si>
    <t>ほんもの</t>
  </si>
  <si>
    <t>本物[ほんもの]</t>
  </si>
  <si>
    <t>đồ thật</t>
  </si>
  <si>
    <t>本物を見る。</t>
  </si>
  <si>
    <t>Tôi xem đồ thật.</t>
  </si>
  <si>
    <t>膝</t>
  </si>
  <si>
    <t>ひざ</t>
  </si>
  <si>
    <t>膝[ひざ]</t>
  </si>
  <si>
    <t>đầu gối</t>
  </si>
  <si>
    <t>膝をつく。</t>
  </si>
  <si>
    <t>Tôi quỳ đầu gối.</t>
  </si>
  <si>
    <t>武器</t>
  </si>
  <si>
    <t>ぶき</t>
  </si>
  <si>
    <t>武器[ぶき]</t>
  </si>
  <si>
    <t>武器を持つ。</t>
  </si>
  <si>
    <t>Tôi mang vũ khí.</t>
  </si>
  <si>
    <t>重量</t>
  </si>
  <si>
    <t>じゅうりょう</t>
  </si>
  <si>
    <t>重量[じゅうりょう]</t>
  </si>
  <si>
    <t>trọng lượng</t>
  </si>
  <si>
    <t>重量を測る。</t>
  </si>
  <si>
    <t>Đo trọng lượng.</t>
  </si>
  <si>
    <t>劇場</t>
  </si>
  <si>
    <t>げきじょう</t>
  </si>
  <si>
    <t>劇場[げきじょう]</t>
  </si>
  <si>
    <t>nhà hát</t>
  </si>
  <si>
    <t>劇場に行く。</t>
  </si>
  <si>
    <t>Tôi đi nhà hát.</t>
  </si>
  <si>
    <t>物凄い</t>
  </si>
  <si>
    <t>ものすごい</t>
  </si>
  <si>
    <t>物凄[ものすご]い</t>
  </si>
  <si>
    <t>ghê gớm</t>
  </si>
  <si>
    <t>物凄いスピードだ。</t>
  </si>
  <si>
    <t>Tốc độ ghê gớm.</t>
  </si>
  <si>
    <t>棚</t>
  </si>
  <si>
    <t>たな</t>
  </si>
  <si>
    <t>棚[たな]</t>
  </si>
  <si>
    <t>cái kệ</t>
  </si>
  <si>
    <t>棚を置く。</t>
  </si>
  <si>
    <t>Tôi đặt cái kệ.</t>
  </si>
  <si>
    <t>生き物</t>
  </si>
  <si>
    <t>いきもの</t>
  </si>
  <si>
    <t>生[い]き物[もの]</t>
  </si>
  <si>
    <t>珍しい生き物。</t>
  </si>
  <si>
    <t>Sinh vật hiếm.</t>
  </si>
  <si>
    <t>用語</t>
  </si>
  <si>
    <t>用語[ようご]</t>
  </si>
  <si>
    <t>thuật ngữ</t>
  </si>
  <si>
    <t>ITの用語。</t>
  </si>
  <si>
    <t>Thuật ngữ IT.</t>
  </si>
  <si>
    <t>溜める</t>
  </si>
  <si>
    <t>ためる</t>
  </si>
  <si>
    <t>溜[た]める</t>
  </si>
  <si>
    <t>để dành</t>
  </si>
  <si>
    <t>お金を溜める。</t>
  </si>
  <si>
    <t>Để dành tiền.</t>
  </si>
  <si>
    <t>飼う</t>
  </si>
  <si>
    <t>飼[か]う</t>
  </si>
  <si>
    <t>nuôi</t>
  </si>
  <si>
    <t>犬を飼う。</t>
  </si>
  <si>
    <t>Tôi nuôi chó.</t>
  </si>
  <si>
    <t>暮れる</t>
  </si>
  <si>
    <t>暮[く]れる</t>
  </si>
  <si>
    <t>tối xuống</t>
  </si>
  <si>
    <t>日が暮れる。</t>
  </si>
  <si>
    <t>Trời đã tối.</t>
  </si>
  <si>
    <t>発想</t>
  </si>
  <si>
    <t>はっそう</t>
  </si>
  <si>
    <t>発想[はっそう]</t>
  </si>
  <si>
    <t>新しい発想。</t>
  </si>
  <si>
    <t>Ý tưởng mới.</t>
  </si>
  <si>
    <t>石炭</t>
  </si>
  <si>
    <t>せきたん</t>
  </si>
  <si>
    <t>石炭[せきたん]</t>
  </si>
  <si>
    <t>than đá</t>
  </si>
  <si>
    <t>石炭を燃やす。</t>
  </si>
  <si>
    <t>Đốt than đá.</t>
  </si>
  <si>
    <t>苦い</t>
  </si>
  <si>
    <t>にがい</t>
  </si>
  <si>
    <t>苦[にが]い</t>
  </si>
  <si>
    <t>đắng</t>
  </si>
  <si>
    <t>苦いコーヒー。</t>
  </si>
  <si>
    <t>Cà phê đắng.</t>
  </si>
  <si>
    <t>鳴く</t>
  </si>
  <si>
    <t>鳴[な]く</t>
  </si>
  <si>
    <t>kêu</t>
  </si>
  <si>
    <t>犬が鳴く。</t>
  </si>
  <si>
    <t>Con chó kêu.</t>
  </si>
  <si>
    <t>濡れる</t>
  </si>
  <si>
    <t>ぬれる</t>
  </si>
  <si>
    <t>濡[ぬ]れる</t>
  </si>
  <si>
    <t>bị ướt</t>
  </si>
  <si>
    <t>雨に濡れる。</t>
  </si>
  <si>
    <t>Bị ướt mưa.</t>
  </si>
  <si>
    <t>粒</t>
  </si>
  <si>
    <t>つぶ</t>
  </si>
  <si>
    <t>粒[つぶ]</t>
  </si>
  <si>
    <t>米の粒が大きい。</t>
  </si>
  <si>
    <t>Hạt gạo to.</t>
  </si>
  <si>
    <t>砕く</t>
  </si>
  <si>
    <t>くだく</t>
  </si>
  <si>
    <t>砕[くだ]く</t>
  </si>
  <si>
    <t>đập vỡ</t>
  </si>
  <si>
    <t>氷を砕く。</t>
  </si>
  <si>
    <t>Đập vỡ đá.</t>
  </si>
  <si>
    <t>田</t>
  </si>
  <si>
    <t>た</t>
  </si>
  <si>
    <t>田[た]</t>
  </si>
  <si>
    <t>ruộng</t>
  </si>
  <si>
    <t>田を耕す。</t>
  </si>
  <si>
    <t>Cày ruộng.</t>
  </si>
  <si>
    <t>群れ</t>
  </si>
  <si>
    <t>むれ</t>
  </si>
  <si>
    <t>群[む]れ</t>
  </si>
  <si>
    <t>đàn</t>
  </si>
  <si>
    <t>鳥の群れ。</t>
  </si>
  <si>
    <t>Đàn chim.</t>
  </si>
  <si>
    <t>脂</t>
  </si>
  <si>
    <t>脂[あぶら]</t>
  </si>
  <si>
    <t>mỡ</t>
  </si>
  <si>
    <t>肉の脂。</t>
  </si>
  <si>
    <t>Mỡ thịt.</t>
  </si>
  <si>
    <t>釣る</t>
  </si>
  <si>
    <t>つる</t>
  </si>
  <si>
    <t>釣[つ]る</t>
  </si>
  <si>
    <t>魚を釣る。</t>
  </si>
  <si>
    <t>Câu cá.</t>
  </si>
  <si>
    <t>究極</t>
  </si>
  <si>
    <t>きゅうきょく</t>
  </si>
  <si>
    <t>究極[きゅうきょく]</t>
  </si>
  <si>
    <t>tối thượng</t>
  </si>
  <si>
    <t>究極の選択だ。</t>
  </si>
  <si>
    <t>Là lựa chọn tối thượng.</t>
  </si>
  <si>
    <t>結び</t>
  </si>
  <si>
    <t>むすび</t>
  </si>
  <si>
    <t>結[むす]び</t>
  </si>
  <si>
    <t>話の結び。</t>
  </si>
  <si>
    <t>Phần kết luận của câu chuyện.</t>
  </si>
  <si>
    <t>母国</t>
  </si>
  <si>
    <t>ぼこく</t>
  </si>
  <si>
    <t>母国[ぼこく]</t>
  </si>
  <si>
    <t>母国に帰る。</t>
  </si>
  <si>
    <t>Trở về quê hương.</t>
  </si>
  <si>
    <t>給食</t>
  </si>
  <si>
    <t>きゅうしょく</t>
  </si>
  <si>
    <t>給食[きゅうしょく]</t>
  </si>
  <si>
    <t>bữa ăn trường học</t>
  </si>
  <si>
    <t>給食を食べる。</t>
  </si>
  <si>
    <t>Ăn bữa ăn tại trường.</t>
  </si>
  <si>
    <t>沿線</t>
  </si>
  <si>
    <t>えんせん</t>
  </si>
  <si>
    <t>沿線[えんせん]</t>
  </si>
  <si>
    <t>dọc tuyến đường</t>
  </si>
  <si>
    <t>沿線の施設を調べる。</t>
  </si>
  <si>
    <t>Tìm hiểu các cơ sở dọc tuyến đường.</t>
  </si>
  <si>
    <t>異性</t>
  </si>
  <si>
    <t>いせい</t>
  </si>
  <si>
    <t>異性[いせい]</t>
  </si>
  <si>
    <t>người khác giới</t>
  </si>
  <si>
    <t>異性と付き合う。</t>
  </si>
  <si>
    <t>Hẹn hò với người khác giới.</t>
  </si>
  <si>
    <t>称する</t>
  </si>
  <si>
    <t>しょうする</t>
  </si>
  <si>
    <t>称[しょう]する</t>
  </si>
  <si>
    <t>tự xưng</t>
  </si>
  <si>
    <t>先生と称する人。</t>
  </si>
  <si>
    <t>Người tự xưng là giáo viên.</t>
  </si>
  <si>
    <t>とぎれる</t>
  </si>
  <si>
    <t>bị gián đoạn</t>
  </si>
  <si>
    <t>会話がとぎれる。</t>
  </si>
  <si>
    <t>Cuộc trò chuyện bị gián đoạn.</t>
  </si>
  <si>
    <t>とっさに</t>
  </si>
  <si>
    <t>とっさに判断する。</t>
  </si>
  <si>
    <t>Phán đoán ngay lập tức.</t>
  </si>
  <si>
    <t>にきび</t>
  </si>
  <si>
    <t>mụn trứng cá</t>
  </si>
  <si>
    <t>顔ににきびができる。</t>
  </si>
  <si>
    <t>Bị mụn trứng cá trên mặt.</t>
  </si>
  <si>
    <t>使い道</t>
  </si>
  <si>
    <t>つかいみち</t>
  </si>
  <si>
    <t>使[つか]い道[みち]</t>
  </si>
  <si>
    <t>金の使い道。</t>
  </si>
  <si>
    <t>Cách sử dụng tiền.</t>
  </si>
  <si>
    <t>結び付く</t>
  </si>
  <si>
    <t>むすびつく</t>
  </si>
  <si>
    <t>結[むす]び付[つ]く</t>
  </si>
  <si>
    <t>được kết nối</t>
  </si>
  <si>
    <t>努力が成果に結び付く。</t>
  </si>
  <si>
    <t>Nỗ lực dẫn đến thành quả.</t>
  </si>
  <si>
    <t>途絶える</t>
  </si>
  <si>
    <t>とだえる</t>
  </si>
  <si>
    <t>途絶[とだ]える</t>
  </si>
  <si>
    <t>連絡が途絶える。</t>
  </si>
  <si>
    <t>Liên lạc bị gián đoạn.</t>
  </si>
  <si>
    <t>やりとげる</t>
  </si>
  <si>
    <t>仕事をやりとげる。</t>
  </si>
  <si>
    <t>結び付き</t>
  </si>
  <si>
    <t>むすびつき</t>
  </si>
  <si>
    <t>結[むす]び付[つ]き</t>
  </si>
  <si>
    <t>sự gắn kết</t>
  </si>
  <si>
    <t>社会の結び付き。</t>
  </si>
  <si>
    <t>Sự gắn kết của xã hội.</t>
  </si>
  <si>
    <t>聴覚</t>
  </si>
  <si>
    <t>ちょうかく</t>
  </si>
  <si>
    <t>聴覚[ちょうかく]</t>
  </si>
  <si>
    <t>thính giác</t>
  </si>
  <si>
    <t>聴覚が優れる。</t>
  </si>
  <si>
    <t>Thính giác nhạy bén.</t>
  </si>
  <si>
    <t>麻痺</t>
  </si>
  <si>
    <t>まひ</t>
  </si>
  <si>
    <t>麻痺[まひ]</t>
  </si>
  <si>
    <t>tê liệt</t>
  </si>
  <si>
    <t>足が麻痺する。</t>
  </si>
  <si>
    <t>Chân bị tê liệt.</t>
  </si>
  <si>
    <t>いやらしい</t>
  </si>
  <si>
    <t>いやらしい態度をとる。</t>
  </si>
  <si>
    <t>Có thái độ đáng ghét.</t>
  </si>
  <si>
    <t>がっくり</t>
  </si>
  <si>
    <t>試験に落ちてがっくりする。</t>
  </si>
  <si>
    <t>Trượt kỳ thi nên rất thất vọng.</t>
  </si>
  <si>
    <t>すんなり</t>
  </si>
  <si>
    <t>話がすんなり通る。</t>
  </si>
  <si>
    <t>Câu chuyện được thông suốt dễ dàng.</t>
  </si>
  <si>
    <t>もろに</t>
  </si>
  <si>
    <t>trực diện</t>
  </si>
  <si>
    <t>もろに影響を受ける。</t>
  </si>
  <si>
    <t>Bị ảnh hưởng trực diện.</t>
  </si>
  <si>
    <t>一心</t>
  </si>
  <si>
    <t>いっしん</t>
  </si>
  <si>
    <t>一心[いっしん]</t>
  </si>
  <si>
    <t>đồng lòng</t>
  </si>
  <si>
    <t>一心に祈る。</t>
  </si>
  <si>
    <t>Cầu nguyện đồng lòng.</t>
  </si>
  <si>
    <t>下痢</t>
  </si>
  <si>
    <t>げり</t>
  </si>
  <si>
    <t>下痢[げり]</t>
  </si>
  <si>
    <t>tiêu chảy</t>
  </si>
  <si>
    <t>下痢をする。</t>
  </si>
  <si>
    <t>Bị tiêu chảy.</t>
  </si>
  <si>
    <t>並列</t>
  </si>
  <si>
    <t>へいれつ</t>
  </si>
  <si>
    <t>並列[へいれつ]</t>
  </si>
  <si>
    <t>並列につなぐ。</t>
  </si>
  <si>
    <t>Kết nối song song.</t>
  </si>
  <si>
    <t>丸々</t>
  </si>
  <si>
    <t>まるまる</t>
  </si>
  <si>
    <t>丸々[まるまる]</t>
  </si>
  <si>
    <t>一日丸々休む。</t>
  </si>
  <si>
    <t>Nghỉ hoàn toàn một ngày.</t>
  </si>
  <si>
    <t>仕入れる</t>
  </si>
  <si>
    <t>しいれる</t>
  </si>
  <si>
    <t>仕入[しい]れる</t>
  </si>
  <si>
    <t>nhập hàng</t>
  </si>
  <si>
    <t>商品を仕入れる。</t>
  </si>
  <si>
    <t>Nhập hàng hóa.</t>
  </si>
  <si>
    <t>消去</t>
  </si>
  <si>
    <t>しょうきょ</t>
  </si>
  <si>
    <t>消去[しょうきょ]</t>
  </si>
  <si>
    <t>xóa bỏ</t>
  </si>
  <si>
    <t>データを消去する。</t>
  </si>
  <si>
    <t>Xóa dữ liệu.</t>
  </si>
  <si>
    <t>用法</t>
  </si>
  <si>
    <t>ようほう</t>
  </si>
  <si>
    <t>用法[ようほう]</t>
  </si>
  <si>
    <t>cách dùng</t>
  </si>
  <si>
    <t>薬の用法を守る。</t>
  </si>
  <si>
    <t>Tuân thủ cách dùng thuốc.</t>
  </si>
  <si>
    <t>立体</t>
  </si>
  <si>
    <t>りったい</t>
  </si>
  <si>
    <t>立体[りったい]</t>
  </si>
  <si>
    <t>hình khối</t>
  </si>
  <si>
    <t>立体図形を学ぶ。</t>
  </si>
  <si>
    <t>Học hình khối.</t>
  </si>
  <si>
    <t>絶える</t>
  </si>
  <si>
    <t>絶[た]える</t>
  </si>
  <si>
    <t>ngừng</t>
  </si>
  <si>
    <t>声が絶える。</t>
  </si>
  <si>
    <t>Tiếng nói ngừng hẳn.</t>
  </si>
  <si>
    <t>苗</t>
  </si>
  <si>
    <t>なえ</t>
  </si>
  <si>
    <t>苗[なえ]</t>
  </si>
  <si>
    <t>cây giống</t>
  </si>
  <si>
    <t>苗を植える。</t>
  </si>
  <si>
    <t>Trồng cây giống.</t>
  </si>
  <si>
    <t>麻酔</t>
  </si>
  <si>
    <t>ますい</t>
  </si>
  <si>
    <t>麻酔[ますい]</t>
  </si>
  <si>
    <t>gây mê</t>
  </si>
  <si>
    <t>麻酔をかける。</t>
  </si>
  <si>
    <t>Gây mê.</t>
  </si>
  <si>
    <t>ひいては</t>
  </si>
  <si>
    <t>自分のため、ひいては社会のため。</t>
  </si>
  <si>
    <t>Vì bản thân, kéo theo là vì xã hội.</t>
  </si>
  <si>
    <t>不審</t>
  </si>
  <si>
    <t>不審[ふしん]</t>
  </si>
  <si>
    <t>不審な男。</t>
  </si>
  <si>
    <t>Người đàn ông khả nghi.</t>
  </si>
  <si>
    <t>予言</t>
  </si>
  <si>
    <t>よげん</t>
  </si>
  <si>
    <t>予言[よげん]</t>
  </si>
  <si>
    <t>tiên tri</t>
  </si>
  <si>
    <t>未来を予言する。</t>
  </si>
  <si>
    <t>Tiên tri về tương lai.</t>
  </si>
  <si>
    <t>交す</t>
  </si>
  <si>
    <t>かわす</t>
  </si>
  <si>
    <t>交[かわ]す</t>
  </si>
  <si>
    <t>言葉を交す。</t>
  </si>
  <si>
    <t>Trao đổi lời nói.</t>
  </si>
  <si>
    <t>体格</t>
  </si>
  <si>
    <t>たいかく</t>
  </si>
  <si>
    <t>体格[たいかく]</t>
  </si>
  <si>
    <t>thể hình</t>
  </si>
  <si>
    <t>体格が良い。</t>
  </si>
  <si>
    <t>Thể hình tốt.</t>
  </si>
  <si>
    <t>比例</t>
  </si>
  <si>
    <t>ひれい</t>
  </si>
  <si>
    <t>比例[ひれい]</t>
  </si>
  <si>
    <t>収入は労働時間に比例する。</t>
  </si>
  <si>
    <t>Thu nhập tỷ lệ với thời gian lao động.</t>
  </si>
  <si>
    <t>漂う</t>
  </si>
  <si>
    <t>ただよう</t>
  </si>
  <si>
    <t>漂[ただよ]う</t>
  </si>
  <si>
    <t>trôi nổi</t>
  </si>
  <si>
    <t>香りが漂う。</t>
  </si>
  <si>
    <t>Hương thơm phảng phất.</t>
  </si>
  <si>
    <t>甘える</t>
  </si>
  <si>
    <t>あまえる</t>
  </si>
  <si>
    <t>甘[あま]える</t>
  </si>
  <si>
    <t>nũng nịu</t>
  </si>
  <si>
    <t>子供が親に甘える。</t>
  </si>
  <si>
    <t>Đứa trẻ nũng nịu với cha mẹ.</t>
  </si>
  <si>
    <t>目途</t>
  </si>
  <si>
    <t>めど</t>
  </si>
  <si>
    <t>目途[めど]</t>
  </si>
  <si>
    <t>完成の目途が立つ。</t>
  </si>
  <si>
    <t>Có mục tiêu hoàn thành.</t>
  </si>
  <si>
    <t>着目</t>
  </si>
  <si>
    <t>ちゃくもく</t>
  </si>
  <si>
    <t>着目[ちゃくもく]</t>
  </si>
  <si>
    <t>データに着目する。</t>
  </si>
  <si>
    <t>Chú ý vào dữ liệu.</t>
  </si>
  <si>
    <t>立法</t>
  </si>
  <si>
    <t>りっぽう</t>
  </si>
  <si>
    <t>立法[りっぽう]</t>
  </si>
  <si>
    <t>lập pháp</t>
  </si>
  <si>
    <t>立法の作業をする。</t>
  </si>
  <si>
    <t>Làm công việc lập pháp.</t>
  </si>
  <si>
    <t>荒らす</t>
  </si>
  <si>
    <t>あらす</t>
  </si>
  <si>
    <t>荒[あ]らす</t>
  </si>
  <si>
    <t>phá hoại</t>
  </si>
  <si>
    <t>山を荒らす。</t>
  </si>
  <si>
    <t>Phá hoại núi rừng.</t>
  </si>
  <si>
    <t>風習</t>
  </si>
  <si>
    <t>ふうしゅう</t>
  </si>
  <si>
    <t>風習[ふうしゅう]</t>
  </si>
  <si>
    <t>古い風習。</t>
  </si>
  <si>
    <t>Tập quán cũ.</t>
  </si>
  <si>
    <t>鳥居</t>
  </si>
  <si>
    <t>とりい</t>
  </si>
  <si>
    <t>鳥居[とりい]</t>
  </si>
  <si>
    <t>cổng đền</t>
  </si>
  <si>
    <t>鳥居をくぐる。</t>
  </si>
  <si>
    <t>Đi qua cổng đền.</t>
  </si>
  <si>
    <t>ありのまま</t>
  </si>
  <si>
    <t>ありのままを話す。</t>
  </si>
  <si>
    <t>Kể lại mọi chuyện đúng thực tế.</t>
  </si>
  <si>
    <t>お産</t>
  </si>
  <si>
    <t>おさん</t>
  </si>
  <si>
    <t>お産[さん]</t>
  </si>
  <si>
    <t>sinh đẻ</t>
  </si>
  <si>
    <t>お産が近い。</t>
  </si>
  <si>
    <t>Sắp đến ngày sinh.</t>
  </si>
  <si>
    <t>丸ごと</t>
  </si>
  <si>
    <t>まるごと</t>
  </si>
  <si>
    <t>丸[まる]ごと</t>
  </si>
  <si>
    <t>リンゴを丸ごと食べる。</t>
  </si>
  <si>
    <t>Ăn toàn bộ quả táo.</t>
  </si>
  <si>
    <t>歩み</t>
  </si>
  <si>
    <t>あゆみ</t>
  </si>
  <si>
    <t>歩[あゆ]み</t>
  </si>
  <si>
    <t>これまでの歩みを振り返る。</t>
  </si>
  <si>
    <t>Nhìn lại những bước đi từ trước đến nay.</t>
  </si>
  <si>
    <t>緩む</t>
  </si>
  <si>
    <t>ゆるむ</t>
  </si>
  <si>
    <t>緩[ゆる]む</t>
  </si>
  <si>
    <t>bị lỏng</t>
  </si>
  <si>
    <t>ネジが緩む。</t>
  </si>
  <si>
    <t>Con ốc bị lỏng.</t>
  </si>
  <si>
    <t>纏め</t>
  </si>
  <si>
    <t>まとめ</t>
  </si>
  <si>
    <t>纏[まと]め</t>
  </si>
  <si>
    <t>内容の纏め。</t>
  </si>
  <si>
    <t>Tóm tắt nội dung.</t>
  </si>
  <si>
    <t>願書</t>
  </si>
  <si>
    <t>がんしょ</t>
  </si>
  <si>
    <t>願書[がんしょ]</t>
  </si>
  <si>
    <t>願書を出す。</t>
  </si>
  <si>
    <t>Nộp đơn xin.</t>
  </si>
  <si>
    <t>がっしり</t>
  </si>
  <si>
    <t>がっしりした体つき。</t>
  </si>
  <si>
    <t>Cơ thể vạm vỡ.</t>
  </si>
  <si>
    <t>コンパス</t>
  </si>
  <si>
    <t>こんぱす</t>
  </si>
  <si>
    <t>la bàn</t>
  </si>
  <si>
    <t>コンパスで方角を知る。</t>
  </si>
  <si>
    <t>Biết phương hướng bằng la bàn.</t>
  </si>
  <si>
    <t>ずるずる</t>
  </si>
  <si>
    <t>lê thê</t>
  </si>
  <si>
    <t>仕事がずるずる続く。</t>
  </si>
  <si>
    <t>Công việc kéo dài lê thê.</t>
  </si>
  <si>
    <t>洪水</t>
  </si>
  <si>
    <t>こうずい</t>
  </si>
  <si>
    <t>洪水[こうずい]</t>
  </si>
  <si>
    <t>lũ lụt</t>
  </si>
  <si>
    <t>洪水で道路が閉鎖される。</t>
  </si>
  <si>
    <t>Đường bị phong tỏa do lũ lụt.</t>
  </si>
  <si>
    <t>秘書</t>
  </si>
  <si>
    <t>ひしょ</t>
  </si>
  <si>
    <t>秘書[ひしょ]</t>
  </si>
  <si>
    <t>thư ký</t>
  </si>
  <si>
    <t>秘書と相談する。</t>
  </si>
  <si>
    <t>Thảo luận với thư ký.</t>
  </si>
  <si>
    <t>納入</t>
  </si>
  <si>
    <t>のうにゅう</t>
  </si>
  <si>
    <t>納入[のうにゅう]</t>
  </si>
  <si>
    <t>代金を納入する。</t>
  </si>
  <si>
    <t>老いる</t>
  </si>
  <si>
    <t>老[お]いる</t>
  </si>
  <si>
    <t>già đi</t>
  </si>
  <si>
    <t>人は誰でも老いる。</t>
  </si>
  <si>
    <t>Con người ai rồi cũng già đi.</t>
  </si>
  <si>
    <t>音色</t>
  </si>
  <si>
    <t>ねいろ</t>
  </si>
  <si>
    <t>音色[ねいろ]</t>
  </si>
  <si>
    <t>âm sắc</t>
  </si>
  <si>
    <t>ピアノの音色。</t>
  </si>
  <si>
    <t>Âm sắc của piano.</t>
  </si>
  <si>
    <t>無茶</t>
  </si>
  <si>
    <t>むちゃ</t>
  </si>
  <si>
    <t>無茶[むちゃ]</t>
  </si>
  <si>
    <t>無茶な要求をする。</t>
  </si>
  <si>
    <t>てっぺん</t>
  </si>
  <si>
    <t>đỉnh</t>
  </si>
  <si>
    <t>山のてっぺん。</t>
  </si>
  <si>
    <t>Đỉnh của ngọn núi.</t>
  </si>
  <si>
    <t>束ねる</t>
  </si>
  <si>
    <t>たばねる</t>
  </si>
  <si>
    <t>束[たば]ねる</t>
  </si>
  <si>
    <t>髪を束ねる。</t>
  </si>
  <si>
    <t>久しい</t>
  </si>
  <si>
    <t>ひさしい</t>
  </si>
  <si>
    <t>久[ひさ]しい</t>
  </si>
  <si>
    <t>lâu</t>
  </si>
  <si>
    <t>久しい仲だ。</t>
  </si>
  <si>
    <t>Mối quan hệ đã lâu.</t>
  </si>
  <si>
    <t>仕立てる</t>
  </si>
  <si>
    <t>したてる</t>
  </si>
  <si>
    <t>仕立[した]てる</t>
  </si>
  <si>
    <t>may</t>
  </si>
  <si>
    <t>服を仕立てる。</t>
  </si>
  <si>
    <t>May quần áo.</t>
  </si>
  <si>
    <t>寄贈</t>
  </si>
  <si>
    <t>きぞう</t>
  </si>
  <si>
    <t>寄贈[きぞう]</t>
  </si>
  <si>
    <t>biếu tặng</t>
  </si>
  <si>
    <t>図書を寄贈する。</t>
  </si>
  <si>
    <t>Biếu tặng sách.</t>
  </si>
  <si>
    <t>校長</t>
  </si>
  <si>
    <t>校長[こうちょう]</t>
  </si>
  <si>
    <t>hiệu trưởng</t>
  </si>
  <si>
    <t>校長の話。</t>
  </si>
  <si>
    <t>Đó là bài phát biểu của hiệu trưởng.</t>
  </si>
  <si>
    <t>握手</t>
  </si>
  <si>
    <t>あくしゅ</t>
  </si>
  <si>
    <t>握手[あくしゅ]</t>
  </si>
  <si>
    <t>bắt tay</t>
  </si>
  <si>
    <t>二人で握手する。</t>
  </si>
  <si>
    <t>Hai người bắt tay nhau.</t>
  </si>
  <si>
    <t>有利</t>
  </si>
  <si>
    <t>ゆうり</t>
  </si>
  <si>
    <t>有利[ゆうり]</t>
  </si>
  <si>
    <t>có lợi</t>
  </si>
  <si>
    <t>有利な条件。</t>
  </si>
  <si>
    <t>Đó là điều kiện có lợi.</t>
  </si>
  <si>
    <t>昇る</t>
  </si>
  <si>
    <t>昇[のぼ]る</t>
  </si>
  <si>
    <t>mọc</t>
  </si>
  <si>
    <t>東から太陽が昇る。</t>
  </si>
  <si>
    <t>Mặt trời mọc từ hướng đông.</t>
  </si>
  <si>
    <t>止む</t>
  </si>
  <si>
    <t>やむ</t>
  </si>
  <si>
    <t>止[や]む</t>
  </si>
  <si>
    <t>雨が止む。</t>
  </si>
  <si>
    <t>Mưa đã ngừng.</t>
  </si>
  <si>
    <t>朝御飯</t>
  </si>
  <si>
    <t>あさごはん</t>
  </si>
  <si>
    <t>朝御飯[あさごはん]</t>
  </si>
  <si>
    <t>bữa sáng</t>
  </si>
  <si>
    <t>朝御飯を食べる。</t>
  </si>
  <si>
    <t>Tôi ăn sáng.</t>
  </si>
  <si>
    <t>本国</t>
  </si>
  <si>
    <t>ほんこく</t>
  </si>
  <si>
    <t>本国[ほんこく]</t>
  </si>
  <si>
    <t>quốc gia mẹ</t>
  </si>
  <si>
    <t>本国に帰る。</t>
  </si>
  <si>
    <t>Trở về quốc gia mẹ.</t>
  </si>
  <si>
    <t>末期</t>
  </si>
  <si>
    <t>まっき</t>
  </si>
  <si>
    <t>末期[まっき]</t>
  </si>
  <si>
    <t>giai đoạn cuối</t>
  </si>
  <si>
    <t>癌の末期。</t>
  </si>
  <si>
    <t>Giai đoạn cuối của ung thư.</t>
  </si>
  <si>
    <t>式場</t>
  </si>
  <si>
    <t>しきじょう</t>
  </si>
  <si>
    <t>式場[しきじょう]</t>
  </si>
  <si>
    <t>結婚式の式場。</t>
  </si>
  <si>
    <t>Hội trường tổ chức lễ cưới.</t>
  </si>
  <si>
    <t>書評</t>
  </si>
  <si>
    <t>しょひょう</t>
  </si>
  <si>
    <t>書評[しょひょう]</t>
  </si>
  <si>
    <t>phê bình sách</t>
  </si>
  <si>
    <t>書評を書く。</t>
  </si>
  <si>
    <t>Viết bài phê bình sách.</t>
  </si>
  <si>
    <t>心中</t>
  </si>
  <si>
    <t>しんじゅう</t>
  </si>
  <si>
    <t>心中[しんじゅう]</t>
  </si>
  <si>
    <t>tự sát chung</t>
  </si>
  <si>
    <t>心中を図る。</t>
  </si>
  <si>
    <t>Mưu toan tự sát chung.</t>
  </si>
  <si>
    <t>新入生</t>
  </si>
  <si>
    <t>しんにゅうせい</t>
  </si>
  <si>
    <t>新入生[しんにゅうせい]</t>
  </si>
  <si>
    <t>học sinh mới</t>
  </si>
  <si>
    <t>新入生を迎える。</t>
  </si>
  <si>
    <t>Đón học sinh mới.</t>
  </si>
  <si>
    <t>晩年</t>
  </si>
  <si>
    <t>ばんねん</t>
  </si>
  <si>
    <t>晩年[ばんねん]</t>
  </si>
  <si>
    <t>năm cuối đời</t>
  </si>
  <si>
    <t>晩年を過ごす。</t>
  </si>
  <si>
    <t>Sống những năm cuối đời.</t>
  </si>
  <si>
    <t>強いて</t>
  </si>
  <si>
    <t>しいて</t>
  </si>
  <si>
    <t>強[し]いて</t>
  </si>
  <si>
    <t>gắng gượng</t>
  </si>
  <si>
    <t>強いて言えば。</t>
  </si>
  <si>
    <t>Nếu cố gắng nói thì.</t>
  </si>
  <si>
    <t>排水</t>
  </si>
  <si>
    <t>はいすい</t>
  </si>
  <si>
    <t>排水[はいすい]</t>
  </si>
  <si>
    <t>thoát nước</t>
  </si>
  <si>
    <t>排水設備。</t>
  </si>
  <si>
    <t>Thiết bị thoát nước.</t>
  </si>
  <si>
    <t>断言</t>
  </si>
  <si>
    <t>だんげん</t>
  </si>
  <si>
    <t>断言[だんげん]</t>
  </si>
  <si>
    <t>成功を断言する。</t>
  </si>
  <si>
    <t>Khẳng định thành công.</t>
  </si>
  <si>
    <t>昇進</t>
  </si>
  <si>
    <t>しょうしん</t>
  </si>
  <si>
    <t>昇進[しょうしん]</t>
  </si>
  <si>
    <t>thăng tiến</t>
  </si>
  <si>
    <t>課長に昇進する。</t>
  </si>
  <si>
    <t>Thăng tiến lên trưởng phòng.</t>
  </si>
  <si>
    <t>悩ます</t>
  </si>
  <si>
    <t>なやます</t>
  </si>
  <si>
    <t>悩[なや]ます</t>
  </si>
  <si>
    <t>làm phiền</t>
  </si>
  <si>
    <t>上司を悩ます。</t>
  </si>
  <si>
    <t>Làm phiền cấp trên.</t>
  </si>
  <si>
    <t>愛想</t>
  </si>
  <si>
    <t>あいそ</t>
  </si>
  <si>
    <t>愛想[あいそ]</t>
  </si>
  <si>
    <t>tươi cười</t>
  </si>
  <si>
    <t>愛想良く応対する。</t>
  </si>
  <si>
    <t>Đáp lại bằng nụ cười.</t>
  </si>
  <si>
    <t>探検</t>
  </si>
  <si>
    <t>たんけん</t>
  </si>
  <si>
    <t>探検[たんけん]</t>
  </si>
  <si>
    <t>thám hiểm</t>
  </si>
  <si>
    <t>洞窟を探検する。</t>
  </si>
  <si>
    <t>Thám hiểm hang động.</t>
  </si>
  <si>
    <t>改まる</t>
  </si>
  <si>
    <t>あらたまる</t>
  </si>
  <si>
    <t>改[あらた]まる</t>
  </si>
  <si>
    <t>態度が改まる。</t>
  </si>
  <si>
    <t>Thái độ được cải thiện.</t>
  </si>
  <si>
    <t>昆虫</t>
  </si>
  <si>
    <t>こんちゅう</t>
  </si>
  <si>
    <t>昆虫[こんちゅう]</t>
  </si>
  <si>
    <t>昆虫を採集する。</t>
  </si>
  <si>
    <t>Sưu tầm côn trùng.</t>
  </si>
  <si>
    <t>是正</t>
  </si>
  <si>
    <t>ぜせい</t>
  </si>
  <si>
    <t>是正[ぜせい]</t>
  </si>
  <si>
    <t>欠点を是正する。</t>
  </si>
  <si>
    <t>Chỉnh sửa khuyết điểm.</t>
  </si>
  <si>
    <t>未知</t>
  </si>
  <si>
    <t>未知[みち]</t>
  </si>
  <si>
    <t>chưa biết</t>
  </si>
  <si>
    <t>未知の世界。</t>
  </si>
  <si>
    <t>Thế giới chưa biết.</t>
  </si>
  <si>
    <t>峰</t>
  </si>
  <si>
    <t>みね</t>
  </si>
  <si>
    <t>峰[みね]</t>
  </si>
  <si>
    <t>đỉnh núi</t>
  </si>
  <si>
    <t>高い峰を目指す。</t>
  </si>
  <si>
    <t>Hướng tới đỉnh núi cao.</t>
  </si>
  <si>
    <t>巧み</t>
  </si>
  <si>
    <t>たくみ</t>
  </si>
  <si>
    <t>巧[たく]み</t>
  </si>
  <si>
    <t>khéo léo</t>
  </si>
  <si>
    <t>巧みな話術。</t>
  </si>
  <si>
    <t>Thuật nói chuyện khéo léo.</t>
  </si>
  <si>
    <t>当人</t>
  </si>
  <si>
    <t>とうにん</t>
  </si>
  <si>
    <t>当人[とうにん]</t>
  </si>
  <si>
    <t>đương sự</t>
  </si>
  <si>
    <t>当人に確認する。</t>
  </si>
  <si>
    <t>Xác nhận với đương sự.</t>
  </si>
  <si>
    <t>後回し</t>
  </si>
  <si>
    <t>あとまわし</t>
  </si>
  <si>
    <t>後回[あとまわ]し</t>
  </si>
  <si>
    <t>hoãn lại</t>
  </si>
  <si>
    <t>仕事を後回しにする。</t>
  </si>
  <si>
    <t>Hoãn công việc lại sau.</t>
  </si>
  <si>
    <t>志す</t>
  </si>
  <si>
    <t>こころざす</t>
  </si>
  <si>
    <t>志[こころざ]す</t>
  </si>
  <si>
    <t>nhắm tới</t>
  </si>
  <si>
    <t>医者を志す。</t>
  </si>
  <si>
    <t>Nhắm tới nghề bác sĩ.</t>
  </si>
  <si>
    <t>憎しみ</t>
  </si>
  <si>
    <t>にくしみ</t>
  </si>
  <si>
    <t>憎[にく]しみ</t>
  </si>
  <si>
    <t>căm ghét</t>
  </si>
  <si>
    <t>憎しみを抱く。</t>
  </si>
  <si>
    <t>Ôm lòng căm ghét.</t>
  </si>
  <si>
    <t>手本</t>
  </si>
  <si>
    <t>てほん</t>
  </si>
  <si>
    <t>手本[てほん]</t>
  </si>
  <si>
    <t>kiểu mẫu</t>
  </si>
  <si>
    <t>習字の手本。</t>
  </si>
  <si>
    <t>Kiểu mẫu tập viết chữ.</t>
  </si>
  <si>
    <t>手遅れ</t>
  </si>
  <si>
    <t>ておくれ</t>
  </si>
  <si>
    <t>手遅[ておく]れ</t>
  </si>
  <si>
    <t>quá muộn</t>
  </si>
  <si>
    <t>治療が手遅れだ。</t>
  </si>
  <si>
    <t>Điều trị đã quá muộn.</t>
  </si>
  <si>
    <t>押し込む</t>
  </si>
  <si>
    <t>おしこむ</t>
  </si>
  <si>
    <t>押[お]し込[こ]む</t>
  </si>
  <si>
    <t>nhét vào</t>
  </si>
  <si>
    <t>カバンに押し込む。</t>
  </si>
  <si>
    <t>Nhét vào túi.</t>
  </si>
  <si>
    <t>授ける</t>
  </si>
  <si>
    <t>さずける</t>
  </si>
  <si>
    <t>授[さず]ける</t>
  </si>
  <si>
    <t>ban tặng</t>
  </si>
  <si>
    <t>勲章を授ける。</t>
  </si>
  <si>
    <t>Ban tặng huân chương.</t>
  </si>
  <si>
    <t>揺らぐ</t>
  </si>
  <si>
    <t>ゆらぐ</t>
  </si>
  <si>
    <t>揺[ゆ]らぐ</t>
  </si>
  <si>
    <t>lung lay</t>
  </si>
  <si>
    <t>決意が揺らぐ。</t>
  </si>
  <si>
    <t>Quyết tâm lung lay.</t>
  </si>
  <si>
    <t>日夜</t>
  </si>
  <si>
    <t>にちや</t>
  </si>
  <si>
    <t>日夜[にちや]</t>
  </si>
  <si>
    <t>ngày đêm</t>
  </si>
  <si>
    <t>日夜働く。</t>
  </si>
  <si>
    <t>Làm việc ngày đêm.</t>
  </si>
  <si>
    <t>時刻表</t>
  </si>
  <si>
    <t>じこくひょう</t>
  </si>
  <si>
    <t>時刻表[じこくひょう]</t>
  </si>
  <si>
    <t>bảng giờ</t>
  </si>
  <si>
    <t>時刻表を見る。</t>
  </si>
  <si>
    <t>Xem bảng giờ tàu.</t>
  </si>
  <si>
    <t>本名</t>
  </si>
  <si>
    <t>ほんみょう</t>
  </si>
  <si>
    <t>本名[ほんみょう]</t>
  </si>
  <si>
    <t>tên thật</t>
  </si>
  <si>
    <t>本名を隠す。</t>
  </si>
  <si>
    <t>Giấu tên thật.</t>
  </si>
  <si>
    <t>尊い</t>
  </si>
  <si>
    <t>とうとい</t>
  </si>
  <si>
    <t>尊[とうと]い</t>
  </si>
  <si>
    <t>尊い命を守る。</t>
  </si>
  <si>
    <t>Bảo vệ tính mạng quý giá.</t>
  </si>
  <si>
    <t>屈折</t>
  </si>
  <si>
    <t>くっせつ</t>
  </si>
  <si>
    <t>屈折[くっせつ]</t>
  </si>
  <si>
    <t>khúc xạ</t>
  </si>
  <si>
    <t>光の屈折。</t>
  </si>
  <si>
    <t>Sự khúc xạ ánh sáng.</t>
  </si>
  <si>
    <t>庇う</t>
  </si>
  <si>
    <t>かばう</t>
  </si>
  <si>
    <t>庇[かば]う</t>
  </si>
  <si>
    <t>bao che</t>
  </si>
  <si>
    <t>友人を庇う。</t>
  </si>
  <si>
    <t>Bao che cho bạn thân.</t>
  </si>
  <si>
    <t>心掛ける</t>
  </si>
  <si>
    <t>こころがける</t>
  </si>
  <si>
    <t>心掛[こころが]ける</t>
  </si>
  <si>
    <t>lưu tâm</t>
  </si>
  <si>
    <t>健康を心掛ける。</t>
  </si>
  <si>
    <t>Lưu tâm đến sức khỏe.</t>
  </si>
  <si>
    <t>戸籍</t>
  </si>
  <si>
    <t>こせき</t>
  </si>
  <si>
    <t>戸籍[こせき]</t>
  </si>
  <si>
    <t>hộ tịch</t>
  </si>
  <si>
    <t>戸籍を調べる。</t>
  </si>
  <si>
    <t>Kiểm tra hộ tịch.</t>
  </si>
  <si>
    <t>招き</t>
  </si>
  <si>
    <t>まねき</t>
  </si>
  <si>
    <t>招[まね]き</t>
  </si>
  <si>
    <t>lời mời</t>
  </si>
  <si>
    <t>夕食の招き。</t>
  </si>
  <si>
    <t>Lời mời dùng bữa tối.</t>
  </si>
  <si>
    <t>指図</t>
  </si>
  <si>
    <t>さしず</t>
  </si>
  <si>
    <t>指図[さしず]</t>
  </si>
  <si>
    <t>chỉ dẫn</t>
  </si>
  <si>
    <t>部下に指図する。</t>
  </si>
  <si>
    <t>Chỉ dẫn cấp dưới.</t>
  </si>
  <si>
    <t>新築</t>
  </si>
  <si>
    <t>しんちく</t>
  </si>
  <si>
    <t>新築[しんちく]</t>
  </si>
  <si>
    <t>xây mới</t>
  </si>
  <si>
    <t>新築の家。</t>
  </si>
  <si>
    <t>Ngôi nhà mới xây.</t>
  </si>
  <si>
    <t>日の丸</t>
  </si>
  <si>
    <t>ひのまる</t>
  </si>
  <si>
    <t>日[ひ]の丸[まる]</t>
  </si>
  <si>
    <t>cờ nhật</t>
  </si>
  <si>
    <t>日の丸を掲げる。</t>
  </si>
  <si>
    <t>Treo cờ Nhật.</t>
  </si>
  <si>
    <t>明瞭</t>
  </si>
  <si>
    <t>めいりょう</t>
  </si>
  <si>
    <t>明瞭[めいりょう]</t>
  </si>
  <si>
    <t>明瞭な発音。</t>
  </si>
  <si>
    <t>Phát âm rõ ràng.</t>
  </si>
  <si>
    <t>怯える</t>
  </si>
  <si>
    <t>おびえる</t>
  </si>
  <si>
    <t>怯[おび]える</t>
  </si>
  <si>
    <t>sợ hãi</t>
  </si>
  <si>
    <t>暗闇に怯える。</t>
  </si>
  <si>
    <t>Sợ hãi trong bóng tối.</t>
  </si>
  <si>
    <t>抑圧</t>
  </si>
  <si>
    <t>よくあつ</t>
  </si>
  <si>
    <t>抑圧[よくあつ]</t>
  </si>
  <si>
    <t>áp bức</t>
  </si>
  <si>
    <t>感情を抑圧する。</t>
  </si>
  <si>
    <t>Áp bức cảm xúc.</t>
  </si>
  <si>
    <t>放り出す</t>
  </si>
  <si>
    <t>ほうりだす</t>
  </si>
  <si>
    <t>放[ほう]り出[だ]す</t>
  </si>
  <si>
    <t>仕事を放り出す。</t>
  </si>
  <si>
    <t>Vứt bỏ công việc.</t>
  </si>
  <si>
    <t>暗殺</t>
  </si>
  <si>
    <t>あんさつ</t>
  </si>
  <si>
    <t>暗殺[あんさつ]</t>
  </si>
  <si>
    <t>ám sát</t>
  </si>
  <si>
    <t>王が暗殺される。</t>
  </si>
  <si>
    <t>Vua bị ám sát.</t>
  </si>
  <si>
    <t>朗読</t>
  </si>
  <si>
    <t>ろうどく</t>
  </si>
  <si>
    <t>朗読[ろうどく]</t>
  </si>
  <si>
    <t>詩を朗読する。</t>
  </si>
  <si>
    <t>Đọc to bài thơ.</t>
  </si>
  <si>
    <t>故</t>
  </si>
  <si>
    <t>ゆえ</t>
  </si>
  <si>
    <t>故[ゆえ]</t>
  </si>
  <si>
    <t>何故か悲しい。</t>
  </si>
  <si>
    <t>Không hiểu sao lại buồn.</t>
  </si>
  <si>
    <t>斜面</t>
  </si>
  <si>
    <t>しゃめん</t>
  </si>
  <si>
    <t>斜面[しゃめん]</t>
  </si>
  <si>
    <t>斜面を登る。</t>
  </si>
  <si>
    <t>Leo lên dốc.</t>
  </si>
  <si>
    <t>揃い</t>
  </si>
  <si>
    <t>そろい</t>
  </si>
  <si>
    <t>揃[そろ]い</t>
  </si>
  <si>
    <t>食器の揃い。</t>
  </si>
  <si>
    <t>Bộ đồ ăn.</t>
  </si>
  <si>
    <t>柄</t>
  </si>
  <si>
    <t>がら</t>
  </si>
  <si>
    <t>柄[がら]</t>
  </si>
  <si>
    <t>họa tiết</t>
  </si>
  <si>
    <t>柄のシャツ。</t>
  </si>
  <si>
    <t>Chiếc áo có họa tiết.</t>
  </si>
  <si>
    <t>日中</t>
  </si>
  <si>
    <t>にっちゅう</t>
  </si>
  <si>
    <t>日中[にっちゅう]</t>
  </si>
  <si>
    <t>日中に出かける。</t>
  </si>
  <si>
    <t>Tôi ra ngoài vào ban ngày.</t>
  </si>
  <si>
    <t>支給</t>
  </si>
  <si>
    <t>支給[しきゅう]</t>
  </si>
  <si>
    <t>給料を支給する。</t>
  </si>
  <si>
    <t>Cấp phát tiền lương.</t>
  </si>
  <si>
    <t>楽器</t>
  </si>
  <si>
    <t>楽器[がっき]</t>
  </si>
  <si>
    <t>nhạc cụ</t>
  </si>
  <si>
    <t>楽器を弾く。</t>
  </si>
  <si>
    <t>Chơi nhạc cụ.</t>
  </si>
  <si>
    <t>差し掛かる</t>
  </si>
  <si>
    <t>さしかかる</t>
  </si>
  <si>
    <t>差[さ]し掛[か]かる</t>
  </si>
  <si>
    <t>角を差し掛かる。</t>
  </si>
  <si>
    <t>Đến gần góc đường.</t>
  </si>
  <si>
    <t>弱る</t>
  </si>
  <si>
    <t>よわる</t>
  </si>
  <si>
    <t>弱[よわ]る</t>
  </si>
  <si>
    <t>足腰が弱る。</t>
  </si>
  <si>
    <t>Chân tay yếu đi.</t>
  </si>
  <si>
    <t>民間</t>
  </si>
  <si>
    <t>みんかん</t>
  </si>
  <si>
    <t>民間[みんかん]</t>
  </si>
  <si>
    <t>dân doanh</t>
  </si>
  <si>
    <t>民間企業。</t>
  </si>
  <si>
    <t>Doanh nghiệp dân doanh.</t>
  </si>
  <si>
    <t>斜め</t>
  </si>
  <si>
    <t>ななめ</t>
  </si>
  <si>
    <t>斜[なな]め</t>
  </si>
  <si>
    <t>chéo</t>
  </si>
  <si>
    <t>斜め向かいの席。</t>
  </si>
  <si>
    <t>Chỗ ngồi chéo đối diện.</t>
  </si>
  <si>
    <t>教え</t>
  </si>
  <si>
    <t>おしえ</t>
  </si>
  <si>
    <t>教[おし]え</t>
  </si>
  <si>
    <t>giáo huấn</t>
  </si>
  <si>
    <t>教えを守る。</t>
  </si>
  <si>
    <t>Tuân theo giáo huấn.</t>
  </si>
  <si>
    <t>書店</t>
  </si>
  <si>
    <t>しょてん</t>
  </si>
  <si>
    <t>書店[しょてん]</t>
  </si>
  <si>
    <t>hiệu sách</t>
  </si>
  <si>
    <t>書店へ行く。</t>
  </si>
  <si>
    <t>Đi đến hiệu sách.</t>
  </si>
  <si>
    <t>格</t>
  </si>
  <si>
    <t>格[かく]</t>
  </si>
  <si>
    <t>vị thế</t>
  </si>
  <si>
    <t>格を上げる。</t>
  </si>
  <si>
    <t>Nâng cao vị thế.</t>
  </si>
  <si>
    <t>掃く</t>
  </si>
  <si>
    <t>掃[は]く</t>
  </si>
  <si>
    <t>quét</t>
  </si>
  <si>
    <t>庭を掃く。</t>
  </si>
  <si>
    <t>Quét sân.</t>
  </si>
  <si>
    <t>断える</t>
  </si>
  <si>
    <t>断[た]える</t>
  </si>
  <si>
    <t>tuyệt chủng</t>
  </si>
  <si>
    <t>絶えることなく。</t>
  </si>
  <si>
    <t>Không bao giờ dứt.</t>
  </si>
  <si>
    <t>手数</t>
  </si>
  <si>
    <t>てすう</t>
  </si>
  <si>
    <t>手数[てすう]</t>
  </si>
  <si>
    <t>お手数ですが。</t>
  </si>
  <si>
    <t>Xin lỗi vì làm phiền.</t>
  </si>
  <si>
    <t>慕う</t>
  </si>
  <si>
    <t>したう</t>
  </si>
  <si>
    <t>慕[した]う</t>
  </si>
  <si>
    <t>恩師を慕う。</t>
  </si>
  <si>
    <t>Ngưỡng mộ thầy cũ.</t>
  </si>
  <si>
    <t>教職</t>
  </si>
  <si>
    <t>きょうしょく</t>
  </si>
  <si>
    <t>教職[きょうしょく]</t>
  </si>
  <si>
    <t>nghề giáo</t>
  </si>
  <si>
    <t>教職に就く。</t>
  </si>
  <si>
    <t>Nhận nghề giáo.</t>
  </si>
  <si>
    <t>必修</t>
  </si>
  <si>
    <t>ひっしゅう</t>
  </si>
  <si>
    <t>必修[ひっしゅう]</t>
  </si>
  <si>
    <t>bắt buộc</t>
  </si>
  <si>
    <t>必修科目。</t>
  </si>
  <si>
    <t>Môn học bắt buộc.</t>
  </si>
  <si>
    <t>星座</t>
  </si>
  <si>
    <t>せいざ</t>
  </si>
  <si>
    <t>星座[せいざ]</t>
  </si>
  <si>
    <t>chòm sao</t>
  </si>
  <si>
    <t>星座を探す。</t>
  </si>
  <si>
    <t>Tìm kiếm chòm sao.</t>
  </si>
  <si>
    <t>山脈</t>
  </si>
  <si>
    <t>さんみゃく</t>
  </si>
  <si>
    <t>山脈[さんみゃく]</t>
  </si>
  <si>
    <t>dãy núi</t>
  </si>
  <si>
    <t>山脈を越える。</t>
  </si>
  <si>
    <t>Vượt qua dãy núi.</t>
  </si>
  <si>
    <t>巧妙</t>
  </si>
  <si>
    <t>こうみょう</t>
  </si>
  <si>
    <t>巧妙[こうみょう]</t>
  </si>
  <si>
    <t>巧妙な手口。</t>
  </si>
  <si>
    <t>Thủ đoạn tinh vi.</t>
  </si>
  <si>
    <t>快い</t>
  </si>
  <si>
    <t>こころよい</t>
  </si>
  <si>
    <t>快[こころよ]い</t>
  </si>
  <si>
    <t>dễ chịu</t>
  </si>
  <si>
    <t>快い返事をもらう。</t>
  </si>
  <si>
    <t>Nhận được câu trả lời dễ chịu.</t>
  </si>
  <si>
    <t>接続詞</t>
  </si>
  <si>
    <t>せつぞくし</t>
  </si>
  <si>
    <t>接続詞[せつぞくし]</t>
  </si>
  <si>
    <t>liên từ</t>
  </si>
  <si>
    <t>接続詞を使う。</t>
  </si>
  <si>
    <t>Sử dụng liên từ.</t>
  </si>
  <si>
    <t>有難い</t>
  </si>
  <si>
    <t>ありがたい</t>
  </si>
  <si>
    <t>有難[ありがた]い</t>
  </si>
  <si>
    <t>biết ơn</t>
  </si>
  <si>
    <t>有難い言葉。</t>
  </si>
  <si>
    <t>Lời nói đáng biết ơn.</t>
  </si>
  <si>
    <t>次々</t>
  </si>
  <si>
    <t>つぎつぎ</t>
  </si>
  <si>
    <t>次々[つぎつぎ]</t>
  </si>
  <si>
    <t>lần lượt</t>
  </si>
  <si>
    <t>次々届く。</t>
  </si>
  <si>
    <t>Được gửi đến lần lượt.</t>
  </si>
  <si>
    <t>棒</t>
  </si>
  <si>
    <t>ぼう</t>
  </si>
  <si>
    <t>棒[ぼう]</t>
  </si>
  <si>
    <t>cái gậy</t>
  </si>
  <si>
    <t>棒で叩く。</t>
  </si>
  <si>
    <t>Đánh bằng cái gậy.</t>
  </si>
  <si>
    <t>故郷</t>
  </si>
  <si>
    <t>こきょう</t>
  </si>
  <si>
    <t>故郷[こきょう]</t>
  </si>
  <si>
    <t>故郷へ帰る。</t>
  </si>
  <si>
    <t>掻く</t>
  </si>
  <si>
    <t>掻[か]く</t>
  </si>
  <si>
    <t>gãi</t>
  </si>
  <si>
    <t>背中を掻く。</t>
  </si>
  <si>
    <t>Gãi lưng.</t>
  </si>
  <si>
    <t>お気の毒に</t>
  </si>
  <si>
    <t>おきのどくに</t>
  </si>
  <si>
    <t>お気[き]の毒[どく]に</t>
  </si>
  <si>
    <t>chia buồn</t>
  </si>
  <si>
    <t>それはお気の毒に。</t>
  </si>
  <si>
    <t>Thật đáng tiếc cho bạn.</t>
  </si>
  <si>
    <t>直</t>
  </si>
  <si>
    <t>じか</t>
  </si>
  <si>
    <t>直[じか]</t>
  </si>
  <si>
    <t>直に話す。</t>
  </si>
  <si>
    <t>Nói chuyện trực tiếp.</t>
  </si>
  <si>
    <t>何分</t>
  </si>
  <si>
    <t>なにぶん</t>
  </si>
  <si>
    <t>何分[なにぶん]</t>
  </si>
  <si>
    <t>mấy phút</t>
  </si>
  <si>
    <t>あと何分ですか。</t>
  </si>
  <si>
    <t>Còn mấy phút nữa vậy.</t>
  </si>
  <si>
    <t>遅らす</t>
  </si>
  <si>
    <t>おくらす</t>
  </si>
  <si>
    <t>遅[おく]らす</t>
  </si>
  <si>
    <t>làm chậm lại</t>
  </si>
  <si>
    <t>予定を遅らす。</t>
  </si>
  <si>
    <t>Làm chậm lại dự định.</t>
  </si>
  <si>
    <t>一概に</t>
  </si>
  <si>
    <t>いちがいに</t>
  </si>
  <si>
    <t>一概[いちがい]に</t>
  </si>
  <si>
    <t>nhất nhất</t>
  </si>
  <si>
    <t>一概に言えない。</t>
  </si>
  <si>
    <t>Không thể nói nhất nhất là vậy.</t>
  </si>
  <si>
    <t>貴い</t>
  </si>
  <si>
    <t>たっとい</t>
  </si>
  <si>
    <t>貴[たっと]い</t>
  </si>
  <si>
    <t>貴い命を救う。</t>
  </si>
  <si>
    <t>Cứu mạng sống quý giá.</t>
  </si>
  <si>
    <t>差し支え</t>
  </si>
  <si>
    <t>さしつかえ</t>
  </si>
  <si>
    <t>差[さ]し支[つか]え</t>
  </si>
  <si>
    <t>差し支えなければ教えてください。</t>
  </si>
  <si>
    <t>Nếu không có trở ngại gì xin hãy cho tôi biết.</t>
  </si>
  <si>
    <t>名所</t>
  </si>
  <si>
    <t>めいしょ</t>
  </si>
  <si>
    <t>名所[めいしょ]</t>
  </si>
  <si>
    <t>danh lam thắng cảnh</t>
  </si>
  <si>
    <t>京都の名所を巡る。</t>
  </si>
  <si>
    <t>Đi thăm các danh lam thắng cảnh ở Kyoto.</t>
  </si>
  <si>
    <t>防犯</t>
  </si>
  <si>
    <t>ぼうはん</t>
  </si>
  <si>
    <t>防犯[ぼうはん]</t>
  </si>
  <si>
    <t>phòng chống tội phạm</t>
  </si>
  <si>
    <t>防犯カメラを設置した。</t>
  </si>
  <si>
    <t>Đã lắp đặt camera phòng chống tội phạm.</t>
  </si>
  <si>
    <t>工芸</t>
  </si>
  <si>
    <t>こうげい</t>
  </si>
  <si>
    <t>工芸[こうげい]</t>
  </si>
  <si>
    <t>thủ công mỹ nghệ</t>
  </si>
  <si>
    <t>日本の工芸品を買う。</t>
  </si>
  <si>
    <t>Mua hàng thủ công mỹ nghệ Nhật Bản.</t>
  </si>
  <si>
    <t>素人</t>
  </si>
  <si>
    <t>しろうと</t>
  </si>
  <si>
    <t>素人[しろうと]</t>
  </si>
  <si>
    <t>người nghiệp dư</t>
  </si>
  <si>
    <t>素人の作品だ。</t>
  </si>
  <si>
    <t>Tác phẩm của người nghiệp dư.</t>
  </si>
  <si>
    <t>発電</t>
  </si>
  <si>
    <t>はつでん</t>
  </si>
  <si>
    <t>発電[はつでん]</t>
  </si>
  <si>
    <t>phát điện</t>
  </si>
  <si>
    <t>太陽光で発電する。</t>
  </si>
  <si>
    <t>Phát điện bằng năng lượng mặt trời.</t>
  </si>
  <si>
    <t>御中</t>
  </si>
  <si>
    <t>おんちゅう</t>
  </si>
  <si>
    <t>御中[おんちゅう]</t>
  </si>
  <si>
    <t>kính gửi</t>
  </si>
  <si>
    <t>会社名に御中をつける。</t>
  </si>
  <si>
    <t>Thêm chữ kính gửi sau tên công ty.</t>
  </si>
  <si>
    <t>飾り</t>
  </si>
  <si>
    <t>かざり</t>
  </si>
  <si>
    <t>飾[かざ]り</t>
  </si>
  <si>
    <t>đồ trang trí</t>
  </si>
  <si>
    <t>壁に飾りをつける。</t>
  </si>
  <si>
    <t>Treo đồ trang trí lên tường.</t>
  </si>
  <si>
    <t>夜明け</t>
  </si>
  <si>
    <t>よあけ</t>
  </si>
  <si>
    <t>夜明[よあ]け</t>
  </si>
  <si>
    <t>bình minh</t>
  </si>
  <si>
    <t>夜明けに出発する。</t>
  </si>
  <si>
    <t>Xuất phát vào lúc bình minh.</t>
  </si>
  <si>
    <t>望み</t>
  </si>
  <si>
    <t>のぞみ</t>
  </si>
  <si>
    <t>望[のぞ]み</t>
  </si>
  <si>
    <t>望みが叶う。</t>
  </si>
  <si>
    <t>Mong muốn được thành hiện thực.</t>
  </si>
  <si>
    <t>限度</t>
  </si>
  <si>
    <t>げんど</t>
  </si>
  <si>
    <t>限度[げんど]</t>
  </si>
  <si>
    <t>hạn mức</t>
  </si>
  <si>
    <t>予算の限度を守る。</t>
  </si>
  <si>
    <t>Tuân thủ hạn mức ngân sách.</t>
  </si>
  <si>
    <t>見詰める</t>
  </si>
  <si>
    <t>みつめる</t>
  </si>
  <si>
    <t>見詰[みつ]める</t>
  </si>
  <si>
    <t>nhìn chằm chằm</t>
  </si>
  <si>
    <t>相手を見詰める。</t>
  </si>
  <si>
    <t>Nhìn chằm chằm đối phương.</t>
  </si>
  <si>
    <t>言わば</t>
  </si>
  <si>
    <t>いわば</t>
  </si>
  <si>
    <t>言[い]わば</t>
  </si>
  <si>
    <t>có thể nói là</t>
  </si>
  <si>
    <t>言わば夢のようだ。</t>
  </si>
  <si>
    <t>Có thể nói là như một giấc mơ.</t>
  </si>
  <si>
    <t>エチケット</t>
  </si>
  <si>
    <t>えちけっと</t>
  </si>
  <si>
    <t>phép lịch sự</t>
  </si>
  <si>
    <t>食事のエチケットを守る。</t>
  </si>
  <si>
    <t>Tuân thủ phép lịch sự ăn uống.</t>
  </si>
  <si>
    <t>深刻</t>
  </si>
  <si>
    <t>しんこく</t>
  </si>
  <si>
    <t>深刻[しんこく]</t>
  </si>
  <si>
    <t>nghiêm trọng</t>
  </si>
  <si>
    <t>深刻な問題が起きた。</t>
  </si>
  <si>
    <t>Vấn đề nghiêm trọng đã xảy ra.</t>
  </si>
  <si>
    <t>照らす</t>
  </si>
  <si>
    <t>てらす</t>
  </si>
  <si>
    <t>照[て]らす</t>
  </si>
  <si>
    <t>太陽が街を照らす。</t>
  </si>
  <si>
    <t>Mặt trời chiếu sáng thành phố.</t>
  </si>
  <si>
    <t>順調</t>
  </si>
  <si>
    <t>じゅんちょう</t>
  </si>
  <si>
    <t>順調[じゅんちょう]</t>
  </si>
  <si>
    <t>thuận lợi</t>
  </si>
  <si>
    <t>計画が順調に進む。</t>
  </si>
  <si>
    <t>Kế hoạch tiến triển thuận lợi.</t>
  </si>
  <si>
    <t>食物</t>
  </si>
  <si>
    <t>しょくもつ</t>
  </si>
  <si>
    <t>食物[しょくもつ]</t>
  </si>
  <si>
    <t>thức ăn</t>
  </si>
  <si>
    <t>植物を食物にする。</t>
  </si>
  <si>
    <t>Dùng thực vật làm thức ăn.</t>
  </si>
  <si>
    <t>短所</t>
  </si>
  <si>
    <t>たんしょ</t>
  </si>
  <si>
    <t>短所[たんしょ]</t>
  </si>
  <si>
    <t>nhược điểm</t>
  </si>
  <si>
    <t>自分の短所を知る。</t>
  </si>
  <si>
    <t>Biết nhược điểm của bản thân.</t>
  </si>
  <si>
    <t>神話</t>
  </si>
  <si>
    <t>しんわ</t>
  </si>
  <si>
    <t>神話[しんわ]</t>
  </si>
  <si>
    <t>thần thoại</t>
  </si>
  <si>
    <t>ギリシャ神話を読んだ。</t>
  </si>
  <si>
    <t>Đã đọc thần thoại Hy Lạp.</t>
  </si>
  <si>
    <t>しみじみ</t>
  </si>
  <si>
    <t>thấm thía</t>
  </si>
  <si>
    <t>幸せをしみじみ感じる。</t>
  </si>
  <si>
    <t>Cảm nhận hạnh phúc thấm thía.</t>
  </si>
  <si>
    <t>官庁</t>
  </si>
  <si>
    <t>かんちょう</t>
  </si>
  <si>
    <t>官庁[かんちょう]</t>
  </si>
  <si>
    <t>cơ quan chính phủ</t>
  </si>
  <si>
    <t>官庁の職員。</t>
  </si>
  <si>
    <t>Nhân viên cơ quan chính phủ.</t>
  </si>
  <si>
    <t>ステレオ</t>
  </si>
  <si>
    <t>すてれお</t>
  </si>
  <si>
    <t>âm thanh nổi</t>
  </si>
  <si>
    <t>ステレオで音楽を聴く。</t>
  </si>
  <si>
    <t>Nghe nhạc bằng âm thanh nổi.</t>
  </si>
  <si>
    <t>差し引き</t>
  </si>
  <si>
    <t>さしひき</t>
  </si>
  <si>
    <t>差[さ]し引[ひ]き</t>
  </si>
  <si>
    <t>給料から税金を差し引きする。</t>
  </si>
  <si>
    <t>Khấu trừ thuế từ tiền lương.</t>
  </si>
  <si>
    <t>器官</t>
  </si>
  <si>
    <t>器官[きかん]</t>
  </si>
  <si>
    <t>呼吸器官を調べる。</t>
  </si>
  <si>
    <t>Kiểm tra cơ quan hô hấp.</t>
  </si>
  <si>
    <t>図表</t>
  </si>
  <si>
    <t>ずひょう</t>
  </si>
  <si>
    <t>図表[ずひょう]</t>
  </si>
  <si>
    <t>biểu đồ</t>
  </si>
  <si>
    <t>図表で説明する。</t>
  </si>
  <si>
    <t>Giải thích bằng biểu đồ.</t>
  </si>
  <si>
    <t>泥棒</t>
  </si>
  <si>
    <t>どろぼう</t>
  </si>
  <si>
    <t>泥棒[どろぼう]</t>
  </si>
  <si>
    <t>kẻ trộm</t>
  </si>
  <si>
    <t>泥棒が家に入った。</t>
  </si>
  <si>
    <t>Kẻ trộm đã đột nhập vào nhà.</t>
  </si>
  <si>
    <t>食堂</t>
  </si>
  <si>
    <t>しょくどう</t>
  </si>
  <si>
    <t>食堂[しょくどう]</t>
  </si>
  <si>
    <t>nhà ăn</t>
  </si>
  <si>
    <t>会社の食堂で食べる。</t>
  </si>
  <si>
    <t>Ăn ở nhà ăn của công ty.</t>
  </si>
  <si>
    <t>成年</t>
  </si>
  <si>
    <t>成年[せいねん]</t>
  </si>
  <si>
    <t>người thành niên</t>
  </si>
  <si>
    <t>成年になる。</t>
  </si>
  <si>
    <t>Trở thành người thành niên.</t>
  </si>
  <si>
    <t>応接</t>
  </si>
  <si>
    <t>おうせつ</t>
  </si>
  <si>
    <t>応接[おうせつ]</t>
  </si>
  <si>
    <t>tiếp khách</t>
  </si>
  <si>
    <t>応接間で待つ。</t>
  </si>
  <si>
    <t>Đợi trong phòng tiếp khách.</t>
  </si>
  <si>
    <t>筆</t>
  </si>
  <si>
    <t>ふで</t>
  </si>
  <si>
    <t>筆[ふで]</t>
  </si>
  <si>
    <t>bút lông</t>
  </si>
  <si>
    <t>筆で名前を書く。</t>
  </si>
  <si>
    <t>Viết tên bằng bút lông.</t>
  </si>
  <si>
    <t>定員</t>
  </si>
  <si>
    <t>ていいん</t>
  </si>
  <si>
    <t>定員[ていいん]</t>
  </si>
  <si>
    <t>số người định sẵn</t>
  </si>
  <si>
    <t>定員に達する。</t>
  </si>
  <si>
    <t>Đạt đến số người định sẵn.</t>
  </si>
  <si>
    <t>座敷</t>
  </si>
  <si>
    <t>ざしき</t>
  </si>
  <si>
    <t>座敷[ざしき]</t>
  </si>
  <si>
    <t>phòng trải chiếu</t>
  </si>
  <si>
    <t>座敷で食事する。</t>
  </si>
  <si>
    <t>Ăn uống trong phòng chiếu.</t>
  </si>
  <si>
    <t>ぴたり</t>
  </si>
  <si>
    <t>đột ngột dừng</t>
  </si>
  <si>
    <t>雨がぴたりと止む。</t>
  </si>
  <si>
    <t>Cơn mưa đột ngột dừng lại.</t>
  </si>
  <si>
    <t>税関</t>
  </si>
  <si>
    <t>ぜいかん</t>
  </si>
  <si>
    <t>税関[ぜいかん]</t>
  </si>
  <si>
    <t>hải quan</t>
  </si>
  <si>
    <t>税関で検査を受ける。</t>
  </si>
  <si>
    <t>Kiểm tra tại hải quan.</t>
  </si>
  <si>
    <t>騙す</t>
  </si>
  <si>
    <t>だます</t>
  </si>
  <si>
    <t>騙[だま]す</t>
  </si>
  <si>
    <t>lừa gạt</t>
  </si>
  <si>
    <t>人を騙すのは悪い。</t>
  </si>
  <si>
    <t>Lừa gạt người khác là xấu.</t>
  </si>
  <si>
    <t>課税</t>
  </si>
  <si>
    <t>かぜい</t>
  </si>
  <si>
    <t>課税[かぜい]</t>
  </si>
  <si>
    <t>課税の対象だ。</t>
  </si>
  <si>
    <t>Là đối tượng bị đánh thuế.</t>
  </si>
  <si>
    <t>衣食住</t>
  </si>
  <si>
    <t>いしょくじゅう</t>
  </si>
  <si>
    <t>衣食住[いしょくじゅう]</t>
  </si>
  <si>
    <t>nhu cầu cơ bản</t>
  </si>
  <si>
    <t>衣食住が足りる。</t>
  </si>
  <si>
    <t>Đủ đầy về nhu cầu cơ bản.</t>
  </si>
  <si>
    <t>実例</t>
  </si>
  <si>
    <t>じつれい</t>
  </si>
  <si>
    <t>実例[じつれい]</t>
  </si>
  <si>
    <t>ví dụ thực tế</t>
  </si>
  <si>
    <t>実例を挙げる。</t>
  </si>
  <si>
    <t>Đưa ra ví dụ thực tế.</t>
  </si>
  <si>
    <t>永遠</t>
  </si>
  <si>
    <t>えいえん</t>
  </si>
  <si>
    <t>永遠[えいえん]</t>
  </si>
  <si>
    <t>vĩnh viễn</t>
  </si>
  <si>
    <t>永遠の愛。</t>
  </si>
  <si>
    <t>Tình yêu vĩnh viễn.</t>
  </si>
  <si>
    <t>水平</t>
  </si>
  <si>
    <t>すいへい</t>
  </si>
  <si>
    <t>水平[すいへい]</t>
  </si>
  <si>
    <t>đường chân trời</t>
  </si>
  <si>
    <t>水平線を見る。</t>
  </si>
  <si>
    <t>Nhìn đường chân trời.</t>
  </si>
  <si>
    <t>近々</t>
  </si>
  <si>
    <t>ちかぢか</t>
  </si>
  <si>
    <t>近々[ちかぢか]</t>
  </si>
  <si>
    <t>近々会おう。</t>
  </si>
  <si>
    <t>Sắp tới hãy gặp nhau nhé.</t>
  </si>
  <si>
    <t>めっきり</t>
  </si>
  <si>
    <t>rõ rệt</t>
  </si>
  <si>
    <t>めっきり寒くなる。</t>
  </si>
  <si>
    <t>Trời trở nên lạnh rõ rệt.</t>
  </si>
  <si>
    <t>括弧</t>
  </si>
  <si>
    <t>かっこ</t>
  </si>
  <si>
    <t>括弧[かっこ]</t>
  </si>
  <si>
    <t>ngoặc</t>
  </si>
  <si>
    <t>括弧で囲む。</t>
  </si>
  <si>
    <t>Bao quanh bằng dấu ngoặc.</t>
  </si>
  <si>
    <t>不規則</t>
  </si>
  <si>
    <t>ふきそく</t>
  </si>
  <si>
    <t>不規則[ふきそく]</t>
  </si>
  <si>
    <t>không quy tắc</t>
  </si>
  <si>
    <t>生活が不規則だ。</t>
  </si>
  <si>
    <t>Sinh hoạt không quy tắc.</t>
  </si>
  <si>
    <t>すり</t>
  </si>
  <si>
    <t>kẻ móc túi</t>
  </si>
  <si>
    <t>すりに注意する。</t>
  </si>
  <si>
    <t>Cẩn thận với kẻ móc túi.</t>
  </si>
  <si>
    <t>別々</t>
  </si>
  <si>
    <t>べつべつ</t>
  </si>
  <si>
    <t>別々[べつべつ]</t>
  </si>
  <si>
    <t>riêng biệt</t>
  </si>
  <si>
    <t>別々に払う。</t>
  </si>
  <si>
    <t>Trả tiền riêng biệt.</t>
  </si>
  <si>
    <t>超過</t>
  </si>
  <si>
    <t>ちょうか</t>
  </si>
  <si>
    <t>超過[ちょうか]</t>
  </si>
  <si>
    <t>予算の超過だ。</t>
  </si>
  <si>
    <t>Việc vượt quá ngân sách.</t>
  </si>
  <si>
    <t>ギャング</t>
  </si>
  <si>
    <t>ぎゃんぐ</t>
  </si>
  <si>
    <t>băng nhóm</t>
  </si>
  <si>
    <t>ギャングと戦う。</t>
  </si>
  <si>
    <t>Chiến đấu với băng nhóm.</t>
  </si>
  <si>
    <t>役人</t>
  </si>
  <si>
    <t>やくにん</t>
  </si>
  <si>
    <t>役人[やくにん]</t>
  </si>
  <si>
    <t>役人に相談する。</t>
  </si>
  <si>
    <t>Thảo luận với công chức.</t>
  </si>
  <si>
    <t>流石</t>
  </si>
  <si>
    <t>さすが</t>
  </si>
  <si>
    <t>流石[さすが]</t>
  </si>
  <si>
    <t>quả nhiên</t>
  </si>
  <si>
    <t>さすがはプロですね。</t>
  </si>
  <si>
    <t>Quả nhiên là chuyên gia.</t>
  </si>
  <si>
    <t>現れ</t>
  </si>
  <si>
    <t>あらわれ</t>
  </si>
  <si>
    <t>現[あらわ]れ</t>
  </si>
  <si>
    <t>努力の現れだ。</t>
  </si>
  <si>
    <t>Biểu hiện của sự nỗ lực.</t>
  </si>
  <si>
    <t>終点</t>
  </si>
  <si>
    <t>しゅうてん</t>
  </si>
  <si>
    <t>終点[しゅうてん]</t>
  </si>
  <si>
    <t>điểm cuối</t>
  </si>
  <si>
    <t>終点で降りる。</t>
  </si>
  <si>
    <t>Xuống tại điểm cuối.</t>
  </si>
  <si>
    <t>見物</t>
  </si>
  <si>
    <t>けんぶつ</t>
  </si>
  <si>
    <t>見物[けんぶつ]</t>
  </si>
  <si>
    <t>街を見物する。</t>
  </si>
  <si>
    <t>Tham quan thành phố.</t>
  </si>
  <si>
    <t>くどい</t>
  </si>
  <si>
    <t>dài dòng</t>
  </si>
  <si>
    <t>説明がくどい。</t>
  </si>
  <si>
    <t>Lời giải thích dài dòng.</t>
  </si>
  <si>
    <t>ピクニック</t>
  </si>
  <si>
    <t>ぴくにっく</t>
  </si>
  <si>
    <t>dã ngoại</t>
  </si>
  <si>
    <t>公園でピクニックする。</t>
  </si>
  <si>
    <t>Đi dã ngoại ở công viên.</t>
  </si>
  <si>
    <t>小銭</t>
  </si>
  <si>
    <t>こぜに</t>
  </si>
  <si>
    <t>小銭[こぜに]</t>
  </si>
  <si>
    <t>tiền lẻ</t>
  </si>
  <si>
    <t>小銭を貯金箱に入れる。</t>
  </si>
  <si>
    <t>Cho tiền lẻ vào heo đất.</t>
  </si>
  <si>
    <t>酢</t>
  </si>
  <si>
    <t>酢[す]</t>
  </si>
  <si>
    <t>giấm</t>
  </si>
  <si>
    <t>酢を料理に使う。</t>
  </si>
  <si>
    <t>Sử dụng giấm vào món ăn.</t>
  </si>
  <si>
    <t>人通り</t>
  </si>
  <si>
    <t>ひとどおり</t>
  </si>
  <si>
    <t>人通[ひとどお]り</t>
  </si>
  <si>
    <t>người qua lại</t>
  </si>
  <si>
    <t>人通りが多い。</t>
  </si>
  <si>
    <t>Người qua lại đông đúc.</t>
  </si>
  <si>
    <t>売店</t>
  </si>
  <si>
    <t>ばいてん</t>
  </si>
  <si>
    <t>売店[ばいてん]</t>
  </si>
  <si>
    <t>駅の売店。</t>
  </si>
  <si>
    <t>Quầy bán hàng ở nhà ga.</t>
  </si>
  <si>
    <t>下町</t>
  </si>
  <si>
    <t>したまち</t>
  </si>
  <si>
    <t>下町[したまち]</t>
  </si>
  <si>
    <t>khu phố cũ</t>
  </si>
  <si>
    <t>下町を歩く。</t>
  </si>
  <si>
    <t>Đi bộ quanh khu phố cũ.</t>
  </si>
  <si>
    <t>規準</t>
  </si>
  <si>
    <t>規準[きじゅん]</t>
  </si>
  <si>
    <t>規準を満たす。</t>
  </si>
  <si>
    <t>Đáp ứng tiêu chuẩn.</t>
  </si>
  <si>
    <t>ずらり</t>
  </si>
  <si>
    <t>hàng loạt</t>
  </si>
  <si>
    <t>品物がずらりと並ぶ。</t>
  </si>
  <si>
    <t>Hàng hóa xếp hàng loạt.</t>
  </si>
  <si>
    <t>めまい</t>
  </si>
  <si>
    <t>chóng mặt</t>
  </si>
  <si>
    <t>めまいがする。</t>
  </si>
  <si>
    <t>Cảm thấy chóng mặt.</t>
  </si>
  <si>
    <t>客席</t>
  </si>
  <si>
    <t>きゃくせき</t>
  </si>
  <si>
    <t>客席[きゃくせき]</t>
  </si>
  <si>
    <t>ghế khách</t>
  </si>
  <si>
    <t>客席に座る。</t>
  </si>
  <si>
    <t>Ngồi vào ghế khách.</t>
  </si>
  <si>
    <t>職人</t>
  </si>
  <si>
    <t>しょくにん</t>
  </si>
  <si>
    <t>職人[しょくにん]</t>
  </si>
  <si>
    <t>nghệ nhân</t>
  </si>
  <si>
    <t>職人の技。</t>
  </si>
  <si>
    <t>Kỹ thuật của nghệ nhân.</t>
  </si>
  <si>
    <t>薄める</t>
  </si>
  <si>
    <t>うすめる</t>
  </si>
  <si>
    <t>薄[うす]める</t>
  </si>
  <si>
    <t>pha loãng</t>
  </si>
  <si>
    <t>味を薄める。</t>
  </si>
  <si>
    <t>Pha loãng hương vị.</t>
  </si>
  <si>
    <t>例外</t>
  </si>
  <si>
    <t>れいがい</t>
  </si>
  <si>
    <t>例外[れいがい]</t>
  </si>
  <si>
    <t>ngoại lệ</t>
  </si>
  <si>
    <t>例外を認める。</t>
  </si>
  <si>
    <t>Thừa nhận ngoại lệ.</t>
  </si>
  <si>
    <t>倉庫</t>
  </si>
  <si>
    <t>そうこ</t>
  </si>
  <si>
    <t>倉庫[そうこ]</t>
  </si>
  <si>
    <t>kho hàng</t>
  </si>
  <si>
    <t>倉庫に運ぶ。</t>
  </si>
  <si>
    <t>Vận chuyển vào kho.</t>
  </si>
  <si>
    <t>菌</t>
  </si>
  <si>
    <t>きん</t>
  </si>
  <si>
    <t>菌[きん]</t>
  </si>
  <si>
    <t>vi khuẩn</t>
  </si>
  <si>
    <t>菌を殺す。</t>
  </si>
  <si>
    <t>Tiêu diệt vi khuẩn.</t>
  </si>
  <si>
    <t>掲示</t>
  </si>
  <si>
    <t>けいじ</t>
  </si>
  <si>
    <t>掲示[けいじ]</t>
  </si>
  <si>
    <t>掲示を出す。</t>
  </si>
  <si>
    <t>Đăng thông báo lên.</t>
  </si>
  <si>
    <t>イコール</t>
  </si>
  <si>
    <t>いこーる</t>
  </si>
  <si>
    <t>それはイコールではない。</t>
  </si>
  <si>
    <t>Cái đó không bằng nhau.</t>
  </si>
  <si>
    <t>作曲</t>
  </si>
  <si>
    <t>さっきょく</t>
  </si>
  <si>
    <t>作曲[さっきょく]</t>
  </si>
  <si>
    <t>sáng tác nhạc</t>
  </si>
  <si>
    <t>曲を作曲する。</t>
  </si>
  <si>
    <t>Sáng tác bài nhạc.</t>
  </si>
  <si>
    <t>農薬</t>
  </si>
  <si>
    <t>のうやく</t>
  </si>
  <si>
    <t>農薬[のうやく]</t>
  </si>
  <si>
    <t>thuốc trừ sâu</t>
  </si>
  <si>
    <t>農薬を使う。</t>
  </si>
  <si>
    <t>Sử dụng thuốc trừ sâu.</t>
  </si>
  <si>
    <t>夕日</t>
  </si>
  <si>
    <t>ゆうひ</t>
  </si>
  <si>
    <t>夕日[ゆうひ]</t>
  </si>
  <si>
    <t>mặt trời lặn</t>
  </si>
  <si>
    <t>夕日を見る。</t>
  </si>
  <si>
    <t>Ngắm mặt trời lặn.</t>
  </si>
  <si>
    <t>通り掛かる</t>
  </si>
  <si>
    <t>とおりかかる</t>
  </si>
  <si>
    <t>通[とお]り掛[か]かる</t>
  </si>
  <si>
    <t>đi ngang qua</t>
  </si>
  <si>
    <t>店を通り掛かる。</t>
  </si>
  <si>
    <t>Đi ngang qua cửa hàng.</t>
  </si>
  <si>
    <t>通帳</t>
  </si>
  <si>
    <t>つうちょう</t>
  </si>
  <si>
    <t>通帳[つうちょう]</t>
  </si>
  <si>
    <t>sổ ngân hàng</t>
  </si>
  <si>
    <t>通帳を記入する。</t>
  </si>
  <si>
    <t>Cập nhật sổ ngân hàng.</t>
  </si>
  <si>
    <t>起床</t>
  </si>
  <si>
    <t>起床[きしょう]</t>
  </si>
  <si>
    <t>起床時間を守る。</t>
  </si>
  <si>
    <t>Tuân thủ giờ thức dậy.</t>
  </si>
  <si>
    <t>外科</t>
  </si>
  <si>
    <t>げか</t>
  </si>
  <si>
    <t>外科[げか]</t>
  </si>
  <si>
    <t>ngoại khoa</t>
  </si>
  <si>
    <t>外科の手術。</t>
  </si>
  <si>
    <t>Phẫu thuật ngoại khoa.</t>
  </si>
  <si>
    <t>区分</t>
  </si>
  <si>
    <t>くぶん</t>
  </si>
  <si>
    <t>区分[くぶん]</t>
  </si>
  <si>
    <t>区域を区分する。</t>
  </si>
  <si>
    <t>Phân chia khu vực.</t>
  </si>
  <si>
    <t>原</t>
  </si>
  <si>
    <t>原[はら]</t>
  </si>
  <si>
    <t>原を歩く。</t>
  </si>
  <si>
    <t>Đi trên cánh đồng.</t>
  </si>
  <si>
    <t>適確</t>
  </si>
  <si>
    <t>てきかく</t>
  </si>
  <si>
    <t>適確[てきかく]</t>
  </si>
  <si>
    <t>適確な答えだ。</t>
  </si>
  <si>
    <t>Câu trả lời chính xác.</t>
  </si>
  <si>
    <t>吐き気</t>
  </si>
  <si>
    <t>はきけ</t>
  </si>
  <si>
    <t>吐[は]き気[け]</t>
  </si>
  <si>
    <t>buồn nôn</t>
  </si>
  <si>
    <t>吐き気がする。</t>
  </si>
  <si>
    <t>Cảm thấy buồn nôn.</t>
  </si>
  <si>
    <t>女王</t>
  </si>
  <si>
    <t>じょおう</t>
  </si>
  <si>
    <t>女王[じょおう]</t>
  </si>
  <si>
    <t>nữ hoàng</t>
  </si>
  <si>
    <t>女王に謁見する。</t>
  </si>
  <si>
    <t>Yết kiến nữ hoàng.</t>
  </si>
  <si>
    <t>法則</t>
  </si>
  <si>
    <t>ほうそく</t>
  </si>
  <si>
    <t>法則[ほうそく]</t>
  </si>
  <si>
    <t>quy luật</t>
  </si>
  <si>
    <t>法則を見つける。</t>
  </si>
  <si>
    <t>Tìm thấy quy luật.</t>
  </si>
  <si>
    <t>続々</t>
  </si>
  <si>
    <t>ぞくぞく</t>
  </si>
  <si>
    <t>続々[ぞくぞく]</t>
  </si>
  <si>
    <t>注文が続々来る。</t>
  </si>
  <si>
    <t>Đơn hàng đến liên tục.</t>
  </si>
  <si>
    <t>口紅</t>
  </si>
  <si>
    <t>くちべに</t>
  </si>
  <si>
    <t>口紅[くちべに]</t>
  </si>
  <si>
    <t>son môi</t>
  </si>
  <si>
    <t>赤い口紅を塗る。</t>
  </si>
  <si>
    <t>Tô son môi màu đỏ.</t>
  </si>
  <si>
    <t>居眠り</t>
  </si>
  <si>
    <t>いねむり</t>
  </si>
  <si>
    <t>居眠[いねむ]り</t>
  </si>
  <si>
    <t>ngủ gật</t>
  </si>
  <si>
    <t>授業中に居眠りする。</t>
  </si>
  <si>
    <t>Ngủ gật trong giờ học.</t>
  </si>
  <si>
    <t>量る</t>
  </si>
  <si>
    <t>量[はか]る</t>
  </si>
  <si>
    <t>体重を量る。</t>
  </si>
  <si>
    <t>Đo trọng lượng cơ thể.</t>
  </si>
  <si>
    <t>言葉遣い</t>
  </si>
  <si>
    <t>ことばづかい</t>
  </si>
  <si>
    <t>言葉遣[ことばづか]い</t>
  </si>
  <si>
    <t>cách dùng từ</t>
  </si>
  <si>
    <t>言葉遣いを正す。</t>
  </si>
  <si>
    <t>Sửa lại cách dùng từ.</t>
  </si>
  <si>
    <t>引力</t>
  </si>
  <si>
    <t>いんりょく</t>
  </si>
  <si>
    <t>引力[いんりょく]</t>
  </si>
  <si>
    <t>lực hấp dẫn</t>
  </si>
  <si>
    <t>引力が働く。</t>
  </si>
  <si>
    <t>Lực hấp dẫn tác động.</t>
  </si>
  <si>
    <t>下車</t>
  </si>
  <si>
    <t>げしゃ</t>
  </si>
  <si>
    <t>下車[げしゃ]</t>
  </si>
  <si>
    <t>xuống tàu</t>
  </si>
  <si>
    <t>駅で下車する。</t>
  </si>
  <si>
    <t>Xuống tàu tại nhà ga.</t>
  </si>
  <si>
    <t>決心</t>
  </si>
  <si>
    <t>けっしん</t>
  </si>
  <si>
    <t>決心[けっしん]</t>
  </si>
  <si>
    <t>決心をする。</t>
  </si>
  <si>
    <t>Đưa ra quyết tâm.</t>
  </si>
  <si>
    <t>人込み</t>
  </si>
  <si>
    <t>ひとごみ</t>
  </si>
  <si>
    <t>人込[ひとご]み</t>
  </si>
  <si>
    <t>đám đông</t>
  </si>
  <si>
    <t>人込みを歩く。</t>
  </si>
  <si>
    <t>Đi bộ trong đám đông.</t>
  </si>
  <si>
    <t>会館</t>
  </si>
  <si>
    <t>かいかん</t>
  </si>
  <si>
    <t>会館[かいかん]</t>
  </si>
  <si>
    <t>hội quán</t>
  </si>
  <si>
    <t>会館を利用する。</t>
  </si>
  <si>
    <t>Sử dụng hội quán.</t>
  </si>
  <si>
    <t>冷やす</t>
  </si>
  <si>
    <t>ひやす</t>
  </si>
  <si>
    <t>冷[ひ]やす</t>
  </si>
  <si>
    <t>làm lạnh</t>
  </si>
  <si>
    <t>氷で冷やす。</t>
  </si>
  <si>
    <t>Làm lạnh bằng đá.</t>
  </si>
  <si>
    <t>創造</t>
  </si>
  <si>
    <t>創造[そうぞう]</t>
  </si>
  <si>
    <t>文化を創造する。</t>
  </si>
  <si>
    <t>Sáng tạo văn hóa.</t>
  </si>
  <si>
    <t>婚約</t>
  </si>
  <si>
    <t>こんやく</t>
  </si>
  <si>
    <t>婚約[こんやく]</t>
  </si>
  <si>
    <t>đính hôn</t>
  </si>
  <si>
    <t>婚約を発表する。</t>
  </si>
  <si>
    <t>Công bố đính hôn.</t>
  </si>
  <si>
    <t>祭る</t>
  </si>
  <si>
    <t>まつる</t>
  </si>
  <si>
    <t>祭[まつ]る</t>
  </si>
  <si>
    <t>thờ cúng</t>
  </si>
  <si>
    <t>祖先を祭る。</t>
  </si>
  <si>
    <t>Thờ cúng tổ tiên.</t>
  </si>
  <si>
    <t>親指</t>
  </si>
  <si>
    <t>おやゆび</t>
  </si>
  <si>
    <t>親指[おやゆび]</t>
  </si>
  <si>
    <t>ngón cái</t>
  </si>
  <si>
    <t>親指を立てる。</t>
  </si>
  <si>
    <t>Giơ ngón tay cái lên.</t>
  </si>
  <si>
    <t>ばったり</t>
  </si>
  <si>
    <t>駅でばったり会う。</t>
  </si>
  <si>
    <t>Tình cờ gặp ở nhà ga.</t>
  </si>
  <si>
    <t>小指</t>
  </si>
  <si>
    <t>こゆび</t>
  </si>
  <si>
    <t>小指[こゆび]</t>
  </si>
  <si>
    <t>ngón út</t>
  </si>
  <si>
    <t>小指に指輪をする。</t>
  </si>
  <si>
    <t>Đeo nhẫn vào ngón út.</t>
  </si>
  <si>
    <t>小母さん</t>
  </si>
  <si>
    <t>おばさん</t>
  </si>
  <si>
    <t>小母[おば]さん</t>
  </si>
  <si>
    <t>bác gái</t>
  </si>
  <si>
    <t>近所の小母さんに会う。</t>
  </si>
  <si>
    <t>Gặp bác gái hàng xóm.</t>
  </si>
  <si>
    <t>岬</t>
  </si>
  <si>
    <t>みさき</t>
  </si>
  <si>
    <t>岬[みさき]</t>
  </si>
  <si>
    <t>mũi đất</t>
  </si>
  <si>
    <t>岬から海を眺める。</t>
  </si>
  <si>
    <t>Ngắm biển từ mũi đất.</t>
  </si>
  <si>
    <t>治める</t>
  </si>
  <si>
    <t>治[おさ]める</t>
  </si>
  <si>
    <t>cai trị</t>
  </si>
  <si>
    <t>国を治める。</t>
  </si>
  <si>
    <t>Cai trị đất nước.</t>
  </si>
  <si>
    <t>言い付ける</t>
  </si>
  <si>
    <t>いいつける</t>
  </si>
  <si>
    <t>言[い]い付[つ]ける</t>
  </si>
  <si>
    <t>部下に言い付ける。</t>
  </si>
  <si>
    <t>Ra lệnh cho cấp dưới.</t>
  </si>
  <si>
    <t>間も無く</t>
  </si>
  <si>
    <t>まもなく</t>
  </si>
  <si>
    <t>間[ま]も無[な]く</t>
  </si>
  <si>
    <t>間も無く発車する。</t>
  </si>
  <si>
    <t>Sắp tới sẽ khởi hành.</t>
  </si>
  <si>
    <t>技師</t>
  </si>
  <si>
    <t>ぎし</t>
  </si>
  <si>
    <t>技師[ぎし]</t>
  </si>
  <si>
    <t>電気技師になる。</t>
  </si>
  <si>
    <t>Trở thành kỹ sư điện.</t>
  </si>
  <si>
    <t>締め切る</t>
  </si>
  <si>
    <t>しめきる</t>
  </si>
  <si>
    <t>締[し]め切[き]る</t>
  </si>
  <si>
    <t>窓を締め切る。</t>
  </si>
  <si>
    <t>Đóng chặt cửa sổ.</t>
  </si>
  <si>
    <t>家内</t>
  </si>
  <si>
    <t>かない</t>
  </si>
  <si>
    <t>家内[かない]</t>
  </si>
  <si>
    <t>家内と出かける。</t>
  </si>
  <si>
    <t>Ra ngoài cùng vợ.</t>
  </si>
  <si>
    <t>シーツ</t>
  </si>
  <si>
    <t>しーつ</t>
  </si>
  <si>
    <t>ga trải giường</t>
  </si>
  <si>
    <t>シーツを替える。</t>
  </si>
  <si>
    <t>Thay ga trải giường.</t>
  </si>
  <si>
    <t>下降</t>
  </si>
  <si>
    <t>下降[かこう]</t>
  </si>
  <si>
    <t>giảm xuống</t>
  </si>
  <si>
    <t>気温が下降する。</t>
  </si>
  <si>
    <t>Nhiệt độ giảm xuống.</t>
  </si>
  <si>
    <t>潰す</t>
  </si>
  <si>
    <t>つぶす</t>
  </si>
  <si>
    <t>潰[つぶ]す</t>
  </si>
  <si>
    <t>nghiền nát</t>
  </si>
  <si>
    <t>果物を潰す。</t>
  </si>
  <si>
    <t>Nghiền nát trái cây.</t>
  </si>
  <si>
    <t>真っ白</t>
  </si>
  <si>
    <t>まっしろ</t>
  </si>
  <si>
    <t>真[ま]っ白[しろ]</t>
  </si>
  <si>
    <t>trắng toát</t>
  </si>
  <si>
    <t>雪で真っ白だ。</t>
  </si>
  <si>
    <t>Trắng toát vì tuyết.</t>
  </si>
  <si>
    <t>ピン</t>
  </si>
  <si>
    <t>ぴん</t>
  </si>
  <si>
    <t>đinh ghim</t>
  </si>
  <si>
    <t>ピンでとめる。</t>
  </si>
  <si>
    <t>Ghim bằng đinh ghim.</t>
  </si>
  <si>
    <t>絶えず</t>
  </si>
  <si>
    <t>たえず</t>
  </si>
  <si>
    <t>絶[た]えず</t>
  </si>
  <si>
    <t>絶えず努力する。</t>
  </si>
  <si>
    <t>Nỗ lực liên tục.</t>
  </si>
  <si>
    <t>のこぎり</t>
  </si>
  <si>
    <t>cái cưa</t>
  </si>
  <si>
    <t>のこぎりで木を切る。</t>
  </si>
  <si>
    <t>Cưa gỗ bằng cái cưa.</t>
  </si>
  <si>
    <t>半ば</t>
  </si>
  <si>
    <t>なかば</t>
  </si>
  <si>
    <t>半[なか]ば</t>
  </si>
  <si>
    <t>半ばまで読む。</t>
  </si>
  <si>
    <t>Đọc đến một nửa.</t>
  </si>
  <si>
    <t>宛てる</t>
  </si>
  <si>
    <t>宛[あ]てる</t>
  </si>
  <si>
    <t>手紙を宛てる。</t>
  </si>
  <si>
    <t>Gửi bức thư đến.</t>
  </si>
  <si>
    <t>離婚</t>
  </si>
  <si>
    <t>りこん</t>
  </si>
  <si>
    <t>離婚[りこん]</t>
  </si>
  <si>
    <t>ly hôn</t>
  </si>
  <si>
    <t>両親が離婚した。</t>
  </si>
  <si>
    <t>Bố mẹ tôi đã ly hôn.</t>
  </si>
  <si>
    <t>例え</t>
  </si>
  <si>
    <t>例[たと]え</t>
  </si>
  <si>
    <t>例え話をする。</t>
  </si>
  <si>
    <t>Kể chuyện ví dụ.</t>
  </si>
  <si>
    <t>照る</t>
  </si>
  <si>
    <t>てる</t>
  </si>
  <si>
    <t>照[て]る</t>
  </si>
  <si>
    <t>太陽が照る。</t>
  </si>
  <si>
    <t>Mặt trời chiếu sáng.</t>
  </si>
  <si>
    <t>咥える</t>
  </si>
  <si>
    <t>咥[くわ]える</t>
  </si>
  <si>
    <t>ngậm</t>
  </si>
  <si>
    <t>タバコを咥える。</t>
  </si>
  <si>
    <t>Ngậm điếu thuốc.</t>
  </si>
  <si>
    <t>尖る</t>
  </si>
  <si>
    <t>とがる</t>
  </si>
  <si>
    <t>尖[とが]る</t>
  </si>
  <si>
    <t>nhọn</t>
  </si>
  <si>
    <t>鉛筆の先が尖る。</t>
  </si>
  <si>
    <t>Đầu bút chì bị nhọn.</t>
  </si>
  <si>
    <t>革</t>
  </si>
  <si>
    <t>かわ</t>
  </si>
  <si>
    <t>革[かわ]</t>
  </si>
  <si>
    <t>革の靴を買う。</t>
  </si>
  <si>
    <t>Mua đôi giày da.</t>
  </si>
  <si>
    <t>遠足</t>
  </si>
  <si>
    <t>えんそく</t>
  </si>
  <si>
    <t>遠足[えんそく]</t>
  </si>
  <si>
    <t>chuyến dã ngoại</t>
  </si>
  <si>
    <t>遠足に行く。</t>
  </si>
  <si>
    <t>Đi chuyến dã ngoại.</t>
  </si>
  <si>
    <t>国王</t>
  </si>
  <si>
    <t>こくおう</t>
  </si>
  <si>
    <t>国王[こくおう]</t>
  </si>
  <si>
    <t>quốc vương</t>
  </si>
  <si>
    <t>国王に会う。</t>
  </si>
  <si>
    <t>Gặp quốc vương.</t>
  </si>
  <si>
    <t>照明</t>
  </si>
  <si>
    <t>照明[しょうめい]</t>
  </si>
  <si>
    <t>照明をつける。</t>
  </si>
  <si>
    <t>Bật đèn chiếu sáng.</t>
  </si>
  <si>
    <t>熱心</t>
  </si>
  <si>
    <t>ねっしん</t>
  </si>
  <si>
    <t>熱心[ねっしん]</t>
  </si>
  <si>
    <t>nhiệt tình</t>
  </si>
  <si>
    <t>熱心に勉強する。</t>
  </si>
  <si>
    <t>Học tập nhiệt tình.</t>
  </si>
  <si>
    <t>コーラス</t>
  </si>
  <si>
    <t>こーらす</t>
  </si>
  <si>
    <t>コーラスに参加する。</t>
  </si>
  <si>
    <t>享受</t>
  </si>
  <si>
    <t>享受[きょうじゅ]</t>
  </si>
  <si>
    <t>hưởng thụ</t>
  </si>
  <si>
    <t>平和を享受する。</t>
  </si>
  <si>
    <t>Hưởng thụ hòa bình.</t>
  </si>
  <si>
    <t>大戦</t>
  </si>
  <si>
    <t>たいせん</t>
  </si>
  <si>
    <t>大戦[たいせん]</t>
  </si>
  <si>
    <t>đại chiến</t>
  </si>
  <si>
    <t>世界大戦。</t>
  </si>
  <si>
    <t>Đại chiến thế giới.</t>
  </si>
  <si>
    <t>従兄弟</t>
  </si>
  <si>
    <t>いとこ</t>
  </si>
  <si>
    <t>従兄弟[いとこ]</t>
  </si>
  <si>
    <t>anh em họ</t>
  </si>
  <si>
    <t>従兄弟と遊ぶ。</t>
  </si>
  <si>
    <t>Chơi với anh em họ.</t>
  </si>
  <si>
    <t>持参</t>
  </si>
  <si>
    <t>じさん</t>
  </si>
  <si>
    <t>持参[じさん]</t>
  </si>
  <si>
    <t>mang theo</t>
  </si>
  <si>
    <t>書類を持参する。</t>
  </si>
  <si>
    <t>Mang theo tài liệu.</t>
  </si>
  <si>
    <t>長所</t>
  </si>
  <si>
    <t>ちょうしょ</t>
  </si>
  <si>
    <t>長所[ちょうしょ]</t>
  </si>
  <si>
    <t>sở trường</t>
  </si>
  <si>
    <t>長所を伸ばす。</t>
  </si>
  <si>
    <t>Phát huy sở trường.</t>
  </si>
  <si>
    <t>広々</t>
  </si>
  <si>
    <t>ひろびろ</t>
  </si>
  <si>
    <t>広々[ひろびろ]</t>
  </si>
  <si>
    <t>rộng rãi</t>
  </si>
  <si>
    <t>広々とした部屋。</t>
  </si>
  <si>
    <t>Căn phòng rộng rãi.</t>
  </si>
  <si>
    <t>軒</t>
  </si>
  <si>
    <t>のき</t>
  </si>
  <si>
    <t>軒[のき]</t>
  </si>
  <si>
    <t>mái hiên</t>
  </si>
  <si>
    <t>軒の下で休む。</t>
  </si>
  <si>
    <t>Nghỉ dưới mái hiên.</t>
  </si>
  <si>
    <t>倒産</t>
  </si>
  <si>
    <t>とうさん</t>
  </si>
  <si>
    <t>倒産[とうさん]</t>
  </si>
  <si>
    <t>phá sản</t>
  </si>
  <si>
    <t>会社が倒産する。</t>
  </si>
  <si>
    <t>Công ty bị phá sản.</t>
  </si>
  <si>
    <t>生理</t>
  </si>
  <si>
    <t>生理[せいり]</t>
  </si>
  <si>
    <t>sinh lý</t>
  </si>
  <si>
    <t>生理現象。</t>
  </si>
  <si>
    <t>Hiện tượng sinh lý.</t>
  </si>
  <si>
    <t>裏口</t>
  </si>
  <si>
    <t>うらぐち</t>
  </si>
  <si>
    <t>裏口[うらぐち]</t>
  </si>
  <si>
    <t>cửa sau</t>
  </si>
  <si>
    <t>裏口から入る。</t>
  </si>
  <si>
    <t>Vào từ cửa sau.</t>
  </si>
  <si>
    <t>鳴らす</t>
  </si>
  <si>
    <t>鳴[な]らす</t>
  </si>
  <si>
    <t>làm kêu</t>
  </si>
  <si>
    <t>ベルを鳴らす。</t>
  </si>
  <si>
    <t>Làm chuông kêu.</t>
  </si>
  <si>
    <t>綿</t>
  </si>
  <si>
    <t>わた</t>
  </si>
  <si>
    <t>綿[わた]</t>
  </si>
  <si>
    <t>bông</t>
  </si>
  <si>
    <t>綿のシャツ。</t>
  </si>
  <si>
    <t>Áo sơ mi bằng bông.</t>
  </si>
  <si>
    <t>券</t>
  </si>
  <si>
    <t>券[けん]</t>
  </si>
  <si>
    <t>参加券を持つ。</t>
  </si>
  <si>
    <t>Có vé tham gia.</t>
  </si>
  <si>
    <t>カセット</t>
  </si>
  <si>
    <t>かせっと</t>
  </si>
  <si>
    <t>băng cát-sét</t>
  </si>
  <si>
    <t>カセットテープを聞く。</t>
  </si>
  <si>
    <t>Nghe băng cát-sét.</t>
  </si>
  <si>
    <t>のろのろ</t>
  </si>
  <si>
    <t>chậm chạp</t>
  </si>
  <si>
    <t>車がのろのろ走る。</t>
  </si>
  <si>
    <t>Xe chạy chậm chạp.</t>
  </si>
  <si>
    <t>やたらに</t>
  </si>
  <si>
    <t>vô tội vạ</t>
  </si>
  <si>
    <t>やたらに買う。</t>
  </si>
  <si>
    <t>Mua sắm vô tội vạ.</t>
  </si>
  <si>
    <t>十日</t>
  </si>
  <si>
    <t>とおか</t>
  </si>
  <si>
    <t>十日[とおか]</t>
  </si>
  <si>
    <t>ngày mười</t>
  </si>
  <si>
    <t>十日に来る。</t>
  </si>
  <si>
    <t>Đến ngày mười.</t>
  </si>
  <si>
    <t>却って</t>
  </si>
  <si>
    <t>かえって</t>
  </si>
  <si>
    <t>却[かえ]って</t>
  </si>
  <si>
    <t>却って良い。</t>
  </si>
  <si>
    <t>Ngược lại thì tốt.</t>
  </si>
  <si>
    <t>漸く</t>
  </si>
  <si>
    <t>ようやく</t>
  </si>
  <si>
    <t>漸[ようや]く</t>
  </si>
  <si>
    <t>ようやく終わった。</t>
  </si>
  <si>
    <t>点く</t>
  </si>
  <si>
    <t>点[つ]く</t>
  </si>
  <si>
    <t>được thắp</t>
  </si>
  <si>
    <t>明かりが点く。</t>
  </si>
  <si>
    <t>Đèn được bật sáng.</t>
  </si>
  <si>
    <t>発明</t>
  </si>
  <si>
    <t>はつめい</t>
  </si>
  <si>
    <t>発明[はつめい]</t>
  </si>
  <si>
    <t>phát minh</t>
  </si>
  <si>
    <t>電気を発明する。</t>
  </si>
  <si>
    <t>Phát minh ra điện.</t>
  </si>
  <si>
    <t>謙虚</t>
  </si>
  <si>
    <t>けんきょ</t>
  </si>
  <si>
    <t>謙虚[けんきょ]</t>
  </si>
  <si>
    <t>khiêm tốn</t>
  </si>
  <si>
    <t>謙虚な姿勢だ。</t>
  </si>
  <si>
    <t>Thái độ khiêm tốn.</t>
  </si>
  <si>
    <t>割引</t>
  </si>
  <si>
    <t>わりびき</t>
  </si>
  <si>
    <t>割引[わりびき]</t>
  </si>
  <si>
    <t>割引を受ける。</t>
  </si>
  <si>
    <t>Nhận giảm giá.</t>
  </si>
  <si>
    <t>否</t>
  </si>
  <si>
    <t>いな</t>
  </si>
  <si>
    <t>否[いな]</t>
  </si>
  <si>
    <t>否と答える。</t>
  </si>
  <si>
    <t>Trả lời không.</t>
  </si>
  <si>
    <t>大凡</t>
  </si>
  <si>
    <t>おおよそ</t>
  </si>
  <si>
    <t>大凡[おおよそ]</t>
  </si>
  <si>
    <t>大凡理解する。</t>
  </si>
  <si>
    <t>Đại khái hiểu.</t>
  </si>
  <si>
    <t>実物</t>
  </si>
  <si>
    <t>じつぶつ</t>
  </si>
  <si>
    <t>実物[じつぶつ]</t>
  </si>
  <si>
    <t>vật thật</t>
  </si>
  <si>
    <t>実物を見る。</t>
  </si>
  <si>
    <t>Nhìn vật thật.</t>
  </si>
  <si>
    <t>小父さん</t>
  </si>
  <si>
    <t>小父[おじ]さん</t>
  </si>
  <si>
    <t>bác trai</t>
  </si>
  <si>
    <t>小父さんに挨拶する。</t>
  </si>
  <si>
    <t>Chào hỏi bác trai.</t>
  </si>
  <si>
    <t>汁</t>
  </si>
  <si>
    <t>汁[しる]</t>
  </si>
  <si>
    <t>nước súp</t>
  </si>
  <si>
    <t>汁を飲む。</t>
  </si>
  <si>
    <t>Uống nước súp.</t>
  </si>
  <si>
    <t>発揮</t>
  </si>
  <si>
    <t>はっき</t>
  </si>
  <si>
    <t>発揮[はっき]</t>
  </si>
  <si>
    <t>phát huy</t>
  </si>
  <si>
    <t>力を発揮する。</t>
  </si>
  <si>
    <t>Phát huy sức mạnh.</t>
  </si>
  <si>
    <t>ぶつぶつ</t>
  </si>
  <si>
    <t>何かぶつぶつ言う。</t>
  </si>
  <si>
    <t>Lầm bầm nói gì đó.</t>
  </si>
  <si>
    <t>博士</t>
  </si>
  <si>
    <t>はかせ</t>
  </si>
  <si>
    <t>博士[はかせ]</t>
  </si>
  <si>
    <t>tiến sĩ</t>
  </si>
  <si>
    <t>博士の称号。</t>
  </si>
  <si>
    <t>Danh hiệu tiến sĩ.</t>
  </si>
  <si>
    <t>貯蔵</t>
  </si>
  <si>
    <t>ちょぞう</t>
  </si>
  <si>
    <t>貯蔵[ちょぞう]</t>
  </si>
  <si>
    <t>食料を貯蔵する。</t>
  </si>
  <si>
    <t>Lưu trữ thực phẩm.</t>
  </si>
  <si>
    <t>こしらえる</t>
  </si>
  <si>
    <t>新しい料理をこしらえる。</t>
  </si>
  <si>
    <t>Tạo ra món ăn mới.</t>
  </si>
  <si>
    <t>すっぱい</t>
  </si>
  <si>
    <t>chua</t>
  </si>
  <si>
    <t>このみかんはすっぱい。</t>
  </si>
  <si>
    <t>Quả quýt này chua.</t>
  </si>
  <si>
    <t>冷える</t>
  </si>
  <si>
    <t>ひえる</t>
  </si>
  <si>
    <t>冷[ひ]える</t>
  </si>
  <si>
    <t>手足が冷える。</t>
  </si>
  <si>
    <t>Tay chân tôi lạnh.</t>
  </si>
  <si>
    <t>河</t>
  </si>
  <si>
    <t>河[かわ]</t>
  </si>
  <si>
    <t>sông</t>
  </si>
  <si>
    <t>河を渡る。</t>
  </si>
  <si>
    <t>Băng qua sông.</t>
  </si>
  <si>
    <t>郡</t>
  </si>
  <si>
    <t>郡[ぐん]</t>
  </si>
  <si>
    <t>quận</t>
  </si>
  <si>
    <t>郡の会議だ。</t>
  </si>
  <si>
    <t>Cuộc họp của quận.</t>
  </si>
  <si>
    <t>紐</t>
  </si>
  <si>
    <t>ひも</t>
  </si>
  <si>
    <t>紐[ひも]</t>
  </si>
  <si>
    <t>dây</t>
  </si>
  <si>
    <t>靴の紐を結ぶ。</t>
  </si>
  <si>
    <t>Buộc dây giày.</t>
  </si>
  <si>
    <t>湖</t>
  </si>
  <si>
    <t>みずうみ</t>
  </si>
  <si>
    <t>湖[みずうみ]</t>
  </si>
  <si>
    <t>hồ</t>
  </si>
  <si>
    <t>湖でボートに乗る。</t>
  </si>
  <si>
    <t>Đi thuyền trên hồ.</t>
  </si>
  <si>
    <t>ウイスキー</t>
  </si>
  <si>
    <t>ういすきー</t>
  </si>
  <si>
    <t>rượu whisky</t>
  </si>
  <si>
    <t>ウイスキーを飲む。</t>
  </si>
  <si>
    <t>Uống rượu whisky.</t>
  </si>
  <si>
    <t>賞品</t>
  </si>
  <si>
    <t>賞品[しょうひん]</t>
  </si>
  <si>
    <t>phần thưởng</t>
  </si>
  <si>
    <t>賞品を渡す。</t>
  </si>
  <si>
    <t>Trao phần thưởng.</t>
  </si>
  <si>
    <t>人命</t>
  </si>
  <si>
    <t>じんめい</t>
  </si>
  <si>
    <t>人命[じんめい]</t>
  </si>
  <si>
    <t>tính mạng</t>
  </si>
  <si>
    <t>人命救助。</t>
  </si>
  <si>
    <t>Cứu hộ tính mạng.</t>
  </si>
  <si>
    <t>冒険</t>
  </si>
  <si>
    <t>ぼうけん</t>
  </si>
  <si>
    <t>冒険[ぼうけん]</t>
  </si>
  <si>
    <t>phiêu lưu</t>
  </si>
  <si>
    <t>冒険に出る。</t>
  </si>
  <si>
    <t>Đi phiêu lưu.</t>
  </si>
  <si>
    <t>農村</t>
  </si>
  <si>
    <t>のうそん</t>
  </si>
  <si>
    <t>農村[のうそん]</t>
  </si>
  <si>
    <t>nông thôn</t>
  </si>
  <si>
    <t>農村で暮らす。</t>
  </si>
  <si>
    <t>Sống ở nông thôn.</t>
  </si>
  <si>
    <t>しっぽ</t>
  </si>
  <si>
    <t>犬がしっぽを振る。</t>
  </si>
  <si>
    <t>モダン</t>
  </si>
  <si>
    <t>もだん</t>
  </si>
  <si>
    <t>モダンな建物。</t>
  </si>
  <si>
    <t>Tòa nhà hiện đại.</t>
  </si>
  <si>
    <t>侵入</t>
  </si>
  <si>
    <t>しんにゅう</t>
  </si>
  <si>
    <t>侵入[しんにゅう]</t>
  </si>
  <si>
    <t>xâm nhập</t>
  </si>
  <si>
    <t>敵が侵入する。</t>
  </si>
  <si>
    <t>Kẻ địch xâm nhập.</t>
  </si>
  <si>
    <t>六日</t>
  </si>
  <si>
    <t>むいか</t>
  </si>
  <si>
    <t>六日[むいか]</t>
  </si>
  <si>
    <t>ngày sáu</t>
  </si>
  <si>
    <t>六日に会う。</t>
  </si>
  <si>
    <t>Gặp ngày sáu.</t>
  </si>
  <si>
    <t>莫大</t>
  </si>
  <si>
    <t>ばくだい</t>
  </si>
  <si>
    <t>莫大[ばくだい]</t>
  </si>
  <si>
    <t>莫大な金額。</t>
  </si>
  <si>
    <t>Số tiền khổng lồ.</t>
  </si>
  <si>
    <t>蛇口</t>
  </si>
  <si>
    <t>じゃぐち</t>
  </si>
  <si>
    <t>蛇口[じゃぐち]</t>
  </si>
  <si>
    <t>vòi nước</t>
  </si>
  <si>
    <t>蛇口をひねる。</t>
  </si>
  <si>
    <t>Vặn vòi nước.</t>
  </si>
  <si>
    <t>退学</t>
  </si>
  <si>
    <t>たいがく</t>
  </si>
  <si>
    <t>退学[たいがく]</t>
  </si>
  <si>
    <t>thôi học</t>
  </si>
  <si>
    <t>大学を退学する。</t>
  </si>
  <si>
    <t>Thôi học đại học.</t>
  </si>
  <si>
    <t>道順</t>
  </si>
  <si>
    <t>みちじゅん</t>
  </si>
  <si>
    <t>道順[みちじゅん]</t>
  </si>
  <si>
    <t>道順を調べる。</t>
  </si>
  <si>
    <t>Tra cứu lộ trình.</t>
  </si>
  <si>
    <t>遡る</t>
  </si>
  <si>
    <t>さかのぼる</t>
  </si>
  <si>
    <t>遡[さかのぼ]る</t>
  </si>
  <si>
    <t>歴史を遡る。</t>
  </si>
  <si>
    <t>Quay lại lịch sử.</t>
  </si>
  <si>
    <t>重役</t>
  </si>
  <si>
    <t>じゅうやく</t>
  </si>
  <si>
    <t>重役[じゅうやく]</t>
  </si>
  <si>
    <t>重役と会議する。</t>
  </si>
  <si>
    <t>Họp với giám đốc.</t>
  </si>
  <si>
    <t>せっせと</t>
  </si>
  <si>
    <t>cần mẫn</t>
  </si>
  <si>
    <t>せっせと働く。</t>
  </si>
  <si>
    <t>Làm việc cần mẫn.</t>
  </si>
  <si>
    <t>刑事</t>
  </si>
  <si>
    <t>刑事[けいじ]</t>
  </si>
  <si>
    <t>thám tử</t>
  </si>
  <si>
    <t>刑事が調査する。</t>
  </si>
  <si>
    <t>Thám tử điều tra.</t>
  </si>
  <si>
    <t>親類</t>
  </si>
  <si>
    <t>しんるい</t>
  </si>
  <si>
    <t>親類[しんるい]</t>
  </si>
  <si>
    <t>親類が多い。</t>
  </si>
  <si>
    <t>Có nhiều họ hàng.</t>
  </si>
  <si>
    <t>まぶた</t>
  </si>
  <si>
    <t>mi mắt</t>
  </si>
  <si>
    <t>まぶたが重い。</t>
  </si>
  <si>
    <t>Mi mắt nặng trĩu.</t>
  </si>
  <si>
    <t>儲かる</t>
  </si>
  <si>
    <t>もうかる</t>
  </si>
  <si>
    <t>儲[もう]かる</t>
  </si>
  <si>
    <t>có lời</t>
  </si>
  <si>
    <t>仕事が儲かる。</t>
  </si>
  <si>
    <t>Công việc có lời.</t>
  </si>
  <si>
    <t>真っ赤</t>
  </si>
  <si>
    <t>まっか</t>
  </si>
  <si>
    <t>真[ま]っ赤[か]</t>
  </si>
  <si>
    <t>đỏ rực</t>
  </si>
  <si>
    <t>顔が真っ赤だ。</t>
  </si>
  <si>
    <t>Khuôn mặt đỏ rực.</t>
  </si>
  <si>
    <t>かゆい</t>
  </si>
  <si>
    <t>ngứa</t>
  </si>
  <si>
    <t>背中がかゆい。</t>
  </si>
  <si>
    <t>Bị ngứa lưng.</t>
  </si>
  <si>
    <t>入社</t>
  </si>
  <si>
    <t>にゅうしゃ</t>
  </si>
  <si>
    <t>入社[にゅうしゃ]</t>
  </si>
  <si>
    <t>vào công ty</t>
  </si>
  <si>
    <t>会社に入社する。</t>
  </si>
  <si>
    <t>Vào công ty.</t>
  </si>
  <si>
    <t>投書</t>
  </si>
  <si>
    <t>とうしょ</t>
  </si>
  <si>
    <t>投書[とうしょ]</t>
  </si>
  <si>
    <t>thư gửi báo</t>
  </si>
  <si>
    <t>新聞に投書する。</t>
  </si>
  <si>
    <t>Gửi thư cho báo.</t>
  </si>
  <si>
    <t>透き通る</t>
  </si>
  <si>
    <t>すきとおる</t>
  </si>
  <si>
    <t>透[す]き通[とお]る</t>
  </si>
  <si>
    <t>水が透き通る。</t>
  </si>
  <si>
    <t>Nước trong suốt.</t>
  </si>
  <si>
    <t>不通</t>
  </si>
  <si>
    <t>不通[ふつう]</t>
  </si>
  <si>
    <t>道路が不通。</t>
  </si>
  <si>
    <t>Đường gián đoạn.</t>
  </si>
  <si>
    <t>典型</t>
  </si>
  <si>
    <t>てんけい</t>
  </si>
  <si>
    <t>典型[てんけい]</t>
  </si>
  <si>
    <t>điển hình</t>
  </si>
  <si>
    <t>典型的な例。</t>
  </si>
  <si>
    <t>Ví dụ điển hình.</t>
  </si>
  <si>
    <t>借り</t>
  </si>
  <si>
    <t>かり</t>
  </si>
  <si>
    <t>借[か]り</t>
  </si>
  <si>
    <t>vay mượn</t>
  </si>
  <si>
    <t>借りを作る。</t>
  </si>
  <si>
    <t>Đi vay mượn.</t>
  </si>
  <si>
    <t>全般</t>
  </si>
  <si>
    <t>ぜんぱん</t>
  </si>
  <si>
    <t>全般[ぜんぱん]</t>
  </si>
  <si>
    <t>tổng thể</t>
  </si>
  <si>
    <t>全般的に良い。</t>
  </si>
  <si>
    <t>Tốt về tổng thể.</t>
  </si>
  <si>
    <t>博物館</t>
  </si>
  <si>
    <t>はくぶつかん</t>
  </si>
  <si>
    <t>博物館[はくぶつかん]</t>
  </si>
  <si>
    <t>bảo tàng</t>
  </si>
  <si>
    <t>博物館に行く。</t>
  </si>
  <si>
    <t>Đi bảo tàng.</t>
  </si>
  <si>
    <t>歓迎</t>
  </si>
  <si>
    <t>かんげい</t>
  </si>
  <si>
    <t>歓迎[かんげい]</t>
  </si>
  <si>
    <t>chào đón</t>
  </si>
  <si>
    <t>歓迎する。</t>
  </si>
  <si>
    <t>Chào đón họ.</t>
  </si>
  <si>
    <t>済ませる</t>
  </si>
  <si>
    <t>すませる</t>
  </si>
  <si>
    <t>済[す]ませる</t>
  </si>
  <si>
    <t>食事を済ませる。</t>
  </si>
  <si>
    <t>Kết thúc bữa ăn.</t>
  </si>
  <si>
    <t>測定</t>
  </si>
  <si>
    <t>そくてい</t>
  </si>
  <si>
    <t>測定[そくてい]</t>
  </si>
  <si>
    <t>đo lường</t>
  </si>
  <si>
    <t>数値を測定する。</t>
  </si>
  <si>
    <t>Đo lường chỉ số.</t>
  </si>
  <si>
    <t>足跡</t>
  </si>
  <si>
    <t>あしあと</t>
  </si>
  <si>
    <t>足跡[あしあと]</t>
  </si>
  <si>
    <t>dấu chân</t>
  </si>
  <si>
    <t>足跡を残す。</t>
  </si>
  <si>
    <t>Để lại dấu chân.</t>
  </si>
  <si>
    <t>万年筆</t>
  </si>
  <si>
    <t>まんねんひつ</t>
  </si>
  <si>
    <t>万年筆[まんねんひつ]</t>
  </si>
  <si>
    <t>bút máy</t>
  </si>
  <si>
    <t>万年筆を使う。</t>
  </si>
  <si>
    <t>Sử dụng bút máy.</t>
  </si>
  <si>
    <t>不運</t>
  </si>
  <si>
    <t>ふうん</t>
  </si>
  <si>
    <t>不運[ふうん]</t>
  </si>
  <si>
    <t>xui xẻo</t>
  </si>
  <si>
    <t>不運な出来事。</t>
  </si>
  <si>
    <t>Sự việc xui xẻo.</t>
  </si>
  <si>
    <t>余分</t>
  </si>
  <si>
    <t>よぶん</t>
  </si>
  <si>
    <t>余分[よぶん]</t>
  </si>
  <si>
    <t>phần dư</t>
  </si>
  <si>
    <t>余分な荷物。</t>
  </si>
  <si>
    <t>Hành lý dư thừa.</t>
  </si>
  <si>
    <t>学級</t>
  </si>
  <si>
    <t>がっきゅう</t>
  </si>
  <si>
    <t>学級[がっきゅう]</t>
  </si>
  <si>
    <t>学級の委員。</t>
  </si>
  <si>
    <t>Ủy viên lớp học.</t>
  </si>
  <si>
    <t>形容詞</t>
  </si>
  <si>
    <t>けいようし</t>
  </si>
  <si>
    <t>形容詞[けいようし]</t>
  </si>
  <si>
    <t>tính từ</t>
  </si>
  <si>
    <t>形容詞を覚える。</t>
  </si>
  <si>
    <t>Ghi nhớ tính từ.</t>
  </si>
  <si>
    <t>消防</t>
  </si>
  <si>
    <t>しょうぼう</t>
  </si>
  <si>
    <t>消防[しょうぼう]</t>
  </si>
  <si>
    <t>cứu hỏa</t>
  </si>
  <si>
    <t>消防車が走る。</t>
  </si>
  <si>
    <t>Xe cứu hỏa chạy.</t>
  </si>
  <si>
    <t>硬貨</t>
  </si>
  <si>
    <t>硬貨[こうか]</t>
  </si>
  <si>
    <t>tiền xu</t>
  </si>
  <si>
    <t>硬貨を使う。</t>
  </si>
  <si>
    <t>Sử dụng tiền xu.</t>
  </si>
  <si>
    <t>羽根</t>
  </si>
  <si>
    <t>羽根[はね]</t>
  </si>
  <si>
    <t>lông vũ</t>
  </si>
  <si>
    <t>羽根が抜ける。</t>
  </si>
  <si>
    <t>Lông vũ bị rụng.</t>
  </si>
  <si>
    <t>詫びる</t>
  </si>
  <si>
    <t>わびる</t>
  </si>
  <si>
    <t>詫[わ]びる</t>
  </si>
  <si>
    <t>手紙で詫びる。</t>
  </si>
  <si>
    <t>Xin lỗi qua thư.</t>
  </si>
  <si>
    <t>辞退</t>
  </si>
  <si>
    <t>じたい</t>
  </si>
  <si>
    <t>辞退[じたい]</t>
  </si>
  <si>
    <t>依頼を辞退する。</t>
  </si>
  <si>
    <t>針</t>
  </si>
  <si>
    <t>はり</t>
  </si>
  <si>
    <t>針[はり]</t>
  </si>
  <si>
    <t>cây kim</t>
  </si>
  <si>
    <t>針を使う。</t>
  </si>
  <si>
    <t>Sử dụng cây kim.</t>
  </si>
  <si>
    <t>先頭</t>
  </si>
  <si>
    <t>先頭[せんとう]</t>
  </si>
  <si>
    <t>đi đầu</t>
  </si>
  <si>
    <t>先頭に立つ。</t>
  </si>
  <si>
    <t>Đứng đi đầu.</t>
  </si>
  <si>
    <t>幼稚</t>
  </si>
  <si>
    <t>ようち</t>
  </si>
  <si>
    <t>幼稚[ようち]</t>
  </si>
  <si>
    <t>ấu trĩ</t>
  </si>
  <si>
    <t>幼稚な考え。</t>
  </si>
  <si>
    <t>Suy nghĩ ấu trĩ.</t>
  </si>
  <si>
    <t>砂漠</t>
  </si>
  <si>
    <t>砂漠[さばく]</t>
  </si>
  <si>
    <t>sa mạc</t>
  </si>
  <si>
    <t>広大な砂漠。</t>
  </si>
  <si>
    <t>Sa mạc rộng lớn.</t>
  </si>
  <si>
    <t>舟</t>
  </si>
  <si>
    <t>ふね</t>
  </si>
  <si>
    <t>舟[ふね]</t>
  </si>
  <si>
    <t>舟を漕ぐ。</t>
  </si>
  <si>
    <t>住まい</t>
  </si>
  <si>
    <t>すまい</t>
  </si>
  <si>
    <t>住[す]まい</t>
  </si>
  <si>
    <t>快適な住まい。</t>
  </si>
  <si>
    <t>Nơi ở thoải mái.</t>
  </si>
  <si>
    <t>僅か</t>
  </si>
  <si>
    <t>わずか</t>
  </si>
  <si>
    <t>僅[わず]か</t>
  </si>
  <si>
    <t>ít ỏi</t>
  </si>
  <si>
    <t>僅かな時間。</t>
  </si>
  <si>
    <t>Thời gian ít ỏi.</t>
  </si>
  <si>
    <t>癖</t>
  </si>
  <si>
    <t>くせ</t>
  </si>
  <si>
    <t>癖[くせ]</t>
  </si>
  <si>
    <t>thói</t>
  </si>
  <si>
    <t>変な癖がある。</t>
  </si>
  <si>
    <t>Có thói quen lạ.</t>
  </si>
  <si>
    <t>削る</t>
  </si>
  <si>
    <t>けずる</t>
  </si>
  <si>
    <t>削[けず]る</t>
  </si>
  <si>
    <t>gọt</t>
  </si>
  <si>
    <t>鉛筆を削る。</t>
  </si>
  <si>
    <t>Gọt bút chì.</t>
  </si>
  <si>
    <t>削除</t>
  </si>
  <si>
    <t>さくじょ</t>
  </si>
  <si>
    <t>削除[さくじょ]</t>
  </si>
  <si>
    <t>xóa</t>
  </si>
  <si>
    <t>データを削除する。</t>
  </si>
  <si>
    <t>光景</t>
  </si>
  <si>
    <t>こうけい</t>
  </si>
  <si>
    <t>光景[こうけい]</t>
  </si>
  <si>
    <t>cảnh tượng</t>
  </si>
  <si>
    <t>美しい光景。</t>
  </si>
  <si>
    <t>Cảnh tượng đẹp.</t>
  </si>
  <si>
    <t>化粧</t>
  </si>
  <si>
    <t>けしょう</t>
  </si>
  <si>
    <t>化粧[けしょう]</t>
  </si>
  <si>
    <t>trang điểm</t>
  </si>
  <si>
    <t>化粧をする。</t>
  </si>
  <si>
    <t>Trang điểm.</t>
  </si>
  <si>
    <t>知人</t>
  </si>
  <si>
    <t>ちじん</t>
  </si>
  <si>
    <t>知人[ちじん]</t>
  </si>
  <si>
    <t>知人に会う。</t>
  </si>
  <si>
    <t>Gặp người quen.</t>
  </si>
  <si>
    <t>行儀</t>
  </si>
  <si>
    <t>ぎょうぎ</t>
  </si>
  <si>
    <t>行儀[ぎょうぎ]</t>
  </si>
  <si>
    <t>cách cư xử</t>
  </si>
  <si>
    <t>行儀が良い。</t>
  </si>
  <si>
    <t>Cách cư xử tốt.</t>
  </si>
  <si>
    <t>ひとりでに</t>
  </si>
  <si>
    <t>ドアがひとりでに開く。</t>
  </si>
  <si>
    <t>Cửa tự động mở.</t>
  </si>
  <si>
    <t>悠々</t>
  </si>
  <si>
    <t>ゆうゆう</t>
  </si>
  <si>
    <t>悠々[ゆうゆう]</t>
  </si>
  <si>
    <t>ung dung</t>
  </si>
  <si>
    <t>悠々と歩く。</t>
  </si>
  <si>
    <t>Đi bộ ung dung.</t>
  </si>
  <si>
    <t>金銭</t>
  </si>
  <si>
    <t>きんせん</t>
  </si>
  <si>
    <t>金銭[きんせん]</t>
  </si>
  <si>
    <t>tiền bạc</t>
  </si>
  <si>
    <t>金銭を扱う。</t>
  </si>
  <si>
    <t>Xử lý tiền bạc.</t>
  </si>
  <si>
    <t>くしゃみ</t>
  </si>
  <si>
    <t>hắt hơi</t>
  </si>
  <si>
    <t>くしゃみが出る。</t>
  </si>
  <si>
    <t>Bị hắt hơi.</t>
  </si>
  <si>
    <t>地盤</t>
  </si>
  <si>
    <t>じばん</t>
  </si>
  <si>
    <t>地盤[じばん]</t>
  </si>
  <si>
    <t>nền đất</t>
  </si>
  <si>
    <t>地盤が沈む。</t>
  </si>
  <si>
    <t>Nền đất bị lún.</t>
  </si>
  <si>
    <t>下品</t>
  </si>
  <si>
    <t>げひん</t>
  </si>
  <si>
    <t>下品[げひん]</t>
  </si>
  <si>
    <t>thô lỗ</t>
  </si>
  <si>
    <t>下品な態度。</t>
  </si>
  <si>
    <t>Thái độ thô lỗ.</t>
  </si>
  <si>
    <t>代名詞</t>
  </si>
  <si>
    <t>だいめいし</t>
  </si>
  <si>
    <t>代名詞[だいめいし]</t>
  </si>
  <si>
    <t>đại từ</t>
  </si>
  <si>
    <t>代名詞を使う。</t>
  </si>
  <si>
    <t>Sử dụng đại từ.</t>
  </si>
  <si>
    <t>語句</t>
  </si>
  <si>
    <t>ごく</t>
  </si>
  <si>
    <t>語句[ごく]</t>
  </si>
  <si>
    <t>cụm từ</t>
  </si>
  <si>
    <t>新しい語句を覚える。</t>
  </si>
  <si>
    <t>Học cụm từ mới.</t>
  </si>
  <si>
    <t>しびれる</t>
  </si>
  <si>
    <t>tê</t>
  </si>
  <si>
    <t>足がしびれる。</t>
  </si>
  <si>
    <t>Chân bị tê.</t>
  </si>
  <si>
    <t>押し入れ</t>
  </si>
  <si>
    <t>おしいれ</t>
  </si>
  <si>
    <t>押[お]し入[い]れ</t>
  </si>
  <si>
    <t>tủ</t>
  </si>
  <si>
    <t>布団を押し入れに入れる。</t>
  </si>
  <si>
    <t>Cho nệm vào tủ.</t>
  </si>
  <si>
    <t>寝坊</t>
  </si>
  <si>
    <t>ねぼう</t>
  </si>
  <si>
    <t>寝坊[ねぼう]</t>
  </si>
  <si>
    <t>ngủ nướng</t>
  </si>
  <si>
    <t>寝坊する。</t>
  </si>
  <si>
    <t>Ngủ nướng.</t>
  </si>
  <si>
    <t>ファスナー</t>
  </si>
  <si>
    <t>ふぁすなー</t>
  </si>
  <si>
    <t>khóa kéo</t>
  </si>
  <si>
    <t>ファスナーを閉める。</t>
  </si>
  <si>
    <t>Đóng khóa kéo.</t>
  </si>
  <si>
    <t>貨物</t>
  </si>
  <si>
    <t>かもつ</t>
  </si>
  <si>
    <t>貨物[かもつ]</t>
  </si>
  <si>
    <t>貨物を積む。</t>
  </si>
  <si>
    <t>Chất hàng hóa.</t>
  </si>
  <si>
    <t>留まる</t>
  </si>
  <si>
    <t>とどまる</t>
  </si>
  <si>
    <t>留[とど]まる</t>
  </si>
  <si>
    <t>ở lại</t>
  </si>
  <si>
    <t>会社に留まる。</t>
  </si>
  <si>
    <t>Ở lại công ty.</t>
  </si>
  <si>
    <t>下書き</t>
  </si>
  <si>
    <t>したがき</t>
  </si>
  <si>
    <t>下書[したが]き</t>
  </si>
  <si>
    <t>nháp</t>
  </si>
  <si>
    <t>下書きを書く。</t>
  </si>
  <si>
    <t>Viết bản nháp.</t>
  </si>
  <si>
    <t>執筆</t>
  </si>
  <si>
    <t>しっぴつ</t>
  </si>
  <si>
    <t>執筆[しっぴつ]</t>
  </si>
  <si>
    <t>本を執筆する。</t>
  </si>
  <si>
    <t>Viết sách.</t>
  </si>
  <si>
    <t>看護婦</t>
  </si>
  <si>
    <t>かんごふ</t>
  </si>
  <si>
    <t>看護婦[かんごふ]</t>
  </si>
  <si>
    <t>y tá</t>
  </si>
  <si>
    <t>看護婦が働く。</t>
  </si>
  <si>
    <t>Y tá làm việc.</t>
  </si>
  <si>
    <t>逸れる</t>
  </si>
  <si>
    <t>それる</t>
  </si>
  <si>
    <t>逸[そ]れる</t>
  </si>
  <si>
    <t>道が逸れる。</t>
  </si>
  <si>
    <t>Đường bị lệch.</t>
  </si>
  <si>
    <t>でたらめ</t>
  </si>
  <si>
    <t>nhảm nhí</t>
  </si>
  <si>
    <t>でたらめを言う。</t>
  </si>
  <si>
    <t>Nói nhảm nhí.</t>
  </si>
  <si>
    <t>座布団</t>
  </si>
  <si>
    <t>ざぶとん</t>
  </si>
  <si>
    <t>座布団[ざぶとん]</t>
  </si>
  <si>
    <t>đệm ngồi</t>
  </si>
  <si>
    <t>座布団の上に座る。</t>
  </si>
  <si>
    <t>Ngồi lên nệm.</t>
  </si>
  <si>
    <t>扇風機</t>
  </si>
  <si>
    <t>せんぷうき</t>
  </si>
  <si>
    <t>扇風機[せんぷうき]</t>
  </si>
  <si>
    <t>quạt máy</t>
  </si>
  <si>
    <t>扇風機をつける。</t>
  </si>
  <si>
    <t>Bật quạt máy.</t>
  </si>
  <si>
    <t>日光</t>
  </si>
  <si>
    <t>にっこう</t>
  </si>
  <si>
    <t>日光[にっこう]</t>
  </si>
  <si>
    <t>ánh nắng</t>
  </si>
  <si>
    <t>日光を浴びる。</t>
  </si>
  <si>
    <t>Tắm nắng.</t>
  </si>
  <si>
    <t>見掛け</t>
  </si>
  <si>
    <t>みかけ</t>
  </si>
  <si>
    <t>見掛[みか]け</t>
  </si>
  <si>
    <t>vẻ ngoài</t>
  </si>
  <si>
    <t>見掛けが良い。</t>
  </si>
  <si>
    <t>Vẻ ngoài tốt.</t>
  </si>
  <si>
    <t>農産物</t>
  </si>
  <si>
    <t>のうさんぶつ</t>
  </si>
  <si>
    <t>農産物[のうさんぶつ]</t>
  </si>
  <si>
    <t>nông sản</t>
  </si>
  <si>
    <t>農産物を売る。</t>
  </si>
  <si>
    <t>Bán nông sản.</t>
  </si>
  <si>
    <t>書籍</t>
  </si>
  <si>
    <t>しょせき</t>
  </si>
  <si>
    <t>書籍[しょせき]</t>
  </si>
  <si>
    <t>sách vở</t>
  </si>
  <si>
    <t>書籍を購入する。</t>
  </si>
  <si>
    <t>Mua sách.</t>
  </si>
  <si>
    <t>出入り</t>
  </si>
  <si>
    <t>でいり</t>
  </si>
  <si>
    <t>出入[でい]り</t>
  </si>
  <si>
    <t>ra vào</t>
  </si>
  <si>
    <t>自由に出入り。</t>
  </si>
  <si>
    <t>Tự do ra vào.</t>
  </si>
  <si>
    <t>砕ける</t>
  </si>
  <si>
    <t>くだける</t>
  </si>
  <si>
    <t>砕[くだ]ける</t>
  </si>
  <si>
    <t>bị vỡ</t>
  </si>
  <si>
    <t>グラスが砕ける。</t>
  </si>
  <si>
    <t>Cái ly bị vỡ.</t>
  </si>
  <si>
    <t>注射</t>
  </si>
  <si>
    <t>注射[ちゅうしゃ]</t>
  </si>
  <si>
    <t>tiêm</t>
  </si>
  <si>
    <t>注射はとても痛い。</t>
  </si>
  <si>
    <t>Tiêm rất đau.</t>
  </si>
  <si>
    <t>舌</t>
  </si>
  <si>
    <t>舌[した]</t>
  </si>
  <si>
    <t>lưỡi</t>
  </si>
  <si>
    <t>舌を出す。</t>
  </si>
  <si>
    <t>Thè lưỡi.</t>
  </si>
  <si>
    <t>ダム</t>
  </si>
  <si>
    <t>だむ</t>
  </si>
  <si>
    <t>đập</t>
  </si>
  <si>
    <t>ダムを建設する。</t>
  </si>
  <si>
    <t>Xây dựng đập.</t>
  </si>
  <si>
    <t>引分け</t>
  </si>
  <si>
    <t>ひきわけ</t>
  </si>
  <si>
    <t>引分[ひきわ]け</t>
  </si>
  <si>
    <t>hòa</t>
  </si>
  <si>
    <t>試合は引分けだ。</t>
  </si>
  <si>
    <t>Trận đấu hòa.</t>
  </si>
  <si>
    <t>ナイロン</t>
  </si>
  <si>
    <t>ないろん</t>
  </si>
  <si>
    <t>ni lông</t>
  </si>
  <si>
    <t>ナイロンの袋。</t>
  </si>
  <si>
    <t>Túi ni lông.</t>
  </si>
  <si>
    <t>紫</t>
  </si>
  <si>
    <t>むらさき</t>
  </si>
  <si>
    <t>紫[むらさき]</t>
  </si>
  <si>
    <t>màu tím</t>
  </si>
  <si>
    <t>紫の花。</t>
  </si>
  <si>
    <t>Hoa màu tím.</t>
  </si>
  <si>
    <t>茶碗</t>
  </si>
  <si>
    <t>ちゃわん</t>
  </si>
  <si>
    <t>茶碗[ちゃわん]</t>
  </si>
  <si>
    <t>bát trà</t>
  </si>
  <si>
    <t>茶碗を洗う。</t>
  </si>
  <si>
    <t>Rửa bát.</t>
  </si>
  <si>
    <t>荒い</t>
  </si>
  <si>
    <t>あらい</t>
  </si>
  <si>
    <t>荒[あら]い</t>
  </si>
  <si>
    <t>呼吸が荒い。</t>
  </si>
  <si>
    <t>Hơi thở thô.</t>
  </si>
  <si>
    <t>裂ける</t>
  </si>
  <si>
    <t>裂[さ]ける</t>
  </si>
  <si>
    <t>布が裂ける。</t>
  </si>
  <si>
    <t>Vải bị rách.</t>
  </si>
  <si>
    <t>車輪</t>
  </si>
  <si>
    <t>しゃりん</t>
  </si>
  <si>
    <t>車輪[しゃりん]</t>
  </si>
  <si>
    <t>bánh xe</t>
  </si>
  <si>
    <t>車輪を修理する。</t>
  </si>
  <si>
    <t>Sửa bánh xe.</t>
  </si>
  <si>
    <t>調味料</t>
  </si>
  <si>
    <t>ちょうみりょう</t>
  </si>
  <si>
    <t>調味料[ちょうみりょう]</t>
  </si>
  <si>
    <t>調味料を加える。</t>
  </si>
  <si>
    <t>謎謎</t>
  </si>
  <si>
    <t>なぞなぞ</t>
  </si>
  <si>
    <t>謎謎[なぞなぞ]</t>
  </si>
  <si>
    <t>câu đố</t>
  </si>
  <si>
    <t>謎謎で遊ぶ。</t>
  </si>
  <si>
    <t>Chơi câu đố.</t>
  </si>
  <si>
    <t>かじる</t>
  </si>
  <si>
    <t>gặm</t>
  </si>
  <si>
    <t>りんごをかじる。</t>
  </si>
  <si>
    <t>Gặm quả táo.</t>
  </si>
  <si>
    <t>下宿</t>
  </si>
  <si>
    <t>げしゅく</t>
  </si>
  <si>
    <t>下宿[げしゅく]</t>
  </si>
  <si>
    <t>trọ</t>
  </si>
  <si>
    <t>下宿を探す。</t>
  </si>
  <si>
    <t>Tìm chỗ trọ.</t>
  </si>
  <si>
    <t>冗談</t>
  </si>
  <si>
    <t>じょうだん</t>
  </si>
  <si>
    <t>冗談[じょうだん]</t>
  </si>
  <si>
    <t>đùa</t>
  </si>
  <si>
    <t>冗談を言う。</t>
  </si>
  <si>
    <t>Nói đùa.</t>
  </si>
  <si>
    <t>切手</t>
  </si>
  <si>
    <t>きって</t>
  </si>
  <si>
    <t>切手[きって]</t>
  </si>
  <si>
    <t>tem</t>
  </si>
  <si>
    <t>切手を貼って出す。</t>
  </si>
  <si>
    <t>Dán tem rồi gửi đi.</t>
  </si>
  <si>
    <t>裂く</t>
  </si>
  <si>
    <t>裂[さ]く</t>
  </si>
  <si>
    <t>xé</t>
  </si>
  <si>
    <t>紙を裂く。</t>
  </si>
  <si>
    <t>Xé giấy.</t>
  </si>
  <si>
    <t>スカーフ</t>
  </si>
  <si>
    <t>すかーふ</t>
  </si>
  <si>
    <t>khăn quàng</t>
  </si>
  <si>
    <t>スカーフを巻く。</t>
  </si>
  <si>
    <t>Quàng khăn.</t>
  </si>
  <si>
    <t>万歳</t>
  </si>
  <si>
    <t>ばんざい</t>
  </si>
  <si>
    <t>万歳[ばんざい]</t>
  </si>
  <si>
    <t>vạn tuế</t>
  </si>
  <si>
    <t>万歳と叫ぶ。</t>
  </si>
  <si>
    <t>Hô vạn tuế.</t>
  </si>
  <si>
    <t>八つ</t>
  </si>
  <si>
    <t>やっつ</t>
  </si>
  <si>
    <t>八[やっ]つ</t>
  </si>
  <si>
    <t>tám cái</t>
  </si>
  <si>
    <t>八つある。</t>
  </si>
  <si>
    <t>Có tám cái.</t>
  </si>
  <si>
    <t>チャイム</t>
  </si>
  <si>
    <t>ちゃいむ</t>
  </si>
  <si>
    <t>チャイムが鳴る。</t>
  </si>
  <si>
    <t>温める</t>
  </si>
  <si>
    <t>あたためる</t>
  </si>
  <si>
    <t>温[あたた]める</t>
  </si>
  <si>
    <t>làm ấm</t>
  </si>
  <si>
    <t>ご飯を温める。</t>
  </si>
  <si>
    <t>Làm ấm cơm.</t>
  </si>
  <si>
    <t>芝生</t>
  </si>
  <si>
    <t>しばふ</t>
  </si>
  <si>
    <t>芝生[しばふ]</t>
  </si>
  <si>
    <t>bãi cỏ</t>
  </si>
  <si>
    <t>芝生を刈る。</t>
  </si>
  <si>
    <t>述語</t>
  </si>
  <si>
    <t>じゅつご</t>
  </si>
  <si>
    <t>述語[じゅつご]</t>
  </si>
  <si>
    <t>vị ngữ</t>
  </si>
  <si>
    <t>述語を見つける。</t>
  </si>
  <si>
    <t>Tìm vị ngữ.</t>
  </si>
  <si>
    <t>井戸</t>
  </si>
  <si>
    <t>いど</t>
  </si>
  <si>
    <t>井戸[いど]</t>
  </si>
  <si>
    <t>giếng</t>
  </si>
  <si>
    <t>井戸水。</t>
  </si>
  <si>
    <t>Nước giếng.</t>
  </si>
  <si>
    <t>貝</t>
  </si>
  <si>
    <t>かい</t>
  </si>
  <si>
    <t>貝[かい]</t>
  </si>
  <si>
    <t>vỏ sò</t>
  </si>
  <si>
    <t>貝を拾う。</t>
  </si>
  <si>
    <t>Nhặt vỏ sò.</t>
  </si>
  <si>
    <t>丼</t>
  </si>
  <si>
    <t>どんぶり</t>
  </si>
  <si>
    <t>丼[どんぶり]</t>
  </si>
  <si>
    <t>bát cơm</t>
  </si>
  <si>
    <t>牛丼を食べる。</t>
  </si>
  <si>
    <t>Ăn cơm bò.</t>
  </si>
  <si>
    <t>盗む</t>
  </si>
  <si>
    <t>ぬすむ</t>
  </si>
  <si>
    <t>盗[ぬす]む</t>
  </si>
  <si>
    <t>trộm</t>
  </si>
  <si>
    <t>お金を盗む。</t>
  </si>
  <si>
    <t>Trộm tiền.</t>
  </si>
  <si>
    <t>咳</t>
  </si>
  <si>
    <t>咳[せき]</t>
  </si>
  <si>
    <t>ho</t>
  </si>
  <si>
    <t>咳が出る。</t>
  </si>
  <si>
    <t>Bị ho.</t>
  </si>
  <si>
    <t>異</t>
  </si>
  <si>
    <t>異[い]</t>
  </si>
  <si>
    <t>異を唱える。</t>
  </si>
  <si>
    <t>Phản đối.</t>
  </si>
  <si>
    <t>ラケット</t>
  </si>
  <si>
    <t>らけっと</t>
  </si>
  <si>
    <t>vợt</t>
  </si>
  <si>
    <t>ラケットを振る。</t>
  </si>
  <si>
    <t>Vung vợt.</t>
  </si>
  <si>
    <t>ろうそく</t>
  </si>
  <si>
    <t>nến</t>
  </si>
  <si>
    <t>ろうそくに火をともす。</t>
  </si>
  <si>
    <t>Thắp nến.</t>
  </si>
  <si>
    <t>乾電池</t>
  </si>
  <si>
    <t>かんでんち</t>
  </si>
  <si>
    <t>乾電池[かんでんち]</t>
  </si>
  <si>
    <t>乾電池を換える。</t>
  </si>
  <si>
    <t>這う</t>
  </si>
  <si>
    <t>はう</t>
  </si>
  <si>
    <t>這[は]う</t>
  </si>
  <si>
    <t>赤ちゃんが這う。</t>
  </si>
  <si>
    <t>Em bé bò.</t>
  </si>
  <si>
    <t>仲直り</t>
  </si>
  <si>
    <t>なかなおり</t>
  </si>
  <si>
    <t>仲直[なかなお]り</t>
  </si>
  <si>
    <t>làm hòa</t>
  </si>
  <si>
    <t>仲直りする。</t>
  </si>
  <si>
    <t>Làm hòa.</t>
  </si>
  <si>
    <t>燃やす</t>
  </si>
  <si>
    <t>もやす</t>
  </si>
  <si>
    <t>燃[も]やす</t>
  </si>
  <si>
    <t>đốt</t>
  </si>
  <si>
    <t>ゴミを燃やす。</t>
  </si>
  <si>
    <t>Đốt rác.</t>
  </si>
  <si>
    <t>皿</t>
  </si>
  <si>
    <t>さら</t>
  </si>
  <si>
    <t>皿[さら]</t>
  </si>
  <si>
    <t>皿を洗う。</t>
  </si>
  <si>
    <t>ちぎる</t>
  </si>
  <si>
    <t>紙をちぎる。</t>
  </si>
  <si>
    <t>サンダル</t>
  </si>
  <si>
    <t>さんだる</t>
  </si>
  <si>
    <t>dép quai hậu</t>
  </si>
  <si>
    <t>サンダルを履く。</t>
  </si>
  <si>
    <t>Đi dép.</t>
  </si>
  <si>
    <t>迷子</t>
  </si>
  <si>
    <t>まいご</t>
  </si>
  <si>
    <t>迷子[まいご]</t>
  </si>
  <si>
    <t>trẻ lạc</t>
  </si>
  <si>
    <t>迷子になる。</t>
  </si>
  <si>
    <t>Bị lạc.</t>
  </si>
  <si>
    <t>皮</t>
  </si>
  <si>
    <t>皮[かわ]</t>
  </si>
  <si>
    <t>リンゴの皮。</t>
  </si>
  <si>
    <t>Vỏ táo.</t>
  </si>
  <si>
    <t>ペンキ</t>
  </si>
  <si>
    <t>ぺんき</t>
  </si>
  <si>
    <t>sơn</t>
  </si>
  <si>
    <t>ペンキを塗る。</t>
  </si>
  <si>
    <t>Sơn.</t>
  </si>
  <si>
    <t>統制</t>
  </si>
  <si>
    <t>とうせい</t>
  </si>
  <si>
    <t>統制[とうせい]</t>
  </si>
  <si>
    <t>物価を統制する。</t>
  </si>
  <si>
    <t>Kiểm soát giá cả.</t>
  </si>
  <si>
    <t>興業</t>
  </si>
  <si>
    <t>興業[こうぎょう]</t>
  </si>
  <si>
    <t>công nghiệp giải trí</t>
  </si>
  <si>
    <t>映画興業を行う。</t>
  </si>
  <si>
    <t>Tổ chức công nghiệp điện ảnh.</t>
  </si>
  <si>
    <t>甲</t>
  </si>
  <si>
    <t>甲[こう]</t>
  </si>
  <si>
    <t>giáp</t>
  </si>
  <si>
    <t>甲乙をつけがたい。</t>
  </si>
  <si>
    <t>Khó mà phân biệt được hơn kém.</t>
  </si>
  <si>
    <t>一変</t>
  </si>
  <si>
    <t>いっぺん</t>
  </si>
  <si>
    <t>一変[いっぺん]</t>
  </si>
  <si>
    <t>thay đổi hoàn toàn</t>
  </si>
  <si>
    <t>態度が一変する。</t>
  </si>
  <si>
    <t>Thái độ thay đổi hoàn toàn.</t>
  </si>
  <si>
    <t>模索</t>
  </si>
  <si>
    <t>もさく</t>
  </si>
  <si>
    <t>模索[もさく]</t>
  </si>
  <si>
    <t>解決策を模索する。</t>
  </si>
  <si>
    <t>Tìm kiếm giải pháp.</t>
  </si>
  <si>
    <t>用件</t>
  </si>
  <si>
    <t>ようけん</t>
  </si>
  <si>
    <t>用件[ようけん]</t>
  </si>
  <si>
    <t>nội dung công việc</t>
  </si>
  <si>
    <t>用件を伝える。</t>
  </si>
  <si>
    <t>Truyền đạt nội dung công việc.</t>
  </si>
  <si>
    <t>耳鼻科</t>
  </si>
  <si>
    <t>じびか</t>
  </si>
  <si>
    <t>耳鼻科[じびか]</t>
  </si>
  <si>
    <t>khoa tai mũi họng</t>
  </si>
  <si>
    <t>耳鼻科を受診する。</t>
  </si>
  <si>
    <t>Đi khám khoa tai mũi họng.</t>
  </si>
  <si>
    <t>英字</t>
  </si>
  <si>
    <t>えいじ</t>
  </si>
  <si>
    <t>英字[えいじ]</t>
  </si>
  <si>
    <t>chữ cái tiếng anh</t>
  </si>
  <si>
    <t>英字新聞を読む。</t>
  </si>
  <si>
    <t>Đọc báo tiếng Anh.</t>
  </si>
  <si>
    <t>こじれる</t>
  </si>
  <si>
    <t>trở nên phức tạp</t>
  </si>
  <si>
    <t>話がこじれる。</t>
  </si>
  <si>
    <t>Câu chuyện trở nên phức tạp.</t>
  </si>
  <si>
    <t>議事堂</t>
  </si>
  <si>
    <t>ぎじどう</t>
  </si>
  <si>
    <t>議事堂[ぎじどう]</t>
  </si>
  <si>
    <t>tòa nhà quốc hội</t>
  </si>
  <si>
    <t>議事堂を見学する。</t>
  </si>
  <si>
    <t>Tham quan tòa nhà quốc hội.</t>
  </si>
  <si>
    <t>身の回り</t>
  </si>
  <si>
    <t>みのまわり</t>
  </si>
  <si>
    <t>身[み]の回[まわ]り</t>
  </si>
  <si>
    <t>vật dụng cá nhân</t>
  </si>
  <si>
    <t>身の回りを片付ける。</t>
  </si>
  <si>
    <t>Dọn dẹp vật dụng cá nhân.</t>
  </si>
  <si>
    <t>使用人</t>
  </si>
  <si>
    <t>しようにん</t>
  </si>
  <si>
    <t>使用人[しようにん]</t>
  </si>
  <si>
    <t>người giúp việc</t>
  </si>
  <si>
    <t>使用人を雇う。</t>
  </si>
  <si>
    <t>Thuê người giúp việc.</t>
  </si>
  <si>
    <t>兼業</t>
  </si>
  <si>
    <t>けんぎょう</t>
  </si>
  <si>
    <t>兼業[けんぎょう]</t>
  </si>
  <si>
    <t>nghề kiêm nhiệm</t>
  </si>
  <si>
    <t>農家を兼業する。</t>
  </si>
  <si>
    <t>Kiêm nhiệm công việc làm nông.</t>
  </si>
  <si>
    <t>吊り革</t>
  </si>
  <si>
    <t>つりかわ</t>
  </si>
  <si>
    <t>吊[つ]り革[かわ]</t>
  </si>
  <si>
    <t>tay cầm trên xe</t>
  </si>
  <si>
    <t>電車で吊り革を持つ。</t>
  </si>
  <si>
    <t>Cầm tay cầm trên tàu điện.</t>
  </si>
  <si>
    <t>失調</t>
  </si>
  <si>
    <t>しっちょう</t>
  </si>
  <si>
    <t>失調[しっちょう]</t>
  </si>
  <si>
    <t>sự mất điều hòa</t>
  </si>
  <si>
    <t>健康の失調。</t>
  </si>
  <si>
    <t>Sự mất điều hòa sức khỏe.</t>
  </si>
  <si>
    <t>無茶苦茶</t>
  </si>
  <si>
    <t>むちゃくちゃ</t>
  </si>
  <si>
    <t>無茶苦茶[むちゃくちゃ]</t>
  </si>
  <si>
    <t>bừa bãi</t>
  </si>
  <si>
    <t>部屋が無茶苦茶だ。</t>
  </si>
  <si>
    <t>Căn phòng thật bừa bãi.</t>
  </si>
  <si>
    <t>終始</t>
  </si>
  <si>
    <t>終始[しゅうし]</t>
  </si>
  <si>
    <t>từ đầu đến cuối</t>
  </si>
  <si>
    <t>終始笑顔でいる。</t>
  </si>
  <si>
    <t>Luôn mỉm cười từ đầu đến cuối.</t>
  </si>
  <si>
    <t>警部</t>
  </si>
  <si>
    <t>けいぶ</t>
  </si>
  <si>
    <t>警部[けいぶ]</t>
  </si>
  <si>
    <t>cảnh sát trưởng</t>
  </si>
  <si>
    <t>警部と話す。</t>
  </si>
  <si>
    <t>Nói chuyện với cảnh sát trưởng.</t>
  </si>
  <si>
    <t>全盛</t>
  </si>
  <si>
    <t>ぜんせい</t>
  </si>
  <si>
    <t>全盛[ぜんせい]</t>
  </si>
  <si>
    <t>thời cực thịnh</t>
  </si>
  <si>
    <t>経済の全盛期。</t>
  </si>
  <si>
    <t>Thời kỳ cực thịnh của kinh tế.</t>
  </si>
  <si>
    <t>好況</t>
  </si>
  <si>
    <t>好況[こうきょう]</t>
  </si>
  <si>
    <t>sự thịnh vượng</t>
  </si>
  <si>
    <t>経済の好況。</t>
  </si>
  <si>
    <t>Sự thịnh vượng kinh tế.</t>
  </si>
  <si>
    <t>歪む</t>
  </si>
  <si>
    <t>ゆがむ</t>
  </si>
  <si>
    <t>歪[ゆが]む</t>
  </si>
  <si>
    <t>bị méo</t>
  </si>
  <si>
    <t>眼鏡が歪む。</t>
  </si>
  <si>
    <t>Cái kính bị méo.</t>
  </si>
  <si>
    <t>行進</t>
  </si>
  <si>
    <t>こうしん</t>
  </si>
  <si>
    <t>行進[こうしん]</t>
  </si>
  <si>
    <t>cuộc diễu hành</t>
  </si>
  <si>
    <t>行進を始める。</t>
  </si>
  <si>
    <t>Bắt đầu cuộc diễu hành.</t>
  </si>
  <si>
    <t>購読</t>
  </si>
  <si>
    <t>こうどく</t>
  </si>
  <si>
    <t>購読[こうどく]</t>
  </si>
  <si>
    <t>sự đặt mua báo</t>
  </si>
  <si>
    <t>新聞を購読する。</t>
  </si>
  <si>
    <t>Đặt mua báo.</t>
  </si>
  <si>
    <t>お供</t>
  </si>
  <si>
    <t>おとも</t>
  </si>
  <si>
    <t>お供[とも]</t>
  </si>
  <si>
    <t>người đi cùng</t>
  </si>
  <si>
    <t>お供をする。</t>
  </si>
  <si>
    <t>Đi cùng với người khác.</t>
  </si>
  <si>
    <t>召す</t>
  </si>
  <si>
    <t>召[め]す</t>
  </si>
  <si>
    <t>お茶を召す。</t>
  </si>
  <si>
    <t>Ăn trà.</t>
  </si>
  <si>
    <t>夜更し</t>
  </si>
  <si>
    <t>よふかし</t>
  </si>
  <si>
    <t>夜更[よふか]し</t>
  </si>
  <si>
    <t>sự thức khuya</t>
  </si>
  <si>
    <t>夜更しをする。</t>
  </si>
  <si>
    <t>Thức khuya.</t>
  </si>
  <si>
    <t>安っぽい</t>
  </si>
  <si>
    <t>やすっぽい</t>
  </si>
  <si>
    <t>安[やす]っぽい</t>
  </si>
  <si>
    <t>trông rẻ tiền</t>
  </si>
  <si>
    <t>安っぽい服。</t>
  </si>
  <si>
    <t>Quần áo trông rẻ tiền.</t>
  </si>
  <si>
    <t>浮気</t>
  </si>
  <si>
    <t>うわき</t>
  </si>
  <si>
    <t>浮気[うわき]</t>
  </si>
  <si>
    <t>sự ngoại tình</t>
  </si>
  <si>
    <t>浮気は許せない。</t>
  </si>
  <si>
    <t>Không thể tha thứ sự ngoại tình.</t>
  </si>
  <si>
    <t>熱意</t>
  </si>
  <si>
    <t>ねつい</t>
  </si>
  <si>
    <t>熱意[ねつい]</t>
  </si>
  <si>
    <t>sự nhiệt tình</t>
  </si>
  <si>
    <t>熱意を持って取り組む。</t>
  </si>
  <si>
    <t>Nỗ lực với sự nhiệt tình.</t>
  </si>
  <si>
    <t>登校</t>
  </si>
  <si>
    <t>とうこう</t>
  </si>
  <si>
    <t>登校[とうこう]</t>
  </si>
  <si>
    <t>sự đến trường</t>
  </si>
  <si>
    <t>毎朝登校する。</t>
  </si>
  <si>
    <t>Mỗi sáng đi đến trường.</t>
  </si>
  <si>
    <t>自尊心</t>
  </si>
  <si>
    <t>じそんしん</t>
  </si>
  <si>
    <t>自尊心[じそんしん]</t>
  </si>
  <si>
    <t>lòng tự trọng</t>
  </si>
  <si>
    <t>自尊心が傷つく。</t>
  </si>
  <si>
    <t>Lòng tự trọng bị tổn thương.</t>
  </si>
  <si>
    <t>製鉄</t>
  </si>
  <si>
    <t>せいてつ</t>
  </si>
  <si>
    <t>製鉄[せいてつ]</t>
  </si>
  <si>
    <t>sản xuất thép</t>
  </si>
  <si>
    <t>製鉄所を見学する。</t>
  </si>
  <si>
    <t>Tham quan nhà máy thép.</t>
  </si>
  <si>
    <t>親善</t>
  </si>
  <si>
    <t>しんぜん</t>
  </si>
  <si>
    <t>親善[しんぜん]</t>
  </si>
  <si>
    <t>tình hữu nghị</t>
  </si>
  <si>
    <t>親善試合を行う。</t>
  </si>
  <si>
    <t>Tổ chức trận đấu giao hữu.</t>
  </si>
  <si>
    <t>誠</t>
  </si>
  <si>
    <t>まこと</t>
  </si>
  <si>
    <t>誠[まこと]</t>
  </si>
  <si>
    <t>sự chân thành</t>
  </si>
  <si>
    <t>誠を尽くす。</t>
  </si>
  <si>
    <t>Dốc lòng chân thành.</t>
  </si>
  <si>
    <t>転居</t>
  </si>
  <si>
    <t>てんきょ</t>
  </si>
  <si>
    <t>転居[てんきょ]</t>
  </si>
  <si>
    <t>sự chuyển nhà</t>
  </si>
  <si>
    <t>住所を転居する。</t>
  </si>
  <si>
    <t>Chuyển nơi ở.</t>
  </si>
  <si>
    <t>軽蔑</t>
  </si>
  <si>
    <t>けいべつ</t>
  </si>
  <si>
    <t>軽蔑[けいべつ]</t>
  </si>
  <si>
    <t>sự coi thường</t>
  </si>
  <si>
    <t>人を軽蔑する。</t>
  </si>
  <si>
    <t>Coi thường người khác.</t>
  </si>
  <si>
    <t>レントゲン</t>
  </si>
  <si>
    <t>れんとげん</t>
  </si>
  <si>
    <t>x-quang</t>
  </si>
  <si>
    <t>レントゲンを撮る。</t>
  </si>
  <si>
    <t>Chụp x-quang.</t>
  </si>
  <si>
    <t>保温</t>
  </si>
  <si>
    <t>ほおん</t>
  </si>
  <si>
    <t>保温[ほおん]</t>
  </si>
  <si>
    <t>sự giữ nhiệt</t>
  </si>
  <si>
    <t>保温機能付きの弁当箱。</t>
  </si>
  <si>
    <t>Hộp cơm có chức năng giữ nhiệt.</t>
  </si>
  <si>
    <t>信任</t>
  </si>
  <si>
    <t>しんにん</t>
  </si>
  <si>
    <t>信任[しんにん]</t>
  </si>
  <si>
    <t>sự tín nhiệm</t>
  </si>
  <si>
    <t>信任を得る投票。</t>
  </si>
  <si>
    <t>Cuộc bỏ phiếu giành sự tín nhiệm.</t>
  </si>
  <si>
    <t>健在</t>
  </si>
  <si>
    <t>けんざい</t>
  </si>
  <si>
    <t>健在[けんざい]</t>
  </si>
  <si>
    <t>sự khỏe mạnh</t>
  </si>
  <si>
    <t>祖父は今も健在だ。</t>
  </si>
  <si>
    <t>Ông tôi hiện vẫn khỏe mạnh.</t>
  </si>
  <si>
    <t>先代</t>
  </si>
  <si>
    <t>せんだい</t>
  </si>
  <si>
    <t>先代[せんだい]</t>
  </si>
  <si>
    <t>thế hệ trước</t>
  </si>
  <si>
    <t>先代の社長の意志。</t>
  </si>
  <si>
    <t>Di nguyện của giám đốc thế hệ trước.</t>
  </si>
  <si>
    <t>公団</t>
  </si>
  <si>
    <t>こうだん</t>
  </si>
  <si>
    <t>公団[こうだん]</t>
  </si>
  <si>
    <t>tổng công ty</t>
  </si>
  <si>
    <t>住宅公団の建物。</t>
  </si>
  <si>
    <t>Tòa nhà của tổng công ty nhà ở.</t>
  </si>
  <si>
    <t>化繊</t>
  </si>
  <si>
    <t>化繊[かせん]</t>
  </si>
  <si>
    <t>sợi tổng hợp</t>
  </si>
  <si>
    <t>化繊の服を着る。</t>
  </si>
  <si>
    <t>Mặc quần áo sợi tổng hợp.</t>
  </si>
  <si>
    <t>厳か</t>
  </si>
  <si>
    <t>おごそか</t>
  </si>
  <si>
    <t>厳[おごそ]か</t>
  </si>
  <si>
    <t>trang nghiêm</t>
  </si>
  <si>
    <t>厳かな式典。</t>
  </si>
  <si>
    <t>Buổi lễ trang nghiêm.</t>
  </si>
  <si>
    <t>口述</t>
  </si>
  <si>
    <t>こうじゅつ</t>
  </si>
  <si>
    <t>口述[こうじゅつ]</t>
  </si>
  <si>
    <t>sự thuật lại</t>
  </si>
  <si>
    <t>試験の口述。</t>
  </si>
  <si>
    <t>Sự thuật lại trong thi.</t>
  </si>
  <si>
    <t>吹奏</t>
  </si>
  <si>
    <t>すいそう</t>
  </si>
  <si>
    <t>吹奏[すいそう]</t>
  </si>
  <si>
    <t>sự thổi nhạc</t>
  </si>
  <si>
    <t>吹奏の音楽を聴く。</t>
  </si>
  <si>
    <t>Nghe nhạc hòa tấu.</t>
  </si>
  <si>
    <t>回送</t>
  </si>
  <si>
    <t>回送[かいそう]</t>
  </si>
  <si>
    <t>sự chuyển xe</t>
  </si>
  <si>
    <t>回送の電車。</t>
  </si>
  <si>
    <t>Tàu điện đang chuyển bến.</t>
  </si>
  <si>
    <t>安静</t>
  </si>
  <si>
    <t>あんせい</t>
  </si>
  <si>
    <t>安静[あんせい]</t>
  </si>
  <si>
    <t>sự nghỉ ngơi</t>
  </si>
  <si>
    <t>安静にする。</t>
  </si>
  <si>
    <t>Nghỉ ngơi tĩnh dưỡng.</t>
  </si>
  <si>
    <t>束縛</t>
  </si>
  <si>
    <t>そくばく</t>
  </si>
  <si>
    <t>束縛[そくばく]</t>
  </si>
  <si>
    <t>sự trói buộc</t>
  </si>
  <si>
    <t>束縛から解放される。</t>
  </si>
  <si>
    <t>Tôi được giải phóng khỏi sự trói buộc.</t>
  </si>
  <si>
    <t>解剖</t>
  </si>
  <si>
    <t>かいぼう</t>
  </si>
  <si>
    <t>解剖[かいぼう]</t>
  </si>
  <si>
    <t>sự giải phẫu</t>
  </si>
  <si>
    <t>遺体を解剖する。</t>
  </si>
  <si>
    <t>Giải phẫu thi thể.</t>
  </si>
  <si>
    <t>誇張</t>
  </si>
  <si>
    <t>こちょう</t>
  </si>
  <si>
    <t>誇張[こちょう]</t>
  </si>
  <si>
    <t>sự phóng đại</t>
  </si>
  <si>
    <t>話を誇張する。</t>
  </si>
  <si>
    <t>Phóng đại câu chuyện.</t>
  </si>
  <si>
    <t>赴任</t>
  </si>
  <si>
    <t>ふにん</t>
  </si>
  <si>
    <t>赴任[ふにん]</t>
  </si>
  <si>
    <t>sự nhậm chức</t>
  </si>
  <si>
    <t>東京へ赴任する。</t>
  </si>
  <si>
    <t>Đi nhận chức tại Tokyo.</t>
  </si>
  <si>
    <t>退化</t>
  </si>
  <si>
    <t>たいか</t>
  </si>
  <si>
    <t>退化[たいか]</t>
  </si>
  <si>
    <t>sự thoái hóa</t>
  </si>
  <si>
    <t>機能が退化する。</t>
  </si>
  <si>
    <t>Chức năng bị thoái hóa.</t>
  </si>
  <si>
    <t>陳列</t>
  </si>
  <si>
    <t>ちんれつ</t>
  </si>
  <si>
    <t>陳列[ちんれつ]</t>
  </si>
  <si>
    <t>商品を陳列する。</t>
  </si>
  <si>
    <t>Trưng bày sản phẩm.</t>
  </si>
  <si>
    <t>とがめる</t>
  </si>
  <si>
    <t>khiển trách</t>
  </si>
  <si>
    <t>子供の過ちをとがめる。</t>
  </si>
  <si>
    <t>Khiển trách lỗi lầm của đứa trẻ.</t>
  </si>
  <si>
    <t>ネガ</t>
  </si>
  <si>
    <t>ねが</t>
  </si>
  <si>
    <t>phim âm bản</t>
  </si>
  <si>
    <t>ネガを現像する。</t>
  </si>
  <si>
    <t>Tráng phim âm bản.</t>
  </si>
  <si>
    <t>他動詞</t>
  </si>
  <si>
    <t>たどうし</t>
  </si>
  <si>
    <t>他動詞[たどうし]</t>
  </si>
  <si>
    <t>ngoại động từ</t>
  </si>
  <si>
    <t>他動詞を学ぶ。</t>
  </si>
  <si>
    <t>Học về ngoại động từ.</t>
  </si>
  <si>
    <t>善良</t>
  </si>
  <si>
    <t>ぜんりょう</t>
  </si>
  <si>
    <t>善良[ぜんりょう]</t>
  </si>
  <si>
    <t>lương thiện</t>
  </si>
  <si>
    <t>善良な市民。</t>
  </si>
  <si>
    <t>Người dân lương thiện.</t>
  </si>
  <si>
    <t>嗜好</t>
  </si>
  <si>
    <t>嗜好[しこう]</t>
  </si>
  <si>
    <t>sự ưa thích</t>
  </si>
  <si>
    <t>個人の嗜好による。</t>
  </si>
  <si>
    <t>Tùy theo sở thích cá nhân.</t>
  </si>
  <si>
    <t>変遷</t>
  </si>
  <si>
    <t>へんせん</t>
  </si>
  <si>
    <t>変遷[へんせん]</t>
  </si>
  <si>
    <t>sự biến đổi</t>
  </si>
  <si>
    <t>時代の変遷。</t>
  </si>
  <si>
    <t>Sự biến đổi của thời đại.</t>
  </si>
  <si>
    <t>失脚</t>
  </si>
  <si>
    <t>しっきゃく</t>
  </si>
  <si>
    <t>失脚[しっきゃく]</t>
  </si>
  <si>
    <t>sự mất chức</t>
  </si>
  <si>
    <t>大臣が失脚する。</t>
  </si>
  <si>
    <t>Bộ trưởng bị mất chức.</t>
  </si>
  <si>
    <t>漢語</t>
  </si>
  <si>
    <t>漢語[かんご]</t>
  </si>
  <si>
    <t>từ hán nhật</t>
  </si>
  <si>
    <t>漢語を覚える。</t>
  </si>
  <si>
    <t>Học từ Hán Nhật.</t>
  </si>
  <si>
    <t>燃焼</t>
  </si>
  <si>
    <t>ねんしょう</t>
  </si>
  <si>
    <t>燃焼[ねんしょう]</t>
  </si>
  <si>
    <t>sự đốt cháy</t>
  </si>
  <si>
    <t>ガスを燃焼させる。</t>
  </si>
  <si>
    <t>Đốt cháy ga.</t>
  </si>
  <si>
    <t>申出</t>
  </si>
  <si>
    <t>もうしで</t>
  </si>
  <si>
    <t>申出[もうしで]</t>
  </si>
  <si>
    <t>đơn đề nghị</t>
  </si>
  <si>
    <t>申出書を提出する。</t>
  </si>
  <si>
    <t>Nộp đơn đề nghị.</t>
  </si>
  <si>
    <t>短縮</t>
  </si>
  <si>
    <t>たんしゅく</t>
  </si>
  <si>
    <t>短縮[たんしゅく]</t>
  </si>
  <si>
    <t>sự rút ngắn</t>
  </si>
  <si>
    <t>時間を短縮する。</t>
  </si>
  <si>
    <t>Rút ngắn thời gian.</t>
  </si>
  <si>
    <t>神秘</t>
  </si>
  <si>
    <t>しんぴ</t>
  </si>
  <si>
    <t>神秘[しんぴ]</t>
  </si>
  <si>
    <t>sự huyền bí</t>
  </si>
  <si>
    <t>神秘的な出来事。</t>
  </si>
  <si>
    <t>Sự việc huyền bí.</t>
  </si>
  <si>
    <t>移民</t>
  </si>
  <si>
    <t>いみん</t>
  </si>
  <si>
    <t>移民[いみん]</t>
  </si>
  <si>
    <t>người di cư</t>
  </si>
  <si>
    <t>移民を受け入れる。</t>
  </si>
  <si>
    <t>Tiếp nhận người di cư.</t>
  </si>
  <si>
    <t>行き違い</t>
  </si>
  <si>
    <t>いきちがい</t>
  </si>
  <si>
    <t>行[い]き違[ちが]い</t>
  </si>
  <si>
    <t>sự hiểu lầm</t>
  </si>
  <si>
    <t>行き違いになる。</t>
  </si>
  <si>
    <t>Bị lỡ chuyến hoặc hiểu lầm.</t>
  </si>
  <si>
    <t>起伏</t>
  </si>
  <si>
    <t>きふく</t>
  </si>
  <si>
    <t>起伏[きふく]</t>
  </si>
  <si>
    <t>sự nhấp nhô</t>
  </si>
  <si>
    <t>地形の起伏。</t>
  </si>
  <si>
    <t>Sự nhấp nhô của địa hình.</t>
  </si>
  <si>
    <t>転回</t>
  </si>
  <si>
    <t>転回[てんかい]</t>
  </si>
  <si>
    <t>sự quay đầu</t>
  </si>
  <si>
    <t>車を転回する。</t>
  </si>
  <si>
    <t>Quay đầu xe.</t>
  </si>
  <si>
    <t>退治</t>
  </si>
  <si>
    <t>たいじ</t>
  </si>
  <si>
    <t>退治[たいじ]</t>
  </si>
  <si>
    <t>sự diệt trừ</t>
  </si>
  <si>
    <t>害虫を退治する。</t>
  </si>
  <si>
    <t>Diệt trừ côn trùng.</t>
  </si>
  <si>
    <t>配給</t>
  </si>
  <si>
    <t>はいきゅう</t>
  </si>
  <si>
    <t>配給[はいきゅう]</t>
  </si>
  <si>
    <t>食料を配給する。</t>
  </si>
  <si>
    <t>Phân phát lương thực.</t>
  </si>
  <si>
    <t>風車</t>
  </si>
  <si>
    <t>ふうしゃ</t>
  </si>
  <si>
    <t>風車[ふうしゃ]</t>
  </si>
  <si>
    <t>cối xay gió</t>
  </si>
  <si>
    <t>風車が回る。</t>
  </si>
  <si>
    <t>Cối xay gió quay.</t>
  </si>
  <si>
    <t>エレガント</t>
  </si>
  <si>
    <t>えれがんと</t>
  </si>
  <si>
    <t>エレガントなドレスを着る。</t>
  </si>
  <si>
    <t>Mặc chiếc váy thanh lịch.</t>
  </si>
  <si>
    <t>シック</t>
  </si>
  <si>
    <t>しっく</t>
  </si>
  <si>
    <t>シックな色の服。</t>
  </si>
  <si>
    <t>Trang phục có màu sắc sang trọng.</t>
  </si>
  <si>
    <t>一筋</t>
  </si>
  <si>
    <t>ひとすじ</t>
  </si>
  <si>
    <t>一筋[ひとすじ]</t>
  </si>
  <si>
    <t>研究に一筋だ。</t>
  </si>
  <si>
    <t>Chuyên tâm vào nghiên cứu.</t>
  </si>
  <si>
    <t>不服</t>
  </si>
  <si>
    <t>ふふく</t>
  </si>
  <si>
    <t>不服[ふふく]</t>
  </si>
  <si>
    <t>không phục</t>
  </si>
  <si>
    <t>結果に不服だ。</t>
  </si>
  <si>
    <t>Không phục kết quả.</t>
  </si>
  <si>
    <t>人影</t>
  </si>
  <si>
    <t>ひとかげ</t>
  </si>
  <si>
    <t>人影[ひとかげ]</t>
  </si>
  <si>
    <t>bóng người</t>
  </si>
  <si>
    <t>人影が見える。</t>
  </si>
  <si>
    <t>Có thể nhìn thấy bóng người.</t>
  </si>
  <si>
    <t>仏像</t>
  </si>
  <si>
    <t>ぶつぞう</t>
  </si>
  <si>
    <t>仏像[ぶつぞう]</t>
  </si>
  <si>
    <t>tượng phật</t>
  </si>
  <si>
    <t>仏像を彫る。</t>
  </si>
  <si>
    <t>Điêu khắc tượng Phật.</t>
  </si>
  <si>
    <t>修学</t>
  </si>
  <si>
    <t>しゅうがく</t>
  </si>
  <si>
    <t>修学[しゅうがく]</t>
  </si>
  <si>
    <t>sự học tập</t>
  </si>
  <si>
    <t>修学旅行の計画。</t>
  </si>
  <si>
    <t>Kế hoạch cho chuyến tham quan học tập.</t>
  </si>
  <si>
    <t>出直し</t>
  </si>
  <si>
    <t>でなおし</t>
  </si>
  <si>
    <t>出直[でなお]し</t>
  </si>
  <si>
    <t>sự làm lại</t>
  </si>
  <si>
    <t>一度出直しをする。</t>
  </si>
  <si>
    <t>Làm lại một lần nữa.</t>
  </si>
  <si>
    <t>初版</t>
  </si>
  <si>
    <t>しょはん</t>
  </si>
  <si>
    <t>初版[しょはん]</t>
  </si>
  <si>
    <t>ấn bản đầu</t>
  </si>
  <si>
    <t>本が初版で売れる。</t>
  </si>
  <si>
    <t>Sách bán được ở ấn bản đầu.</t>
  </si>
  <si>
    <t>原典</t>
  </si>
  <si>
    <t>原典[げんてん]</t>
  </si>
  <si>
    <t>原典を調査する。</t>
  </si>
  <si>
    <t>Điều tra nguyên bản.</t>
  </si>
  <si>
    <t>呆気ない</t>
  </si>
  <si>
    <t>あっけない</t>
  </si>
  <si>
    <t>呆気[あっけ]ない</t>
  </si>
  <si>
    <t>chóng vánh</t>
  </si>
  <si>
    <t>呆気ない試合。</t>
  </si>
  <si>
    <t>Trận đấu chóng vánh.</t>
  </si>
  <si>
    <t>和文</t>
  </si>
  <si>
    <t>わぶん</t>
  </si>
  <si>
    <t>和文[わぶん]</t>
  </si>
  <si>
    <t>tiếng nhật</t>
  </si>
  <si>
    <t>和文を英文に訳す。</t>
  </si>
  <si>
    <t>Dịch tiếng Nhật sang tiếng Anh.</t>
  </si>
  <si>
    <t>嫌々</t>
  </si>
  <si>
    <t>いやいや</t>
  </si>
  <si>
    <t>嫌々[いやいや]</t>
  </si>
  <si>
    <t>miễn cưỡng</t>
  </si>
  <si>
    <t>嫌々仕事をする。</t>
  </si>
  <si>
    <t>Làm việc một cách miễn cưỡng.</t>
  </si>
  <si>
    <t>孤児</t>
  </si>
  <si>
    <t>こじ</t>
  </si>
  <si>
    <t>孤児[こじ]</t>
  </si>
  <si>
    <t>trẻ mồ côi</t>
  </si>
  <si>
    <t>孤児を保護する。</t>
  </si>
  <si>
    <t>Bảo vệ trẻ mồ côi.</t>
  </si>
  <si>
    <t>染まる</t>
  </si>
  <si>
    <t>そまる</t>
  </si>
  <si>
    <t>染[そ]まる</t>
  </si>
  <si>
    <t>được nhuộm</t>
  </si>
  <si>
    <t>夕焼けで空が染まる。</t>
  </si>
  <si>
    <t>Bầu trời nhuộm sắc đỏ rực rỡ buổi chiều tà.</t>
  </si>
  <si>
    <t>相応</t>
  </si>
  <si>
    <t>そうおう</t>
  </si>
  <si>
    <t>相応[そうおう]</t>
  </si>
  <si>
    <t>tương xứng</t>
  </si>
  <si>
    <t>相応の報酬を得る。</t>
  </si>
  <si>
    <t>Nhận khoản thù lao tương xứng.</t>
  </si>
  <si>
    <t>着陸</t>
  </si>
  <si>
    <t>ちゃくりく</t>
  </si>
  <si>
    <t>着陸[ちゃくりく]</t>
  </si>
  <si>
    <t>sự hạ cánh</t>
  </si>
  <si>
    <t>飛行機が着陸する。</t>
  </si>
  <si>
    <t>Máy bay hạ cánh.</t>
  </si>
  <si>
    <t>統治</t>
  </si>
  <si>
    <t>とうち</t>
  </si>
  <si>
    <t>統治[とうち]</t>
  </si>
  <si>
    <t>sự cai trị</t>
  </si>
  <si>
    <t>国を統治する。</t>
  </si>
  <si>
    <t>脱退</t>
  </si>
  <si>
    <t>だったい</t>
  </si>
  <si>
    <t>脱退[だったい]</t>
  </si>
  <si>
    <t>sự rút lui</t>
  </si>
  <si>
    <t>組合から脱退する。</t>
  </si>
  <si>
    <t>Rút lui khỏi nghiệp đoàn.</t>
  </si>
  <si>
    <t>見合い</t>
  </si>
  <si>
    <t>みあい</t>
  </si>
  <si>
    <t>見合[みあ]い</t>
  </si>
  <si>
    <t>sự mai mối</t>
  </si>
  <si>
    <t>見合い結婚。</t>
  </si>
  <si>
    <t>Hôn nhân mai mối.</t>
  </si>
  <si>
    <t>軽快</t>
  </si>
  <si>
    <t>軽快[けいかい]</t>
  </si>
  <si>
    <t>nhịp nhàng</t>
  </si>
  <si>
    <t>軽快な動き。</t>
  </si>
  <si>
    <t>Chuyển động nhịp nhàng.</t>
  </si>
  <si>
    <t>迫害</t>
  </si>
  <si>
    <t>はくがい</t>
  </si>
  <si>
    <t>迫害[はくがい]</t>
  </si>
  <si>
    <t>sự bức hại</t>
  </si>
  <si>
    <t>民族を迫害する。</t>
  </si>
  <si>
    <t>Bức hại dân tộc.</t>
  </si>
  <si>
    <t>遠回り</t>
  </si>
  <si>
    <t>とおまわり</t>
  </si>
  <si>
    <t>遠回[とおまわ]り</t>
  </si>
  <si>
    <t>sự đi vòng</t>
  </si>
  <si>
    <t>駅まで遠回りする。</t>
  </si>
  <si>
    <t>Đi đường vòng đến ga.</t>
  </si>
  <si>
    <t>ずらっと</t>
  </si>
  <si>
    <t>本がずらっと並ぶ。</t>
  </si>
  <si>
    <t>Sách được xếp hàng loạt.</t>
  </si>
  <si>
    <t>デッサン</t>
  </si>
  <si>
    <t>でっさん</t>
  </si>
  <si>
    <t>phác thảo</t>
  </si>
  <si>
    <t>デッサンを練習する。</t>
  </si>
  <si>
    <t>Luyện tập phác thảo.</t>
  </si>
  <si>
    <t>主食</t>
  </si>
  <si>
    <t>しゅしょく</t>
  </si>
  <si>
    <t>主食[しゅしょく]</t>
  </si>
  <si>
    <t>món chính</t>
  </si>
  <si>
    <t>米を主食にする。</t>
  </si>
  <si>
    <t>Lấy gạo làm món chính.</t>
  </si>
  <si>
    <t>先着</t>
  </si>
  <si>
    <t>せんちゃく</t>
  </si>
  <si>
    <t>先着[せんちゃく]</t>
  </si>
  <si>
    <t>đến trước</t>
  </si>
  <si>
    <t>先着順で配る。</t>
  </si>
  <si>
    <t>Phát theo thứ tự đến trước.</t>
  </si>
  <si>
    <t>公然</t>
  </si>
  <si>
    <t>こうぜん</t>
  </si>
  <si>
    <t>公然[こうぜん]</t>
  </si>
  <si>
    <t>công khai</t>
  </si>
  <si>
    <t>公然と秘密を話す。</t>
  </si>
  <si>
    <t>Nói bí mật một cách công khai.</t>
  </si>
  <si>
    <t>内乱</t>
  </si>
  <si>
    <t>ないらん</t>
  </si>
  <si>
    <t>内乱[ないらん]</t>
  </si>
  <si>
    <t>nội chiến</t>
  </si>
  <si>
    <t>国で内乱が起きる。</t>
  </si>
  <si>
    <t>Nội chiến xảy ra trong nước.</t>
  </si>
  <si>
    <t>前途</t>
  </si>
  <si>
    <t>ぜんと</t>
  </si>
  <si>
    <t>前途[ぜんと]</t>
  </si>
  <si>
    <t>前途有望な若者。</t>
  </si>
  <si>
    <t>Người trẻ tuổi có tương lai hứa hẹn.</t>
  </si>
  <si>
    <t>名高い</t>
  </si>
  <si>
    <t>なだかい</t>
  </si>
  <si>
    <t>名高[なだか]い</t>
  </si>
  <si>
    <t>名高い観光地。</t>
  </si>
  <si>
    <t>Địa điểm du lịch nổi tiếng.</t>
  </si>
  <si>
    <t>国定</t>
  </si>
  <si>
    <t>こくてい</t>
  </si>
  <si>
    <t>国定[こくてい]</t>
  </si>
  <si>
    <t>quốc định</t>
  </si>
  <si>
    <t>国定の教科書。</t>
  </si>
  <si>
    <t>Sách giáo khoa quốc định.</t>
  </si>
  <si>
    <t>夜更け</t>
  </si>
  <si>
    <t>よふけ</t>
  </si>
  <si>
    <t>夜更[よふ]け</t>
  </si>
  <si>
    <t>đêm khuya</t>
  </si>
  <si>
    <t>夜更けまで働く。</t>
  </si>
  <si>
    <t>Làm việc đến đêm khuya.</t>
  </si>
  <si>
    <t>天災</t>
  </si>
  <si>
    <t>天災[てんさい]</t>
  </si>
  <si>
    <t>thiên tai</t>
  </si>
  <si>
    <t>天災に備える。</t>
  </si>
  <si>
    <t>Chuẩn bị cho thiên tai.</t>
  </si>
  <si>
    <t>栄える</t>
  </si>
  <si>
    <t>さかえる</t>
  </si>
  <si>
    <t>栄[さか]える</t>
  </si>
  <si>
    <t>phồn vinh</t>
  </si>
  <si>
    <t>この町は商業で栄える。</t>
  </si>
  <si>
    <t>Thị trấn này phồn vinh nhờ thương mại.</t>
  </si>
  <si>
    <t>植民地</t>
  </si>
  <si>
    <t>しょくみんち</t>
  </si>
  <si>
    <t>植民地[しょくみんち]</t>
  </si>
  <si>
    <t>thuộc địa</t>
  </si>
  <si>
    <t>植民地から独立する。</t>
  </si>
  <si>
    <t>Độc lập khỏi thuộc địa.</t>
  </si>
  <si>
    <t>母校</t>
  </si>
  <si>
    <t>ぼこう</t>
  </si>
  <si>
    <t>母校[ぼこう]</t>
  </si>
  <si>
    <t>trường cũ</t>
  </si>
  <si>
    <t>母校を訪れる。</t>
  </si>
  <si>
    <t>Ghé thăm trường cũ.</t>
  </si>
  <si>
    <t>水田</t>
  </si>
  <si>
    <t>すいでん</t>
  </si>
  <si>
    <t>水田[すいでん]</t>
  </si>
  <si>
    <t>ruộng lúa</t>
  </si>
  <si>
    <t>広い水田が広がる。</t>
  </si>
  <si>
    <t>Ruộng lúa rộng lớn trải dài.</t>
  </si>
  <si>
    <t>液</t>
  </si>
  <si>
    <t>液[えき]</t>
  </si>
  <si>
    <t>dung dịch</t>
  </si>
  <si>
    <t>液を容器に移す。</t>
  </si>
  <si>
    <t>Chuyển dung dịch sang vật chứa.</t>
  </si>
  <si>
    <t>滅びる</t>
  </si>
  <si>
    <t>ほろびる</t>
  </si>
  <si>
    <t>滅[ほろ]びる</t>
  </si>
  <si>
    <t>diệt vong</t>
  </si>
  <si>
    <t>国が滅びる。</t>
  </si>
  <si>
    <t>Đất nước diệt vong.</t>
  </si>
  <si>
    <t>漏らす</t>
  </si>
  <si>
    <t>もらす</t>
  </si>
  <si>
    <t>漏[も]らす</t>
  </si>
  <si>
    <t>làm rò rỉ</t>
  </si>
  <si>
    <t>秘密を漏らす。</t>
  </si>
  <si>
    <t>Làm rò rỉ bí mật.</t>
  </si>
  <si>
    <t>直感</t>
  </si>
  <si>
    <t>ちょっかん</t>
  </si>
  <si>
    <t>直感[ちょっかん]</t>
  </si>
  <si>
    <t>trực giác</t>
  </si>
  <si>
    <t>直感で判断する。</t>
  </si>
  <si>
    <t>Phán đoán bằng trực giác.</t>
  </si>
  <si>
    <t>破棄</t>
  </si>
  <si>
    <t>はき</t>
  </si>
  <si>
    <t>破棄[はき]</t>
  </si>
  <si>
    <t>sự hủy bỏ</t>
  </si>
  <si>
    <t>契約を破棄する。</t>
  </si>
  <si>
    <t>Hủy bỏ hợp đồng.</t>
  </si>
  <si>
    <t>突如</t>
  </si>
  <si>
    <t>とつじょ</t>
  </si>
  <si>
    <t>突如[とつじょ]</t>
  </si>
  <si>
    <t>突如現れる。</t>
  </si>
  <si>
    <t>Đột nhiên xuất hiện.</t>
  </si>
  <si>
    <t>胴</t>
  </si>
  <si>
    <t>胴[どう]</t>
  </si>
  <si>
    <t>thân mình</t>
  </si>
  <si>
    <t>胴を太くする。</t>
  </si>
  <si>
    <t>Làm cho phần thân dày lên.</t>
  </si>
  <si>
    <t>街道</t>
  </si>
  <si>
    <t>かいどう</t>
  </si>
  <si>
    <t>街道[かいどう]</t>
  </si>
  <si>
    <t>đường cái</t>
  </si>
  <si>
    <t>街道を歩く。</t>
  </si>
  <si>
    <t>Đi trên đường cái.</t>
  </si>
  <si>
    <t>記名</t>
  </si>
  <si>
    <t>きめい</t>
  </si>
  <si>
    <t>記名[きめい]</t>
  </si>
  <si>
    <t>sự ký tên</t>
  </si>
  <si>
    <t>記名して提出する。</t>
  </si>
  <si>
    <t>Ký tên rồi nộp.</t>
  </si>
  <si>
    <t>語源</t>
  </si>
  <si>
    <t>ごげん</t>
  </si>
  <si>
    <t>語源[ごげん]</t>
  </si>
  <si>
    <t>từ nguyên</t>
  </si>
  <si>
    <t>語源を調べる。</t>
  </si>
  <si>
    <t>Tìm hiểu từ nguyên.</t>
  </si>
  <si>
    <t>調印</t>
  </si>
  <si>
    <t>ちょういん</t>
  </si>
  <si>
    <t>調印[ちょういん]</t>
  </si>
  <si>
    <t>sự ký kết</t>
  </si>
  <si>
    <t>契約に調印する。</t>
  </si>
  <si>
    <t>Ký kết hợp đồng.</t>
  </si>
  <si>
    <t>達者</t>
  </si>
  <si>
    <t>たっしゃ</t>
  </si>
  <si>
    <t>達者[たっしゃ]</t>
  </si>
  <si>
    <t>お達者で。</t>
  </si>
  <si>
    <t>Chúc ông bà khỏe mạnh.</t>
  </si>
  <si>
    <t>降水</t>
  </si>
  <si>
    <t>こうすい</t>
  </si>
  <si>
    <t>降水[こうすい]</t>
  </si>
  <si>
    <t>lượng mưa</t>
  </si>
  <si>
    <t>降水確率。</t>
  </si>
  <si>
    <t>Xác suất lượng mưa.</t>
  </si>
  <si>
    <t>駆け足</t>
  </si>
  <si>
    <t>かけあし</t>
  </si>
  <si>
    <t>駆[か]け足[あし]</t>
  </si>
  <si>
    <t>bước chạy</t>
  </si>
  <si>
    <t>駆け足で行く。</t>
  </si>
  <si>
    <t>Đi bằng bước chạy.</t>
  </si>
  <si>
    <t>いたわる</t>
  </si>
  <si>
    <t>老人をいたわる。</t>
  </si>
  <si>
    <t>Quan tâm đến người già.</t>
  </si>
  <si>
    <t>おおまかな</t>
  </si>
  <si>
    <t>おおまかな計画を立てる。</t>
  </si>
  <si>
    <t>Lập kế hoạch đại khái.</t>
  </si>
  <si>
    <t>くじびき</t>
  </si>
  <si>
    <t>rút thăm</t>
  </si>
  <si>
    <t>くじびきで決める。</t>
  </si>
  <si>
    <t>Quyết định bằng rút thăm.</t>
  </si>
  <si>
    <t>スチーム</t>
  </si>
  <si>
    <t>すちーむ</t>
  </si>
  <si>
    <t>hơi nước</t>
  </si>
  <si>
    <t>スチームでアイロンをかける。</t>
  </si>
  <si>
    <t>Ủi quần áo bằng hơi nước.</t>
  </si>
  <si>
    <t>タイムリー</t>
  </si>
  <si>
    <t>たいむりー</t>
  </si>
  <si>
    <t>kịp thời</t>
  </si>
  <si>
    <t>タイムリーな助言。</t>
  </si>
  <si>
    <t>Lời khuyên kịp thời.</t>
  </si>
  <si>
    <t>ばい菌</t>
  </si>
  <si>
    <t>ばいきん</t>
  </si>
  <si>
    <t>ばい菌[きん]</t>
  </si>
  <si>
    <t>ばい菌が入る。</t>
  </si>
  <si>
    <t>Vi khuẩn xâm nhập.</t>
  </si>
  <si>
    <t>バッジ</t>
  </si>
  <si>
    <t>ばっじ</t>
  </si>
  <si>
    <t>huy hiệu</t>
  </si>
  <si>
    <t>バッジをつける。</t>
  </si>
  <si>
    <t>Cài huy hiệu.</t>
  </si>
  <si>
    <t>もてなす</t>
  </si>
  <si>
    <t>tiếp đãi</t>
  </si>
  <si>
    <t>客をもてなす。</t>
  </si>
  <si>
    <t>Tiếp đãi khách.</t>
  </si>
  <si>
    <t>ややこしい</t>
  </si>
  <si>
    <t>ややこしい計算。</t>
  </si>
  <si>
    <t>Phép tính phức tạp.</t>
  </si>
  <si>
    <t>ルーズ</t>
  </si>
  <si>
    <t>るーず</t>
  </si>
  <si>
    <t>lỏng lẻo</t>
  </si>
  <si>
    <t>時間にルーズだ。</t>
  </si>
  <si>
    <t>Lỏng lẻo về thời gian.</t>
  </si>
  <si>
    <t>下地</t>
  </si>
  <si>
    <t>したじ</t>
  </si>
  <si>
    <t>下地[したじ]</t>
  </si>
  <si>
    <t>勉強の下地を作る。</t>
  </si>
  <si>
    <t>Xây dựng nền tảng học tập.</t>
  </si>
  <si>
    <t>中傷</t>
  </si>
  <si>
    <t>中傷[ちゅうしょう]</t>
  </si>
  <si>
    <t>phỉ báng</t>
  </si>
  <si>
    <t>人を中傷する。</t>
  </si>
  <si>
    <t>Phỉ báng người khác.</t>
  </si>
  <si>
    <t>予て</t>
  </si>
  <si>
    <t>かねて</t>
  </si>
  <si>
    <t>予[かね]て</t>
  </si>
  <si>
    <t>từ trước</t>
  </si>
  <si>
    <t>予て計画していた。</t>
  </si>
  <si>
    <t>Đã lên kế hoạch từ trước.</t>
  </si>
  <si>
    <t>仕える</t>
  </si>
  <si>
    <t>つかえる</t>
  </si>
  <si>
    <t>仕[つか]える</t>
  </si>
  <si>
    <t>phụng sự</t>
  </si>
  <si>
    <t>主に仕える。</t>
  </si>
  <si>
    <t>Phụng sự chủ.</t>
  </si>
  <si>
    <t>代用</t>
  </si>
  <si>
    <t>だいよう</t>
  </si>
  <si>
    <t>代用[だいよう]</t>
  </si>
  <si>
    <t>タオルで代用する。</t>
  </si>
  <si>
    <t>Sử dụng khăn thay thế.</t>
  </si>
  <si>
    <t>仰ぐ</t>
  </si>
  <si>
    <t>あおぐ</t>
  </si>
  <si>
    <t>仰[あお]ぐ</t>
  </si>
  <si>
    <t>nhìn lên</t>
  </si>
  <si>
    <t>空を仰ぐ。</t>
  </si>
  <si>
    <t>Nhìn lên bầu trời.</t>
  </si>
  <si>
    <t>体裁</t>
  </si>
  <si>
    <t>ていさい</t>
  </si>
  <si>
    <t>体裁[ていさい]</t>
  </si>
  <si>
    <t>体裁を整える。</t>
  </si>
  <si>
    <t>Chỉnh đốn diện mạo.</t>
  </si>
  <si>
    <t>冷淡</t>
  </si>
  <si>
    <t>れいたん</t>
  </si>
  <si>
    <t>冷淡[れいたん]</t>
  </si>
  <si>
    <t>lãnh đạm</t>
  </si>
  <si>
    <t>冷淡な態度をとる。</t>
  </si>
  <si>
    <t>Có thái độ lãnh đạm.</t>
  </si>
  <si>
    <t>冷酷</t>
  </si>
  <si>
    <t>れいこく</t>
  </si>
  <si>
    <t>冷酷[れいこく]</t>
  </si>
  <si>
    <t>tàn nhẫn</t>
  </si>
  <si>
    <t>冷酷な仕打ち。</t>
  </si>
  <si>
    <t>Cách đối xử tàn nhẫn.</t>
  </si>
  <si>
    <t>勇敢</t>
  </si>
  <si>
    <t>ゆうかん</t>
  </si>
  <si>
    <t>勇敢[ゆうかん]</t>
  </si>
  <si>
    <t>dũng cảm</t>
  </si>
  <si>
    <t>勇敢に戦う。</t>
  </si>
  <si>
    <t>Chiến đấu dũng cảm.</t>
  </si>
  <si>
    <t>卑しい</t>
  </si>
  <si>
    <t>いやしい</t>
  </si>
  <si>
    <t>卑[いや]しい</t>
  </si>
  <si>
    <t>thấp hèn</t>
  </si>
  <si>
    <t>卑しい振る舞い。</t>
  </si>
  <si>
    <t>Cử chỉ thấp hèn.</t>
  </si>
  <si>
    <t>取り混ぜる</t>
  </si>
  <si>
    <t>とりまぜる</t>
  </si>
  <si>
    <t>取[と]り混[ま]ぜる</t>
  </si>
  <si>
    <t>色を取り混ぜる。</t>
  </si>
  <si>
    <t>Trộn lẫn màu sắc.</t>
  </si>
  <si>
    <t>君主</t>
  </si>
  <si>
    <t>くんしゅ</t>
  </si>
  <si>
    <t>君主[くんしゅ]</t>
  </si>
  <si>
    <t>quân chủ</t>
  </si>
  <si>
    <t>君主が国を治める。</t>
  </si>
  <si>
    <t>Quân chủ cai trị đất nước.</t>
  </si>
  <si>
    <t>唾</t>
  </si>
  <si>
    <t>つば</t>
  </si>
  <si>
    <t>唾[つば]</t>
  </si>
  <si>
    <t>nước bọt</t>
  </si>
  <si>
    <t>唾を吐く。</t>
  </si>
  <si>
    <t>Nhổ nước bọt.</t>
  </si>
  <si>
    <t>嘲笑う</t>
  </si>
  <si>
    <t>あざわらう</t>
  </si>
  <si>
    <t>嘲笑[あざわら]う</t>
  </si>
  <si>
    <t>chế nhạo</t>
  </si>
  <si>
    <t>他人を嘲笑う。</t>
  </si>
  <si>
    <t>Chế nhạo người khác.</t>
  </si>
  <si>
    <t>大便</t>
  </si>
  <si>
    <t>だいべん</t>
  </si>
  <si>
    <t>大便[だいべん]</t>
  </si>
  <si>
    <t>đại tiện</t>
  </si>
  <si>
    <t>大便をする。</t>
  </si>
  <si>
    <t>Đi đại tiện.</t>
  </si>
  <si>
    <t>子息</t>
  </si>
  <si>
    <t>しそく</t>
  </si>
  <si>
    <t>子息[しそく]</t>
  </si>
  <si>
    <t>立派な子息だ。</t>
  </si>
  <si>
    <t>Người con trai đáng quý.</t>
  </si>
  <si>
    <t>学芸</t>
  </si>
  <si>
    <t>がくげい</t>
  </si>
  <si>
    <t>学芸[がくげい]</t>
  </si>
  <si>
    <t>học nghệ</t>
  </si>
  <si>
    <t>学芸に励む。</t>
  </si>
  <si>
    <t>Nỗ lực trong học nghệ.</t>
  </si>
  <si>
    <t>楽譜</t>
  </si>
  <si>
    <t>がくふ</t>
  </si>
  <si>
    <t>楽譜[がくふ]</t>
  </si>
  <si>
    <t>bản nhạc</t>
  </si>
  <si>
    <t>楽譜を読み取る。</t>
  </si>
  <si>
    <t>Đọc bản nhạc.</t>
  </si>
  <si>
    <t>様相</t>
  </si>
  <si>
    <t>ようそう</t>
  </si>
  <si>
    <t>様相[ようそう]</t>
  </si>
  <si>
    <t>事態は一変した様相を見せる。</t>
  </si>
  <si>
    <t>Tình hình cho thấy diện mạo đã thay đổi hoàn toàn.</t>
  </si>
  <si>
    <t>比重</t>
  </si>
  <si>
    <t>ひじゅう</t>
  </si>
  <si>
    <t>比重[ひじゅう]</t>
  </si>
  <si>
    <t>tỷ trọng</t>
  </si>
  <si>
    <t>責任の比重が大きい。</t>
  </si>
  <si>
    <t>Tỷ trọng trách nhiệm rất lớn.</t>
  </si>
  <si>
    <t>沈める</t>
  </si>
  <si>
    <t>しずめる</t>
  </si>
  <si>
    <t>沈[しず]める</t>
  </si>
  <si>
    <t>làm chìm</t>
  </si>
  <si>
    <t>船を川に沈める。</t>
  </si>
  <si>
    <t>Làm con tàu chìm xuống sông.</t>
  </si>
  <si>
    <t>浜</t>
  </si>
  <si>
    <t>はま</t>
  </si>
  <si>
    <t>浜[はま]</t>
  </si>
  <si>
    <t>bãi biển</t>
  </si>
  <si>
    <t>浜で貝を拾う。</t>
  </si>
  <si>
    <t>Nhặt vỏ sò trên bãi biển.</t>
  </si>
  <si>
    <t>滑らか</t>
  </si>
  <si>
    <t>なめらか</t>
  </si>
  <si>
    <t>滑[なめ]らか</t>
  </si>
  <si>
    <t>trơn tru</t>
  </si>
  <si>
    <t>肌が滑らかになる。</t>
  </si>
  <si>
    <t>Da trở nên trơn tru.</t>
  </si>
  <si>
    <t>結晶</t>
  </si>
  <si>
    <t>結晶[けっしょう]</t>
  </si>
  <si>
    <t>tinh thể</t>
  </si>
  <si>
    <t>結晶を作る。</t>
  </si>
  <si>
    <t>Tạo tinh thể.</t>
  </si>
  <si>
    <t>腕前</t>
  </si>
  <si>
    <t>うでまえ</t>
  </si>
  <si>
    <t>腕前[うでまえ]</t>
  </si>
  <si>
    <t>tay nghề</t>
  </si>
  <si>
    <t>料理の腕前を披露する。</t>
  </si>
  <si>
    <t>Trình diễn tay nghề nấu nướng.</t>
  </si>
  <si>
    <t>興じる</t>
  </si>
  <si>
    <t>きょうじる</t>
  </si>
  <si>
    <t>興[きょう]じる</t>
  </si>
  <si>
    <t>vui chơi</t>
  </si>
  <si>
    <t>読書に興じる。</t>
  </si>
  <si>
    <t>Vui thú với việc đọc sách.</t>
  </si>
  <si>
    <t>花びら</t>
  </si>
  <si>
    <t>はなびら</t>
  </si>
  <si>
    <t>花[はな]びら</t>
  </si>
  <si>
    <t>cánh hoa</t>
  </si>
  <si>
    <t>花びらが散る。</t>
  </si>
  <si>
    <t>Cánh hoa rơi.</t>
  </si>
  <si>
    <t>花壇</t>
  </si>
  <si>
    <t>かだん</t>
  </si>
  <si>
    <t>花壇[かだん]</t>
  </si>
  <si>
    <t>vườn hoa</t>
  </si>
  <si>
    <t>花壇に水をやる。</t>
  </si>
  <si>
    <t>Tưới nước cho vườn hoa.</t>
  </si>
  <si>
    <t>茎</t>
  </si>
  <si>
    <t>くき</t>
  </si>
  <si>
    <t>茎[くき]</t>
  </si>
  <si>
    <t>茎が伸びる。</t>
  </si>
  <si>
    <t>Thân cây dài ra.</t>
  </si>
  <si>
    <t>葬る</t>
  </si>
  <si>
    <t>ほうむる</t>
  </si>
  <si>
    <t>葬[ほうむ]る</t>
  </si>
  <si>
    <t>mai táng</t>
  </si>
  <si>
    <t>墓に葬る。</t>
  </si>
  <si>
    <t>Mai táng trong mộ.</t>
  </si>
  <si>
    <t>過密</t>
  </si>
  <si>
    <t>かみつ</t>
  </si>
  <si>
    <t>過密[かみつ]</t>
  </si>
  <si>
    <t>過密なスケジュール。</t>
  </si>
  <si>
    <t>Lịch trình quá đông đúc.</t>
  </si>
  <si>
    <t>面目</t>
  </si>
  <si>
    <t>めんぼく</t>
  </si>
  <si>
    <t>面目[めんぼく]</t>
  </si>
  <si>
    <t>thể diện</t>
  </si>
  <si>
    <t>面目を保つ。</t>
  </si>
  <si>
    <t>Giữ thể diện.</t>
  </si>
  <si>
    <t>領海</t>
  </si>
  <si>
    <t>領海[りょうかい]</t>
  </si>
  <si>
    <t>lãnh hải</t>
  </si>
  <si>
    <t>領海を侵す。</t>
  </si>
  <si>
    <t>Xâm phạm lãnh hải.</t>
  </si>
  <si>
    <t>カムバック</t>
  </si>
  <si>
    <t>かむばっく</t>
  </si>
  <si>
    <t>trở lại</t>
  </si>
  <si>
    <t>歌手がカムバックする。</t>
  </si>
  <si>
    <t>Ca sĩ quay trở lại.</t>
  </si>
  <si>
    <t>けなす</t>
  </si>
  <si>
    <t>chê bai</t>
  </si>
  <si>
    <t>人の作品をけなす。</t>
  </si>
  <si>
    <t>Chê bai tác phẩm của người khác.</t>
  </si>
  <si>
    <t>しなやか</t>
  </si>
  <si>
    <t>dẻo dai</t>
  </si>
  <si>
    <t>しなやかな体。</t>
  </si>
  <si>
    <t>Cơ thể dẻo dai.</t>
  </si>
  <si>
    <t>ふんだん</t>
  </si>
  <si>
    <t>dồi dào</t>
  </si>
  <si>
    <t>野菜をふんだんに使う。</t>
  </si>
  <si>
    <t>Sử dụng dồi dào rau củ.</t>
  </si>
  <si>
    <t>ぼつぼつ</t>
  </si>
  <si>
    <t>ぼつぼつ帰ろう。</t>
  </si>
  <si>
    <t>Dần dần về thôi.</t>
  </si>
  <si>
    <t>やけに</t>
  </si>
  <si>
    <t>今日はやけに静かだ。</t>
  </si>
  <si>
    <t>Hôm nay hết sức yên tĩnh.</t>
  </si>
  <si>
    <t>云々</t>
  </si>
  <si>
    <t>うんぬん</t>
  </si>
  <si>
    <t>云々[うんぬん]</t>
  </si>
  <si>
    <t>vân vân</t>
  </si>
  <si>
    <t>彼が云々と語る。</t>
  </si>
  <si>
    <t>Anh ấy nói vân vân.</t>
  </si>
  <si>
    <t>付録</t>
  </si>
  <si>
    <t>ふろく</t>
  </si>
  <si>
    <t>付録[ふろく]</t>
  </si>
  <si>
    <t>phụ lục</t>
  </si>
  <si>
    <t>本の付録。</t>
  </si>
  <si>
    <t>Phụ lục của cuốn sách.</t>
  </si>
  <si>
    <t>何気ない</t>
  </si>
  <si>
    <t>なにげない</t>
  </si>
  <si>
    <t>何気[なにげ]ない</t>
  </si>
  <si>
    <t>vô tình</t>
  </si>
  <si>
    <t>何気ない言葉。</t>
  </si>
  <si>
    <t>Lời nói vô tình.</t>
  </si>
  <si>
    <t>光沢</t>
  </si>
  <si>
    <t>こうたく</t>
  </si>
  <si>
    <t>光沢[こうたく]</t>
  </si>
  <si>
    <t>độ bóng</t>
  </si>
  <si>
    <t>布に光沢がある。</t>
  </si>
  <si>
    <t>Vải có độ bóng.</t>
  </si>
  <si>
    <t>公用</t>
  </si>
  <si>
    <t>公用[こうよう]</t>
  </si>
  <si>
    <t>công vụ</t>
  </si>
  <si>
    <t>公用で出張する。</t>
  </si>
  <si>
    <t>Đi công tác vì công vụ.</t>
  </si>
  <si>
    <t>内陸</t>
  </si>
  <si>
    <t>ないりく</t>
  </si>
  <si>
    <t>内陸[ないりく]</t>
  </si>
  <si>
    <t>nội địa</t>
  </si>
  <si>
    <t>内陸の地域へ行く。</t>
  </si>
  <si>
    <t>Đi đến vùng nội địa.</t>
  </si>
  <si>
    <t>初耳</t>
  </si>
  <si>
    <t>はつみみ</t>
  </si>
  <si>
    <t>初耳[はつみみ]</t>
  </si>
  <si>
    <t>tin mới</t>
  </si>
  <si>
    <t>その話は初耳だ。</t>
  </si>
  <si>
    <t>Câu chuyện đó là tin mới.</t>
  </si>
  <si>
    <t>名産</t>
  </si>
  <si>
    <t>めいさん</t>
  </si>
  <si>
    <t>名産[めいさん]</t>
  </si>
  <si>
    <t>地元の名産を食べる。</t>
  </si>
  <si>
    <t>Ăn đặc sản địa phương.</t>
  </si>
  <si>
    <t>噛み切る</t>
  </si>
  <si>
    <t>かみきる</t>
  </si>
  <si>
    <t>噛[か]み切[き]る</t>
  </si>
  <si>
    <t>cắn đứt</t>
  </si>
  <si>
    <t>糸を噛み切る。</t>
  </si>
  <si>
    <t>Cắn đứt sợi chỉ.</t>
  </si>
  <si>
    <t>奉る</t>
  </si>
  <si>
    <t>たてまつる</t>
  </si>
  <si>
    <t>奉[たてまつ]る</t>
  </si>
  <si>
    <t>tôn thờ</t>
  </si>
  <si>
    <t>神を奉る。</t>
  </si>
  <si>
    <t>Tôn thờ thần.</t>
  </si>
  <si>
    <t>学士</t>
  </si>
  <si>
    <t>がくし</t>
  </si>
  <si>
    <t>学士[がくし]</t>
  </si>
  <si>
    <t>cử nhân</t>
  </si>
  <si>
    <t>学士の学位。</t>
  </si>
  <si>
    <t>Bằng cử nhân.</t>
  </si>
  <si>
    <t>死刑</t>
  </si>
  <si>
    <t>しけい</t>
  </si>
  <si>
    <t>死刑[しけい]</t>
  </si>
  <si>
    <t>tử hình</t>
  </si>
  <si>
    <t>死刑を宣告する。</t>
  </si>
  <si>
    <t>Tuyên án tử hình.</t>
  </si>
  <si>
    <t>流し</t>
  </si>
  <si>
    <t>ながし</t>
  </si>
  <si>
    <t>流[なが]し</t>
  </si>
  <si>
    <t>bồn rửa</t>
  </si>
  <si>
    <t>流しを掃除する。</t>
  </si>
  <si>
    <t>Vệ sinh bồn rửa.</t>
  </si>
  <si>
    <t>滞る</t>
  </si>
  <si>
    <t>とどこおる</t>
  </si>
  <si>
    <t>滞[とどこお]る</t>
  </si>
  <si>
    <t>支払いが滞る。</t>
  </si>
  <si>
    <t>Việc thanh toán bị trì trệ.</t>
  </si>
  <si>
    <t>無用</t>
  </si>
  <si>
    <t>むよう</t>
  </si>
  <si>
    <t>無用[むよう]</t>
  </si>
  <si>
    <t>vô dụng</t>
  </si>
  <si>
    <t>無用な心配をする。</t>
  </si>
  <si>
    <t>Lo lắng vô dụng.</t>
  </si>
  <si>
    <t>申し入れる</t>
  </si>
  <si>
    <t>もうしいれる</t>
  </si>
  <si>
    <t>申[もう]し入[い]れる</t>
  </si>
  <si>
    <t>đề nghị</t>
  </si>
  <si>
    <t>改善を申し入れる。</t>
  </si>
  <si>
    <t>Đề nghị cải thiện.</t>
  </si>
  <si>
    <t>矢</t>
  </si>
  <si>
    <t>や</t>
  </si>
  <si>
    <t>矢[や]</t>
  </si>
  <si>
    <t>矢を放つ。</t>
  </si>
  <si>
    <t>Bắn mũi tên.</t>
  </si>
  <si>
    <t>紳士</t>
  </si>
  <si>
    <t>しんし</t>
  </si>
  <si>
    <t>紳士[しんし]</t>
  </si>
  <si>
    <t>quý ông</t>
  </si>
  <si>
    <t>紳士的な振る舞い。</t>
  </si>
  <si>
    <t>Cử chỉ như quý ông.</t>
  </si>
  <si>
    <t>経歴</t>
  </si>
  <si>
    <t>けいれき</t>
  </si>
  <si>
    <t>経歴[けいれき]</t>
  </si>
  <si>
    <t>経歴書を提出する。</t>
  </si>
  <si>
    <t>Nộp bản lý lịch.</t>
  </si>
  <si>
    <t>賭</t>
  </si>
  <si>
    <t>かけ</t>
  </si>
  <si>
    <t>賭[かけ]</t>
  </si>
  <si>
    <t>cá cược</t>
  </si>
  <si>
    <t>賭に勝つ。</t>
  </si>
  <si>
    <t>Thắng cá cược.</t>
  </si>
  <si>
    <t>過労</t>
  </si>
  <si>
    <t>かろう</t>
  </si>
  <si>
    <t>過労[かろう]</t>
  </si>
  <si>
    <t>quá sức</t>
  </si>
  <si>
    <t>過労で倒れる。</t>
  </si>
  <si>
    <t>Đổ bệnh vì quá sức.</t>
  </si>
  <si>
    <t>錯誤</t>
  </si>
  <si>
    <t>さくご</t>
  </si>
  <si>
    <t>錯誤[さくご]</t>
  </si>
  <si>
    <t>実行の錯誤。</t>
  </si>
  <si>
    <t>Sai lầm khi thực hiện.</t>
  </si>
  <si>
    <t>露骨</t>
  </si>
  <si>
    <t>ろこつ</t>
  </si>
  <si>
    <t>露骨[ろこつ]</t>
  </si>
  <si>
    <t>露骨な嫌悪感。</t>
  </si>
  <si>
    <t>Cảm giác chán ghét rõ ràng.</t>
  </si>
  <si>
    <t>領地</t>
  </si>
  <si>
    <t>りょうち</t>
  </si>
  <si>
    <t>領地[りょうち]</t>
  </si>
  <si>
    <t>領地を広げる。</t>
  </si>
  <si>
    <t>Mở rộng đất đai.</t>
  </si>
  <si>
    <t>それゆえ</t>
  </si>
  <si>
    <t>それゆえ失敗した。</t>
  </si>
  <si>
    <t>Vì thế đã thất bại.</t>
  </si>
  <si>
    <t>なにとぞ</t>
  </si>
  <si>
    <t>làm ơn</t>
  </si>
  <si>
    <t>なにとぞお願いします。</t>
  </si>
  <si>
    <t>Làm ơn hãy giúp đỡ cho.</t>
  </si>
  <si>
    <t>にせ物</t>
  </si>
  <si>
    <t>にせもの</t>
  </si>
  <si>
    <t>にせ物[もの]</t>
  </si>
  <si>
    <t>đồ giả</t>
  </si>
  <si>
    <t>にせ物を掴まされる。</t>
  </si>
  <si>
    <t>Bị lừa lấy phải đồ giả.</t>
  </si>
  <si>
    <t>レディー</t>
  </si>
  <si>
    <t>れでぃー</t>
  </si>
  <si>
    <t>quý cô</t>
  </si>
  <si>
    <t>レディーファースト。</t>
  </si>
  <si>
    <t>Quý cô được ưu tiên.</t>
  </si>
  <si>
    <t>勤勉</t>
  </si>
  <si>
    <t>きんべん</t>
  </si>
  <si>
    <t>勤勉[きんべん]</t>
  </si>
  <si>
    <t>cần cù</t>
  </si>
  <si>
    <t>勤勉に働く。</t>
  </si>
  <si>
    <t>Làm việc cần cù.</t>
  </si>
  <si>
    <t>原っぱ</t>
  </si>
  <si>
    <t>はらっぱ</t>
  </si>
  <si>
    <t>原[はら]っぱ</t>
  </si>
  <si>
    <t>原っぱで遊ぶ。</t>
  </si>
  <si>
    <t>Chơi trên bãi cỏ.</t>
  </si>
  <si>
    <t>大柄</t>
  </si>
  <si>
    <t>おおがら</t>
  </si>
  <si>
    <t>大柄[おおがら]</t>
  </si>
  <si>
    <t>to lớn</t>
  </si>
  <si>
    <t>大柄な男。</t>
  </si>
  <si>
    <t>Người đàn ông to lớn.</t>
  </si>
  <si>
    <t>婿</t>
  </si>
  <si>
    <t>むこ</t>
  </si>
  <si>
    <t>婿[むこ]</t>
  </si>
  <si>
    <t>con rể</t>
  </si>
  <si>
    <t>娘の婿に会う。</t>
  </si>
  <si>
    <t>Gặp con rể của con gái.</t>
  </si>
  <si>
    <t>守衛</t>
  </si>
  <si>
    <t>しゅえい</t>
  </si>
  <si>
    <t>守衛[しゅえい]</t>
  </si>
  <si>
    <t>守衛に挨拶する。</t>
  </si>
  <si>
    <t>Chào bảo vệ.</t>
  </si>
  <si>
    <t>炭素</t>
  </si>
  <si>
    <t>たんそ</t>
  </si>
  <si>
    <t>炭素[たんそ]</t>
  </si>
  <si>
    <t>cacbon</t>
  </si>
  <si>
    <t>炭素の性質を調べる。</t>
  </si>
  <si>
    <t>Tìm hiểu tính chất của cacbon.</t>
  </si>
  <si>
    <t>理性</t>
  </si>
  <si>
    <t>りせい</t>
  </si>
  <si>
    <t>理性[りせい]</t>
  </si>
  <si>
    <t>lý trí</t>
  </si>
  <si>
    <t>理性を保つ。</t>
  </si>
  <si>
    <t>Giữ vững lý trí.</t>
  </si>
  <si>
    <t>群がる</t>
  </si>
  <si>
    <t>むらがる</t>
  </si>
  <si>
    <t>群[むら]がる</t>
  </si>
  <si>
    <t>tụ tập</t>
  </si>
  <si>
    <t>蟻が砂糖に群がる。</t>
  </si>
  <si>
    <t>Kiến tụ tập vào đường.</t>
  </si>
  <si>
    <t>老ける</t>
  </si>
  <si>
    <t>ふける</t>
  </si>
  <si>
    <t>老[ふ]ける</t>
  </si>
  <si>
    <t>老けて見える。</t>
  </si>
  <si>
    <t>Trông già đi.</t>
  </si>
  <si>
    <t>華々しい</t>
  </si>
  <si>
    <t>はなばなしい</t>
  </si>
  <si>
    <t>華々[はなばな]しい</t>
  </si>
  <si>
    <t>華々しい活躍。</t>
  </si>
  <si>
    <t>Hoạt động rực rỡ.</t>
  </si>
  <si>
    <t>観覧</t>
  </si>
  <si>
    <t>かんらん</t>
  </si>
  <si>
    <t>観覧[かんらん]</t>
  </si>
  <si>
    <t>美術館を観覧する。</t>
  </si>
  <si>
    <t>Tham quan bảo tàng mỹ thuật.</t>
  </si>
  <si>
    <t>連中</t>
  </si>
  <si>
    <t>れんちゅう</t>
  </si>
  <si>
    <t>連中[れんちゅう]</t>
  </si>
  <si>
    <t>bọn họ</t>
  </si>
  <si>
    <t>連中と遊ぶ。</t>
  </si>
  <si>
    <t>Chơi với bọn họ.</t>
  </si>
  <si>
    <t>陶器</t>
  </si>
  <si>
    <t>とうき</t>
  </si>
  <si>
    <t>陶器[とうき]</t>
  </si>
  <si>
    <t>đồ gốm</t>
  </si>
  <si>
    <t>陶器を作る。</t>
  </si>
  <si>
    <t>Làm đồ gốm.</t>
  </si>
  <si>
    <t>あやふや</t>
  </si>
  <si>
    <t>記憶があやふやだ。</t>
  </si>
  <si>
    <t>Ký ức thật mơ hồ.</t>
  </si>
  <si>
    <t>はらはら</t>
  </si>
  <si>
    <t>lo sợ</t>
  </si>
  <si>
    <t>はらはらして待つ。</t>
  </si>
  <si>
    <t>Lo sợ và chờ đợi.</t>
  </si>
  <si>
    <t>ビールス</t>
  </si>
  <si>
    <t>びーるす</t>
  </si>
  <si>
    <t>virus</t>
  </si>
  <si>
    <t>ビールスに感染する。</t>
  </si>
  <si>
    <t>Bị nhiễm virus.</t>
  </si>
  <si>
    <t>ひょっと</t>
  </si>
  <si>
    <t>ひょっとすると遅れる。</t>
  </si>
  <si>
    <t>Có lẽ sẽ bị muộn.</t>
  </si>
  <si>
    <t>外方</t>
  </si>
  <si>
    <t>ほかほう</t>
  </si>
  <si>
    <t>外方[ほかほう]</t>
  </si>
  <si>
    <t>他人の外方。</t>
  </si>
  <si>
    <t>Bên ngoài của người khác.</t>
  </si>
  <si>
    <t>自在</t>
  </si>
  <si>
    <t>じざい</t>
  </si>
  <si>
    <t>自在[じざい]</t>
  </si>
  <si>
    <t>体を自在に動かす。</t>
  </si>
  <si>
    <t>Di chuyển cơ thể một cách tự do.</t>
  </si>
  <si>
    <t>襟</t>
  </si>
  <si>
    <t>えり</t>
  </si>
  <si>
    <t>襟[えり]</t>
  </si>
  <si>
    <t>cổ áo</t>
  </si>
  <si>
    <t>襟を正す。</t>
  </si>
  <si>
    <t>Chỉnh lại cổ áo.</t>
  </si>
  <si>
    <t>適宜</t>
  </si>
  <si>
    <t>てきぎ</t>
  </si>
  <si>
    <t>適宜[てきぎ]</t>
  </si>
  <si>
    <t>tùy ý</t>
  </si>
  <si>
    <t>適宜対応する。</t>
  </si>
  <si>
    <t>Tùy ý ứng phó.</t>
  </si>
  <si>
    <t>きっかり</t>
  </si>
  <si>
    <t>きっかり10時に着く。</t>
  </si>
  <si>
    <t>Đến nơi đúng 10 giờ.</t>
  </si>
  <si>
    <t>刺繍</t>
  </si>
  <si>
    <t>ししゅう</t>
  </si>
  <si>
    <t>刺繍[ししゅう]</t>
  </si>
  <si>
    <t>thêu</t>
  </si>
  <si>
    <t>服に刺繍をする。</t>
  </si>
  <si>
    <t>Thêu lên quần áo.</t>
  </si>
  <si>
    <t>網</t>
  </si>
  <si>
    <t>あみ</t>
  </si>
  <si>
    <t>網[あみ]</t>
  </si>
  <si>
    <t>lưới</t>
  </si>
  <si>
    <t>網で魚を捕る。</t>
  </si>
  <si>
    <t>Bắt cá bằng lưới.</t>
  </si>
  <si>
    <t>震わせる</t>
  </si>
  <si>
    <t>ふるわせる</t>
  </si>
  <si>
    <t>震[ふる]わせる</t>
  </si>
  <si>
    <t>rung</t>
  </si>
  <si>
    <t>声を震わせる。</t>
  </si>
  <si>
    <t>Giọng nói rung lên.</t>
  </si>
  <si>
    <t>アワー</t>
  </si>
  <si>
    <t>あわー</t>
  </si>
  <si>
    <t>giờ</t>
  </si>
  <si>
    <t>ニュースアワーが始まる。</t>
  </si>
  <si>
    <t>Chương trình giờ tin tức bắt đầu.</t>
  </si>
  <si>
    <t>大部</t>
  </si>
  <si>
    <t>たいぶ</t>
  </si>
  <si>
    <t>大部[たいぶ]</t>
  </si>
  <si>
    <t>大部の書物。</t>
  </si>
  <si>
    <t>Sách dày.</t>
  </si>
  <si>
    <t>杖</t>
  </si>
  <si>
    <t>つえ</t>
  </si>
  <si>
    <t>杖[つえ]</t>
  </si>
  <si>
    <t>gậy</t>
  </si>
  <si>
    <t>杖をついて歩く。</t>
  </si>
  <si>
    <t>Đi bằng gậy.</t>
  </si>
  <si>
    <t>鈍る</t>
  </si>
  <si>
    <t>にぶる</t>
  </si>
  <si>
    <t>鈍[にぶ]る</t>
  </si>
  <si>
    <t>cùn</t>
  </si>
  <si>
    <t>判断力が鈍る。</t>
  </si>
  <si>
    <t>Khả năng phán đoán bị cùn.</t>
  </si>
  <si>
    <t>鉛</t>
  </si>
  <si>
    <t>なまり</t>
  </si>
  <si>
    <t>鉛[なまり]</t>
  </si>
  <si>
    <t>chì</t>
  </si>
  <si>
    <t>鉛の毒性。</t>
  </si>
  <si>
    <t>Tính độc của chì.</t>
  </si>
  <si>
    <t>嘴</t>
  </si>
  <si>
    <t>くちばし</t>
  </si>
  <si>
    <t>嘴[くちばし]</t>
  </si>
  <si>
    <t>mỏ</t>
  </si>
  <si>
    <t>鳥の鋭い嘴。</t>
  </si>
  <si>
    <t>Chiếc mỏ sắc của chim.</t>
  </si>
  <si>
    <t>壷</t>
  </si>
  <si>
    <t>つぼ</t>
  </si>
  <si>
    <t>壷[つぼ]</t>
  </si>
  <si>
    <t>lọ</t>
  </si>
  <si>
    <t>花を壷に飾る。</t>
  </si>
  <si>
    <t>Trang trí hoa vào lọ.</t>
  </si>
  <si>
    <t>欠く</t>
  </si>
  <si>
    <t>欠[か]く</t>
  </si>
  <si>
    <t>常識を欠く。</t>
  </si>
  <si>
    <t>Tôi thiếu kiến thức thường thức.</t>
  </si>
  <si>
    <t>教養</t>
  </si>
  <si>
    <t>きょうよう</t>
  </si>
  <si>
    <t>教養[きょうよう]</t>
  </si>
  <si>
    <t>教養を深める。</t>
  </si>
  <si>
    <t>Tôi nâng cao kiến thức văn hóa.</t>
  </si>
  <si>
    <t>案外</t>
  </si>
  <si>
    <t>あんがい</t>
  </si>
  <si>
    <t>案外[あんがい]</t>
  </si>
  <si>
    <t>không ngờ</t>
  </si>
  <si>
    <t>案外近い。</t>
  </si>
  <si>
    <t>Nó không ngờ lại gần.</t>
  </si>
  <si>
    <t>昼御飯</t>
  </si>
  <si>
    <t>ひるごはん</t>
  </si>
  <si>
    <t>昼御飯[ひるごはん]</t>
  </si>
  <si>
    <t>昼御飯を食べる。</t>
  </si>
  <si>
    <t>気候</t>
  </si>
  <si>
    <t>気候[きこう]</t>
  </si>
  <si>
    <t>khí hậu</t>
  </si>
  <si>
    <t>気候が良い。</t>
  </si>
  <si>
    <t>Khí hậu tốt.</t>
  </si>
  <si>
    <t>家畜</t>
  </si>
  <si>
    <t>かちく</t>
  </si>
  <si>
    <t>家畜[かちく]</t>
  </si>
  <si>
    <t>gia súc</t>
  </si>
  <si>
    <t>家畜を育てる。</t>
  </si>
  <si>
    <t>Nuôi gia súc.</t>
  </si>
  <si>
    <t>映える</t>
  </si>
  <si>
    <t>はえる</t>
  </si>
  <si>
    <t>映[は]える</t>
  </si>
  <si>
    <t>ánh lên</t>
  </si>
  <si>
    <t>太陽に映える。</t>
  </si>
  <si>
    <t>Nó ánh lên dưới mặt trời.</t>
  </si>
  <si>
    <t>断つ</t>
  </si>
  <si>
    <t>断[た]つ</t>
  </si>
  <si>
    <t>関係を断つ。</t>
  </si>
  <si>
    <t>Tôi cắt đứt mối quan hệ.</t>
  </si>
  <si>
    <t>横切る</t>
  </si>
  <si>
    <t>よこぎる</t>
  </si>
  <si>
    <t>横切[よこぎ]る</t>
  </si>
  <si>
    <t>道を横切る。</t>
  </si>
  <si>
    <t>Tôi băng qua đường.</t>
  </si>
  <si>
    <t>歩道</t>
  </si>
  <si>
    <t>ほどう</t>
  </si>
  <si>
    <t>歩道[ほどう]</t>
  </si>
  <si>
    <t>vỉa hè</t>
  </si>
  <si>
    <t>歩道を歩く。</t>
  </si>
  <si>
    <t>Tôi đi trên vỉa hè.</t>
  </si>
  <si>
    <t>挿す</t>
  </si>
  <si>
    <t>挿[さ]す</t>
  </si>
  <si>
    <t>cắm</t>
  </si>
  <si>
    <t>花を花瓶に挿す。</t>
  </si>
  <si>
    <t>Cắm hoa vào bình.</t>
  </si>
  <si>
    <t>札</t>
  </si>
  <si>
    <t>ふだ</t>
  </si>
  <si>
    <t>札[ふだ]</t>
  </si>
  <si>
    <t>札を掛ける。</t>
  </si>
  <si>
    <t>Tôi treo thẻ.</t>
  </si>
  <si>
    <t>寛容</t>
  </si>
  <si>
    <t>かんよう</t>
  </si>
  <si>
    <t>寛容[かんよう]</t>
  </si>
  <si>
    <t>bao dung</t>
  </si>
  <si>
    <t>寛容な態度で接する。</t>
  </si>
  <si>
    <t>Tiếp xúc với thái độ bao dung.</t>
  </si>
  <si>
    <t>差額</t>
  </si>
  <si>
    <t>さがく</t>
  </si>
  <si>
    <t>差額[さがく]</t>
  </si>
  <si>
    <t>số tiền chênh lệch</t>
  </si>
  <si>
    <t>差額を払う。</t>
  </si>
  <si>
    <t>Trả số tiền chênh lệch.</t>
  </si>
  <si>
    <t>座談会</t>
  </si>
  <si>
    <t>ざだんかい</t>
  </si>
  <si>
    <t>座談会[ざだんかい]</t>
  </si>
  <si>
    <t>buổi tọa đàm</t>
  </si>
  <si>
    <t>座談会に参加する。</t>
  </si>
  <si>
    <t>Tham gia buổi tọa đàm.</t>
  </si>
  <si>
    <t>意気込む</t>
  </si>
  <si>
    <t>いきごむ</t>
  </si>
  <si>
    <t>意気込[いきご]む</t>
  </si>
  <si>
    <t>勝利に意気込む。</t>
  </si>
  <si>
    <t>Quyết tâm giành chiến thắng.</t>
  </si>
  <si>
    <t>引取る</t>
  </si>
  <si>
    <t>ひきとる</t>
  </si>
  <si>
    <t>引取[ひきと]る</t>
  </si>
  <si>
    <t>nhận về</t>
  </si>
  <si>
    <t>荷物を引き取る。</t>
  </si>
  <si>
    <t>Nhận lại hành lý.</t>
  </si>
  <si>
    <t>据え付ける</t>
  </si>
  <si>
    <t>すえつける</t>
  </si>
  <si>
    <t>据[す]え付[つ]ける</t>
  </si>
  <si>
    <t>エアコンを据え付ける。</t>
  </si>
  <si>
    <t>憂鬱</t>
  </si>
  <si>
    <t>ゆううつ</t>
  </si>
  <si>
    <t>憂鬱[ゆううつ]</t>
  </si>
  <si>
    <t>u uất</t>
  </si>
  <si>
    <t>月曜日は憂鬱だ。</t>
  </si>
  <si>
    <t>Thứ Hai thật u uất.</t>
  </si>
  <si>
    <t>戯曲</t>
  </si>
  <si>
    <t>ぎきょく</t>
  </si>
  <si>
    <t>戯曲[ぎきょく]</t>
  </si>
  <si>
    <t>戯曲を書く。</t>
  </si>
  <si>
    <t>Viết kịch.</t>
  </si>
  <si>
    <t>家出</t>
  </si>
  <si>
    <t>いえで</t>
  </si>
  <si>
    <t>家出[いえで]</t>
  </si>
  <si>
    <t>bỏ nhà</t>
  </si>
  <si>
    <t>弟が家出した。</t>
  </si>
  <si>
    <t>Em trai đã bỏ nhà đi.</t>
  </si>
  <si>
    <t>方々</t>
  </si>
  <si>
    <t>かたがた</t>
  </si>
  <si>
    <t>方々[かたがた]</t>
  </si>
  <si>
    <t>các vị</t>
  </si>
  <si>
    <t>お客様方々。</t>
  </si>
  <si>
    <t>Chào các vị khách quý.</t>
  </si>
  <si>
    <t>東西</t>
  </si>
  <si>
    <t>とうざい</t>
  </si>
  <si>
    <t>東西[とうざい]</t>
  </si>
  <si>
    <t>đông tây</t>
  </si>
  <si>
    <t>東西を結ぶ。</t>
  </si>
  <si>
    <t>Kết nối đông tây.</t>
  </si>
  <si>
    <t>改造</t>
  </si>
  <si>
    <t>かいぞう</t>
  </si>
  <si>
    <t>改造[かいぞう]</t>
  </si>
  <si>
    <t>cải tạo</t>
  </si>
  <si>
    <t>車を改造する。</t>
  </si>
  <si>
    <t>Độ lại chiếc xe.</t>
  </si>
  <si>
    <t>正体</t>
  </si>
  <si>
    <t>正体[しょうたい]</t>
  </si>
  <si>
    <t>thân phận</t>
  </si>
  <si>
    <t>正体を隠す。</t>
  </si>
  <si>
    <t>Giấu thân phận.</t>
  </si>
  <si>
    <t>晩御飯</t>
  </si>
  <si>
    <t>ばんごはん</t>
  </si>
  <si>
    <t>晩御飯[ばんごはん]</t>
  </si>
  <si>
    <t>晩御飯を作る。</t>
  </si>
  <si>
    <t>森林</t>
  </si>
  <si>
    <t>しんりん</t>
  </si>
  <si>
    <t>森林[しんりん]</t>
  </si>
  <si>
    <t>森林を守る。</t>
  </si>
  <si>
    <t>Bảo vệ rừng.</t>
  </si>
  <si>
    <t>年号</t>
  </si>
  <si>
    <t>ねんごう</t>
  </si>
  <si>
    <t>年号[ねんごう]</t>
  </si>
  <si>
    <t>niên hiệu</t>
  </si>
  <si>
    <t>年号が変わる。</t>
  </si>
  <si>
    <t>Thay đổi niên hiệu.</t>
  </si>
  <si>
    <t>屋敷</t>
  </si>
  <si>
    <t>やしき</t>
  </si>
  <si>
    <t>屋敷[やしき]</t>
  </si>
  <si>
    <t>dinh thự</t>
  </si>
  <si>
    <t>立派な屋敷。</t>
  </si>
  <si>
    <t>Dinh thự lộng lẫy.</t>
  </si>
  <si>
    <t>愚痴</t>
  </si>
  <si>
    <t>ぐち</t>
  </si>
  <si>
    <t>愚痴[ぐち]</t>
  </si>
  <si>
    <t>愚痴をこぼす。</t>
  </si>
  <si>
    <t>Than vãn.</t>
  </si>
  <si>
    <t>弓</t>
  </si>
  <si>
    <t>ゆみ</t>
  </si>
  <si>
    <t>弓[ゆみ]</t>
  </si>
  <si>
    <t>cung</t>
  </si>
  <si>
    <t>弓を引く。</t>
  </si>
  <si>
    <t>Giương cung.</t>
  </si>
  <si>
    <t>校舎</t>
  </si>
  <si>
    <t>校舎[こうしゃ]</t>
  </si>
  <si>
    <t>tòa nhà trường</t>
  </si>
  <si>
    <t>校舎を建てる。</t>
  </si>
  <si>
    <t>Xây tòa nhà trường.</t>
  </si>
  <si>
    <t>欠席</t>
  </si>
  <si>
    <t>けっせき</t>
  </si>
  <si>
    <t>欠席[けっせき]</t>
  </si>
  <si>
    <t>授業を欠席する。</t>
  </si>
  <si>
    <t>Vắng mặt buổi học.</t>
  </si>
  <si>
    <t>散らす</t>
  </si>
  <si>
    <t>ちらす</t>
  </si>
  <si>
    <t>散[ち]らす</t>
  </si>
  <si>
    <t>rải rác</t>
  </si>
  <si>
    <t>花を散らす。</t>
  </si>
  <si>
    <t>Rải rác cánh hoa.</t>
  </si>
  <si>
    <t>月日</t>
  </si>
  <si>
    <t>つきひ</t>
  </si>
  <si>
    <t>月日[つきひ]</t>
  </si>
  <si>
    <t>月日が流れる。</t>
  </si>
  <si>
    <t>昨</t>
  </si>
  <si>
    <t>昨[さく]</t>
  </si>
  <si>
    <t>昨の夜。</t>
  </si>
  <si>
    <t>Đêm hôm qua.</t>
  </si>
  <si>
    <t>毒</t>
  </si>
  <si>
    <t>どく</t>
  </si>
  <si>
    <t>毒[どく]</t>
  </si>
  <si>
    <t>độc</t>
  </si>
  <si>
    <t>毒がある。</t>
  </si>
  <si>
    <t>Có chất độc.</t>
  </si>
  <si>
    <t>捻る</t>
  </si>
  <si>
    <t>ひねる</t>
  </si>
  <si>
    <t>捻[ひね]る</t>
  </si>
  <si>
    <t>vặn</t>
  </si>
  <si>
    <t>蛇口を捻る。</t>
  </si>
  <si>
    <t>実る</t>
  </si>
  <si>
    <t>みのる</t>
  </si>
  <si>
    <t>実[みの]る</t>
  </si>
  <si>
    <t>稲が実る。</t>
  </si>
  <si>
    <t>Lúa đang chín.</t>
  </si>
  <si>
    <t>哀れ</t>
  </si>
  <si>
    <t>あわれ</t>
  </si>
  <si>
    <t>哀[あわ]れ</t>
  </si>
  <si>
    <t>哀れな姿を見る。</t>
  </si>
  <si>
    <t>Nhìn thấy hình dáng đáng thương.</t>
  </si>
  <si>
    <t>順序</t>
  </si>
  <si>
    <t>じゅんじょ</t>
  </si>
  <si>
    <t>順序[じゅんじょ]</t>
  </si>
  <si>
    <t>順序を守る。</t>
  </si>
  <si>
    <t>Tuân thủ thứ tự đúng quy trình.</t>
  </si>
  <si>
    <t>題名</t>
  </si>
  <si>
    <t>だいめい</t>
  </si>
  <si>
    <t>題名[だいめい]</t>
  </si>
  <si>
    <t>本の題名を書く。</t>
  </si>
  <si>
    <t>Viết tiêu đề của cuốn sách.</t>
  </si>
  <si>
    <t>精算</t>
  </si>
  <si>
    <t>精算[せいさん]</t>
  </si>
  <si>
    <t>交通費を精算する。</t>
  </si>
  <si>
    <t>Thanh toán chi phí đi lại.</t>
  </si>
  <si>
    <t>商人</t>
  </si>
  <si>
    <t>商人[しょうにん]</t>
  </si>
  <si>
    <t>thương nhân</t>
  </si>
  <si>
    <t>商人と交渉する。</t>
  </si>
  <si>
    <t>Đàm phán với thương nhân.</t>
  </si>
  <si>
    <t>消化</t>
  </si>
  <si>
    <t>しょうか</t>
  </si>
  <si>
    <t>消化[しょうか]</t>
  </si>
  <si>
    <t>tiêu hóa</t>
  </si>
  <si>
    <t>胃で消化を助ける。</t>
  </si>
  <si>
    <t>Hỗ trợ tiêu hóa trong dạ dày.</t>
  </si>
  <si>
    <t>吊る</t>
  </si>
  <si>
    <t>吊[つ]る</t>
  </si>
  <si>
    <t>絵を壁に吊る。</t>
  </si>
  <si>
    <t>Treo bức tranh lên tường.</t>
  </si>
  <si>
    <t>驚かす</t>
  </si>
  <si>
    <t>おどろかす</t>
  </si>
  <si>
    <t>驚[おどろ]かす</t>
  </si>
  <si>
    <t>làm ngạc nhiên</t>
  </si>
  <si>
    <t>友人を驚かす。</t>
  </si>
  <si>
    <t>Làm bạn mình ngạc nhiên.</t>
  </si>
  <si>
    <t>集会</t>
  </si>
  <si>
    <t>しゅうかい</t>
  </si>
  <si>
    <t>集会[しゅうかい]</t>
  </si>
  <si>
    <t>学校で集会を開く。</t>
  </si>
  <si>
    <t>Trường học tổ chức cuộc họp.</t>
  </si>
  <si>
    <t>嗅ぐ</t>
  </si>
  <si>
    <t>嗅[か]ぐ</t>
  </si>
  <si>
    <t>ngửi</t>
  </si>
  <si>
    <t>花の香りを嗅ぐ。</t>
  </si>
  <si>
    <t>Ngửi hương thơm của hoa.</t>
  </si>
  <si>
    <t>深夜</t>
  </si>
  <si>
    <t>しんや</t>
  </si>
  <si>
    <t>深夜[しんや]</t>
  </si>
  <si>
    <t>深夜まで仕事する。</t>
  </si>
  <si>
    <t>Làm việc đến tận đêm khuya.</t>
  </si>
  <si>
    <t>経緯</t>
  </si>
  <si>
    <t>けいい</t>
  </si>
  <si>
    <t>経緯[けいい]</t>
  </si>
  <si>
    <t>事件の経緯を知る。</t>
  </si>
  <si>
    <t>Biết quá trình sự việc.</t>
  </si>
  <si>
    <t>航海</t>
  </si>
  <si>
    <t>航海[こうかい]</t>
  </si>
  <si>
    <t>hàng hải</t>
  </si>
  <si>
    <t>長い航海に出る。</t>
  </si>
  <si>
    <t>Đi chuyến hàng hải dài.</t>
  </si>
  <si>
    <t>坊さん</t>
  </si>
  <si>
    <t>ぼうさん</t>
  </si>
  <si>
    <t>坊[ぼう]さん</t>
  </si>
  <si>
    <t>nhà sư</t>
  </si>
  <si>
    <t>坊さんに話を聞く。</t>
  </si>
  <si>
    <t>Nghe nhà sư nói chuyện.</t>
  </si>
  <si>
    <t>快晴</t>
  </si>
  <si>
    <t>快晴[かいせい]</t>
  </si>
  <si>
    <t>thời tiết đẹp</t>
  </si>
  <si>
    <t>今日は快晴です。</t>
  </si>
  <si>
    <t>Hôm nay thời tiết rất đẹp.</t>
  </si>
  <si>
    <t>定価</t>
  </si>
  <si>
    <t>定価[ていか]</t>
  </si>
  <si>
    <t>giá niêm yết</t>
  </si>
  <si>
    <t>定価で売る。</t>
  </si>
  <si>
    <t>Bán theo giá niêm yết.</t>
  </si>
  <si>
    <t>空中</t>
  </si>
  <si>
    <t>くうちゅう</t>
  </si>
  <si>
    <t>空中[くうちゅう]</t>
  </si>
  <si>
    <t>không trung</t>
  </si>
  <si>
    <t>鳥が空中を飛ぶ。</t>
  </si>
  <si>
    <t>Chim bay trên không trung.</t>
  </si>
  <si>
    <t>真空</t>
  </si>
  <si>
    <t>しんくう</t>
  </si>
  <si>
    <t>真空[しんくう]</t>
  </si>
  <si>
    <t>chân không</t>
  </si>
  <si>
    <t>真空にする。</t>
  </si>
  <si>
    <t>Tạo trạng thái chân không.</t>
  </si>
  <si>
    <t>小便</t>
  </si>
  <si>
    <t>しょうべん</t>
  </si>
  <si>
    <t>小便[しょうべん]</t>
  </si>
  <si>
    <t>トイレで小便をする。</t>
  </si>
  <si>
    <t>Đi tiểu trong nhà vệ sinh.</t>
  </si>
  <si>
    <t>混じる</t>
  </si>
  <si>
    <t>混[ま]じる</t>
  </si>
  <si>
    <t>hòa lẫn</t>
  </si>
  <si>
    <t>日本語が混じる。</t>
  </si>
  <si>
    <t>Tiếng Nhật bị hòa lẫn vào.</t>
  </si>
  <si>
    <t>現に</t>
  </si>
  <si>
    <t>げんに</t>
  </si>
  <si>
    <t>現[げん]に</t>
  </si>
  <si>
    <t>現に見たこと。</t>
  </si>
  <si>
    <t>Điều đã nhìn thấy thực tế.</t>
  </si>
  <si>
    <t>高等</t>
  </si>
  <si>
    <t>高等[こうとう]</t>
  </si>
  <si>
    <t>高等教育を受ける。</t>
  </si>
  <si>
    <t>Nhận giáo dục cao cấp.</t>
  </si>
  <si>
    <t>静まる</t>
  </si>
  <si>
    <t>しずまる</t>
  </si>
  <si>
    <t>静[しず]まる</t>
  </si>
  <si>
    <t>yên tĩnh lại</t>
  </si>
  <si>
    <t>騒ぎが静まる。</t>
  </si>
  <si>
    <t>Sự ồn ào đã yên tĩnh lại.</t>
  </si>
  <si>
    <t>大通り</t>
  </si>
  <si>
    <t>おおどおり</t>
  </si>
  <si>
    <t>大通[おおどお]り</t>
  </si>
  <si>
    <t>đường lớn</t>
  </si>
  <si>
    <t>大通りを歩く。</t>
  </si>
  <si>
    <t>Đi bộ trên đường lớn.</t>
  </si>
  <si>
    <t>発</t>
  </si>
  <si>
    <t>はつ</t>
  </si>
  <si>
    <t>発[はつ]</t>
  </si>
  <si>
    <t>khởi hành</t>
  </si>
  <si>
    <t>10時発の電車。</t>
  </si>
  <si>
    <t>Tàu khởi hành lúc 10 giờ.</t>
  </si>
  <si>
    <t>瓶</t>
  </si>
  <si>
    <t>瓶[びん]</t>
  </si>
  <si>
    <t>cái chai</t>
  </si>
  <si>
    <t>瓶に花を飾る。</t>
  </si>
  <si>
    <t>Trang trí hoa trong chai.</t>
  </si>
  <si>
    <t>王様</t>
  </si>
  <si>
    <t>おうさま</t>
  </si>
  <si>
    <t>王様[おうさま]</t>
  </si>
  <si>
    <t>nhà vua</t>
  </si>
  <si>
    <t>王様が国を治める。</t>
  </si>
  <si>
    <t>Nhà vua cai trị đất nước.</t>
  </si>
  <si>
    <t>塔</t>
  </si>
  <si>
    <t>塔[とう]</t>
  </si>
  <si>
    <t>高い塔に登る。</t>
  </si>
  <si>
    <t>垂直</t>
  </si>
  <si>
    <t>すいちょく</t>
  </si>
  <si>
    <t>垂直[すいちょく]</t>
  </si>
  <si>
    <t>thẳng đứng</t>
  </si>
  <si>
    <t>垂直に線を引く。</t>
  </si>
  <si>
    <t>Kẻ đường thẳng đứng.</t>
  </si>
  <si>
    <t>儀式</t>
  </si>
  <si>
    <t>ぎしき</t>
  </si>
  <si>
    <t>儀式[ぎしき]</t>
  </si>
  <si>
    <t>nghi thức</t>
  </si>
  <si>
    <t>儀式を行う。</t>
  </si>
  <si>
    <t>Tiến hành nghi thức.</t>
  </si>
  <si>
    <t>冷凍</t>
  </si>
  <si>
    <t>れいとう</t>
  </si>
  <si>
    <t>冷凍[れいとう]</t>
  </si>
  <si>
    <t>đông lạnh</t>
  </si>
  <si>
    <t>食品を冷凍する。</t>
  </si>
  <si>
    <t>Đông lạnh thực phẩm.</t>
  </si>
  <si>
    <t>官僚</t>
  </si>
  <si>
    <t>官僚[かんりょう]</t>
  </si>
  <si>
    <t>quan chức</t>
  </si>
  <si>
    <t>官僚の仕事。</t>
  </si>
  <si>
    <t>Công việc của quan chức.</t>
  </si>
  <si>
    <t>膨らます</t>
  </si>
  <si>
    <t>ふくらます</t>
  </si>
  <si>
    <t>膨[ふく]らます</t>
  </si>
  <si>
    <t>làm phồng</t>
  </si>
  <si>
    <t>風船を膨らます。</t>
  </si>
  <si>
    <t>Thổi phồng bóng bay.</t>
  </si>
  <si>
    <t>混ざる</t>
  </si>
  <si>
    <t>混[ま]ざる</t>
  </si>
  <si>
    <t>砂糖が水に混ざる。</t>
  </si>
  <si>
    <t>Đường trộn lẫn vào nước.</t>
  </si>
  <si>
    <t>飛行</t>
  </si>
  <si>
    <t>ひこう</t>
  </si>
  <si>
    <t>飛行[ひこう]</t>
  </si>
  <si>
    <t>sự bay</t>
  </si>
  <si>
    <t>飛行の準備をする。</t>
  </si>
  <si>
    <t>Chuẩn bị cho sự bay.</t>
  </si>
  <si>
    <t>畳</t>
  </si>
  <si>
    <t>たたみ</t>
  </si>
  <si>
    <t>畳[たたみ]</t>
  </si>
  <si>
    <t>畳の部屋。</t>
  </si>
  <si>
    <t>Phòng trải chiếu tatami.</t>
  </si>
  <si>
    <t>老い</t>
  </si>
  <si>
    <t>おい</t>
  </si>
  <si>
    <t>老[お]い</t>
  </si>
  <si>
    <t>già</t>
  </si>
  <si>
    <t>老いを感じる。</t>
  </si>
  <si>
    <t>Cảm thấy sự già nua.</t>
  </si>
  <si>
    <t>形容動詞</t>
  </si>
  <si>
    <t>けいようどうし</t>
  </si>
  <si>
    <t>形容動詞[けいようどうし]</t>
  </si>
  <si>
    <t>tính từ đuôi na</t>
  </si>
  <si>
    <t>形容動詞を勉強する。</t>
  </si>
  <si>
    <t>Học về tính từ đuôi na.</t>
  </si>
  <si>
    <t>克服</t>
  </si>
  <si>
    <t>こくふく</t>
  </si>
  <si>
    <t>克服[こくふく]</t>
  </si>
  <si>
    <t>khắc phục</t>
  </si>
  <si>
    <t>困難を克服する。</t>
  </si>
  <si>
    <t>Khắc phục khó khăn.</t>
  </si>
  <si>
    <t>噴火</t>
  </si>
  <si>
    <t>ふんか</t>
  </si>
  <si>
    <t>噴火[ふんか]</t>
  </si>
  <si>
    <t>phun trào</t>
  </si>
  <si>
    <t>火山が噴火する。</t>
  </si>
  <si>
    <t>Núi lửa phun trào.</t>
  </si>
  <si>
    <t>増減</t>
  </si>
  <si>
    <t>ぞうげん</t>
  </si>
  <si>
    <t>増減[ぞうげん]</t>
  </si>
  <si>
    <t>tăng giảm</t>
  </si>
  <si>
    <t>予算の増減。</t>
  </si>
  <si>
    <t>Sự tăng giảm ngân sách.</t>
  </si>
  <si>
    <t>従姉妹</t>
  </si>
  <si>
    <t>従姉妹[いとこ]</t>
  </si>
  <si>
    <t>chị em họ</t>
  </si>
  <si>
    <t>従姉妹に手紙を書く。</t>
  </si>
  <si>
    <t>Viết thư cho chị em họ.</t>
  </si>
  <si>
    <t>友情</t>
  </si>
  <si>
    <t>ゆうじょう</t>
  </si>
  <si>
    <t>友情[ゆうじょう]</t>
  </si>
  <si>
    <t>tình bạn</t>
  </si>
  <si>
    <t>友情を信じる。</t>
  </si>
  <si>
    <t>Tin tưởng tình bạn.</t>
  </si>
  <si>
    <t>溶かす</t>
  </si>
  <si>
    <t>とかす</t>
  </si>
  <si>
    <t>溶[と]かす</t>
  </si>
  <si>
    <t>làm tan</t>
  </si>
  <si>
    <t>砂糖を水に溶かす。</t>
  </si>
  <si>
    <t>Hòa tan đường vào nước.</t>
  </si>
  <si>
    <t>銅</t>
  </si>
  <si>
    <t>銅[どう]</t>
  </si>
  <si>
    <t>đồng</t>
  </si>
  <si>
    <t>銅の硬貨だ。</t>
  </si>
  <si>
    <t>Đồng tiền xu bằng đồng.</t>
  </si>
  <si>
    <t>公演</t>
  </si>
  <si>
    <t>公演[こうえん]</t>
  </si>
  <si>
    <t>公演を行う。</t>
  </si>
  <si>
    <t>Tổ chức biểu diễn.</t>
  </si>
  <si>
    <t>割と</t>
  </si>
  <si>
    <t>わりと</t>
  </si>
  <si>
    <t>割[わり]と</t>
  </si>
  <si>
    <t>割と簡単だ。</t>
  </si>
  <si>
    <t>Nó tương đối đơn giản.</t>
  </si>
  <si>
    <t>勤め</t>
  </si>
  <si>
    <t>つとめ</t>
  </si>
  <si>
    <t>勤[つと]め</t>
  </si>
  <si>
    <t>会社への勤め。</t>
  </si>
  <si>
    <t>Công việc tại công ty.</t>
  </si>
  <si>
    <t>暴れる</t>
  </si>
  <si>
    <t>あばれる</t>
  </si>
  <si>
    <t>暴[あば]れる</t>
  </si>
  <si>
    <t>quậy phá</t>
  </si>
  <si>
    <t>子供が暴れる。</t>
  </si>
  <si>
    <t>Đứa trẻ đang quậy phá.</t>
  </si>
  <si>
    <t>大小</t>
  </si>
  <si>
    <t>だいしょう</t>
  </si>
  <si>
    <t>大小[だいしょう]</t>
  </si>
  <si>
    <t>lớn nhỏ</t>
  </si>
  <si>
    <t>物の大小。</t>
  </si>
  <si>
    <t>Sự lớn nhỏ của đồ vật.</t>
  </si>
  <si>
    <t>安易</t>
  </si>
  <si>
    <t>あんい</t>
  </si>
  <si>
    <t>安易[あんい]</t>
  </si>
  <si>
    <t>安易に信じる。</t>
  </si>
  <si>
    <t>Dễ dàng tin tưởng.</t>
  </si>
  <si>
    <t>滞在</t>
  </si>
  <si>
    <t>たいざい</t>
  </si>
  <si>
    <t>滞在[たいざい]</t>
  </si>
  <si>
    <t>ホテルに滞在する。</t>
  </si>
  <si>
    <t>Lưu trú tại khách sạn.</t>
  </si>
  <si>
    <t>隙間</t>
  </si>
  <si>
    <t>すきま</t>
  </si>
  <si>
    <t>隙間[すきま]</t>
  </si>
  <si>
    <t>khe hở</t>
  </si>
  <si>
    <t>隙間から風が入る。</t>
  </si>
  <si>
    <t>Gió lùa vào từ khe hở.</t>
  </si>
  <si>
    <t>隅</t>
  </si>
  <si>
    <t>すみ</t>
  </si>
  <si>
    <t>隅[すみ]</t>
  </si>
  <si>
    <t>部屋の隅を掃除する。</t>
  </si>
  <si>
    <t>Dọn dẹp góc phòng.</t>
  </si>
  <si>
    <t>原料</t>
  </si>
  <si>
    <t>げんりょう</t>
  </si>
  <si>
    <t>原料[げんりょう]</t>
  </si>
  <si>
    <t>原料を仕入れる。</t>
  </si>
  <si>
    <t>Nhập nguyên liệu.</t>
  </si>
  <si>
    <t>間隔</t>
  </si>
  <si>
    <t>間隔[かんかく]</t>
  </si>
  <si>
    <t>khoảng cách</t>
  </si>
  <si>
    <t>間隔を空ける。</t>
  </si>
  <si>
    <t>Để trống khoảng cách.</t>
  </si>
  <si>
    <t>公平</t>
  </si>
  <si>
    <t>こうへい</t>
  </si>
  <si>
    <t>公平[こうへい]</t>
  </si>
  <si>
    <t>công bằng</t>
  </si>
  <si>
    <t>公平に扱う。</t>
  </si>
  <si>
    <t>Đối xử công bằng.</t>
  </si>
  <si>
    <t>演技</t>
  </si>
  <si>
    <t>えんぎ</t>
  </si>
  <si>
    <t>演技[えんぎ]</t>
  </si>
  <si>
    <t>diễn xuất</t>
  </si>
  <si>
    <t>彼女は演技が上手だ。</t>
  </si>
  <si>
    <t>Cô ấy diễn xuất giỏi.</t>
  </si>
  <si>
    <t>個々</t>
  </si>
  <si>
    <t>個々[ここ]</t>
  </si>
  <si>
    <t>個々に対応する。</t>
  </si>
  <si>
    <t>Ứng phó từng cái.</t>
  </si>
  <si>
    <t>水面</t>
  </si>
  <si>
    <t>すいめん</t>
  </si>
  <si>
    <t>水面[すいめん]</t>
  </si>
  <si>
    <t>mặt nước</t>
  </si>
  <si>
    <t>水面を歩く。</t>
  </si>
  <si>
    <t>Đi trên mặt nước.</t>
  </si>
  <si>
    <t>派手</t>
  </si>
  <si>
    <t>はで</t>
  </si>
  <si>
    <t>派手[はで]</t>
  </si>
  <si>
    <t>lòe loẹt</t>
  </si>
  <si>
    <t>派手な服を着る。</t>
  </si>
  <si>
    <t>Mặc quần áo lòe loẹt.</t>
  </si>
  <si>
    <t>符号</t>
  </si>
  <si>
    <t>ふごう</t>
  </si>
  <si>
    <t>符号[ふごう]</t>
  </si>
  <si>
    <t>符号を読み取る。</t>
  </si>
  <si>
    <t>Đọc hiểu ký hiệu.</t>
  </si>
  <si>
    <t>出勤</t>
  </si>
  <si>
    <t>しゅっきん</t>
  </si>
  <si>
    <t>出勤[しゅっきん]</t>
  </si>
  <si>
    <t>毎日出勤する。</t>
  </si>
  <si>
    <t>Đi làm hàng ngày.</t>
  </si>
  <si>
    <t>空想</t>
  </si>
  <si>
    <t>くうそう</t>
  </si>
  <si>
    <t>空想[くうそう]</t>
  </si>
  <si>
    <t>hư cấu</t>
  </si>
  <si>
    <t>空想の話をする。</t>
  </si>
  <si>
    <t>Kể chuyện hư cấu.</t>
  </si>
  <si>
    <t>社会科学</t>
  </si>
  <si>
    <t>しゃかいかがく</t>
  </si>
  <si>
    <t>社会科学[しゃかいかがく]</t>
  </si>
  <si>
    <t>khoa học xã hội</t>
  </si>
  <si>
    <t>社会科学を学ぶ。</t>
  </si>
  <si>
    <t>Học khoa học xã hội.</t>
  </si>
  <si>
    <t>理科</t>
  </si>
  <si>
    <t>りか</t>
  </si>
  <si>
    <t>理科[りか]</t>
  </si>
  <si>
    <t>理科の実験。</t>
  </si>
  <si>
    <t>騒ぎ</t>
  </si>
  <si>
    <t>さわぎ</t>
  </si>
  <si>
    <t>騒[さわ]ぎ</t>
  </si>
  <si>
    <t>sự ồn ào</t>
  </si>
  <si>
    <t>騒ぎを起こす。</t>
  </si>
  <si>
    <t>Gây ra sự ồn ào.</t>
  </si>
  <si>
    <t>半島</t>
  </si>
  <si>
    <t>はんとう</t>
  </si>
  <si>
    <t>半島[はんとう]</t>
  </si>
  <si>
    <t>bán đảo</t>
  </si>
  <si>
    <t>半島を旅行する。</t>
  </si>
  <si>
    <t>Du lịch bán đảo.</t>
  </si>
  <si>
    <t>泊める</t>
  </si>
  <si>
    <t>泊[と]める</t>
  </si>
  <si>
    <t>cho trọ</t>
  </si>
  <si>
    <t>人を泊める。</t>
  </si>
  <si>
    <t>Cho người ở trọ.</t>
  </si>
  <si>
    <t>扇ぐ</t>
  </si>
  <si>
    <t>扇[あお]ぐ</t>
  </si>
  <si>
    <t>quạt</t>
  </si>
  <si>
    <t>うちわで扇ぐ。</t>
  </si>
  <si>
    <t>Quạt bằng quạt giấy.</t>
  </si>
  <si>
    <t>前者</t>
  </si>
  <si>
    <t>ぜんしゃ</t>
  </si>
  <si>
    <t>前者[ぜんしゃ]</t>
  </si>
  <si>
    <t>cái trước</t>
  </si>
  <si>
    <t>前者を選ぶ。</t>
  </si>
  <si>
    <t>Chọn cái trước.</t>
  </si>
  <si>
    <t>能率</t>
  </si>
  <si>
    <t>のうりつ</t>
  </si>
  <si>
    <t>能率[のうりつ]</t>
  </si>
  <si>
    <t>能率を上げる。</t>
  </si>
  <si>
    <t>Tăng hiệu suất.</t>
  </si>
  <si>
    <t>効力</t>
  </si>
  <si>
    <t>こうりょく</t>
  </si>
  <si>
    <t>効力[こうりょく]</t>
  </si>
  <si>
    <t>hiệu lực</t>
  </si>
  <si>
    <t>法律の効力。</t>
  </si>
  <si>
    <t>Hiệu lực luật pháp.</t>
  </si>
  <si>
    <t>横断</t>
  </si>
  <si>
    <t>おうだん</t>
  </si>
  <si>
    <t>横断[おうだん]</t>
  </si>
  <si>
    <t>道を横断する。</t>
  </si>
  <si>
    <t>Băng qua đường.</t>
  </si>
  <si>
    <t>浮かべる</t>
  </si>
  <si>
    <t>うかべる</t>
  </si>
  <si>
    <t>浮[う]かべる</t>
  </si>
  <si>
    <t>thả nổi</t>
  </si>
  <si>
    <t>ボートを浮かべる。</t>
  </si>
  <si>
    <t>Thả con thuyền nổi.</t>
  </si>
  <si>
    <t>破産</t>
  </si>
  <si>
    <t>はさん</t>
  </si>
  <si>
    <t>破産[はさん]</t>
  </si>
  <si>
    <t>会社が破産する。</t>
  </si>
  <si>
    <t>精々</t>
  </si>
  <si>
    <t>せいぜい</t>
  </si>
  <si>
    <t>精々[せいぜい]</t>
  </si>
  <si>
    <t>tối đa</t>
  </si>
  <si>
    <t>精々頑張る。</t>
  </si>
  <si>
    <t>Nỗ lực hết mức.</t>
  </si>
  <si>
    <t>飽きる</t>
  </si>
  <si>
    <t>あきる</t>
  </si>
  <si>
    <t>飽[あ]きる</t>
  </si>
  <si>
    <t>chán</t>
  </si>
  <si>
    <t>同じ料理に飽きる。</t>
  </si>
  <si>
    <t>Chán món ăn đó.</t>
  </si>
  <si>
    <t>満ちる</t>
  </si>
  <si>
    <t>みちる</t>
  </si>
  <si>
    <t>満[み]ちる</t>
  </si>
  <si>
    <t>自信に満ちている。</t>
  </si>
  <si>
    <t>Tràn đầy sự tự tin.</t>
  </si>
  <si>
    <t>体温</t>
  </si>
  <si>
    <t>たいおん</t>
  </si>
  <si>
    <t>体温[たいおん]</t>
  </si>
  <si>
    <t>thân nhiệt</t>
  </si>
  <si>
    <t>体温を測る。</t>
  </si>
  <si>
    <t>Đo thân nhiệt.</t>
  </si>
  <si>
    <t>協調</t>
  </si>
  <si>
    <t>協調[きょうちょう]</t>
  </si>
  <si>
    <t>điều phối</t>
  </si>
  <si>
    <t>協調を保つ。</t>
  </si>
  <si>
    <t>Giữ sự phối hợp.</t>
  </si>
  <si>
    <t>原理</t>
  </si>
  <si>
    <t>げんり</t>
  </si>
  <si>
    <t>原理[げんり]</t>
  </si>
  <si>
    <t>nguyên lý</t>
  </si>
  <si>
    <t>原理を学ぶ。</t>
  </si>
  <si>
    <t>Học nguyên lý.</t>
  </si>
  <si>
    <t>夕刊</t>
  </si>
  <si>
    <t>夕刊[ゆうかん]</t>
  </si>
  <si>
    <t>báo chiều</t>
  </si>
  <si>
    <t>夕刊を読む。</t>
  </si>
  <si>
    <t>Đọc báo chiều.</t>
  </si>
  <si>
    <t>紙幣</t>
  </si>
  <si>
    <t>しへい</t>
  </si>
  <si>
    <t>紙幣[しへい]</t>
  </si>
  <si>
    <t>tiền giấy</t>
  </si>
  <si>
    <t>紙幣を数える。</t>
  </si>
  <si>
    <t>Đếm tiền giấy.</t>
  </si>
  <si>
    <t>電波</t>
  </si>
  <si>
    <t>でんぱ</t>
  </si>
  <si>
    <t>電波[でんぱ]</t>
  </si>
  <si>
    <t>sóng điện</t>
  </si>
  <si>
    <t>電波が弱い。</t>
  </si>
  <si>
    <t>Sóng điện rất yếu.</t>
  </si>
  <si>
    <t>作物</t>
  </si>
  <si>
    <t>さくもつ</t>
  </si>
  <si>
    <t>作物[さくもつ]</t>
  </si>
  <si>
    <t>hoa màu</t>
  </si>
  <si>
    <t>作物を育てる。</t>
  </si>
  <si>
    <t>Trồng hoa màu.</t>
  </si>
  <si>
    <t>分布</t>
  </si>
  <si>
    <t>ぶんぷ</t>
  </si>
  <si>
    <t>分布[ぶんぷ]</t>
  </si>
  <si>
    <t>phân bố</t>
  </si>
  <si>
    <t>人口の分布。</t>
  </si>
  <si>
    <t>Sự phân bố dân số.</t>
  </si>
  <si>
    <t>着替え</t>
  </si>
  <si>
    <t>きがえ</t>
  </si>
  <si>
    <t>着替[きが]え</t>
  </si>
  <si>
    <t>đồ thay</t>
  </si>
  <si>
    <t>着替えを持っていく。</t>
  </si>
  <si>
    <t>Mang theo đồ thay.</t>
  </si>
  <si>
    <t>突き当たる</t>
  </si>
  <si>
    <t>つきあたる</t>
  </si>
  <si>
    <t>突[つ]き当[あ]たる</t>
  </si>
  <si>
    <t>đâm vào</t>
  </si>
  <si>
    <t>壁に突き当たる。</t>
  </si>
  <si>
    <t>Đâm vào tường.</t>
  </si>
  <si>
    <t>自衛</t>
  </si>
  <si>
    <t>じえい</t>
  </si>
  <si>
    <t>自衛[じえい]</t>
  </si>
  <si>
    <t>tự vệ</t>
  </si>
  <si>
    <t>自衛の手段。</t>
  </si>
  <si>
    <t>Phương tiện tự vệ.</t>
  </si>
  <si>
    <t>稲</t>
  </si>
  <si>
    <t>いね</t>
  </si>
  <si>
    <t>稲[いね]</t>
  </si>
  <si>
    <t>lúa</t>
  </si>
  <si>
    <t>稲を収穫する。</t>
  </si>
  <si>
    <t>Thu hoạch lúa.</t>
  </si>
  <si>
    <t>鑑賞</t>
  </si>
  <si>
    <t>鑑賞[かんしょう]</t>
  </si>
  <si>
    <t>映画を鑑賞する。</t>
  </si>
  <si>
    <t>Thưởng thức phim.</t>
  </si>
  <si>
    <t>冷房</t>
  </si>
  <si>
    <t>れいぼう</t>
  </si>
  <si>
    <t>冷房[れいぼう]</t>
  </si>
  <si>
    <t>冷房を入れる。</t>
  </si>
  <si>
    <t>勘違い</t>
  </si>
  <si>
    <t>かんちがい</t>
  </si>
  <si>
    <t>勘違[かんちが]い</t>
  </si>
  <si>
    <t>名前を勘違いする。</t>
  </si>
  <si>
    <t>Hiểu lầm tên.</t>
  </si>
  <si>
    <t>真っ黒</t>
  </si>
  <si>
    <t>まっくろ</t>
  </si>
  <si>
    <t>真[ま]っ黒[くろ]</t>
  </si>
  <si>
    <t>đen thui</t>
  </si>
  <si>
    <t>髪が真っ黒だ。</t>
  </si>
  <si>
    <t>Mái tóc đen thui.</t>
  </si>
  <si>
    <t>蒸気</t>
  </si>
  <si>
    <t>じょうき</t>
  </si>
  <si>
    <t>蒸気[じょうき]</t>
  </si>
  <si>
    <t>蒸気が立つ。</t>
  </si>
  <si>
    <t>Hơi nước bay lên.</t>
  </si>
  <si>
    <t>加速</t>
  </si>
  <si>
    <t>かそく</t>
  </si>
  <si>
    <t>加速[かそく]</t>
  </si>
  <si>
    <t>gia tốc</t>
  </si>
  <si>
    <t>車が加速する。</t>
  </si>
  <si>
    <t>Chiếc xe gia tốc.</t>
  </si>
  <si>
    <t>大工</t>
  </si>
  <si>
    <t>だいく</t>
  </si>
  <si>
    <t>大工[だいく]</t>
  </si>
  <si>
    <t>thợ mộc</t>
  </si>
  <si>
    <t>大工を頼む。</t>
  </si>
  <si>
    <t>Thuê thợ mộc.</t>
  </si>
  <si>
    <t>潰れる</t>
  </si>
  <si>
    <t>つぶれる</t>
  </si>
  <si>
    <t>潰[つぶ]れる</t>
  </si>
  <si>
    <t>bị hỏng</t>
  </si>
  <si>
    <t>店が潰れる。</t>
  </si>
  <si>
    <t>Cửa hàng bị hỏng.</t>
  </si>
  <si>
    <t>偉大</t>
  </si>
  <si>
    <t>いだい</t>
  </si>
  <si>
    <t>偉大[いだい]</t>
  </si>
  <si>
    <t>偉大な業績。</t>
  </si>
  <si>
    <t>Thành tựu vĩ đại.</t>
  </si>
  <si>
    <t>煙</t>
  </si>
  <si>
    <t>けむり</t>
  </si>
  <si>
    <t>煙[けむり]</t>
  </si>
  <si>
    <t>khói</t>
  </si>
  <si>
    <t>煙が出ている。</t>
  </si>
  <si>
    <t>Khói đang bay ra.</t>
  </si>
  <si>
    <t>吠える</t>
  </si>
  <si>
    <t>ほえる</t>
  </si>
  <si>
    <t>吠[ほ]える</t>
  </si>
  <si>
    <t>sủa</t>
  </si>
  <si>
    <t>犬が吠える。</t>
  </si>
  <si>
    <t>Con chó đang sủa.</t>
  </si>
  <si>
    <t>直ちに</t>
  </si>
  <si>
    <t>ただちに</t>
  </si>
  <si>
    <t>直[ただ]ちに</t>
  </si>
  <si>
    <t>直ちに帰る。</t>
  </si>
  <si>
    <t>Về ngay lập tức.</t>
  </si>
  <si>
    <t>花見</t>
  </si>
  <si>
    <t>はなみ</t>
  </si>
  <si>
    <t>花見[はなみ]</t>
  </si>
  <si>
    <t>ngắm hoa</t>
  </si>
  <si>
    <t>花見に行く。</t>
  </si>
  <si>
    <t>Đi ngắm hoa.</t>
  </si>
  <si>
    <t>六つ</t>
  </si>
  <si>
    <t>むっつ</t>
  </si>
  <si>
    <t>六[むっ]つ</t>
  </si>
  <si>
    <t>sáu cái</t>
  </si>
  <si>
    <t>六つ買う。</t>
  </si>
  <si>
    <t>Mua sáu cái.</t>
  </si>
  <si>
    <t>揉む</t>
  </si>
  <si>
    <t>もむ</t>
  </si>
  <si>
    <t>揉[も]む</t>
  </si>
  <si>
    <t>xoa bóp</t>
  </si>
  <si>
    <t>疲れた肩を揉む。</t>
  </si>
  <si>
    <t>Xoa bóp vai bị mỏi.</t>
  </si>
  <si>
    <t>答案</t>
  </si>
  <si>
    <t>とうあん</t>
  </si>
  <si>
    <t>答案[とうあん]</t>
  </si>
  <si>
    <t>bài thi</t>
  </si>
  <si>
    <t>答案を提出する。</t>
  </si>
  <si>
    <t>Nộp bài thi.</t>
  </si>
  <si>
    <t>氏名</t>
  </si>
  <si>
    <t>氏名[しめい]</t>
  </si>
  <si>
    <t>họ tên</t>
  </si>
  <si>
    <t>氏名を書く。</t>
  </si>
  <si>
    <t>Viết họ tên.</t>
  </si>
  <si>
    <t>絵の具</t>
  </si>
  <si>
    <t>えのぐ</t>
  </si>
  <si>
    <t>絵[え]の具[ぐ]</t>
  </si>
  <si>
    <t>màu vẽ</t>
  </si>
  <si>
    <t>絵の具を使う。</t>
  </si>
  <si>
    <t>Dùng màu vẽ.</t>
  </si>
  <si>
    <t>睨む</t>
  </si>
  <si>
    <t>にらむ</t>
  </si>
  <si>
    <t>睨[にら]む</t>
  </si>
  <si>
    <t>lườm</t>
  </si>
  <si>
    <t>相手を睨む。</t>
  </si>
  <si>
    <t>Lườm đối phương.</t>
  </si>
  <si>
    <t>蚊</t>
  </si>
  <si>
    <t>蚊[か]</t>
  </si>
  <si>
    <t>muỗi</t>
  </si>
  <si>
    <t>蚊に刺される。</t>
  </si>
  <si>
    <t>Bị muỗi đốt.</t>
  </si>
  <si>
    <t>部首</t>
  </si>
  <si>
    <t>ぶしゅ</t>
  </si>
  <si>
    <t>部首[ぶしゅ]</t>
  </si>
  <si>
    <t>部首を調べる。</t>
  </si>
  <si>
    <t>Tra bộ chữ Hán.</t>
  </si>
  <si>
    <t>勘定</t>
  </si>
  <si>
    <t>勘定[かんじょう]</t>
  </si>
  <si>
    <t>勘定を払う。</t>
  </si>
  <si>
    <t>Thanh toán.</t>
  </si>
  <si>
    <t>間接</t>
  </si>
  <si>
    <t>かんせつ</t>
  </si>
  <si>
    <t>間接[かんせつ]</t>
  </si>
  <si>
    <t>gián tiếp</t>
  </si>
  <si>
    <t>間接的に聞く。</t>
  </si>
  <si>
    <t>Nghe gián tiếp.</t>
  </si>
  <si>
    <t>便り</t>
  </si>
  <si>
    <t>たより</t>
  </si>
  <si>
    <t>便[たよ]り</t>
  </si>
  <si>
    <t>thư từ</t>
  </si>
  <si>
    <t>便りを送る。</t>
  </si>
  <si>
    <t>Gửi thư từ.</t>
  </si>
  <si>
    <t>寝台</t>
  </si>
  <si>
    <t>しんだい</t>
  </si>
  <si>
    <t>寝台[しんだい]</t>
  </si>
  <si>
    <t>寝台に乗る。</t>
  </si>
  <si>
    <t>Lên giường.</t>
  </si>
  <si>
    <t>物語る</t>
  </si>
  <si>
    <t>ものがたる</t>
  </si>
  <si>
    <t>物語[ものがた]る</t>
  </si>
  <si>
    <t>kể lại</t>
  </si>
  <si>
    <t>歴史を物語る。</t>
  </si>
  <si>
    <t>Kể lại lịch sử.</t>
  </si>
  <si>
    <t>妙</t>
  </si>
  <si>
    <t>みょう</t>
  </si>
  <si>
    <t>妙[みょう]</t>
  </si>
  <si>
    <t>妙な感じ。</t>
  </si>
  <si>
    <t>Cảm giác kỳ lạ.</t>
  </si>
  <si>
    <t>靴下</t>
  </si>
  <si>
    <t>くつした</t>
  </si>
  <si>
    <t>靴下[くつした]</t>
  </si>
  <si>
    <t>靴下を脱ぐ。</t>
  </si>
  <si>
    <t>Cởi tất ra.</t>
  </si>
  <si>
    <t>戸棚</t>
  </si>
  <si>
    <t>とだな</t>
  </si>
  <si>
    <t>戸棚[とだな]</t>
  </si>
  <si>
    <t>戸棚に皿をしまう。</t>
  </si>
  <si>
    <t>Cất đĩa vào tủ.</t>
  </si>
  <si>
    <t>扇子</t>
  </si>
  <si>
    <t>扇子[せんす]</t>
  </si>
  <si>
    <t>quạt giấy</t>
  </si>
  <si>
    <t>扇子を閉じる。</t>
  </si>
  <si>
    <t>Gập quạt giấy.</t>
  </si>
  <si>
    <t>股</t>
  </si>
  <si>
    <t>股[また]</t>
  </si>
  <si>
    <t>háng</t>
  </si>
  <si>
    <t>股を広げる。</t>
  </si>
  <si>
    <t>Dang háng.</t>
  </si>
  <si>
    <t>著す</t>
  </si>
  <si>
    <t>著[あらわ]す</t>
  </si>
  <si>
    <t>本を著す。</t>
  </si>
  <si>
    <t>器用</t>
  </si>
  <si>
    <t>きよう</t>
  </si>
  <si>
    <t>器用[きよう]</t>
  </si>
  <si>
    <t>手先が器用だ。</t>
  </si>
  <si>
    <t>Khéo tay.</t>
  </si>
  <si>
    <t>小包</t>
  </si>
  <si>
    <t>こづつみ</t>
  </si>
  <si>
    <t>小包[こづつみ]</t>
  </si>
  <si>
    <t>bưu kiện</t>
  </si>
  <si>
    <t>小包を送る。</t>
  </si>
  <si>
    <t>Gửi bưu kiện.</t>
  </si>
  <si>
    <t>磁石</t>
  </si>
  <si>
    <t>じしゃく</t>
  </si>
  <si>
    <t>磁石[じしゃく]</t>
  </si>
  <si>
    <t>nam châm</t>
  </si>
  <si>
    <t>磁石をくっつける。</t>
  </si>
  <si>
    <t>Gắn nam châm.</t>
  </si>
  <si>
    <t>物価</t>
  </si>
  <si>
    <t>ぶっか</t>
  </si>
  <si>
    <t>物価[ぶっか]</t>
  </si>
  <si>
    <t>vật giá</t>
  </si>
  <si>
    <t>物価が上がる。</t>
  </si>
  <si>
    <t>Vật giá tăng.</t>
  </si>
  <si>
    <t>蒸発</t>
  </si>
  <si>
    <t>じょうはつ</t>
  </si>
  <si>
    <t>蒸発[じょうはつ]</t>
  </si>
  <si>
    <t>bay hơi</t>
  </si>
  <si>
    <t>水が蒸発する。</t>
  </si>
  <si>
    <t>Nước bay hơi.</t>
  </si>
  <si>
    <t>粗い</t>
  </si>
  <si>
    <t>粗[あら]い</t>
  </si>
  <si>
    <t>thô sơ</t>
  </si>
  <si>
    <t>網目が粗い。</t>
  </si>
  <si>
    <t>Mắt lưới thô.</t>
  </si>
  <si>
    <t>直通</t>
  </si>
  <si>
    <t>ちょくつう</t>
  </si>
  <si>
    <t>直通[ちょくつう]</t>
  </si>
  <si>
    <t>直通の電車。</t>
  </si>
  <si>
    <t>Tàu đi thẳng.</t>
  </si>
  <si>
    <t>刻む</t>
  </si>
  <si>
    <t>きざむ</t>
  </si>
  <si>
    <t>刻[きざ]む</t>
  </si>
  <si>
    <t>thái</t>
  </si>
  <si>
    <t>野菜を刻む。</t>
  </si>
  <si>
    <t>Thái rau.</t>
  </si>
  <si>
    <t>笛</t>
  </si>
  <si>
    <t>ふえ</t>
  </si>
  <si>
    <t>笛[ふえ]</t>
  </si>
  <si>
    <t>sáo</t>
  </si>
  <si>
    <t>笛を吹く。</t>
  </si>
  <si>
    <t>Thổi sáo.</t>
  </si>
  <si>
    <t>学歴</t>
  </si>
  <si>
    <t>がくれき</t>
  </si>
  <si>
    <t>学歴[がくれき]</t>
  </si>
  <si>
    <t>学歴が高い。</t>
  </si>
  <si>
    <t>Học vấn cao.</t>
  </si>
  <si>
    <t>織る</t>
  </si>
  <si>
    <t>織[お]る</t>
  </si>
  <si>
    <t>dệt</t>
  </si>
  <si>
    <t>布を織る。</t>
  </si>
  <si>
    <t>Dệt vải.</t>
  </si>
  <si>
    <t>芽</t>
  </si>
  <si>
    <t>芽[め]</t>
  </si>
  <si>
    <t>mầm</t>
  </si>
  <si>
    <t>芽が出る。</t>
  </si>
  <si>
    <t>Mầm nhú lên.</t>
  </si>
  <si>
    <t>休養</t>
  </si>
  <si>
    <t>きゅうよう</t>
  </si>
  <si>
    <t>休養[きゅうよう]</t>
  </si>
  <si>
    <t>nghỉ dưỡng</t>
  </si>
  <si>
    <t>休養する。</t>
  </si>
  <si>
    <t>Nghỉ dưỡng.</t>
  </si>
  <si>
    <t>旗</t>
  </si>
  <si>
    <t>はた</t>
  </si>
  <si>
    <t>旗[はた]</t>
  </si>
  <si>
    <t>cờ</t>
  </si>
  <si>
    <t>旗を振る。</t>
  </si>
  <si>
    <t>Vẫy cờ.</t>
  </si>
  <si>
    <t>肺</t>
  </si>
  <si>
    <t>肺[はい]</t>
  </si>
  <si>
    <t>phổi</t>
  </si>
  <si>
    <t>肺が強い。</t>
  </si>
  <si>
    <t>Phổi khỏe.</t>
  </si>
  <si>
    <t>皮膚</t>
  </si>
  <si>
    <t>ひふ</t>
  </si>
  <si>
    <t>皮膚[ひふ]</t>
  </si>
  <si>
    <t>皮膚を守る。</t>
  </si>
  <si>
    <t>Bảo vệ da.</t>
  </si>
  <si>
    <t>破く</t>
  </si>
  <si>
    <t>やぶく</t>
  </si>
  <si>
    <t>破[やぶ]く</t>
  </si>
  <si>
    <t>手紙を破く。</t>
  </si>
  <si>
    <t>Xé lá thư.</t>
  </si>
  <si>
    <t>留守</t>
  </si>
  <si>
    <t>るす</t>
  </si>
  <si>
    <t>留守[るす]</t>
  </si>
  <si>
    <t>vắng nhà</t>
  </si>
  <si>
    <t>留守番をする。</t>
  </si>
  <si>
    <t>Giữ nhà.</t>
  </si>
  <si>
    <t>屑</t>
  </si>
  <si>
    <t>くず</t>
  </si>
  <si>
    <t>屑[くず]</t>
  </si>
  <si>
    <t>屑を捨てる。</t>
  </si>
  <si>
    <t>生える</t>
  </si>
  <si>
    <t>生[は]える</t>
  </si>
  <si>
    <t>髪が生える。</t>
  </si>
  <si>
    <t>Tóc mọc.</t>
  </si>
  <si>
    <t>痛感</t>
  </si>
  <si>
    <t>つうかん</t>
  </si>
  <si>
    <t>痛感[つうかん]</t>
  </si>
  <si>
    <t>sự cảm nhận sâu sắc</t>
  </si>
  <si>
    <t>必要性を痛感する。</t>
  </si>
  <si>
    <t>Cảm nhận sâu sắc sự cần thiết.</t>
  </si>
  <si>
    <t>法廷</t>
  </si>
  <si>
    <t>ほうてい</t>
  </si>
  <si>
    <t>法廷[ほうてい]</t>
  </si>
  <si>
    <t>tòa án</t>
  </si>
  <si>
    <t>法廷に立つ。</t>
  </si>
  <si>
    <t>Đứng trước tòa án.</t>
  </si>
  <si>
    <t>畜産</t>
  </si>
  <si>
    <t>ちくさん</t>
  </si>
  <si>
    <t>畜産[ちくさん]</t>
  </si>
  <si>
    <t>ngành chăn nuôi</t>
  </si>
  <si>
    <t>畜産を営む。</t>
  </si>
  <si>
    <t>Kinh doanh ngành chăn nuôi.</t>
  </si>
  <si>
    <t>短大</t>
  </si>
  <si>
    <t>たんだい</t>
  </si>
  <si>
    <t>短大[たんだい]</t>
  </si>
  <si>
    <t>trường cao đẳng</t>
  </si>
  <si>
    <t>短大を卒業する。</t>
  </si>
  <si>
    <t>Tốt nghiệp trường cao đẳng.</t>
  </si>
  <si>
    <t>検事</t>
  </si>
  <si>
    <t>けんじ</t>
  </si>
  <si>
    <t>検事[けんじ]</t>
  </si>
  <si>
    <t>kiểm sát viên</t>
  </si>
  <si>
    <t>検事が尋問する。</t>
  </si>
  <si>
    <t>Kiểm sát viên tiến hành thẩm vấn.</t>
  </si>
  <si>
    <t>やりとおす</t>
  </si>
  <si>
    <t>làm đến cùng</t>
  </si>
  <si>
    <t>最後までやりとおす。</t>
  </si>
  <si>
    <t>Làm đến cùng cho đến khi xong.</t>
  </si>
  <si>
    <t>三味線</t>
  </si>
  <si>
    <t>しゃみせん</t>
  </si>
  <si>
    <t>三味線[しゃみせん]</t>
  </si>
  <si>
    <t>đàn shamisen</t>
  </si>
  <si>
    <t>三味線を弾く。</t>
  </si>
  <si>
    <t>Gảy đàn shamisen.</t>
  </si>
  <si>
    <t>不評</t>
  </si>
  <si>
    <t>ふひょう</t>
  </si>
  <si>
    <t>不評[ふひょう]</t>
  </si>
  <si>
    <t>đánh giá kém</t>
  </si>
  <si>
    <t>計画が不評だ。</t>
  </si>
  <si>
    <t>Kế hoạch bị đánh giá kém.</t>
  </si>
  <si>
    <t>産婦人科</t>
  </si>
  <si>
    <t>さんふじんか</t>
  </si>
  <si>
    <t>産婦人科[さんふじんか]</t>
  </si>
  <si>
    <t>khoa sản phụ</t>
  </si>
  <si>
    <t>産婦人科に通う。</t>
  </si>
  <si>
    <t>Đi khám tại khoa sản phụ.</t>
  </si>
  <si>
    <t>産後</t>
  </si>
  <si>
    <t>さんご</t>
  </si>
  <si>
    <t>産後[さんご]</t>
  </si>
  <si>
    <t>sau khi sinh</t>
  </si>
  <si>
    <t>産後の体調管理。</t>
  </si>
  <si>
    <t>Quản lý sức khỏe sau khi sinh.</t>
  </si>
  <si>
    <t>着工</t>
  </si>
  <si>
    <t>ちゃっこう</t>
  </si>
  <si>
    <t>着工[ちゃっこう]</t>
  </si>
  <si>
    <t>sự khởi công</t>
  </si>
  <si>
    <t>工事が着工する。</t>
  </si>
  <si>
    <t>Công trình khởi công.</t>
  </si>
  <si>
    <t>すみやか</t>
  </si>
  <si>
    <t>すみやかに処理する。</t>
  </si>
  <si>
    <t>Xử lý nhanh chóng.</t>
  </si>
  <si>
    <t>まちまち</t>
  </si>
  <si>
    <t>thất thường</t>
  </si>
  <si>
    <t>意見はまちまちだ。</t>
  </si>
  <si>
    <t>Ý kiến mỗi người một kiểu.</t>
  </si>
  <si>
    <t>模倣</t>
  </si>
  <si>
    <t>もほう</t>
  </si>
  <si>
    <t>模倣[もほう]</t>
  </si>
  <si>
    <t>sự mô phỏng</t>
  </si>
  <si>
    <t>成功例を模倣する。</t>
  </si>
  <si>
    <t>Mô phỏng ví dụ thành công.</t>
  </si>
  <si>
    <t>混同</t>
  </si>
  <si>
    <t>こんどう</t>
  </si>
  <si>
    <t>混同[こんどう]</t>
  </si>
  <si>
    <t>sự nhầm lẫn</t>
  </si>
  <si>
    <t>公私を混同する。</t>
  </si>
  <si>
    <t>Nhầm lẫn giữa việc công và tư.</t>
  </si>
  <si>
    <t>産出</t>
  </si>
  <si>
    <t>さんしゅつ</t>
  </si>
  <si>
    <t>産出[さんしゅつ]</t>
  </si>
  <si>
    <t>sự sản xuất</t>
  </si>
  <si>
    <t>石油を産出する。</t>
  </si>
  <si>
    <t>Sản xuất dầu mỏ.</t>
  </si>
  <si>
    <t>類推</t>
  </si>
  <si>
    <t>るいすい</t>
  </si>
  <si>
    <t>類推[るいすい]</t>
  </si>
  <si>
    <t>sự suy luận</t>
  </si>
  <si>
    <t>過去から類推する。</t>
  </si>
  <si>
    <t>Suy luận từ quá khứ.</t>
  </si>
  <si>
    <t>いびき</t>
  </si>
  <si>
    <t>tiếng ngáy</t>
  </si>
  <si>
    <t>いびきがうるさい。</t>
  </si>
  <si>
    <t>Tiếng ngáy thật ồn ào.</t>
  </si>
  <si>
    <t>一様</t>
  </si>
  <si>
    <t>いちよう</t>
  </si>
  <si>
    <t>一様[いちよう]</t>
  </si>
  <si>
    <t>giống nhau</t>
  </si>
  <si>
    <t>一様に驚く。</t>
  </si>
  <si>
    <t>Mọi người cùng ngạc nhiên.</t>
  </si>
  <si>
    <t>乗っ取る</t>
  </si>
  <si>
    <t>のっとる</t>
  </si>
  <si>
    <t>乗[の]っ取[と]る</t>
  </si>
  <si>
    <t>chiếm đoạt</t>
  </si>
  <si>
    <t>会社を乗っ取る。</t>
  </si>
  <si>
    <t>Chiếm đoạt công ty.</t>
  </si>
  <si>
    <t>休戦</t>
  </si>
  <si>
    <t>きゅうせん</t>
  </si>
  <si>
    <t>休戦[きゅうせん]</t>
  </si>
  <si>
    <t>đình chiến</t>
  </si>
  <si>
    <t>休戦を決める。</t>
  </si>
  <si>
    <t>Quyết định đình chiến.</t>
  </si>
  <si>
    <t>林業</t>
  </si>
  <si>
    <t>りんぎょう</t>
  </si>
  <si>
    <t>林業[りんぎょう]</t>
  </si>
  <si>
    <t>lâm nghiệp</t>
  </si>
  <si>
    <t>林業に従事する。</t>
  </si>
  <si>
    <t>Làm công việc lâm nghiệp.</t>
  </si>
  <si>
    <t>水源</t>
  </si>
  <si>
    <t>すいげん</t>
  </si>
  <si>
    <t>水源[すいげん]</t>
  </si>
  <si>
    <t>nguồn nước</t>
  </si>
  <si>
    <t>川の水源を訪ねる。</t>
  </si>
  <si>
    <t>Thăm nguồn nước của con sông.</t>
  </si>
  <si>
    <t>潮</t>
  </si>
  <si>
    <t>潮[しお]</t>
  </si>
  <si>
    <t>thủy triều</t>
  </si>
  <si>
    <t>潮が満ちてくる。</t>
  </si>
  <si>
    <t>Thủy triều đang dâng lên.</t>
  </si>
  <si>
    <t>無言</t>
  </si>
  <si>
    <t>むごん</t>
  </si>
  <si>
    <t>無言[むごん]</t>
  </si>
  <si>
    <t>無言で立ち去る。</t>
  </si>
  <si>
    <t>Rời đi trong im lặng.</t>
  </si>
  <si>
    <t>種々</t>
  </si>
  <si>
    <t>しゅじゅ</t>
  </si>
  <si>
    <t>種々[しゅじゅ]</t>
  </si>
  <si>
    <t>nhiều loại</t>
  </si>
  <si>
    <t>種々の問題がある。</t>
  </si>
  <si>
    <t>Có nhiều loại vấn đề.</t>
  </si>
  <si>
    <t>空しい</t>
  </si>
  <si>
    <t>むなしい</t>
  </si>
  <si>
    <t>空[むな]しい</t>
  </si>
  <si>
    <t>trống rỗng</t>
  </si>
  <si>
    <t>空しい気持ちになる。</t>
  </si>
  <si>
    <t>Trở nên trống rỗng.</t>
  </si>
  <si>
    <t>素早い</t>
  </si>
  <si>
    <t>すばやい</t>
  </si>
  <si>
    <t>素早[すばや]い</t>
  </si>
  <si>
    <t>nhanh nhẹn</t>
  </si>
  <si>
    <t>素早い対応をする。</t>
  </si>
  <si>
    <t>Đối ứng một cách nhanh nhẹn.</t>
  </si>
  <si>
    <t>しきたり</t>
  </si>
  <si>
    <t>古いしきたりを守る。</t>
  </si>
  <si>
    <t>Tuân thủ phong tục cũ.</t>
  </si>
  <si>
    <t>まるっきり</t>
  </si>
  <si>
    <t>まるっきり知らない。</t>
  </si>
  <si>
    <t>Hoàn toàn không biết.</t>
  </si>
  <si>
    <t>中和</t>
  </si>
  <si>
    <t>ちゅうわ</t>
  </si>
  <si>
    <t>中和[ちゅうわ]</t>
  </si>
  <si>
    <t>trung hòa</t>
  </si>
  <si>
    <t>酸を中和する。</t>
  </si>
  <si>
    <t>Trung hòa axit.</t>
  </si>
  <si>
    <t>浴室</t>
  </si>
  <si>
    <t>よくしつ</t>
  </si>
  <si>
    <t>浴室[よくしつ]</t>
  </si>
  <si>
    <t>phòng tắm</t>
  </si>
  <si>
    <t>浴室をきれいにする。</t>
  </si>
  <si>
    <t>Dọn dẹp phòng tắm.</t>
  </si>
  <si>
    <t>爆破</t>
  </si>
  <si>
    <t>ばくは</t>
  </si>
  <si>
    <t>爆破[ばくは]</t>
  </si>
  <si>
    <t>sự làm nổ</t>
  </si>
  <si>
    <t>ビルを爆破する。</t>
  </si>
  <si>
    <t>Làm nổ tòa nhà.</t>
  </si>
  <si>
    <t>特権</t>
  </si>
  <si>
    <t>とっけん</t>
  </si>
  <si>
    <t>特権[とっけん]</t>
  </si>
  <si>
    <t>đặc quyền</t>
  </si>
  <si>
    <t>特権を乱用する。</t>
  </si>
  <si>
    <t>Lạm dụng đặc quyền.</t>
  </si>
  <si>
    <t>猛烈</t>
  </si>
  <si>
    <t>もうれつ</t>
  </si>
  <si>
    <t>猛烈[もうれつ]</t>
  </si>
  <si>
    <t>猛烈な嵐が来る。</t>
  </si>
  <si>
    <t>Cơn bão mãnh liệt ập đến.</t>
  </si>
  <si>
    <t>ありふれる</t>
  </si>
  <si>
    <t>ありふれた話だ。</t>
  </si>
  <si>
    <t>Đó là chuyện thường thấy.</t>
  </si>
  <si>
    <t>かさむ</t>
  </si>
  <si>
    <t>出費がかさむ。</t>
  </si>
  <si>
    <t>Chi phí tăng lên.</t>
  </si>
  <si>
    <t>のどか</t>
  </si>
  <si>
    <t>bình yên</t>
  </si>
  <si>
    <t>のどかな風景。</t>
  </si>
  <si>
    <t>Phong cảnh bình yên.</t>
  </si>
  <si>
    <t>ボイコット</t>
  </si>
  <si>
    <t>ぼいこっと</t>
  </si>
  <si>
    <t>tẩy chay</t>
  </si>
  <si>
    <t>会議をボイコットする。</t>
  </si>
  <si>
    <t>Tẩy chay cuộc họp.</t>
  </si>
  <si>
    <t>ぼやく</t>
  </si>
  <si>
    <t>cằn nhằn</t>
  </si>
  <si>
    <t>給料についてぼやく。</t>
  </si>
  <si>
    <t>Cằn nhằn về tiền lương.</t>
  </si>
  <si>
    <t>もがく</t>
  </si>
  <si>
    <t>vùng vẫy</t>
  </si>
  <si>
    <t>水中でもがく。</t>
  </si>
  <si>
    <t>Vùng vẫy dưới nước.</t>
  </si>
  <si>
    <t>中腹</t>
  </si>
  <si>
    <t>ちゅうふく</t>
  </si>
  <si>
    <t>中腹[ちゅうふく]</t>
  </si>
  <si>
    <t>sườn núi</t>
  </si>
  <si>
    <t>山の中腹。</t>
  </si>
  <si>
    <t>Sườn của ngọn núi.</t>
  </si>
  <si>
    <t>染みる</t>
  </si>
  <si>
    <t>しみる</t>
  </si>
  <si>
    <t>染[し]みる</t>
  </si>
  <si>
    <t>ngấm vào</t>
  </si>
  <si>
    <t>味の染みた料理。</t>
  </si>
  <si>
    <t>Món ăn đã ngấm gia vị.</t>
  </si>
  <si>
    <t>洋風</t>
  </si>
  <si>
    <t>ようふう</t>
  </si>
  <si>
    <t>洋風[ようふう]</t>
  </si>
  <si>
    <t>kiểu tây</t>
  </si>
  <si>
    <t>洋風の家を建てる。</t>
  </si>
  <si>
    <t>Xây ngôi nhà kiểu tây.</t>
  </si>
  <si>
    <t>溝</t>
  </si>
  <si>
    <t>みぞ</t>
  </si>
  <si>
    <t>溝[みぞ]</t>
  </si>
  <si>
    <t>rãnh</t>
  </si>
  <si>
    <t>道路の溝を掃除する。</t>
  </si>
  <si>
    <t>Dọn dẹp rãnh trên đường.</t>
  </si>
  <si>
    <t>眼科</t>
  </si>
  <si>
    <t>がんか</t>
  </si>
  <si>
    <t>眼科[がんか]</t>
  </si>
  <si>
    <t>khoa mắt</t>
  </si>
  <si>
    <t>眼科で検査を受ける。</t>
  </si>
  <si>
    <t>Đi kiểm tra tại khoa mắt.</t>
  </si>
  <si>
    <t>移住</t>
  </si>
  <si>
    <t>いじゅう</t>
  </si>
  <si>
    <t>移住[いじゅう]</t>
  </si>
  <si>
    <t>sự di cư</t>
  </si>
  <si>
    <t>海外に移住する。</t>
  </si>
  <si>
    <t>Di cư ra nước ngoài.</t>
  </si>
  <si>
    <t>簡潔</t>
  </si>
  <si>
    <t>かんけつ</t>
  </si>
  <si>
    <t>簡潔[かんけつ]</t>
  </si>
  <si>
    <t>ngắn gọn</t>
  </si>
  <si>
    <t>簡潔に報告する。</t>
  </si>
  <si>
    <t>Báo cáo một cách ngắn gọn.</t>
  </si>
  <si>
    <t>粘る</t>
  </si>
  <si>
    <t>ねばる</t>
  </si>
  <si>
    <t>粘[ねば]る</t>
  </si>
  <si>
    <t>kiên trì</t>
  </si>
  <si>
    <t>最後まで粘る。</t>
  </si>
  <si>
    <t>Kiên trì đến cùng.</t>
  </si>
  <si>
    <t>細菌</t>
  </si>
  <si>
    <t>細菌[さいきん]</t>
  </si>
  <si>
    <t>細菌を検査する。</t>
  </si>
  <si>
    <t>Kiểm tra vi khuẩn.</t>
  </si>
  <si>
    <t>群衆</t>
  </si>
  <si>
    <t>ぐんしゅう</t>
  </si>
  <si>
    <t>群衆[ぐんしゅう]</t>
  </si>
  <si>
    <t>群衆が集まる。</t>
  </si>
  <si>
    <t>Đám đông tụ tập.</t>
  </si>
  <si>
    <t>負かす</t>
  </si>
  <si>
    <t>負[ま]かす</t>
  </si>
  <si>
    <t>敵を負かす。</t>
  </si>
  <si>
    <t>ばらまく</t>
  </si>
  <si>
    <t>種をばらまく。</t>
  </si>
  <si>
    <t>Rải hạt giống.</t>
  </si>
  <si>
    <t>不意</t>
  </si>
  <si>
    <t>ふい</t>
  </si>
  <si>
    <t>不意[ふい]</t>
  </si>
  <si>
    <t>bất ngờ</t>
  </si>
  <si>
    <t>不意に訪ねる。</t>
  </si>
  <si>
    <t>Ghé thăm bất ngờ.</t>
  </si>
  <si>
    <t>人質</t>
  </si>
  <si>
    <t>ひとじち</t>
  </si>
  <si>
    <t>人質[ひとじち]</t>
  </si>
  <si>
    <t>con tin</t>
  </si>
  <si>
    <t>人質を解放する。</t>
  </si>
  <si>
    <t>Giải phóng con tin.</t>
  </si>
  <si>
    <t>模型</t>
  </si>
  <si>
    <t>もけい</t>
  </si>
  <si>
    <t>模型[もけい]</t>
  </si>
  <si>
    <t>mô hình</t>
  </si>
  <si>
    <t>飛行機の模型を作る。</t>
  </si>
  <si>
    <t>Làm mô hình máy bay.</t>
  </si>
  <si>
    <t>樹木</t>
  </si>
  <si>
    <t>じゅもく</t>
  </si>
  <si>
    <t>樹木[じゅもく]</t>
  </si>
  <si>
    <t>cây cối</t>
  </si>
  <si>
    <t>庭に樹木を植える。</t>
  </si>
  <si>
    <t>Trồng cây cối trong vườn.</t>
  </si>
  <si>
    <t>海峡</t>
  </si>
  <si>
    <t>かいきょう</t>
  </si>
  <si>
    <t>海峡[かいきょう]</t>
  </si>
  <si>
    <t>eo biển</t>
  </si>
  <si>
    <t>海峡を渡る船。</t>
  </si>
  <si>
    <t>Con tàu vượt eo biển.</t>
  </si>
  <si>
    <t>消息</t>
  </si>
  <si>
    <t>しょうそく</t>
  </si>
  <si>
    <t>消息[しょうそく]</t>
  </si>
  <si>
    <t>消息を絶つ。</t>
  </si>
  <si>
    <t>Mất tin tức.</t>
  </si>
  <si>
    <t>火星</t>
  </si>
  <si>
    <t>かせい</t>
  </si>
  <si>
    <t>火星[かせい]</t>
  </si>
  <si>
    <t>sao hỏa</t>
  </si>
  <si>
    <t>火星を探査する。</t>
  </si>
  <si>
    <t>Thăm dò sao Hỏa.</t>
  </si>
  <si>
    <t>産物</t>
  </si>
  <si>
    <t>さんぶつ</t>
  </si>
  <si>
    <t>産物[さんぶつ]</t>
  </si>
  <si>
    <t>sản vật</t>
  </si>
  <si>
    <t>土地の産物を売る。</t>
  </si>
  <si>
    <t>Bán sản vật của vùng đất.</t>
  </si>
  <si>
    <t>病む</t>
  </si>
  <si>
    <t>病[や]む</t>
  </si>
  <si>
    <t>bị bệnh</t>
  </si>
  <si>
    <t>心を病む。</t>
  </si>
  <si>
    <t>Bị bệnh về tâm lý.</t>
  </si>
  <si>
    <t>自転</t>
  </si>
  <si>
    <t>自転[じてん]</t>
  </si>
  <si>
    <t>tự quay</t>
  </si>
  <si>
    <t>地球が自転する。</t>
  </si>
  <si>
    <t>Trái đất tự quay.</t>
  </si>
  <si>
    <t>首輪</t>
  </si>
  <si>
    <t>くびわ</t>
  </si>
  <si>
    <t>首輪[くびわ]</t>
  </si>
  <si>
    <t>犬に首輪をつける。</t>
  </si>
  <si>
    <t>Đeo vòng cổ cho chó.</t>
  </si>
  <si>
    <t>お手上げ</t>
  </si>
  <si>
    <t>おてあげ</t>
  </si>
  <si>
    <t>お手上[てあ]げ</t>
  </si>
  <si>
    <t>bó tay</t>
  </si>
  <si>
    <t>これにはお手上げだ。</t>
  </si>
  <si>
    <t>Với cái này thì bó tay rồi.</t>
  </si>
  <si>
    <t>ことごとく</t>
  </si>
  <si>
    <t>作戦がことごとく失敗する。</t>
  </si>
  <si>
    <t>Kế hoạch thất bại tất cả.</t>
  </si>
  <si>
    <t>はかない</t>
  </si>
  <si>
    <t>phù du</t>
  </si>
  <si>
    <t>はかない命。</t>
  </si>
  <si>
    <t>Sinh mệnh phù du.</t>
  </si>
  <si>
    <t>ブザー</t>
  </si>
  <si>
    <t>ぶざー</t>
  </si>
  <si>
    <t>ブザーが鳴る。</t>
  </si>
  <si>
    <t>Chuông vang lên.</t>
  </si>
  <si>
    <t>沸騰</t>
  </si>
  <si>
    <t>ふっとう</t>
  </si>
  <si>
    <t>沸騰[ふっとう]</t>
  </si>
  <si>
    <t>sự sôi</t>
  </si>
  <si>
    <t>お湯が沸騰する。</t>
  </si>
  <si>
    <t>Nước sôi.</t>
  </si>
  <si>
    <t>立ち去る</t>
  </si>
  <si>
    <t>たちさる</t>
  </si>
  <si>
    <t>立[た]ち去[さ]る</t>
  </si>
  <si>
    <t>現場から立ち去る。</t>
  </si>
  <si>
    <t>Rời đi khỏi hiện trường.</t>
  </si>
  <si>
    <t>紛れる</t>
  </si>
  <si>
    <t>まぎれる</t>
  </si>
  <si>
    <t>紛[まぎ]れる</t>
  </si>
  <si>
    <t>bị lẫn</t>
  </si>
  <si>
    <t>人混みに紛れる。</t>
  </si>
  <si>
    <t>Bị lẫn vào đám đông.</t>
  </si>
  <si>
    <t>裾</t>
  </si>
  <si>
    <t>すそ</t>
  </si>
  <si>
    <t>裾[すそ]</t>
  </si>
  <si>
    <t>gấu áo</t>
  </si>
  <si>
    <t>ズボンの裾を直す。</t>
  </si>
  <si>
    <t>Sửa gấu quần.</t>
  </si>
  <si>
    <t>身振り</t>
  </si>
  <si>
    <t>みぶり</t>
  </si>
  <si>
    <t>身振[みぶ]り</t>
  </si>
  <si>
    <t>cử chỉ</t>
  </si>
  <si>
    <t>身振りで伝える。</t>
  </si>
  <si>
    <t>Truyền đạt bằng cử chỉ.</t>
  </si>
  <si>
    <t>おろそか</t>
  </si>
  <si>
    <t>勉強をおろそかにする。</t>
  </si>
  <si>
    <t>Lơ là việc học.</t>
  </si>
  <si>
    <t>ナンセンス</t>
  </si>
  <si>
    <t>なんせんす</t>
  </si>
  <si>
    <t>ナンセンスな話だ。</t>
  </si>
  <si>
    <t>Đó là câu chuyện vô lý.</t>
  </si>
  <si>
    <t>ぼやける</t>
  </si>
  <si>
    <t>mờ đi</t>
  </si>
  <si>
    <t>字がぼやける。</t>
  </si>
  <si>
    <t>Chữ bị mờ đi.</t>
  </si>
  <si>
    <t>ろくな</t>
  </si>
  <si>
    <t>ろくな仕事がない。</t>
  </si>
  <si>
    <t>Không có công việc nào tử tế.</t>
  </si>
  <si>
    <t>乃至</t>
  </si>
  <si>
    <t>ないし</t>
  </si>
  <si>
    <t>乃至[ないし]</t>
  </si>
  <si>
    <t>10名乃至20名。</t>
  </si>
  <si>
    <t>10 người hoặc 20 người.</t>
  </si>
  <si>
    <t>籠もる</t>
  </si>
  <si>
    <t>こもる</t>
  </si>
  <si>
    <t>籠[こ]もる</t>
  </si>
  <si>
    <t>ở ẩn</t>
  </si>
  <si>
    <t>部屋に籠もる。</t>
  </si>
  <si>
    <t>Ở ẩn trong phòng.</t>
  </si>
  <si>
    <t>腫れる</t>
  </si>
  <si>
    <t>腫[は]れる</t>
  </si>
  <si>
    <t>sưng</t>
  </si>
  <si>
    <t>目が腫れる。</t>
  </si>
  <si>
    <t>Mắt bị sưng.</t>
  </si>
  <si>
    <t>蝶</t>
  </si>
  <si>
    <t>蝶[ちょう]</t>
  </si>
  <si>
    <t>bướm</t>
  </si>
  <si>
    <t>蝶が飛ぶ。</t>
  </si>
  <si>
    <t>Bướm bay.</t>
  </si>
  <si>
    <t>ほとり</t>
  </si>
  <si>
    <t>川のほとりを歩く。</t>
  </si>
  <si>
    <t>差し支える</t>
  </si>
  <si>
    <t>さしつかえる</t>
  </si>
  <si>
    <t>差[さ]し支[つか]える</t>
  </si>
  <si>
    <t>gây trở ngại</t>
  </si>
  <si>
    <t>都合が差し支える。</t>
  </si>
  <si>
    <t>Gây trở ngại cho việc sắp xếp thời gian.</t>
  </si>
  <si>
    <t>平たい</t>
  </si>
  <si>
    <t>ひらたい</t>
  </si>
  <si>
    <t>平[ひら]たい</t>
  </si>
  <si>
    <t>平たい皿。</t>
  </si>
  <si>
    <t>Cái đĩa bằng phẳng.</t>
  </si>
  <si>
    <t>弁解</t>
  </si>
  <si>
    <t>べんかい</t>
  </si>
  <si>
    <t>弁解[べんかい]</t>
  </si>
  <si>
    <t>biện minh</t>
  </si>
  <si>
    <t>言い訳を弁解する。</t>
  </si>
  <si>
    <t>Biện minh cho lời giải thích.</t>
  </si>
  <si>
    <t>日焼け</t>
  </si>
  <si>
    <t>ひやけ</t>
  </si>
  <si>
    <t>日焼[ひや]け</t>
  </si>
  <si>
    <t>cháy nắng</t>
  </si>
  <si>
    <t>海で日焼けする。</t>
  </si>
  <si>
    <t>Cháy nắng ở biển.</t>
  </si>
  <si>
    <t>怪獣</t>
  </si>
  <si>
    <t>かいじゅう</t>
  </si>
  <si>
    <t>怪獣[かいじゅう]</t>
  </si>
  <si>
    <t>quái thú</t>
  </si>
  <si>
    <t>怪獣が現れる。</t>
  </si>
  <si>
    <t>Quái thú xuất hiện.</t>
  </si>
  <si>
    <t>手際</t>
  </si>
  <si>
    <t>てぎわ</t>
  </si>
  <si>
    <t>手際[てぎわ]</t>
  </si>
  <si>
    <t>khéo tay</t>
  </si>
  <si>
    <t>手際が良い。</t>
  </si>
  <si>
    <t>Khéo tay làm việc.</t>
  </si>
  <si>
    <t>日向</t>
  </si>
  <si>
    <t>ひなた</t>
  </si>
  <si>
    <t>日向[ひなた]</t>
  </si>
  <si>
    <t>nơi nắng</t>
  </si>
  <si>
    <t>日向で遊ぶ。</t>
  </si>
  <si>
    <t>Chơi ở nơi có nắng.</t>
  </si>
  <si>
    <t>微か</t>
  </si>
  <si>
    <t>かすか</t>
  </si>
  <si>
    <t>微[かす]か</t>
  </si>
  <si>
    <t>mờ nhạt</t>
  </si>
  <si>
    <t>微かな音。</t>
  </si>
  <si>
    <t>Âm thanh mờ nhạt.</t>
  </si>
  <si>
    <t>捕虜</t>
  </si>
  <si>
    <t>ほりょ</t>
  </si>
  <si>
    <t>捕虜[ほりょ]</t>
  </si>
  <si>
    <t>tù binh</t>
  </si>
  <si>
    <t>捕虜を釈放する。</t>
  </si>
  <si>
    <t>Thả tù binh.</t>
  </si>
  <si>
    <t>悪者</t>
  </si>
  <si>
    <t>わるもの</t>
  </si>
  <si>
    <t>悪者[わるもの]</t>
  </si>
  <si>
    <t>kẻ xấu</t>
  </si>
  <si>
    <t>悪者にする。</t>
  </si>
  <si>
    <t>Biến thành kẻ xấu.</t>
  </si>
  <si>
    <t>採点</t>
  </si>
  <si>
    <t>さいてん</t>
  </si>
  <si>
    <t>採点[さいてん]</t>
  </si>
  <si>
    <t>chấm điểm</t>
  </si>
  <si>
    <t>テストの採点をする。</t>
  </si>
  <si>
    <t>Chấm điểm bài kiểm tra.</t>
  </si>
  <si>
    <t>敬意</t>
  </si>
  <si>
    <t>敬意[けいい]</t>
  </si>
  <si>
    <t>kính ý</t>
  </si>
  <si>
    <t>敬意を表す。</t>
  </si>
  <si>
    <t>Bày tỏ lòng kính trọng.</t>
  </si>
  <si>
    <t>暖まる</t>
  </si>
  <si>
    <t>あたたまる</t>
  </si>
  <si>
    <t>暖[あたた]まる</t>
  </si>
  <si>
    <t>trở nên ấm</t>
  </si>
  <si>
    <t>体が暖まる。</t>
  </si>
  <si>
    <t>Cơ thể trở nên ấm áp.</t>
  </si>
  <si>
    <t>林</t>
  </si>
  <si>
    <t>はやし</t>
  </si>
  <si>
    <t>林[はやし]</t>
  </si>
  <si>
    <t>林を歩く。</t>
  </si>
  <si>
    <t>Đi bộ trong rừng.</t>
  </si>
  <si>
    <t>歯医者</t>
  </si>
  <si>
    <t>はいしゃ</t>
  </si>
  <si>
    <t>歯医者[はいしゃ]</t>
  </si>
  <si>
    <t>nha sĩ</t>
  </si>
  <si>
    <t>歯医者に行く。</t>
  </si>
  <si>
    <t>Đi đến nha sĩ.</t>
  </si>
  <si>
    <t>欄</t>
  </si>
  <si>
    <t>らん</t>
  </si>
  <si>
    <t>欄[らん]</t>
  </si>
  <si>
    <t>cột</t>
  </si>
  <si>
    <t>名前の欄。</t>
  </si>
  <si>
    <t>Cột tên.</t>
  </si>
  <si>
    <t>方程式</t>
  </si>
  <si>
    <t>ほうていしき</t>
  </si>
  <si>
    <t>方程式[ほうていしき]</t>
  </si>
  <si>
    <t>phương trình</t>
  </si>
  <si>
    <t>方程式を解く。</t>
  </si>
  <si>
    <t>Giải phương trình.</t>
  </si>
  <si>
    <t>欠点</t>
  </si>
  <si>
    <t>けってん</t>
  </si>
  <si>
    <t>欠点[けってん]</t>
  </si>
  <si>
    <t>khuyết điểm</t>
  </si>
  <si>
    <t>欠点を探す。</t>
  </si>
  <si>
    <t>Tìm khuyết điểm.</t>
  </si>
  <si>
    <t>来日</t>
  </si>
  <si>
    <t>らいにち</t>
  </si>
  <si>
    <t>来日[らいにち]</t>
  </si>
  <si>
    <t>đến nhật</t>
  </si>
  <si>
    <t>来日する。</t>
  </si>
  <si>
    <t>Đến Nhật Bản.</t>
  </si>
  <si>
    <t>摩擦</t>
  </si>
  <si>
    <t>まさつ</t>
  </si>
  <si>
    <t>摩擦[まさつ]</t>
  </si>
  <si>
    <t>ma sát</t>
  </si>
  <si>
    <t>摩擦が起きる。</t>
  </si>
  <si>
    <t>Ma sát xảy ra.</t>
  </si>
  <si>
    <t>擦れる</t>
  </si>
  <si>
    <t>すれる</t>
  </si>
  <si>
    <t>擦[す]れる</t>
  </si>
  <si>
    <t>cọ xát</t>
  </si>
  <si>
    <t>服が擦れる。</t>
  </si>
  <si>
    <t>Quần áo bị cọ xát.</t>
  </si>
  <si>
    <t>未熟</t>
  </si>
  <si>
    <t>みじゅく</t>
  </si>
  <si>
    <t>未熟[みじゅく]</t>
  </si>
  <si>
    <t>chưa trưởng thành</t>
  </si>
  <si>
    <t>技術が未熟だ。</t>
  </si>
  <si>
    <t>Kỹ thuật chưa trưởng thành.</t>
  </si>
  <si>
    <t>寒気</t>
  </si>
  <si>
    <t>さむけ</t>
  </si>
  <si>
    <t>寒気[さむけ]</t>
  </si>
  <si>
    <t>cảm giác lạnh</t>
  </si>
  <si>
    <t>寒気がする。</t>
  </si>
  <si>
    <t>Cảm thấy ớn lạnh.</t>
  </si>
  <si>
    <t>晴天</t>
  </si>
  <si>
    <t>せいてん</t>
  </si>
  <si>
    <t>晴天[せいてん]</t>
  </si>
  <si>
    <t>晴天に恵まれる。</t>
  </si>
  <si>
    <t>Được hưởng thời tiết đẹp.</t>
  </si>
  <si>
    <t>振り出し</t>
  </si>
  <si>
    <t>ふりだし</t>
  </si>
  <si>
    <t>振[ふ]り出[だ]し</t>
  </si>
  <si>
    <t>計画が振り出しに戻る。</t>
  </si>
  <si>
    <t>Kế hoạch trở về điểm bắt đầu.</t>
  </si>
  <si>
    <t>掌</t>
  </si>
  <si>
    <t>てのひら</t>
  </si>
  <si>
    <t>掌[てのひら]</t>
  </si>
  <si>
    <t>lòng bàn tay</t>
  </si>
  <si>
    <t>掌にのせる。</t>
  </si>
  <si>
    <t>Đặt vào lòng bàn tay.</t>
  </si>
  <si>
    <t>未婚</t>
  </si>
  <si>
    <t>みこん</t>
  </si>
  <si>
    <t>未婚[みこん]</t>
  </si>
  <si>
    <t>chưa kết hôn</t>
  </si>
  <si>
    <t>未婚の母。</t>
  </si>
  <si>
    <t>Người mẹ chưa kết hôn.</t>
  </si>
  <si>
    <t>情無い</t>
  </si>
  <si>
    <t>なさけない</t>
  </si>
  <si>
    <t>情無[なさけな]い</t>
  </si>
  <si>
    <t>情無い結果。</t>
  </si>
  <si>
    <t>Kết quả thật đáng thương.</t>
  </si>
  <si>
    <t>小切手</t>
  </si>
  <si>
    <t>こぎって</t>
  </si>
  <si>
    <t>小切手[こぎって]</t>
  </si>
  <si>
    <t>ngân phiếu</t>
  </si>
  <si>
    <t>小切手を切る。</t>
  </si>
  <si>
    <t>Viết ngân phiếu.</t>
  </si>
  <si>
    <t>弁償</t>
  </si>
  <si>
    <t>べんしょう</t>
  </si>
  <si>
    <t>弁償[べんしょう]</t>
  </si>
  <si>
    <t>損害を弁償する。</t>
  </si>
  <si>
    <t>懐く</t>
  </si>
  <si>
    <t>なつく</t>
  </si>
  <si>
    <t>懐[なつ]く</t>
  </si>
  <si>
    <t>犬が人に懐く。</t>
  </si>
  <si>
    <t>Con chó trở nên thân thiết với người.</t>
  </si>
  <si>
    <t>捗る</t>
  </si>
  <si>
    <t>はかどる</t>
  </si>
  <si>
    <t>捗[はかど]る</t>
  </si>
  <si>
    <t>tiến triển</t>
  </si>
  <si>
    <t>仕事が捗る。</t>
  </si>
  <si>
    <t>Công việc tiến triển.</t>
  </si>
  <si>
    <t>教習</t>
  </si>
  <si>
    <t>きょうしゅう</t>
  </si>
  <si>
    <t>教習[きょうしゅう]</t>
  </si>
  <si>
    <t>自動車教習。</t>
  </si>
  <si>
    <t>Huấn luyện lái xe.</t>
  </si>
  <si>
    <t>斡旋</t>
  </si>
  <si>
    <t>あっせん</t>
  </si>
  <si>
    <t>斡旋[あっせん]</t>
  </si>
  <si>
    <t>職業を斡旋する。</t>
  </si>
  <si>
    <t>Trung gian giới thiệu việc làm.</t>
  </si>
  <si>
    <t>既婚</t>
  </si>
  <si>
    <t>きこん</t>
  </si>
  <si>
    <t>既婚[きこん]</t>
  </si>
  <si>
    <t>đã kết hôn</t>
  </si>
  <si>
    <t>既婚者です。</t>
  </si>
  <si>
    <t>Là người đã kết hôn.</t>
  </si>
  <si>
    <t>有り様</t>
  </si>
  <si>
    <t>ありさま</t>
  </si>
  <si>
    <t>有[あ]り様[さま]</t>
  </si>
  <si>
    <t>惨めな有り様。</t>
  </si>
  <si>
    <t>Trạng thái thảm hại.</t>
  </si>
  <si>
    <t>未練</t>
  </si>
  <si>
    <t>みれん</t>
  </si>
  <si>
    <t>未練[みれん]</t>
  </si>
  <si>
    <t>luyến tiếc</t>
  </si>
  <si>
    <t>未練を残す。</t>
  </si>
  <si>
    <t>Để lại sự luyến tiếc.</t>
  </si>
  <si>
    <t>採掘</t>
  </si>
  <si>
    <t>さいくつ</t>
  </si>
  <si>
    <t>採掘[さいくつ]</t>
  </si>
  <si>
    <t>khai thác</t>
  </si>
  <si>
    <t>炭鉱を採掘する。</t>
  </si>
  <si>
    <t>Khai thác mỏ than.</t>
  </si>
  <si>
    <t>張り紙</t>
  </si>
  <si>
    <t>はりがみ</t>
  </si>
  <si>
    <t>張[は]り紙[がみ]</t>
  </si>
  <si>
    <t>giấy dán</t>
  </si>
  <si>
    <t>壁に張り紙をする。</t>
  </si>
  <si>
    <t>Dán giấy trên tường.</t>
  </si>
  <si>
    <t>悩ましい</t>
  </si>
  <si>
    <t>なやましい</t>
  </si>
  <si>
    <t>悩[なや]ましい</t>
  </si>
  <si>
    <t>quyến rũ</t>
  </si>
  <si>
    <t>悩ましい姿。</t>
  </si>
  <si>
    <t>Dáng vẻ quyến rũ.</t>
  </si>
  <si>
    <t>整列</t>
  </si>
  <si>
    <t>せいれつ</t>
  </si>
  <si>
    <t>整列[せいれつ]</t>
  </si>
  <si>
    <t>生徒が整列する。</t>
  </si>
  <si>
    <t>Học sinh xếp hàng.</t>
  </si>
  <si>
    <t>新婚</t>
  </si>
  <si>
    <t>しんこん</t>
  </si>
  <si>
    <t>新婚[しんこん]</t>
  </si>
  <si>
    <t>mới cưới</t>
  </si>
  <si>
    <t>新婚旅行。</t>
  </si>
  <si>
    <t>Du lịch trăng mật.</t>
  </si>
  <si>
    <t>旅券</t>
  </si>
  <si>
    <t>りょけん</t>
  </si>
  <si>
    <t>旅券[りょけん]</t>
  </si>
  <si>
    <t>旅券を提示する。</t>
  </si>
  <si>
    <t>昼飯</t>
  </si>
  <si>
    <t>ひるめし</t>
  </si>
  <si>
    <t>昼飯[ひるめし]</t>
  </si>
  <si>
    <t>昼飯を食べる。</t>
  </si>
  <si>
    <t>書き取る</t>
  </si>
  <si>
    <t>かきとる</t>
  </si>
  <si>
    <t>書[か]き取[と]る</t>
  </si>
  <si>
    <t>講義を書き取る。</t>
  </si>
  <si>
    <t>Ghi chép bài giảng.</t>
  </si>
  <si>
    <t>庶務</t>
  </si>
  <si>
    <t>しょむ</t>
  </si>
  <si>
    <t>庶務[しょむ]</t>
  </si>
  <si>
    <t>tổng vụ</t>
  </si>
  <si>
    <t>庶務課で働く。</t>
  </si>
  <si>
    <t>Làm việc tại phòng tổng vụ.</t>
  </si>
  <si>
    <t>心掛け</t>
  </si>
  <si>
    <t>こころがけ</t>
  </si>
  <si>
    <t>心掛[こころが]け</t>
  </si>
  <si>
    <t>良い心掛け。</t>
  </si>
  <si>
    <t>Sự cố gắng tốt.</t>
  </si>
  <si>
    <t>恐れ入る</t>
  </si>
  <si>
    <t>おそれいる</t>
  </si>
  <si>
    <t>恐[おそ]れ入[い]る</t>
  </si>
  <si>
    <t>恐れ入りますが。</t>
  </si>
  <si>
    <t>Xin lỗi quý khách.</t>
  </si>
  <si>
    <t>恵む</t>
  </si>
  <si>
    <t>めぐむ</t>
  </si>
  <si>
    <t>恵[めぐ]む</t>
  </si>
  <si>
    <t>貧しい人に恵む。</t>
  </si>
  <si>
    <t>Ban cho người nghèo.</t>
  </si>
  <si>
    <t>手近</t>
  </si>
  <si>
    <t>てぢか</t>
  </si>
  <si>
    <t>手近[てぢか]</t>
  </si>
  <si>
    <t>gần tay</t>
  </si>
  <si>
    <t>手近な道具。</t>
  </si>
  <si>
    <t>Dụng cụ gần tay.</t>
  </si>
  <si>
    <t>折衷</t>
  </si>
  <si>
    <t>せっちゅう</t>
  </si>
  <si>
    <t>折衷[せっちゅう]</t>
  </si>
  <si>
    <t>hòa hợp</t>
  </si>
  <si>
    <t>和洋折衷料理。</t>
  </si>
  <si>
    <t>Món ăn hòa hợp Nhật Tây.</t>
  </si>
  <si>
    <t>指差す</t>
  </si>
  <si>
    <t>ゆびさす</t>
  </si>
  <si>
    <t>指差[ゆびさ]す</t>
  </si>
  <si>
    <t>chỉ tay</t>
  </si>
  <si>
    <t>地図を指差す。</t>
  </si>
  <si>
    <t>Chỉ tay vào bản đồ.</t>
  </si>
  <si>
    <t>損う</t>
  </si>
  <si>
    <t>そこなう</t>
  </si>
  <si>
    <t>損[そこな]う</t>
  </si>
  <si>
    <t>làm hại</t>
  </si>
  <si>
    <t>健康を損う。</t>
  </si>
  <si>
    <t>Làm hại sức khỏe.</t>
  </si>
  <si>
    <t>放り込む</t>
  </si>
  <si>
    <t>ほうりこむ</t>
  </si>
  <si>
    <t>放[ほう]り込[こ]む</t>
  </si>
  <si>
    <t>ném vào</t>
  </si>
  <si>
    <t>箱に放り込む。</t>
  </si>
  <si>
    <t>Ném vào trong hộp.</t>
  </si>
  <si>
    <t>心細い</t>
  </si>
  <si>
    <t>こころぼそい</t>
  </si>
  <si>
    <t>心細[こころぼそ]い</t>
  </si>
  <si>
    <t>bất an</t>
  </si>
  <si>
    <t>一人で心細い。</t>
  </si>
  <si>
    <t>Ở một mình cảm thấy bất an.</t>
  </si>
  <si>
    <t>応急</t>
  </si>
  <si>
    <t>おうきゅう</t>
  </si>
  <si>
    <t>応急[おうきゅう]</t>
  </si>
  <si>
    <t>sơ cứu</t>
  </si>
  <si>
    <t>応急手当てをする。</t>
  </si>
  <si>
    <t>Sơ cứu y tế.</t>
  </si>
  <si>
    <t>明朗</t>
  </si>
  <si>
    <t>めいろう</t>
  </si>
  <si>
    <t>明朗[めいろう]</t>
  </si>
  <si>
    <t>明朗な人柄。</t>
  </si>
  <si>
    <t>Nhân cách vui vẻ.</t>
  </si>
  <si>
    <t>数詞</t>
  </si>
  <si>
    <t>すうし</t>
  </si>
  <si>
    <t>数詞[すうし]</t>
  </si>
  <si>
    <t>số từ</t>
  </si>
  <si>
    <t>数詞を学ぶ。</t>
  </si>
  <si>
    <t>Học số từ.</t>
  </si>
  <si>
    <t>懲りる</t>
  </si>
  <si>
    <t>こりる</t>
  </si>
  <si>
    <t>懲[こ]りる</t>
  </si>
  <si>
    <t>chừa</t>
  </si>
  <si>
    <t>失敗に懲りる。</t>
  </si>
  <si>
    <t>Chừa vì thất bại.</t>
  </si>
  <si>
    <t>拝借</t>
  </si>
  <si>
    <t>はいしゃく</t>
  </si>
  <si>
    <t>拝借[はいしゃく]</t>
  </si>
  <si>
    <t>傘を拝借する。</t>
  </si>
  <si>
    <t>Mượn chiếc ô.</t>
  </si>
  <si>
    <t>揺さぶる</t>
  </si>
  <si>
    <t>ゆさぶる</t>
  </si>
  <si>
    <t>揺[ゆ]さぶる</t>
  </si>
  <si>
    <t>木を揺さぶる。</t>
  </si>
  <si>
    <t>Rung cây.</t>
  </si>
  <si>
    <t>日取り</t>
  </si>
  <si>
    <t>ひどり</t>
  </si>
  <si>
    <t>日取[ひど]り</t>
  </si>
  <si>
    <t>結婚式の日取り。</t>
  </si>
  <si>
    <t>Ngày tổ chức lễ cưới.</t>
  </si>
  <si>
    <t>暦</t>
  </si>
  <si>
    <t>こよみ</t>
  </si>
  <si>
    <t>暦[こよみ]</t>
  </si>
  <si>
    <t>暦を見る。</t>
  </si>
  <si>
    <t>抱っこ</t>
  </si>
  <si>
    <t>だっこ</t>
  </si>
  <si>
    <t>抱[だ]っこ</t>
  </si>
  <si>
    <t>bế</t>
  </si>
  <si>
    <t>子供を抱っこする。</t>
  </si>
  <si>
    <t>Bế con.</t>
  </si>
  <si>
    <t>有無</t>
  </si>
  <si>
    <t>有無[うむ]</t>
  </si>
  <si>
    <t>có hay không</t>
  </si>
  <si>
    <t>有無を言わせない。</t>
  </si>
  <si>
    <t>Không cho nói có hay không.</t>
  </si>
  <si>
    <t>東洋</t>
  </si>
  <si>
    <t>とうよう</t>
  </si>
  <si>
    <t>東洋[とうよう]</t>
  </si>
  <si>
    <t>phương đông</t>
  </si>
  <si>
    <t>東洋の文化。</t>
  </si>
  <si>
    <t>Đó là văn hóa phương Đông.</t>
  </si>
  <si>
    <t>機嫌</t>
  </si>
  <si>
    <t>機嫌[きげん]</t>
  </si>
  <si>
    <t>機嫌が良い。</t>
  </si>
  <si>
    <t>振興</t>
  </si>
  <si>
    <t>振興[しんこう]</t>
  </si>
  <si>
    <t>観光を振興する。</t>
  </si>
  <si>
    <t>Thúc đẩy du lịch.</t>
  </si>
  <si>
    <t>放る</t>
  </si>
  <si>
    <t>ほうる</t>
  </si>
  <si>
    <t>放[ほう]る</t>
  </si>
  <si>
    <t>ボールを放る。</t>
  </si>
  <si>
    <t>盾</t>
  </si>
  <si>
    <t>盾[たて]</t>
  </si>
  <si>
    <t>khiên</t>
  </si>
  <si>
    <t>盾で身を守る。</t>
  </si>
  <si>
    <t>Dùng khiên bảo vệ thân mình.</t>
  </si>
  <si>
    <t>実費</t>
  </si>
  <si>
    <t>じっぴ</t>
  </si>
  <si>
    <t>実費[じっぴ]</t>
  </si>
  <si>
    <t>chi phí thực</t>
  </si>
  <si>
    <t>実費を請求する。</t>
  </si>
  <si>
    <t>Yêu cầu chi phí thực.</t>
  </si>
  <si>
    <t>成育</t>
  </si>
  <si>
    <t>せいいく</t>
  </si>
  <si>
    <t>成育[せいいく]</t>
  </si>
  <si>
    <t>子供の成育。</t>
  </si>
  <si>
    <t>Sự tăng trưởng của trẻ.</t>
  </si>
  <si>
    <t>押し切る</t>
  </si>
  <si>
    <t>おしきる</t>
  </si>
  <si>
    <t>押[お]し切[き]る</t>
  </si>
  <si>
    <t>反対を押し切る。</t>
  </si>
  <si>
    <t>Thuyết phục phản đối.</t>
  </si>
  <si>
    <t>弁論</t>
  </si>
  <si>
    <t>べんろん</t>
  </si>
  <si>
    <t>弁論[べんろん]</t>
  </si>
  <si>
    <t>biện luận</t>
  </si>
  <si>
    <t>弁論大会。</t>
  </si>
  <si>
    <t>Cuộc thi biện luận.</t>
  </si>
  <si>
    <t>微量</t>
  </si>
  <si>
    <t>びりょう</t>
  </si>
  <si>
    <t>微量[びりょう]</t>
  </si>
  <si>
    <t>lượng nhỏ</t>
  </si>
  <si>
    <t>微量の薬品。</t>
  </si>
  <si>
    <t>Lượng nhỏ thuốc.</t>
  </si>
  <si>
    <t>小柄</t>
  </si>
  <si>
    <t>こがら</t>
  </si>
  <si>
    <t>小柄[こがら]</t>
  </si>
  <si>
    <t>nhỏ nhắn</t>
  </si>
  <si>
    <t>彼女は小柄だ。</t>
  </si>
  <si>
    <t>Cô ấy dáng người nhỏ nhắn.</t>
  </si>
  <si>
    <t>整然</t>
  </si>
  <si>
    <t>せいぜん</t>
  </si>
  <si>
    <t>整然[せいぜん]</t>
  </si>
  <si>
    <t>ngăn nắp</t>
  </si>
  <si>
    <t>整然と並ぶ。</t>
  </si>
  <si>
    <t>Xếp hàng ngăn nắp.</t>
  </si>
  <si>
    <t>崖</t>
  </si>
  <si>
    <t>がけ</t>
  </si>
  <si>
    <t>崖[がけ]</t>
  </si>
  <si>
    <t>vách đá</t>
  </si>
  <si>
    <t>崖から海を見る。</t>
  </si>
  <si>
    <t>Nhìn ra biển từ vách đá.</t>
  </si>
  <si>
    <t>急かす</t>
  </si>
  <si>
    <t>せかす</t>
  </si>
  <si>
    <t>急[せ]かす</t>
  </si>
  <si>
    <t>giục</t>
  </si>
  <si>
    <t>急かさないで。</t>
  </si>
  <si>
    <t>Đừng giục tôi.</t>
  </si>
  <si>
    <t>暴風</t>
  </si>
  <si>
    <t>ぼうふう</t>
  </si>
  <si>
    <t>暴風[ぼうふう]</t>
  </si>
  <si>
    <t>暴風警報が出る。</t>
  </si>
  <si>
    <t>Cảnh báo bão được đưa ra.</t>
  </si>
  <si>
    <t>文献</t>
  </si>
  <si>
    <t>ぶんけん</t>
  </si>
  <si>
    <t>文献[ぶんけん]</t>
  </si>
  <si>
    <t>文献を探す。</t>
  </si>
  <si>
    <t>Tôi tìm kiếm tài liệu.</t>
  </si>
  <si>
    <t>暖める</t>
  </si>
  <si>
    <t>暖[あたた]める</t>
  </si>
  <si>
    <t>部屋を暖める。</t>
  </si>
  <si>
    <t>Tôi làm ấm căn phòng.</t>
  </si>
  <si>
    <t>殴る</t>
  </si>
  <si>
    <t>なぐる</t>
  </si>
  <si>
    <t>殴[なぐ]る</t>
  </si>
  <si>
    <t>đấm</t>
  </si>
  <si>
    <t>顔を殴る。</t>
  </si>
  <si>
    <t>Tôi đấm vào mặt.</t>
  </si>
  <si>
    <t>柔道</t>
  </si>
  <si>
    <t>じゅうどう</t>
  </si>
  <si>
    <t>柔道[じゅうどう]</t>
  </si>
  <si>
    <t>judo</t>
  </si>
  <si>
    <t>柔道を習う。</t>
  </si>
  <si>
    <t>Tôi học judo.</t>
  </si>
  <si>
    <t>擦る</t>
  </si>
  <si>
    <t>こする</t>
  </si>
  <si>
    <t>擦[こす]る</t>
  </si>
  <si>
    <t>chà xát</t>
  </si>
  <si>
    <t>目を擦る。</t>
  </si>
  <si>
    <t>Tôi dụi mắt.</t>
  </si>
  <si>
    <t>ジェット機</t>
  </si>
  <si>
    <t>じぇっとき</t>
  </si>
  <si>
    <t>ジェット機[き]</t>
  </si>
  <si>
    <t>máy bay phản lực</t>
  </si>
  <si>
    <t>ジェット機で飛ぶ。</t>
  </si>
  <si>
    <t>Bay bằng máy bay phản lực.</t>
  </si>
  <si>
    <t>盛り</t>
  </si>
  <si>
    <t>さかり</t>
  </si>
  <si>
    <t>盛[さか]り</t>
  </si>
  <si>
    <t>大盛りを頼む。</t>
  </si>
  <si>
    <t>Gọi phần đầy.</t>
  </si>
  <si>
    <t>一頃</t>
  </si>
  <si>
    <t>ひところ</t>
  </si>
  <si>
    <t>一頃[ひところ]</t>
  </si>
  <si>
    <t>đã có lúc</t>
  </si>
  <si>
    <t>一頃流行った。</t>
  </si>
  <si>
    <t>Đã có lúc thịnh hành.</t>
  </si>
  <si>
    <t>童話</t>
  </si>
  <si>
    <t>どうわ</t>
  </si>
  <si>
    <t>童話[どうわ]</t>
  </si>
  <si>
    <t>truyện đồng thoại</t>
  </si>
  <si>
    <t>童話を子供に聞かせる。</t>
  </si>
  <si>
    <t>Tôi kể chuyện đồng thoại cho con nghe.</t>
  </si>
  <si>
    <t>祭日</t>
  </si>
  <si>
    <t>さいじつ</t>
  </si>
  <si>
    <t>祭日[さいじつ]</t>
  </si>
  <si>
    <t>祭日は店が混む。</t>
  </si>
  <si>
    <t>Vào ngày lễ, cửa hàng thường đông đúc.</t>
  </si>
  <si>
    <t>陰</t>
  </si>
  <si>
    <t>陰[かげ]</t>
  </si>
  <si>
    <t>bóng râm</t>
  </si>
  <si>
    <t>木の陰で休憩する。</t>
  </si>
  <si>
    <t>Tôi nghỉ ngơi trong bóng râm của cây.</t>
  </si>
  <si>
    <t>頂点</t>
  </si>
  <si>
    <t>ちょうてん</t>
  </si>
  <si>
    <t>頂点[ちょうてん]</t>
  </si>
  <si>
    <t>đỉnh cao</t>
  </si>
  <si>
    <t>組織の頂点に立つ。</t>
  </si>
  <si>
    <t>Tôi đứng trên đỉnh cao của tổ chức.</t>
  </si>
  <si>
    <t>鬼</t>
  </si>
  <si>
    <t>おに</t>
  </si>
  <si>
    <t>鬼[おに]</t>
  </si>
  <si>
    <t>quỷ</t>
  </si>
  <si>
    <t>物語の中に鬼が出る。</t>
  </si>
  <si>
    <t>Con quỷ xuất hiện trong câu chuyện.</t>
  </si>
  <si>
    <t>難</t>
  </si>
  <si>
    <t>なん</t>
  </si>
  <si>
    <t>難[なん]</t>
  </si>
  <si>
    <t>解決が難しい難題だ。</t>
  </si>
  <si>
    <t>Đó là một khó khăn khó giải quyết.</t>
  </si>
  <si>
    <t>吊す</t>
  </si>
  <si>
    <t>つるす</t>
  </si>
  <si>
    <t>吊[つる]す</t>
  </si>
  <si>
    <t>風鈴を軒下に吊す。</t>
  </si>
  <si>
    <t>Tôi treo chuông gió dưới hiên nhà.</t>
  </si>
  <si>
    <t>坊っちゃん</t>
  </si>
  <si>
    <t>ぼっちゃん</t>
  </si>
  <si>
    <t>坊[ぼ]っちゃん</t>
  </si>
  <si>
    <t>cậu ấm</t>
  </si>
  <si>
    <t>彼は坊っちゃん育ちだ。</t>
  </si>
  <si>
    <t>Anh ấy được nuôi dạy như cậu ấm.</t>
  </si>
  <si>
    <t>工員</t>
  </si>
  <si>
    <t>こういん</t>
  </si>
  <si>
    <t>工員[こういん]</t>
  </si>
  <si>
    <t>công nhân</t>
  </si>
  <si>
    <t>工場で工員が働く。</t>
  </si>
  <si>
    <t>Công nhân làm việc tại nhà máy.</t>
  </si>
  <si>
    <t>険しい</t>
  </si>
  <si>
    <t>けわしい</t>
  </si>
  <si>
    <t>険[けわ]しい</t>
  </si>
  <si>
    <t>hiểm trở</t>
  </si>
  <si>
    <t>険しい山道を登る。</t>
  </si>
  <si>
    <t>Tôi leo con đường núi hiểm trở.</t>
  </si>
  <si>
    <t>高価</t>
  </si>
  <si>
    <t>高価[こうか]</t>
  </si>
  <si>
    <t>đắt tiền</t>
  </si>
  <si>
    <t>高価な時計を買う。</t>
  </si>
  <si>
    <t>Tôi mua chiếc đồng hồ đắt tiền.</t>
  </si>
  <si>
    <t>罰する</t>
  </si>
  <si>
    <t>ばっする</t>
  </si>
  <si>
    <t>罰[ばっ]する</t>
  </si>
  <si>
    <t>trừng phạt</t>
  </si>
  <si>
    <t>法律で罰する。</t>
  </si>
  <si>
    <t>Tôi trừng phạt theo pháp luật.</t>
  </si>
  <si>
    <t>器械</t>
  </si>
  <si>
    <t>器械[きかい]</t>
  </si>
  <si>
    <t>精密な器械を扱う。</t>
  </si>
  <si>
    <t>Tôi sử dụng máy móc chính xác.</t>
  </si>
  <si>
    <t>おおざっぱ</t>
  </si>
  <si>
    <t>おおざっぱに説明する。</t>
  </si>
  <si>
    <t>Giải thích một cách đại khái.</t>
  </si>
  <si>
    <t>消極的</t>
  </si>
  <si>
    <t>しょうきょくてき</t>
  </si>
  <si>
    <t>消極的[しょうきょくてき]</t>
  </si>
  <si>
    <t>tiêu cực</t>
  </si>
  <si>
    <t>彼は消極的な性格だ。</t>
  </si>
  <si>
    <t>Anh ấy có tính cách tiêu cực.</t>
  </si>
  <si>
    <t>堀</t>
  </si>
  <si>
    <t>ほり</t>
  </si>
  <si>
    <t>堀[ほり]</t>
  </si>
  <si>
    <t>hào</t>
  </si>
  <si>
    <t>城の堀を渡る。</t>
  </si>
  <si>
    <t>Tôi băng qua hào của lâu đài.</t>
  </si>
  <si>
    <t>正規</t>
  </si>
  <si>
    <t>正規[せいき]</t>
  </si>
  <si>
    <t>chính quy</t>
  </si>
  <si>
    <t>正規の手段。</t>
  </si>
  <si>
    <t>Đó là phương tiện chính quy.</t>
  </si>
  <si>
    <t>速達</t>
  </si>
  <si>
    <t>そくたつ</t>
  </si>
  <si>
    <t>速達[そくたつ]</t>
  </si>
  <si>
    <t>chuyển phát nhanh</t>
  </si>
  <si>
    <t>速達で送る。</t>
  </si>
  <si>
    <t>Gửi bằng chuyển phát nhanh.</t>
  </si>
  <si>
    <t>必需品</t>
  </si>
  <si>
    <t>ひつじゅひん</t>
  </si>
  <si>
    <t>必需品[ひつじゅひん]</t>
  </si>
  <si>
    <t>nhu yếu phẩm</t>
  </si>
  <si>
    <t>生活必需品を買う。</t>
  </si>
  <si>
    <t>Mua nhu yếu phẩm hàng ngày.</t>
  </si>
  <si>
    <t>威張る</t>
  </si>
  <si>
    <t>いばる</t>
  </si>
  <si>
    <t>威張[いば]る</t>
  </si>
  <si>
    <t>kiêu ngạo</t>
  </si>
  <si>
    <t>部下に対して威張る。</t>
  </si>
  <si>
    <t>Tôi kiêu ngạo với cấp dưới.</t>
  </si>
  <si>
    <t>体系</t>
  </si>
  <si>
    <t>たいけい</t>
  </si>
  <si>
    <t>体系[たいけい]</t>
  </si>
  <si>
    <t>知識を体系化する。</t>
  </si>
  <si>
    <t>Tôi hệ thống hóa kiến thức.</t>
  </si>
  <si>
    <t>面倒臭い</t>
  </si>
  <si>
    <t>めんどうくさい</t>
  </si>
  <si>
    <t>面倒臭[めんどうくさ]い</t>
  </si>
  <si>
    <t>phiền hà</t>
  </si>
  <si>
    <t>掃除が面倒臭い。</t>
  </si>
  <si>
    <t>Việc dọn dẹp thật phiền hà.</t>
  </si>
  <si>
    <t>コック</t>
  </si>
  <si>
    <t>こっく</t>
  </si>
  <si>
    <t>đầu bếp</t>
  </si>
  <si>
    <t>一流のコックになる。</t>
  </si>
  <si>
    <t>Trở thành đầu bếp hàng đầu.</t>
  </si>
  <si>
    <t>駆ける</t>
  </si>
  <si>
    <t>駆[か]ける</t>
  </si>
  <si>
    <t>草原を駆け抜ける。</t>
  </si>
  <si>
    <t>Tôi chạy xuyên qua đồng cỏ.</t>
  </si>
  <si>
    <t>自然科学</t>
  </si>
  <si>
    <t>しぜんかがく</t>
  </si>
  <si>
    <t>自然科学[しぜんかがく]</t>
  </si>
  <si>
    <t>khoa học tự nhiên</t>
  </si>
  <si>
    <t>自然科学を学ぶ。</t>
  </si>
  <si>
    <t>Tôi học khoa học tự nhiên.</t>
  </si>
  <si>
    <t>問答</t>
  </si>
  <si>
    <t>もんどう</t>
  </si>
  <si>
    <t>問答[もんどう]</t>
  </si>
  <si>
    <t>vấn đáp</t>
  </si>
  <si>
    <t>問答を繰り返す。</t>
  </si>
  <si>
    <t>Chúng tôi lặp lại vấn đáp.</t>
  </si>
  <si>
    <t>温まる</t>
  </si>
  <si>
    <t>温[あたた]まる</t>
  </si>
  <si>
    <t>ấm lên</t>
  </si>
  <si>
    <t>お風呂で体が温まる。</t>
  </si>
  <si>
    <t>Cơ thể ấm lên nhờ tắm bồn.</t>
  </si>
  <si>
    <t>落し物</t>
  </si>
  <si>
    <t>おとしもの</t>
  </si>
  <si>
    <t>落[おと]し物[もの]</t>
  </si>
  <si>
    <t>đồ đánh rơi</t>
  </si>
  <si>
    <t>落し物を届ける。</t>
  </si>
  <si>
    <t>Tôi giao nộp đồ đánh rơi.</t>
  </si>
  <si>
    <t>在学</t>
  </si>
  <si>
    <t>ざいがく</t>
  </si>
  <si>
    <t>在学[ざいがく]</t>
  </si>
  <si>
    <t>đang học</t>
  </si>
  <si>
    <t>大学に在学中だ。</t>
  </si>
  <si>
    <t>Tôi đang học tại đại học.</t>
  </si>
  <si>
    <t>はきはき</t>
  </si>
  <si>
    <t>はきはきと答える。</t>
  </si>
  <si>
    <t>Trả lời một cách rõ ràng.</t>
  </si>
  <si>
    <t>詩人</t>
  </si>
  <si>
    <t>しじん</t>
  </si>
  <si>
    <t>詩人[しじん]</t>
  </si>
  <si>
    <t>nhà thơ</t>
  </si>
  <si>
    <t>有名な詩人だ。</t>
  </si>
  <si>
    <t>Là một nhà thơ nổi tiếng.</t>
  </si>
  <si>
    <t>三日月</t>
  </si>
  <si>
    <t>みかづき</t>
  </si>
  <si>
    <t>三日月[みかづき]</t>
  </si>
  <si>
    <t>trăng lưỡi liềm</t>
  </si>
  <si>
    <t>三日月が出る。</t>
  </si>
  <si>
    <t>Trăng lưỡi liềm hiện ra.</t>
  </si>
  <si>
    <t>和服</t>
  </si>
  <si>
    <t>わふく</t>
  </si>
  <si>
    <t>和服[わふく]</t>
  </si>
  <si>
    <t>trang phục nhật</t>
  </si>
  <si>
    <t>和服を着る。</t>
  </si>
  <si>
    <t>Tôi mặc trang phục Nhật.</t>
  </si>
  <si>
    <t>人文科学</t>
  </si>
  <si>
    <t>じんぶんかがく</t>
  </si>
  <si>
    <t>人文科学[じんぶんかがく]</t>
  </si>
  <si>
    <t>nhân văn học</t>
  </si>
  <si>
    <t>人文科学の研究。</t>
  </si>
  <si>
    <t>Nghiên cứu nhân văn học.</t>
  </si>
  <si>
    <t>出入口</t>
  </si>
  <si>
    <t>でいりぐち</t>
  </si>
  <si>
    <t>出入口[でいりぐち]</t>
  </si>
  <si>
    <t>lối ra vào</t>
  </si>
  <si>
    <t>出入口を確認する。</t>
  </si>
  <si>
    <t>Tôi xác nhận lối ra vào.</t>
  </si>
  <si>
    <t>前進</t>
  </si>
  <si>
    <t>前進[ぜんしん]</t>
  </si>
  <si>
    <t>前に前進する。</t>
  </si>
  <si>
    <t>Tôi tiến lên phía trước.</t>
  </si>
  <si>
    <t>務め</t>
  </si>
  <si>
    <t>務[つと]め</t>
  </si>
  <si>
    <t>務めを果たす。</t>
  </si>
  <si>
    <t>Tôi hoàn thành nhiệm vụ.</t>
  </si>
  <si>
    <t>店屋</t>
  </si>
  <si>
    <t>みせや</t>
  </si>
  <si>
    <t>店屋[みせや]</t>
  </si>
  <si>
    <t>近くの店屋へ行く。</t>
  </si>
  <si>
    <t>Đi đến cửa hàng gần đây.</t>
  </si>
  <si>
    <t>添う</t>
  </si>
  <si>
    <t>添[そ]う</t>
  </si>
  <si>
    <t>期待に添うようにする。</t>
  </si>
  <si>
    <t>Cố gắng đáp ứng kỳ vọng.</t>
  </si>
  <si>
    <t>ウーマン</t>
  </si>
  <si>
    <t>うーまん</t>
  </si>
  <si>
    <t>キャリアウーマンになる。</t>
  </si>
  <si>
    <t>Trở thành nữ doanh nhân.</t>
  </si>
  <si>
    <t>籠</t>
  </si>
  <si>
    <t>かご</t>
  </si>
  <si>
    <t>籠[かご]</t>
  </si>
  <si>
    <t>giỏ</t>
  </si>
  <si>
    <t>籠に果物を入れる。</t>
  </si>
  <si>
    <t>Tôi bỏ trái cây vào giỏ.</t>
  </si>
  <si>
    <t>餌</t>
  </si>
  <si>
    <t>えさ</t>
  </si>
  <si>
    <t>餌[えさ]</t>
  </si>
  <si>
    <t>mồi</t>
  </si>
  <si>
    <t>ペットに餌をやる。</t>
  </si>
  <si>
    <t>Tôi cho thú cưng ăn mồi.</t>
  </si>
  <si>
    <t>特色</t>
  </si>
  <si>
    <t>とくしょく</t>
  </si>
  <si>
    <t>特色[とくしょく]</t>
  </si>
  <si>
    <t>nét đặc sắc</t>
  </si>
  <si>
    <t>学校の特色。</t>
  </si>
  <si>
    <t>Nét đặc sắc của trường.</t>
  </si>
  <si>
    <t>長男</t>
  </si>
  <si>
    <t>ちょうなん</t>
  </si>
  <si>
    <t>長男[ちょうなん]</t>
  </si>
  <si>
    <t>trưởng nam</t>
  </si>
  <si>
    <t>長男は学生だ。</t>
  </si>
  <si>
    <t>Trưởng nam là học sinh.</t>
  </si>
  <si>
    <t>液体</t>
  </si>
  <si>
    <t>えきたい</t>
  </si>
  <si>
    <t>液体[えきたい]</t>
  </si>
  <si>
    <t>chất lỏng</t>
  </si>
  <si>
    <t>液体を容器に入れる。</t>
  </si>
  <si>
    <t>Cho chất lỏng vào bình.</t>
  </si>
  <si>
    <t>友好</t>
  </si>
  <si>
    <t>友好[ゆうこう]</t>
  </si>
  <si>
    <t>hữu nghị</t>
  </si>
  <si>
    <t>友好を深める。</t>
  </si>
  <si>
    <t>Tôi thắt chặt hữu nghị.</t>
  </si>
  <si>
    <t>素質</t>
  </si>
  <si>
    <t>そしつ</t>
  </si>
  <si>
    <t>素質[そしつ]</t>
  </si>
  <si>
    <t>音楽の素質がある。</t>
  </si>
  <si>
    <t>Tôi có tố chất âm nhạc.</t>
  </si>
  <si>
    <t>訓</t>
  </si>
  <si>
    <t>くん</t>
  </si>
  <si>
    <t>訓[くん]</t>
  </si>
  <si>
    <t>âm kun</t>
  </si>
  <si>
    <t>漢字の訓を読む。</t>
  </si>
  <si>
    <t>Đọc âm kun của chữ Hán.</t>
  </si>
  <si>
    <t>ワープロ</t>
  </si>
  <si>
    <t>わーぷろ</t>
  </si>
  <si>
    <t>máy soạn thảo</t>
  </si>
  <si>
    <t>ワープロを使う。</t>
  </si>
  <si>
    <t>Sử dụng máy soạn thảo.</t>
  </si>
  <si>
    <t>異動</t>
  </si>
  <si>
    <t>異動[いどう]</t>
  </si>
  <si>
    <t>thuyên chuyển</t>
  </si>
  <si>
    <t>部署の異動。</t>
  </si>
  <si>
    <t>Thuyên chuyển bộ phận.</t>
  </si>
  <si>
    <t>転校</t>
  </si>
  <si>
    <t>転校[てんこう]</t>
  </si>
  <si>
    <t>chuyển trường</t>
  </si>
  <si>
    <t>転校する予定だ。</t>
  </si>
  <si>
    <t>Dự định chuyển trường.</t>
  </si>
  <si>
    <t>みじめ</t>
  </si>
  <si>
    <t>みじめな生活。</t>
  </si>
  <si>
    <t>Cuộc sống đáng thương.</t>
  </si>
  <si>
    <t>諮る</t>
  </si>
  <si>
    <t>諮[はか]る</t>
  </si>
  <si>
    <t>hỏi ý kiến</t>
  </si>
  <si>
    <t>専門家に諮る。</t>
  </si>
  <si>
    <t>Hỏi ý kiến chuyên gia.</t>
  </si>
  <si>
    <t>複写</t>
  </si>
  <si>
    <t>ふくしゃ</t>
  </si>
  <si>
    <t>複写[ふくしゃ]</t>
  </si>
  <si>
    <t>書類を複写する。</t>
  </si>
  <si>
    <t>Tôi sao chép tài liệu.</t>
  </si>
  <si>
    <t>泡</t>
  </si>
  <si>
    <t>あわ</t>
  </si>
  <si>
    <t>泡[あわ]</t>
  </si>
  <si>
    <t>bọt</t>
  </si>
  <si>
    <t>石鹸で泡を作る。</t>
  </si>
  <si>
    <t>Tạo bọt bằng xà phòng.</t>
  </si>
  <si>
    <t>謙遜</t>
  </si>
  <si>
    <t>けんそん</t>
  </si>
  <si>
    <t>謙遜[けんそん]</t>
  </si>
  <si>
    <t>khiêm nhường</t>
  </si>
  <si>
    <t>謙遜する言葉。</t>
  </si>
  <si>
    <t>Lời nói khiêm nhường.</t>
  </si>
  <si>
    <t>計器</t>
  </si>
  <si>
    <t>計器[けいき]</t>
  </si>
  <si>
    <t>thiết bị đo</t>
  </si>
  <si>
    <t>計器を確認する。</t>
  </si>
  <si>
    <t>Kiểm tra thiết bị đo.</t>
  </si>
  <si>
    <t>公正</t>
  </si>
  <si>
    <t>公正[こうせい]</t>
  </si>
  <si>
    <t>công chính</t>
  </si>
  <si>
    <t>公正な判断。</t>
  </si>
  <si>
    <t>Phán đoán công chính.</t>
  </si>
  <si>
    <t>沖</t>
  </si>
  <si>
    <t>おき</t>
  </si>
  <si>
    <t>沖[おき]</t>
  </si>
  <si>
    <t>ngoài khơi</t>
  </si>
  <si>
    <t>沖に出る。</t>
  </si>
  <si>
    <t>Tôi đi ra ngoài khơi.</t>
  </si>
  <si>
    <t>輸血</t>
  </si>
  <si>
    <t>ゆけつ</t>
  </si>
  <si>
    <t>輸血[ゆけつ]</t>
  </si>
  <si>
    <t>truyền máu</t>
  </si>
  <si>
    <t>輸血を行う。</t>
  </si>
  <si>
    <t>Thực hiện truyền máu.</t>
  </si>
  <si>
    <t>催し</t>
  </si>
  <si>
    <t>もよおし</t>
  </si>
  <si>
    <t>催[もよお]し</t>
  </si>
  <si>
    <t>催しに参加する。</t>
  </si>
  <si>
    <t>家屋</t>
  </si>
  <si>
    <t>かおく</t>
  </si>
  <si>
    <t>家屋[かおく]</t>
  </si>
  <si>
    <t>nhà cửa</t>
  </si>
  <si>
    <t>家屋を修理する。</t>
  </si>
  <si>
    <t>Tôi sửa chữa nhà cửa.</t>
  </si>
  <si>
    <t>要旨</t>
  </si>
  <si>
    <t>要旨[ようし]</t>
  </si>
  <si>
    <t>要旨をまとめる。</t>
  </si>
  <si>
    <t>Tôi tổng hợp tóm tắt.</t>
  </si>
  <si>
    <t>転々</t>
  </si>
  <si>
    <t>てんてん</t>
  </si>
  <si>
    <t>転々[てんてん]</t>
  </si>
  <si>
    <t>lăn lóc</t>
  </si>
  <si>
    <t>転々と回る。</t>
  </si>
  <si>
    <t>Đi quanh co khắp nơi.</t>
  </si>
  <si>
    <t>及ぼす</t>
  </si>
  <si>
    <t>およぼす</t>
  </si>
  <si>
    <t>及[およ]ぼす</t>
  </si>
  <si>
    <t>影響を及ぼす。</t>
  </si>
  <si>
    <t>Tôi gây ra ảnh hưởng.</t>
  </si>
  <si>
    <t>モノレール</t>
  </si>
  <si>
    <t>ものれーる</t>
  </si>
  <si>
    <t>tàu điện một ray</t>
  </si>
  <si>
    <t>モノレールに乗る。</t>
  </si>
  <si>
    <t>Đi tàu điện một ray.</t>
  </si>
  <si>
    <t>絶滅</t>
  </si>
  <si>
    <t>ぜつめつ</t>
  </si>
  <si>
    <t>絶滅[ぜつめつ]</t>
  </si>
  <si>
    <t>種が絶滅する。</t>
  </si>
  <si>
    <t>Loài bị tuyệt chủng.</t>
  </si>
  <si>
    <t>凍る</t>
  </si>
  <si>
    <t>こおる</t>
  </si>
  <si>
    <t>凍[こお]る</t>
  </si>
  <si>
    <t>đóng băng</t>
  </si>
  <si>
    <t>川が凍る。</t>
  </si>
  <si>
    <t>Dòng sông đóng băng.</t>
  </si>
  <si>
    <t>乗り越し</t>
  </si>
  <si>
    <t>のりこし</t>
  </si>
  <si>
    <t>乗[の]り越[こ]し</t>
  </si>
  <si>
    <t>quá trạm</t>
  </si>
  <si>
    <t>乗り越し精算。</t>
  </si>
  <si>
    <t>Thanh toán quá trạm.</t>
  </si>
  <si>
    <t>伝言</t>
  </si>
  <si>
    <t>でんごん</t>
  </si>
  <si>
    <t>伝言[でんごん]</t>
  </si>
  <si>
    <t>lời nhắn</t>
  </si>
  <si>
    <t>伝言を残す。</t>
  </si>
  <si>
    <t>永久</t>
  </si>
  <si>
    <t>えいきゅう</t>
  </si>
  <si>
    <t>永久[えいきゅう]</t>
  </si>
  <si>
    <t>vĩnh cửu</t>
  </si>
  <si>
    <t>永久に続く。</t>
  </si>
  <si>
    <t>Nó kéo dài vĩnh cửu.</t>
  </si>
  <si>
    <t>看病</t>
  </si>
  <si>
    <t>かんびょう</t>
  </si>
  <si>
    <t>看病[かんびょう]</t>
  </si>
  <si>
    <t>病人を看病する。</t>
  </si>
  <si>
    <t>Chăm sóc người bệnh.</t>
  </si>
  <si>
    <t>ấm nước</t>
  </si>
  <si>
    <t>やかんを火にかける。</t>
  </si>
  <si>
    <t>Đặt ấm nước lên bếp.</t>
  </si>
  <si>
    <t>売り切れる</t>
  </si>
  <si>
    <t>うりきれる</t>
  </si>
  <si>
    <t>売[う]り切[き]れる</t>
  </si>
  <si>
    <t>bán hết</t>
  </si>
  <si>
    <t>商品が売り切れる。</t>
  </si>
  <si>
    <t>Sản phẩm đã bán hết.</t>
  </si>
  <si>
    <t>清潔</t>
  </si>
  <si>
    <t>せいけつ</t>
  </si>
  <si>
    <t>清潔[せいけつ]</t>
  </si>
  <si>
    <t>sạch sẽ</t>
  </si>
  <si>
    <t>清潔な服を着る。</t>
  </si>
  <si>
    <t>Mặc quần áo sạch sẽ.</t>
  </si>
  <si>
    <t>生存</t>
  </si>
  <si>
    <t>せいぞん</t>
  </si>
  <si>
    <t>生存[せいぞん]</t>
  </si>
  <si>
    <t>生存を確認する。</t>
  </si>
  <si>
    <t>Xác nhận sự tồn tại.</t>
  </si>
  <si>
    <t>痩せる</t>
  </si>
  <si>
    <t>やせる</t>
  </si>
  <si>
    <t>痩[や]せる</t>
  </si>
  <si>
    <t>gầy</t>
  </si>
  <si>
    <t>ダイエットで痩せる。</t>
  </si>
  <si>
    <t>Gầy đi nhờ ăn kiêng.</t>
  </si>
  <si>
    <t>依然</t>
  </si>
  <si>
    <t>依然[いぜん]</t>
  </si>
  <si>
    <t>vẫn như cũ</t>
  </si>
  <si>
    <t>依然として高い。</t>
  </si>
  <si>
    <t>Vẫn còn cao như cũ.</t>
  </si>
  <si>
    <t>分量</t>
  </si>
  <si>
    <t>ぶんりょう</t>
  </si>
  <si>
    <t>分量[ぶんりょう]</t>
  </si>
  <si>
    <t>liều lượng</t>
  </si>
  <si>
    <t>分量を量る。</t>
  </si>
  <si>
    <t>Tôi cân liều lượng.</t>
  </si>
  <si>
    <t>俳句</t>
  </si>
  <si>
    <t>はいく</t>
  </si>
  <si>
    <t>俳句[はいく]</t>
  </si>
  <si>
    <t>thơ haiku</t>
  </si>
  <si>
    <t>俳句を詠む。</t>
  </si>
  <si>
    <t>Tôi ngâm thơ haiku.</t>
  </si>
  <si>
    <t>刑</t>
  </si>
  <si>
    <t>刑[けい]</t>
  </si>
  <si>
    <t>刑を受ける。</t>
  </si>
  <si>
    <t>Tôi nhận hình phạt.</t>
  </si>
  <si>
    <t>勘</t>
  </si>
  <si>
    <t>勘[かん]</t>
  </si>
  <si>
    <t>勘が働く。</t>
  </si>
  <si>
    <t>Trực giác làm việc.</t>
  </si>
  <si>
    <t>重力</t>
  </si>
  <si>
    <t>じゅうりょく</t>
  </si>
  <si>
    <t>重力[じゅうりょく]</t>
  </si>
  <si>
    <t>trọng lực</t>
  </si>
  <si>
    <t>重力を感じる。</t>
  </si>
  <si>
    <t>Cảm nhận trọng lực.</t>
  </si>
  <si>
    <t>ミシン</t>
  </si>
  <si>
    <t>みしん</t>
  </si>
  <si>
    <t>máy khâu</t>
  </si>
  <si>
    <t>ミシンで縫う。</t>
  </si>
  <si>
    <t>Khâu bằng máy khâu.</t>
  </si>
  <si>
    <t>不潔</t>
  </si>
  <si>
    <t>ふけつ</t>
  </si>
  <si>
    <t>不潔[ふけつ]</t>
  </si>
  <si>
    <t>bẩn thỉu</t>
  </si>
  <si>
    <t>不潔な部屋。</t>
  </si>
  <si>
    <t>Căn phòng bẩn thỉu.</t>
  </si>
  <si>
    <t>傷める</t>
  </si>
  <si>
    <t>いためる</t>
  </si>
  <si>
    <t>傷[いた]める</t>
  </si>
  <si>
    <t>làm hỏng</t>
  </si>
  <si>
    <t>体を傷める。</t>
  </si>
  <si>
    <t>Tôi làm hại cơ thể.</t>
  </si>
  <si>
    <t>手品</t>
  </si>
  <si>
    <t>てじな</t>
  </si>
  <si>
    <t>手品[てじな]</t>
  </si>
  <si>
    <t>ảo thuật</t>
  </si>
  <si>
    <t>手品を見せる。</t>
  </si>
  <si>
    <t>Biểu diễn ảo thuật.</t>
  </si>
  <si>
    <t>目安</t>
  </si>
  <si>
    <t>めやす</t>
  </si>
  <si>
    <t>目安[めやす]</t>
  </si>
  <si>
    <t>時間の目安。</t>
  </si>
  <si>
    <t>Mục tiêu thời gian.</t>
  </si>
  <si>
    <t>虹</t>
  </si>
  <si>
    <t>にじ</t>
  </si>
  <si>
    <t>虹[にじ]</t>
  </si>
  <si>
    <t>cầu vồng</t>
  </si>
  <si>
    <t>虹が出る。</t>
  </si>
  <si>
    <t>Cầu vồng xuất hiện.</t>
  </si>
  <si>
    <t>造船</t>
  </si>
  <si>
    <t>ぞうせん</t>
  </si>
  <si>
    <t>造船[ぞうせん]</t>
  </si>
  <si>
    <t>đóng tàu</t>
  </si>
  <si>
    <t>造船業を行う。</t>
  </si>
  <si>
    <t>Làm ngành đóng tàu.</t>
  </si>
  <si>
    <t>停車</t>
  </si>
  <si>
    <t>ていしゃ</t>
  </si>
  <si>
    <t>停車[ていしゃ]</t>
  </si>
  <si>
    <t>dừng xe</t>
  </si>
  <si>
    <t>駅に停車する。</t>
  </si>
  <si>
    <t>Xe dừng tại nhà ga.</t>
  </si>
  <si>
    <t>無限</t>
  </si>
  <si>
    <t>むげん</t>
  </si>
  <si>
    <t>無限[むげん]</t>
  </si>
  <si>
    <t>vô hạn</t>
  </si>
  <si>
    <t>可能性は無限だ。</t>
  </si>
  <si>
    <t>Khả năng là vô hạn.</t>
  </si>
  <si>
    <t>塀</t>
  </si>
  <si>
    <t>へい</t>
  </si>
  <si>
    <t>塀[へい]</t>
  </si>
  <si>
    <t>塀を乗り越える。</t>
  </si>
  <si>
    <t>Tôi trèo qua tường.</t>
  </si>
  <si>
    <t>信仰</t>
  </si>
  <si>
    <t>信仰[しんこう]</t>
  </si>
  <si>
    <t>tín ngưỡng</t>
  </si>
  <si>
    <t>信仰を持つ。</t>
  </si>
  <si>
    <t>Tôi có tín ngưỡng.</t>
  </si>
  <si>
    <t>縄</t>
  </si>
  <si>
    <t>なわ</t>
  </si>
  <si>
    <t>縄[なわ]</t>
  </si>
  <si>
    <t>縄を編む。</t>
  </si>
  <si>
    <t>Tôi bện dây thừng.</t>
  </si>
  <si>
    <t>送別</t>
  </si>
  <si>
    <t>そうべつ</t>
  </si>
  <si>
    <t>送別[そうべつ]</t>
  </si>
  <si>
    <t>tiễn biệt</t>
  </si>
  <si>
    <t>送別会を開く。</t>
  </si>
  <si>
    <t>Mở tiệc tiễn biệt.</t>
  </si>
  <si>
    <t>人造</t>
  </si>
  <si>
    <t>じんぞう</t>
  </si>
  <si>
    <t>人造[じんぞう]</t>
  </si>
  <si>
    <t>人造の製品。</t>
  </si>
  <si>
    <t>Sản phẩm nhân tạo.</t>
  </si>
  <si>
    <t>定期券</t>
  </si>
  <si>
    <t>ていきけん</t>
  </si>
  <si>
    <t>定期券[ていきけん]</t>
  </si>
  <si>
    <t>vé tháng</t>
  </si>
  <si>
    <t>定期券を使う。</t>
  </si>
  <si>
    <t>Tôi dùng vé tháng.</t>
  </si>
  <si>
    <t>混雑</t>
  </si>
  <si>
    <t>こんざつ</t>
  </si>
  <si>
    <t>混雑[こんざつ]</t>
  </si>
  <si>
    <t>電車が混雑する。</t>
  </si>
  <si>
    <t>用途</t>
  </si>
  <si>
    <t>ようと</t>
  </si>
  <si>
    <t>用途[ようと]</t>
  </si>
  <si>
    <t>用途を確認する。</t>
  </si>
  <si>
    <t>Xác nhận mục đích.</t>
  </si>
  <si>
    <t>運河</t>
  </si>
  <si>
    <t>うんが</t>
  </si>
  <si>
    <t>運河[うんが]</t>
  </si>
  <si>
    <t>kênh đào</t>
  </si>
  <si>
    <t>運河を渡る。</t>
  </si>
  <si>
    <t>Băng qua kênh đào.</t>
  </si>
  <si>
    <t>力強い</t>
  </si>
  <si>
    <t>ちからづよい</t>
  </si>
  <si>
    <t>力強[ちからづよ]い</t>
  </si>
  <si>
    <t>mạnh mẽ</t>
  </si>
  <si>
    <t>力強い声。</t>
  </si>
  <si>
    <t>Giọng nói mạnh mẽ.</t>
  </si>
  <si>
    <t>発音</t>
  </si>
  <si>
    <t>はつおん</t>
  </si>
  <si>
    <t>発音[はつおん]</t>
  </si>
  <si>
    <t>phát âm</t>
  </si>
  <si>
    <t>発音を練習する。</t>
  </si>
  <si>
    <t>Luyện tập phát âm.</t>
  </si>
  <si>
    <t>街角</t>
  </si>
  <si>
    <t>まちかど</t>
  </si>
  <si>
    <t>街角[まちかど]</t>
  </si>
  <si>
    <t>góc phố</t>
  </si>
  <si>
    <t>街角で会う。</t>
  </si>
  <si>
    <t>Tôi gặp ở góc phố.</t>
  </si>
  <si>
    <t>湾</t>
  </si>
  <si>
    <t>わん</t>
  </si>
  <si>
    <t>湾[わん]</t>
  </si>
  <si>
    <t>vịnh</t>
  </si>
  <si>
    <t>湾に船が浮かぶ。</t>
  </si>
  <si>
    <t>Tàu nổi trên vịnh.</t>
  </si>
  <si>
    <t>漬ける</t>
  </si>
  <si>
    <t>漬[つ]ける</t>
  </si>
  <si>
    <t>野菜を塩に漬ける。</t>
  </si>
  <si>
    <t>Muối rau vào muối.</t>
  </si>
  <si>
    <t>五十音</t>
  </si>
  <si>
    <t>ごじゅうおん</t>
  </si>
  <si>
    <t>五十音[ごじゅうおん]</t>
  </si>
  <si>
    <t>bảng chữ cái</t>
  </si>
  <si>
    <t>五十音を学ぶ。</t>
  </si>
  <si>
    <t>Học bảng chữ cái.</t>
  </si>
  <si>
    <t>ぼろ</t>
  </si>
  <si>
    <t>rách rưới</t>
  </si>
  <si>
    <t>ぼろを着る。</t>
  </si>
  <si>
    <t>Mặc đồ rách rưới.</t>
  </si>
  <si>
    <t>逆様</t>
  </si>
  <si>
    <t>さかさま</t>
  </si>
  <si>
    <t>逆様[さかさま]</t>
  </si>
  <si>
    <t>写真が逆様だ。</t>
  </si>
  <si>
    <t>Bức ảnh bị ngược.</t>
  </si>
  <si>
    <t>人差指</t>
  </si>
  <si>
    <t>ひとさしゆび</t>
  </si>
  <si>
    <t>人差指[ひとさしゆび]</t>
  </si>
  <si>
    <t>ngón trỏ</t>
  </si>
  <si>
    <t>人差指を使う。</t>
  </si>
  <si>
    <t>Sử dụng ngón trỏ.</t>
  </si>
  <si>
    <t>休講</t>
  </si>
  <si>
    <t>休講[きゅうこう]</t>
  </si>
  <si>
    <t>nghỉ dạy</t>
  </si>
  <si>
    <t>授業が休講。</t>
  </si>
  <si>
    <t>Giờ học nghỉ dạy.</t>
  </si>
  <si>
    <t>作法</t>
  </si>
  <si>
    <t>さほう</t>
  </si>
  <si>
    <t>作法[さほう]</t>
  </si>
  <si>
    <t>phép tắc</t>
  </si>
  <si>
    <t>食事の作法。</t>
  </si>
  <si>
    <t>Phép tắc ăn uống.</t>
  </si>
  <si>
    <t>濃度</t>
  </si>
  <si>
    <t>のうど</t>
  </si>
  <si>
    <t>濃度[のうど]</t>
  </si>
  <si>
    <t>nồng độ</t>
  </si>
  <si>
    <t>糖分の濃度を測る。</t>
  </si>
  <si>
    <t>Đo nồng độ đường.</t>
  </si>
  <si>
    <t>頂上</t>
  </si>
  <si>
    <t>ちょうじょう</t>
  </si>
  <si>
    <t>頂上[ちょうじょう]</t>
  </si>
  <si>
    <t>山の頂上に着く。</t>
  </si>
  <si>
    <t>Tôi đến đỉnh núi.</t>
  </si>
  <si>
    <t>操縦</t>
  </si>
  <si>
    <t>そうじゅう</t>
  </si>
  <si>
    <t>操縦[そうじゅう]</t>
  </si>
  <si>
    <t>điều khiển</t>
  </si>
  <si>
    <t>飛行機を操縦する。</t>
  </si>
  <si>
    <t>Tôi lái máy bay.</t>
  </si>
  <si>
    <t>下水</t>
  </si>
  <si>
    <t>げすい</t>
  </si>
  <si>
    <t>下水[げすい]</t>
  </si>
  <si>
    <t>nước thải</t>
  </si>
  <si>
    <t>下水を処理する。</t>
  </si>
  <si>
    <t>Xử lý nước thải.</t>
  </si>
  <si>
    <t>待合室</t>
  </si>
  <si>
    <t>まちあいしつ</t>
  </si>
  <si>
    <t>待合室[まちあいしつ]</t>
  </si>
  <si>
    <t>phòng chờ</t>
  </si>
  <si>
    <t>待合室で待つ。</t>
  </si>
  <si>
    <t>Đợi ở phòng chờ.</t>
  </si>
  <si>
    <t>ハンサム</t>
  </si>
  <si>
    <t>はんさむ</t>
  </si>
  <si>
    <t>đẹp trai</t>
  </si>
  <si>
    <t>彼はハンサムだ。</t>
  </si>
  <si>
    <t>Anh ấy đẹp trai.</t>
  </si>
  <si>
    <t>並木</t>
  </si>
  <si>
    <t>なみき</t>
  </si>
  <si>
    <t>並木[なみき]</t>
  </si>
  <si>
    <t>hàng cây</t>
  </si>
  <si>
    <t>並木を歩く。</t>
  </si>
  <si>
    <t>Đi dạo hàng cây.</t>
  </si>
  <si>
    <t>厄介</t>
  </si>
  <si>
    <t>やっかい</t>
  </si>
  <si>
    <t>厄介[やっかい]</t>
  </si>
  <si>
    <t>厄介な問題。</t>
  </si>
  <si>
    <t>Vấn đề phiền hà.</t>
  </si>
  <si>
    <t>山林</t>
  </si>
  <si>
    <t>さんりん</t>
  </si>
  <si>
    <t>山林[さんりん]</t>
  </si>
  <si>
    <t>rừng núi</t>
  </si>
  <si>
    <t>山林を守る。</t>
  </si>
  <si>
    <t>Bảo vệ rừng núi.</t>
  </si>
  <si>
    <t>赤道</t>
  </si>
  <si>
    <t>せきどう</t>
  </si>
  <si>
    <t>赤道[せきどう]</t>
  </si>
  <si>
    <t>xích đạo</t>
  </si>
  <si>
    <t>赤道を通過する。</t>
  </si>
  <si>
    <t>Đi qua xích đạo.</t>
  </si>
  <si>
    <t>偶々</t>
  </si>
  <si>
    <t>たまたま</t>
  </si>
  <si>
    <t>偶々[たまたま]</t>
  </si>
  <si>
    <t>偶々会う。</t>
  </si>
  <si>
    <t>Tôi tình cờ gặp.</t>
  </si>
  <si>
    <t>水泳</t>
  </si>
  <si>
    <t>すいえい</t>
  </si>
  <si>
    <t>水泳[すいえい]</t>
  </si>
  <si>
    <t>bơi lội</t>
  </si>
  <si>
    <t>水泳を習う。</t>
  </si>
  <si>
    <t>Tôi học bơi lội.</t>
  </si>
  <si>
    <t>サイレン</t>
  </si>
  <si>
    <t>さいれん</t>
  </si>
  <si>
    <t>còi hú</t>
  </si>
  <si>
    <t>サイレンが鳴る。</t>
  </si>
  <si>
    <t>Còi hú vang lên.</t>
  </si>
  <si>
    <t>生地</t>
  </si>
  <si>
    <t>生地[きじ]</t>
  </si>
  <si>
    <t>洋服の生地。</t>
  </si>
  <si>
    <t>Vải may quần áo.</t>
  </si>
  <si>
    <t>仮名遣い</t>
  </si>
  <si>
    <t>かなづかい</t>
  </si>
  <si>
    <t>仮名遣[かなづか]い</t>
  </si>
  <si>
    <t>cách viết kana</t>
  </si>
  <si>
    <t>仮名遣い。</t>
  </si>
  <si>
    <t>Cách viết kana.</t>
  </si>
  <si>
    <t>床屋</t>
  </si>
  <si>
    <t>とこや</t>
  </si>
  <si>
    <t>床屋[とこや]</t>
  </si>
  <si>
    <t>tiệm cắt tóc</t>
  </si>
  <si>
    <t>床屋で髪を切る。</t>
  </si>
  <si>
    <t>Cắt tóc ở tiệm.</t>
  </si>
  <si>
    <t>直に</t>
  </si>
  <si>
    <t>じかに</t>
  </si>
  <si>
    <t>直[じか]に</t>
  </si>
  <si>
    <t>直に触れる。</t>
  </si>
  <si>
    <t>Chạm trực tiếp.</t>
  </si>
  <si>
    <t>売り切れ</t>
  </si>
  <si>
    <t>うりきれ</t>
  </si>
  <si>
    <t>売[う]り切[き]れ</t>
  </si>
  <si>
    <t>hết hàng</t>
  </si>
  <si>
    <t>チケットが売り切れ。</t>
  </si>
  <si>
    <t>Vé đã hết hàng.</t>
  </si>
  <si>
    <t>刺身</t>
  </si>
  <si>
    <t>さしみ</t>
  </si>
  <si>
    <t>刺身[さしみ]</t>
  </si>
  <si>
    <t>sashimi</t>
  </si>
  <si>
    <t>刺身を食べる。</t>
  </si>
  <si>
    <t>Tôi ăn sashimi.</t>
  </si>
  <si>
    <t>迷信</t>
  </si>
  <si>
    <t>めいしん</t>
  </si>
  <si>
    <t>迷信[めいしん]</t>
  </si>
  <si>
    <t>mê tín</t>
  </si>
  <si>
    <t>迷信を信じる。</t>
  </si>
  <si>
    <t>Tin vào mê tín.</t>
  </si>
  <si>
    <t>太鼓</t>
  </si>
  <si>
    <t>たいこ</t>
  </si>
  <si>
    <t>太鼓[たいこ]</t>
  </si>
  <si>
    <t>太鼓を叩く。</t>
  </si>
  <si>
    <t>Tôi đánh trống.</t>
  </si>
  <si>
    <t>車庫</t>
  </si>
  <si>
    <t>しゃこ</t>
  </si>
  <si>
    <t>車庫[しゃこ]</t>
  </si>
  <si>
    <t>ga-ra</t>
  </si>
  <si>
    <t>車庫に停める。</t>
  </si>
  <si>
    <t>Đỗ trong ga-ra.</t>
  </si>
  <si>
    <t>チョーク</t>
  </si>
  <si>
    <t>ちょーく</t>
  </si>
  <si>
    <t>phấn</t>
  </si>
  <si>
    <t>チョークで書く。</t>
  </si>
  <si>
    <t>Viết bằng phấn.</t>
  </si>
  <si>
    <t>茹でる</t>
  </si>
  <si>
    <t>ゆでる</t>
  </si>
  <si>
    <t>茹[ゆ]でる</t>
  </si>
  <si>
    <t>luộc</t>
  </si>
  <si>
    <t>卵を茹でる。</t>
  </si>
  <si>
    <t>Tôi luộc trứng.</t>
  </si>
  <si>
    <t>木材</t>
  </si>
  <si>
    <t>もくざい</t>
  </si>
  <si>
    <t>木材[もくざい]</t>
  </si>
  <si>
    <t>gỗ</t>
  </si>
  <si>
    <t>木材を使う。</t>
  </si>
  <si>
    <t>Tôi sử dụng gỗ.</t>
  </si>
  <si>
    <t>中指</t>
  </si>
  <si>
    <t>なかゆび</t>
  </si>
  <si>
    <t>中指[なかゆび]</t>
  </si>
  <si>
    <t>ngón giữa</t>
  </si>
  <si>
    <t>中指を立てる。</t>
  </si>
  <si>
    <t>Giơ ngón giữa.</t>
  </si>
  <si>
    <t>酒場</t>
  </si>
  <si>
    <t>さかば</t>
  </si>
  <si>
    <t>酒場[さかば]</t>
  </si>
  <si>
    <t>quán rượu</t>
  </si>
  <si>
    <t>酒場に入る。</t>
  </si>
  <si>
    <t>Vào quán rượu.</t>
  </si>
  <si>
    <t>清掃</t>
  </si>
  <si>
    <t>せいそう</t>
  </si>
  <si>
    <t>清掃[せいそう]</t>
  </si>
  <si>
    <t>部屋を清掃する。</t>
  </si>
  <si>
    <t>真っ暗</t>
  </si>
  <si>
    <t>まっくら</t>
  </si>
  <si>
    <t>真[ま]っ暗[くら]</t>
  </si>
  <si>
    <t>tối đen</t>
  </si>
  <si>
    <t>部屋が真っ暗だ。</t>
  </si>
  <si>
    <t>Phòng tối đen.</t>
  </si>
  <si>
    <t>動物園</t>
  </si>
  <si>
    <t>どうぶつえん</t>
  </si>
  <si>
    <t>動物園[どうぶつえん]</t>
  </si>
  <si>
    <t>sở thú</t>
  </si>
  <si>
    <t>動物園に行く。</t>
  </si>
  <si>
    <t>Tôi đi sở thú.</t>
  </si>
  <si>
    <t>父母</t>
  </si>
  <si>
    <t>ふぼ</t>
  </si>
  <si>
    <t>父母[ふぼ]</t>
  </si>
  <si>
    <t>cha mẹ</t>
  </si>
  <si>
    <t>父母に感謝する。</t>
  </si>
  <si>
    <t>Cảm ơn cha mẹ.</t>
  </si>
  <si>
    <t>前もって</t>
  </si>
  <si>
    <t>まえもって</t>
  </si>
  <si>
    <t>前[まえ]もって</t>
  </si>
  <si>
    <t>前もって言う。</t>
  </si>
  <si>
    <t>Tôi nói trước.</t>
  </si>
  <si>
    <t>綱</t>
  </si>
  <si>
    <t>つな</t>
  </si>
  <si>
    <t>綱[つな]</t>
  </si>
  <si>
    <t>thừng</t>
  </si>
  <si>
    <t>綱を引く。</t>
  </si>
  <si>
    <t>Tôi kéo thừng.</t>
  </si>
  <si>
    <t>下線</t>
  </si>
  <si>
    <t>下線[かせん]</t>
  </si>
  <si>
    <t>gạch chân</t>
  </si>
  <si>
    <t>下線を引く。</t>
  </si>
  <si>
    <t>Kẻ gạch chân.</t>
  </si>
  <si>
    <t>ピストル</t>
  </si>
  <si>
    <t>ぴすとる</t>
  </si>
  <si>
    <t>súng lục</t>
  </si>
  <si>
    <t>ピストルを持つ。</t>
  </si>
  <si>
    <t>Cầm súng lục.</t>
  </si>
  <si>
    <t>引算</t>
  </si>
  <si>
    <t>ひきざん</t>
  </si>
  <si>
    <t>引算[ひきざん]</t>
  </si>
  <si>
    <t>phép trừ</t>
  </si>
  <si>
    <t>引算をする。</t>
  </si>
  <si>
    <t>Làm phép trừ.</t>
  </si>
  <si>
    <t>王子</t>
  </si>
  <si>
    <t>おうじ</t>
  </si>
  <si>
    <t>王子[おうじ]</t>
  </si>
  <si>
    <t>hoàng tử</t>
  </si>
  <si>
    <t>王子に会う。</t>
  </si>
  <si>
    <t>Gặp hoàng tử.</t>
  </si>
  <si>
    <t>生る</t>
  </si>
  <si>
    <t>生[な]る</t>
  </si>
  <si>
    <t>kết trái</t>
  </si>
  <si>
    <t>果実が生る。</t>
  </si>
  <si>
    <t>Quả kết trái.</t>
  </si>
  <si>
    <t>破片</t>
  </si>
  <si>
    <t>はへん</t>
  </si>
  <si>
    <t>破片[はへん]</t>
  </si>
  <si>
    <t>mảnh vỡ</t>
  </si>
  <si>
    <t>ガラスの破片。</t>
  </si>
  <si>
    <t>Mảnh vỡ kính.</t>
  </si>
  <si>
    <t>近視</t>
  </si>
  <si>
    <t>近視[きんし]</t>
  </si>
  <si>
    <t>cận thị</t>
  </si>
  <si>
    <t>近視用メガネ。</t>
  </si>
  <si>
    <t>Kính cận thị.</t>
  </si>
  <si>
    <t>爪</t>
  </si>
  <si>
    <t>つめ</t>
  </si>
  <si>
    <t>爪[つめ]</t>
  </si>
  <si>
    <t>móng</t>
  </si>
  <si>
    <t>爪を切る。</t>
  </si>
  <si>
    <t>Cắt móng tay.</t>
  </si>
  <si>
    <t>埃</t>
  </si>
  <si>
    <t>埃[ほこり]</t>
  </si>
  <si>
    <t>bụi</t>
  </si>
  <si>
    <t>埃を払う。</t>
  </si>
  <si>
    <t>Tôi phủi bụi.</t>
  </si>
  <si>
    <t>短編</t>
  </si>
  <si>
    <t>たんぺん</t>
  </si>
  <si>
    <t>短編[たんぺん]</t>
  </si>
  <si>
    <t>truyện ngắn</t>
  </si>
  <si>
    <t>短編小説。</t>
  </si>
  <si>
    <t>Truyện ngắn.</t>
  </si>
  <si>
    <t>速力</t>
  </si>
  <si>
    <t>そくりょく</t>
  </si>
  <si>
    <t>速力[そくりょく]</t>
  </si>
  <si>
    <t>速力を出す。</t>
  </si>
  <si>
    <t>Tăng tốc độ.</t>
  </si>
  <si>
    <t>演劇</t>
  </si>
  <si>
    <t>えんげき</t>
  </si>
  <si>
    <t>演劇[えんげき]</t>
  </si>
  <si>
    <t>演劇を見に行く。</t>
  </si>
  <si>
    <t>Đi xem kịch.</t>
  </si>
  <si>
    <t>討つ</t>
  </si>
  <si>
    <t>討[う]つ</t>
  </si>
  <si>
    <t>敵を討つ。</t>
  </si>
  <si>
    <t>Đánh kẻ thù.</t>
  </si>
  <si>
    <t>編み物</t>
  </si>
  <si>
    <t>あみもの</t>
  </si>
  <si>
    <t>編[あ]み物[もの]</t>
  </si>
  <si>
    <t>編み物をする。</t>
  </si>
  <si>
    <t>Tôi đan lát.</t>
  </si>
  <si>
    <t>蒸す</t>
  </si>
  <si>
    <t>むす</t>
  </si>
  <si>
    <t>蒸[む]す</t>
  </si>
  <si>
    <t>hấp</t>
  </si>
  <si>
    <t>野菜を蒸す。</t>
  </si>
  <si>
    <t>Tôi hấp rau.</t>
  </si>
  <si>
    <t>ウール</t>
  </si>
  <si>
    <t>うーる</t>
  </si>
  <si>
    <t>len</t>
  </si>
  <si>
    <t>ウールのセーターを着る。</t>
  </si>
  <si>
    <t>しぼむ</t>
  </si>
  <si>
    <t>héo</t>
  </si>
  <si>
    <t>花がしぼむ。</t>
  </si>
  <si>
    <t>Hoa bị héo.</t>
  </si>
  <si>
    <t>包み</t>
  </si>
  <si>
    <t>つつみ</t>
  </si>
  <si>
    <t>包[つつ]み</t>
  </si>
  <si>
    <t>包みを開ける。</t>
  </si>
  <si>
    <t>Tôi mở gói.</t>
  </si>
  <si>
    <t>頬</t>
  </si>
  <si>
    <t>ほお</t>
  </si>
  <si>
    <t>頬[ほお]</t>
  </si>
  <si>
    <t>頬を赤くする。</t>
  </si>
  <si>
    <t>Tôi đỏ mặt.</t>
  </si>
  <si>
    <t>釣</t>
  </si>
  <si>
    <t>つり</t>
  </si>
  <si>
    <t>釣[つり]</t>
  </si>
  <si>
    <t>câu cá</t>
  </si>
  <si>
    <t>釣に行く。</t>
  </si>
  <si>
    <t>Đi câu cá.</t>
  </si>
  <si>
    <t>へそ</t>
  </si>
  <si>
    <t>rốn</t>
  </si>
  <si>
    <t>へそを出す。</t>
  </si>
  <si>
    <t>Để lộ rốn.</t>
  </si>
  <si>
    <t>しゃぶる</t>
  </si>
  <si>
    <t>飴をしゃぶる。</t>
  </si>
  <si>
    <t>Ngậm kẹo.</t>
  </si>
  <si>
    <t>切れ</t>
  </si>
  <si>
    <t>きれ</t>
  </si>
  <si>
    <t>切[き]れ</t>
  </si>
  <si>
    <t>布の切れ。</t>
  </si>
  <si>
    <t>Mảnh vải.</t>
  </si>
  <si>
    <t>煮る</t>
  </si>
  <si>
    <t>煮[に]る</t>
  </si>
  <si>
    <t>ninh</t>
  </si>
  <si>
    <t>野菜を煮る。</t>
  </si>
  <si>
    <t>Ninh rau.</t>
  </si>
  <si>
    <t>銃</t>
  </si>
  <si>
    <t>銃[じゅう]</t>
  </si>
  <si>
    <t>súng</t>
  </si>
  <si>
    <t>銃を持つ。</t>
  </si>
  <si>
    <t>Cầm súng.</t>
  </si>
  <si>
    <t>かるた</t>
  </si>
  <si>
    <t>かるたで遊ぶ。</t>
  </si>
  <si>
    <t>灯</t>
  </si>
  <si>
    <t>灯[ひ]</t>
  </si>
  <si>
    <t>ánh đèn</t>
  </si>
  <si>
    <t>灯を消す。</t>
  </si>
  <si>
    <t>Tắt đèn.</t>
  </si>
  <si>
    <t>碗</t>
  </si>
  <si>
    <t>碗[わん]</t>
  </si>
  <si>
    <t>cái bát</t>
  </si>
  <si>
    <t>碗を洗う。</t>
  </si>
  <si>
    <t>盛る</t>
  </si>
  <si>
    <t>もる</t>
  </si>
  <si>
    <t>盛[も]る</t>
  </si>
  <si>
    <t>xới</t>
  </si>
  <si>
    <t>ご飯を盛る。</t>
  </si>
  <si>
    <t>Xới cơm.</t>
  </si>
  <si>
    <t>生死</t>
  </si>
  <si>
    <t>生死[せいし]</t>
  </si>
  <si>
    <t>sự sống và cái chết</t>
  </si>
  <si>
    <t>生死を分ける局面。</t>
  </si>
  <si>
    <t>Giai đoạn quyết định sự sống và cái chết.</t>
  </si>
  <si>
    <t>転任</t>
  </si>
  <si>
    <t>てんにん</t>
  </si>
  <si>
    <t>転任[てんにん]</t>
  </si>
  <si>
    <t>sự chuyển công tác</t>
  </si>
  <si>
    <t>他店へ転任する。</t>
  </si>
  <si>
    <t>Chuyển công tác đến cửa hàng khác.</t>
  </si>
  <si>
    <t>不順</t>
  </si>
  <si>
    <t>ふじゅん</t>
  </si>
  <si>
    <t>不順[ふじゅん]</t>
  </si>
  <si>
    <t>không bình thường</t>
  </si>
  <si>
    <t>天候が不順だ。</t>
  </si>
  <si>
    <t>Thời tiết không bình thường.</t>
  </si>
  <si>
    <t>とんだ</t>
  </si>
  <si>
    <t>thật khủng khiếp</t>
  </si>
  <si>
    <t>とんだ災難に遭う。</t>
  </si>
  <si>
    <t>Gặp phải tai nạn thật khủng khiếp.</t>
  </si>
  <si>
    <t>共学</t>
  </si>
  <si>
    <t>きょうがく</t>
  </si>
  <si>
    <t>共学[きょうがく]</t>
  </si>
  <si>
    <t>trường đồng giáo</t>
  </si>
  <si>
    <t>共学の高校に行く。</t>
  </si>
  <si>
    <t>Đi học trường trung học đồng giáo.</t>
  </si>
  <si>
    <t>特技</t>
  </si>
  <si>
    <t>とくぎ</t>
  </si>
  <si>
    <t>特技[とくぎ]</t>
  </si>
  <si>
    <t>kỹ năng đặc biệt</t>
  </si>
  <si>
    <t>特技を披露する。</t>
  </si>
  <si>
    <t>Phô diễn kỹ năng đặc biệt.</t>
  </si>
  <si>
    <t>とぼける</t>
  </si>
  <si>
    <t>giả vờ ngây thơ</t>
  </si>
  <si>
    <t>とぼけた顔をする。</t>
  </si>
  <si>
    <t>Giả vờ ngây thơ.</t>
  </si>
  <si>
    <t>民宿</t>
  </si>
  <si>
    <t>みんしゅく</t>
  </si>
  <si>
    <t>民宿[みんしゅく]</t>
  </si>
  <si>
    <t>nhà trọ tư nhân</t>
  </si>
  <si>
    <t>温泉地の民宿に泊まる。</t>
  </si>
  <si>
    <t>Trọ tại nhà nghỉ tư nhân ở vùng suối nước nóng.</t>
  </si>
  <si>
    <t>着席</t>
  </si>
  <si>
    <t>ちゃくせき</t>
  </si>
  <si>
    <t>着席[ちゃくせき]</t>
  </si>
  <si>
    <t>sự ngồi vào chỗ</t>
  </si>
  <si>
    <t>全員が着席する。</t>
  </si>
  <si>
    <t>Tất cả mọi người ngồi vào chỗ.</t>
  </si>
  <si>
    <t>下調べ</t>
  </si>
  <si>
    <t>したしらべ</t>
  </si>
  <si>
    <t>下調[したしら]べ</t>
  </si>
  <si>
    <t>tìm hiểu trước</t>
  </si>
  <si>
    <t>現場を下調べする。</t>
  </si>
  <si>
    <t>Tìm hiểu trước hiện trường.</t>
  </si>
  <si>
    <t>物足りない</t>
  </si>
  <si>
    <t>ものたりない</t>
  </si>
  <si>
    <t>物足[ものた]りない</t>
  </si>
  <si>
    <t>không thỏa mãn</t>
  </si>
  <si>
    <t>少し物足りない。</t>
  </si>
  <si>
    <t>Cảm thấy hơi không thỏa mãn.</t>
  </si>
  <si>
    <t>脚色</t>
  </si>
  <si>
    <t>きゃくしょく</t>
  </si>
  <si>
    <t>脚色[きゃくしょく]</t>
  </si>
  <si>
    <t>sự chuyển thể</t>
  </si>
  <si>
    <t>小説を脚色する。</t>
  </si>
  <si>
    <t>Chuyển thể tiểu thuyết.</t>
  </si>
  <si>
    <t>ナイター</t>
  </si>
  <si>
    <t>ないたー</t>
  </si>
  <si>
    <t>trận đấu đêm</t>
  </si>
  <si>
    <t>ナイターを観戦する。</t>
  </si>
  <si>
    <t>Xem trận đấu đêm.</t>
  </si>
  <si>
    <t>全快</t>
  </si>
  <si>
    <t>ぜんかい</t>
  </si>
  <si>
    <t>全快[ぜんかい]</t>
  </si>
  <si>
    <t>sự bình phục</t>
  </si>
  <si>
    <t>病気が全快する。</t>
  </si>
  <si>
    <t>Bệnh tình bình phục hoàn toàn.</t>
  </si>
  <si>
    <t>海運</t>
  </si>
  <si>
    <t>かいうん</t>
  </si>
  <si>
    <t>海運[かいうん]</t>
  </si>
  <si>
    <t>vận tải biển</t>
  </si>
  <si>
    <t>海運業界を調べる。</t>
  </si>
  <si>
    <t>Tìm hiểu ngành vận tải biển.</t>
  </si>
  <si>
    <t>溜まり</t>
  </si>
  <si>
    <t>たまり</t>
  </si>
  <si>
    <t>溜[た]まり</t>
  </si>
  <si>
    <t>chỗ đọng lại</t>
  </si>
  <si>
    <t>水の溜まりができる。</t>
  </si>
  <si>
    <t>Hình thành vũng nước đọng.</t>
  </si>
  <si>
    <t>発掘</t>
  </si>
  <si>
    <t>はっくつ</t>
  </si>
  <si>
    <t>発掘[はっくつ]</t>
  </si>
  <si>
    <t>khai quật</t>
  </si>
  <si>
    <t>古い遺跡を発掘する。</t>
  </si>
  <si>
    <t>Khai quật di tích cổ.</t>
  </si>
  <si>
    <t>祝賀</t>
  </si>
  <si>
    <t>しゅくが</t>
  </si>
  <si>
    <t>祝賀[しゅくが]</t>
  </si>
  <si>
    <t>sự chúc mừng</t>
  </si>
  <si>
    <t>祝賀会に出席する。</t>
  </si>
  <si>
    <t>Tham dự tiệc chúc mừng.</t>
  </si>
  <si>
    <t>税務署</t>
  </si>
  <si>
    <t>ぜいむしょ</t>
  </si>
  <si>
    <t>税務署[ぜいむしょ]</t>
  </si>
  <si>
    <t>cơ quan thuế</t>
  </si>
  <si>
    <t>税務署で申告する。</t>
  </si>
  <si>
    <t>Khai báo tại cơ quan thuế.</t>
  </si>
  <si>
    <t>見習う</t>
  </si>
  <si>
    <t>みならう</t>
  </si>
  <si>
    <t>見習[みなら]う</t>
  </si>
  <si>
    <t>học tập theo</t>
  </si>
  <si>
    <t>先輩を見習う。</t>
  </si>
  <si>
    <t>Học tập theo tiền bối.</t>
  </si>
  <si>
    <t>しぶとい</t>
  </si>
  <si>
    <t>ngoan cường</t>
  </si>
  <si>
    <t>しぶとい性格だ。</t>
  </si>
  <si>
    <t>Tính cách thật ngoan cường.</t>
  </si>
  <si>
    <t>なるたけ</t>
  </si>
  <si>
    <t>càng...càng</t>
  </si>
  <si>
    <t>なるたけ早く来る。</t>
  </si>
  <si>
    <t>Hãy đến sớm nhất có thể.</t>
  </si>
  <si>
    <t>下取り</t>
  </si>
  <si>
    <t>したどり</t>
  </si>
  <si>
    <t>下取[したど]り</t>
  </si>
  <si>
    <t>thu mua lại</t>
  </si>
  <si>
    <t>車を下取りに出す。</t>
  </si>
  <si>
    <t>Đem xe đi bán lại.</t>
  </si>
  <si>
    <t>保養</t>
  </si>
  <si>
    <t>ほよう</t>
  </si>
  <si>
    <t>保養[ほよう]</t>
  </si>
  <si>
    <t>sự an dưỡng</t>
  </si>
  <si>
    <t>温泉で保養する。</t>
  </si>
  <si>
    <t>An dưỡng tại suối nước nóng.</t>
  </si>
  <si>
    <t>冬眠</t>
  </si>
  <si>
    <t>とうみん</t>
  </si>
  <si>
    <t>冬眠[とうみん]</t>
  </si>
  <si>
    <t>sự ngủ đông</t>
  </si>
  <si>
    <t>熊が冬眠に入る。</t>
  </si>
  <si>
    <t>Gấu vào kỳ ngủ đông.</t>
  </si>
  <si>
    <t>参上</t>
  </si>
  <si>
    <t>さんじょう</t>
  </si>
  <si>
    <t>参上[さんじょう]</t>
  </si>
  <si>
    <t>sự thăm hỏi</t>
  </si>
  <si>
    <t>本日、参上します。</t>
  </si>
  <si>
    <t>Hôm nay tôi sẽ đến thăm.</t>
  </si>
  <si>
    <t>宙返り</t>
  </si>
  <si>
    <t>ちゅうがえり</t>
  </si>
  <si>
    <t>宙返[ちゅうがえ]り</t>
  </si>
  <si>
    <t>sự lộn nhào</t>
  </si>
  <si>
    <t>宙返りをする。</t>
  </si>
  <si>
    <t>Lộn nhào.</t>
  </si>
  <si>
    <t>沈没</t>
  </si>
  <si>
    <t>ちんぼつ</t>
  </si>
  <si>
    <t>沈没[ちんぼつ]</t>
  </si>
  <si>
    <t>sự chìm đắm</t>
  </si>
  <si>
    <t>船が沈没する。</t>
  </si>
  <si>
    <t>潜入</t>
  </si>
  <si>
    <t>せんにゅう</t>
  </si>
  <si>
    <t>潜入[せんにゅう]</t>
  </si>
  <si>
    <t>sự xâm nhập</t>
  </si>
  <si>
    <t>敵地に潜入する。</t>
  </si>
  <si>
    <t>Xâm nhập vào lãnh địa địch.</t>
  </si>
  <si>
    <t>激励</t>
  </si>
  <si>
    <t>げきれい</t>
  </si>
  <si>
    <t>激励[げきれい]</t>
  </si>
  <si>
    <t>選手を激励する。</t>
  </si>
  <si>
    <t>Khích lệ các tuyển thủ.</t>
  </si>
  <si>
    <t>無駄遣い</t>
  </si>
  <si>
    <t>むだづかい</t>
  </si>
  <si>
    <t>無駄遣[むだづか]い</t>
  </si>
  <si>
    <t>sự lãng phí</t>
  </si>
  <si>
    <t>お金の無駄遣い。</t>
  </si>
  <si>
    <t>Sự lãng phí tiền bạc.</t>
  </si>
  <si>
    <t>細工</t>
  </si>
  <si>
    <t>さいく</t>
  </si>
  <si>
    <t>細工[さいく]</t>
  </si>
  <si>
    <t>đồ thủ công</t>
  </si>
  <si>
    <t>細かい細工を施す。</t>
  </si>
  <si>
    <t>Thực hiện đồ thủ công chi tiết.</t>
  </si>
  <si>
    <t>結束</t>
  </si>
  <si>
    <t>けっそく</t>
  </si>
  <si>
    <t>結束[けっそく]</t>
  </si>
  <si>
    <t>結束を固める。</t>
  </si>
  <si>
    <t>Đoàn kết lại.</t>
  </si>
  <si>
    <t>褒美</t>
  </si>
  <si>
    <t>ほうび</t>
  </si>
  <si>
    <t>褒美[ほうび]</t>
  </si>
  <si>
    <t>褒美をもらう。</t>
  </si>
  <si>
    <t>Nhận phần thưởng.</t>
  </si>
  <si>
    <t>農耕</t>
  </si>
  <si>
    <t>のうこう</t>
  </si>
  <si>
    <t>農耕[のうこう]</t>
  </si>
  <si>
    <t>sự canh tác</t>
  </si>
  <si>
    <t>農耕を行う。</t>
  </si>
  <si>
    <t>Thực hiện canh tác.</t>
  </si>
  <si>
    <t>重宝</t>
  </si>
  <si>
    <t>ちょうほう</t>
  </si>
  <si>
    <t>重宝[ちょうほう]</t>
  </si>
  <si>
    <t>sự tiện lợi</t>
  </si>
  <si>
    <t>スマホは重宝する。</t>
  </si>
  <si>
    <t>Điện thoại thông minh rất tiện lợi.</t>
  </si>
  <si>
    <t>下火</t>
  </si>
  <si>
    <t>したび</t>
  </si>
  <si>
    <t>下火[したび]</t>
  </si>
  <si>
    <t>人気が下火になる。</t>
  </si>
  <si>
    <t>Sự phổ biến lắng xuống.</t>
  </si>
  <si>
    <t>伝来</t>
  </si>
  <si>
    <t>でんらい</t>
  </si>
  <si>
    <t>伝来[でんらい]</t>
  </si>
  <si>
    <t>truyền đời</t>
  </si>
  <si>
    <t>家宝の伝来。</t>
  </si>
  <si>
    <t>Truyền đời bảo vật gia đình.</t>
  </si>
  <si>
    <t>元首</t>
  </si>
  <si>
    <t>げんしゅ</t>
  </si>
  <si>
    <t>元首[げんしゅ]</t>
  </si>
  <si>
    <t>nguyên thủ</t>
  </si>
  <si>
    <t>国家の元首と会う。</t>
  </si>
  <si>
    <t>Gặp gỡ nguyên thủ quốc gia.</t>
  </si>
  <si>
    <t>化合</t>
  </si>
  <si>
    <t>かごう</t>
  </si>
  <si>
    <t>化合[かごう]</t>
  </si>
  <si>
    <t>sự hóa hợp</t>
  </si>
  <si>
    <t>物質を化合する。</t>
  </si>
  <si>
    <t>Hóa hợp các chất.</t>
  </si>
  <si>
    <t>破裂</t>
  </si>
  <si>
    <t>はれつ</t>
  </si>
  <si>
    <t>破裂[はれつ]</t>
  </si>
  <si>
    <t>sự nổ tung</t>
  </si>
  <si>
    <t>風船が破裂する。</t>
  </si>
  <si>
    <t>Quả bóng nổ tung.</t>
  </si>
  <si>
    <t>紛失</t>
  </si>
  <si>
    <t>ふんしつ</t>
  </si>
  <si>
    <t>紛失[ふんしつ]</t>
  </si>
  <si>
    <t>sự mất mát</t>
  </si>
  <si>
    <t>財布を紛失する。</t>
  </si>
  <si>
    <t>Làm mất ví.</t>
  </si>
  <si>
    <t>覆面</t>
  </si>
  <si>
    <t>ふくめん</t>
  </si>
  <si>
    <t>覆面[ふくめん]</t>
  </si>
  <si>
    <t>sự che mặt</t>
  </si>
  <si>
    <t>覆面調査を行う。</t>
  </si>
  <si>
    <t>Thực hiện điều tra bí mật.</t>
  </si>
  <si>
    <t>課外</t>
  </si>
  <si>
    <t>かがい</t>
  </si>
  <si>
    <t>課外[かがい]</t>
  </si>
  <si>
    <t>ngoại khóa</t>
  </si>
  <si>
    <t>課外活動に参加する。</t>
  </si>
  <si>
    <t>賛美</t>
  </si>
  <si>
    <t>さんび</t>
  </si>
  <si>
    <t>賛美[さんび]</t>
  </si>
  <si>
    <t>sự ca tụng</t>
  </si>
  <si>
    <t>自然を賛美する。</t>
  </si>
  <si>
    <t>Ca tụng thiên nhiên.</t>
  </si>
  <si>
    <t>かぶれる</t>
  </si>
  <si>
    <t>bị dị ứng</t>
  </si>
  <si>
    <t>肌が洗剤にかぶれる。</t>
  </si>
  <si>
    <t>Da bị dị ứng với chất tẩy rửa.</t>
  </si>
  <si>
    <t>優美</t>
  </si>
  <si>
    <t>ゆうび</t>
  </si>
  <si>
    <t>優美[ゆうび]</t>
  </si>
  <si>
    <t>thanh nhã</t>
  </si>
  <si>
    <t>優美なダンスを披露する。</t>
  </si>
  <si>
    <t>Biểu diễn điệu nhảy thanh nhã.</t>
  </si>
  <si>
    <t>滅ぼす</t>
  </si>
  <si>
    <t>ほろぼす</t>
  </si>
  <si>
    <t>滅[ほろ]ぼす</t>
  </si>
  <si>
    <t>敵を滅ぼす。</t>
  </si>
  <si>
    <t>Tiêu diệt kẻ địch.</t>
  </si>
  <si>
    <t>澄ます</t>
  </si>
  <si>
    <t>澄[す]ます</t>
  </si>
  <si>
    <t>làm trong</t>
  </si>
  <si>
    <t>空気を澄ます。</t>
  </si>
  <si>
    <t>Làm trong lành không khí.</t>
  </si>
  <si>
    <t>罵る</t>
  </si>
  <si>
    <t>ののしる</t>
  </si>
  <si>
    <t>罵[ののし]る</t>
  </si>
  <si>
    <t>chửi mắng</t>
  </si>
  <si>
    <t>他人を罵る。</t>
  </si>
  <si>
    <t>Chửi mắng người khác.</t>
  </si>
  <si>
    <t>臆病</t>
  </si>
  <si>
    <t>おくびょう</t>
  </si>
  <si>
    <t>臆病[おくびょう]</t>
  </si>
  <si>
    <t>nhút nhát</t>
  </si>
  <si>
    <t>臆病な性格。</t>
  </si>
  <si>
    <t>Tính cách nhút nhát.</t>
  </si>
  <si>
    <t>良識</t>
  </si>
  <si>
    <t>りょうしき</t>
  </si>
  <si>
    <t>良識[りょうしき]</t>
  </si>
  <si>
    <t>lương tri</t>
  </si>
  <si>
    <t>良識ある行動。</t>
  </si>
  <si>
    <t>Hành động có lương tri.</t>
  </si>
  <si>
    <t>謹む</t>
  </si>
  <si>
    <t>つつしむ</t>
  </si>
  <si>
    <t>謹[つつし]む</t>
  </si>
  <si>
    <t>cẩn trọng</t>
  </si>
  <si>
    <t>言葉を謹む。</t>
  </si>
  <si>
    <t>Cẩn trọng lời nói.</t>
  </si>
  <si>
    <t>足し算</t>
  </si>
  <si>
    <t>たしざん</t>
  </si>
  <si>
    <t>足[た]し算[ざん]</t>
  </si>
  <si>
    <t>phép cộng</t>
  </si>
  <si>
    <t>足し算をする。</t>
  </si>
  <si>
    <t>Thực hiện phép cộng.</t>
  </si>
  <si>
    <t>軍服</t>
  </si>
  <si>
    <t>ぐんぷく</t>
  </si>
  <si>
    <t>軍服[ぐんぷく]</t>
  </si>
  <si>
    <t>quân phục</t>
  </si>
  <si>
    <t>軍服を着る。</t>
  </si>
  <si>
    <t>Mặc quân phục.</t>
  </si>
  <si>
    <t>軍艦</t>
  </si>
  <si>
    <t>ぐんかん</t>
  </si>
  <si>
    <t>軍艦[ぐんかん]</t>
  </si>
  <si>
    <t>tàu chiến</t>
  </si>
  <si>
    <t>軍艦を見つける。</t>
  </si>
  <si>
    <t>Nhìn thấy tàu chiến.</t>
  </si>
  <si>
    <t>障る</t>
  </si>
  <si>
    <t>障[さわ]る</t>
  </si>
  <si>
    <t>気に障る。</t>
  </si>
  <si>
    <t>Ảnh hưởng đến tâm trí.</t>
  </si>
  <si>
    <t>つかの間</t>
  </si>
  <si>
    <t>つかのま</t>
  </si>
  <si>
    <t>つかの間[ま]</t>
  </si>
  <si>
    <t>chốc lát</t>
  </si>
  <si>
    <t>つかの間の休息。</t>
  </si>
  <si>
    <t>Sự nghỉ ngơi trong chốc lát.</t>
  </si>
  <si>
    <t>できもの</t>
  </si>
  <si>
    <t>mụn nhọt</t>
  </si>
  <si>
    <t>背中にできものがある。</t>
  </si>
  <si>
    <t>Có mụn nhọt ở sau lưng.</t>
  </si>
  <si>
    <t>とろける</t>
  </si>
  <si>
    <t>tan chảy</t>
  </si>
  <si>
    <t>チーズがとろける。</t>
  </si>
  <si>
    <t>Phô mai tan chảy.</t>
  </si>
  <si>
    <t>ばてる</t>
  </si>
  <si>
    <t>phờ phạc</t>
  </si>
  <si>
    <t>暑さでばてる。</t>
  </si>
  <si>
    <t>Phờ phạc vì nóng.</t>
  </si>
  <si>
    <t>介抱</t>
  </si>
  <si>
    <t>介抱[かいほう]</t>
  </si>
  <si>
    <t>病人を介抱する。</t>
  </si>
  <si>
    <t>几帳面</t>
  </si>
  <si>
    <t>きちょうめん</t>
  </si>
  <si>
    <t>几帳面[きちょうめん]</t>
  </si>
  <si>
    <t>几帳面な性格の人。</t>
  </si>
  <si>
    <t>Người có tính cách ngăn nắp.</t>
  </si>
  <si>
    <t>婉曲</t>
  </si>
  <si>
    <t>えんきょく</t>
  </si>
  <si>
    <t>婉曲[えんきょく]</t>
  </si>
  <si>
    <t>婉曲に断る。</t>
  </si>
  <si>
    <t>Từ chối khéo léo.</t>
  </si>
  <si>
    <t>果て</t>
  </si>
  <si>
    <t>はて</t>
  </si>
  <si>
    <t>果[は]て</t>
  </si>
  <si>
    <t>旅の果てにたどり着く。</t>
  </si>
  <si>
    <t>Đến được nơi cuối cùng của chuyến đi.</t>
  </si>
  <si>
    <t>梅干し</t>
  </si>
  <si>
    <t>うめぼし</t>
  </si>
  <si>
    <t>梅干[うめぼ]し</t>
  </si>
  <si>
    <t>ô mai mơ</t>
  </si>
  <si>
    <t>おにぎりに梅干しを入れる。</t>
  </si>
  <si>
    <t>Cho ô mai mơ vào cơm nắm.</t>
  </si>
  <si>
    <t>気質</t>
  </si>
  <si>
    <t>きしつ</t>
  </si>
  <si>
    <t>気質[きしつ]</t>
  </si>
  <si>
    <t>tính khí</t>
  </si>
  <si>
    <t>国民の気質を理解する。</t>
  </si>
  <si>
    <t>Hiểu về tính khí của người dân.</t>
  </si>
  <si>
    <t>法学</t>
  </si>
  <si>
    <t>ほうがく</t>
  </si>
  <si>
    <t>法学[ほうがく]</t>
  </si>
  <si>
    <t>pháp học</t>
  </si>
  <si>
    <t>法学を専攻する。</t>
  </si>
  <si>
    <t>Chuyên ngành pháp học.</t>
  </si>
  <si>
    <t>生まれつき</t>
  </si>
  <si>
    <t>うまれつき</t>
  </si>
  <si>
    <t>生[う]まれつき</t>
  </si>
  <si>
    <t>生まれつき目がいい。</t>
  </si>
  <si>
    <t>Bẩm sinh mắt đã tốt.</t>
  </si>
  <si>
    <t>田園</t>
  </si>
  <si>
    <t>でんえん</t>
  </si>
  <si>
    <t>田園[でんえん]</t>
  </si>
  <si>
    <t>vùng quê</t>
  </si>
  <si>
    <t>田園風景を眺める。</t>
  </si>
  <si>
    <t>Ngắm nhìn phong cảnh vùng quê.</t>
  </si>
  <si>
    <t>縁側</t>
  </si>
  <si>
    <t>えんがわ</t>
  </si>
  <si>
    <t>縁側[えんがわ]</t>
  </si>
  <si>
    <t>hiên nhà</t>
  </si>
  <si>
    <t>縁側で休む。</t>
  </si>
  <si>
    <t>Nghỉ ngơi ở hiên nhà.</t>
  </si>
  <si>
    <t>群集</t>
  </si>
  <si>
    <t>群集[ぐんしゅう]</t>
  </si>
  <si>
    <t>quần thể</t>
  </si>
  <si>
    <t>群集心理を学ぶ。</t>
  </si>
  <si>
    <t>Tìm hiểu tâm lý quần thể.</t>
  </si>
  <si>
    <t>裏返し</t>
  </si>
  <si>
    <t>うらがえし</t>
  </si>
  <si>
    <t>裏返[うらがえ]し</t>
  </si>
  <si>
    <t>mặt trái</t>
  </si>
  <si>
    <t>シャツを裏返しに着る。</t>
  </si>
  <si>
    <t>Mặc áo trái.</t>
  </si>
  <si>
    <t>見晴らし</t>
  </si>
  <si>
    <t>みはらし</t>
  </si>
  <si>
    <t>見晴[みは]らし</t>
  </si>
  <si>
    <t>見晴らしがいい。</t>
  </si>
  <si>
    <t>Tầm nhìn tốt.</t>
  </si>
  <si>
    <t>身なり</t>
  </si>
  <si>
    <t>みなり</t>
  </si>
  <si>
    <t>身[み]なり</t>
  </si>
  <si>
    <t>面接の前に身なりを整える。</t>
  </si>
  <si>
    <t>Chỉnh đốn diện mạo trước khi phỏng vấn.</t>
  </si>
  <si>
    <t>邸宅</t>
  </si>
  <si>
    <t>ていたく</t>
  </si>
  <si>
    <t>邸宅[ていたく]</t>
  </si>
  <si>
    <t>立派な邸宅。</t>
  </si>
  <si>
    <t>郷里</t>
  </si>
  <si>
    <t>きょうり</t>
  </si>
  <si>
    <t>郷里[きょうり]</t>
  </si>
  <si>
    <t>郷里へ帰る。</t>
  </si>
  <si>
    <t>Về quê quán.</t>
  </si>
  <si>
    <t>長々</t>
  </si>
  <si>
    <t>ながなが</t>
  </si>
  <si>
    <t>長々[ながなが]</t>
  </si>
  <si>
    <t>長々と話す。</t>
  </si>
  <si>
    <t>Nói chuyện dài dòng.</t>
  </si>
  <si>
    <t>雨天</t>
  </si>
  <si>
    <t>うてん</t>
  </si>
  <si>
    <t>雨天[うてん]</t>
  </si>
  <si>
    <t>ngày mưa</t>
  </si>
  <si>
    <t>雨天の場合は中止。</t>
  </si>
  <si>
    <t>Trong trường hợp ngày mưa thì hủy.</t>
  </si>
  <si>
    <t>雪崩</t>
  </si>
  <si>
    <t>なだれ</t>
  </si>
  <si>
    <t>雪崩[なだれ]</t>
  </si>
  <si>
    <t>tuyết lở</t>
  </si>
  <si>
    <t>雪崩に巻き込まれる。</t>
  </si>
  <si>
    <t>Bị cuốn vào tuyết lở.</t>
  </si>
  <si>
    <t>おっかない</t>
  </si>
  <si>
    <t>夜道はおっかない。</t>
  </si>
  <si>
    <t>Đường tối thật đáng sợ.</t>
  </si>
  <si>
    <t>おどおど</t>
  </si>
  <si>
    <t>おどおどして話す。</t>
  </si>
  <si>
    <t>Nói chuyện một cách lo lắng.</t>
  </si>
  <si>
    <t>きしむ</t>
  </si>
  <si>
    <t>cọt kẹt</t>
  </si>
  <si>
    <t>床が足音できしむ。</t>
  </si>
  <si>
    <t>Sàn nhà kêu cọt kẹt do bước chân.</t>
  </si>
  <si>
    <t>たやすい</t>
  </si>
  <si>
    <t>たやすい仕事だ。</t>
  </si>
  <si>
    <t>Đó là công việc dễ dàng.</t>
  </si>
  <si>
    <t>両極</t>
  </si>
  <si>
    <t>りょうきょく</t>
  </si>
  <si>
    <t>両極[りょうきょく]</t>
  </si>
  <si>
    <t>hai cực</t>
  </si>
  <si>
    <t>意見が両極端だ。</t>
  </si>
  <si>
    <t>Ý kiến nằm ở hai cực.</t>
  </si>
  <si>
    <t>垢</t>
  </si>
  <si>
    <t>垢[あか]</t>
  </si>
  <si>
    <t>cặn bẩn</t>
  </si>
  <si>
    <t>垢を落とす。</t>
  </si>
  <si>
    <t>Loại bỏ cặn bẩn.</t>
  </si>
  <si>
    <t>案じる</t>
  </si>
  <si>
    <t>あんじる</t>
  </si>
  <si>
    <t>案[あん]じる</t>
  </si>
  <si>
    <t>将来を案じる。</t>
  </si>
  <si>
    <t>概略</t>
  </si>
  <si>
    <t>がいりゃく</t>
  </si>
  <si>
    <t>概略[がいりゃく]</t>
  </si>
  <si>
    <t>sơ lược</t>
  </si>
  <si>
    <t>計画の概略を説明する。</t>
  </si>
  <si>
    <t>Giải thích sơ lược kế hoạch.</t>
  </si>
  <si>
    <t>浜辺</t>
  </si>
  <si>
    <t>はまべ</t>
  </si>
  <si>
    <t>浜辺[はまべ]</t>
  </si>
  <si>
    <t>浜辺を散歩する。</t>
  </si>
  <si>
    <t>Đi dạo trên bờ biển.</t>
  </si>
  <si>
    <t>特産</t>
  </si>
  <si>
    <t>とくさん</t>
  </si>
  <si>
    <t>特産[とくさん]</t>
  </si>
  <si>
    <t>その土地の特産を食べる。</t>
  </si>
  <si>
    <t>Ăn đặc sản của vùng đất đó.</t>
  </si>
  <si>
    <t>独裁</t>
  </si>
  <si>
    <t>どくさい</t>
  </si>
  <si>
    <t>独裁[どくさい]</t>
  </si>
  <si>
    <t>độc tài</t>
  </si>
  <si>
    <t>独裁政治を倒す。</t>
  </si>
  <si>
    <t>Lật đổ chính trị độc tài.</t>
  </si>
  <si>
    <t>獲物</t>
  </si>
  <si>
    <t>えもの</t>
  </si>
  <si>
    <t>獲物[えもの]</t>
  </si>
  <si>
    <t>con mồi</t>
  </si>
  <si>
    <t>獲物を捕らえる。</t>
  </si>
  <si>
    <t>Bắt con mồi.</t>
  </si>
  <si>
    <t>社交</t>
  </si>
  <si>
    <t>しゃこう</t>
  </si>
  <si>
    <t>社交[しゃこう]</t>
  </si>
  <si>
    <t>xã giao</t>
  </si>
  <si>
    <t>社交的な性格。</t>
  </si>
  <si>
    <t>Tính cách xã giao.</t>
  </si>
  <si>
    <t>等級</t>
  </si>
  <si>
    <t>とうきゅう</t>
  </si>
  <si>
    <t>等級[とうきゅう]</t>
  </si>
  <si>
    <t>cấp bậc</t>
  </si>
  <si>
    <t>等級を分ける。</t>
  </si>
  <si>
    <t>Phân chia cấp bậc.</t>
  </si>
  <si>
    <t>素朴</t>
  </si>
  <si>
    <t>そぼく</t>
  </si>
  <si>
    <t>素朴[そぼく]</t>
  </si>
  <si>
    <t>mộc mạc</t>
  </si>
  <si>
    <t>素朴な疑問を持つ。</t>
  </si>
  <si>
    <t>Có thắc mắc mộc mạc.</t>
  </si>
  <si>
    <t>終日</t>
  </si>
  <si>
    <t>しゅうじつ</t>
  </si>
  <si>
    <t>終日[しゅうじつ]</t>
  </si>
  <si>
    <t>cả ngày</t>
  </si>
  <si>
    <t>終日会議をする。</t>
  </si>
  <si>
    <t>Họp cả ngày.</t>
  </si>
  <si>
    <t>荒っぽい</t>
  </si>
  <si>
    <t>あらっぽい</t>
  </si>
  <si>
    <t>荒[あら]っぽい</t>
  </si>
  <si>
    <t>言葉が荒っぽい。</t>
  </si>
  <si>
    <t>Lời nói thô bạo.</t>
  </si>
  <si>
    <t>蜂蜜</t>
  </si>
  <si>
    <t>はちみつ</t>
  </si>
  <si>
    <t>蜂蜜[はちみつ]</t>
  </si>
  <si>
    <t>mật ong</t>
  </si>
  <si>
    <t>蜂蜜をなめる。</t>
  </si>
  <si>
    <t>Liếm mật ong.</t>
  </si>
  <si>
    <t>諸君</t>
  </si>
  <si>
    <t>しょくん</t>
  </si>
  <si>
    <t>諸君[しょくん]</t>
  </si>
  <si>
    <t>các bạn</t>
  </si>
  <si>
    <t>諸君、頑張ろう。</t>
  </si>
  <si>
    <t>Các bạn, hãy cố gắng lên.</t>
  </si>
  <si>
    <t>貧弱</t>
  </si>
  <si>
    <t>ひんじゃく</t>
  </si>
  <si>
    <t>貧弱[ひんじゃく]</t>
  </si>
  <si>
    <t>yếu kém</t>
  </si>
  <si>
    <t>貧弱な体格。</t>
  </si>
  <si>
    <t>Thể chất yếu kém.</t>
  </si>
  <si>
    <t>高尚</t>
  </si>
  <si>
    <t>高尚[こうしょう]</t>
  </si>
  <si>
    <t>cao quý</t>
  </si>
  <si>
    <t>高尚な趣味。</t>
  </si>
  <si>
    <t>Sở thích cao quý.</t>
  </si>
  <si>
    <t>さも</t>
  </si>
  <si>
    <t>như là</t>
  </si>
  <si>
    <t>さも当然のように言う。</t>
  </si>
  <si>
    <t>Nói như là đương nhiên.</t>
  </si>
  <si>
    <t>びら</t>
  </si>
  <si>
    <t>tờ rơi</t>
  </si>
  <si>
    <t>びらを配る。</t>
  </si>
  <si>
    <t>中程</t>
  </si>
  <si>
    <t>なかほど</t>
  </si>
  <si>
    <t>中程[なかほど]</t>
  </si>
  <si>
    <t>ở giữa</t>
  </si>
  <si>
    <t>道の中程。</t>
  </si>
  <si>
    <t>Ở giữa con đường.</t>
  </si>
  <si>
    <t>体付き</t>
  </si>
  <si>
    <t>からだつき</t>
  </si>
  <si>
    <t>体付[からだつ]き</t>
  </si>
  <si>
    <t>頑丈な体付き。</t>
  </si>
  <si>
    <t>Cơ thể rắn chắc.</t>
  </si>
  <si>
    <t>大水</t>
  </si>
  <si>
    <t>おおみず</t>
  </si>
  <si>
    <t>大水[おおみず]</t>
  </si>
  <si>
    <t>大水が起こる。</t>
  </si>
  <si>
    <t>Lũ lụt xảy ra.</t>
  </si>
  <si>
    <t>鈍感</t>
  </si>
  <si>
    <t>どんかん</t>
  </si>
  <si>
    <t>鈍感[どんかん]</t>
  </si>
  <si>
    <t>vô tâm</t>
  </si>
  <si>
    <t>鈍感な性格。</t>
  </si>
  <si>
    <t>Tính cách vô tâm.</t>
  </si>
  <si>
    <t>鉄棒</t>
  </si>
  <si>
    <t>てつぼう</t>
  </si>
  <si>
    <t>鉄棒[てつぼう]</t>
  </si>
  <si>
    <t>xà đơn</t>
  </si>
  <si>
    <t>鉄棒で遊ぶ。</t>
  </si>
  <si>
    <t>Chơi xà đơn.</t>
  </si>
  <si>
    <t>雛</t>
  </si>
  <si>
    <t>ひな</t>
  </si>
  <si>
    <t>雛[ひな]</t>
  </si>
  <si>
    <t>gà con</t>
  </si>
  <si>
    <t>雛を育てる。</t>
  </si>
  <si>
    <t>Nuôi gà con.</t>
  </si>
  <si>
    <t>乙</t>
  </si>
  <si>
    <t>おつ</t>
  </si>
  <si>
    <t>乙[おつ]</t>
  </si>
  <si>
    <t>tuyệt</t>
  </si>
  <si>
    <t>なかなか乙なものだ。</t>
  </si>
  <si>
    <t>Thật là tuyệt.</t>
  </si>
  <si>
    <t>貝殻</t>
  </si>
  <si>
    <t>かいがら</t>
  </si>
  <si>
    <t>貝殻[かいがら]</t>
  </si>
  <si>
    <t>貝殻を拾う。</t>
  </si>
  <si>
    <t>アルカリ</t>
  </si>
  <si>
    <t>あるかり</t>
  </si>
  <si>
    <t>kiềm</t>
  </si>
  <si>
    <t>アルカリ性の水。</t>
  </si>
  <si>
    <t>Nước có tính kiềm.</t>
  </si>
  <si>
    <t>つねる</t>
  </si>
  <si>
    <t>nhéo</t>
  </si>
  <si>
    <t>頬をつねる。</t>
  </si>
  <si>
    <t>Nhéo má.</t>
  </si>
  <si>
    <t>団扇</t>
  </si>
  <si>
    <t>うちわ</t>
  </si>
  <si>
    <t>団扇[うちわ]</t>
  </si>
  <si>
    <t>団扇で風を送る。</t>
  </si>
  <si>
    <t>Gửi gió bằng quạt.</t>
  </si>
  <si>
    <t>お宮</t>
  </si>
  <si>
    <t>おみや</t>
  </si>
  <si>
    <t>お宮[みや]</t>
  </si>
  <si>
    <t>đền</t>
  </si>
  <si>
    <t>お宮へ参拝する。</t>
  </si>
  <si>
    <t>空腹</t>
  </si>
  <si>
    <t>くうふく</t>
  </si>
  <si>
    <t>空腹[くうふく]</t>
  </si>
  <si>
    <t>đói</t>
  </si>
  <si>
    <t>空腹を感じる。</t>
  </si>
  <si>
    <t>Cảm thấy đói.</t>
  </si>
  <si>
    <t>粉末</t>
  </si>
  <si>
    <t>ふんまつ</t>
  </si>
  <si>
    <t>粉末[ふんまつ]</t>
  </si>
  <si>
    <t>粉末の薬を飲む。</t>
  </si>
  <si>
    <t>Uống thuốc bột.</t>
  </si>
  <si>
    <t>腿</t>
  </si>
  <si>
    <t>もも</t>
  </si>
  <si>
    <t>腿[もも]</t>
  </si>
  <si>
    <t>đùi</t>
  </si>
  <si>
    <t>腿を怪我する。</t>
  </si>
  <si>
    <t>Bị thương ở đùi.</t>
  </si>
  <si>
    <t>暮れ</t>
  </si>
  <si>
    <t>くれ</t>
  </si>
  <si>
    <t>暮[く]れ</t>
  </si>
  <si>
    <t>cuối năm</t>
  </si>
  <si>
    <t>年の暮れ。</t>
  </si>
  <si>
    <t>Đó là thời điểm cuối năm.</t>
  </si>
  <si>
    <t>敷地</t>
  </si>
  <si>
    <t>しきち</t>
  </si>
  <si>
    <t>敷地[しきち]</t>
  </si>
  <si>
    <t>khu đất</t>
  </si>
  <si>
    <t>敷地が広い。</t>
  </si>
  <si>
    <t>Khu đất này rất rộng.</t>
  </si>
  <si>
    <t>歯車</t>
  </si>
  <si>
    <t>はぐるま</t>
  </si>
  <si>
    <t>歯車[はぐるま]</t>
  </si>
  <si>
    <t>bánh răng</t>
  </si>
  <si>
    <t>歯車が回る。</t>
  </si>
  <si>
    <t>Bánh răng đang quay.</t>
  </si>
  <si>
    <t>標識</t>
  </si>
  <si>
    <t>ひょうしき</t>
  </si>
  <si>
    <t>標識[ひょうしき]</t>
  </si>
  <si>
    <t>biển báo</t>
  </si>
  <si>
    <t>標識を見る。</t>
  </si>
  <si>
    <t>Tôi xem biển báo.</t>
  </si>
  <si>
    <t>枚数</t>
  </si>
  <si>
    <t>まいすう</t>
  </si>
  <si>
    <t>枚数[まいすう]</t>
  </si>
  <si>
    <t>số tờ</t>
  </si>
  <si>
    <t>枚数を数える。</t>
  </si>
  <si>
    <t>Tôi đếm số tờ.</t>
  </si>
  <si>
    <t>捲る</t>
  </si>
  <si>
    <t>めくる</t>
  </si>
  <si>
    <t>捲[めく]る</t>
  </si>
  <si>
    <t>lật</t>
  </si>
  <si>
    <t>本を捲る。</t>
  </si>
  <si>
    <t>Lật sách.</t>
  </si>
  <si>
    <t>封</t>
  </si>
  <si>
    <t>ふう</t>
  </si>
  <si>
    <t>封[ふう]</t>
  </si>
  <si>
    <t>封を切る。</t>
  </si>
  <si>
    <t>Mở phong bì.</t>
  </si>
  <si>
    <t>文脈</t>
  </si>
  <si>
    <t>ぶんみゃく</t>
  </si>
  <si>
    <t>文脈[ぶんみゃく]</t>
  </si>
  <si>
    <t>ngữ cảnh</t>
  </si>
  <si>
    <t>文脈で判断する。</t>
  </si>
  <si>
    <t>Tôi phán đoán dựa theo ngữ cảnh.</t>
  </si>
  <si>
    <t>日帰り</t>
  </si>
  <si>
    <t>ひがえり</t>
  </si>
  <si>
    <t>日帰[ひがえ]り</t>
  </si>
  <si>
    <t>đi về trong ngày</t>
  </si>
  <si>
    <t>日帰りで旅行する。</t>
  </si>
  <si>
    <t>Tôi đi du lịch về trong ngày.</t>
  </si>
  <si>
    <t>死体</t>
  </si>
  <si>
    <t>したい</t>
  </si>
  <si>
    <t>死体[したい]</t>
  </si>
  <si>
    <t>thi thể</t>
  </si>
  <si>
    <t>死体を発見する。</t>
  </si>
  <si>
    <t>Tôi phát hiện thi thể.</t>
  </si>
  <si>
    <t>松</t>
  </si>
  <si>
    <t>松[まつ]</t>
  </si>
  <si>
    <t>cây thông</t>
  </si>
  <si>
    <t>松を植える。</t>
  </si>
  <si>
    <t>Tôi trồng cây thông.</t>
  </si>
  <si>
    <t>摘む</t>
  </si>
  <si>
    <t>摘[つ]む</t>
  </si>
  <si>
    <t>hái</t>
  </si>
  <si>
    <t>花を摘む。</t>
  </si>
  <si>
    <t>Tôi hái hoa.</t>
  </si>
  <si>
    <t>恥じる</t>
  </si>
  <si>
    <t>はじる</t>
  </si>
  <si>
    <t>恥[は]じる</t>
  </si>
  <si>
    <t>cảm thấy nhục</t>
  </si>
  <si>
    <t>過ちを恥じる。</t>
  </si>
  <si>
    <t>Cảm thấy nhục vì sai lầm.</t>
  </si>
  <si>
    <t>怠慢</t>
  </si>
  <si>
    <t>たいまん</t>
  </si>
  <si>
    <t>怠慢[たいまん]</t>
  </si>
  <si>
    <t>業務を怠慢する。</t>
  </si>
  <si>
    <t>待ち遠しい</t>
  </si>
  <si>
    <t>まちどおしい</t>
  </si>
  <si>
    <t>待[ま]ち遠[どお]しい</t>
  </si>
  <si>
    <t>nôn nóng</t>
  </si>
  <si>
    <t>帰国が待ち遠しい。</t>
  </si>
  <si>
    <t>Nôn nóng đến ngày về nước.</t>
  </si>
  <si>
    <t>寄り掛かる</t>
  </si>
  <si>
    <t>よりかかる</t>
  </si>
  <si>
    <t>寄[よ]り掛[か]かる</t>
  </si>
  <si>
    <t>壁に寄り掛かる。</t>
  </si>
  <si>
    <t>掻き回す</t>
  </si>
  <si>
    <t>かきまわす</t>
  </si>
  <si>
    <t>掻[か]き回[まわ]す</t>
  </si>
  <si>
    <t>quấy</t>
  </si>
  <si>
    <t>スープを掻き回す。</t>
  </si>
  <si>
    <t>Quấy súp.</t>
  </si>
  <si>
    <t>引っ掻く</t>
  </si>
  <si>
    <t>ひっかく</t>
  </si>
  <si>
    <t>引[ひ]っ掻[か]く</t>
  </si>
  <si>
    <t>cào</t>
  </si>
  <si>
    <t>猫に引っ掻かれる。</t>
  </si>
  <si>
    <t>Bị mèo cào.</t>
  </si>
  <si>
    <t>校庭</t>
  </si>
  <si>
    <t>校庭[こうてい]</t>
  </si>
  <si>
    <t>sân trường</t>
  </si>
  <si>
    <t>校庭で遊ぶ。</t>
  </si>
  <si>
    <t>Tôi chơi trong sân trường.</t>
  </si>
  <si>
    <t>支度</t>
  </si>
  <si>
    <t>したく</t>
  </si>
  <si>
    <t>支度[したく]</t>
  </si>
  <si>
    <t>食事の支度をする。</t>
  </si>
  <si>
    <t>Tôi chuẩn bị bữa ăn.</t>
  </si>
  <si>
    <t>欠陥</t>
  </si>
  <si>
    <t>欠陥[けっかん]</t>
  </si>
  <si>
    <t>khiếm khuyết</t>
  </si>
  <si>
    <t>欠陥がある。</t>
  </si>
  <si>
    <t>Nó có khiếm khuyết.</t>
  </si>
  <si>
    <t>時速</t>
  </si>
  <si>
    <t>じそく</t>
  </si>
  <si>
    <t>時速[じそく]</t>
  </si>
  <si>
    <t>tốc độ giờ</t>
  </si>
  <si>
    <t>時速を測る。</t>
  </si>
  <si>
    <t>Tôi đo tốc độ giờ.</t>
  </si>
  <si>
    <t>断定</t>
  </si>
  <si>
    <t>だんてい</t>
  </si>
  <si>
    <t>断定[だんてい]</t>
  </si>
  <si>
    <t>断定を下す。</t>
  </si>
  <si>
    <t>撒く</t>
  </si>
  <si>
    <t>撒[ま]く</t>
  </si>
  <si>
    <t>gieo rắc</t>
  </si>
  <si>
    <t>種を撒く。</t>
  </si>
  <si>
    <t>Tôi gieo hạt giống.</t>
  </si>
  <si>
    <t>本棚</t>
  </si>
  <si>
    <t>ほんだな</t>
  </si>
  <si>
    <t>本棚[ほんだな]</t>
  </si>
  <si>
    <t>giá sách</t>
  </si>
  <si>
    <t>本棚を置く。</t>
  </si>
  <si>
    <t>Tôi đặt giá sách.</t>
  </si>
  <si>
    <t>歯磨き</t>
  </si>
  <si>
    <t>はみがき</t>
  </si>
  <si>
    <t>歯磨[はみが]き</t>
  </si>
  <si>
    <t>đánh răng</t>
  </si>
  <si>
    <t>歯磨きをする。</t>
  </si>
  <si>
    <t>Tôi đánh răng.</t>
  </si>
  <si>
    <t>助手</t>
  </si>
  <si>
    <t>じょしゅ</t>
  </si>
  <si>
    <t>助手[じょしゅ]</t>
  </si>
  <si>
    <t>trợ lý</t>
  </si>
  <si>
    <t>助手を頼む。</t>
  </si>
  <si>
    <t>Tôi nhờ trợ lý.</t>
  </si>
  <si>
    <t>漁業</t>
  </si>
  <si>
    <t>ぎょぎょう</t>
  </si>
  <si>
    <t>漁業[ぎょぎょう]</t>
  </si>
  <si>
    <t>ngư nghiệp</t>
  </si>
  <si>
    <t>漁業が盛んな町。</t>
  </si>
  <si>
    <t>Thị trấn phát triển ngành ngư nghiệp.</t>
  </si>
  <si>
    <t>同格</t>
  </si>
  <si>
    <t>どうかく</t>
  </si>
  <si>
    <t>同格[どうかく]</t>
  </si>
  <si>
    <t>đồng hạng</t>
  </si>
  <si>
    <t>同格の選手と戦う。</t>
  </si>
  <si>
    <t>Tôi đấu với vận động viên đồng hạng.</t>
  </si>
  <si>
    <t>定休日</t>
  </si>
  <si>
    <t>ていきゅうび</t>
  </si>
  <si>
    <t>定休日[ていきゅうび]</t>
  </si>
  <si>
    <t>ngày nghỉ định kỳ</t>
  </si>
  <si>
    <t>定休日を確認する。</t>
  </si>
  <si>
    <t>Tôi xác nhận ngày nghỉ định kỳ.</t>
  </si>
  <si>
    <t>専制</t>
  </si>
  <si>
    <t>専制[せんせい]</t>
  </si>
  <si>
    <t>chuyên chế</t>
  </si>
  <si>
    <t>専制的な政治を行う。</t>
  </si>
  <si>
    <t>Thực hiện chính trị chuyên chế.</t>
  </si>
  <si>
    <t>頭痛</t>
  </si>
  <si>
    <t>ずつう</t>
  </si>
  <si>
    <t>頭痛[ずつう]</t>
  </si>
  <si>
    <t>đau đầu</t>
  </si>
  <si>
    <t>薬を飲んで頭痛を治す。</t>
  </si>
  <si>
    <t>Tôi uống thuốc để chữa đau đầu.</t>
  </si>
  <si>
    <t>隙</t>
  </si>
  <si>
    <t>隙[すき]</t>
  </si>
  <si>
    <t>板の隙を埋める。</t>
  </si>
  <si>
    <t>Tôi lấp đầy khe hở của tấm ván.</t>
  </si>
  <si>
    <t>突き当たり</t>
  </si>
  <si>
    <t>つきあたり</t>
  </si>
  <si>
    <t>突[つ]き当[あ]たり</t>
  </si>
  <si>
    <t>cuối đường</t>
  </si>
  <si>
    <t>突き当たりを左へ行く。</t>
  </si>
  <si>
    <t>Đi đến cuối đường rồi rẽ trái.</t>
  </si>
  <si>
    <t>海洋</t>
  </si>
  <si>
    <t>かいよう</t>
  </si>
  <si>
    <t>海洋[かいよう]</t>
  </si>
  <si>
    <t>đại dương</t>
  </si>
  <si>
    <t>海洋汚染を調べる。</t>
  </si>
  <si>
    <t>Tìm hiểu về ô nhiễm đại dương.</t>
  </si>
  <si>
    <t>焦点</t>
  </si>
  <si>
    <t>焦点[しょうてん]</t>
  </si>
  <si>
    <t>tiêu điểm</t>
  </si>
  <si>
    <t>話題を焦点にする。</t>
  </si>
  <si>
    <t>Lấy làm tiêu điểm của chủ đề.</t>
  </si>
  <si>
    <t>失恋</t>
  </si>
  <si>
    <t>しつれん</t>
  </si>
  <si>
    <t>失恋[しつれん]</t>
  </si>
  <si>
    <t>thất tình</t>
  </si>
  <si>
    <t>失恋に悩む。</t>
  </si>
  <si>
    <t>Tôi buồn phiền vì thất tình.</t>
  </si>
  <si>
    <t>換気</t>
  </si>
  <si>
    <t>かんき</t>
  </si>
  <si>
    <t>換気[かんき]</t>
  </si>
  <si>
    <t>thông gió</t>
  </si>
  <si>
    <t>空気を換気する。</t>
  </si>
  <si>
    <t>Tôi thông gió cho căn phòng.</t>
  </si>
  <si>
    <t>骨折</t>
  </si>
  <si>
    <t>こっせつ</t>
  </si>
  <si>
    <t>骨折[こっせつ]</t>
  </si>
  <si>
    <t>gãy xương</t>
  </si>
  <si>
    <t>足の骨折を治療する。</t>
  </si>
  <si>
    <t>Tôi điều trị gãy xương chân.</t>
  </si>
  <si>
    <t>頭脳</t>
  </si>
  <si>
    <t>ずのう</t>
  </si>
  <si>
    <t>頭脳[ずのう]</t>
  </si>
  <si>
    <t>trí óc</t>
  </si>
  <si>
    <t>頭脳を使って考える。</t>
  </si>
  <si>
    <t>Tôi dùng trí óc để suy nghĩ.</t>
  </si>
  <si>
    <t>電流</t>
  </si>
  <si>
    <t>でんりゅう</t>
  </si>
  <si>
    <t>電流[でんりゅう]</t>
  </si>
  <si>
    <t>dòng điện</t>
  </si>
  <si>
    <t>電流を流す。</t>
  </si>
  <si>
    <t>Tôi cho dòng điện chạy qua.</t>
  </si>
  <si>
    <t>陽気</t>
  </si>
  <si>
    <t>陽気[ようき]</t>
  </si>
  <si>
    <t>彼はとても陽気な人だ。</t>
  </si>
  <si>
    <t>Anh ấy là người rất vui vẻ.</t>
  </si>
  <si>
    <t>床の間</t>
  </si>
  <si>
    <t>とこのま</t>
  </si>
  <si>
    <t>床[とこ]の間[ま]</t>
  </si>
  <si>
    <t>hốc tường</t>
  </si>
  <si>
    <t>床の間に花を飾る。</t>
  </si>
  <si>
    <t>Trang trí hoa ở hốc tường.</t>
  </si>
  <si>
    <t>筆記</t>
  </si>
  <si>
    <t>ひっき</t>
  </si>
  <si>
    <t>筆記[ひっき]</t>
  </si>
  <si>
    <t>筆記試験を受ける。</t>
  </si>
  <si>
    <t>Tôi tham gia bài thi viết.</t>
  </si>
  <si>
    <t>生年月日</t>
  </si>
  <si>
    <t>せいねんがっぴ</t>
  </si>
  <si>
    <t>生年月日[せいねんがっぴ]</t>
  </si>
  <si>
    <t>ngày tháng năm sinh</t>
  </si>
  <si>
    <t>生年月日を書く。</t>
  </si>
  <si>
    <t>Viết ngày tháng năm sinh.</t>
  </si>
  <si>
    <t>勝敗</t>
  </si>
  <si>
    <t>しょうはい</t>
  </si>
  <si>
    <t>勝敗[しょうはい]</t>
  </si>
  <si>
    <t>thắng bại</t>
  </si>
  <si>
    <t>勝敗を決める。</t>
  </si>
  <si>
    <t>Tôi quyết định thắng bại.</t>
  </si>
  <si>
    <t>孝行</t>
  </si>
  <si>
    <t>こうこう</t>
  </si>
  <si>
    <t>孝行[こうこう]</t>
  </si>
  <si>
    <t>hiếu thảo</t>
  </si>
  <si>
    <t>親に孝行する。</t>
  </si>
  <si>
    <t>Tôi hiếu thảo với cha mẹ.</t>
  </si>
  <si>
    <t>巡査</t>
  </si>
  <si>
    <t>じゅんさ</t>
  </si>
  <si>
    <t>巡査[じゅんさ]</t>
  </si>
  <si>
    <t>巡査が道を案内する。</t>
  </si>
  <si>
    <t>Cảnh sát hướng dẫn đường.</t>
  </si>
  <si>
    <t>為替</t>
  </si>
  <si>
    <t>かわせ</t>
  </si>
  <si>
    <t>為替[かわせ]</t>
  </si>
  <si>
    <t>hối đoái</t>
  </si>
  <si>
    <t>外国為替レート。</t>
  </si>
  <si>
    <t>Tỷ giá hối đoái ngoại tệ.</t>
  </si>
  <si>
    <t>特長</t>
  </si>
  <si>
    <t>特長[とくちょう]</t>
  </si>
  <si>
    <t>ưu điểm</t>
  </si>
  <si>
    <t>この車の特長。</t>
  </si>
  <si>
    <t>Ưu điểm của chiếc xe này.</t>
  </si>
  <si>
    <t>羨む</t>
  </si>
  <si>
    <t>うらやむ</t>
  </si>
  <si>
    <t>羨[うらや]む</t>
  </si>
  <si>
    <t>才能を羨む。</t>
  </si>
  <si>
    <t>Tôi ghen tị với tài năng.</t>
  </si>
  <si>
    <t>子孫</t>
  </si>
  <si>
    <t>しそん</t>
  </si>
  <si>
    <t>子孫[しそん]</t>
  </si>
  <si>
    <t>con cháu</t>
  </si>
  <si>
    <t>子孫に残す。</t>
  </si>
  <si>
    <t>Tôi để lại cho con cháu.</t>
  </si>
  <si>
    <t>格別</t>
  </si>
  <si>
    <t>かくべつ</t>
  </si>
  <si>
    <t>格別[かくべつ]</t>
  </si>
  <si>
    <t>格別の味。</t>
  </si>
  <si>
    <t>Đó là hương vị đặc biệt.</t>
  </si>
  <si>
    <t>祖先</t>
  </si>
  <si>
    <t>そせん</t>
  </si>
  <si>
    <t>祖先[そせん]</t>
  </si>
  <si>
    <t>tổ tiên</t>
  </si>
  <si>
    <t>祖先の墓を参る。</t>
  </si>
  <si>
    <t>Tôi đi viếng mộ tổ tiên.</t>
  </si>
  <si>
    <t>粗末</t>
  </si>
  <si>
    <t>そまつ</t>
  </si>
  <si>
    <t>粗末[そまつ]</t>
  </si>
  <si>
    <t>đạm bạc</t>
  </si>
  <si>
    <t>粗末な食事をする。</t>
  </si>
  <si>
    <t>Tôi dùng bữa ăn đạm bạc.</t>
  </si>
  <si>
    <t>呑気</t>
  </si>
  <si>
    <t>のんき</t>
  </si>
  <si>
    <t>呑気[のんき]</t>
  </si>
  <si>
    <t>vô tư</t>
  </si>
  <si>
    <t>呑気に暮らす。</t>
  </si>
  <si>
    <t>Tôi sống một cách vô tư.</t>
  </si>
  <si>
    <t>船便</t>
  </si>
  <si>
    <t>ふなびん</t>
  </si>
  <si>
    <t>船便[ふなびん]</t>
  </si>
  <si>
    <t>gửi bằng tàu</t>
  </si>
  <si>
    <t>船便で送る。</t>
  </si>
  <si>
    <t>Tôi gửi bằng đường tàu.</t>
  </si>
  <si>
    <t>加熱</t>
  </si>
  <si>
    <t>かねつ</t>
  </si>
  <si>
    <t>加熱[かねつ]</t>
  </si>
  <si>
    <t>gia nhiệt</t>
  </si>
  <si>
    <t>材料を加熱する。</t>
  </si>
  <si>
    <t>Tôi gia nhiệt vật liệu.</t>
  </si>
  <si>
    <t>領収</t>
  </si>
  <si>
    <t>りょうしゅう</t>
  </si>
  <si>
    <t>領収[りょうしゅう]</t>
  </si>
  <si>
    <t>thu nhận</t>
  </si>
  <si>
    <t>領収書を発行する。</t>
  </si>
  <si>
    <t>Tôi phát hành biên lai.</t>
  </si>
  <si>
    <t>飽くまで</t>
  </si>
  <si>
    <t>あくまで</t>
  </si>
  <si>
    <t>飽[あ]くまで</t>
  </si>
  <si>
    <t>飽くまで戦う。</t>
  </si>
  <si>
    <t>Tôi chiến đấu kiên trì.</t>
  </si>
  <si>
    <t>公務</t>
  </si>
  <si>
    <t>こうむ</t>
  </si>
  <si>
    <t>公務[こうむ]</t>
  </si>
  <si>
    <t>公務を果たす。</t>
  </si>
  <si>
    <t>Tôi hoàn thành công vụ.</t>
  </si>
  <si>
    <t>句読点</t>
  </si>
  <si>
    <t>くとうてん</t>
  </si>
  <si>
    <t>句読点[くとうてん]</t>
  </si>
  <si>
    <t>dấu câu</t>
  </si>
  <si>
    <t>句読点を正しく打つ。</t>
  </si>
  <si>
    <t>Tôi chấm câu đúng cách.</t>
  </si>
  <si>
    <t>産地</t>
  </si>
  <si>
    <t>さんち</t>
  </si>
  <si>
    <t>産地[さんち]</t>
  </si>
  <si>
    <t>nơi sản xuất</t>
  </si>
  <si>
    <t>果物の産地。</t>
  </si>
  <si>
    <t>Nơi sản xuất trái cây.</t>
  </si>
  <si>
    <t>動揺</t>
  </si>
  <si>
    <t>動揺[どうよう]</t>
  </si>
  <si>
    <t>dao động</t>
  </si>
  <si>
    <t>動揺を隠す。</t>
  </si>
  <si>
    <t>Tôi che giấu dao động.</t>
  </si>
  <si>
    <t>占う</t>
  </si>
  <si>
    <t>うらなう</t>
  </si>
  <si>
    <t>占[うらな]う</t>
  </si>
  <si>
    <t>bói toán</t>
  </si>
  <si>
    <t>運勢を占う。</t>
  </si>
  <si>
    <t>Tôi bói toán vận mệnh.</t>
  </si>
  <si>
    <t>出来上がり</t>
  </si>
  <si>
    <t>できあがり</t>
  </si>
  <si>
    <t>出来上[できあ]がり</t>
  </si>
  <si>
    <t>料理の出来上がり。</t>
  </si>
  <si>
    <t>Món ăn đã hoàn thành.</t>
  </si>
  <si>
    <t>生き生き</t>
  </si>
  <si>
    <t>いきいき</t>
  </si>
  <si>
    <t>生[い]き生[い]き</t>
  </si>
  <si>
    <t>sống động</t>
  </si>
  <si>
    <t>生き生きと話す。</t>
  </si>
  <si>
    <t>Nói chuyện sống động.</t>
  </si>
  <si>
    <t>的確</t>
  </si>
  <si>
    <t>的確[てきかく]</t>
  </si>
  <si>
    <t>的確なアドバイス。</t>
  </si>
  <si>
    <t>Lời khuyên chính xác.</t>
  </si>
  <si>
    <t>長女</t>
  </si>
  <si>
    <t>ちょうじょ</t>
  </si>
  <si>
    <t>長女[ちょうじょ]</t>
  </si>
  <si>
    <t>trưởng nữ</t>
  </si>
  <si>
    <t>長女を紹介する。</t>
  </si>
  <si>
    <t>Giới thiệu trưởng nữ.</t>
  </si>
  <si>
    <t>相違</t>
  </si>
  <si>
    <t>そうい</t>
  </si>
  <si>
    <t>相違[そうい]</t>
  </si>
  <si>
    <t>sai biệt</t>
  </si>
  <si>
    <t>事実と相違する。</t>
  </si>
  <si>
    <t>Sai biệt với sự thật.</t>
  </si>
  <si>
    <t>花瓶</t>
  </si>
  <si>
    <t>かびん</t>
  </si>
  <si>
    <t>花瓶[かびん]</t>
  </si>
  <si>
    <t>bình hoa</t>
  </si>
  <si>
    <t>花を花瓶に生ける。</t>
  </si>
  <si>
    <t>Tôi cắm hoa vào bình.</t>
  </si>
  <si>
    <t>入れ物</t>
  </si>
  <si>
    <t>いれもの</t>
  </si>
  <si>
    <t>入[い]れ物[もの]</t>
  </si>
  <si>
    <t>入れ物を用意する。</t>
  </si>
  <si>
    <t>Tôi chuẩn bị đồ đựng.</t>
  </si>
  <si>
    <t>南北</t>
  </si>
  <si>
    <t>なんぼく</t>
  </si>
  <si>
    <t>南北[なんぼく]</t>
  </si>
  <si>
    <t>nam bắc</t>
  </si>
  <si>
    <t>南北に長い。</t>
  </si>
  <si>
    <t>Dài về hướng nam bắc.</t>
  </si>
  <si>
    <t>登山</t>
  </si>
  <si>
    <t>とざん</t>
  </si>
  <si>
    <t>登山[とざん]</t>
  </si>
  <si>
    <t>leo núi</t>
  </si>
  <si>
    <t>週末は登山に行く。</t>
  </si>
  <si>
    <t>Cuối tuần đi leo núi.</t>
  </si>
  <si>
    <t>泉</t>
  </si>
  <si>
    <t>いずみ</t>
  </si>
  <si>
    <t>泉[いずみ]</t>
  </si>
  <si>
    <t>suối</t>
  </si>
  <si>
    <t>泉が湧く。</t>
  </si>
  <si>
    <t>Nguồn suối tuôn trào.</t>
  </si>
  <si>
    <t>苦</t>
  </si>
  <si>
    <t>苦[く]</t>
  </si>
  <si>
    <t>khổ</t>
  </si>
  <si>
    <t>苦を感じる。</t>
  </si>
  <si>
    <t>Tôi cảm thấy đau khổ.</t>
  </si>
  <si>
    <t>余所</t>
  </si>
  <si>
    <t>よそ</t>
  </si>
  <si>
    <t>余所[よそ]</t>
  </si>
  <si>
    <t>nơi khác</t>
  </si>
  <si>
    <t>余所へ行く。</t>
  </si>
  <si>
    <t>Tôi đi đến nơi khác.</t>
  </si>
  <si>
    <t>明後日</t>
  </si>
  <si>
    <t>あさって</t>
  </si>
  <si>
    <t>明後日[あさって]</t>
  </si>
  <si>
    <t>ngày kia</t>
  </si>
  <si>
    <t>明後日に行く。</t>
  </si>
  <si>
    <t>Tôi đi vào ngày kia.</t>
  </si>
  <si>
    <t>火災</t>
  </si>
  <si>
    <t>かさい</t>
  </si>
  <si>
    <t>火災[かさい]</t>
  </si>
  <si>
    <t>火災報知器が鳴る。</t>
  </si>
  <si>
    <t>Chuông báo cháy kêu.</t>
  </si>
  <si>
    <t>見慣れる</t>
  </si>
  <si>
    <t>みなれる</t>
  </si>
  <si>
    <t>見慣[みな]れる</t>
  </si>
  <si>
    <t>quen mắt</t>
  </si>
  <si>
    <t>見慣れる光景。</t>
  </si>
  <si>
    <t>Cảnh tượng quen mắt.</t>
  </si>
  <si>
    <t>開会</t>
  </si>
  <si>
    <t>かいかい</t>
  </si>
  <si>
    <t>開会[かいかい]</t>
  </si>
  <si>
    <t>khai mạc</t>
  </si>
  <si>
    <t>開会式に出る。</t>
  </si>
  <si>
    <t>Tham dự lễ khai mạc.</t>
  </si>
  <si>
    <t>坊や</t>
  </si>
  <si>
    <t>ぼうや</t>
  </si>
  <si>
    <t>坊[ぼう]や</t>
  </si>
  <si>
    <t>cậu bé</t>
  </si>
  <si>
    <t>坊や、こっちへおいで。</t>
  </si>
  <si>
    <t>Cậu bé, hãy lại đây.</t>
  </si>
  <si>
    <t>危うい</t>
  </si>
  <si>
    <t>あやうい</t>
  </si>
  <si>
    <t>危[あや]うい</t>
  </si>
  <si>
    <t>危うい立場。</t>
  </si>
  <si>
    <t>Tình thế nguy hiểm.</t>
  </si>
  <si>
    <t>真っ青</t>
  </si>
  <si>
    <t>まっさお</t>
  </si>
  <si>
    <t>真[ま]っ青[さお]</t>
  </si>
  <si>
    <t>xanh ngắt</t>
  </si>
  <si>
    <t>空が真っ青だ。</t>
  </si>
  <si>
    <t>Bầu trời xanh ngắt.</t>
  </si>
  <si>
    <t>若々しい</t>
  </si>
  <si>
    <t>わかわかしい</t>
  </si>
  <si>
    <t>若々[わかわか]しい</t>
  </si>
  <si>
    <t>trẻ trung</t>
  </si>
  <si>
    <t>若々しい姿。</t>
  </si>
  <si>
    <t>Vẻ ngoài trẻ trung.</t>
  </si>
  <si>
    <t>園芸</t>
  </si>
  <si>
    <t>えんげい</t>
  </si>
  <si>
    <t>園芸[えんげい]</t>
  </si>
  <si>
    <t>làm vườn</t>
  </si>
  <si>
    <t>園芸を楽しむ。</t>
  </si>
  <si>
    <t>Tôi thích làm vườn.</t>
  </si>
  <si>
    <t>片付く</t>
  </si>
  <si>
    <t>かたづく</t>
  </si>
  <si>
    <t>片付[かたづ]く</t>
  </si>
  <si>
    <t>được dọn</t>
  </si>
  <si>
    <t>部屋が片付く。</t>
  </si>
  <si>
    <t>Phòng được dọn dẹp.</t>
  </si>
  <si>
    <t>潜る</t>
  </si>
  <si>
    <t>もぐる</t>
  </si>
  <si>
    <t>潜[もぐ]る</t>
  </si>
  <si>
    <t>lặn</t>
  </si>
  <si>
    <t>海に深く潜る。</t>
  </si>
  <si>
    <t>Lặn sâu xuống biển.</t>
  </si>
  <si>
    <t>片付け</t>
  </si>
  <si>
    <t>かたづけ</t>
  </si>
  <si>
    <t>片付[かたづ]け</t>
  </si>
  <si>
    <t>sự dọn dẹp</t>
  </si>
  <si>
    <t>片付けをする。</t>
  </si>
  <si>
    <t>Thực hiện dọn dẹp.</t>
  </si>
  <si>
    <t>食欲</t>
  </si>
  <si>
    <t>しょくよく</t>
  </si>
  <si>
    <t>食欲[しょくよく]</t>
  </si>
  <si>
    <t>sự thèm ăn</t>
  </si>
  <si>
    <t>食欲がある。</t>
  </si>
  <si>
    <t>Tôi có sự thèm ăn.</t>
  </si>
  <si>
    <t>停留所</t>
  </si>
  <si>
    <t>ていりゅうじょ</t>
  </si>
  <si>
    <t>停留所[ていりゅうじょ]</t>
  </si>
  <si>
    <t>trạm dừng</t>
  </si>
  <si>
    <t>バスの停留所。</t>
  </si>
  <si>
    <t>Trạm dừng xe buýt.</t>
  </si>
  <si>
    <t>冷ます</t>
  </si>
  <si>
    <t>冷[さ]ます</t>
  </si>
  <si>
    <t>làm nguội</t>
  </si>
  <si>
    <t>お茶を冷ます。</t>
  </si>
  <si>
    <t>Tôi làm nguội trà.</t>
  </si>
  <si>
    <t>原稿</t>
  </si>
  <si>
    <t>原稿[げんこう]</t>
  </si>
  <si>
    <t>bản thảo</t>
  </si>
  <si>
    <t>原稿を書く。</t>
  </si>
  <si>
    <t>Tôi viết bản thảo.</t>
  </si>
  <si>
    <t>劣る</t>
  </si>
  <si>
    <t>おとる</t>
  </si>
  <si>
    <t>劣[おと]る</t>
  </si>
  <si>
    <t>kém hơn</t>
  </si>
  <si>
    <t>性能が劣る。</t>
  </si>
  <si>
    <t>Hiệu năng kém hơn.</t>
  </si>
  <si>
    <t>匂う</t>
  </si>
  <si>
    <t>におう</t>
  </si>
  <si>
    <t>匂[にお]う</t>
  </si>
  <si>
    <t>bốc mùi</t>
  </si>
  <si>
    <t>花が匂う。</t>
  </si>
  <si>
    <t>Hoa tỏa mùi hương.</t>
  </si>
  <si>
    <t>穀物</t>
  </si>
  <si>
    <t>こくもつ</t>
  </si>
  <si>
    <t>穀物[こくもつ]</t>
  </si>
  <si>
    <t>ngũ cốc</t>
  </si>
  <si>
    <t>穀物を育てる。</t>
  </si>
  <si>
    <t>Tôi trồng ngũ cốc.</t>
  </si>
  <si>
    <t>綴じる</t>
  </si>
  <si>
    <t>綴[と]じる</t>
  </si>
  <si>
    <t>書類を綴じる。</t>
  </si>
  <si>
    <t>Tôi đóng tài liệu.</t>
  </si>
  <si>
    <t>牧場</t>
  </si>
  <si>
    <t>ぼくじょう</t>
  </si>
  <si>
    <t>牧場[ぼくじょう]</t>
  </si>
  <si>
    <t>牧場へ行く。</t>
  </si>
  <si>
    <t>Đi đến nông trại.</t>
  </si>
  <si>
    <t>用心</t>
  </si>
  <si>
    <t>ようじん</t>
  </si>
  <si>
    <t>用心[ようじん]</t>
  </si>
  <si>
    <t>火の用心。</t>
  </si>
  <si>
    <t>Cẩn thận với lửa.</t>
  </si>
  <si>
    <t>釣り合う</t>
  </si>
  <si>
    <t>つりあう</t>
  </si>
  <si>
    <t>釣[つ]り合[あ]う</t>
  </si>
  <si>
    <t>収支が釣り合う。</t>
  </si>
  <si>
    <t>Thu chi cân bằng.</t>
  </si>
  <si>
    <t>判</t>
  </si>
  <si>
    <t>判[はん]</t>
  </si>
  <si>
    <t>判を押す。</t>
  </si>
  <si>
    <t>Tôi đóng con dấu.</t>
  </si>
  <si>
    <t>泳ぎ</t>
  </si>
  <si>
    <t>およぎ</t>
  </si>
  <si>
    <t>泳[およ]ぎ</t>
  </si>
  <si>
    <t>泳ぎが上手ですね。</t>
  </si>
  <si>
    <t>Bạn bơi giỏi nhỉ.</t>
  </si>
  <si>
    <t>長引く</t>
  </si>
  <si>
    <t>ながびく</t>
  </si>
  <si>
    <t>長引[ながび]く</t>
  </si>
  <si>
    <t>会議が長引く。</t>
  </si>
  <si>
    <t>Cuộc họp kéo dài.</t>
  </si>
  <si>
    <t>画家</t>
  </si>
  <si>
    <t>がか</t>
  </si>
  <si>
    <t>画家[がか]</t>
  </si>
  <si>
    <t>họa sĩ</t>
  </si>
  <si>
    <t>有名な画家。</t>
  </si>
  <si>
    <t>Họa sĩ nổi tiếng.</t>
  </si>
  <si>
    <t>薄暗い</t>
  </si>
  <si>
    <t>うすぐらい</t>
  </si>
  <si>
    <t>薄暗[うすぐら]い</t>
  </si>
  <si>
    <t>tối mờ</t>
  </si>
  <si>
    <t>薄暗い部屋。</t>
  </si>
  <si>
    <t>Căn phòng tối mờ.</t>
  </si>
  <si>
    <t>水素</t>
  </si>
  <si>
    <t>すいそ</t>
  </si>
  <si>
    <t>水素[すいそ]</t>
  </si>
  <si>
    <t>hydro</t>
  </si>
  <si>
    <t>水素を作る。</t>
  </si>
  <si>
    <t>Tôi tạo ra hydro.</t>
  </si>
  <si>
    <t>殖やす</t>
  </si>
  <si>
    <t>殖[ふ]やす</t>
  </si>
  <si>
    <t>資産を殖やす。</t>
  </si>
  <si>
    <t>Tôi tăng tài sản.</t>
  </si>
  <si>
    <t>大層</t>
  </si>
  <si>
    <t>大層[たいそう]</t>
  </si>
  <si>
    <t>大層喜ぶ。</t>
  </si>
  <si>
    <t>Tôi rất vui mừng.</t>
  </si>
  <si>
    <t>腰掛け</t>
  </si>
  <si>
    <t>こしかけ</t>
  </si>
  <si>
    <t>腰掛[こしか]け</t>
  </si>
  <si>
    <t>腰掛けに座る。</t>
  </si>
  <si>
    <t>Tôi ngồi lên ghế.</t>
  </si>
  <si>
    <t>特急</t>
  </si>
  <si>
    <t>とっきゅう</t>
  </si>
  <si>
    <t>特急[とっきゅう]</t>
  </si>
  <si>
    <t>特急に乗る。</t>
  </si>
  <si>
    <t>具える</t>
  </si>
  <si>
    <t>具[そな]える</t>
  </si>
  <si>
    <t>能力を具える。</t>
  </si>
  <si>
    <t>Tôi có năng lực.</t>
  </si>
  <si>
    <t>区域</t>
  </si>
  <si>
    <t>くいき</t>
  </si>
  <si>
    <t>区域[くいき]</t>
  </si>
  <si>
    <t>区域に入る。</t>
  </si>
  <si>
    <t>Tôi vào khu vực.</t>
  </si>
  <si>
    <t>社説</t>
  </si>
  <si>
    <t>しゃせつ</t>
  </si>
  <si>
    <t>社説[しゃせつ]</t>
  </si>
  <si>
    <t>xã luận</t>
  </si>
  <si>
    <t>社説を読む。</t>
  </si>
  <si>
    <t>Đọc bài xã luận.</t>
  </si>
  <si>
    <t>背広</t>
  </si>
  <si>
    <t>せびろ</t>
  </si>
  <si>
    <t>背広[せびろ]</t>
  </si>
  <si>
    <t>áo vest</t>
  </si>
  <si>
    <t>背広を着る。</t>
  </si>
  <si>
    <t>Tôi mặc áo vest.</t>
  </si>
  <si>
    <t>茂る</t>
  </si>
  <si>
    <t>しげる</t>
  </si>
  <si>
    <t>茂[しげ]る</t>
  </si>
  <si>
    <t>rậm rạp</t>
  </si>
  <si>
    <t>木が茂る。</t>
  </si>
  <si>
    <t>Cây cối rậm rạp.</t>
  </si>
  <si>
    <t>冷める</t>
  </si>
  <si>
    <t>冷[さ]める</t>
  </si>
  <si>
    <t>nguội</t>
  </si>
  <si>
    <t>料理が冷める。</t>
  </si>
  <si>
    <t>Món ăn nguội đi.</t>
  </si>
  <si>
    <t>枕</t>
  </si>
  <si>
    <t>まくら</t>
  </si>
  <si>
    <t>枕[まくら]</t>
  </si>
  <si>
    <t>gối</t>
  </si>
  <si>
    <t>枕を置く。</t>
  </si>
  <si>
    <t>Tôi đặt cái gối.</t>
  </si>
  <si>
    <t>猿</t>
  </si>
  <si>
    <t>猿[さる]</t>
  </si>
  <si>
    <t>khỉ</t>
  </si>
  <si>
    <t>猿が木に登る。</t>
  </si>
  <si>
    <t>Con khỉ leo cây.</t>
  </si>
  <si>
    <t>酸化</t>
  </si>
  <si>
    <t>酸化[さんか]</t>
  </si>
  <si>
    <t>sự oxy hóa</t>
  </si>
  <si>
    <t>鉄が酸化する。</t>
  </si>
  <si>
    <t>Sắt bị oxy hóa.</t>
  </si>
  <si>
    <t>刺さる</t>
  </si>
  <si>
    <t>ささる</t>
  </si>
  <si>
    <t>刺[さ]さる</t>
  </si>
  <si>
    <t>棘が刺さる。</t>
  </si>
  <si>
    <t>Gai bị đâm vào.</t>
  </si>
  <si>
    <t>蒸し暑い</t>
  </si>
  <si>
    <t>むしあつい</t>
  </si>
  <si>
    <t>蒸[む]し暑[あつ]い</t>
  </si>
  <si>
    <t>nóng ẩm</t>
  </si>
  <si>
    <t>夏は蒸し暑い。</t>
  </si>
  <si>
    <t>Mùa hè nóng ẩm.</t>
  </si>
  <si>
    <t>割合に</t>
  </si>
  <si>
    <t>わりあいに</t>
  </si>
  <si>
    <t>割合[わりあい]に</t>
  </si>
  <si>
    <t>割合に良い。</t>
  </si>
  <si>
    <t>Tương đối tốt.</t>
  </si>
  <si>
    <t>申告</t>
  </si>
  <si>
    <t>申告[しんこく]</t>
  </si>
  <si>
    <t>khai báo</t>
  </si>
  <si>
    <t>税金を申告する。</t>
  </si>
  <si>
    <t>Khai báo thuế.</t>
  </si>
  <si>
    <t>耕す</t>
  </si>
  <si>
    <t>たがやす</t>
  </si>
  <si>
    <t>耕[たがや]す</t>
  </si>
  <si>
    <t>cày</t>
  </si>
  <si>
    <t>畑を耕す。</t>
  </si>
  <si>
    <t>Tôi cày ruộng.</t>
  </si>
  <si>
    <t>金庫</t>
  </si>
  <si>
    <t>きんこ</t>
  </si>
  <si>
    <t>金庫[きんこ]</t>
  </si>
  <si>
    <t>két sắt</t>
  </si>
  <si>
    <t>金庫を閉める。</t>
  </si>
  <si>
    <t>Đóng két sắt.</t>
  </si>
  <si>
    <t>区切る</t>
  </si>
  <si>
    <t>くぎる</t>
  </si>
  <si>
    <t>区切[くぎ]る</t>
  </si>
  <si>
    <t>ngắt</t>
  </si>
  <si>
    <t>文を区切る。</t>
  </si>
  <si>
    <t>Tôi ngắt câu.</t>
  </si>
  <si>
    <t>真っ先</t>
  </si>
  <si>
    <t>まっさき</t>
  </si>
  <si>
    <t>真[ま]っ先[さき]</t>
  </si>
  <si>
    <t>真っ先に行く。</t>
  </si>
  <si>
    <t>Đi đầu tiên.</t>
  </si>
  <si>
    <t>磁気</t>
  </si>
  <si>
    <t>磁気[じき]</t>
  </si>
  <si>
    <t>từ tính</t>
  </si>
  <si>
    <t>磁気の力。</t>
  </si>
  <si>
    <t>Lực từ tính.</t>
  </si>
  <si>
    <t>膜</t>
  </si>
  <si>
    <t>膜[まく]</t>
  </si>
  <si>
    <t>màng</t>
  </si>
  <si>
    <t>細胞の膜。</t>
  </si>
  <si>
    <t>Màng tế bào.</t>
  </si>
  <si>
    <t>沸く</t>
  </si>
  <si>
    <t>沸[わ]く</t>
  </si>
  <si>
    <t>sôi</t>
  </si>
  <si>
    <t>お湯が沸く。</t>
  </si>
  <si>
    <t>Nước đã sôi.</t>
  </si>
  <si>
    <t>芯</t>
  </si>
  <si>
    <t>しん</t>
  </si>
  <si>
    <t>芯[しん]</t>
  </si>
  <si>
    <t>lõi</t>
  </si>
  <si>
    <t>鉛筆の芯。</t>
  </si>
  <si>
    <t>Lõi bút chì.</t>
  </si>
  <si>
    <t>姓</t>
  </si>
  <si>
    <t>姓[せい]</t>
  </si>
  <si>
    <t>姓を名乗る。</t>
  </si>
  <si>
    <t>Tôi xưng họ.</t>
  </si>
  <si>
    <t>女房</t>
  </si>
  <si>
    <t>にょうぼう</t>
  </si>
  <si>
    <t>女房[にょうぼう]</t>
  </si>
  <si>
    <t>私の女房。</t>
  </si>
  <si>
    <t>Vợ của tôi.</t>
  </si>
  <si>
    <t>湿度</t>
  </si>
  <si>
    <t>しつど</t>
  </si>
  <si>
    <t>湿度[しつど]</t>
  </si>
  <si>
    <t>độ ẩm</t>
  </si>
  <si>
    <t>湿度が高い。</t>
  </si>
  <si>
    <t>Độ ẩm cao.</t>
  </si>
  <si>
    <t>酌む</t>
  </si>
  <si>
    <t>酌[く]む</t>
  </si>
  <si>
    <t>酒を酌む。</t>
  </si>
  <si>
    <t>Rót rượu.</t>
  </si>
  <si>
    <t>独創</t>
  </si>
  <si>
    <t>どくそう</t>
  </si>
  <si>
    <t>独創[どくそう]</t>
  </si>
  <si>
    <t>sự sáng tạo độc đáo</t>
  </si>
  <si>
    <t>独創的な作品。</t>
  </si>
  <si>
    <t>Tác phẩm sáng tạo độc đáo.</t>
  </si>
  <si>
    <t>無知</t>
  </si>
  <si>
    <t>むち</t>
  </si>
  <si>
    <t>無知[むち]</t>
  </si>
  <si>
    <t>sự thiếu hiểu biết</t>
  </si>
  <si>
    <t>無知を恥じる。</t>
  </si>
  <si>
    <t>Xấu hổ vì sự thiếu hiểu biết.</t>
  </si>
  <si>
    <t>発作</t>
  </si>
  <si>
    <t>ほっさ</t>
  </si>
  <si>
    <t>発作[ほっさ]</t>
  </si>
  <si>
    <t>phát tác</t>
  </si>
  <si>
    <t>心臓の発作を起こす。</t>
  </si>
  <si>
    <t>Gây phát tác bệnh tim.</t>
  </si>
  <si>
    <t>逆立ち</t>
  </si>
  <si>
    <t>さかだち</t>
  </si>
  <si>
    <t>逆立[さかだ]ち</t>
  </si>
  <si>
    <t>sự trồng cây chuối</t>
  </si>
  <si>
    <t>逆立ちをする。</t>
  </si>
  <si>
    <t>Trồng cây chuối.</t>
  </si>
  <si>
    <t>粘り</t>
  </si>
  <si>
    <t>ねばり</t>
  </si>
  <si>
    <t>粘[ねば]り</t>
  </si>
  <si>
    <t>納豆の粘り。</t>
  </si>
  <si>
    <t>Độ dính của đậu nành lên men.</t>
  </si>
  <si>
    <t>満場</t>
  </si>
  <si>
    <t>まんじょう</t>
  </si>
  <si>
    <t>満場[まんじょう]</t>
  </si>
  <si>
    <t>toàn hội trường</t>
  </si>
  <si>
    <t>満場の拍手を受ける。</t>
  </si>
  <si>
    <t>Nhận tràng pháo tay của toàn hội trường.</t>
  </si>
  <si>
    <t>突っ張る</t>
  </si>
  <si>
    <t>つっぱる</t>
  </si>
  <si>
    <t>突[つ]っ張[ぱ]る</t>
  </si>
  <si>
    <t>căng ra</t>
  </si>
  <si>
    <t>脚が突っ張る。</t>
  </si>
  <si>
    <t>Chân bị căng ra.</t>
  </si>
  <si>
    <t>ノイローゼ</t>
  </si>
  <si>
    <t>のいろーぜ</t>
  </si>
  <si>
    <t>bệnh thần kinh</t>
  </si>
  <si>
    <t>ノイローゼになる。</t>
  </si>
  <si>
    <t>Bị bệnh thần kinh.</t>
  </si>
  <si>
    <t>生育</t>
  </si>
  <si>
    <t>生育[せいいく]</t>
  </si>
  <si>
    <t>sự sinh trưởng</t>
  </si>
  <si>
    <t>植物の生育状況。</t>
  </si>
  <si>
    <t>Tình trạng sinh trưởng của thực vật.</t>
  </si>
  <si>
    <t>真上</t>
  </si>
  <si>
    <t>まうえ</t>
  </si>
  <si>
    <t>真上[まうえ]</t>
  </si>
  <si>
    <t>ngay phía trên</t>
  </si>
  <si>
    <t>頭の真上に飛行機がある。</t>
  </si>
  <si>
    <t>Máy bay ở ngay phía trên đầu.</t>
  </si>
  <si>
    <t>真下</t>
  </si>
  <si>
    <t>ました</t>
  </si>
  <si>
    <t>真下[ました]</t>
  </si>
  <si>
    <t>ngay phía dưới</t>
  </si>
  <si>
    <t>足の真下を見る。</t>
  </si>
  <si>
    <t>Nhìn ngay xuống dưới chân.</t>
  </si>
  <si>
    <t>私有</t>
  </si>
  <si>
    <t>しゆう</t>
  </si>
  <si>
    <t>私有[しゆう]</t>
  </si>
  <si>
    <t>sở hữu tư nhân</t>
  </si>
  <si>
    <t>私有地に入る。</t>
  </si>
  <si>
    <t>Đi vào đất tư nhân.</t>
  </si>
  <si>
    <t>発育</t>
  </si>
  <si>
    <t>はついく</t>
  </si>
  <si>
    <t>発育[はついく]</t>
  </si>
  <si>
    <t>子供の発育を願う。</t>
  </si>
  <si>
    <t>Mong muốn sự phát triển của đứa trẻ.</t>
  </si>
  <si>
    <t>駆けっこ</t>
  </si>
  <si>
    <t>かけっこ</t>
  </si>
  <si>
    <t>駆[か]けっこ</t>
  </si>
  <si>
    <t>cuộc chạy đua</t>
  </si>
  <si>
    <t>駆けっこをする。</t>
  </si>
  <si>
    <t>Chạy đua.</t>
  </si>
  <si>
    <t>代弁</t>
  </si>
  <si>
    <t>代弁[だいべん]</t>
  </si>
  <si>
    <t>thay mặt nói</t>
  </si>
  <si>
    <t>気持ちを代弁する。</t>
  </si>
  <si>
    <t>Thay mặt nói lên tình cảm.</t>
  </si>
  <si>
    <t>余興</t>
  </si>
  <si>
    <t>よきょう</t>
  </si>
  <si>
    <t>余興[よきょう]</t>
  </si>
  <si>
    <t>trò giải trí</t>
  </si>
  <si>
    <t>余興をする。</t>
  </si>
  <si>
    <t>Tổ chức trò giải trí.</t>
  </si>
  <si>
    <t>模範</t>
  </si>
  <si>
    <t>もはん</t>
  </si>
  <si>
    <t>模範[もはん]</t>
  </si>
  <si>
    <t>sự gương mẫu</t>
  </si>
  <si>
    <t>みんなの模範となる。</t>
  </si>
  <si>
    <t>Trở thành gương mẫu cho mọi người.</t>
  </si>
  <si>
    <t>滅亡</t>
  </si>
  <si>
    <t>めつぼう</t>
  </si>
  <si>
    <t>滅亡[めつぼう]</t>
  </si>
  <si>
    <t>sự diệt vong</t>
  </si>
  <si>
    <t>王国の滅亡。</t>
  </si>
  <si>
    <t>Sự diệt vong của vương quốc.</t>
  </si>
  <si>
    <t>照合</t>
  </si>
  <si>
    <t>しょうごう</t>
  </si>
  <si>
    <t>照合[しょうごう]</t>
  </si>
  <si>
    <t>sự đối chiếu</t>
  </si>
  <si>
    <t>データを照合する。</t>
  </si>
  <si>
    <t>Đối chiếu dữ liệu.</t>
  </si>
  <si>
    <t>目覚しい</t>
  </si>
  <si>
    <t>めざましい</t>
  </si>
  <si>
    <t>目覚[めざま]しい</t>
  </si>
  <si>
    <t>rất ấn tượng</t>
  </si>
  <si>
    <t>目覚しい進歩を遂げる。</t>
  </si>
  <si>
    <t>Đạt được bước tiến ấn tượng.</t>
  </si>
  <si>
    <t>神聖</t>
  </si>
  <si>
    <t>神聖[しんせい]</t>
  </si>
  <si>
    <t>thiêng liêng</t>
  </si>
  <si>
    <t>神聖な場所。</t>
  </si>
  <si>
    <t>Nơi thiêng liêng.</t>
  </si>
  <si>
    <t>紛らわしい</t>
  </si>
  <si>
    <t>まぎらわしい</t>
  </si>
  <si>
    <t>紛[まぎ]らわしい</t>
  </si>
  <si>
    <t>gây nhầm lẫn</t>
  </si>
  <si>
    <t>紛らわしい表現。</t>
  </si>
  <si>
    <t>Biểu hiện gây nhầm lẫn.</t>
  </si>
  <si>
    <t>楽観</t>
  </si>
  <si>
    <t>らっかん</t>
  </si>
  <si>
    <t>楽観[らっかん]</t>
  </si>
  <si>
    <t>sự lạc quan</t>
  </si>
  <si>
    <t>将来を楽観する。</t>
  </si>
  <si>
    <t>Lạc quan về tương lai.</t>
  </si>
  <si>
    <t>没収</t>
  </si>
  <si>
    <t>ぼっしゅう</t>
  </si>
  <si>
    <t>没収[ぼっしゅう]</t>
  </si>
  <si>
    <t>sự tịch thu</t>
  </si>
  <si>
    <t>違反品を没収する。</t>
  </si>
  <si>
    <t>Tịch thu vật phẩm vi phạm.</t>
  </si>
  <si>
    <t>漁船</t>
  </si>
  <si>
    <t>ぎょせん</t>
  </si>
  <si>
    <t>漁船[ぎょせん]</t>
  </si>
  <si>
    <t>tàu đánh cá</t>
  </si>
  <si>
    <t>漁船が港を出る。</t>
  </si>
  <si>
    <t>Tàu đánh cá rời bến.</t>
  </si>
  <si>
    <t>濫用</t>
  </si>
  <si>
    <t>らんよう</t>
  </si>
  <si>
    <t>濫用[らんよう]</t>
  </si>
  <si>
    <t>sự lạm dụng</t>
  </si>
  <si>
    <t>薬物を濫用する。</t>
  </si>
  <si>
    <t>Lạm dụng thuốc.</t>
  </si>
  <si>
    <t>熱量</t>
  </si>
  <si>
    <t>ねつりょう</t>
  </si>
  <si>
    <t>熱量[ねつりょう]</t>
  </si>
  <si>
    <t>nhiệt lượng</t>
  </si>
  <si>
    <t>熱量を計算する。</t>
  </si>
  <si>
    <t>Tính toán nhiệt lượng.</t>
  </si>
  <si>
    <t>略奪</t>
  </si>
  <si>
    <t>りゃくだつ</t>
  </si>
  <si>
    <t>略奪[りゃくだつ]</t>
  </si>
  <si>
    <t>sự cướp bóc</t>
  </si>
  <si>
    <t>町を略奪する。</t>
  </si>
  <si>
    <t>Cướp bóc thị trấn.</t>
  </si>
  <si>
    <t>略語</t>
  </si>
  <si>
    <t>りゃくご</t>
  </si>
  <si>
    <t>略語[りゃくご]</t>
  </si>
  <si>
    <t>từ viết tắt</t>
  </si>
  <si>
    <t>略語を使う。</t>
  </si>
  <si>
    <t>Sử dụng từ viết tắt.</t>
  </si>
  <si>
    <t>異論</t>
  </si>
  <si>
    <t>いろん</t>
  </si>
  <si>
    <t>異論[いろん]</t>
  </si>
  <si>
    <t>ý kiến khác</t>
  </si>
  <si>
    <t>異論を唱える。</t>
  </si>
  <si>
    <t>Đưa ra ý kiến khác.</t>
  </si>
  <si>
    <t>異議</t>
  </si>
  <si>
    <t>異議[いぎ]</t>
  </si>
  <si>
    <t>異議を申し立てる。</t>
  </si>
  <si>
    <t>Đưa ra sự phản đối.</t>
  </si>
  <si>
    <t>盛大</t>
  </si>
  <si>
    <t>せいだい</t>
  </si>
  <si>
    <t>盛大[せいだい]</t>
  </si>
  <si>
    <t>hoành tráng</t>
  </si>
  <si>
    <t>盛大な結婚式。</t>
  </si>
  <si>
    <t>Lễ cưới hoành tráng.</t>
  </si>
  <si>
    <t>繕う</t>
  </si>
  <si>
    <t>つくろう</t>
  </si>
  <si>
    <t>繕[つくろ]う</t>
  </si>
  <si>
    <t>vá</t>
  </si>
  <si>
    <t>服を繕う。</t>
  </si>
  <si>
    <t>Vá quần áo.</t>
  </si>
  <si>
    <t>耕作</t>
  </si>
  <si>
    <t>耕作[こうさく]</t>
  </si>
  <si>
    <t>canh tác</t>
  </si>
  <si>
    <t>土地を耕作する。</t>
  </si>
  <si>
    <t>Canh tác đất đai.</t>
  </si>
  <si>
    <t>腹立ち</t>
  </si>
  <si>
    <t>はらだち</t>
  </si>
  <si>
    <t>腹立[はらだ]ち</t>
  </si>
  <si>
    <t>腹立ちを抑える。</t>
  </si>
  <si>
    <t>Kìm nén sự tức giận.</t>
  </si>
  <si>
    <t>詫び</t>
  </si>
  <si>
    <t>わび</t>
  </si>
  <si>
    <t>詫[わ]び</t>
  </si>
  <si>
    <t>詫びを入れる。</t>
  </si>
  <si>
    <t>Đưa ra lời xin lỗi.</t>
  </si>
  <si>
    <t>豊作</t>
  </si>
  <si>
    <t>豊作[ほうさく]</t>
  </si>
  <si>
    <t>được mùa</t>
  </si>
  <si>
    <t>今年は豊作だ。</t>
  </si>
  <si>
    <t>Năm nay được mùa.</t>
  </si>
  <si>
    <t>あべこべ</t>
  </si>
  <si>
    <t>ボタンをあべこべにつける。</t>
  </si>
  <si>
    <t>Cài nút áo bị ngược.</t>
  </si>
  <si>
    <t>代る代る</t>
  </si>
  <si>
    <t>かわるがわる</t>
  </si>
  <si>
    <t>代[かわ]る代[がわ]る</t>
  </si>
  <si>
    <t>luân phiên</t>
  </si>
  <si>
    <t>代る代る話す。</t>
  </si>
  <si>
    <t>Luân phiên nói chuyện.</t>
  </si>
  <si>
    <t>似通う</t>
  </si>
  <si>
    <t>にかよう</t>
  </si>
  <si>
    <t>似通[にかよ]う</t>
  </si>
  <si>
    <t>考えが似通う。</t>
  </si>
  <si>
    <t>Cách suy nghĩ giống nhau.</t>
  </si>
  <si>
    <t>満月</t>
  </si>
  <si>
    <t>まんげつ</t>
  </si>
  <si>
    <t>満月[まんげつ]</t>
  </si>
  <si>
    <t>trăng tròn</t>
  </si>
  <si>
    <t>今夜は満月だ。</t>
  </si>
  <si>
    <t>Đêm nay là trăng tròn.</t>
  </si>
  <si>
    <t>現像</t>
  </si>
  <si>
    <t>げんぞう</t>
  </si>
  <si>
    <t>現像[げんぞう]</t>
  </si>
  <si>
    <t>rửa ảnh</t>
  </si>
  <si>
    <t>写真を現像する。</t>
  </si>
  <si>
    <t>Rửa ảnh.</t>
  </si>
  <si>
    <t>皇居</t>
  </si>
  <si>
    <t>こうきょ</t>
  </si>
  <si>
    <t>皇居[こうきょ]</t>
  </si>
  <si>
    <t>hoàng cung</t>
  </si>
  <si>
    <t>皇居を訪れる。</t>
  </si>
  <si>
    <t>Ghé thăm hoàng cung.</t>
  </si>
  <si>
    <t>私物</t>
  </si>
  <si>
    <t>しぶつ</t>
  </si>
  <si>
    <t>私物[しぶつ]</t>
  </si>
  <si>
    <t>đồ cá nhân</t>
  </si>
  <si>
    <t>私物を整理する。</t>
  </si>
  <si>
    <t>Sắp xếp đồ cá nhân.</t>
  </si>
  <si>
    <t>統率</t>
  </si>
  <si>
    <t>とうそつ</t>
  </si>
  <si>
    <t>統率[とうそつ]</t>
  </si>
  <si>
    <t>軍を統率する。</t>
  </si>
  <si>
    <t>Chỉ huy quân đội.</t>
  </si>
  <si>
    <t>軽率</t>
  </si>
  <si>
    <t>けいそつ</t>
  </si>
  <si>
    <t>軽率[けいそつ]</t>
  </si>
  <si>
    <t>khinh suất</t>
  </si>
  <si>
    <t>軽率な行動。</t>
  </si>
  <si>
    <t>Hành động khinh suất.</t>
  </si>
  <si>
    <t>首飾り</t>
  </si>
  <si>
    <t>くびかざり</t>
  </si>
  <si>
    <t>首飾[くびかざ]り</t>
  </si>
  <si>
    <t>dây chuyền</t>
  </si>
  <si>
    <t>首飾りを贈る。</t>
  </si>
  <si>
    <t>Tặng dây chuyền.</t>
  </si>
  <si>
    <t>てんで</t>
  </si>
  <si>
    <t>てんでダメだ。</t>
  </si>
  <si>
    <t>Hoàn toàn không được.</t>
  </si>
  <si>
    <t>標語</t>
  </si>
  <si>
    <t>ひょうご</t>
  </si>
  <si>
    <t>標語[ひょうご]</t>
  </si>
  <si>
    <t>khẩu hiệu</t>
  </si>
  <si>
    <t>交通安全の標語を作る。</t>
  </si>
  <si>
    <t>Tạo khẩu hiệu an toàn giao thông.</t>
  </si>
  <si>
    <t>溶液</t>
  </si>
  <si>
    <t>ようえき</t>
  </si>
  <si>
    <t>溶液[ようえき]</t>
  </si>
  <si>
    <t>溶液を混合する。</t>
  </si>
  <si>
    <t>Trộn các dung dịch.</t>
  </si>
  <si>
    <t>短歌</t>
  </si>
  <si>
    <t>たんか</t>
  </si>
  <si>
    <t>短歌[たんか]</t>
  </si>
  <si>
    <t>thơ tanka</t>
  </si>
  <si>
    <t>短歌を詠む。</t>
  </si>
  <si>
    <t>Làm thơ tanka.</t>
  </si>
  <si>
    <t>窮屈</t>
  </si>
  <si>
    <t>きゅうくつ</t>
  </si>
  <si>
    <t>窮屈[きゅうくつ]</t>
  </si>
  <si>
    <t>chật chội</t>
  </si>
  <si>
    <t>窮屈な服を着る。</t>
  </si>
  <si>
    <t>Mặc bộ quần áo chật chội.</t>
  </si>
  <si>
    <t>軒並</t>
  </si>
  <si>
    <t>のきなみ</t>
  </si>
  <si>
    <t>軒並[のきなみ]</t>
  </si>
  <si>
    <t>軒並み値上がりする。</t>
  </si>
  <si>
    <t>Đồng loạt tăng giá.</t>
  </si>
  <si>
    <t>雫</t>
  </si>
  <si>
    <t>しずく</t>
  </si>
  <si>
    <t>雫[しずく]</t>
  </si>
  <si>
    <t>giọt nước</t>
  </si>
  <si>
    <t>雨の雫。</t>
  </si>
  <si>
    <t>Giọt nước mưa.</t>
  </si>
  <si>
    <t>インテリ</t>
  </si>
  <si>
    <t>いんてり</t>
  </si>
  <si>
    <t>trí thức</t>
  </si>
  <si>
    <t>彼はインテリ層に人気だ。</t>
  </si>
  <si>
    <t>Anh ấy được giới trí thức yêu mến.</t>
  </si>
  <si>
    <t>おだてる</t>
  </si>
  <si>
    <t>nịnh hót</t>
  </si>
  <si>
    <t>人をすぐおだてる。</t>
  </si>
  <si>
    <t>Rất hay nịnh người khác.</t>
  </si>
  <si>
    <t>しくじる</t>
  </si>
  <si>
    <t>試験でしくじる。</t>
  </si>
  <si>
    <t>Thất bại trong kỳ thi.</t>
  </si>
  <si>
    <t>スラックス</t>
  </si>
  <si>
    <t>すらっくす</t>
  </si>
  <si>
    <t>quần tây</t>
  </si>
  <si>
    <t>スラックスを履く。</t>
  </si>
  <si>
    <t>Mặc quần tây.</t>
  </si>
  <si>
    <t>ねだる</t>
  </si>
  <si>
    <t>vòi vĩnh</t>
  </si>
  <si>
    <t>おもちゃをねだる。</t>
  </si>
  <si>
    <t>Vòi vĩnh đồ chơi.</t>
  </si>
  <si>
    <t>休学</t>
  </si>
  <si>
    <t>きゅうがく</t>
  </si>
  <si>
    <t>休学[きゅうがく]</t>
  </si>
  <si>
    <t>nghỉ học</t>
  </si>
  <si>
    <t>大学を休学する。</t>
  </si>
  <si>
    <t>Nghỉ học đại học.</t>
  </si>
  <si>
    <t>果てる</t>
  </si>
  <si>
    <t>はてる</t>
  </si>
  <si>
    <t>果[は]てる</t>
  </si>
  <si>
    <t>命が果てるまで戦う。</t>
  </si>
  <si>
    <t>Chiến đấu cho đến hơi thở cuối cùng.</t>
  </si>
  <si>
    <t>目付き</t>
  </si>
  <si>
    <t>めつき</t>
  </si>
  <si>
    <t>目付[めつ]き</t>
  </si>
  <si>
    <t>cái nhìn</t>
  </si>
  <si>
    <t>鋭い目付き。</t>
  </si>
  <si>
    <t>Cái nhìn sắc bén.</t>
  </si>
  <si>
    <t>目録</t>
  </si>
  <si>
    <t>もくろく</t>
  </si>
  <si>
    <t>目録[もくろく]</t>
  </si>
  <si>
    <t>danh mục</t>
  </si>
  <si>
    <t>商品の目録を作る。</t>
  </si>
  <si>
    <t>Lập danh mục hàng hóa.</t>
  </si>
  <si>
    <t>省みる</t>
  </si>
  <si>
    <t>省[かえり]みる</t>
  </si>
  <si>
    <t>自らを省みる。</t>
  </si>
  <si>
    <t>Nhìn lại bản thân.</t>
  </si>
  <si>
    <t>眉</t>
  </si>
  <si>
    <t>まゆ</t>
  </si>
  <si>
    <t>眉[まゆ]</t>
  </si>
  <si>
    <t>lông mày</t>
  </si>
  <si>
    <t>眉をひそめる。</t>
  </si>
  <si>
    <t>Cau mày.</t>
  </si>
  <si>
    <t>結核</t>
  </si>
  <si>
    <t>けっかく</t>
  </si>
  <si>
    <t>結核[けっかく]</t>
  </si>
  <si>
    <t>bệnh lao</t>
  </si>
  <si>
    <t>結核を治療する。</t>
  </si>
  <si>
    <t>Điều trị bệnh lao.</t>
  </si>
  <si>
    <t>自ずから</t>
  </si>
  <si>
    <t>おのずから</t>
  </si>
  <si>
    <t>自[おの]ずから</t>
  </si>
  <si>
    <t>自ずから道は開ける。</t>
  </si>
  <si>
    <t>Con đường sẽ tự nhiên mở ra.</t>
  </si>
  <si>
    <t>びっしょり</t>
  </si>
  <si>
    <t>ướt đẫm</t>
  </si>
  <si>
    <t>汗でびっしょりだ。</t>
  </si>
  <si>
    <t>Ướt đẫm mồ hôi.</t>
  </si>
  <si>
    <t>ぺこぺこ</t>
  </si>
  <si>
    <t>đói meo</t>
  </si>
  <si>
    <t>お腹がぺこぺこだ。</t>
  </si>
  <si>
    <t>Bụng đói meo.</t>
  </si>
  <si>
    <t>まごつく</t>
  </si>
  <si>
    <t>bối rối</t>
  </si>
  <si>
    <t>道に迷ってまごつく。</t>
  </si>
  <si>
    <t>Bối rối vì lạc đường.</t>
  </si>
  <si>
    <t>不吉</t>
  </si>
  <si>
    <t>ふきつ</t>
  </si>
  <si>
    <t>不吉[ふきつ]</t>
  </si>
  <si>
    <t>不吉な予感。</t>
  </si>
  <si>
    <t>Dự cảm xui xẻo.</t>
  </si>
  <si>
    <t>欺く</t>
  </si>
  <si>
    <t>あざむく</t>
  </si>
  <si>
    <t>欺[あざむ]く</t>
  </si>
  <si>
    <t>敵を欺く作戦。</t>
  </si>
  <si>
    <t>Chiến thuật lừa gạt kẻ địch.</t>
  </si>
  <si>
    <t>民俗</t>
  </si>
  <si>
    <t>民俗[みんぞく]</t>
  </si>
  <si>
    <t>dân tục</t>
  </si>
  <si>
    <t>日本の民俗を学ぶ。</t>
  </si>
  <si>
    <t>Tìm hiểu dân tục Nhật Bản.</t>
  </si>
  <si>
    <t>沼</t>
  </si>
  <si>
    <t>ぬま</t>
  </si>
  <si>
    <t>沼[ぬま]</t>
  </si>
  <si>
    <t>đầm lầy</t>
  </si>
  <si>
    <t>沼のほとりを歩く。</t>
  </si>
  <si>
    <t>Đi bộ bên bờ đầm lầy.</t>
  </si>
  <si>
    <t>玩具</t>
  </si>
  <si>
    <t>がんぐ</t>
  </si>
  <si>
    <t>玩具[がんぐ]</t>
  </si>
  <si>
    <t>玩具で遊ぶ。</t>
  </si>
  <si>
    <t>Chơi với đồ chơi.</t>
  </si>
  <si>
    <t>筒</t>
  </si>
  <si>
    <t>つつ</t>
  </si>
  <si>
    <t>筒[つつ]</t>
  </si>
  <si>
    <t>cái ống</t>
  </si>
  <si>
    <t>筒に丸める。</t>
  </si>
  <si>
    <t>Cuộn tròn thành ống.</t>
  </si>
  <si>
    <t>落葉</t>
  </si>
  <si>
    <t>らくよう</t>
  </si>
  <si>
    <t>落葉[らくよう]</t>
  </si>
  <si>
    <t>lá rụng</t>
  </si>
  <si>
    <t>落葉が舞う。</t>
  </si>
  <si>
    <t>Lá rụng bay múa.</t>
  </si>
  <si>
    <t>質素</t>
  </si>
  <si>
    <t>しっそ</t>
  </si>
  <si>
    <t>質素[しっそ]</t>
  </si>
  <si>
    <t>質素な食事。</t>
  </si>
  <si>
    <t>Bữa ăn giản dị.</t>
  </si>
  <si>
    <t>蹴飛ばす</t>
  </si>
  <si>
    <t>けとばす</t>
  </si>
  <si>
    <t>蹴飛[けと]ばす</t>
  </si>
  <si>
    <t>đá văng</t>
  </si>
  <si>
    <t>石を蹴飛ばす。</t>
  </si>
  <si>
    <t>Đá văng viên đá.</t>
  </si>
  <si>
    <t>ミセス</t>
  </si>
  <si>
    <t>みせす</t>
  </si>
  <si>
    <t>ミセス山田と呼ぶ。</t>
  </si>
  <si>
    <t>Gọi là bà Yamada.</t>
  </si>
  <si>
    <t>下心</t>
  </si>
  <si>
    <t>したごころ</t>
  </si>
  <si>
    <t>下心[したごころ]</t>
  </si>
  <si>
    <t>âm mưu</t>
  </si>
  <si>
    <t>下心がある。</t>
  </si>
  <si>
    <t>Có âm mưu.</t>
  </si>
  <si>
    <t>牧師</t>
  </si>
  <si>
    <t>ぼくし</t>
  </si>
  <si>
    <t>牧師[ぼくし]</t>
  </si>
  <si>
    <t>mục sư</t>
  </si>
  <si>
    <t>牧師の話を聞く。</t>
  </si>
  <si>
    <t>Nghe lời mục sư.</t>
  </si>
  <si>
    <t>簡素</t>
  </si>
  <si>
    <t>かんそ</t>
  </si>
  <si>
    <t>簡素[かんそ]</t>
  </si>
  <si>
    <t>đơn sơ</t>
  </si>
  <si>
    <t>簡素な暮らしをする。</t>
  </si>
  <si>
    <t>Sống cuộc sống đơn sơ.</t>
  </si>
  <si>
    <t>見苦しい</t>
  </si>
  <si>
    <t>みぐるしい</t>
  </si>
  <si>
    <t>見苦[みぐる]しい</t>
  </si>
  <si>
    <t>xấu xí</t>
  </si>
  <si>
    <t>見苦しい態度。</t>
  </si>
  <si>
    <t>Thái độ xấu xí.</t>
  </si>
  <si>
    <t>赤らむ</t>
  </si>
  <si>
    <t>あからむ</t>
  </si>
  <si>
    <t>赤[あか]らむ</t>
  </si>
  <si>
    <t>đỏ mặt</t>
  </si>
  <si>
    <t>顔が赤らむ。</t>
  </si>
  <si>
    <t>Khuôn mặt đỏ lên.</t>
  </si>
  <si>
    <t>ブル</t>
  </si>
  <si>
    <t>ぶる</t>
  </si>
  <si>
    <t>xe ủi</t>
  </si>
  <si>
    <t>ブルで土を動かす。</t>
  </si>
  <si>
    <t>Dùng xe ủi di chuyển đất.</t>
  </si>
  <si>
    <t>漠然</t>
  </si>
  <si>
    <t>ばくぜん</t>
  </si>
  <si>
    <t>漠然[ばくぜん]</t>
  </si>
  <si>
    <t>漠然と将来を考える。</t>
  </si>
  <si>
    <t>Nghĩ về tương lai một cách mơ hồ.</t>
  </si>
  <si>
    <t>細やか</t>
  </si>
  <si>
    <t>こまやか</t>
  </si>
  <si>
    <t>細[こま]やか</t>
  </si>
  <si>
    <t>tỉ mỉ</t>
  </si>
  <si>
    <t>細やかな気配り。</t>
  </si>
  <si>
    <t>Sự chăm sóc tỉ mỉ.</t>
  </si>
  <si>
    <t>骨董品</t>
  </si>
  <si>
    <t>こっとうひん</t>
  </si>
  <si>
    <t>骨董品[こっとうひん]</t>
  </si>
  <si>
    <t>đồ cổ</t>
  </si>
  <si>
    <t>骨董品を集める。</t>
  </si>
  <si>
    <t>Sưu tầm đồ cổ.</t>
  </si>
  <si>
    <t>浸す</t>
  </si>
  <si>
    <t>ひたす</t>
  </si>
  <si>
    <t>浸[ひた]す</t>
  </si>
  <si>
    <t>ngâm</t>
  </si>
  <si>
    <t>野菜を水に浸す。</t>
  </si>
  <si>
    <t>Ngâm rau vào nước.</t>
  </si>
  <si>
    <t>陰気</t>
  </si>
  <si>
    <t>いんき</t>
  </si>
  <si>
    <t>陰気[いんき]</t>
  </si>
  <si>
    <t>u ám</t>
  </si>
  <si>
    <t>陰気な表情。</t>
  </si>
  <si>
    <t>Biểu cảm u ám.</t>
  </si>
  <si>
    <t>びり</t>
  </si>
  <si>
    <t>bét</t>
  </si>
  <si>
    <t>順位がびりだ。</t>
  </si>
  <si>
    <t>Thứ hạng bét.</t>
  </si>
  <si>
    <t>獣</t>
  </si>
  <si>
    <t>けもの</t>
  </si>
  <si>
    <t>獣[けもの]</t>
  </si>
  <si>
    <t>thú</t>
  </si>
  <si>
    <t>獣が森に住む。</t>
  </si>
  <si>
    <t>Thú sống trong rừng.</t>
  </si>
  <si>
    <t>藁</t>
  </si>
  <si>
    <t>わら</t>
  </si>
  <si>
    <t>藁[わら]</t>
  </si>
  <si>
    <t>rơm</t>
  </si>
  <si>
    <t>藁を編む。</t>
  </si>
  <si>
    <t>Tết rơm.</t>
  </si>
  <si>
    <t>ダース</t>
  </si>
  <si>
    <t>だーす</t>
  </si>
  <si>
    <t>tá</t>
  </si>
  <si>
    <t>卵を1ダース買う。</t>
  </si>
  <si>
    <t>Mua 1 tá trứng.</t>
  </si>
  <si>
    <t>弛む</t>
  </si>
  <si>
    <t>たるむ</t>
  </si>
  <si>
    <t>弛[たる]む</t>
  </si>
  <si>
    <t>lơi lỏng</t>
  </si>
  <si>
    <t>気が弛む。</t>
  </si>
  <si>
    <t>Tâm trí lơi lỏng.</t>
  </si>
  <si>
    <t>控室</t>
  </si>
  <si>
    <t>ひかえしつ</t>
  </si>
  <si>
    <t>控室[ひかえしつ]</t>
  </si>
  <si>
    <t>控室で待つ。</t>
  </si>
  <si>
    <t>Chờ ở phòng chờ.</t>
  </si>
  <si>
    <t>崇拝</t>
  </si>
  <si>
    <t>すうはい</t>
  </si>
  <si>
    <t>崇拝[すうはい]</t>
  </si>
  <si>
    <t>sùng bái</t>
  </si>
  <si>
    <t>英雄を崇拝する。</t>
  </si>
  <si>
    <t>Sùng bái anh hùng.</t>
  </si>
  <si>
    <t>手錠</t>
  </si>
  <si>
    <t>てじょう</t>
  </si>
  <si>
    <t>手錠[てじょう]</t>
  </si>
  <si>
    <t>còng tay</t>
  </si>
  <si>
    <t>手錠をかける。</t>
  </si>
  <si>
    <t>Đeo còng tay.</t>
  </si>
  <si>
    <t>改札</t>
  </si>
  <si>
    <t>かいさつ</t>
  </si>
  <si>
    <t>改札[かいさつ]</t>
  </si>
  <si>
    <t>soát vé</t>
  </si>
  <si>
    <t>改札を通る。</t>
  </si>
  <si>
    <t>Đi qua cổng soát vé.</t>
  </si>
  <si>
    <t>曲線</t>
  </si>
  <si>
    <t>きょくせん</t>
  </si>
  <si>
    <t>曲線[きょくせん]</t>
  </si>
  <si>
    <t>曲線を描く。</t>
  </si>
  <si>
    <t>Vẽ một đường cong.</t>
  </si>
  <si>
    <t>梅雨</t>
  </si>
  <si>
    <t>つゆ</t>
  </si>
  <si>
    <t>梅雨[つゆ]</t>
  </si>
  <si>
    <t>mùa mưa</t>
  </si>
  <si>
    <t>梅雨が明ける。</t>
  </si>
  <si>
    <t>Mùa mưa đã qua.</t>
  </si>
  <si>
    <t>気味</t>
  </si>
  <si>
    <t>ぎみ</t>
  </si>
  <si>
    <t>気味[ぎみ]</t>
  </si>
  <si>
    <t>風邪気味だ。</t>
  </si>
  <si>
    <t>Hơi bị cảm.</t>
  </si>
  <si>
    <t>束</t>
  </si>
  <si>
    <t>たば</t>
  </si>
  <si>
    <t>束[たば]</t>
  </si>
  <si>
    <t>bó</t>
  </si>
  <si>
    <t>花の束。</t>
  </si>
  <si>
    <t>Đó là bó hoa.</t>
  </si>
  <si>
    <t>富豪</t>
  </si>
  <si>
    <t>富豪[ふごう]</t>
  </si>
  <si>
    <t>phú ông</t>
  </si>
  <si>
    <t>彼は大富豪だ。</t>
  </si>
  <si>
    <t>Ông ấy là đại phú ông.</t>
  </si>
  <si>
    <t>年輪</t>
  </si>
  <si>
    <t>ねんりん</t>
  </si>
  <si>
    <t>年輪[ねんりん]</t>
  </si>
  <si>
    <t>vòng tuổi</t>
  </si>
  <si>
    <t>木の年輪。</t>
  </si>
  <si>
    <t>Vòng tuổi của cây.</t>
  </si>
  <si>
    <t>手芸</t>
  </si>
  <si>
    <t>しゅげい</t>
  </si>
  <si>
    <t>手芸[しゅげい]</t>
  </si>
  <si>
    <t>手芸を楽しむ。</t>
  </si>
  <si>
    <t>Vui với việc làm thủ công.</t>
  </si>
  <si>
    <t>整数</t>
  </si>
  <si>
    <t>せいすう</t>
  </si>
  <si>
    <t>整数[せいすう]</t>
  </si>
  <si>
    <t>số nguyên</t>
  </si>
  <si>
    <t>整数を足す。</t>
  </si>
  <si>
    <t>Cộng các số nguyên.</t>
  </si>
  <si>
    <t>止す</t>
  </si>
  <si>
    <t>よす</t>
  </si>
  <si>
    <t>止[よ]す</t>
  </si>
  <si>
    <t>それを止す。</t>
  </si>
  <si>
    <t>Dừng việc đó lại.</t>
  </si>
  <si>
    <t>書物</t>
  </si>
  <si>
    <t>しょもつ</t>
  </si>
  <si>
    <t>書物[しょもつ]</t>
  </si>
  <si>
    <t>書物を探す。</t>
  </si>
  <si>
    <t>Tìm kiếm sách.</t>
  </si>
  <si>
    <t>枯れる</t>
  </si>
  <si>
    <t>かれる</t>
  </si>
  <si>
    <t>枯[か]れる</t>
  </si>
  <si>
    <t>草が枯れる。</t>
  </si>
  <si>
    <t>Cỏ bị héo.</t>
  </si>
  <si>
    <t>果して</t>
  </si>
  <si>
    <t>はたして</t>
  </si>
  <si>
    <t>果[はた]して</t>
  </si>
  <si>
    <t>果して本当だ。</t>
  </si>
  <si>
    <t>Quả nhiên là thật.</t>
  </si>
  <si>
    <t>明け方</t>
  </si>
  <si>
    <t>あけがた</t>
  </si>
  <si>
    <t>明[あ]け方[がた]</t>
  </si>
  <si>
    <t>rạng đông</t>
  </si>
  <si>
    <t>明け方に帰る。</t>
  </si>
  <si>
    <t>Về lúc rạng đông.</t>
  </si>
  <si>
    <t>殻</t>
  </si>
  <si>
    <t>から</t>
  </si>
  <si>
    <t>殻[から]</t>
  </si>
  <si>
    <t>vỏ</t>
  </si>
  <si>
    <t>卵の殻。</t>
  </si>
  <si>
    <t>Vỏ trứng.</t>
  </si>
  <si>
    <t>掛け算</t>
  </si>
  <si>
    <t>かけざん</t>
  </si>
  <si>
    <t>掛[か]け算[ざん]</t>
  </si>
  <si>
    <t>phép nhân</t>
  </si>
  <si>
    <t>掛け算を習う。</t>
  </si>
  <si>
    <t>Học phép nhân.</t>
  </si>
  <si>
    <t>梅</t>
  </si>
  <si>
    <t>うめ</t>
  </si>
  <si>
    <t>梅[うめ]</t>
  </si>
  <si>
    <t>cây mơ</t>
  </si>
  <si>
    <t>梅の花。</t>
  </si>
  <si>
    <t>Hoa mơ.</t>
  </si>
  <si>
    <t>尊ぶ</t>
  </si>
  <si>
    <t>とうとぶ</t>
  </si>
  <si>
    <t>尊[とうと]ぶ</t>
  </si>
  <si>
    <t>伝統を尊ぶ。</t>
  </si>
  <si>
    <t>斑</t>
  </si>
  <si>
    <t>まだら</t>
  </si>
  <si>
    <t>斑[まだら]</t>
  </si>
  <si>
    <t>vết đốm</t>
  </si>
  <si>
    <t>斑のある猫。</t>
  </si>
  <si>
    <t>Con mèo có vết đốm.</t>
  </si>
  <si>
    <t>感無量</t>
  </si>
  <si>
    <t>かんむりょう</t>
  </si>
  <si>
    <t>感無量[かんむりょう]</t>
  </si>
  <si>
    <t>vô cùng cảm động</t>
  </si>
  <si>
    <t>感無量です。</t>
  </si>
  <si>
    <t>Tôi vô cùng cảm động.</t>
  </si>
  <si>
    <t>情深い</t>
  </si>
  <si>
    <t>なさけぶかい</t>
  </si>
  <si>
    <t>情深[なさけぶか]い</t>
  </si>
  <si>
    <t>giàu tình cảm</t>
  </si>
  <si>
    <t>情深い人。</t>
  </si>
  <si>
    <t>旧知</t>
  </si>
  <si>
    <t>きゅうち</t>
  </si>
  <si>
    <t>旧知[きゅうち]</t>
  </si>
  <si>
    <t>người quen cũ</t>
  </si>
  <si>
    <t>旧知の仲。</t>
  </si>
  <si>
    <t>Mối quan hệ người quen cũ.</t>
  </si>
  <si>
    <t>未開</t>
  </si>
  <si>
    <t>みかい</t>
  </si>
  <si>
    <t>未開[みかい]</t>
  </si>
  <si>
    <t>chưa khai phá</t>
  </si>
  <si>
    <t>未開の地。</t>
  </si>
  <si>
    <t>Vùng đất chưa khai phá.</t>
  </si>
  <si>
    <t>帰京</t>
  </si>
  <si>
    <t>ききょう</t>
  </si>
  <si>
    <t>帰京[ききょう]</t>
  </si>
  <si>
    <t>trở về tokyo</t>
  </si>
  <si>
    <t>来週帰京する。</t>
  </si>
  <si>
    <t>Tuần sau trở về Tokyo.</t>
  </si>
  <si>
    <t>月並</t>
  </si>
  <si>
    <t>つきなみ</t>
  </si>
  <si>
    <t>月並[つきなみ]</t>
  </si>
  <si>
    <t>月並な感想。</t>
  </si>
  <si>
    <t>Cảm nghĩ thông thường.</t>
  </si>
  <si>
    <t>当て字</t>
  </si>
  <si>
    <t>あてじ</t>
  </si>
  <si>
    <t>当[あ]て字[じ]</t>
  </si>
  <si>
    <t>chữ mượn âm</t>
  </si>
  <si>
    <t>漢字の当て字。</t>
  </si>
  <si>
    <t>Chữ Kanji mượn âm.</t>
  </si>
  <si>
    <t>映写</t>
  </si>
  <si>
    <t>えいしゃ</t>
  </si>
  <si>
    <t>映写[えいしゃ]</t>
  </si>
  <si>
    <t>chiếu phim</t>
  </si>
  <si>
    <t>映画を映写する。</t>
  </si>
  <si>
    <t>Chiếu bộ phim.</t>
  </si>
  <si>
    <t>手分け</t>
  </si>
  <si>
    <t>てわけ</t>
  </si>
  <si>
    <t>手分[てわ]け</t>
  </si>
  <si>
    <t>phân công</t>
  </si>
  <si>
    <t>作業を手分けする。</t>
  </si>
  <si>
    <t>Phân công công việc.</t>
  </si>
  <si>
    <t>改悪</t>
  </si>
  <si>
    <t>かいあく</t>
  </si>
  <si>
    <t>改悪[かいあく]</t>
  </si>
  <si>
    <t>làm tệ đi</t>
  </si>
  <si>
    <t>制度を改悪する。</t>
  </si>
  <si>
    <t>Làm tệ đi chế độ.</t>
  </si>
  <si>
    <t>家来</t>
  </si>
  <si>
    <t>けらい</t>
  </si>
  <si>
    <t>家来[けらい]</t>
  </si>
  <si>
    <t>gia thần</t>
  </si>
  <si>
    <t>王様に仕える家来。</t>
  </si>
  <si>
    <t>Gia thần phục vụ nhà vua.</t>
  </si>
  <si>
    <t>山腹</t>
  </si>
  <si>
    <t>さんぷく</t>
  </si>
  <si>
    <t>山腹[さんぷく]</t>
  </si>
  <si>
    <t>山腹にある村。</t>
  </si>
  <si>
    <t>Ngôi làng nằm trên sườn núi.</t>
  </si>
  <si>
    <t>惚ける</t>
  </si>
  <si>
    <t>ぼける</t>
  </si>
  <si>
    <t>惚[ぼ]ける</t>
  </si>
  <si>
    <t>老いて惚ける。</t>
  </si>
  <si>
    <t>Già rồi trở nên ngẩn ngơ.</t>
  </si>
  <si>
    <t>手筈</t>
  </si>
  <si>
    <t>てはず</t>
  </si>
  <si>
    <t>手筈[てはず]</t>
  </si>
  <si>
    <t>các bước</t>
  </si>
  <si>
    <t>計画の手筈。</t>
  </si>
  <si>
    <t>Các bước của kế hoạch.</t>
  </si>
  <si>
    <t>拝啓</t>
  </si>
  <si>
    <t>拝啓[はいけい]</t>
  </si>
  <si>
    <t>手紙に拝啓と書く。</t>
  </si>
  <si>
    <t>Viết kính gửi trong thư.</t>
  </si>
  <si>
    <t>文語</t>
  </si>
  <si>
    <t>ぶんご</t>
  </si>
  <si>
    <t>文語[ぶんご]</t>
  </si>
  <si>
    <t>văn viết</t>
  </si>
  <si>
    <t>文語体で書く。</t>
  </si>
  <si>
    <t>Viết bằng thể văn viết.</t>
  </si>
  <si>
    <t>憤慨</t>
  </si>
  <si>
    <t>ふんがい</t>
  </si>
  <si>
    <t>憤慨[ふんがい]</t>
  </si>
  <si>
    <t>phẫn nộ</t>
  </si>
  <si>
    <t>不公平に憤慨する。</t>
  </si>
  <si>
    <t>Phẫn nộ vì bất công.</t>
  </si>
  <si>
    <t>持ち切り</t>
  </si>
  <si>
    <t>もちきり</t>
  </si>
  <si>
    <t>持[も]ち切[き]り</t>
  </si>
  <si>
    <t>bàn tán</t>
  </si>
  <si>
    <t>噂が持ち切りだ。</t>
  </si>
  <si>
    <t>Tin đồn đang được bàn tán sôi nổi.</t>
  </si>
  <si>
    <t>月謝</t>
  </si>
  <si>
    <t>げっしゃ</t>
  </si>
  <si>
    <t>月謝[げっしゃ]</t>
  </si>
  <si>
    <t>học phí</t>
  </si>
  <si>
    <t>月謝を払う。</t>
  </si>
  <si>
    <t>Trả học phí.</t>
  </si>
  <si>
    <t>抜かす</t>
  </si>
  <si>
    <t>ぬかす</t>
  </si>
  <si>
    <t>抜[ぬ]かす</t>
  </si>
  <si>
    <t>名前を抜かす。</t>
  </si>
  <si>
    <t>Bỏ sót tên.</t>
  </si>
  <si>
    <t>幾多</t>
  </si>
  <si>
    <t>いくた</t>
  </si>
  <si>
    <t>幾多[いくた]</t>
  </si>
  <si>
    <t>幾多の困難を乗り越える。</t>
  </si>
  <si>
    <t>Vượt qua nhiều khó khăn.</t>
  </si>
  <si>
    <t>捩れる</t>
  </si>
  <si>
    <t>ねじれる</t>
  </si>
  <si>
    <t>捩[ねじ]れる</t>
  </si>
  <si>
    <t>xoắn</t>
  </si>
  <si>
    <t>ロープが捩れる。</t>
  </si>
  <si>
    <t>Sợi dây bị xoắn.</t>
  </si>
  <si>
    <t>暗算</t>
  </si>
  <si>
    <t>あんざん</t>
  </si>
  <si>
    <t>暗算[あんざん]</t>
  </si>
  <si>
    <t>nhẩm</t>
  </si>
  <si>
    <t>暗算をする。</t>
  </si>
  <si>
    <t>Làm phép tính nhẩm.</t>
  </si>
  <si>
    <t>方言</t>
  </si>
  <si>
    <t>ほうげん</t>
  </si>
  <si>
    <t>方言[ほうげん]</t>
  </si>
  <si>
    <t>phương ngữ</t>
  </si>
  <si>
    <t>方言が話せる。</t>
  </si>
  <si>
    <t>Tôi có thể nói phương ngữ.</t>
  </si>
  <si>
    <t>毎度</t>
  </si>
  <si>
    <t>まいど</t>
  </si>
  <si>
    <t>毎度[まいど]</t>
  </si>
  <si>
    <t>mỗi lần</t>
  </si>
  <si>
    <t>毎度ありがとうございます。</t>
  </si>
  <si>
    <t>Xin cảm ơn quý khách.</t>
  </si>
  <si>
    <t>有機</t>
  </si>
  <si>
    <t>有機[ゆうき]</t>
  </si>
  <si>
    <t>hữu cơ</t>
  </si>
  <si>
    <t>有機の野菜。</t>
  </si>
  <si>
    <t>Đó là rau hữu cơ.</t>
  </si>
  <si>
    <t>歓声</t>
  </si>
  <si>
    <t>歓声[かんせい]</t>
  </si>
  <si>
    <t>tiếng reo hò</t>
  </si>
  <si>
    <t>歓声を上げる。</t>
  </si>
  <si>
    <t>Reo hò lên.</t>
  </si>
  <si>
    <t>撫でる</t>
  </si>
  <si>
    <t>なでる</t>
  </si>
  <si>
    <t>撫[な]でる</t>
  </si>
  <si>
    <t>xoa</t>
  </si>
  <si>
    <t>頭を撫でる。</t>
  </si>
  <si>
    <t>Xoa đầu.</t>
  </si>
  <si>
    <t>さ来年</t>
  </si>
  <si>
    <t>さらいねん</t>
  </si>
  <si>
    <t>さ来年[らいねん]</t>
  </si>
  <si>
    <t>さ来年に結婚する。</t>
  </si>
  <si>
    <t>Năm kia kết hôn.</t>
  </si>
  <si>
    <t>附属</t>
  </si>
  <si>
    <t>ふぞく</t>
  </si>
  <si>
    <t>附属[ふぞく]</t>
  </si>
  <si>
    <t>病院の附属施設を利用する。</t>
  </si>
  <si>
    <t>Sử dụng cơ sở vật chất trực thuộc bệnh viện.</t>
  </si>
  <si>
    <t>青少年</t>
  </si>
  <si>
    <t>せいしょうねん</t>
  </si>
  <si>
    <t>青少年[せいしょうねん]</t>
  </si>
  <si>
    <t>thanh thiếu niên</t>
  </si>
  <si>
    <t>青少年の育成を考える。</t>
  </si>
  <si>
    <t>Suy nghĩ về việc giáo dục thanh thiếu niên.</t>
  </si>
  <si>
    <t>隔てる</t>
  </si>
  <si>
    <t>へだてる</t>
  </si>
  <si>
    <t>隔[へだ]てる</t>
  </si>
  <si>
    <t>ngăn cách</t>
  </si>
  <si>
    <t>二つの部屋を壁で隔てる。</t>
  </si>
  <si>
    <t>Ngăn cách hai căn phòng bằng bức tường.</t>
  </si>
  <si>
    <t>食卓</t>
  </si>
  <si>
    <t>しょくたく</t>
  </si>
  <si>
    <t>食卓[しょくたく]</t>
  </si>
  <si>
    <t>bàn ăn</t>
  </si>
  <si>
    <t>食卓を囲む。</t>
  </si>
  <si>
    <t>Quây quần quanh bàn ăn.</t>
  </si>
  <si>
    <t>食料品</t>
  </si>
  <si>
    <t>しょくりょうひん</t>
  </si>
  <si>
    <t>食料品[しょくりょうひん]</t>
  </si>
  <si>
    <t>スーパーで食料品を買う。</t>
  </si>
  <si>
    <t>Mua thực phẩm tại siêu thị.</t>
  </si>
  <si>
    <t>何々</t>
  </si>
  <si>
    <t>なになに</t>
  </si>
  <si>
    <t>何々[なになに]</t>
  </si>
  <si>
    <t>何々が必要だ。</t>
  </si>
  <si>
    <t>Cái này cái kia đều cần thiết.</t>
  </si>
  <si>
    <t>私用</t>
  </si>
  <si>
    <t>私用[しよう]</t>
  </si>
  <si>
    <t>việc riêng</t>
  </si>
  <si>
    <t>私用で外出した。</t>
  </si>
  <si>
    <t>Ra ngoài vì việc riêng.</t>
  </si>
  <si>
    <t>苦心</t>
  </si>
  <si>
    <t>くしん</t>
  </si>
  <si>
    <t>苦心[くしん]</t>
  </si>
  <si>
    <t>苦心して完成する。</t>
  </si>
  <si>
    <t>Bỏ công phu để hoàn thành.</t>
  </si>
  <si>
    <t>高層</t>
  </si>
  <si>
    <t>高層[こうそう]</t>
  </si>
  <si>
    <t>cao tầng</t>
  </si>
  <si>
    <t>高層ビルが並ぶ。</t>
  </si>
  <si>
    <t>Các tòa nhà cao tầng xếp hàng.</t>
  </si>
  <si>
    <t>噴水</t>
  </si>
  <si>
    <t>ふんすい</t>
  </si>
  <si>
    <t>噴水[ふんすい]</t>
  </si>
  <si>
    <t>đài phun nước</t>
  </si>
  <si>
    <t>噴水が上がる。</t>
  </si>
  <si>
    <t>Đài phun nước đang hoạt động.</t>
  </si>
  <si>
    <t>伝染</t>
  </si>
  <si>
    <t>でんせん</t>
  </si>
  <si>
    <t>伝染[でんせん]</t>
  </si>
  <si>
    <t>truyền nhiễm</t>
  </si>
  <si>
    <t>伝染を防ぐ。</t>
  </si>
  <si>
    <t>Phòng tránh truyền nhiễm.</t>
  </si>
  <si>
    <t>洗剤</t>
  </si>
  <si>
    <t>せんざい</t>
  </si>
  <si>
    <t>洗剤[せんざい]</t>
  </si>
  <si>
    <t>chất tẩy rửa</t>
  </si>
  <si>
    <t>洗剤を使って皿を洗う。</t>
  </si>
  <si>
    <t>Dùng chất tẩy rửa để rửa đĩa.</t>
  </si>
  <si>
    <t>餅</t>
  </si>
  <si>
    <t>もち</t>
  </si>
  <si>
    <t>餅[もち]</t>
  </si>
  <si>
    <t>bánh dày</t>
  </si>
  <si>
    <t>正月に餅を食べる。</t>
  </si>
  <si>
    <t>Ăn bánh dày vào ngày Tết.</t>
  </si>
  <si>
    <t>生長</t>
  </si>
  <si>
    <t>生長[せいちょう]</t>
  </si>
  <si>
    <t>sinh trưởng</t>
  </si>
  <si>
    <t>植物の生長。</t>
  </si>
  <si>
    <t>Sự sinh trưởng của thực vật.</t>
  </si>
  <si>
    <t>薬指</t>
  </si>
  <si>
    <t>くすりゆび</t>
  </si>
  <si>
    <t>薬指[くすりゆび]</t>
  </si>
  <si>
    <t>ngón áp út</t>
  </si>
  <si>
    <t>指輪を薬指にはめる。</t>
  </si>
  <si>
    <t>Đeo nhẫn vào ngón áp út.</t>
  </si>
  <si>
    <t>伯父さん</t>
  </si>
  <si>
    <t>伯父[おじ]さん</t>
  </si>
  <si>
    <t>伯父さんと話す。</t>
  </si>
  <si>
    <t>Nói chuyện với bác trai.</t>
  </si>
  <si>
    <t>溶け込む</t>
  </si>
  <si>
    <t>とけこむ</t>
  </si>
  <si>
    <t>溶[と]け込[こ]む</t>
  </si>
  <si>
    <t>hòa nhập</t>
  </si>
  <si>
    <t>新しい環境に溶け込む。</t>
  </si>
  <si>
    <t>Hòa nhập vào môi trường mới.</t>
  </si>
  <si>
    <t>騒音</t>
  </si>
  <si>
    <t>そうおん</t>
  </si>
  <si>
    <t>騒音[そうおん]</t>
  </si>
  <si>
    <t>tiếng ồn</t>
  </si>
  <si>
    <t>工場の騒音がひどい。</t>
  </si>
  <si>
    <t>Tiếng ồn nhà máy rất tệ.</t>
  </si>
  <si>
    <t>元日</t>
  </si>
  <si>
    <t>がんじつ</t>
  </si>
  <si>
    <t>元日[がんじつ]</t>
  </si>
  <si>
    <t>ngày đầu năm</t>
  </si>
  <si>
    <t>元日を祝う。</t>
  </si>
  <si>
    <t>Chúc mừng ngày đầu năm.</t>
  </si>
  <si>
    <t>混合</t>
  </si>
  <si>
    <t>こんごう</t>
  </si>
  <si>
    <t>混合[こんごう]</t>
  </si>
  <si>
    <t>hỗn hợp</t>
  </si>
  <si>
    <t>二つの液体を混合する。</t>
  </si>
  <si>
    <t>Hỗn hợp hai loại chất lỏng.</t>
  </si>
  <si>
    <t>騒がしい</t>
  </si>
  <si>
    <t>さわがしい</t>
  </si>
  <si>
    <t>騒[さわ]がしい</t>
  </si>
  <si>
    <t>静かな場所が騒がしい。</t>
  </si>
  <si>
    <t>Nơi yên tĩnh trở nên ồn ào.</t>
  </si>
  <si>
    <t>脱線</t>
  </si>
  <si>
    <t>だっせん</t>
  </si>
  <si>
    <t>脱線[だっせん]</t>
  </si>
  <si>
    <t>trật đường ray</t>
  </si>
  <si>
    <t>列車が脱線する。</t>
  </si>
  <si>
    <t>Tàu hỏa bị trật đường ray.</t>
  </si>
  <si>
    <t>始終</t>
  </si>
  <si>
    <t>しじゅう</t>
  </si>
  <si>
    <t>始終[しじゅう]</t>
  </si>
  <si>
    <t>始終考えている。</t>
  </si>
  <si>
    <t>Suy nghĩ thường xuyên.</t>
  </si>
  <si>
    <t>吹雪</t>
  </si>
  <si>
    <t>ふぶき</t>
  </si>
  <si>
    <t>吹雪[ふぶき]</t>
  </si>
  <si>
    <t>bão tuyết</t>
  </si>
  <si>
    <t>吹雪の中を歩く。</t>
  </si>
  <si>
    <t>Đi bộ trong bão tuyết.</t>
  </si>
  <si>
    <t>索引</t>
  </si>
  <si>
    <t>さくいん</t>
  </si>
  <si>
    <t>索引[さくいん]</t>
  </si>
  <si>
    <t>mục lục</t>
  </si>
  <si>
    <t>索引で調べる。</t>
  </si>
  <si>
    <t>Tra cứu bằng mục lục.</t>
  </si>
  <si>
    <t>包装</t>
  </si>
  <si>
    <t>包装[ほうそう]</t>
  </si>
  <si>
    <t>bao bì</t>
  </si>
  <si>
    <t>商品を包装する。</t>
  </si>
  <si>
    <t>Đóng bao bì sản phẩm.</t>
  </si>
  <si>
    <t>温暖</t>
  </si>
  <si>
    <t>おんだん</t>
  </si>
  <si>
    <t>温暖[おんだん]</t>
  </si>
  <si>
    <t>温暖な気候の地域。</t>
  </si>
  <si>
    <t>Khu vực có khí hậu ấm áp.</t>
  </si>
  <si>
    <t>厳重</t>
  </si>
  <si>
    <t>げんじゅう</t>
  </si>
  <si>
    <t>厳重[げんじゅう]</t>
  </si>
  <si>
    <t>厳重に管理する。</t>
  </si>
  <si>
    <t>Quản lý nghiêm ngặt.</t>
  </si>
  <si>
    <t>講堂</t>
  </si>
  <si>
    <t>講堂[こうどう]</t>
  </si>
  <si>
    <t>giảng đường</t>
  </si>
  <si>
    <t>講堂に集まる。</t>
  </si>
  <si>
    <t>Tập trung ở giảng đường.</t>
  </si>
  <si>
    <t>酸性</t>
  </si>
  <si>
    <t>酸性[さんせい]</t>
  </si>
  <si>
    <t>tính axit</t>
  </si>
  <si>
    <t>酸性の液体だ。</t>
  </si>
  <si>
    <t>Chất lỏng tính axit.</t>
  </si>
  <si>
    <t>功績</t>
  </si>
  <si>
    <t>こうせき</t>
  </si>
  <si>
    <t>功績[こうせき]</t>
  </si>
  <si>
    <t>công lao</t>
  </si>
  <si>
    <t>功績を称える。</t>
  </si>
  <si>
    <t>Tán dương công lao.</t>
  </si>
  <si>
    <t>しゃっくり</t>
  </si>
  <si>
    <t>nấc</t>
  </si>
  <si>
    <t>しゃっくりが止まらない。</t>
  </si>
  <si>
    <t>Bị nấc không ngừng.</t>
  </si>
  <si>
    <t>ヨット</t>
  </si>
  <si>
    <t>よっと</t>
  </si>
  <si>
    <t>thuyền buồm</t>
  </si>
  <si>
    <t>ヨットで走る。</t>
  </si>
  <si>
    <t>Chạy bằng thuyền buồm.</t>
  </si>
  <si>
    <t>地下水</t>
  </si>
  <si>
    <t>ちかすい</t>
  </si>
  <si>
    <t>地下水[ちかすい]</t>
  </si>
  <si>
    <t>nước ngầm</t>
  </si>
  <si>
    <t>地下水を利用する。</t>
  </si>
  <si>
    <t>Sử dụng nước ngầm.</t>
  </si>
  <si>
    <t>正午</t>
  </si>
  <si>
    <t>しょうご</t>
  </si>
  <si>
    <t>正午[しょうご]</t>
  </si>
  <si>
    <t>正午に会う。</t>
  </si>
  <si>
    <t>Gặp vào buổi trưa.</t>
  </si>
  <si>
    <t>地質</t>
  </si>
  <si>
    <t>ちしつ</t>
  </si>
  <si>
    <t>地質[ちしつ]</t>
  </si>
  <si>
    <t>địa chất</t>
  </si>
  <si>
    <t>地質を調査する。</t>
  </si>
  <si>
    <t>Điều tra địa chất.</t>
  </si>
  <si>
    <t>手拭い</t>
  </si>
  <si>
    <t>てぬぐい</t>
  </si>
  <si>
    <t>手拭[てぬぐ]い</t>
  </si>
  <si>
    <t>手拭いで顔を拭く。</t>
  </si>
  <si>
    <t>Lau mặt bằng khăn tay.</t>
  </si>
  <si>
    <t>昼寝</t>
  </si>
  <si>
    <t>ひるね</t>
  </si>
  <si>
    <t>昼寝[ひるね]</t>
  </si>
  <si>
    <t>ngủ trưa</t>
  </si>
  <si>
    <t>昼寝をする。</t>
  </si>
  <si>
    <t>Chợp mắt ngủ trưa.</t>
  </si>
  <si>
    <t>活力</t>
  </si>
  <si>
    <t>かつりょく</t>
  </si>
  <si>
    <t>活力[かつりょく]</t>
  </si>
  <si>
    <t>sức sống</t>
  </si>
  <si>
    <t>若者は活力がある。</t>
  </si>
  <si>
    <t>Người trẻ có sức sống.</t>
  </si>
  <si>
    <t>作製</t>
  </si>
  <si>
    <t>作製[さくせい]</t>
  </si>
  <si>
    <t>部品を作製する。</t>
  </si>
  <si>
    <t>Chế tạo linh kiện.</t>
  </si>
  <si>
    <t>墨</t>
  </si>
  <si>
    <t>墨[すみ]</t>
  </si>
  <si>
    <t>mực tàu</t>
  </si>
  <si>
    <t>墨で書く。</t>
  </si>
  <si>
    <t>Viết bằng mực tàu.</t>
  </si>
  <si>
    <t>粗筋</t>
  </si>
  <si>
    <t>あらすじ</t>
  </si>
  <si>
    <t>粗筋[あらすじ]</t>
  </si>
  <si>
    <t>映画の粗筋を聞く。</t>
  </si>
  <si>
    <t>Nghe tóm tắt phim.</t>
  </si>
  <si>
    <t>諺</t>
  </si>
  <si>
    <t>ことわざ</t>
  </si>
  <si>
    <t>諺[ことわざ]</t>
  </si>
  <si>
    <t>tục ngữ</t>
  </si>
  <si>
    <t>諺を引用する。</t>
  </si>
  <si>
    <t>Trích dẫn câu tục ngữ.</t>
  </si>
  <si>
    <t>便所</t>
  </si>
  <si>
    <t>べんじょ</t>
  </si>
  <si>
    <t>便所[べんじょ]</t>
  </si>
  <si>
    <t>便所を借りる。</t>
  </si>
  <si>
    <t>Mượn nhà vệ sinh.</t>
  </si>
  <si>
    <t>空っぽ</t>
  </si>
  <si>
    <t>からっぽ</t>
  </si>
  <si>
    <t>空[から]っぽ</t>
  </si>
  <si>
    <t>箱が空っぽだ。</t>
  </si>
  <si>
    <t>Chiếc hộp trống rỗng.</t>
  </si>
  <si>
    <t>内科</t>
  </si>
  <si>
    <t>ないか</t>
  </si>
  <si>
    <t>内科[ないか]</t>
  </si>
  <si>
    <t>khoa nội</t>
  </si>
  <si>
    <t>内科を受診する。</t>
  </si>
  <si>
    <t>Đi khám khoa nội.</t>
  </si>
  <si>
    <t>定規</t>
  </si>
  <si>
    <t>じょうぎ</t>
  </si>
  <si>
    <t>定規[じょうぎ]</t>
  </si>
  <si>
    <t>thước kẻ</t>
  </si>
  <si>
    <t>定規で測る。</t>
  </si>
  <si>
    <t>Đo bằng thước kẻ.</t>
  </si>
  <si>
    <t>独身</t>
  </si>
  <si>
    <t>どくしん</t>
  </si>
  <si>
    <t>独身[どくしん]</t>
  </si>
  <si>
    <t>độc thân</t>
  </si>
  <si>
    <t>今は独身です。</t>
  </si>
  <si>
    <t>Bây giờ tôi độc thân.</t>
  </si>
  <si>
    <t>片寄る</t>
  </si>
  <si>
    <t>かたよる</t>
  </si>
  <si>
    <t>片寄[かたよ]る</t>
  </si>
  <si>
    <t>意見が片寄る。</t>
  </si>
  <si>
    <t>Ý kiến bị thiên lệch.</t>
  </si>
  <si>
    <t>個体</t>
  </si>
  <si>
    <t>こたい</t>
  </si>
  <si>
    <t>個体[こたい]</t>
  </si>
  <si>
    <t>cá thể</t>
  </si>
  <si>
    <t>個体を識別する。</t>
  </si>
  <si>
    <t>Nhận diện cá thể.</t>
  </si>
  <si>
    <t>再三</t>
  </si>
  <si>
    <t>再三[さいさん]</t>
  </si>
  <si>
    <t>再三注意する。</t>
  </si>
  <si>
    <t>Chú ý nhiều lần.</t>
  </si>
  <si>
    <t>落第</t>
  </si>
  <si>
    <t>らくだい</t>
  </si>
  <si>
    <t>落第[らくだい]</t>
  </si>
  <si>
    <t>試験に落第する。</t>
  </si>
  <si>
    <t>Bị trượt kỳ thi.</t>
  </si>
  <si>
    <t>班</t>
  </si>
  <si>
    <t>班[はん]</t>
  </si>
  <si>
    <t>班で活動する。</t>
  </si>
  <si>
    <t>Hoạt động theo nhóm.</t>
  </si>
  <si>
    <t>刀</t>
  </si>
  <si>
    <t>かたな</t>
  </si>
  <si>
    <t>刀[かたな]</t>
  </si>
  <si>
    <t>thanh kiếm</t>
  </si>
  <si>
    <t>刀を抜く。</t>
  </si>
  <si>
    <t>Rút thanh kiếm.</t>
  </si>
  <si>
    <t>まごまご</t>
  </si>
  <si>
    <t>lúng túng</t>
  </si>
  <si>
    <t>まごまごする。</t>
  </si>
  <si>
    <t>Cảm thấy lúng túng.</t>
  </si>
  <si>
    <t>習字</t>
  </si>
  <si>
    <t>しゅうじ</t>
  </si>
  <si>
    <t>習字[しゅうじ]</t>
  </si>
  <si>
    <t>viết chữ</t>
  </si>
  <si>
    <t>習字をする。</t>
  </si>
  <si>
    <t>Luyện viết chữ.</t>
  </si>
  <si>
    <t>利害</t>
  </si>
  <si>
    <t>りがい</t>
  </si>
  <si>
    <t>利害[りがい]</t>
  </si>
  <si>
    <t>lợi hại</t>
  </si>
  <si>
    <t>利害を一致する。</t>
  </si>
  <si>
    <t>Lợi ích thống nhất.</t>
  </si>
  <si>
    <t>夜行</t>
  </si>
  <si>
    <t>やこう</t>
  </si>
  <si>
    <t>夜行[やこう]</t>
  </si>
  <si>
    <t>đi đêm</t>
  </si>
  <si>
    <t>夜行バスに乗る。</t>
  </si>
  <si>
    <t>Đi xe buýt đêm.</t>
  </si>
  <si>
    <t>あぶる</t>
  </si>
  <si>
    <t>hơ</t>
  </si>
  <si>
    <t>ストーブで手をあぶる。</t>
  </si>
  <si>
    <t>Hơ tay trên bếp lò.</t>
  </si>
  <si>
    <t>車掌</t>
  </si>
  <si>
    <t>しゃしょう</t>
  </si>
  <si>
    <t>車掌[しゃしょう]</t>
  </si>
  <si>
    <t>nhân viên tàu</t>
  </si>
  <si>
    <t>車掌を呼ぶ。</t>
  </si>
  <si>
    <t>Gọi nhân viên tàu.</t>
  </si>
  <si>
    <t>医院</t>
  </si>
  <si>
    <t>医院[いいん]</t>
  </si>
  <si>
    <t>phòng khám</t>
  </si>
  <si>
    <t>医院を開く。</t>
  </si>
  <si>
    <t>Mở phòng khám.</t>
  </si>
  <si>
    <t>満員</t>
  </si>
  <si>
    <t>まんいん</t>
  </si>
  <si>
    <t>満員[まんいん]</t>
  </si>
  <si>
    <t>đầy người</t>
  </si>
  <si>
    <t>バスが満員だ。</t>
  </si>
  <si>
    <t>Xe buýt đầy người.</t>
  </si>
  <si>
    <t>熟語</t>
  </si>
  <si>
    <t>じゅくご</t>
  </si>
  <si>
    <t>熟語[じゅくご]</t>
  </si>
  <si>
    <t>thành ngữ</t>
  </si>
  <si>
    <t>熟語を覚える。</t>
  </si>
  <si>
    <t>Ghi nhớ thành ngữ.</t>
  </si>
  <si>
    <t>酔っ払い</t>
  </si>
  <si>
    <t>よっぱらい</t>
  </si>
  <si>
    <t>酔[よ]っ払[ぱら]い</t>
  </si>
  <si>
    <t>người say</t>
  </si>
  <si>
    <t>酔っ払いを助ける。</t>
  </si>
  <si>
    <t>Giúp đỡ người say.</t>
  </si>
  <si>
    <t>光線</t>
  </si>
  <si>
    <t>こうせん</t>
  </si>
  <si>
    <t>光線[こうせん]</t>
  </si>
  <si>
    <t>tia sáng</t>
  </si>
  <si>
    <t>光線を防ぐ。</t>
  </si>
  <si>
    <t>Chặn tia sáng.</t>
  </si>
  <si>
    <t>言付ける</t>
  </si>
  <si>
    <t>ことづける</t>
  </si>
  <si>
    <t>言付[ことづ]ける</t>
  </si>
  <si>
    <t>nhắn gửi</t>
  </si>
  <si>
    <t>伝言を言付ける。</t>
  </si>
  <si>
    <t>Nhắn gửi tin nhắn.</t>
  </si>
  <si>
    <t>火山</t>
  </si>
  <si>
    <t>かざん</t>
  </si>
  <si>
    <t>火山[かざん]</t>
  </si>
  <si>
    <t>núi lửa</t>
  </si>
  <si>
    <t>活動的な火山。</t>
  </si>
  <si>
    <t>Núi lửa đang hoạt động.</t>
  </si>
  <si>
    <t>果実</t>
  </si>
  <si>
    <t>かじつ</t>
  </si>
  <si>
    <t>果実[かじつ]</t>
  </si>
  <si>
    <t>quả</t>
  </si>
  <si>
    <t>果実を採る。</t>
  </si>
  <si>
    <t>Thu hoạch quả.</t>
  </si>
  <si>
    <t>雷</t>
  </si>
  <si>
    <t>かみなり</t>
  </si>
  <si>
    <t>雷[かみなり]</t>
  </si>
  <si>
    <t>sấm</t>
  </si>
  <si>
    <t>雷が鳴っている。</t>
  </si>
  <si>
    <t>Sấm đang vang lên.</t>
  </si>
  <si>
    <t>御無沙汰</t>
  </si>
  <si>
    <t>ごぶさた</t>
  </si>
  <si>
    <t>御無沙汰[ごぶさた]</t>
  </si>
  <si>
    <t>lâu không gặp</t>
  </si>
  <si>
    <t>ご無沙汰しています。</t>
  </si>
  <si>
    <t>Đã lâu không gặp.</t>
  </si>
  <si>
    <t>貸家</t>
  </si>
  <si>
    <t>かしや</t>
  </si>
  <si>
    <t>貸家[かしや]</t>
  </si>
  <si>
    <t>nhà cho thuê</t>
  </si>
  <si>
    <t>貸家を探す。</t>
  </si>
  <si>
    <t>Tìm nhà cho thuê.</t>
  </si>
  <si>
    <t>送り仮名</t>
  </si>
  <si>
    <t>おくりがな</t>
  </si>
  <si>
    <t>送[おく]り仮名[がな]</t>
  </si>
  <si>
    <t>kana đi kèm</t>
  </si>
  <si>
    <t>送り仮名を書く。</t>
  </si>
  <si>
    <t>Viết kana đi kèm.</t>
  </si>
  <si>
    <t>肘</t>
  </si>
  <si>
    <t>ひじ</t>
  </si>
  <si>
    <t>肘[ひじ]</t>
  </si>
  <si>
    <t>khuỷu tay</t>
  </si>
  <si>
    <t>肘をぶつける。</t>
  </si>
  <si>
    <t>Va khuỷu tay.</t>
  </si>
  <si>
    <t>襖</t>
  </si>
  <si>
    <t>ふすま</t>
  </si>
  <si>
    <t>襖[ふすま]</t>
  </si>
  <si>
    <t>cửa trượt</t>
  </si>
  <si>
    <t>襖を開ける。</t>
  </si>
  <si>
    <t>Mở cửa trượt.</t>
  </si>
  <si>
    <t>滅多に</t>
  </si>
  <si>
    <t>めったに</t>
  </si>
  <si>
    <t>滅多[めった]に</t>
  </si>
  <si>
    <t>hiếm khi</t>
  </si>
  <si>
    <t>滅多に会わない。</t>
  </si>
  <si>
    <t>Hiếm khi gặp mặt.</t>
  </si>
  <si>
    <t>胡椒</t>
  </si>
  <si>
    <t>胡椒[こしょう]</t>
  </si>
  <si>
    <t>hạt tiêu</t>
  </si>
  <si>
    <t>胡椒をかける。</t>
  </si>
  <si>
    <t>Rắc hạt tiêu.</t>
  </si>
  <si>
    <t>公害</t>
  </si>
  <si>
    <t>公害[こうがい]</t>
  </si>
  <si>
    <t>公害を減らす。</t>
  </si>
  <si>
    <t>Giảm ô nhiễm.</t>
  </si>
  <si>
    <t>沸かす</t>
  </si>
  <si>
    <t>わかす</t>
  </si>
  <si>
    <t>沸[わ]かす</t>
  </si>
  <si>
    <t>đun sôi</t>
  </si>
  <si>
    <t>お湯を沸かす。</t>
  </si>
  <si>
    <t>Đun sôi nước.</t>
  </si>
  <si>
    <t>真理</t>
  </si>
  <si>
    <t>真理[しんり]</t>
  </si>
  <si>
    <t>chân lý</t>
  </si>
  <si>
    <t>真理を探求する。</t>
  </si>
  <si>
    <t>Tìm kiếm chân lý.</t>
  </si>
  <si>
    <t>熱中</t>
  </si>
  <si>
    <t>ねっちゅう</t>
  </si>
  <si>
    <t>熱中[ねっちゅう]</t>
  </si>
  <si>
    <t>ゲームに熱中する。</t>
  </si>
  <si>
    <t>Say mê chơi game.</t>
  </si>
  <si>
    <t>包丁</t>
  </si>
  <si>
    <t>ほうちょう</t>
  </si>
  <si>
    <t>包丁[ほうちょう]</t>
  </si>
  <si>
    <t>包丁で切る。</t>
  </si>
  <si>
    <t>泥</t>
  </si>
  <si>
    <t>どろ</t>
  </si>
  <si>
    <t>泥[どろ]</t>
  </si>
  <si>
    <t>bùn</t>
  </si>
  <si>
    <t>靴が泥で汚れた。</t>
  </si>
  <si>
    <t>Giày bị dính bùn.</t>
  </si>
  <si>
    <t>絹</t>
  </si>
  <si>
    <t>きぬ</t>
  </si>
  <si>
    <t>絹[きぬ]</t>
  </si>
  <si>
    <t>lụa</t>
  </si>
  <si>
    <t>絹の服。</t>
  </si>
  <si>
    <t>Quần áo bằng lụa.</t>
  </si>
  <si>
    <t>刷る</t>
  </si>
  <si>
    <t>刷[す]る</t>
  </si>
  <si>
    <t>in</t>
  </si>
  <si>
    <t>本を刷る。</t>
  </si>
  <si>
    <t>In cuốn sách.</t>
  </si>
  <si>
    <t>傑作</t>
  </si>
  <si>
    <t>けっさく</t>
  </si>
  <si>
    <t>傑作[けっさく]</t>
  </si>
  <si>
    <t>kiệt tác</t>
  </si>
  <si>
    <t>傑作を描く。</t>
  </si>
  <si>
    <t>Vẽ kiệt tác.</t>
  </si>
  <si>
    <t>家主</t>
  </si>
  <si>
    <t>やぬし</t>
  </si>
  <si>
    <t>家主[やぬし]</t>
  </si>
  <si>
    <t>家主に会う。</t>
  </si>
  <si>
    <t>Gặp chủ nhà.</t>
  </si>
  <si>
    <t>漁師</t>
  </si>
  <si>
    <t>りょうし</t>
  </si>
  <si>
    <t>漁師[りょうし]</t>
  </si>
  <si>
    <t>ngư dân</t>
  </si>
  <si>
    <t>漁師が海に出る。</t>
  </si>
  <si>
    <t>Ngư dân ra biển.</t>
  </si>
  <si>
    <t>濡らす</t>
  </si>
  <si>
    <t>ぬらす</t>
  </si>
  <si>
    <t>濡[ぬ]らす</t>
  </si>
  <si>
    <t>làm ướt</t>
  </si>
  <si>
    <t>服を濡らす。</t>
  </si>
  <si>
    <t>Làm ướt quần áo.</t>
  </si>
  <si>
    <t>皮肉</t>
  </si>
  <si>
    <t>ひにく</t>
  </si>
  <si>
    <t>皮肉[ひにく]</t>
  </si>
  <si>
    <t>mỉa mai</t>
  </si>
  <si>
    <t>皮肉を言う。</t>
  </si>
  <si>
    <t>Nói lời mỉa mai.</t>
  </si>
  <si>
    <t>艶</t>
  </si>
  <si>
    <t>つや</t>
  </si>
  <si>
    <t>艶[つや]</t>
  </si>
  <si>
    <t>髪の艶。</t>
  </si>
  <si>
    <t>Độ bóng của tóc.</t>
  </si>
  <si>
    <t>食器</t>
  </si>
  <si>
    <t>しょっき</t>
  </si>
  <si>
    <t>食器[しょっき]</t>
  </si>
  <si>
    <t>bát đĩa</t>
  </si>
  <si>
    <t>食器を洗う。</t>
  </si>
  <si>
    <t>Rửa bát đĩa.</t>
  </si>
  <si>
    <t>鶏肉</t>
  </si>
  <si>
    <t>とりにく</t>
  </si>
  <si>
    <t>鶏肉[とりにく]</t>
  </si>
  <si>
    <t>thịt gà</t>
  </si>
  <si>
    <t>鶏肉を料理する。</t>
  </si>
  <si>
    <t>Nấu thịt gà.</t>
  </si>
  <si>
    <t>四つ角</t>
  </si>
  <si>
    <t>よつかど</t>
  </si>
  <si>
    <t>四[よ]つ角[かど]</t>
  </si>
  <si>
    <t>四つ角を曲がる。</t>
  </si>
  <si>
    <t>Rẽ ở ngã tư.</t>
  </si>
  <si>
    <t>寝巻</t>
  </si>
  <si>
    <t>ねまき</t>
  </si>
  <si>
    <t>寝巻[ねまき]</t>
  </si>
  <si>
    <t>寝巻に着替える。</t>
  </si>
  <si>
    <t>塩辛い</t>
  </si>
  <si>
    <t>しおからい</t>
  </si>
  <si>
    <t>塩辛[しおから]い</t>
  </si>
  <si>
    <t>mặn</t>
  </si>
  <si>
    <t>このスープは塩辛い。</t>
  </si>
  <si>
    <t>Món súp này mặn.</t>
  </si>
  <si>
    <t>公衆</t>
  </si>
  <si>
    <t>公衆[こうしゅう]</t>
  </si>
  <si>
    <t>công chúng</t>
  </si>
  <si>
    <t>公衆の場。</t>
  </si>
  <si>
    <t>Nơi công chúng.</t>
  </si>
  <si>
    <t>オルガン</t>
  </si>
  <si>
    <t>おるがん</t>
  </si>
  <si>
    <t>đàn organ</t>
  </si>
  <si>
    <t>オルガンを弾く。</t>
  </si>
  <si>
    <t>Chơi đàn organ.</t>
  </si>
  <si>
    <t>開通</t>
  </si>
  <si>
    <t>かいつう</t>
  </si>
  <si>
    <t>開通[かいつう]</t>
  </si>
  <si>
    <t>thông xe</t>
  </si>
  <si>
    <t>道路が開通する。</t>
  </si>
  <si>
    <t>Đường thông xe.</t>
  </si>
  <si>
    <t>番地</t>
  </si>
  <si>
    <t>ばんち</t>
  </si>
  <si>
    <t>番地[ばんち]</t>
  </si>
  <si>
    <t>住所の番地。</t>
  </si>
  <si>
    <t>Số địa chỉ nhà.</t>
  </si>
  <si>
    <t>経度</t>
  </si>
  <si>
    <t>けいど</t>
  </si>
  <si>
    <t>経度[けいど]</t>
  </si>
  <si>
    <t>kinh độ</t>
  </si>
  <si>
    <t>経度を測る。</t>
  </si>
  <si>
    <t>Đo kinh độ.</t>
  </si>
  <si>
    <t>水着</t>
  </si>
  <si>
    <t>みずぎ</t>
  </si>
  <si>
    <t>水着[みずぎ]</t>
  </si>
  <si>
    <t>đồ bơi</t>
  </si>
  <si>
    <t>水着を買う。</t>
  </si>
  <si>
    <t>Mua đồ bơi.</t>
  </si>
  <si>
    <t>肌着</t>
  </si>
  <si>
    <t>はだぎ</t>
  </si>
  <si>
    <t>肌着[はだぎ]</t>
  </si>
  <si>
    <t>áo lót</t>
  </si>
  <si>
    <t>肌着を着る。</t>
  </si>
  <si>
    <t>Mặc áo lót.</t>
  </si>
  <si>
    <t>裁縫</t>
  </si>
  <si>
    <t>さいほう</t>
  </si>
  <si>
    <t>裁縫[さいほう]</t>
  </si>
  <si>
    <t>may vá</t>
  </si>
  <si>
    <t>裁縫を習う。</t>
  </si>
  <si>
    <t>Học may vá.</t>
  </si>
  <si>
    <t>反る</t>
  </si>
  <si>
    <t>そる</t>
  </si>
  <si>
    <t>反[そ]る</t>
  </si>
  <si>
    <t>cong</t>
  </si>
  <si>
    <t>板が反る。</t>
  </si>
  <si>
    <t>Tấm gỗ bị cong.</t>
  </si>
  <si>
    <t>鉢</t>
  </si>
  <si>
    <t>鉢[はち]</t>
  </si>
  <si>
    <t>chậu</t>
  </si>
  <si>
    <t>鉢に植える。</t>
  </si>
  <si>
    <t>Trồng vào chậu.</t>
  </si>
  <si>
    <t>出迎え</t>
  </si>
  <si>
    <t>でむかえ</t>
  </si>
  <si>
    <t>出迎[でむか]え</t>
  </si>
  <si>
    <t>駅で出迎え。</t>
  </si>
  <si>
    <t>Đón tại ga.</t>
  </si>
  <si>
    <t>消毒</t>
  </si>
  <si>
    <t>しょうどく</t>
  </si>
  <si>
    <t>消毒[しょうどく]</t>
  </si>
  <si>
    <t>khử trùng</t>
  </si>
  <si>
    <t>手を消毒する。</t>
  </si>
  <si>
    <t>Khử trùng tay.</t>
  </si>
  <si>
    <t>発車</t>
  </si>
  <si>
    <t>はっしゃ</t>
  </si>
  <si>
    <t>発車[はっしゃ]</t>
  </si>
  <si>
    <t>電車が発車する。</t>
  </si>
  <si>
    <t>Tàu xuất phát.</t>
  </si>
  <si>
    <t>初級</t>
  </si>
  <si>
    <t>しょきゅう</t>
  </si>
  <si>
    <t>初級[しょきゅう]</t>
  </si>
  <si>
    <t>sơ cấp</t>
  </si>
  <si>
    <t>初級のレベル。</t>
  </si>
  <si>
    <t>Cấp độ sơ cấp.</t>
  </si>
  <si>
    <t>狩り</t>
  </si>
  <si>
    <t>狩[か]り</t>
  </si>
  <si>
    <t>đi săn</t>
  </si>
  <si>
    <t>紅葉狩りに行く。</t>
  </si>
  <si>
    <t>Đi ngắm lá đỏ.</t>
  </si>
  <si>
    <t>セメント</t>
  </si>
  <si>
    <t>せめんと</t>
  </si>
  <si>
    <t>xi măng</t>
  </si>
  <si>
    <t>セメントを混ぜる。</t>
  </si>
  <si>
    <t>Trộn xi măng.</t>
  </si>
  <si>
    <t>緯度</t>
  </si>
  <si>
    <t>緯度[いど]</t>
  </si>
  <si>
    <t>vĩ độ</t>
  </si>
  <si>
    <t>緯度を測る。</t>
  </si>
  <si>
    <t>Đo vĩ độ.</t>
  </si>
  <si>
    <t>蒔く</t>
  </si>
  <si>
    <t>蒔[ま]く</t>
  </si>
  <si>
    <t>gieo</t>
  </si>
  <si>
    <t>種を蒔く。</t>
  </si>
  <si>
    <t>Gieo hạt.</t>
  </si>
  <si>
    <t>ペンチ</t>
  </si>
  <si>
    <t>ぺんち</t>
  </si>
  <si>
    <t>kìm</t>
  </si>
  <si>
    <t>ペンチで切る。</t>
  </si>
  <si>
    <t>Cắt bằng kìm.</t>
  </si>
  <si>
    <t>縞</t>
  </si>
  <si>
    <t>縞[しま]</t>
  </si>
  <si>
    <t>sọc</t>
  </si>
  <si>
    <t>縞のシャツ。</t>
  </si>
  <si>
    <t>Áo sơ mi sọc.</t>
  </si>
  <si>
    <t>足袋</t>
  </si>
  <si>
    <t>足袋[たび]</t>
  </si>
  <si>
    <t>tất tabi</t>
  </si>
  <si>
    <t>足袋を履く。</t>
  </si>
  <si>
    <t>Đi tất tabi.</t>
  </si>
  <si>
    <t>碁</t>
  </si>
  <si>
    <t>碁[ご]</t>
  </si>
  <si>
    <t>cờ vây</t>
  </si>
  <si>
    <t>碁を打つ。</t>
  </si>
  <si>
    <t>Chơi cờ vây.</t>
  </si>
  <si>
    <t>鈴</t>
  </si>
  <si>
    <t>すず</t>
  </si>
  <si>
    <t>鈴[すず]</t>
  </si>
  <si>
    <t>鈴を鳴らす。</t>
  </si>
  <si>
    <t>Rung chuông.</t>
  </si>
  <si>
    <t>塵</t>
  </si>
  <si>
    <t>塵[ちり]</t>
  </si>
  <si>
    <t>塵を集める。</t>
  </si>
  <si>
    <t>Gom bụi.</t>
  </si>
  <si>
    <t>下駄</t>
  </si>
  <si>
    <t>げた</t>
  </si>
  <si>
    <t>下駄[げた]</t>
  </si>
  <si>
    <t>guốc gỗ</t>
  </si>
  <si>
    <t>下駄をはく。</t>
  </si>
  <si>
    <t>Đi guốc gỗ.</t>
  </si>
  <si>
    <t>自習</t>
  </si>
  <si>
    <t>じしゅう</t>
  </si>
  <si>
    <t>自習[じしゅう]</t>
  </si>
  <si>
    <t>tự học</t>
  </si>
  <si>
    <t>自習をする。</t>
  </si>
  <si>
    <t>Tự học.</t>
  </si>
  <si>
    <t>花嫁</t>
  </si>
  <si>
    <t>はなよめ</t>
  </si>
  <si>
    <t>花嫁[はなよめ]</t>
  </si>
  <si>
    <t>cô dâu</t>
  </si>
  <si>
    <t>綺麗な花嫁。</t>
  </si>
  <si>
    <t>Cô dâu đẹp.</t>
  </si>
  <si>
    <t>ブローチ</t>
  </si>
  <si>
    <t>ぶろーち</t>
  </si>
  <si>
    <t>trâm cài áo</t>
  </si>
  <si>
    <t>ブローチをつける。</t>
  </si>
  <si>
    <t>Cài trâm.</t>
  </si>
  <si>
    <t>丘陵</t>
  </si>
  <si>
    <t>丘陵[きゅうりょう]</t>
  </si>
  <si>
    <t>vùng đồi</t>
  </si>
  <si>
    <t>丘陵地帯。</t>
  </si>
  <si>
    <t>Vùng đồi.</t>
  </si>
  <si>
    <t>炊く</t>
  </si>
  <si>
    <t>炊[た]く</t>
  </si>
  <si>
    <t>nấu</t>
  </si>
  <si>
    <t>ご飯を炊く。</t>
  </si>
  <si>
    <t>特派</t>
  </si>
  <si>
    <t>とくは</t>
  </si>
  <si>
    <t>特派[とくは]</t>
  </si>
  <si>
    <t>sự phái cử đặc biệt</t>
  </si>
  <si>
    <t>特派員を送る。</t>
  </si>
  <si>
    <t>Phái cử phóng viên đặc biệt.</t>
  </si>
  <si>
    <t>社宅</t>
  </si>
  <si>
    <t>しゃたく</t>
  </si>
  <si>
    <t>社宅[しゃたく]</t>
  </si>
  <si>
    <t>nhà tập thể công ty</t>
  </si>
  <si>
    <t>社宅に住む。</t>
  </si>
  <si>
    <t>Sống trong nhà tập thể công ty.</t>
  </si>
  <si>
    <t>洒落る</t>
  </si>
  <si>
    <t>しゃれる</t>
  </si>
  <si>
    <t>洒落[しゃれ]る</t>
  </si>
  <si>
    <t>ăn diện</t>
  </si>
  <si>
    <t>洒落たレストラン。</t>
  </si>
  <si>
    <t>Nhà hàng ăn diện.</t>
  </si>
  <si>
    <t>還暦</t>
  </si>
  <si>
    <t>かんれき</t>
  </si>
  <si>
    <t>還暦[かんれき]</t>
  </si>
  <si>
    <t>lễ mừng 60 tuổi</t>
  </si>
  <si>
    <t>還暦を迎える。</t>
  </si>
  <si>
    <t>Đón lễ mừng 60 tuổi.</t>
  </si>
  <si>
    <t>気まぐれ</t>
  </si>
  <si>
    <t>きまぐれ</t>
  </si>
  <si>
    <t>気[き]まぐれ</t>
  </si>
  <si>
    <t>sự thất thường</t>
  </si>
  <si>
    <t>気まぐれな天気に困る。</t>
  </si>
  <si>
    <t>Gặp khó khăn với thời tiết thất thường.</t>
  </si>
  <si>
    <t>水気</t>
  </si>
  <si>
    <t>みずけ</t>
  </si>
  <si>
    <t>水気[みずけ]</t>
  </si>
  <si>
    <t>壁の水気を取る。</t>
  </si>
  <si>
    <t>Lau sạch độ ẩm trên tường.</t>
  </si>
  <si>
    <t>雨具</t>
  </si>
  <si>
    <t>あまぐ</t>
  </si>
  <si>
    <t>雨具[あまぐ]</t>
  </si>
  <si>
    <t>dụng cụ đi mưa</t>
  </si>
  <si>
    <t>雨具を用意する。</t>
  </si>
  <si>
    <t>Chuẩn bị dụng cụ đi mưa.</t>
  </si>
  <si>
    <t>産休</t>
  </si>
  <si>
    <t>さんきゅう</t>
  </si>
  <si>
    <t>産休[さんきゅう]</t>
  </si>
  <si>
    <t>nghỉ thai sản</t>
  </si>
  <si>
    <t>産休を取る。</t>
  </si>
  <si>
    <t>Nghỉ thai sản.</t>
  </si>
  <si>
    <t>纏まり</t>
  </si>
  <si>
    <t>まとまり</t>
  </si>
  <si>
    <t>纏[まと]まり</t>
  </si>
  <si>
    <t>sự thống nhất</t>
  </si>
  <si>
    <t>話に纏まりがある。</t>
  </si>
  <si>
    <t>Câu chuyện có sự thống nhất.</t>
  </si>
  <si>
    <t>雛祭</t>
  </si>
  <si>
    <t>ひなまつり</t>
  </si>
  <si>
    <t>雛祭[ひなまつり]</t>
  </si>
  <si>
    <t>lễ hội búp bê</t>
  </si>
  <si>
    <t>雛祭を祝う。</t>
  </si>
  <si>
    <t>Chúc mừng lễ hội búp bê.</t>
  </si>
  <si>
    <t>倹約</t>
  </si>
  <si>
    <t>けんやく</t>
  </si>
  <si>
    <t>倹約[けんやく]</t>
  </si>
  <si>
    <t>生活費を倹約する。</t>
  </si>
  <si>
    <t>Tiết kiệm chi phí sinh hoạt.</t>
  </si>
  <si>
    <t>案の定</t>
  </si>
  <si>
    <t>あんのじょう</t>
  </si>
  <si>
    <t>案[あん]の定[じょう]</t>
  </si>
  <si>
    <t>quả nhiên là</t>
  </si>
  <si>
    <t>案の定雨が降った。</t>
  </si>
  <si>
    <t>Quả nhiên là trời đã đổ mưa.</t>
  </si>
  <si>
    <t>発病</t>
  </si>
  <si>
    <t>はつびょう</t>
  </si>
  <si>
    <t>発病[はつびょう]</t>
  </si>
  <si>
    <t>sự phát bệnh</t>
  </si>
  <si>
    <t>インフルエンザが発病する。</t>
  </si>
  <si>
    <t>Phát bệnh cúm.</t>
  </si>
  <si>
    <t>窒息</t>
  </si>
  <si>
    <t>ちっそく</t>
  </si>
  <si>
    <t>窒息[ちっそく]</t>
  </si>
  <si>
    <t>sự nghẹt thở</t>
  </si>
  <si>
    <t>煙で窒息する。</t>
  </si>
  <si>
    <t>Nghẹt thở vì khói.</t>
  </si>
  <si>
    <t>ちやほや</t>
  </si>
  <si>
    <t>nuông chiều</t>
  </si>
  <si>
    <t>子供をちやほやする。</t>
  </si>
  <si>
    <t>Nuông chiều đứa trẻ.</t>
  </si>
  <si>
    <t>塵取り</t>
  </si>
  <si>
    <t>ちりとり</t>
  </si>
  <si>
    <t>塵取[ち]り</t>
  </si>
  <si>
    <t>cái hốt rác</t>
  </si>
  <si>
    <t>塵取りで掃除する。</t>
  </si>
  <si>
    <t>Dọn dẹp bằng cái hốt rác.</t>
  </si>
  <si>
    <t>根気</t>
  </si>
  <si>
    <t>こんき</t>
  </si>
  <si>
    <t>根気[こんき]</t>
  </si>
  <si>
    <t>sự kiên trì</t>
  </si>
  <si>
    <t>根気強く作業を続ける。</t>
  </si>
  <si>
    <t>Tiếp tục công việc một cách kiên trì.</t>
  </si>
  <si>
    <t>極楽</t>
  </si>
  <si>
    <t>ごくらく</t>
  </si>
  <si>
    <t>極楽[ごくらく]</t>
  </si>
  <si>
    <t>極楽のような場所。</t>
  </si>
  <si>
    <t>Một nơi tựa như thiên đường.</t>
  </si>
  <si>
    <t>浪費</t>
  </si>
  <si>
    <t>ろうひ</t>
  </si>
  <si>
    <t>浪費[ろうひ]</t>
  </si>
  <si>
    <t>時間を浪費する。</t>
  </si>
  <si>
    <t>白状</t>
  </si>
  <si>
    <t>はくじょう</t>
  </si>
  <si>
    <t>白状[はくじょう]</t>
  </si>
  <si>
    <t>sự thú nhận</t>
  </si>
  <si>
    <t>罪を白状する。</t>
  </si>
  <si>
    <t>Thú nhận tội lỗi.</t>
  </si>
  <si>
    <t>瞬き</t>
  </si>
  <si>
    <t>まばたき</t>
  </si>
  <si>
    <t>瞬[まばた]き</t>
  </si>
  <si>
    <t>sự chớp mắt</t>
  </si>
  <si>
    <t>瞬きをする。</t>
  </si>
  <si>
    <t>Chớp mắt.</t>
  </si>
  <si>
    <t>禁物</t>
  </si>
  <si>
    <t>きんもつ</t>
  </si>
  <si>
    <t>禁物[きんもつ]</t>
  </si>
  <si>
    <t>điều cấm kỵ</t>
  </si>
  <si>
    <t>無理は禁物だ。</t>
  </si>
  <si>
    <t>Cố quá là điều cấm kỵ.</t>
  </si>
  <si>
    <t>立て替える</t>
  </si>
  <si>
    <t>たてかえる</t>
  </si>
  <si>
    <t>立[た]て替[か]える</t>
  </si>
  <si>
    <t>trả tiền hộ</t>
  </si>
  <si>
    <t>代金を立て替える。</t>
  </si>
  <si>
    <t>Trả tiền hộ.</t>
  </si>
  <si>
    <t>茶の間</t>
  </si>
  <si>
    <t>ちゃのま</t>
  </si>
  <si>
    <t>茶[ちゃ]の間[ま]</t>
  </si>
  <si>
    <t>茶の間でくつろぐ。</t>
  </si>
  <si>
    <t>講読</t>
  </si>
  <si>
    <t>講読[こうどく]</t>
  </si>
  <si>
    <t>sự đọc hiểu</t>
  </si>
  <si>
    <t>英文を講読する。</t>
  </si>
  <si>
    <t>Đọc hiểu tiếng Anh.</t>
  </si>
  <si>
    <t>躾</t>
  </si>
  <si>
    <t>しつけ</t>
  </si>
  <si>
    <t>躾[しつけ]</t>
  </si>
  <si>
    <t>sự giáo dục</t>
  </si>
  <si>
    <t>躾が厳しい。</t>
  </si>
  <si>
    <t>Giáo dục nghiêm khắc.</t>
  </si>
  <si>
    <t>郷愁</t>
  </si>
  <si>
    <t>郷愁[きょうしゅう]</t>
  </si>
  <si>
    <t>nỗi nhớ quê</t>
  </si>
  <si>
    <t>郷愁を感じる。</t>
  </si>
  <si>
    <t>Cảm thấy nỗi nhớ quê.</t>
  </si>
  <si>
    <t>清らか</t>
  </si>
  <si>
    <t>きよらか</t>
  </si>
  <si>
    <t>清[きよ]らか</t>
  </si>
  <si>
    <t>清らかな水が流れる。</t>
  </si>
  <si>
    <t>Dòng nước trong sáng chảy qua.</t>
  </si>
  <si>
    <t>煩わしい</t>
  </si>
  <si>
    <t>わずらわしい</t>
  </si>
  <si>
    <t>煩[わずら]わしい</t>
  </si>
  <si>
    <t>煩わしい手続き。</t>
  </si>
  <si>
    <t>Thủ tục phiền phức.</t>
  </si>
  <si>
    <t>立方</t>
  </si>
  <si>
    <t>立方[りっぽう]</t>
  </si>
  <si>
    <t>lập phương</t>
  </si>
  <si>
    <t>立方体を組み立てる。</t>
  </si>
  <si>
    <t>Lắp ráp hình lập phương.</t>
  </si>
  <si>
    <t>見計らう</t>
  </si>
  <si>
    <t>みはからう</t>
  </si>
  <si>
    <t>見計[みはか]らう</t>
  </si>
  <si>
    <t>canh chừng</t>
  </si>
  <si>
    <t>時間を見計らう。</t>
  </si>
  <si>
    <t>Canh chừng thời gian.</t>
  </si>
  <si>
    <t>かさばる</t>
  </si>
  <si>
    <t>cồng kềnh</t>
  </si>
  <si>
    <t>荷物がかさばる。</t>
  </si>
  <si>
    <t>Hành lý cồng kềnh.</t>
  </si>
  <si>
    <t>ストロボ</t>
  </si>
  <si>
    <t>すとろぼ</t>
  </si>
  <si>
    <t>đèn flash</t>
  </si>
  <si>
    <t>ストロボを使って撮る。</t>
  </si>
  <si>
    <t>Chụp ảnh bằng đèn flash.</t>
  </si>
  <si>
    <t>殿様</t>
  </si>
  <si>
    <t>とのさま</t>
  </si>
  <si>
    <t>殿様[とのさま]</t>
  </si>
  <si>
    <t>lãnh chúa</t>
  </si>
  <si>
    <t>殿様が住んでいた城。</t>
  </si>
  <si>
    <t>Lâu đài nơi lãnh chúa từng sinh sống.</t>
  </si>
  <si>
    <t>畜生</t>
  </si>
  <si>
    <t>ちくしょう</t>
  </si>
  <si>
    <t>畜生[ちくしょう]</t>
  </si>
  <si>
    <t>chết tiệt</t>
  </si>
  <si>
    <t>畜生、失敗した。</t>
  </si>
  <si>
    <t>Chết tiệt, mình đã thất bại rồi.</t>
  </si>
  <si>
    <t>真心</t>
  </si>
  <si>
    <t>まごころ</t>
  </si>
  <si>
    <t>真心[まごころ]</t>
  </si>
  <si>
    <t>thành tâm</t>
  </si>
  <si>
    <t>真心込めて作る。</t>
  </si>
  <si>
    <t>Làm bằng tất cả sự thành tâm.</t>
  </si>
  <si>
    <t>真珠</t>
  </si>
  <si>
    <t>しんじゅ</t>
  </si>
  <si>
    <t>真珠[しんじゅ]</t>
  </si>
  <si>
    <t>ngọc trai</t>
  </si>
  <si>
    <t>真珠のネックレス。</t>
  </si>
  <si>
    <t>Vòng cổ ngọc trai.</t>
  </si>
  <si>
    <t>着色</t>
  </si>
  <si>
    <t>ちゃくしょく</t>
  </si>
  <si>
    <t>着色[ちゃくしょく]</t>
  </si>
  <si>
    <t>sự tô màu</t>
  </si>
  <si>
    <t>表面を着色する。</t>
  </si>
  <si>
    <t>Tô màu bề mặt.</t>
  </si>
  <si>
    <t>短気</t>
  </si>
  <si>
    <t>短気[たんき]</t>
  </si>
  <si>
    <t>nóng tính</t>
  </si>
  <si>
    <t>短気な人は嫌われる。</t>
  </si>
  <si>
    <t>Người nóng tính thì bị ghét.</t>
  </si>
  <si>
    <t>聳える</t>
  </si>
  <si>
    <t>そびえる</t>
  </si>
  <si>
    <t>聳[そび]える</t>
  </si>
  <si>
    <t>sừng sững</t>
  </si>
  <si>
    <t>ビルが聳える。</t>
  </si>
  <si>
    <t>Tòa nhà đứng sừng sững.</t>
  </si>
  <si>
    <t>自首</t>
  </si>
  <si>
    <t>自首[じしゅ]</t>
  </si>
  <si>
    <t>sự tự thú</t>
  </si>
  <si>
    <t>警察に自首する。</t>
  </si>
  <si>
    <t>Tự thú với cảnh sát.</t>
  </si>
  <si>
    <t>裸足</t>
  </si>
  <si>
    <t>はだし</t>
  </si>
  <si>
    <t>裸足[はだし]</t>
  </si>
  <si>
    <t>chân trần</t>
  </si>
  <si>
    <t>裸足で歩く。</t>
  </si>
  <si>
    <t>Đi chân trần.</t>
  </si>
  <si>
    <t>貫禄</t>
  </si>
  <si>
    <t>かんろく</t>
  </si>
  <si>
    <t>貫禄[かんろく]</t>
  </si>
  <si>
    <t>uy nghiêm</t>
  </si>
  <si>
    <t>貫禄がある。</t>
  </si>
  <si>
    <t>Có uy nghiêm.</t>
  </si>
  <si>
    <t>賜る</t>
  </si>
  <si>
    <t>たまわる</t>
  </si>
  <si>
    <t>賜[たまわ]る</t>
  </si>
  <si>
    <t>nhận được</t>
  </si>
  <si>
    <t>賞を賜る。</t>
  </si>
  <si>
    <t>Nhận được giải thưởng.</t>
  </si>
  <si>
    <t>身の上</t>
  </si>
  <si>
    <t>みのうえ</t>
  </si>
  <si>
    <t>身[み]の上[うえ]</t>
  </si>
  <si>
    <t>身の上を話す。</t>
  </si>
  <si>
    <t>Kể về hoàn cảnh.</t>
  </si>
  <si>
    <t>閉口</t>
  </si>
  <si>
    <t>閉口[へいこう]</t>
  </si>
  <si>
    <t>sự bó tay</t>
  </si>
  <si>
    <t>無礼な人に閉口する。</t>
  </si>
  <si>
    <t>Bó tay với người vô lễ.</t>
  </si>
  <si>
    <t>隔週</t>
  </si>
  <si>
    <t>かくしゅう</t>
  </si>
  <si>
    <t>隔週[かくしゅう]</t>
  </si>
  <si>
    <t>cách tuần</t>
  </si>
  <si>
    <t>隔週で発行する。</t>
  </si>
  <si>
    <t>Phát hành cách tuần.</t>
  </si>
  <si>
    <t>きらびやか</t>
  </si>
  <si>
    <t>きらびやかな衣装。</t>
  </si>
  <si>
    <t>モーテル</t>
  </si>
  <si>
    <t>もーてる</t>
  </si>
  <si>
    <t>nhà nghỉ</t>
  </si>
  <si>
    <t>モーテルに泊まる。</t>
  </si>
  <si>
    <t>Trọ tại nhà nghỉ.</t>
  </si>
  <si>
    <t>世辞</t>
  </si>
  <si>
    <t>せじ</t>
  </si>
  <si>
    <t>世辞[せじ]</t>
  </si>
  <si>
    <t>nịnh nọt</t>
  </si>
  <si>
    <t>世辞を言う。</t>
  </si>
  <si>
    <t>Nói lời nịnh nọt.</t>
  </si>
  <si>
    <t>口吟む</t>
  </si>
  <si>
    <t>くちずさむ</t>
  </si>
  <si>
    <t>口吟[くちずさ]む</t>
  </si>
  <si>
    <t>ngâm nga</t>
  </si>
  <si>
    <t>歌を口吟む。</t>
  </si>
  <si>
    <t>Ngâm nga bài hát.</t>
  </si>
  <si>
    <t>夜具</t>
  </si>
  <si>
    <t>やぐ</t>
  </si>
  <si>
    <t>夜具[やぐ]</t>
  </si>
  <si>
    <t>chăn đệm</t>
  </si>
  <si>
    <t>夜具を干す。</t>
  </si>
  <si>
    <t>Phơi chăn đệm.</t>
  </si>
  <si>
    <t>滲む</t>
  </si>
  <si>
    <t>にじむ</t>
  </si>
  <si>
    <t>滲[にじ]む</t>
  </si>
  <si>
    <t>loang ra</t>
  </si>
  <si>
    <t>インクが紙に滲む。</t>
  </si>
  <si>
    <t>Mực loang ra giấy.</t>
  </si>
  <si>
    <t>漏る</t>
  </si>
  <si>
    <t>漏[も]る</t>
  </si>
  <si>
    <t>屋根が漏る。</t>
  </si>
  <si>
    <t>Mái nhà bị dột.</t>
  </si>
  <si>
    <t>無邪気</t>
  </si>
  <si>
    <t>むじゃき</t>
  </si>
  <si>
    <t>無邪気[むじゃき]</t>
  </si>
  <si>
    <t>ngây thơ</t>
  </si>
  <si>
    <t>無邪気な笑顔。</t>
  </si>
  <si>
    <t>Nụ cười ngây thơ.</t>
  </si>
  <si>
    <t>目論見</t>
  </si>
  <si>
    <t>もくろみ</t>
  </si>
  <si>
    <t>目論見[もくろみ]</t>
  </si>
  <si>
    <t>目論見が外れる。</t>
  </si>
  <si>
    <t>Kế hoạch không thành.</t>
  </si>
  <si>
    <t>眠たい</t>
  </si>
  <si>
    <t>ねむたい</t>
  </si>
  <si>
    <t>眠[ねむ]たい</t>
  </si>
  <si>
    <t>授業中に眠たい。</t>
  </si>
  <si>
    <t>Buồn ngủ trong giờ học.</t>
  </si>
  <si>
    <t>眼球</t>
  </si>
  <si>
    <t>がんきゅう</t>
  </si>
  <si>
    <t>眼球[がんきゅう]</t>
  </si>
  <si>
    <t>nhãn cầu</t>
  </si>
  <si>
    <t>眼球を動かす。</t>
  </si>
  <si>
    <t>Chuyển động nhãn cầu.</t>
  </si>
  <si>
    <t>聴診器</t>
  </si>
  <si>
    <t>ちょうしんき</t>
  </si>
  <si>
    <t>聴診器[ちょうしんき]</t>
  </si>
  <si>
    <t>医師が聴診器を使う。</t>
  </si>
  <si>
    <t>Bác sĩ dùng ống nghe.</t>
  </si>
  <si>
    <t>凶作</t>
  </si>
  <si>
    <t>きょうさく</t>
  </si>
  <si>
    <t>凶作[きょうさく]</t>
  </si>
  <si>
    <t>mất mùa</t>
  </si>
  <si>
    <t>天候不順による凶作。</t>
  </si>
  <si>
    <t>Mất mùa do thời tiết xấu.</t>
  </si>
  <si>
    <t>火花</t>
  </si>
  <si>
    <t>ひばな</t>
  </si>
  <si>
    <t>火花[ひばな]</t>
  </si>
  <si>
    <t>tia lửa</t>
  </si>
  <si>
    <t>火花が散る。</t>
  </si>
  <si>
    <t>Tia lửa văng ra.</t>
  </si>
  <si>
    <t>甚だ</t>
  </si>
  <si>
    <t>はなはだ</t>
  </si>
  <si>
    <t>甚[はなは]だ</t>
  </si>
  <si>
    <t>甚だ迷惑だ。</t>
  </si>
  <si>
    <t>Rất phiền phức.</t>
  </si>
  <si>
    <t>生計</t>
  </si>
  <si>
    <t>せいけい</t>
  </si>
  <si>
    <t>生計[せいけい]</t>
  </si>
  <si>
    <t>sinh kế</t>
  </si>
  <si>
    <t>生計を立てる。</t>
  </si>
  <si>
    <t>Kiếm sống.</t>
  </si>
  <si>
    <t>神殿</t>
  </si>
  <si>
    <t>しんでん</t>
  </si>
  <si>
    <t>神殿[しんでん]</t>
  </si>
  <si>
    <t>古代の神殿を訪れる。</t>
  </si>
  <si>
    <t>Ghé thăm đền thờ cổ đại.</t>
  </si>
  <si>
    <t>粉々</t>
  </si>
  <si>
    <t>こなごな</t>
  </si>
  <si>
    <t>粉々[こなごな]</t>
  </si>
  <si>
    <t>vụn nát</t>
  </si>
  <si>
    <t>花瓶が粉々になる。</t>
  </si>
  <si>
    <t>Cái bình hoa vỡ vụn nát.</t>
  </si>
  <si>
    <t>近眼</t>
  </si>
  <si>
    <t>きんがん</t>
  </si>
  <si>
    <t>近眼[きんがん]</t>
  </si>
  <si>
    <t>近眼の眼鏡。</t>
  </si>
  <si>
    <t>金槌</t>
  </si>
  <si>
    <t>かなづち</t>
  </si>
  <si>
    <t>金槌[かなづち]</t>
  </si>
  <si>
    <t>cái búa</t>
  </si>
  <si>
    <t>金槌で打つ。</t>
  </si>
  <si>
    <t>Đánh bằng búa.</t>
  </si>
  <si>
    <t>雑木</t>
  </si>
  <si>
    <t>ぞうき</t>
  </si>
  <si>
    <t>雑木[ぞうき]</t>
  </si>
  <si>
    <t>cây tạp</t>
  </si>
  <si>
    <t>雑木林を抜ける。</t>
  </si>
  <si>
    <t>Đi qua rừng cây tạp.</t>
  </si>
  <si>
    <t>うぬぼれ</t>
  </si>
  <si>
    <t>tự mãn</t>
  </si>
  <si>
    <t>うぬぼれが強い。</t>
  </si>
  <si>
    <t>Rất tự mãn.</t>
  </si>
  <si>
    <t>ぞんざい</t>
  </si>
  <si>
    <t>ぞんざいな扱い。</t>
  </si>
  <si>
    <t>Cách đối xử thô lỗ.</t>
  </si>
  <si>
    <t>温和</t>
  </si>
  <si>
    <t>おんわ</t>
  </si>
  <si>
    <t>温和[おんわ]</t>
  </si>
  <si>
    <t>温和な性格の人。</t>
  </si>
  <si>
    <t>Người có tính cách ôn hòa.</t>
  </si>
  <si>
    <t>潜水</t>
  </si>
  <si>
    <t>せんすい</t>
  </si>
  <si>
    <t>潜水[せんすい]</t>
  </si>
  <si>
    <t>sự lặn</t>
  </si>
  <si>
    <t>潜水して魚を見る。</t>
  </si>
  <si>
    <t>Lặn xuống để ngắm cá.</t>
  </si>
  <si>
    <t>無礼</t>
  </si>
  <si>
    <t>ぶれい</t>
  </si>
  <si>
    <t>無礼[ぶれい]</t>
  </si>
  <si>
    <t>vô lễ</t>
  </si>
  <si>
    <t>無礼な態度をとる。</t>
  </si>
  <si>
    <t>Có thái độ vô lễ.</t>
  </si>
  <si>
    <t>霞む</t>
  </si>
  <si>
    <t>かすむ</t>
  </si>
  <si>
    <t>霞[かす]む</t>
  </si>
  <si>
    <t>視界が霞む。</t>
  </si>
  <si>
    <t>Tầm nhìn bị mờ đi.</t>
  </si>
  <si>
    <t>おんぶ</t>
  </si>
  <si>
    <t>cõng</t>
  </si>
  <si>
    <t>子供をおんぶする。</t>
  </si>
  <si>
    <t>Cõng đứa trẻ.</t>
  </si>
  <si>
    <t>むしる</t>
  </si>
  <si>
    <t>草をむしる。</t>
  </si>
  <si>
    <t>研ぐ</t>
  </si>
  <si>
    <t>とぐ</t>
  </si>
  <si>
    <t>研[と]ぐ</t>
  </si>
  <si>
    <t>mài</t>
  </si>
  <si>
    <t>包丁を研ぐ。</t>
  </si>
  <si>
    <t>Mài dao.</t>
  </si>
  <si>
    <t>イェス</t>
  </si>
  <si>
    <t>いえす</t>
  </si>
  <si>
    <t>イェスと答える。</t>
  </si>
  <si>
    <t>Trả lời là có.</t>
  </si>
  <si>
    <t>杉</t>
  </si>
  <si>
    <t>すぎ</t>
  </si>
  <si>
    <t>杉[すぎ]</t>
  </si>
  <si>
    <t>cây tuyết tùng</t>
  </si>
  <si>
    <t>杉を植える。</t>
  </si>
  <si>
    <t>Trồng cây tuyết tùng.</t>
  </si>
  <si>
    <t>日の出</t>
  </si>
  <si>
    <t>ひので</t>
  </si>
  <si>
    <t>日[ひ]の出[で]</t>
  </si>
  <si>
    <t>日の出を見る。</t>
  </si>
  <si>
    <t>Ngắm bình minh.</t>
  </si>
  <si>
    <t>接ぐ</t>
  </si>
  <si>
    <t>接[つ]ぐ</t>
  </si>
  <si>
    <t>chắp nối</t>
  </si>
  <si>
    <t>枝を接ぐ。</t>
  </si>
  <si>
    <t>Ghép cành cây.</t>
  </si>
  <si>
    <t>歌謡</t>
  </si>
  <si>
    <t>歌謡[かよう]</t>
  </si>
  <si>
    <t>ca khúc</t>
  </si>
  <si>
    <t>歌謡を歌う。</t>
  </si>
  <si>
    <t>Hát ca khúc.</t>
  </si>
  <si>
    <t>毛布</t>
  </si>
  <si>
    <t>もうふ</t>
  </si>
  <si>
    <t>毛布[もうふ]</t>
  </si>
  <si>
    <t>chăn</t>
  </si>
  <si>
    <t>毛布を掛ける。</t>
  </si>
  <si>
    <t>Đắp chăn.</t>
  </si>
  <si>
    <t>徐行</t>
  </si>
  <si>
    <t>じょこう</t>
  </si>
  <si>
    <t>徐行[じょこう]</t>
  </si>
  <si>
    <t>đi chậm</t>
  </si>
  <si>
    <t>標識通り徐行する。</t>
  </si>
  <si>
    <t>Đi chậm theo biển báo.</t>
  </si>
  <si>
    <t>暗記</t>
  </si>
  <si>
    <t>あんき</t>
  </si>
  <si>
    <t>暗記[あんき]</t>
  </si>
  <si>
    <t>học thuộc lòng</t>
  </si>
  <si>
    <t>単語を暗記する。</t>
  </si>
  <si>
    <t>Học thuộc lòng từ vựng.</t>
  </si>
  <si>
    <t>植木</t>
  </si>
  <si>
    <t>うえき</t>
  </si>
  <si>
    <t>植木[うえき]</t>
  </si>
  <si>
    <t>cây cảnh</t>
  </si>
  <si>
    <t>植木に水をやる。</t>
  </si>
  <si>
    <t>Tưới nước cho cây cảnh.</t>
  </si>
  <si>
    <t>損得</t>
  </si>
  <si>
    <t>そんとく</t>
  </si>
  <si>
    <t>損得[そんとく]</t>
  </si>
  <si>
    <t>損得を考える。</t>
  </si>
  <si>
    <t>Suy tính thiệt hơn.</t>
  </si>
  <si>
    <t>架空</t>
  </si>
  <si>
    <t>かくう</t>
  </si>
  <si>
    <t>架空[かくう]</t>
  </si>
  <si>
    <t>架空の人物。</t>
  </si>
  <si>
    <t>Nhân vật hư cấu.</t>
  </si>
  <si>
    <t>残らず</t>
  </si>
  <si>
    <t>のこらず</t>
  </si>
  <si>
    <t>残[のこ]らず</t>
  </si>
  <si>
    <t>残らず食べる。</t>
  </si>
  <si>
    <t>Ăn hết sạch.</t>
  </si>
  <si>
    <t>専修</t>
  </si>
  <si>
    <t>専修[せんしゅう]</t>
  </si>
  <si>
    <t>chuyên tu</t>
  </si>
  <si>
    <t>専修学校に通う。</t>
  </si>
  <si>
    <t>Đi học trường chuyên tu.</t>
  </si>
  <si>
    <t>恥じらう</t>
  </si>
  <si>
    <t>はじらう</t>
  </si>
  <si>
    <t>恥[は]じらう</t>
  </si>
  <si>
    <t>e thẹn</t>
  </si>
  <si>
    <t>恥じらう態度。</t>
  </si>
  <si>
    <t>Thái độ e thẹn.</t>
  </si>
  <si>
    <t>散らかす</t>
  </si>
  <si>
    <t>ちらかす</t>
  </si>
  <si>
    <t>散[ち]らかす</t>
  </si>
  <si>
    <t>làm bừa</t>
  </si>
  <si>
    <t>部屋を散らかす。</t>
  </si>
  <si>
    <t>Làm bừa bộn căn phòng.</t>
  </si>
  <si>
    <t>日当たり</t>
  </si>
  <si>
    <t>ひあたり</t>
  </si>
  <si>
    <t>日当[ひあ]たり</t>
  </si>
  <si>
    <t>hướng nắng</t>
  </si>
  <si>
    <t>日当たりが良い。</t>
  </si>
  <si>
    <t>Chỗ này hướng nắng tốt.</t>
  </si>
  <si>
    <t>気圧</t>
  </si>
  <si>
    <t>きあつ</t>
  </si>
  <si>
    <t>気圧[きあつ]</t>
  </si>
  <si>
    <t>khí áp</t>
  </si>
  <si>
    <t>気圧が下がる。</t>
  </si>
  <si>
    <t>Khí áp giảm xuống.</t>
  </si>
  <si>
    <t>材木</t>
  </si>
  <si>
    <t>ざいもく</t>
  </si>
  <si>
    <t>材木[ざいもく]</t>
  </si>
  <si>
    <t>材木を運ぶ。</t>
  </si>
  <si>
    <t>Vận chuyển gỗ.</t>
  </si>
  <si>
    <t>機関車</t>
  </si>
  <si>
    <t>きかんしゃ</t>
  </si>
  <si>
    <t>機関車[きかんしゃ]</t>
  </si>
  <si>
    <t>đầu tàu</t>
  </si>
  <si>
    <t>機関車を引く。</t>
  </si>
  <si>
    <t>Kéo đầu tàu.</t>
  </si>
  <si>
    <t>方角</t>
  </si>
  <si>
    <t>方角[ほうがく]</t>
  </si>
  <si>
    <t>方角を調べる。</t>
  </si>
  <si>
    <t>Kiểm tra phương hướng.</t>
  </si>
  <si>
    <t>桁</t>
  </si>
  <si>
    <t>けた</t>
  </si>
  <si>
    <t>桁[けた]</t>
  </si>
  <si>
    <t>桁を合わせる。</t>
  </si>
  <si>
    <t>Căn chỉnh các hàng số.</t>
  </si>
  <si>
    <t>放れる</t>
  </si>
  <si>
    <t>放[はな]れる</t>
  </si>
  <si>
    <t>檻から放れる。</t>
  </si>
  <si>
    <t>Nó thoát khỏi cái lồng.</t>
  </si>
  <si>
    <t>武士</t>
  </si>
  <si>
    <t>ぶし</t>
  </si>
  <si>
    <t>武士[ぶし]</t>
  </si>
  <si>
    <t>武士の心。</t>
  </si>
  <si>
    <t>Tâm hồn võ sĩ.</t>
  </si>
  <si>
    <t>書道</t>
  </si>
  <si>
    <t>しょどう</t>
  </si>
  <si>
    <t>書道[しょどう]</t>
  </si>
  <si>
    <t>thư pháp</t>
  </si>
  <si>
    <t>書道を習う。</t>
  </si>
  <si>
    <t>Học thư pháp.</t>
  </si>
  <si>
    <t>左利き</t>
  </si>
  <si>
    <t>ひだりきき</t>
  </si>
  <si>
    <t>左利[ひだり]き</t>
  </si>
  <si>
    <t>thuận tay trái</t>
  </si>
  <si>
    <t>私は左利きです。</t>
  </si>
  <si>
    <t>Tôi thuận tay trái.</t>
  </si>
  <si>
    <t>宣教</t>
  </si>
  <si>
    <t>せんきょう</t>
  </si>
  <si>
    <t>宣教[せんきょう]</t>
  </si>
  <si>
    <t>truyền giáo</t>
  </si>
  <si>
    <t>宣教活動を行う。</t>
  </si>
  <si>
    <t>Thực hiện hoạt động truyền giáo.</t>
  </si>
  <si>
    <t>弛み</t>
  </si>
  <si>
    <t>たるみ</t>
  </si>
  <si>
    <t>弛[たる]み</t>
  </si>
  <si>
    <t>sự chùng</t>
  </si>
  <si>
    <t>ロープの弛み。</t>
  </si>
  <si>
    <t>Sự chùng của sợi dây.</t>
  </si>
  <si>
    <t>寝間着</t>
  </si>
  <si>
    <t>寝間着[ねまき]</t>
  </si>
  <si>
    <t>寝間着を着る。</t>
  </si>
  <si>
    <t>Mặc đồ ngủ.</t>
  </si>
  <si>
    <t>売行き</t>
  </si>
  <si>
    <t>うりゆき</t>
  </si>
  <si>
    <t>売行[うりゆ]き</t>
  </si>
  <si>
    <t>sức bán</t>
  </si>
  <si>
    <t>売行きが良い。</t>
  </si>
  <si>
    <t>Sức bán tốt.</t>
  </si>
  <si>
    <t>馴々しい</t>
  </si>
  <si>
    <t>なれなれしい</t>
  </si>
  <si>
    <t>馴々[なれなれ]しい</t>
  </si>
  <si>
    <t>thân thiết quá mức</t>
  </si>
  <si>
    <t>馴々しい口調。</t>
  </si>
  <si>
    <t>Giọng điệu thân thiết quá mức.</t>
  </si>
  <si>
    <t>真ん前</t>
  </si>
  <si>
    <t>まんまえ</t>
  </si>
  <si>
    <t>真[ま]ん前[まえ]</t>
  </si>
  <si>
    <t>ngay trước mặt</t>
  </si>
  <si>
    <t>駅の真ん前に座る。</t>
  </si>
  <si>
    <t>Ngồi ngay trước mặt nhà ga.</t>
  </si>
  <si>
    <t>甘口</t>
  </si>
  <si>
    <t>あまくち</t>
  </si>
  <si>
    <t>甘口[あまくち]</t>
  </si>
  <si>
    <t>vị ngọt</t>
  </si>
  <si>
    <t>甘口のカレー。</t>
  </si>
  <si>
    <t>Món cà ri có vị ngọt.</t>
  </si>
  <si>
    <t>障子</t>
  </si>
  <si>
    <t>しょうじ</t>
  </si>
  <si>
    <t>障子[しょうじ]</t>
  </si>
  <si>
    <t>cửa giấy</t>
  </si>
  <si>
    <t>和室の障子を張り替える。</t>
  </si>
  <si>
    <t>Thay giấy cửa Shoji của phòng kiểu Nhật.</t>
  </si>
  <si>
    <t>頼もしい</t>
  </si>
  <si>
    <t>たのもしい</t>
  </si>
  <si>
    <t>頼[たの]もしい</t>
  </si>
  <si>
    <t>đáng tin cậy</t>
  </si>
  <si>
    <t>彼は頼もしいリーダーだ。</t>
  </si>
  <si>
    <t>Anh ấy là một người lãnh đạo đáng tin cậy.</t>
  </si>
  <si>
    <t>雑音</t>
  </si>
  <si>
    <t>ざつおん</t>
  </si>
  <si>
    <t>雑音[ざつおん]</t>
  </si>
  <si>
    <t>tạp âm</t>
  </si>
  <si>
    <t>雑音が入って聞こえない。</t>
  </si>
  <si>
    <t>Có tạp âm nên không nghe thấy gì.</t>
  </si>
  <si>
    <t>夕立</t>
  </si>
  <si>
    <t>ゆうだち</t>
  </si>
  <si>
    <t>夕立[ゆうだち]</t>
  </si>
  <si>
    <t>mưa rào buổi chiều</t>
  </si>
  <si>
    <t>夕立に遭う。</t>
  </si>
  <si>
    <t>Gặp trận mưa rào buổi chiều.</t>
  </si>
  <si>
    <t>着々</t>
  </si>
  <si>
    <t>ちゃくちゃく</t>
  </si>
  <si>
    <t>着々[ちゃくちゃく]</t>
  </si>
  <si>
    <t>vững chắc</t>
  </si>
  <si>
    <t>仕事が着々と進む。</t>
  </si>
  <si>
    <t>Công việc tiến triển vững chắc.</t>
  </si>
  <si>
    <t>活気</t>
  </si>
  <si>
    <t>かっき</t>
  </si>
  <si>
    <t>活気[かっき]</t>
  </si>
  <si>
    <t>sôi nổi</t>
  </si>
  <si>
    <t>市場は活気に満ちている。</t>
  </si>
  <si>
    <t>Chợ tràn đầy không khí sôi nổi.</t>
  </si>
  <si>
    <t>禅</t>
  </si>
  <si>
    <t>禅[ぜん]</t>
  </si>
  <si>
    <t>thiền</t>
  </si>
  <si>
    <t>禅で心を落ち着ける。</t>
  </si>
  <si>
    <t>Ổn định tâm trí bằng thiền.</t>
  </si>
  <si>
    <t>紺</t>
  </si>
  <si>
    <t>こん</t>
  </si>
  <si>
    <t>紺[こん]</t>
  </si>
  <si>
    <t>màu xanh đậm</t>
  </si>
  <si>
    <t>紺のスーツを着る。</t>
  </si>
  <si>
    <t>Mặc bộ vest màu xanh đậm.</t>
  </si>
  <si>
    <t>食糧</t>
  </si>
  <si>
    <t>食糧[しょくりょう]</t>
  </si>
  <si>
    <t>食糧が不足している。</t>
  </si>
  <si>
    <t>Lương thực đang bị thiếu hụt.</t>
  </si>
  <si>
    <t>精巧</t>
  </si>
  <si>
    <t>精巧[せいこう]</t>
  </si>
  <si>
    <t>tinh xảo</t>
  </si>
  <si>
    <t>精巧な時計を作る。</t>
  </si>
  <si>
    <t>Chế tạo đồng hồ tinh xảo.</t>
  </si>
  <si>
    <t>宛名</t>
  </si>
  <si>
    <t>あてな</t>
  </si>
  <si>
    <t>宛名[あてな]</t>
  </si>
  <si>
    <t>địa chỉ người nhận</t>
  </si>
  <si>
    <t>宛名を書く。</t>
  </si>
  <si>
    <t>Viết địa chỉ người nhận.</t>
  </si>
  <si>
    <t>図々しい</t>
  </si>
  <si>
    <t>ずうずうしい</t>
  </si>
  <si>
    <t>図々[ずうずう]しい</t>
  </si>
  <si>
    <t>trơ trẽn</t>
  </si>
  <si>
    <t>図々しいお願いをする。</t>
  </si>
  <si>
    <t>Đưa ra yêu cầu trơ trẽn.</t>
  </si>
  <si>
    <t>浴衣</t>
  </si>
  <si>
    <t>ゆかた</t>
  </si>
  <si>
    <t>浴衣[ゆかた]</t>
  </si>
  <si>
    <t>yukata</t>
  </si>
  <si>
    <t>夏祭りに浴衣を着る。</t>
  </si>
  <si>
    <t>Mặc yukata đi lễ hội mùa hè.</t>
  </si>
  <si>
    <t>清い</t>
  </si>
  <si>
    <t>きよい</t>
  </si>
  <si>
    <t>清[きよ]い</t>
  </si>
  <si>
    <t>trong sạch</t>
  </si>
  <si>
    <t>清い心を持つ。</t>
  </si>
  <si>
    <t>Có một trái tim trong sạch.</t>
  </si>
  <si>
    <t>粋</t>
  </si>
  <si>
    <t>粋[いき]</t>
  </si>
  <si>
    <t>tao nhã</t>
  </si>
  <si>
    <t>粋な服装をする。</t>
  </si>
  <si>
    <t>Mặc trang phục tao nhã.</t>
  </si>
  <si>
    <t>稀</t>
  </si>
  <si>
    <t>まれ</t>
  </si>
  <si>
    <t>稀[まれ]</t>
  </si>
  <si>
    <t>稀に見る光景だ。</t>
  </si>
  <si>
    <t>Cảnh tượng hiếm thấy.</t>
  </si>
  <si>
    <t>和英</t>
  </si>
  <si>
    <t>わえい</t>
  </si>
  <si>
    <t>和英[わえい]</t>
  </si>
  <si>
    <t>nhật-anh</t>
  </si>
  <si>
    <t>和英辞典を使う。</t>
  </si>
  <si>
    <t>Dùng từ điển Nhật-Anh.</t>
  </si>
  <si>
    <t>洒落</t>
  </si>
  <si>
    <t>しゃれ</t>
  </si>
  <si>
    <t>洒落[しゃれ]</t>
  </si>
  <si>
    <t>chơi chữ</t>
  </si>
  <si>
    <t>彼は洒落を言うのが好きだ。</t>
  </si>
  <si>
    <t>Anh ấy thích nói chơi chữ.</t>
  </si>
  <si>
    <t>黒板</t>
  </si>
  <si>
    <t>こくばん</t>
  </si>
  <si>
    <t>黒板[こくばん]</t>
  </si>
  <si>
    <t>bảng đen</t>
  </si>
  <si>
    <t>黒板に文字を書く。</t>
  </si>
  <si>
    <t>Viết chữ lên bảng đen.</t>
  </si>
  <si>
    <t>斜</t>
  </si>
  <si>
    <t>斜[ななめ]</t>
  </si>
  <si>
    <t>斜に構える。</t>
  </si>
  <si>
    <t>Đứng ở tư thế nghiêng.</t>
  </si>
  <si>
    <t>耕地</t>
  </si>
  <si>
    <t>こうち</t>
  </si>
  <si>
    <t>耕地[こうち]</t>
  </si>
  <si>
    <t>đất canh tác</t>
  </si>
  <si>
    <t>耕地を広げる。</t>
  </si>
  <si>
    <t>Mở rộng đất canh tác.</t>
  </si>
  <si>
    <t>風船</t>
  </si>
  <si>
    <t>ふうせん</t>
  </si>
  <si>
    <t>風船[ふうせん]</t>
  </si>
  <si>
    <t>bong bóng</t>
  </si>
  <si>
    <t>風船を膨らませる。</t>
  </si>
  <si>
    <t>Thổi phồng bong bóng.</t>
  </si>
  <si>
    <t>英和</t>
  </si>
  <si>
    <t>えいわ</t>
  </si>
  <si>
    <t>英和[えいわ]</t>
  </si>
  <si>
    <t>anh-nhật</t>
  </si>
  <si>
    <t>英和辞典を引く。</t>
  </si>
  <si>
    <t>Tra từ điển Anh-Nhật.</t>
  </si>
  <si>
    <t>客間</t>
  </si>
  <si>
    <t>きゃくま</t>
  </si>
  <si>
    <t>客間[きゃくま]</t>
  </si>
  <si>
    <t>客間に通す。</t>
  </si>
  <si>
    <t>Dẫn vào phòng khách.</t>
  </si>
  <si>
    <t>伯父</t>
  </si>
  <si>
    <t>伯父[おじ]</t>
  </si>
  <si>
    <t>伯父の家に行く。</t>
  </si>
  <si>
    <t>Đi đến nhà bác trai.</t>
  </si>
  <si>
    <t>停電</t>
  </si>
  <si>
    <t>ていでん</t>
  </si>
  <si>
    <t>停電[ていでん]</t>
  </si>
  <si>
    <t>mất điện</t>
  </si>
  <si>
    <t>突然の停電。</t>
  </si>
  <si>
    <t>Sự cố mất điện đột ngột.</t>
  </si>
  <si>
    <t>毛皮</t>
  </si>
  <si>
    <t>けがわ</t>
  </si>
  <si>
    <t>毛皮[けがわ]</t>
  </si>
  <si>
    <t>lông thú</t>
  </si>
  <si>
    <t>毛皮のコート。</t>
  </si>
  <si>
    <t>Áo khoác lông thú.</t>
  </si>
  <si>
    <t>目印</t>
  </si>
  <si>
    <t>めじるし</t>
  </si>
  <si>
    <t>目印[めじるし]</t>
  </si>
  <si>
    <t>駅を目印にする。</t>
  </si>
  <si>
    <t>Lấy nhà ga làm dấu hiệu.</t>
  </si>
  <si>
    <t>洗面</t>
  </si>
  <si>
    <t>せんめん</t>
  </si>
  <si>
    <t>洗面[せんめん]</t>
  </si>
  <si>
    <t>rửa mặt</t>
  </si>
  <si>
    <t>洗面所で顔を洗う。</t>
  </si>
  <si>
    <t>Rửa mặt ở phòng rửa mặt.</t>
  </si>
  <si>
    <t>灰色</t>
  </si>
  <si>
    <t>はいいろ</t>
  </si>
  <si>
    <t>灰色[はいいろ]</t>
  </si>
  <si>
    <t>空が灰色になる。</t>
  </si>
  <si>
    <t>Bầu trời chuyển màu xám.</t>
  </si>
  <si>
    <t>演説</t>
  </si>
  <si>
    <t>えんぜつ</t>
  </si>
  <si>
    <t>演説[えんぜつ]</t>
  </si>
  <si>
    <t>大統領が演説する。</t>
  </si>
  <si>
    <t>Tổng thống diễn thuyết.</t>
  </si>
  <si>
    <t>図鑑</t>
  </si>
  <si>
    <t>ずかん</t>
  </si>
  <si>
    <t>図鑑[ずかん]</t>
  </si>
  <si>
    <t>sách tranh</t>
  </si>
  <si>
    <t>図鑑を調べる。</t>
  </si>
  <si>
    <t>Tra cứu sách tranh.</t>
  </si>
  <si>
    <t>年鑑</t>
  </si>
  <si>
    <t>年鑑[ねんかん]</t>
  </si>
  <si>
    <t>niên giám</t>
  </si>
  <si>
    <t>最新の年鑑を見る。</t>
  </si>
  <si>
    <t>Xem niên giám mới nhất.</t>
  </si>
  <si>
    <t>先祖</t>
  </si>
  <si>
    <t>せんぞ</t>
  </si>
  <si>
    <t>先祖[せんぞ]</t>
  </si>
  <si>
    <t>先祖を敬う。</t>
  </si>
  <si>
    <t>Kính trọng tổ tiên.</t>
  </si>
  <si>
    <t>凍える</t>
  </si>
  <si>
    <t>こごえる</t>
  </si>
  <si>
    <t>凍[こご]える</t>
  </si>
  <si>
    <t>寒さで凍える。</t>
  </si>
  <si>
    <t>Đóng băng vì lạnh.</t>
  </si>
  <si>
    <t>卸す</t>
  </si>
  <si>
    <t>卸[おろ]す</t>
  </si>
  <si>
    <t>bán buôn</t>
  </si>
  <si>
    <t>商品を卸す。</t>
  </si>
  <si>
    <t>Bán buôn sản phẩm.</t>
  </si>
  <si>
    <t>字体</t>
  </si>
  <si>
    <t>字体[じたい]</t>
  </si>
  <si>
    <t>kiểu chữ</t>
  </si>
  <si>
    <t>字体を変更する。</t>
  </si>
  <si>
    <t>Thay đổi kiểu chữ.</t>
  </si>
  <si>
    <t>霧</t>
  </si>
  <si>
    <t>霧[きり]</t>
  </si>
  <si>
    <t>sương mù</t>
  </si>
  <si>
    <t>朝は霧が出ている。</t>
  </si>
  <si>
    <t>Buổi sáng có sương mù.</t>
  </si>
  <si>
    <t>消防署</t>
  </si>
  <si>
    <t>しょうぼうしょ</t>
  </si>
  <si>
    <t>消防署[しょうぼうしょ]</t>
  </si>
  <si>
    <t>trạm cứu hỏa</t>
  </si>
  <si>
    <t>消防署に電話する。</t>
  </si>
  <si>
    <t>Gọi cho trạm cứu hỏa.</t>
  </si>
  <si>
    <t>原始</t>
  </si>
  <si>
    <t>原始[げんし]</t>
  </si>
  <si>
    <t>nguyên thủy</t>
  </si>
  <si>
    <t>原始の時代。</t>
  </si>
  <si>
    <t>Thời đại nguyên thủy.</t>
  </si>
  <si>
    <t>月給</t>
  </si>
  <si>
    <t>げっきゅう</t>
  </si>
  <si>
    <t>月給[げっきゅう]</t>
  </si>
  <si>
    <t>lương tháng</t>
  </si>
  <si>
    <t>月給をもらう。</t>
  </si>
  <si>
    <t>Nhận lương tháng.</t>
  </si>
  <si>
    <t>糊</t>
  </si>
  <si>
    <t>のり</t>
  </si>
  <si>
    <t>糊[のり]</t>
  </si>
  <si>
    <t>hồ dán</t>
  </si>
  <si>
    <t>糊で紙を貼る。</t>
  </si>
  <si>
    <t>Dán giấy bằng hồ.</t>
  </si>
  <si>
    <t>騒々しい</t>
  </si>
  <si>
    <t>そうぞうしい</t>
  </si>
  <si>
    <t>騒々[そうぞう]しい</t>
  </si>
  <si>
    <t>外が騒々しい。</t>
  </si>
  <si>
    <t>Bên ngoài thật ồn ào.</t>
  </si>
  <si>
    <t>粗</t>
  </si>
  <si>
    <t>あら</t>
  </si>
  <si>
    <t>粗[あら]</t>
  </si>
  <si>
    <t>thô</t>
  </si>
  <si>
    <t>粗を探す。</t>
  </si>
  <si>
    <t>Tìm điểm sai sót.</t>
  </si>
  <si>
    <t>純情</t>
  </si>
  <si>
    <t>じゅんじょう</t>
  </si>
  <si>
    <t>純情[じゅんじょう]</t>
  </si>
  <si>
    <t>thuần khiết</t>
  </si>
  <si>
    <t>純情な心。</t>
  </si>
  <si>
    <t>Tâm hồn thuần khiết.</t>
  </si>
  <si>
    <t>電球</t>
  </si>
  <si>
    <t>でんきゅう</t>
  </si>
  <si>
    <t>電球[でんきゅう]</t>
  </si>
  <si>
    <t>bóng đèn</t>
  </si>
  <si>
    <t>電球が切れた。</t>
  </si>
  <si>
    <t>Bóng đèn đã bị hỏng.</t>
  </si>
  <si>
    <t>修繕</t>
  </si>
  <si>
    <t>しゅうぜん</t>
  </si>
  <si>
    <t>修繕[しゅうぜん]</t>
  </si>
  <si>
    <t>家を修繕する。</t>
  </si>
  <si>
    <t>Tu sửa ngôi nhà.</t>
  </si>
  <si>
    <t>内線</t>
  </si>
  <si>
    <t>ないせん</t>
  </si>
  <si>
    <t>内線[ないせん]</t>
  </si>
  <si>
    <t>máy lẻ</t>
  </si>
  <si>
    <t>内線で呼ぶ。</t>
  </si>
  <si>
    <t>Gọi bằng máy lẻ.</t>
  </si>
  <si>
    <t>湿気</t>
  </si>
  <si>
    <t>しっけ</t>
  </si>
  <si>
    <t>湿気[しっけ]</t>
  </si>
  <si>
    <t>hơi ẩm</t>
  </si>
  <si>
    <t>湿気が多い季節。</t>
  </si>
  <si>
    <t>Mùa có nhiều hơi ẩm.</t>
  </si>
  <si>
    <t>飴</t>
  </si>
  <si>
    <t>飴[あめ]</t>
  </si>
  <si>
    <t>kẹo</t>
  </si>
  <si>
    <t>子供に飴をあげる。</t>
  </si>
  <si>
    <t>Cho trẻ con kẹo.</t>
  </si>
  <si>
    <t>好き好き</t>
  </si>
  <si>
    <t>すきずき</t>
  </si>
  <si>
    <t>好[す]き好[ず]き</t>
  </si>
  <si>
    <t>tùy sở thích</t>
  </si>
  <si>
    <t>味は好き好きだ。</t>
  </si>
  <si>
    <t>Vị là tùy sở thích.</t>
  </si>
  <si>
    <t>兵隊</t>
  </si>
  <si>
    <t>へいたい</t>
  </si>
  <si>
    <t>兵隊[へいたい]</t>
  </si>
  <si>
    <t>người lính</t>
  </si>
  <si>
    <t>兵隊が集まる。</t>
  </si>
  <si>
    <t>Người lính tập hợp.</t>
  </si>
  <si>
    <t>利口</t>
  </si>
  <si>
    <t>りこう</t>
  </si>
  <si>
    <t>利口[りこう]</t>
  </si>
  <si>
    <t>利口な子供。</t>
  </si>
  <si>
    <t>Đứa trẻ thông minh.</t>
  </si>
  <si>
    <t>荒廃</t>
  </si>
  <si>
    <t>荒廃[こうはい]</t>
  </si>
  <si>
    <t>hoang tàn</t>
  </si>
  <si>
    <t>国が荒廃する。</t>
  </si>
  <si>
    <t>Đất nước hoang tàn.</t>
  </si>
  <si>
    <t>鈍い</t>
  </si>
  <si>
    <t>にぶい</t>
  </si>
  <si>
    <t>鈍[にぶ]い</t>
  </si>
  <si>
    <t>反応が鈍い。</t>
  </si>
  <si>
    <t>Phản ứng chậm chạp.</t>
  </si>
  <si>
    <t>片仮名</t>
  </si>
  <si>
    <t>かたかな</t>
  </si>
  <si>
    <t>片仮名[かたかな]</t>
  </si>
  <si>
    <t>katakana</t>
  </si>
  <si>
    <t>片仮名で書く。</t>
  </si>
  <si>
    <t>Viết bằng Katakana.</t>
  </si>
  <si>
    <t>飛行場</t>
  </si>
  <si>
    <t>ひこうじょう</t>
  </si>
  <si>
    <t>飛行場[ひこうじょう]</t>
  </si>
  <si>
    <t>飛行場へ向かう。</t>
  </si>
  <si>
    <t>Đi đến sân bay.</t>
  </si>
  <si>
    <t>体積</t>
  </si>
  <si>
    <t>たいせき</t>
  </si>
  <si>
    <t>体積[たいせき]</t>
  </si>
  <si>
    <t>thể tích</t>
  </si>
  <si>
    <t>体積を計算する。</t>
  </si>
  <si>
    <t>Tính thể tích.</t>
  </si>
  <si>
    <t>列島</t>
  </si>
  <si>
    <t>れっとう</t>
  </si>
  <si>
    <t>列島[れっとう]</t>
  </si>
  <si>
    <t>quần đảo</t>
  </si>
  <si>
    <t>日本の列島。</t>
  </si>
  <si>
    <t>Quần đảo Nhật Bản.</t>
  </si>
  <si>
    <t>羊毛</t>
  </si>
  <si>
    <t>ようもう</t>
  </si>
  <si>
    <t>羊毛[ようもう]</t>
  </si>
  <si>
    <t>lông cừu</t>
  </si>
  <si>
    <t>羊毛のコート。</t>
  </si>
  <si>
    <t>Áo khoác lông cừu.</t>
  </si>
  <si>
    <t>香水</t>
  </si>
  <si>
    <t>香水[こうすい]</t>
  </si>
  <si>
    <t>nước hoa</t>
  </si>
  <si>
    <t>良い香水の匂い。</t>
  </si>
  <si>
    <t>Mùi nước hoa thơm.</t>
  </si>
  <si>
    <t>凸凹</t>
  </si>
  <si>
    <t>でこぼこ</t>
  </si>
  <si>
    <t>凸凹[でこぼこ]</t>
  </si>
  <si>
    <t>lồi lõm</t>
  </si>
  <si>
    <t>道が凸凹だ。</t>
  </si>
  <si>
    <t>Con đường lồi lõm.</t>
  </si>
  <si>
    <t>南米</t>
  </si>
  <si>
    <t>なんべい</t>
  </si>
  <si>
    <t>南米[なんべい]</t>
  </si>
  <si>
    <t>nam mỹ</t>
  </si>
  <si>
    <t>南米へ行く。</t>
  </si>
  <si>
    <t>Đi đến Nam Mỹ.</t>
  </si>
  <si>
    <t>無数</t>
  </si>
  <si>
    <t>むすう</t>
  </si>
  <si>
    <t>無数[むすう]</t>
  </si>
  <si>
    <t>vô số</t>
  </si>
  <si>
    <t>星が無数にある。</t>
  </si>
  <si>
    <t>Có vô số ngôi sao.</t>
  </si>
  <si>
    <t>鎖</t>
  </si>
  <si>
    <t>くさり</t>
  </si>
  <si>
    <t>鎖[くさり]</t>
  </si>
  <si>
    <t>xích</t>
  </si>
  <si>
    <t>鎖で繋ぐ。</t>
  </si>
  <si>
    <t>Kết nối bằng xích.</t>
  </si>
  <si>
    <t>水分</t>
  </si>
  <si>
    <t>すいぶん</t>
  </si>
  <si>
    <t>水分[すいぶん]</t>
  </si>
  <si>
    <t>hàm lượng nước</t>
  </si>
  <si>
    <t>水分を補給する。</t>
  </si>
  <si>
    <t>Bổ sung nước.</t>
  </si>
  <si>
    <t>初歩</t>
  </si>
  <si>
    <t>しょほ</t>
  </si>
  <si>
    <t>初歩[しょほ]</t>
  </si>
  <si>
    <t>bước đầu</t>
  </si>
  <si>
    <t>初歩を学ぶ。</t>
  </si>
  <si>
    <t>Học bước đầu.</t>
  </si>
  <si>
    <t>勇ましい</t>
  </si>
  <si>
    <t>いさましい</t>
  </si>
  <si>
    <t>勇[いさ]ましい</t>
  </si>
  <si>
    <t>勇ましい姿。</t>
  </si>
  <si>
    <t>Dáng vẻ dũng cảm.</t>
  </si>
  <si>
    <t>垣根</t>
  </si>
  <si>
    <t>かきね</t>
  </si>
  <si>
    <t>垣根[かきね]</t>
  </si>
  <si>
    <t>hàng rào</t>
  </si>
  <si>
    <t>垣根を修理する。</t>
  </si>
  <si>
    <t>Sửa hàng rào.</t>
  </si>
  <si>
    <t>寒帯</t>
  </si>
  <si>
    <t>かんたい</t>
  </si>
  <si>
    <t>寒帯[かんたい]</t>
  </si>
  <si>
    <t>đới lạnh</t>
  </si>
  <si>
    <t>寒帯の気候。</t>
  </si>
  <si>
    <t>Khí hậu đới lạnh.</t>
  </si>
  <si>
    <t>水産</t>
  </si>
  <si>
    <t>すいさん</t>
  </si>
  <si>
    <t>水産[すいさん]</t>
  </si>
  <si>
    <t>thủy sản</t>
  </si>
  <si>
    <t>水産物を売る。</t>
  </si>
  <si>
    <t>Bán thủy sản.</t>
  </si>
  <si>
    <t>焦がす</t>
  </si>
  <si>
    <t>こがす</t>
  </si>
  <si>
    <t>焦[こ]がす</t>
  </si>
  <si>
    <t>làm cháy</t>
  </si>
  <si>
    <t>料理を焦がす。</t>
  </si>
  <si>
    <t>Làm cháy thức ăn.</t>
  </si>
  <si>
    <t>献立</t>
  </si>
  <si>
    <t>こんだて</t>
  </si>
  <si>
    <t>献立[こんだて]</t>
  </si>
  <si>
    <t>夕食の献立。</t>
  </si>
  <si>
    <t>Thực đơn bữa tối.</t>
  </si>
  <si>
    <t>生意気</t>
  </si>
  <si>
    <t>なまいき</t>
  </si>
  <si>
    <t>生意気[なまいき]</t>
  </si>
  <si>
    <t>xấc xược</t>
  </si>
  <si>
    <t>生意気な子供。</t>
  </si>
  <si>
    <t>Đứa trẻ xấc xược.</t>
  </si>
  <si>
    <t>略す</t>
  </si>
  <si>
    <t>りゃくす</t>
  </si>
  <si>
    <t>略[りゃく]す</t>
  </si>
  <si>
    <t>長い名前を略す。</t>
  </si>
  <si>
    <t>Lược bớt tên dài.</t>
  </si>
  <si>
    <t>半径</t>
  </si>
  <si>
    <t>はんけい</t>
  </si>
  <si>
    <t>半径[はんけい]</t>
  </si>
  <si>
    <t>bán kính</t>
  </si>
  <si>
    <t>半径を測る。</t>
  </si>
  <si>
    <t>Đo bán kính.</t>
  </si>
  <si>
    <t>双子</t>
  </si>
  <si>
    <t>ふたご</t>
  </si>
  <si>
    <t>双子[ふたご]</t>
  </si>
  <si>
    <t>sinh đôi</t>
  </si>
  <si>
    <t>双子の兄弟。</t>
  </si>
  <si>
    <t>Anh em sinh đôi.</t>
  </si>
  <si>
    <t>伯母</t>
  </si>
  <si>
    <t>伯母[おば]</t>
  </si>
  <si>
    <t>伯母に会う。</t>
  </si>
  <si>
    <t>Gặp bác gái.</t>
  </si>
  <si>
    <t>判子</t>
  </si>
  <si>
    <t>はんこ</t>
  </si>
  <si>
    <t>判子[はんこ]</t>
  </si>
  <si>
    <t>判子をもらう。</t>
  </si>
  <si>
    <t>Lấy con dấu.</t>
  </si>
  <si>
    <t>標本</t>
  </si>
  <si>
    <t>ひょうほん</t>
  </si>
  <si>
    <t>標本[ひょうほん]</t>
  </si>
  <si>
    <t>vật mẫu</t>
  </si>
  <si>
    <t>標本を作る。</t>
  </si>
  <si>
    <t>Làm vật mẫu.</t>
  </si>
  <si>
    <t>姓名</t>
  </si>
  <si>
    <t>姓名[せいめい]</t>
  </si>
  <si>
    <t>姓名を書く。</t>
  </si>
  <si>
    <t>閉会</t>
  </si>
  <si>
    <t>へいかい</t>
  </si>
  <si>
    <t>閉会[へいかい]</t>
  </si>
  <si>
    <t>bế mạc</t>
  </si>
  <si>
    <t>閉会を宣言する。</t>
  </si>
  <si>
    <t>Tuyên bố bế mạc.</t>
  </si>
  <si>
    <t>凹む</t>
  </si>
  <si>
    <t>へこむ</t>
  </si>
  <si>
    <t>凹[へこ]む</t>
  </si>
  <si>
    <t>lõm</t>
  </si>
  <si>
    <t>ボールが凹む。</t>
  </si>
  <si>
    <t>Quả bóng bị lõm.</t>
  </si>
  <si>
    <t>澄む</t>
  </si>
  <si>
    <t>澄[す]む</t>
  </si>
  <si>
    <t>trong vắt</t>
  </si>
  <si>
    <t>澄んだ水。</t>
  </si>
  <si>
    <t>Nước trong vắt.</t>
  </si>
  <si>
    <t>溶く</t>
  </si>
  <si>
    <t>溶[と]く</t>
  </si>
  <si>
    <t>đánh tan</t>
  </si>
  <si>
    <t>卵を溶く。</t>
  </si>
  <si>
    <t>Đánh tan trứng.</t>
  </si>
  <si>
    <t>膳</t>
  </si>
  <si>
    <t>膳[ぜん]</t>
  </si>
  <si>
    <t>膳を並べる。</t>
  </si>
  <si>
    <t>Bày bàn ăn.</t>
  </si>
  <si>
    <t>振り仮名</t>
  </si>
  <si>
    <t>ふりがな</t>
  </si>
  <si>
    <t>振[ふ]り仮名[がな]</t>
  </si>
  <si>
    <t>phiên âm</t>
  </si>
  <si>
    <t>振り仮名をふる。</t>
  </si>
  <si>
    <t>Viết phiên âm.</t>
  </si>
  <si>
    <t>大木</t>
  </si>
  <si>
    <t>たいぼく</t>
  </si>
  <si>
    <t>大木[たいぼく]</t>
  </si>
  <si>
    <t>cây to</t>
  </si>
  <si>
    <t>大木がある。</t>
  </si>
  <si>
    <t>Có cái cây to.</t>
  </si>
  <si>
    <t>発射</t>
  </si>
  <si>
    <t>発射[はっしゃ]</t>
  </si>
  <si>
    <t>phóng</t>
  </si>
  <si>
    <t>ロケットを発射する。</t>
  </si>
  <si>
    <t>Phóng tên lửa.</t>
  </si>
  <si>
    <t>焦げる</t>
  </si>
  <si>
    <t>こげる</t>
  </si>
  <si>
    <t>焦[こ]げる</t>
  </si>
  <si>
    <t>魚が焦げた。</t>
  </si>
  <si>
    <t>Cá đã bị cháy.</t>
  </si>
  <si>
    <t>熱する</t>
  </si>
  <si>
    <t>ねっする</t>
  </si>
  <si>
    <t>熱[ねっ]する</t>
  </si>
  <si>
    <t>làm nóng</t>
  </si>
  <si>
    <t>鉄を熱する。</t>
  </si>
  <si>
    <t>Làm nóng sắt.</t>
  </si>
  <si>
    <t>兎</t>
  </si>
  <si>
    <t>うさぎ</t>
  </si>
  <si>
    <t>兎[うさぎ]</t>
  </si>
  <si>
    <t>con thỏ</t>
  </si>
  <si>
    <t>兎が跳ねる。</t>
  </si>
  <si>
    <t>金魚</t>
  </si>
  <si>
    <t>きんぎょ</t>
  </si>
  <si>
    <t>金魚[きんぎょ]</t>
  </si>
  <si>
    <t>cá vàng</t>
  </si>
  <si>
    <t>金魚を飼う。</t>
  </si>
  <si>
    <t>Nuôi cá vàng.</t>
  </si>
  <si>
    <t>灰</t>
  </si>
  <si>
    <t>灰[はい]</t>
  </si>
  <si>
    <t>tàn tro</t>
  </si>
  <si>
    <t>灰を掃除する。</t>
  </si>
  <si>
    <t>Dọn tàn tro.</t>
  </si>
  <si>
    <t>留守番</t>
  </si>
  <si>
    <t>るすばん</t>
  </si>
  <si>
    <t>留守番[るすばん]</t>
  </si>
  <si>
    <t>giữ nhà</t>
  </si>
  <si>
    <t>留守番を頼む。</t>
  </si>
  <si>
    <t>Nhờ giữ nhà.</t>
  </si>
  <si>
    <t>縮れる</t>
  </si>
  <si>
    <t>ちぢれる</t>
  </si>
  <si>
    <t>縮[ちぢ]れる</t>
  </si>
  <si>
    <t>xoăn</t>
  </si>
  <si>
    <t>髪が縮れる。</t>
  </si>
  <si>
    <t>Tóc bị xoăn.</t>
  </si>
  <si>
    <t>畳む</t>
  </si>
  <si>
    <t>たたむ</t>
  </si>
  <si>
    <t>畳[たた]む</t>
  </si>
  <si>
    <t>服を畳む。</t>
  </si>
  <si>
    <t>Gấp quần áo.</t>
  </si>
  <si>
    <t>剥く</t>
  </si>
  <si>
    <t>剥[む]く</t>
  </si>
  <si>
    <t>bóc</t>
  </si>
  <si>
    <t>皮を剥く。</t>
  </si>
  <si>
    <t>Bóc vỏ.</t>
  </si>
  <si>
    <t>磁器</t>
  </si>
  <si>
    <t>磁器[じき]</t>
  </si>
  <si>
    <t>đồ sứ</t>
  </si>
  <si>
    <t>磁器を作る。</t>
  </si>
  <si>
    <t>Làm đồ sứ.</t>
  </si>
  <si>
    <t>盆</t>
  </si>
  <si>
    <t>ぼん</t>
  </si>
  <si>
    <t>盆[ぼん]</t>
  </si>
  <si>
    <t>khay</t>
  </si>
  <si>
    <t>盆を運ぶ。</t>
  </si>
  <si>
    <t>Bưng khay.</t>
  </si>
  <si>
    <t>釘</t>
  </si>
  <si>
    <t>くぎ</t>
  </si>
  <si>
    <t>釘[くぎ]</t>
  </si>
  <si>
    <t>đinh</t>
  </si>
  <si>
    <t>釘を打つ。</t>
  </si>
  <si>
    <t>Đóng đinh.</t>
  </si>
  <si>
    <t>湧く</t>
  </si>
  <si>
    <t>湧[わ]く</t>
  </si>
  <si>
    <t>お湯が湧く。</t>
  </si>
  <si>
    <t>溜息</t>
  </si>
  <si>
    <t>ためいき</t>
  </si>
  <si>
    <t>溜息[ためいき]</t>
  </si>
  <si>
    <t>tiếng thở dài</t>
  </si>
  <si>
    <t>溜息をつく。</t>
  </si>
  <si>
    <t>Thở dài.</t>
  </si>
  <si>
    <t>生やす</t>
  </si>
  <si>
    <t>はやす</t>
  </si>
  <si>
    <t>生[は]やす</t>
  </si>
  <si>
    <t>để mọc</t>
  </si>
  <si>
    <t>髭を生やす。</t>
  </si>
  <si>
    <t>Để râu.</t>
  </si>
  <si>
    <t>気品</t>
  </si>
  <si>
    <t>きひん</t>
  </si>
  <si>
    <t>気品[きひん]</t>
  </si>
  <si>
    <t>khí chất sang trọng</t>
  </si>
  <si>
    <t>気品のある女性。</t>
  </si>
  <si>
    <t>Người phụ nữ có khí chất sang trọng.</t>
  </si>
  <si>
    <t>没落</t>
  </si>
  <si>
    <t>ぼつらく</t>
  </si>
  <si>
    <t>没落[ぼつらく]</t>
  </si>
  <si>
    <t>suy tàn</t>
  </si>
  <si>
    <t>一家が没落する。</t>
  </si>
  <si>
    <t>Gia đình bị suy tàn.</t>
  </si>
  <si>
    <t>玄人</t>
  </si>
  <si>
    <t>くろうと</t>
  </si>
  <si>
    <t>玄人[くろうと]</t>
  </si>
  <si>
    <t>người chuyên nghiệp</t>
  </si>
  <si>
    <t>玄人の手さばき。</t>
  </si>
  <si>
    <t>Kỹ nghệ của người chuyên nghiệp.</t>
  </si>
  <si>
    <t>無闇に</t>
  </si>
  <si>
    <t>むやみに</t>
  </si>
  <si>
    <t>無闇[むやみ]に</t>
  </si>
  <si>
    <t>無闇に信じるな。</t>
  </si>
  <si>
    <t>Đừng có tin một cách khinh suất.</t>
  </si>
  <si>
    <t>だぶだぶ</t>
  </si>
  <si>
    <t>rộng thùng thình</t>
  </si>
  <si>
    <t>服がだぶだぶだ。</t>
  </si>
  <si>
    <t>Quần áo rộng thùng thình.</t>
  </si>
  <si>
    <t>ぶかぶか</t>
  </si>
  <si>
    <t>靴がぶかぶかだ。</t>
  </si>
  <si>
    <t>Giày bị rộng thùng thình.</t>
  </si>
  <si>
    <t>煙る</t>
  </si>
  <si>
    <t>けむる</t>
  </si>
  <si>
    <t>煙[けむ]る</t>
  </si>
  <si>
    <t>bị khói bao phủ</t>
  </si>
  <si>
    <t>森が霧に煙る。</t>
  </si>
  <si>
    <t>Khu rừng bị sương mù bao phủ.</t>
  </si>
  <si>
    <t>清ます</t>
  </si>
  <si>
    <t>清[す]ます</t>
  </si>
  <si>
    <t>làm trong sạch</t>
  </si>
  <si>
    <t>心を清ます。</t>
  </si>
  <si>
    <t>Làm trong sạch tâm hồn.</t>
  </si>
  <si>
    <t>生真面目</t>
  </si>
  <si>
    <t>きまじめ</t>
  </si>
  <si>
    <t>生真面目[きまじめ]</t>
  </si>
  <si>
    <t>rất nghiêm túc</t>
  </si>
  <si>
    <t>生真面目な性格。</t>
  </si>
  <si>
    <t>Tính cách rất nghiêm túc.</t>
  </si>
  <si>
    <t>申し分</t>
  </si>
  <si>
    <t>もうしぶん</t>
  </si>
  <si>
    <t>申[もう]し分[ぶん]</t>
  </si>
  <si>
    <t>điểm chê trách</t>
  </si>
  <si>
    <t>申し分のない出来だ。</t>
  </si>
  <si>
    <t>Thành phẩm không có điểm chê trách.</t>
  </si>
  <si>
    <t>なんなり</t>
  </si>
  <si>
    <t>bất cứ thứ gì</t>
  </si>
  <si>
    <t>なんなりと聞いてください。</t>
  </si>
  <si>
    <t>Hãy hỏi bất cứ thứ gì bạn muốn.</t>
  </si>
  <si>
    <t>仲人</t>
  </si>
  <si>
    <t>なこうど</t>
  </si>
  <si>
    <t>仲人[なこうど]</t>
  </si>
  <si>
    <t>người mai mối</t>
  </si>
  <si>
    <t>仲人を頼む。</t>
  </si>
  <si>
    <t>Nhờ người mai mối.</t>
  </si>
  <si>
    <t>沈殿</t>
  </si>
  <si>
    <t>ちんでん</t>
  </si>
  <si>
    <t>沈殿[ちんでん]</t>
  </si>
  <si>
    <t>sự lắng xuống</t>
  </si>
  <si>
    <t>水が沈殿する。</t>
  </si>
  <si>
    <t>Nước lắng xuống.</t>
  </si>
  <si>
    <t>油絵</t>
  </si>
  <si>
    <t>あぶらえ</t>
  </si>
  <si>
    <t>油絵[あぶらえ]</t>
  </si>
  <si>
    <t>tranh sơn dầu</t>
  </si>
  <si>
    <t>油絵を描く。</t>
  </si>
  <si>
    <t>Vẽ tranh sơn dầu.</t>
  </si>
  <si>
    <t>穂</t>
  </si>
  <si>
    <t>ほ</t>
  </si>
  <si>
    <t>穂[ほ]</t>
  </si>
  <si>
    <t>稲の穂が実る。</t>
  </si>
  <si>
    <t>Bông lúa trĩu hạt.</t>
  </si>
  <si>
    <t>紡績</t>
  </si>
  <si>
    <t>ぼうせき</t>
  </si>
  <si>
    <t>紡績[ぼうせき]</t>
  </si>
  <si>
    <t>ngành dệt sợi</t>
  </si>
  <si>
    <t>紡績工場で働く。</t>
  </si>
  <si>
    <t>Làm việc tại nhà máy dệt sợi.</t>
  </si>
  <si>
    <t>綻びる</t>
  </si>
  <si>
    <t>ほころびる</t>
  </si>
  <si>
    <t>綻[ほころ]びる</t>
  </si>
  <si>
    <t>hé nở</t>
  </si>
  <si>
    <t>服の袖が綻びる。</t>
  </si>
  <si>
    <t>Tay áo bị rách.</t>
  </si>
  <si>
    <t>跡継ぎ</t>
  </si>
  <si>
    <t>あとつぎ</t>
  </si>
  <si>
    <t>跡継[あとつ]ぎ</t>
  </si>
  <si>
    <t>người thừa kế</t>
  </si>
  <si>
    <t>跡継ぎを決める。</t>
  </si>
  <si>
    <t>Quyết định người thừa kế.</t>
  </si>
  <si>
    <t>欠乏</t>
  </si>
  <si>
    <t>けつぼう</t>
  </si>
  <si>
    <t>欠乏[けつぼう]</t>
  </si>
  <si>
    <t>sự thiếu hụt</t>
  </si>
  <si>
    <t>食料が欠乏する。</t>
  </si>
  <si>
    <t>Thiếu hụt lương thực.</t>
  </si>
  <si>
    <t>気兼ね</t>
  </si>
  <si>
    <t>きがね</t>
  </si>
  <si>
    <t>気兼[きが]ね</t>
  </si>
  <si>
    <t>sự khách khí</t>
  </si>
  <si>
    <t>気兼ねなく話す。</t>
  </si>
  <si>
    <t>Nói chuyện không cần khách khí.</t>
  </si>
  <si>
    <t>駄作</t>
  </si>
  <si>
    <t>ださく</t>
  </si>
  <si>
    <t>駄作[ださく]</t>
  </si>
  <si>
    <t>tác phẩm kém</t>
  </si>
  <si>
    <t>駄作を捨てる。</t>
  </si>
  <si>
    <t>Bỏ tác phẩm kém.</t>
  </si>
  <si>
    <t>ねじまわし</t>
  </si>
  <si>
    <t>tuốc nơ vít</t>
  </si>
  <si>
    <t>ねじまわしで締める。</t>
  </si>
  <si>
    <t>Vặn bằng tuốc nơ vít.</t>
  </si>
  <si>
    <t>滞納</t>
  </si>
  <si>
    <t>たいのう</t>
  </si>
  <si>
    <t>滞納[たいのう]</t>
  </si>
  <si>
    <t>sự chậm nộp</t>
  </si>
  <si>
    <t>税金を滞納する。</t>
  </si>
  <si>
    <t>Chậm nộp thuế.</t>
  </si>
  <si>
    <t>無念</t>
  </si>
  <si>
    <t>むねん</t>
  </si>
  <si>
    <t>無念[むねん]</t>
  </si>
  <si>
    <t>sự hối tiếc</t>
  </si>
  <si>
    <t>無念を晴らす。</t>
  </si>
  <si>
    <t>Giải tỏa nỗi hối tiếc.</t>
  </si>
  <si>
    <t>縁談</t>
  </si>
  <si>
    <t>えんだん</t>
  </si>
  <si>
    <t>縁談[えんだん]</t>
  </si>
  <si>
    <t>lời mai mối</t>
  </si>
  <si>
    <t>縁談が持ち上がる。</t>
  </si>
  <si>
    <t>Lời mai mối được đưa ra.</t>
  </si>
  <si>
    <t>げっそり</t>
  </si>
  <si>
    <t>gầy sọp đi</t>
  </si>
  <si>
    <t>病気でげっそりする。</t>
  </si>
  <si>
    <t>Gầy sọp đi vì ốm.</t>
  </si>
  <si>
    <t>すばしこい</t>
  </si>
  <si>
    <t>すばしこい動き。</t>
  </si>
  <si>
    <t>Động tác nhanh nhẹn.</t>
  </si>
  <si>
    <t>つぶら</t>
  </si>
  <si>
    <t>tròn trĩnh</t>
  </si>
  <si>
    <t>つぶらな瞳。</t>
  </si>
  <si>
    <t>Đôi mắt tròn trĩnh.</t>
  </si>
  <si>
    <t>余所見</t>
  </si>
  <si>
    <t>よそみ</t>
  </si>
  <si>
    <t>余所見[よそみ]</t>
  </si>
  <si>
    <t>nhìn ngang</t>
  </si>
  <si>
    <t>余所見をするな。</t>
  </si>
  <si>
    <t>Đừng có nhìn ngang nhìn dọc.</t>
  </si>
  <si>
    <t>檻</t>
  </si>
  <si>
    <t>檻[おり]</t>
  </si>
  <si>
    <t>cái chuồng</t>
  </si>
  <si>
    <t>動物を檻に入れる。</t>
  </si>
  <si>
    <t>Cho động vật vào chuồng.</t>
  </si>
  <si>
    <t>渡り鳥</t>
  </si>
  <si>
    <t>わたりどり</t>
  </si>
  <si>
    <t>渡[わた]り鳥[どり]</t>
  </si>
  <si>
    <t>chim di cư</t>
  </si>
  <si>
    <t>渡り鳥が飛んでいく。</t>
  </si>
  <si>
    <t>Chim di cư bay đi.</t>
  </si>
  <si>
    <t>聴講</t>
  </si>
  <si>
    <t>ちょうこう</t>
  </si>
  <si>
    <t>聴講[ちょうこう]</t>
  </si>
  <si>
    <t>sự dự nghe</t>
  </si>
  <si>
    <t>講義を聴講する。</t>
  </si>
  <si>
    <t>Dự nghe bài giảng.</t>
  </si>
  <si>
    <t>肉親</t>
  </si>
  <si>
    <t>にくしん</t>
  </si>
  <si>
    <t>肉親[にくしん]</t>
  </si>
  <si>
    <t>người thân</t>
  </si>
  <si>
    <t>肉親の情。</t>
  </si>
  <si>
    <t>Tình cảm người thân.</t>
  </si>
  <si>
    <t>西日</t>
  </si>
  <si>
    <t>にしび</t>
  </si>
  <si>
    <t>西日[にしび]</t>
  </si>
  <si>
    <t>nắng chiều</t>
  </si>
  <si>
    <t>西日が差し込む。</t>
  </si>
  <si>
    <t>Nắng chiều chiếu vào.</t>
  </si>
  <si>
    <t>へりくだる</t>
  </si>
  <si>
    <t>へりくだった態度。</t>
  </si>
  <si>
    <t>残金</t>
  </si>
  <si>
    <t>ざんきん</t>
  </si>
  <si>
    <t>残金[ざんきん]</t>
  </si>
  <si>
    <t>残金を確認する。</t>
  </si>
  <si>
    <t>Kiểm tra số tiền thừa.</t>
  </si>
  <si>
    <t>滑稽</t>
  </si>
  <si>
    <t>こっけい</t>
  </si>
  <si>
    <t>滑稽[こっけい]</t>
  </si>
  <si>
    <t>buồn cười</t>
  </si>
  <si>
    <t>滑稽な話をする。</t>
  </si>
  <si>
    <t>Kể câu chuyện buồn cười.</t>
  </si>
  <si>
    <t>煙たい</t>
  </si>
  <si>
    <t>けむたい</t>
  </si>
  <si>
    <t>煙[けむ]たい</t>
  </si>
  <si>
    <t>ngộp khói</t>
  </si>
  <si>
    <t>煙たい部屋。</t>
  </si>
  <si>
    <t>Căn phòng ngộp khói.</t>
  </si>
  <si>
    <t>目盛</t>
  </si>
  <si>
    <t>めもり</t>
  </si>
  <si>
    <t>目盛[めもり]</t>
  </si>
  <si>
    <t>vạch chia</t>
  </si>
  <si>
    <t>目盛を読む。</t>
  </si>
  <si>
    <t>Đọc vạch chia.</t>
  </si>
  <si>
    <t>詰る</t>
  </si>
  <si>
    <t>なじる</t>
  </si>
  <si>
    <t>詰[なじ]る</t>
  </si>
  <si>
    <t>quở trách</t>
  </si>
  <si>
    <t>相手を詰る。</t>
  </si>
  <si>
    <t>Quở trách đối phương.</t>
  </si>
  <si>
    <t>躾ける</t>
  </si>
  <si>
    <t>しつける</t>
  </si>
  <si>
    <t>躾[しつ]ける</t>
  </si>
  <si>
    <t>子供を躾ける。</t>
  </si>
  <si>
    <t>Rèn luyện trẻ em.</t>
  </si>
  <si>
    <t>あくどい</t>
  </si>
  <si>
    <t>gian xảo</t>
  </si>
  <si>
    <t>あくどい商売をする。</t>
  </si>
  <si>
    <t>Làm việc buôn bán gian xảo.</t>
  </si>
  <si>
    <t>ずぶぬれ</t>
  </si>
  <si>
    <t>ướt sũng</t>
  </si>
  <si>
    <t>雨でずぶぬれだ。</t>
  </si>
  <si>
    <t>Bị ướt sũng vì mưa.</t>
  </si>
  <si>
    <t>欲深い</t>
  </si>
  <si>
    <t>よくぶかい</t>
  </si>
  <si>
    <t>欲深[よくぶか]い</t>
  </si>
  <si>
    <t>tham lam</t>
  </si>
  <si>
    <t>欲深い人にはなりたくない。</t>
  </si>
  <si>
    <t>Tôi không muốn trở thành người tham lam.</t>
  </si>
  <si>
    <t>焚火</t>
  </si>
  <si>
    <t>たきび</t>
  </si>
  <si>
    <t>焚火[たきび]</t>
  </si>
  <si>
    <t>lửa trại</t>
  </si>
  <si>
    <t>焚火を囲む。</t>
  </si>
  <si>
    <t>Quây quần bên đống lửa trại.</t>
  </si>
  <si>
    <t>熱湯</t>
  </si>
  <si>
    <t>ねっとう</t>
  </si>
  <si>
    <t>熱湯[ねっとう]</t>
  </si>
  <si>
    <t>nước sôi</t>
  </si>
  <si>
    <t>熱湯を注ぐ。</t>
  </si>
  <si>
    <t>Rót nước sôi.</t>
  </si>
  <si>
    <t>i</t>
  </si>
  <si>
    <t>I am a student here.</t>
  </si>
  <si>
    <t>Tôi là một sinh viên tại đây.</t>
  </si>
  <si>
    <t>see</t>
  </si>
  <si>
    <t>nhìn thấy</t>
  </si>
  <si>
    <t>I can see the mountains clearly.</t>
  </si>
  <si>
    <t>Tôi có thể nhìn thấy những ngọn núi rõ ràng.</t>
  </si>
  <si>
    <t>trong</t>
  </si>
  <si>
    <t>It is in the box.</t>
  </si>
  <si>
    <t>Nó ở trong chiếc hộp.</t>
  </si>
  <si>
    <t>I go to work daily.</t>
  </si>
  <si>
    <t>Tôi đi làm hàng ngày.</t>
  </si>
  <si>
    <t>of</t>
  </si>
  <si>
    <t>của</t>
  </si>
  <si>
    <t>The cover of the book.</t>
  </si>
  <si>
    <t>Bìa của cuốn sách.</t>
  </si>
  <si>
    <t>have</t>
  </si>
  <si>
    <t>I have a new car.</t>
  </si>
  <si>
    <t>Tôi có một chiếc xe mới.</t>
  </si>
  <si>
    <t>it</t>
  </si>
  <si>
    <t>nó</t>
  </si>
  <si>
    <t>It is a nice day.</t>
  </si>
  <si>
    <t>Hôm nay là một ngày đẹp trời.</t>
  </si>
  <si>
    <t>go</t>
  </si>
  <si>
    <t>We should go home now.</t>
  </si>
  <si>
    <t>Chúng ta nên đi về nhà ngay.</t>
  </si>
  <si>
    <t>could</t>
  </si>
  <si>
    <t>Could you help me?</t>
  </si>
  <si>
    <t>Bạn có thể giúp tôi không?</t>
  </si>
  <si>
    <t>second</t>
  </si>
  <si>
    <t>He finished in second place.</t>
  </si>
  <si>
    <t>Anh ấy về đích ở vị trí thứ hai.</t>
  </si>
  <si>
    <t>so</t>
  </si>
  <si>
    <t>vậy nên</t>
  </si>
  <si>
    <t>He was tired, so slept.</t>
  </si>
  <si>
    <t>Anh ấy mệt, vậy nên đã ngủ.</t>
  </si>
  <si>
    <t>some</t>
  </si>
  <si>
    <t>một vài</t>
  </si>
  <si>
    <t>I need some water now.</t>
  </si>
  <si>
    <t>Bây giờ tôi cần một ít nước.</t>
  </si>
  <si>
    <t>he</t>
  </si>
  <si>
    <t>He is my best friend.</t>
  </si>
  <si>
    <t>Anh ấy là bạn thân nhất của tôi.</t>
  </si>
  <si>
    <t>can</t>
  </si>
  <si>
    <t>I can do it.</t>
  </si>
  <si>
    <t>Tôi có thể làm được.</t>
  </si>
  <si>
    <t>not</t>
  </si>
  <si>
    <t>I am not ready yet.</t>
  </si>
  <si>
    <t>Tôi chưa sẵn sàng.</t>
  </si>
  <si>
    <t>but</t>
  </si>
  <si>
    <t>It is small but nice.</t>
  </si>
  <si>
    <t>Nó nhỏ nhưng đẹp.</t>
  </si>
  <si>
    <t>she</t>
  </si>
  <si>
    <t>She is a kind person.</t>
  </si>
  <si>
    <t>Cô ấy là một người tốt bụng.</t>
  </si>
  <si>
    <t>on</t>
  </si>
  <si>
    <t>The book is on the desk.</t>
  </si>
  <si>
    <t>Cuốn sách nằm trên bàn.</t>
  </si>
  <si>
    <t>get</t>
  </si>
  <si>
    <t>Can you get my bag?</t>
  </si>
  <si>
    <t>Bạn có thể lấy túi giúp tôi không?</t>
  </si>
  <si>
    <t>Do the daily work.</t>
  </si>
  <si>
    <t>Làm công việc hằng ngày.</t>
  </si>
  <si>
    <t>be</t>
  </si>
  <si>
    <t>thì</t>
  </si>
  <si>
    <t>I will be there soon.</t>
  </si>
  <si>
    <t>Tôi sẽ ở đó sớm thôi.</t>
  </si>
  <si>
    <t>by</t>
  </si>
  <si>
    <t>bởi</t>
  </si>
  <si>
    <t>Written by a student.</t>
  </si>
  <si>
    <t>Được viết bởi một học sinh.</t>
  </si>
  <si>
    <t>and</t>
  </si>
  <si>
    <t>Red, blue, and green colors.</t>
  </si>
  <si>
    <t>Màu đỏ, xanh dương, và xanh lá.</t>
  </si>
  <si>
    <t>that</t>
  </si>
  <si>
    <t>That is a beautiful car.</t>
  </si>
  <si>
    <t>Đó là một chiếc xe hơi đẹp.</t>
  </si>
  <si>
    <t>his</t>
  </si>
  <si>
    <t>của anh ấy</t>
  </si>
  <si>
    <t>This is his new car.</t>
  </si>
  <si>
    <t>Đây là chiếc xe mới của anh ấy.</t>
  </si>
  <si>
    <t>give</t>
  </si>
  <si>
    <t>đưa</t>
  </si>
  <si>
    <t>Please give me the book.</t>
  </si>
  <si>
    <t>Làm ơn đưa tôi cuốn sách đó.</t>
  </si>
  <si>
    <t>this</t>
  </si>
  <si>
    <t>This is my favorite book.</t>
  </si>
  <si>
    <t>Đây là cuốn sách yêu thích của tôi.</t>
  </si>
  <si>
    <t>her</t>
  </si>
  <si>
    <t>I gave her the book.</t>
  </si>
  <si>
    <t>Tôi đã đưa cô ấy cuốn sách.</t>
  </si>
  <si>
    <t>they</t>
  </si>
  <si>
    <t>They are my best friends.</t>
  </si>
  <si>
    <t>Họ là những người bạn tốt nhất của tôi.</t>
  </si>
  <si>
    <t>something</t>
  </si>
  <si>
    <t>thứ gì đó</t>
  </si>
  <si>
    <t>I want something to eat.</t>
  </si>
  <si>
    <t>Tôi muốn thứ gì đó để ăn.</t>
  </si>
  <si>
    <t>just</t>
  </si>
  <si>
    <t>vừa mới</t>
  </si>
  <si>
    <t>I have just finished work.</t>
  </si>
  <si>
    <t>Tôi vừa mới hoàn thành công việc.</t>
  </si>
  <si>
    <t>all</t>
  </si>
  <si>
    <t>All of them are here.</t>
  </si>
  <si>
    <t>Tất cả họ đều ở đây.</t>
  </si>
  <si>
    <t>than</t>
  </si>
  <si>
    <t>so với</t>
  </si>
  <si>
    <t>He is taller than me.</t>
  </si>
  <si>
    <t>Anh ấy cao hơn tôi.</t>
  </si>
  <si>
    <t>or</t>
  </si>
  <si>
    <t>Do you want tea or coffee?</t>
  </si>
  <si>
    <t>Bạn muốn trà hay cà phê?</t>
  </si>
  <si>
    <t>day</t>
  </si>
  <si>
    <t>Work every single day.</t>
  </si>
  <si>
    <t>Làm việc mỗi ngày.</t>
  </si>
  <si>
    <t>if</t>
  </si>
  <si>
    <t>Call me if you need.</t>
  </si>
  <si>
    <t>Hãy gọi cho tôi nếu bạn cần.</t>
  </si>
  <si>
    <t>with</t>
  </si>
  <si>
    <t>Come with me right now.</t>
  </si>
  <si>
    <t>Hãy đi với tôi ngay bây giờ.</t>
  </si>
  <si>
    <t>you</t>
  </si>
  <si>
    <t>How are you today now?</t>
  </si>
  <si>
    <t>Hôm nay bạn khỏe không?</t>
  </si>
  <si>
    <t>one</t>
  </si>
  <si>
    <t>I have only one apple.</t>
  </si>
  <si>
    <t>Tôi chỉ có một quả táo.</t>
  </si>
  <si>
    <t>at</t>
  </si>
  <si>
    <t>Meet me at the office.</t>
  </si>
  <si>
    <t>Hãy gặp tôi tại văn phòng.</t>
  </si>
  <si>
    <t>new</t>
  </si>
  <si>
    <t>She bought a new car.</t>
  </si>
  <si>
    <t>Cô ấy đã mua một chiếc xe hơi mới.</t>
  </si>
  <si>
    <t>for</t>
  </si>
  <si>
    <t>This gift is for you.</t>
  </si>
  <si>
    <t>Món quà này là dành cho bạn.</t>
  </si>
  <si>
    <t>good</t>
  </si>
  <si>
    <t>This is a good idea.</t>
  </si>
  <si>
    <t>Đây là một ý tưởng tốt.</t>
  </si>
  <si>
    <t>as</t>
  </si>
  <si>
    <t>như</t>
  </si>
  <si>
    <t>Work as a team today.</t>
  </si>
  <si>
    <t>Hãy làm việc như một đội hôm nay.</t>
  </si>
  <si>
    <t>should</t>
  </si>
  <si>
    <t>nên</t>
  </si>
  <si>
    <t>You should study harder now.</t>
  </si>
  <si>
    <t>Bây giờ bạn nên học chăm chỉ hơn.</t>
  </si>
  <si>
    <t>from</t>
  </si>
  <si>
    <t>từ</t>
  </si>
  <si>
    <t>I come from Vietnam today.</t>
  </si>
  <si>
    <t>Hôm nay tôi đến từ Việt Nam.</t>
  </si>
  <si>
    <t>will</t>
  </si>
  <si>
    <t>sẽ</t>
  </si>
  <si>
    <t>I will do it now.</t>
  </si>
  <si>
    <t>Tôi sẽ làm việc đó bây giờ.</t>
  </si>
  <si>
    <t>about</t>
  </si>
  <si>
    <t>We talked about the project.</t>
  </si>
  <si>
    <t>Chúng tôi đã nói về dự án.</t>
  </si>
  <si>
    <t>their</t>
  </si>
  <si>
    <t>của họ</t>
  </si>
  <si>
    <t>They lost their big house.</t>
  </si>
  <si>
    <t>Họ đã mất ngôi nhà lớn của họ.</t>
  </si>
  <si>
    <t>what</t>
  </si>
  <si>
    <t>What do you want today?</t>
  </si>
  <si>
    <t>Hôm nay bạn muốn cái gì?</t>
  </si>
  <si>
    <t>think</t>
  </si>
  <si>
    <t>I think he is right.</t>
  </si>
  <si>
    <t>Tôi nghĩ anh ấy đúng.</t>
  </si>
  <si>
    <t>how</t>
  </si>
  <si>
    <t>How do you make this?</t>
  </si>
  <si>
    <t>Bạn làm điều này như thế nào?</t>
  </si>
  <si>
    <t>people</t>
  </si>
  <si>
    <t>People like to travel often.</t>
  </si>
  <si>
    <t>Mọi người thường thích đi du lịch.</t>
  </si>
  <si>
    <t>into</t>
  </si>
  <si>
    <t>vào trong</t>
  </si>
  <si>
    <t>He went into the room.</t>
  </si>
  <si>
    <t>Anh ấy đã đi vào trong căn phòng.</t>
  </si>
  <si>
    <t>set</t>
  </si>
  <si>
    <t>Set the alarm for seven.</t>
  </si>
  <si>
    <t>Hãy thiết lập báo thức lúc bảy giờ.</t>
  </si>
  <si>
    <t>we</t>
  </si>
  <si>
    <t>We go to school today.</t>
  </si>
  <si>
    <t>Hôm nay chúng tôi đi đến trường.</t>
  </si>
  <si>
    <t>time</t>
  </si>
  <si>
    <t>What time is it now?</t>
  </si>
  <si>
    <t>show</t>
  </si>
  <si>
    <t>Show me your work please.</t>
  </si>
  <si>
    <t>Vui lòng cho tôi xem công việc của bạn.</t>
  </si>
  <si>
    <t>start</t>
  </si>
  <si>
    <t>Start the project right now.</t>
  </si>
  <si>
    <t>Hãy bắt đầu dự án ngay bây giờ.</t>
  </si>
  <si>
    <t>when</t>
  </si>
  <si>
    <t>When will you come home?</t>
  </si>
  <si>
    <t>Khi nào bạn sẽ về nhà?</t>
  </si>
  <si>
    <t>which</t>
  </si>
  <si>
    <t>Which one do you want?</t>
  </si>
  <si>
    <t>Bạn muốn cái nào?</t>
  </si>
  <si>
    <t>its</t>
  </si>
  <si>
    <t>của nó</t>
  </si>
  <si>
    <t>The dog wagged its tail.</t>
  </si>
  <si>
    <t>Con chó đã vẫy cái đuôi của nó.</t>
  </si>
  <si>
    <t>him</t>
  </si>
  <si>
    <t>I saw him at park.</t>
  </si>
  <si>
    <t>Tôi đã thấy anh ấy tại công viên.</t>
  </si>
  <si>
    <t>since</t>
  </si>
  <si>
    <t>từ khi</t>
  </si>
  <si>
    <t>I worked here since May.</t>
  </si>
  <si>
    <t>Tôi đã làm việc ở đây từ tháng năm.</t>
  </si>
  <si>
    <t>no</t>
  </si>
  <si>
    <t>No, I cannot go today.</t>
  </si>
  <si>
    <t>Không, tôi không thể đi hôm nay.</t>
  </si>
  <si>
    <t>come</t>
  </si>
  <si>
    <t>Come here right now.</t>
  </si>
  <si>
    <t>Đến đây ngay lập tức nhé.</t>
  </si>
  <si>
    <t>still</t>
  </si>
  <si>
    <t>He is still working now.</t>
  </si>
  <si>
    <t>Anh ấy vẫn đang làm việc bây giờ.</t>
  </si>
  <si>
    <t>need</t>
  </si>
  <si>
    <t>I need more time.</t>
  </si>
  <si>
    <t>Tôi cần thêm thời gian.</t>
  </si>
  <si>
    <t>take</t>
  </si>
  <si>
    <t>Please take a seat here.</t>
  </si>
  <si>
    <t>Vui lòng lấy một chỗ ngồi ở đây.</t>
  </si>
  <si>
    <t>very</t>
  </si>
  <si>
    <t>She is very smart today.</t>
  </si>
  <si>
    <t>Hôm nay cô ấy rất thông minh.</t>
  </si>
  <si>
    <t>them</t>
  </si>
  <si>
    <t>I will call them later.</t>
  </si>
  <si>
    <t>Tôi sẽ gọi họ sau.</t>
  </si>
  <si>
    <t>our</t>
  </si>
  <si>
    <t>của chúng tôi</t>
  </si>
  <si>
    <t>This is our new house.</t>
  </si>
  <si>
    <t>Đây là ngôi nhà mới của chúng tôi.</t>
  </si>
  <si>
    <t>bring</t>
  </si>
  <si>
    <t>Bring your laptop today.</t>
  </si>
  <si>
    <t>Hôm nay hãy mang theo máy tính.</t>
  </si>
  <si>
    <t>book</t>
  </si>
  <si>
    <t>cuốn sách</t>
  </si>
  <si>
    <t>I read a good book.</t>
  </si>
  <si>
    <t>Tôi đã đọc một cuốn sách hay.</t>
  </si>
  <si>
    <t>great</t>
  </si>
  <si>
    <t>We had a great time.</t>
  </si>
  <si>
    <t>Chúng tôi đã có một thời gian tuyệt vời.</t>
  </si>
  <si>
    <t>here</t>
  </si>
  <si>
    <t>tại đây</t>
  </si>
  <si>
    <t>Please come over here now.</t>
  </si>
  <si>
    <t>Làm ơn hãy đến đây ngay bây giờ.</t>
  </si>
  <si>
    <t>now</t>
  </si>
  <si>
    <t>We must start now.</t>
  </si>
  <si>
    <t>Chúng ta phải bắt đầu bây giờ.</t>
  </si>
  <si>
    <t>car</t>
  </si>
  <si>
    <t>xe hơi</t>
  </si>
  <si>
    <t>Drive your car carefully.</t>
  </si>
  <si>
    <t>Lái xe hơi cẩn thận nhé.</t>
  </si>
  <si>
    <t>make</t>
  </si>
  <si>
    <t>Make a plan for tomorrow.</t>
  </si>
  <si>
    <t>Hãy tạo ra một kế hoạch cho ngày mai.</t>
  </si>
  <si>
    <t>seem</t>
  </si>
  <si>
    <t>có vẻ</t>
  </si>
  <si>
    <t>You seem happy today.</t>
  </si>
  <si>
    <t>Hôm nay bạn có vẻ vui vẻ.</t>
  </si>
  <si>
    <t>know</t>
  </si>
  <si>
    <t>Do you know the answer?</t>
  </si>
  <si>
    <t>Bạn có biết câu trả lời không?</t>
  </si>
  <si>
    <t>also</t>
  </si>
  <si>
    <t>cũng</t>
  </si>
  <si>
    <t>I also want to go.</t>
  </si>
  <si>
    <t>Tôi cũng muốn đi.</t>
  </si>
  <si>
    <t>stop</t>
  </si>
  <si>
    <t>Stop the car right here.</t>
  </si>
  <si>
    <t>Hãy dừng chiếc xe ngay tại đây.</t>
  </si>
  <si>
    <t>two</t>
  </si>
  <si>
    <t>I need two white cups.</t>
  </si>
  <si>
    <t>Tôi cần hai cái cốc trắng.</t>
  </si>
  <si>
    <t>put</t>
  </si>
  <si>
    <t>Please put the book on desk.</t>
  </si>
  <si>
    <t>Làm ơn đặt cuốn sách lên bàn.</t>
  </si>
  <si>
    <t>small</t>
  </si>
  <si>
    <t>The cat is very small.</t>
  </si>
  <si>
    <t>Con mèo rất nhỏ.</t>
  </si>
  <si>
    <t>What did you say to her?</t>
  </si>
  <si>
    <t>Bạn đã nói gì với cô ấy?</t>
  </si>
  <si>
    <t>would</t>
  </si>
  <si>
    <t>I would like some tea.</t>
  </si>
  <si>
    <t>Tôi muốn một ít trà.</t>
  </si>
  <si>
    <t>tell</t>
  </si>
  <si>
    <t>Please tell me the truth.</t>
  </si>
  <si>
    <t>Làm ơn hãy kể cho tôi sự thật.</t>
  </si>
  <si>
    <t>who</t>
  </si>
  <si>
    <t>Who is that person there?</t>
  </si>
  <si>
    <t>Ai là người đó ở đằng kia?</t>
  </si>
  <si>
    <t>there</t>
  </si>
  <si>
    <t>ở đó</t>
  </si>
  <si>
    <t>Please put it over there.</t>
  </si>
  <si>
    <t>Làm ơn đặt nó ở đằng kia.</t>
  </si>
  <si>
    <t>way</t>
  </si>
  <si>
    <t>cách</t>
  </si>
  <si>
    <t>This is the best way.</t>
  </si>
  <si>
    <t>Đây là cách tốt nhất.</t>
  </si>
  <si>
    <t>us</t>
  </si>
  <si>
    <t>They will call us later.</t>
  </si>
  <si>
    <t>Họ sẽ gọi chúng tôi sau.</t>
  </si>
  <si>
    <t>call</t>
  </si>
  <si>
    <t>gọi điện</t>
  </si>
  <si>
    <t>Please call me later.</t>
  </si>
  <si>
    <t>Làm ơn gọi cho tôi sau.</t>
  </si>
  <si>
    <t>country</t>
  </si>
  <si>
    <t>Visit a new country.</t>
  </si>
  <si>
    <t>Thăm một quốc gia mới.</t>
  </si>
  <si>
    <t>body</t>
  </si>
  <si>
    <t>Exercise helps your body.</t>
  </si>
  <si>
    <t>Tập thể dục tốt cho cơ thể.</t>
  </si>
  <si>
    <t>then</t>
  </si>
  <si>
    <t>He ate and then left.</t>
  </si>
  <si>
    <t>Anh ấy ăn và sau đó rời đi.</t>
  </si>
  <si>
    <t>want</t>
  </si>
  <si>
    <t>Do you want some coffee?</t>
  </si>
  <si>
    <t>Bạn có muốn uống chút cà phê không?</t>
  </si>
  <si>
    <t>other</t>
  </si>
  <si>
    <t>Do you have other ideas?</t>
  </si>
  <si>
    <t>Bạn có ý tưởng nào khác không?</t>
  </si>
  <si>
    <t>keep</t>
  </si>
  <si>
    <t>Keep your desk clean daily.</t>
  </si>
  <si>
    <t>Hãy giữ bàn làm việc của bạn sạch sẽ hằng ngày.</t>
  </si>
  <si>
    <t>up</t>
  </si>
  <si>
    <t>Please look up the sky.</t>
  </si>
  <si>
    <t>Làm ơn hãy nhìn lên bầu trời.</t>
  </si>
  <si>
    <t>send</t>
  </si>
  <si>
    <t>Please send the email now.</t>
  </si>
  <si>
    <t>Vui lòng gửi email ngay bây giờ.</t>
  </si>
  <si>
    <t>thing</t>
  </si>
  <si>
    <t>What is that strange thing?</t>
  </si>
  <si>
    <t>Thứ kỳ lạ đó là gì?</t>
  </si>
  <si>
    <t>business</t>
  </si>
  <si>
    <t>He started a business.</t>
  </si>
  <si>
    <t>Anh ấy bắt đầu việc kinh doanh.</t>
  </si>
  <si>
    <t>most</t>
  </si>
  <si>
    <t>nhiều nhất</t>
  </si>
  <si>
    <t>Most people like it here.</t>
  </si>
  <si>
    <t>Hầu hết mọi người đều thích nó ở đây.</t>
  </si>
  <si>
    <t>story</t>
  </si>
  <si>
    <t>She told a long story.</t>
  </si>
  <si>
    <t>Cô ấy đã kể một câu chuyện dài.</t>
  </si>
  <si>
    <t>state</t>
  </si>
  <si>
    <t>The machine is in state.</t>
  </si>
  <si>
    <t>Cỗ máy đang ở trạng thái hoạt động.</t>
  </si>
  <si>
    <t>important</t>
  </si>
  <si>
    <t>This meeting is very important.</t>
  </si>
  <si>
    <t>Cuộc họp này rất quan trọng.</t>
  </si>
  <si>
    <t>life</t>
  </si>
  <si>
    <t>He has a good life.</t>
  </si>
  <si>
    <t>Anh ấy có một cuộc sống tốt.</t>
  </si>
  <si>
    <t>however</t>
  </si>
  <si>
    <t>I am tired; however, work.</t>
  </si>
  <si>
    <t>Tôi mệt; tuy nhiên, tôi vẫn làm việc.</t>
  </si>
  <si>
    <t>more</t>
  </si>
  <si>
    <t>nhiều hơn</t>
  </si>
  <si>
    <t>I need more time now.</t>
  </si>
  <si>
    <t>Bây giờ tôi cần nhiều thời gian hơn.</t>
  </si>
  <si>
    <t>city</t>
  </si>
  <si>
    <t>This is a big city.</t>
  </si>
  <si>
    <t>Đây là một thành phố lớn.</t>
  </si>
  <si>
    <t>last</t>
  </si>
  <si>
    <t>This is the last chance.</t>
  </si>
  <si>
    <t>Đây là cơ hội cuối cùng.</t>
  </si>
  <si>
    <t>through</t>
  </si>
  <si>
    <t>We worked through the night.</t>
  </si>
  <si>
    <t>Chúng tôi đã làm việc suốt đêm.</t>
  </si>
  <si>
    <t>next</t>
  </si>
  <si>
    <t>What is the next step?</t>
  </si>
  <si>
    <t>Bước tiếp theo là gì?</t>
  </si>
  <si>
    <t>change</t>
  </si>
  <si>
    <t>Change your plan now.</t>
  </si>
  <si>
    <t>Thay đổi kế hoạch của bạn đi.</t>
  </si>
  <si>
    <t>even</t>
  </si>
  <si>
    <t>thậm chí</t>
  </si>
  <si>
    <t>It is even better now.</t>
  </si>
  <si>
    <t>Bây giờ nó thậm chí còn tốt hơn.</t>
  </si>
  <si>
    <t>out</t>
  </si>
  <si>
    <t>They went out to play.</t>
  </si>
  <si>
    <t>Họ đã đi ra ngoài chơi.</t>
  </si>
  <si>
    <t>first</t>
  </si>
  <si>
    <t>This is my first time.</t>
  </si>
  <si>
    <t>Đây là lần đầu tiên của tôi.</t>
  </si>
  <si>
    <t>house</t>
  </si>
  <si>
    <t>ngôi nhà</t>
  </si>
  <si>
    <t>This is my new house.</t>
  </si>
  <si>
    <t>Đây là ngôi nhà mới của tôi.</t>
  </si>
  <si>
    <t>help</t>
  </si>
  <si>
    <t>Can you help me now?</t>
  </si>
  <si>
    <t>Bạn có thể giúp tôi ngay bây giờ không?</t>
  </si>
  <si>
    <t>such</t>
  </si>
  <si>
    <t>như vậy</t>
  </si>
  <si>
    <t>I have never seen such.</t>
  </si>
  <si>
    <t>Tôi chưa bao giờ thấy như vậy.</t>
  </si>
  <si>
    <t>company</t>
  </si>
  <si>
    <t>I work for company.</t>
  </si>
  <si>
    <t>Tôi làm việc cho công ty.</t>
  </si>
  <si>
    <t>your</t>
  </si>
  <si>
    <t>của bạn</t>
  </si>
  <si>
    <t>Is this your pen here?</t>
  </si>
  <si>
    <t>Đây có phải là cây bút của bạn không?</t>
  </si>
  <si>
    <t>try</t>
  </si>
  <si>
    <t>Please try to do this.</t>
  </si>
  <si>
    <t>Làm ơn cố gắng làm việc này.</t>
  </si>
  <si>
    <t>use</t>
  </si>
  <si>
    <t>Please use this tool today.</t>
  </si>
  <si>
    <t>Hôm nay hãy sử dụng công cụ này.</t>
  </si>
  <si>
    <t>service</t>
  </si>
  <si>
    <t>The customer service is great.</t>
  </si>
  <si>
    <t>Dịch vụ khách hàng thật tuyệt vời.</t>
  </si>
  <si>
    <t>my</t>
  </si>
  <si>
    <t>của tôi</t>
  </si>
  <si>
    <t>This is my new car.</t>
  </si>
  <si>
    <t>Đây là chiếc xe hơi mới của tôi.</t>
  </si>
  <si>
    <t>really</t>
  </si>
  <si>
    <t>This is really good news today.</t>
  </si>
  <si>
    <t>Hôm nay đây thực sự là tin tốt.</t>
  </si>
  <si>
    <t>both</t>
  </si>
  <si>
    <t>Both are very good.</t>
  </si>
  <si>
    <t>Cả hai đều rất tốt.</t>
  </si>
  <si>
    <t>because</t>
  </si>
  <si>
    <t>I stay because I like.</t>
  </si>
  <si>
    <t>Tôi ở lại bởi vì tôi thích.</t>
  </si>
  <si>
    <t>support</t>
  </si>
  <si>
    <t>hỗ trợ</t>
  </si>
  <si>
    <t>I will support you now.</t>
  </si>
  <si>
    <t>Bây giờ tôi sẽ hỗ trợ bạn.</t>
  </si>
  <si>
    <t>social</t>
  </si>
  <si>
    <t>It is a social event.</t>
  </si>
  <si>
    <t>Đó là một sự kiện xã hội.</t>
  </si>
  <si>
    <t>child</t>
  </si>
  <si>
    <t>The child plays outside.</t>
  </si>
  <si>
    <t>Đứa trẻ đang chơi bên ngoài.</t>
  </si>
  <si>
    <t>girl</t>
  </si>
  <si>
    <t>cô gái</t>
  </si>
  <si>
    <t>The girl is playing outside.</t>
  </si>
  <si>
    <t>Cô gái đang chơi bên ngoài.</t>
  </si>
  <si>
    <t>stay</t>
  </si>
  <si>
    <t>Stay here with us now.</t>
  </si>
  <si>
    <t>Bây giờ hãy ở lại đây với chúng tôi.</t>
  </si>
  <si>
    <t>where</t>
  </si>
  <si>
    <t>Where is my blue pen?</t>
  </si>
  <si>
    <t>Cây bút xanh của tôi ở đâu?</t>
  </si>
  <si>
    <t>hear</t>
  </si>
  <si>
    <t>I can hear you clearly.</t>
  </si>
  <si>
    <t>Tôi có thể nghe bạn rõ ràng.</t>
  </si>
  <si>
    <t>side</t>
  </si>
  <si>
    <t>Look at the other side.</t>
  </si>
  <si>
    <t>Hãy nhìn vào phía bên kia.</t>
  </si>
  <si>
    <t>look</t>
  </si>
  <si>
    <t>nhìn</t>
  </si>
  <si>
    <t>Look at the screen now.</t>
  </si>
  <si>
    <t>Hãy nhìn vào màn hình đi.</t>
  </si>
  <si>
    <t>sit</t>
  </si>
  <si>
    <t>Please sit down right here.</t>
  </si>
  <si>
    <t>Vui lòng ngồi xuống ngay đây.</t>
  </si>
  <si>
    <t>stand</t>
  </si>
  <si>
    <t>Please stand up right now.</t>
  </si>
  <si>
    <t>Vui lòng đứng dậy ngay bây giờ.</t>
  </si>
  <si>
    <t>group</t>
  </si>
  <si>
    <t>The group works well together.</t>
  </si>
  <si>
    <t>Nhóm đó làm việc với nhau tốt.</t>
  </si>
  <si>
    <t>different</t>
  </si>
  <si>
    <t>Try a different approach.</t>
  </si>
  <si>
    <t>Thử một cách tiếp cận khác.</t>
  </si>
  <si>
    <t>home</t>
  </si>
  <si>
    <t>I want to go home.</t>
  </si>
  <si>
    <t>Tôi muốn về nhà.</t>
  </si>
  <si>
    <t>each</t>
  </si>
  <si>
    <t>mỗi</t>
  </si>
  <si>
    <t>Give each person one.</t>
  </si>
  <si>
    <t>Đưa cho mỗi người một cái.</t>
  </si>
  <si>
    <t>only</t>
  </si>
  <si>
    <t>I have only five dollars.</t>
  </si>
  <si>
    <t>Tôi chỉ có năm đô la.</t>
  </si>
  <si>
    <t>buy</t>
  </si>
  <si>
    <t>I want to buy this.</t>
  </si>
  <si>
    <t>Tôi muốn mua cái này.</t>
  </si>
  <si>
    <t>again</t>
  </si>
  <si>
    <t>lại</t>
  </si>
  <si>
    <t>Please say that again now.</t>
  </si>
  <si>
    <t>Bây giờ vui lòng nói lại điều đó.</t>
  </si>
  <si>
    <t>after</t>
  </si>
  <si>
    <t>We left after the meeting.</t>
  </si>
  <si>
    <t>Chúng tôi rời đi sau cuộc họp.</t>
  </si>
  <si>
    <t>old</t>
  </si>
  <si>
    <t>This is an old house.</t>
  </si>
  <si>
    <t>Đây là một ngôi nhà cũ.</t>
  </si>
  <si>
    <t>blue</t>
  </si>
  <si>
    <t>The sky is blue today.</t>
  </si>
  <si>
    <t>Hôm nay bầu trời màu xanh.</t>
  </si>
  <si>
    <t>never</t>
  </si>
  <si>
    <t>không bao giờ</t>
  </si>
  <si>
    <t>I will never give up.</t>
  </si>
  <si>
    <t>Tôi sẽ không bao giờ bỏ cuộc.</t>
  </si>
  <si>
    <t>control</t>
  </si>
  <si>
    <t>Take control of it.</t>
  </si>
  <si>
    <t>Hãy kiểm soát việc đó.</t>
  </si>
  <si>
    <t>job</t>
  </si>
  <si>
    <t>I have a new job.</t>
  </si>
  <si>
    <t>Tôi có một công việc mới.</t>
  </si>
  <si>
    <t>often</t>
  </si>
  <si>
    <t>We often play together.</t>
  </si>
  <si>
    <t>Chúng tôi thường chơi cùng nhau.</t>
  </si>
  <si>
    <t>down</t>
  </si>
  <si>
    <t>Go down the stairs.</t>
  </si>
  <si>
    <t>Đi xuống cầu thang.</t>
  </si>
  <si>
    <t>well</t>
  </si>
  <si>
    <t>He sings very well today.</t>
  </si>
  <si>
    <t>Hôm nay anh ấy hát rất tốt.</t>
  </si>
  <si>
    <t>too</t>
  </si>
  <si>
    <t>It is too hot here.</t>
  </si>
  <si>
    <t>Ở đây quá nóng.</t>
  </si>
  <si>
    <t>sell</t>
  </si>
  <si>
    <t>They sell high-quality electronics.</t>
  </si>
  <si>
    <t>Họ bán đồ điện tử chất lượng cao.</t>
  </si>
  <si>
    <t>simply</t>
  </si>
  <si>
    <t>một cách đơn giản</t>
  </si>
  <si>
    <t>Simply follow the instructions provided.</t>
  </si>
  <si>
    <t>Đơn giản là hãy làm theo các hướng dẫn được cung cấp.</t>
  </si>
  <si>
    <t>sometimes</t>
  </si>
  <si>
    <t>I sometimes go there alone.</t>
  </si>
  <si>
    <t>Tôi thỉnh thoảng đến đó một mình.</t>
  </si>
  <si>
    <t>situation</t>
  </si>
  <si>
    <t>tình huống</t>
  </si>
  <si>
    <t>Handle the situation with care.</t>
  </si>
  <si>
    <t>Hãy giải quyết tình huống một cách cẩn thận.</t>
  </si>
  <si>
    <t>case</t>
  </si>
  <si>
    <t>In that case, okay.</t>
  </si>
  <si>
    <t>Trong trường hợp đó, được thôi.</t>
  </si>
  <si>
    <t>around</t>
  </si>
  <si>
    <t>People stand around the table.</t>
  </si>
  <si>
    <t>Mọi người đứng xung quanh cái bàn.</t>
  </si>
  <si>
    <t>talk</t>
  </si>
  <si>
    <t>We need to talk now.</t>
  </si>
  <si>
    <t>Chúng ta cần nói chuyện bây giờ.</t>
  </si>
  <si>
    <t>during</t>
  </si>
  <si>
    <t>Work during the day.</t>
  </si>
  <si>
    <t>Làm việc trong suốt ban ngày.</t>
  </si>
  <si>
    <t>sure</t>
  </si>
  <si>
    <t>I am sure about it.</t>
  </si>
  <si>
    <t>Tôi chắc chắn về điều đó.</t>
  </si>
  <si>
    <t>cannot</t>
  </si>
  <si>
    <t>không thể</t>
  </si>
  <si>
    <t>I cannot go today.</t>
  </si>
  <si>
    <t>Hôm nay tôi không thể đi.</t>
  </si>
  <si>
    <t>work</t>
  </si>
  <si>
    <t>I have much work today.</t>
  </si>
  <si>
    <t>Hôm nay tôi có nhiều công việc.</t>
  </si>
  <si>
    <t>own</t>
  </si>
  <si>
    <t>của riêng</t>
  </si>
  <si>
    <t>I have my own car.</t>
  </si>
  <si>
    <t>Tôi có chiếc xe của riêng mình.</t>
  </si>
  <si>
    <t>necessary</t>
  </si>
  <si>
    <t>It is necessary to work.</t>
  </si>
  <si>
    <t>Việc làm việc là cần thiết.</t>
  </si>
  <si>
    <t>while</t>
  </si>
  <si>
    <t>trong khi</t>
  </si>
  <si>
    <t>Read while I am gone.</t>
  </si>
  <si>
    <t>Đọc trong khi tôi đi vắng.</t>
  </si>
  <si>
    <t>always</t>
  </si>
  <si>
    <t>She is always very happy.</t>
  </si>
  <si>
    <t>Cô ấy luôn luôn rất vui vẻ.</t>
  </si>
  <si>
    <t>government</t>
  </si>
  <si>
    <t>The government passed the law.</t>
  </si>
  <si>
    <t>Chính phủ đã thông qua đạo luật.</t>
  </si>
  <si>
    <t>against</t>
  </si>
  <si>
    <t>chống lại</t>
  </si>
  <si>
    <t>They fought against the rules.</t>
  </si>
  <si>
    <t>Họ đã đấu tranh chống lại các quy tắc.</t>
  </si>
  <si>
    <t>check</t>
  </si>
  <si>
    <t>Check your work again.</t>
  </si>
  <si>
    <t>Kiểm tra lại công việc đi.</t>
  </si>
  <si>
    <t>find</t>
  </si>
  <si>
    <t>Did you find your keys?</t>
  </si>
  <si>
    <t>Bạn đã tìm thấy chìa khóa chưa?</t>
  </si>
  <si>
    <t>feel</t>
  </si>
  <si>
    <t>I feel very happy today.</t>
  </si>
  <si>
    <t>Hôm nay tôi cảm thấy rất hạnh phúc.</t>
  </si>
  <si>
    <t>family</t>
  </si>
  <si>
    <t>I love my family dearly.</t>
  </si>
  <si>
    <t>Tôi yêu gia đình mình rất nhiều.</t>
  </si>
  <si>
    <t>simple</t>
  </si>
  <si>
    <t>It is a simple answer.</t>
  </si>
  <si>
    <t>Đó là một câu trả lời đơn giản.</t>
  </si>
  <si>
    <t>let</t>
  </si>
  <si>
    <t>Let him finish the work.</t>
  </si>
  <si>
    <t>Hãy để anh ấy hoàn thành công việc.</t>
  </si>
  <si>
    <t>seat</t>
  </si>
  <si>
    <t>Please take your comfortable seat now.</t>
  </si>
  <si>
    <t>Bây giờ vui lòng hãy ngồi vào chỗ ngồi thoải mái của bạn.</t>
  </si>
  <si>
    <t>across</t>
  </si>
  <si>
    <t>She ran across the street.</t>
  </si>
  <si>
    <t>Cô ấy chạy băng qua đường.</t>
  </si>
  <si>
    <t>study</t>
  </si>
  <si>
    <t>việc học</t>
  </si>
  <si>
    <t>Study is very important today.</t>
  </si>
  <si>
    <t>Ngày nay việc học rất quan trọng.</t>
  </si>
  <si>
    <t>student</t>
  </si>
  <si>
    <t>The student studies very hard.</t>
  </si>
  <si>
    <t>Học sinh học rất chăm chỉ.</t>
  </si>
  <si>
    <t>build</t>
  </si>
  <si>
    <t>They build new houses.</t>
  </si>
  <si>
    <t>Họ xây dựng những ngôi nhà mới.</t>
  </si>
  <si>
    <t>place</t>
  </si>
  <si>
    <t>nơi chốn</t>
  </si>
  <si>
    <t>This is a lovely place.</t>
  </si>
  <si>
    <t>Đây là một nơi chốn đáng yêu.</t>
  </si>
  <si>
    <t>back</t>
  </si>
  <si>
    <t>Please come back home soon.</t>
  </si>
  <si>
    <t>Vui lòng sớm trở lại nhà.</t>
  </si>
  <si>
    <t>share</t>
  </si>
  <si>
    <t>chia sẻ</t>
  </si>
  <si>
    <t>Please share your ideas now.</t>
  </si>
  <si>
    <t>Bây giờ vui lòng chia sẻ ý tưởng của bạn.</t>
  </si>
  <si>
    <t>serve</t>
  </si>
  <si>
    <t>phục vụ</t>
  </si>
  <si>
    <t>We serve coffee every morning.</t>
  </si>
  <si>
    <t>Chúng tôi phục vụ cà phê mỗi sáng.</t>
  </si>
  <si>
    <t>any</t>
  </si>
  <si>
    <t>bất kỳ</t>
  </si>
  <si>
    <t>Do you have any questions?</t>
  </si>
  <si>
    <t>Bạn có bất kỳ câu hỏi nào không?</t>
  </si>
  <si>
    <t>leave</t>
  </si>
  <si>
    <t>I must leave work now.</t>
  </si>
  <si>
    <t>Bây giờ tôi phải rời công ty.</t>
  </si>
  <si>
    <t>society</t>
  </si>
  <si>
    <t>Society needs more kindness now.</t>
  </si>
  <si>
    <t>Bây giờ xã hội cần nhiều lòng tốt hơn.</t>
  </si>
  <si>
    <t>boy</t>
  </si>
  <si>
    <t>The boy plays football.</t>
  </si>
  <si>
    <t>Cậu bé đang chơi đá bóng.</t>
  </si>
  <si>
    <t>problem</t>
  </si>
  <si>
    <t>We have a technical problem.</t>
  </si>
  <si>
    <t>Chúng ta có một vấn đề kỹ thuật.</t>
  </si>
  <si>
    <t>number</t>
  </si>
  <si>
    <t>con số</t>
  </si>
  <si>
    <t>What is your phone number?</t>
  </si>
  <si>
    <t>Số điện thoại của bạn là gì?</t>
  </si>
  <si>
    <t>many</t>
  </si>
  <si>
    <t>There are many people here.</t>
  </si>
  <si>
    <t>Có nhiều người ở đây.</t>
  </si>
  <si>
    <t>example</t>
  </si>
  <si>
    <t>Can you give an example?</t>
  </si>
  <si>
    <t>Bạn có thể đưa ra một ví dụ không?</t>
  </si>
  <si>
    <t>person</t>
  </si>
  <si>
    <t>He is a kind person.</t>
  </si>
  <si>
    <t>Anh ấy là một người tốt bụng.</t>
  </si>
  <si>
    <t>much</t>
  </si>
  <si>
    <t>I have much to do.</t>
  </si>
  <si>
    <t>Tôi có nhiều việc phải làm.</t>
  </si>
  <si>
    <t>like</t>
  </si>
  <si>
    <t>I like my new job.</t>
  </si>
  <si>
    <t>Tôi thích công việc mới của mình.</t>
  </si>
  <si>
    <t>before</t>
  </si>
  <si>
    <t>Leave before the sun sets.</t>
  </si>
  <si>
    <t>Hãy đi trước khi mặt trời lặn.</t>
  </si>
  <si>
    <t>add</t>
  </si>
  <si>
    <t>Add some sugar to coffee.</t>
  </si>
  <si>
    <t>Hãy thêm chút đường vào cà phê.</t>
  </si>
  <si>
    <t>another</t>
  </si>
  <si>
    <t>Can I have another one?</t>
  </si>
  <si>
    <t>Tôi có thể lấy cái khác không?</t>
  </si>
  <si>
    <t>water</t>
  </si>
  <si>
    <t>I drink much water daily.</t>
  </si>
  <si>
    <t>Tôi uống nhiều nước hàng ngày.</t>
  </si>
  <si>
    <t>spend</t>
  </si>
  <si>
    <t>dành</t>
  </si>
  <si>
    <t>I spend time on reading.</t>
  </si>
  <si>
    <t>Tôi dành thời gian cho việc đọc.</t>
  </si>
  <si>
    <t>over</t>
  </si>
  <si>
    <t>The bird flew over us.</t>
  </si>
  <si>
    <t>Con chim đã bay trên chúng tôi.</t>
  </si>
  <si>
    <t>short</t>
  </si>
  <si>
    <t>The movie is very short.</t>
  </si>
  <si>
    <t>Bộ phim rất ngắn.</t>
  </si>
  <si>
    <t>strong</t>
  </si>
  <si>
    <t>The wind is very strong.</t>
  </si>
  <si>
    <t>Gió rất mạnh.</t>
  </si>
  <si>
    <t>part</t>
  </si>
  <si>
    <t>This is the best part.</t>
  </si>
  <si>
    <t>Đây là phần tốt nhất.</t>
  </si>
  <si>
    <t>hard</t>
  </si>
  <si>
    <t>This rock is very hard.</t>
  </si>
  <si>
    <t>Tảng đá này rất cứng.</t>
  </si>
  <si>
    <t>must</t>
  </si>
  <si>
    <t>You must finish work now.</t>
  </si>
  <si>
    <t>Bây giờ bạn phải hoàn thành công việc.</t>
  </si>
  <si>
    <t>ask</t>
  </si>
  <si>
    <t>Ask me anything you want.</t>
  </si>
  <si>
    <t>Hãy hỏi tôi bất cứ điều gì bạn muốn.</t>
  </si>
  <si>
    <t>speak</t>
  </si>
  <si>
    <t>Can you speak English well?</t>
  </si>
  <si>
    <t>Bạn có thể nói tiếng Anh tốt không?</t>
  </si>
  <si>
    <t>every</t>
  </si>
  <si>
    <t>Every student has a book.</t>
  </si>
  <si>
    <t>Mỗi học sinh có một cuốn sách.</t>
  </si>
  <si>
    <t>blood</t>
  </si>
  <si>
    <t>He lost much blood now.</t>
  </si>
  <si>
    <t>Bây giờ anh ấy mất nhiều máu.</t>
  </si>
  <si>
    <t>hold</t>
  </si>
  <si>
    <t>Hold my hand very tight.</t>
  </si>
  <si>
    <t>Hãy cầm tay tôi thật chặt.</t>
  </si>
  <si>
    <t>several</t>
  </si>
  <si>
    <t>vài</t>
  </si>
  <si>
    <t>I have several ideas today.</t>
  </si>
  <si>
    <t>Hôm nay tôi có vài ý tưởng.</t>
  </si>
  <si>
    <t>year</t>
  </si>
  <si>
    <t>It was a good year.</t>
  </si>
  <si>
    <t>Đó là một năm tốt lành.</t>
  </si>
  <si>
    <t>me</t>
  </si>
  <si>
    <t>Please listen to me now.</t>
  </si>
  <si>
    <t>Bây giờ hãy lắng nghe tôi.</t>
  </si>
  <si>
    <t>hand</t>
  </si>
  <si>
    <t>She raised her hand up.</t>
  </si>
  <si>
    <t>Cô ấy đã giơ tay lên.</t>
  </si>
  <si>
    <t>night</t>
  </si>
  <si>
    <t>They work during the night.</t>
  </si>
  <si>
    <t>Họ làm việc vào ban đêm.</t>
  </si>
  <si>
    <t>enough</t>
  </si>
  <si>
    <t>Is that enough for you?</t>
  </si>
  <si>
    <t>Điều đó có đủ cho bạn không?</t>
  </si>
  <si>
    <t>open</t>
  </si>
  <si>
    <t>Please open the front door.</t>
  </si>
  <si>
    <t>Vui lòng mở cửa trước.</t>
  </si>
  <si>
    <t>three</t>
  </si>
  <si>
    <t>She has three old cars.</t>
  </si>
  <si>
    <t>Cô ấy có ba chiếc xe cũ.</t>
  </si>
  <si>
    <t>system</t>
  </si>
  <si>
    <t>The system is running smoothly.</t>
  </si>
  <si>
    <t>Hệ thống đang chạy trơn tru.</t>
  </si>
  <si>
    <t>cost</t>
  </si>
  <si>
    <t>The total cost is high.</t>
  </si>
  <si>
    <t>Tổng chi phí rất cao.</t>
  </si>
  <si>
    <t>die</t>
  </si>
  <si>
    <t>Flowers will die soon.</t>
  </si>
  <si>
    <t>Hoa sẽ chết sớm.</t>
  </si>
  <si>
    <t>understand</t>
  </si>
  <si>
    <t>I understand your point now.</t>
  </si>
  <si>
    <t>Bây giờ tôi hiểu quan điểm của bạn.</t>
  </si>
  <si>
    <t>week</t>
  </si>
  <si>
    <t>I work five days weekly.</t>
  </si>
  <si>
    <t>Tôi làm việc năm ngày một tuần.</t>
  </si>
  <si>
    <t>turn</t>
  </si>
  <si>
    <t>Please turn the key now.</t>
  </si>
  <si>
    <t>Bây giờ vui lòng xoay chìa khóa.</t>
  </si>
  <si>
    <t>early</t>
  </si>
  <si>
    <t>An early morning start.</t>
  </si>
  <si>
    <t>Một sự bắt đầu sớm vào buổi sáng.</t>
  </si>
  <si>
    <t>season</t>
  </si>
  <si>
    <t>Spring is my favorite season today.</t>
  </si>
  <si>
    <t>Hôm nay mùa xuân là mùa yêu thích của tôi.</t>
  </si>
  <si>
    <t>serious</t>
  </si>
  <si>
    <t>This is a serious problem.</t>
  </si>
  <si>
    <t>Đây là một vấn đề nghiêm trọng.</t>
  </si>
  <si>
    <t>nothing</t>
  </si>
  <si>
    <t>không có gì</t>
  </si>
  <si>
    <t>There is nothing to fear.</t>
  </si>
  <si>
    <t>Không có gì phải sợ cả.</t>
  </si>
  <si>
    <t>pay</t>
  </si>
  <si>
    <t>I must pay the bill.</t>
  </si>
  <si>
    <t>Tôi phải thanh toán hóa đơn.</t>
  </si>
  <si>
    <t>school</t>
  </si>
  <si>
    <t>The children go to school daily.</t>
  </si>
  <si>
    <t>Những đứa trẻ đi đến trường học hàng ngày.</t>
  </si>
  <si>
    <t>same</t>
  </si>
  <si>
    <t>We have the same goal now.</t>
  </si>
  <si>
    <t>Bây giờ chúng ta có cùng một mục tiêu.</t>
  </si>
  <si>
    <t>space</t>
  </si>
  <si>
    <t>We need more office space.</t>
  </si>
  <si>
    <t>Chúng tôi cần thêm không gian văn phòng.</t>
  </si>
  <si>
    <t>deal</t>
  </si>
  <si>
    <t>giao dịch</t>
  </si>
  <si>
    <t>Deal with this problem.</t>
  </si>
  <si>
    <t>Hãy giải quyết vấn đề này.</t>
  </si>
  <si>
    <t>information</t>
  </si>
  <si>
    <t>I have some useful information.</t>
  </si>
  <si>
    <t>Tôi có một vài thông tin hữu ích.</t>
  </si>
  <si>
    <t>public</t>
  </si>
  <si>
    <t>It is a public park today.</t>
  </si>
  <si>
    <t>Hôm nay nó là một công viên công cộng.</t>
  </si>
  <si>
    <t>street</t>
  </si>
  <si>
    <t>đường phố</t>
  </si>
  <si>
    <t>The street is very busy.</t>
  </si>
  <si>
    <t>Con đường rất bận rộn.</t>
  </si>
  <si>
    <t>carry</t>
  </si>
  <si>
    <t>mang vác</t>
  </si>
  <si>
    <t>Carry these bags inside.</t>
  </si>
  <si>
    <t>Mang những cái túi này vào trong.</t>
  </si>
  <si>
    <t>continue</t>
  </si>
  <si>
    <t>Continue your great work.</t>
  </si>
  <si>
    <t>Tiếp tục công việc tuyệt vời.</t>
  </si>
  <si>
    <t>sense</t>
  </si>
  <si>
    <t>I have a sense of achievement.</t>
  </si>
  <si>
    <t>Tôi có cảm giác thành tựu.</t>
  </si>
  <si>
    <t>special</t>
  </si>
  <si>
    <t>It is a special day.</t>
  </si>
  <si>
    <t>Đó là một ngày đặc biệt.</t>
  </si>
  <si>
    <t>allow</t>
  </si>
  <si>
    <t>They allow us to stay.</t>
  </si>
  <si>
    <t>Họ cho phép chúng tôi ở lại.</t>
  </si>
  <si>
    <t>end</t>
  </si>
  <si>
    <t>This is the end of movie.</t>
  </si>
  <si>
    <t>Đây là phần kết thúc của bộ phim.</t>
  </si>
  <si>
    <t>provide</t>
  </si>
  <si>
    <t>We provide excellent service here.</t>
  </si>
  <si>
    <t>Chúng tôi cung cấp dịch vụ xuất sắc tại đây.</t>
  </si>
  <si>
    <t>everything</t>
  </si>
  <si>
    <t>mọi thứ</t>
  </si>
  <si>
    <t>Everything is ready for us.</t>
  </si>
  <si>
    <t>Mọi thứ đã sẵn sàng cho chúng ta.</t>
  </si>
  <si>
    <t>ever</t>
  </si>
  <si>
    <t>Have you ever seen this?</t>
  </si>
  <si>
    <t>Bạn đã từng thấy cái này chưa?</t>
  </si>
  <si>
    <t>question</t>
  </si>
  <si>
    <t>I have a question for you.</t>
  </si>
  <si>
    <t>Tôi có một câu hỏi cho bạn.</t>
  </si>
  <si>
    <t>history</t>
  </si>
  <si>
    <t>I love studying world history.</t>
  </si>
  <si>
    <t>Tôi thích học môn lịch sử thế giới.</t>
  </si>
  <si>
    <t>suggest</t>
  </si>
  <si>
    <t>I suggest a new plan.</t>
  </si>
  <si>
    <t>Tôi đề nghị một kế hoạch mới.</t>
  </si>
  <si>
    <t>security</t>
  </si>
  <si>
    <t>Security is our top priority.</t>
  </si>
  <si>
    <t>An ninh là ưu tiên hàng đầu của chúng tôi.</t>
  </si>
  <si>
    <t>become</t>
  </si>
  <si>
    <t>trở nên</t>
  </si>
  <si>
    <t>She wants to become famous.</t>
  </si>
  <si>
    <t>Cô ấy muốn trở nên nổi tiếng.</t>
  </si>
  <si>
    <t>idea</t>
  </si>
  <si>
    <t>That is a great idea.</t>
  </si>
  <si>
    <t>Đó là một ý tưởng tuyệt vời.</t>
  </si>
  <si>
    <t>fact</t>
  </si>
  <si>
    <t>That is a known fact.</t>
  </si>
  <si>
    <t>Đó là một sự thật đã biết.</t>
  </si>
  <si>
    <t>class</t>
  </si>
  <si>
    <t>The class starts now.</t>
  </si>
  <si>
    <t>Lớp học bắt đầu bây giờ.</t>
  </si>
  <si>
    <t>include</t>
  </si>
  <si>
    <t>The price includes the tax.</t>
  </si>
  <si>
    <t>Giá đó bao gồm cả thuế.</t>
  </si>
  <si>
    <t>better</t>
  </si>
  <si>
    <t>tốt hơn</t>
  </si>
  <si>
    <t>This one is much better.</t>
  </si>
  <si>
    <t>Cái này tốt hơn nhiều.</t>
  </si>
  <si>
    <t>today</t>
  </si>
  <si>
    <t>Today is a great day.</t>
  </si>
  <si>
    <t>Hôm nay là một ngày tuyệt vời.</t>
  </si>
  <si>
    <t>food</t>
  </si>
  <si>
    <t>We have enough food now.</t>
  </si>
  <si>
    <t>Bây giờ chúng ta có đủ thức ăn.</t>
  </si>
  <si>
    <t>It may rain later today.</t>
  </si>
  <si>
    <t>Trời có thể mưa vào cuối ngày hôm nay.</t>
  </si>
  <si>
    <t>happen</t>
  </si>
  <si>
    <t>When did it happen today?</t>
  </si>
  <si>
    <t>Việc đó đã xảy ra khi nào hôm nay?</t>
  </si>
  <si>
    <t>away</t>
  </si>
  <si>
    <t>đi xa</t>
  </si>
  <si>
    <t>He is far away now.</t>
  </si>
  <si>
    <t>Bây giờ anh ấy đang ở rất xa.</t>
  </si>
  <si>
    <t>probably</t>
  </si>
  <si>
    <t>I will probably finish it soon.</t>
  </si>
  <si>
    <t>Tôi có lẽ sẽ sớm hoàn thành nó.</t>
  </si>
  <si>
    <t>someone</t>
  </si>
  <si>
    <t>Someone called your name here.</t>
  </si>
  <si>
    <t>Ai đó đã gọi tên bạn ở đây.</t>
  </si>
  <si>
    <t>play</t>
  </si>
  <si>
    <t>Children play in the yard.</t>
  </si>
  <si>
    <t>Trẻ em chơi trong sân.</t>
  </si>
  <si>
    <t>run</t>
  </si>
  <si>
    <t>I like to run every morning.</t>
  </si>
  <si>
    <t>Tôi thích chạy mỗi sáng.</t>
  </si>
  <si>
    <t>between</t>
  </si>
  <si>
    <t>Sit between them right now.</t>
  </si>
  <si>
    <t>Bây giờ hãy ngồi giữa họ.</t>
  </si>
  <si>
    <t>live</t>
  </si>
  <si>
    <t>They live in a city.</t>
  </si>
  <si>
    <t>Họ sống ở một thành phố.</t>
  </si>
  <si>
    <t>age</t>
  </si>
  <si>
    <t>What is your exact age?</t>
  </si>
  <si>
    <t>Tuổi chính xác của bạn là bao nhiêu?</t>
  </si>
  <si>
    <t>right</t>
  </si>
  <si>
    <t>You made the right choice today.</t>
  </si>
  <si>
    <t>Hôm nay bạn đã đưa ra lựa chọn đúng.</t>
  </si>
  <si>
    <t>high</t>
  </si>
  <si>
    <t>The mountain is very high.</t>
  </si>
  <si>
    <t>Ngọn núi đó rất cao.</t>
  </si>
  <si>
    <t>big</t>
  </si>
  <si>
    <t>He has a big house.</t>
  </si>
  <si>
    <t>Anh ấy có một ngôi nhà lớn.</t>
  </si>
  <si>
    <t>head</t>
  </si>
  <si>
    <t>He has a small head.</t>
  </si>
  <si>
    <t>Anh ấy có một cái đầu nhỏ.</t>
  </si>
  <si>
    <t>read</t>
  </si>
  <si>
    <t>I like to read books daily.</t>
  </si>
  <si>
    <t>Tôi thích đọc sách hàng ngày.</t>
  </si>
  <si>
    <t>soon</t>
  </si>
  <si>
    <t>The bus will arrive soon.</t>
  </si>
  <si>
    <t>Chiếc xe buýt sẽ đến sớm.</t>
  </si>
  <si>
    <t>long</t>
  </si>
  <si>
    <t>The road is very long.</t>
  </si>
  <si>
    <t>Con đường rất dài.</t>
  </si>
  <si>
    <t>far</t>
  </si>
  <si>
    <t>The park is very far.</t>
  </si>
  <si>
    <t>Công viên rất xa.</t>
  </si>
  <si>
    <t>itself</t>
  </si>
  <si>
    <t>bản thân nó</t>
  </si>
  <si>
    <t>The machine cleans itself daily.</t>
  </si>
  <si>
    <t>Cỗ máy tự làm sạch bản thân nó hàng ngày.</t>
  </si>
  <si>
    <t>course</t>
  </si>
  <si>
    <t>Take an online course.</t>
  </si>
  <si>
    <t>Tham gia một khóa học trực tuyến.</t>
  </si>
  <si>
    <t>success</t>
  </si>
  <si>
    <t>sự thành công</t>
  </si>
  <si>
    <t>Hard work leads to success.</t>
  </si>
  <si>
    <t>Làm việc chăm chỉ dẫn đến sự thành công.</t>
  </si>
  <si>
    <t>anything</t>
  </si>
  <si>
    <t>Is there anything I can do?</t>
  </si>
  <si>
    <t>Có bất cứ thứ gì tôi có thể làm không?</t>
  </si>
  <si>
    <t>man</t>
  </si>
  <si>
    <t>The man is very tall.</t>
  </si>
  <si>
    <t>Người đàn ông đó rất cao.</t>
  </si>
  <si>
    <t>interest</t>
  </si>
  <si>
    <t>I have no interest here.</t>
  </si>
  <si>
    <t>Tôi không có sự quan tâm tại đây.</t>
  </si>
  <si>
    <t>mean</t>
  </si>
  <si>
    <t>có nghĩa là</t>
  </si>
  <si>
    <t>What does this word mean?</t>
  </si>
  <si>
    <t>Từ này có nghĩa là gì?</t>
  </si>
  <si>
    <t>answer</t>
  </si>
  <si>
    <t>câu trả lời</t>
  </si>
  <si>
    <t>What is your final answer?</t>
  </si>
  <si>
    <t>Câu trả lời cuối cùng của bạn là gì?</t>
  </si>
  <si>
    <t>develop</t>
  </si>
  <si>
    <t>Develop a new product.</t>
  </si>
  <si>
    <t>Phát triển một sản phẩm mới.</t>
  </si>
  <si>
    <t>grow</t>
  </si>
  <si>
    <t>The plants grow very fast.</t>
  </si>
  <si>
    <t>Những cái cây phát triển rất nhanh.</t>
  </si>
  <si>
    <t>size</t>
  </si>
  <si>
    <t>What is the correct size?</t>
  </si>
  <si>
    <t>Kích thước đúng là bao nhiêu?</t>
  </si>
  <si>
    <t>ago</t>
  </si>
  <si>
    <t>I moved here years ago.</t>
  </si>
  <si>
    <t>Tôi đã chuyển đến đây nhiều năm trước.</t>
  </si>
  <si>
    <t>office</t>
  </si>
  <si>
    <t>I work at the office.</t>
  </si>
  <si>
    <t>Tôi làm việc tại văn phòng.</t>
  </si>
  <si>
    <t>centre</t>
  </si>
  <si>
    <t>Meet at the centre.</t>
  </si>
  <si>
    <t>Gặp nhau tại trung tâm nhé.</t>
  </si>
  <si>
    <t>staff</t>
  </si>
  <si>
    <t>Our staff is very friendly.</t>
  </si>
  <si>
    <t>Nhân viên của chúng tôi rất thân thiện.</t>
  </si>
  <si>
    <t>site</t>
  </si>
  <si>
    <t>trang web</t>
  </si>
  <si>
    <t>The site is very popular.</t>
  </si>
  <si>
    <t>Trang web này rất phổ biến.</t>
  </si>
  <si>
    <t>consider</t>
  </si>
  <si>
    <t>cân nhắc</t>
  </si>
  <si>
    <t>Consider my offer now.</t>
  </si>
  <si>
    <t>Bây giờ hãy cân nhắc lời đề nghị của tôi.</t>
  </si>
  <si>
    <t>plan</t>
  </si>
  <si>
    <t>Do you have a plan?</t>
  </si>
  <si>
    <t>Bạn có kế hoạch gì không?</t>
  </si>
  <si>
    <t>health</t>
  </si>
  <si>
    <t>Eat well for good health.</t>
  </si>
  <si>
    <t>Hãy ăn uống tốt để có sức khỏe tốt.</t>
  </si>
  <si>
    <t>store</t>
  </si>
  <si>
    <t>Go to the store now.</t>
  </si>
  <si>
    <t>Bây giờ hãy đi đến cửa hàng.</t>
  </si>
  <si>
    <t>order</t>
  </si>
  <si>
    <t>đơn hàng</t>
  </si>
  <si>
    <t>I placed a large order.</t>
  </si>
  <si>
    <t>Tôi đã đặt một đơn hàng lớn.</t>
  </si>
  <si>
    <t>common</t>
  </si>
  <si>
    <t>It is common knowledge.</t>
  </si>
  <si>
    <t>Đó là kiến thức phổ biến.</t>
  </si>
  <si>
    <t>follow</t>
  </si>
  <si>
    <t>theo sau</t>
  </si>
  <si>
    <t>Please follow me right now.</t>
  </si>
  <si>
    <t>Bây giờ vui lòng theo sau tôi.</t>
  </si>
  <si>
    <t>sound</t>
  </si>
  <si>
    <t>The sound is very loud.</t>
  </si>
  <si>
    <t>Âm thanh rất lớn.</t>
  </si>
  <si>
    <t>world</t>
  </si>
  <si>
    <t>The world is very large.</t>
  </si>
  <si>
    <t>Thế giới rất rộng lớn.</t>
  </si>
  <si>
    <t>best</t>
  </si>
  <si>
    <t>This is the best choice.</t>
  </si>
  <si>
    <t>Đây là lựa chọn tốt nhất.</t>
  </si>
  <si>
    <t>board</t>
  </si>
  <si>
    <t>tấm bảng</t>
  </si>
  <si>
    <t>Write on the board.</t>
  </si>
  <si>
    <t>Viết lên bảng đi.</t>
  </si>
  <si>
    <t>couple</t>
  </si>
  <si>
    <t>cặp đôi</t>
  </si>
  <si>
    <t>A happy young couple.</t>
  </si>
  <si>
    <t>Một cặp đôi trẻ hạnh phúc.</t>
  </si>
  <si>
    <t>actually</t>
  </si>
  <si>
    <t>I actually like this song.</t>
  </si>
  <si>
    <t>Tôi thực sự thích bài hát này.</t>
  </si>
  <si>
    <t>once</t>
  </si>
  <si>
    <t>I saw him once before.</t>
  </si>
  <si>
    <t>Tôi đã thấy anh ấy một lần trước đây.</t>
  </si>
  <si>
    <t>rather</t>
  </si>
  <si>
    <t>thay vì</t>
  </si>
  <si>
    <t>I would rather walk than drive.</t>
  </si>
  <si>
    <t>Tôi muốn đi bộ thay vì lái xe.</t>
  </si>
  <si>
    <t>team</t>
  </si>
  <si>
    <t>đội ngũ</t>
  </si>
  <si>
    <t>The team works very hard.</t>
  </si>
  <si>
    <t>Đội ngũ làm việc rất chăm chỉ.</t>
  </si>
  <si>
    <t>clear</t>
  </si>
  <si>
    <t>The water is clear.</t>
  </si>
  <si>
    <t>Nước này rất trong.</t>
  </si>
  <si>
    <t>area</t>
  </si>
  <si>
    <t>This is a large area.</t>
  </si>
  <si>
    <t>Đây là một khu vực rộng lớn.</t>
  </si>
  <si>
    <t>real</t>
  </si>
  <si>
    <t>This is a real gold coin.</t>
  </si>
  <si>
    <t>Đây là một đồng xu vàng thực tế.</t>
  </si>
  <si>
    <t>building</t>
  </si>
  <si>
    <t>This is a tall building.</t>
  </si>
  <si>
    <t>Đây là một tòa nhà cao.</t>
  </si>
  <si>
    <t>begin</t>
  </si>
  <si>
    <t>We begin the project now.</t>
  </si>
  <si>
    <t>Bây giờ chúng tôi bắt đầu dự án.</t>
  </si>
  <si>
    <t>able</t>
  </si>
  <si>
    <t>Are you able to help me?</t>
  </si>
  <si>
    <t>break</t>
  </si>
  <si>
    <t>làm vỡ</t>
  </si>
  <si>
    <t>Don't break the glass.</t>
  </si>
  <si>
    <t>Đừng làm vỡ cái ly.</t>
  </si>
  <si>
    <t>happy</t>
  </si>
  <si>
    <t>I am very happy today.</t>
  </si>
  <si>
    <t>Hôm nay tôi rất vui vẻ.</t>
  </si>
  <si>
    <t>seven</t>
  </si>
  <si>
    <t>số bảy</t>
  </si>
  <si>
    <t>I have seven apples here.</t>
  </si>
  <si>
    <t>Tôi có bảy quả táo ở đây.</t>
  </si>
  <si>
    <t>later</t>
  </si>
  <si>
    <t>I will call you later.</t>
  </si>
  <si>
    <t>Tôi sẽ gọi cho bạn sau.</t>
  </si>
  <si>
    <t>monk</t>
  </si>
  <si>
    <t>The monk lives in peace.</t>
  </si>
  <si>
    <t>Nhà sư sống trong sự bình yên.</t>
  </si>
  <si>
    <t>might</t>
  </si>
  <si>
    <t>It might happen very soon.</t>
  </si>
  <si>
    <t>Nó có thể xảy ra rất sớm.</t>
  </si>
  <si>
    <t>chance</t>
  </si>
  <si>
    <t>Take a good chance.</t>
  </si>
  <si>
    <t>Hãy nắm lấy cơ hội tốt.</t>
  </si>
  <si>
    <t>though</t>
  </si>
  <si>
    <t>mặc dù</t>
  </si>
  <si>
    <t>Though it rained, we went.</t>
  </si>
  <si>
    <t>Mặc dù trời mưa, chúng tôi vẫn đi.</t>
  </si>
  <si>
    <t>free</t>
  </si>
  <si>
    <t>I feel very free now.</t>
  </si>
  <si>
    <t>Bây giờ tôi cảm thấy rất tự do.</t>
  </si>
  <si>
    <t>source</t>
  </si>
  <si>
    <t>nguồn</t>
  </si>
  <si>
    <t>What is your source here?</t>
  </si>
  <si>
    <t>Nguồn của bạn ở đây là gì?</t>
  </si>
  <si>
    <t>choose</t>
  </si>
  <si>
    <t>Choose your favorite color.</t>
  </si>
  <si>
    <t>Hãy chọn màu bạn thích nhất.</t>
  </si>
  <si>
    <t>receive</t>
  </si>
  <si>
    <t>Did you receive my email today?</t>
  </si>
  <si>
    <t>Hôm nay bạn đã nhận được email của tôi chưa?</t>
  </si>
  <si>
    <t>series</t>
  </si>
  <si>
    <t>He watched the whole series.</t>
  </si>
  <si>
    <t>Anh ấy đã xem cả loạt phim.</t>
  </si>
  <si>
    <t>money</t>
  </si>
  <si>
    <t>I need some money now.</t>
  </si>
  <si>
    <t>Bây giờ tôi cần một ít tiền.</t>
  </si>
  <si>
    <t>section</t>
  </si>
  <si>
    <t>Please read this section carefully.</t>
  </si>
  <si>
    <t>Hãy đọc kỹ phần này.</t>
  </si>
  <si>
    <t>step</t>
  </si>
  <si>
    <t>bước</t>
  </si>
  <si>
    <t>Take a step forward now.</t>
  </si>
  <si>
    <t>Bây giờ hãy thực hiện một bước về phía trước.</t>
  </si>
  <si>
    <t>under</t>
  </si>
  <si>
    <t>The cat is under table.</t>
  </si>
  <si>
    <t>Con mèo ở dưới cái bàn.</t>
  </si>
  <si>
    <t>yes</t>
  </si>
  <si>
    <t>Yes, I can go now.</t>
  </si>
  <si>
    <t>Vâng, bây giờ tôi có thể đi.</t>
  </si>
  <si>
    <t>little</t>
  </si>
  <si>
    <t>I have a little dog.</t>
  </si>
  <si>
    <t>Tôi có một con chó nhỏ.</t>
  </si>
  <si>
    <t>watch</t>
  </si>
  <si>
    <t>I like to watch tv.</t>
  </si>
  <si>
    <t>Tôi thích xem ti vi.</t>
  </si>
  <si>
    <t>remember</t>
  </si>
  <si>
    <t>I remember your name very well.</t>
  </si>
  <si>
    <t>Tôi nhớ tên bạn rất rõ.</t>
  </si>
  <si>
    <t>meet</t>
  </si>
  <si>
    <t>Let us meet at noon.</t>
  </si>
  <si>
    <t>Hãy gặp nhau vào buổi trưa.</t>
  </si>
  <si>
    <t>father</t>
  </si>
  <si>
    <t>cha</t>
  </si>
  <si>
    <t>My father is very kind.</t>
  </si>
  <si>
    <t>Cha tôi rất tử tế.</t>
  </si>
  <si>
    <t>close</t>
  </si>
  <si>
    <t>My house is close.</t>
  </si>
  <si>
    <t>Nhà tôi rất gần đây.</t>
  </si>
  <si>
    <t>off</t>
  </si>
  <si>
    <t>Please turn off the light.</t>
  </si>
  <si>
    <t>Vui lòng tắt đèn.</t>
  </si>
  <si>
    <t>friend</t>
  </si>
  <si>
    <t>She is my best friend.</t>
  </si>
  <si>
    <t>Cô ấy là bạn thân nhất của tôi.</t>
  </si>
  <si>
    <t>quite</t>
  </si>
  <si>
    <t>The food was quite good today.</t>
  </si>
  <si>
    <t>Hôm nay thức ăn khá ngon.</t>
  </si>
  <si>
    <t>large</t>
  </si>
  <si>
    <t>They live in a large house.</t>
  </si>
  <si>
    <t>Họ sống trong một ngôi nhà lớn.</t>
  </si>
  <si>
    <t>hour</t>
  </si>
  <si>
    <t>Wait for one more hour.</t>
  </si>
  <si>
    <t>Hãy đợi thêm một giờ nữa.</t>
  </si>
  <si>
    <t>few</t>
  </si>
  <si>
    <t>I have a few friends.</t>
  </si>
  <si>
    <t>Tôi có một vài người bạn.</t>
  </si>
  <si>
    <t>together</t>
  </si>
  <si>
    <t>They work together very well.</t>
  </si>
  <si>
    <t>Họ làm việc cùng nhau rất tốt.</t>
  </si>
  <si>
    <t>death</t>
  </si>
  <si>
    <t>Life and death situation.</t>
  </si>
  <si>
    <t>Tình huống sinh tử.</t>
  </si>
  <si>
    <t>easy</t>
  </si>
  <si>
    <t>An easy daily task.</t>
  </si>
  <si>
    <t>Một nhiệm vụ hằng ngày dễ dàng.</t>
  </si>
  <si>
    <t>top</t>
  </si>
  <si>
    <t>They reached the mountain top.</t>
  </si>
  <si>
    <t>Họ đã đến đỉnh núi.</t>
  </si>
  <si>
    <t>himself</t>
  </si>
  <si>
    <t>bản thân anh ấy</t>
  </si>
  <si>
    <t>He cooked by himself today.</t>
  </si>
  <si>
    <t>Hôm nay anh ấy đã tự nấu ăn.</t>
  </si>
  <si>
    <t>mushroom</t>
  </si>
  <si>
    <t>nấm</t>
  </si>
  <si>
    <t>I like eating grilled mushroom.</t>
  </si>
  <si>
    <t>Tôi thích ăn nấm nướng.</t>
  </si>
  <si>
    <t>brother</t>
  </si>
  <si>
    <t>anh em trai</t>
  </si>
  <si>
    <t>My brother likes sports.</t>
  </si>
  <si>
    <t>Anh trai tôi thích thể thao.</t>
  </si>
  <si>
    <t>including</t>
  </si>
  <si>
    <t>bao gồm cả</t>
  </si>
  <si>
    <t>Everyone, including me, went home.</t>
  </si>
  <si>
    <t>Mọi người, bao gồm cả tôi, đã về nhà.</t>
  </si>
  <si>
    <t>decision</t>
  </si>
  <si>
    <t>Make a hard decision.</t>
  </si>
  <si>
    <t>Đưa ra một quyết định khó khăn.</t>
  </si>
  <si>
    <t>guy</t>
  </si>
  <si>
    <t>chàng trai</t>
  </si>
  <si>
    <t>That guy is my friend.</t>
  </si>
  <si>
    <t>Chàng trai đó là bạn của tôi.</t>
  </si>
  <si>
    <t>everyone</t>
  </si>
  <si>
    <t>Everyone loves this great song.</t>
  </si>
  <si>
    <t>Mọi người đều yêu bài hát tuyệt vời này.</t>
  </si>
  <si>
    <t>action</t>
  </si>
  <si>
    <t>Take action to fix it.</t>
  </si>
  <si>
    <t>Hãy hành động để sửa nó.</t>
  </si>
  <si>
    <t>technology</t>
  </si>
  <si>
    <t>công nghệ</t>
  </si>
  <si>
    <t>Technology changes our daily lives.</t>
  </si>
  <si>
    <t>Công nghệ thay đổi cuộc sống hàng ngày của chúng ta.</t>
  </si>
  <si>
    <t>goal</t>
  </si>
  <si>
    <t>What is your main goal?</t>
  </si>
  <si>
    <t>Mục tiêu chính của bạn là gì?</t>
  </si>
  <si>
    <t>almost</t>
  </si>
  <si>
    <t>I am almost ready now.</t>
  </si>
  <si>
    <t>Bây giờ tôi gần như đã sẵn sàng.</t>
  </si>
  <si>
    <t>half</t>
  </si>
  <si>
    <t>Take half of the cake.</t>
  </si>
  <si>
    <t>Hãy lấy một nửa chiếc bánh.</t>
  </si>
  <si>
    <t>international</t>
  </si>
  <si>
    <t>They travel on international flights.</t>
  </si>
  <si>
    <t>Họ đi trên các chuyến bay quốc tế.</t>
  </si>
  <si>
    <t>until</t>
  </si>
  <si>
    <t>cho đến</t>
  </si>
  <si>
    <t>Work until you finish task.</t>
  </si>
  <si>
    <t>Làm việc cho đến khi bạn xong nhiệm vụ.</t>
  </si>
  <si>
    <t>create</t>
  </si>
  <si>
    <t>Create a new document.</t>
  </si>
  <si>
    <t>Tạo ra một tài liệu mới.</t>
  </si>
  <si>
    <t>agree</t>
  </si>
  <si>
    <t>đồng ý</t>
  </si>
  <si>
    <t>I agree with your plan.</t>
  </si>
  <si>
    <t>Tôi đồng ý với kế hoạch của bạn.</t>
  </si>
  <si>
    <t>believe</t>
  </si>
  <si>
    <t>tin</t>
  </si>
  <si>
    <t>I believe in your success.</t>
  </si>
  <si>
    <t>Tôi tin vào sự thành công của bạn.</t>
  </si>
  <si>
    <t>heart</t>
  </si>
  <si>
    <t>She has a kind heart.</t>
  </si>
  <si>
    <t>Cô ấy có một trái tim nhân hậu.</t>
  </si>
  <si>
    <t>already</t>
  </si>
  <si>
    <t>I have already finished it.</t>
  </si>
  <si>
    <t>Tôi đã hoàn thành nó rồi.</t>
  </si>
  <si>
    <t>test</t>
  </si>
  <si>
    <t>She passed the hard test.</t>
  </si>
  <si>
    <t>Cô ấy đã vượt qua bài kiểm tra khó.</t>
  </si>
  <si>
    <t>cover</t>
  </si>
  <si>
    <t>che phủ</t>
  </si>
  <si>
    <t>Cover the table completely.</t>
  </si>
  <si>
    <t>Che phủ cái bàn hoàn toàn.</t>
  </si>
  <si>
    <t>walk</t>
  </si>
  <si>
    <t>They walk to school daily.</t>
  </si>
  <si>
    <t>Họ đi bộ đến trường hàng ngày.</t>
  </si>
  <si>
    <t>eat</t>
  </si>
  <si>
    <t>Eat healthy fresh food.</t>
  </si>
  <si>
    <t>Ăn thức ăn tươi lành mạnh.</t>
  </si>
  <si>
    <t>suddenly</t>
  </si>
  <si>
    <t>một cách đột ngột</t>
  </si>
  <si>
    <t>He appeared very suddenly here.</t>
  </si>
  <si>
    <t>Anh ấy đã xuất hiện một cách đột ngột ở đây.</t>
  </si>
  <si>
    <t>clearly</t>
  </si>
  <si>
    <t>một cách rõ ràng</t>
  </si>
  <si>
    <t>Speak clearly for everyone.</t>
  </si>
  <si>
    <t>Hãy nói rõ ràng cho mọi người.</t>
  </si>
  <si>
    <t>development</t>
  </si>
  <si>
    <t>The career development path.</t>
  </si>
  <si>
    <t>Con đường sự phát triển sự nghiệp.</t>
  </si>
  <si>
    <t>growth</t>
  </si>
  <si>
    <t>We want sustainable economic growth.</t>
  </si>
  <si>
    <t>Chúng tôi muốn sự phát triển kinh tế bền vững.</t>
  </si>
  <si>
    <t>power</t>
  </si>
  <si>
    <t>sự quyền lực</t>
  </si>
  <si>
    <t>He has great political power.</t>
  </si>
  <si>
    <t>Anh ấy có quyền lực chính trị lớn.</t>
  </si>
  <si>
    <t>program</t>
  </si>
  <si>
    <t>I wrote a computer program today.</t>
  </si>
  <si>
    <t>Hôm nay tôi đã viết một chương trình máy tính.</t>
  </si>
  <si>
    <t>experience</t>
  </si>
  <si>
    <t>He has great work experience.</t>
  </si>
  <si>
    <t>Anh ấy có kinh nghiệm làm việc tuyệt vời.</t>
  </si>
  <si>
    <t>choice</t>
  </si>
  <si>
    <t>sự lựa chọn</t>
  </si>
  <si>
    <t>It is your choice.</t>
  </si>
  <si>
    <t>Đó là sự lựa chọn của bạn.</t>
  </si>
  <si>
    <t>care</t>
  </si>
  <si>
    <t>sự chăm sóc</t>
  </si>
  <si>
    <t>She needs more care.</t>
  </si>
  <si>
    <t>Cô ấy cần sự chăm sóc hơn.</t>
  </si>
  <si>
    <t>style</t>
  </si>
  <si>
    <t>She has a unique style.</t>
  </si>
  <si>
    <t>Cô ấy có một phong cách độc đáo.</t>
  </si>
  <si>
    <t>explain</t>
  </si>
  <si>
    <t>Can you explain it now?</t>
  </si>
  <si>
    <t>Bây giờ bạn có thể giải thích nó không?</t>
  </si>
  <si>
    <t>successful</t>
  </si>
  <si>
    <t>He is a successful man.</t>
  </si>
  <si>
    <t>Anh ấy là một người đàn ông thành công.</t>
  </si>
  <si>
    <t>sister</t>
  </si>
  <si>
    <t>chị em gái</t>
  </si>
  <si>
    <t>My sister is a doctor.</t>
  </si>
  <si>
    <t>Chị gái tôi là một bác sĩ.</t>
  </si>
  <si>
    <t>environment</t>
  </si>
  <si>
    <t>Protect the environment every day.</t>
  </si>
  <si>
    <t>Hãy bảo vệ môi trường mỗi ngày.</t>
  </si>
  <si>
    <t>standard</t>
  </si>
  <si>
    <t>The standard is very high.</t>
  </si>
  <si>
    <t>Tiêu chuẩn rất cao.</t>
  </si>
  <si>
    <t>strategy</t>
  </si>
  <si>
    <t>We need a good strategy.</t>
  </si>
  <si>
    <t>Chúng tôi cần một chiến lược tốt.</t>
  </si>
  <si>
    <t>energy</t>
  </si>
  <si>
    <t>We need more energy now.</t>
  </si>
  <si>
    <t>Bây giờ chúng ta cần nhiều năng lượng hơn.</t>
  </si>
  <si>
    <t>solution</t>
  </si>
  <si>
    <t>giải pháp</t>
  </si>
  <si>
    <t>Find a good solution now.</t>
  </si>
  <si>
    <t>Bây giờ hãy tìm một giải pháp tốt.</t>
  </si>
  <si>
    <t>community</t>
  </si>
  <si>
    <t>cộng đồng</t>
  </si>
  <si>
    <t>Help our local community.</t>
  </si>
  <si>
    <t>Hãy giúp cộng đồng địa phương.</t>
  </si>
  <si>
    <t>act</t>
  </si>
  <si>
    <t>It was a brave act.</t>
  </si>
  <si>
    <t>Đó là một hành động dũng cảm.</t>
  </si>
  <si>
    <t>move</t>
  </si>
  <si>
    <t>Move the chair over there.</t>
  </si>
  <si>
    <t>Hãy di chuyển cái ghế ra đằng kia.</t>
  </si>
  <si>
    <t>future</t>
  </si>
  <si>
    <t>Plan for your own future.</t>
  </si>
  <si>
    <t>Hãy lên kế hoạch cho tương lai của chính mình.</t>
  </si>
  <si>
    <t>face</t>
  </si>
  <si>
    <t>gương mặt</t>
  </si>
  <si>
    <t>She has a lovely face.</t>
  </si>
  <si>
    <t>Cô ấy có một gương mặt đáng yêu.</t>
  </si>
  <si>
    <t>air</t>
  </si>
  <si>
    <t>The air is very fresh.</t>
  </si>
  <si>
    <t>Không khí rất trong lành.</t>
  </si>
  <si>
    <t>stage</t>
  </si>
  <si>
    <t>This is a new stage.</t>
  </si>
  <si>
    <t>Đây là một giai đoạn mới.</t>
  </si>
  <si>
    <t>light</t>
  </si>
  <si>
    <t>Turn on the light now.</t>
  </si>
  <si>
    <t>Bây giờ hãy bật ánh sáng lên.</t>
  </si>
  <si>
    <t>son</t>
  </si>
  <si>
    <t>His son is very tall.</t>
  </si>
  <si>
    <t>Con trai của ông ấy rất cao.</t>
  </si>
  <si>
    <t>expect</t>
  </si>
  <si>
    <t>I expect to see you.</t>
  </si>
  <si>
    <t>Tôi mong đợi được gặp bạn.</t>
  </si>
  <si>
    <t>without</t>
  </si>
  <si>
    <t>I leave without any money.</t>
  </si>
  <si>
    <t>Tôi rời đi mà không có tiền.</t>
  </si>
  <si>
    <t>internet</t>
  </si>
  <si>
    <t>I use the internet daily.</t>
  </si>
  <si>
    <t>Tôi sử dụng internet hàng ngày.</t>
  </si>
  <si>
    <t>foot</t>
  </si>
  <si>
    <t>bàn chân</t>
  </si>
  <si>
    <t>My foot hurts a lot.</t>
  </si>
  <si>
    <t>Bàn chân của tôi đau nhiều.</t>
  </si>
  <si>
    <t>raise</t>
  </si>
  <si>
    <t>Please raise your hand to speak.</t>
  </si>
  <si>
    <t>Vui lòng giơ tay lên để nói.</t>
  </si>
  <si>
    <t>evening</t>
  </si>
  <si>
    <t>See you this evening here.</t>
  </si>
  <si>
    <t>Hẹn gặp bạn tối nay ở đây.</t>
  </si>
  <si>
    <t>among</t>
  </si>
  <si>
    <t>trong số</t>
  </si>
  <si>
    <t>She is among the best.</t>
  </si>
  <si>
    <t>Cô ấy nằm trong số những người giỏi nhất.</t>
  </si>
  <si>
    <t>south</t>
  </si>
  <si>
    <t>The city is in south.</t>
  </si>
  <si>
    <t>Thành phố nằm ở phía nam.</t>
  </si>
  <si>
    <t>spread</t>
  </si>
  <si>
    <t>The news will spread fast.</t>
  </si>
  <si>
    <t>Tin tức sẽ lan rộng nhanh chóng.</t>
  </si>
  <si>
    <t>statement</t>
  </si>
  <si>
    <t>The official statement is clear.</t>
  </si>
  <si>
    <t>Tuyên bố chính thức rất rõ ràng.</t>
  </si>
  <si>
    <t>shop</t>
  </si>
  <si>
    <t>The shop opens at eight.</t>
  </si>
  <si>
    <t>Cửa hàng mở cửa lúc tám giờ.</t>
  </si>
  <si>
    <t>huge</t>
  </si>
  <si>
    <t>They have a huge house.</t>
  </si>
  <si>
    <t>Họ có một ngôi nhà khổng lồ.</t>
  </si>
  <si>
    <t>similar</t>
  </si>
  <si>
    <t>They have a similar idea.</t>
  </si>
  <si>
    <t>Họ có một ý tưởng tương tự.</t>
  </si>
  <si>
    <t>seek</t>
  </si>
  <si>
    <t>They seek a better future.</t>
  </si>
  <si>
    <t>Họ tìm kiếm một tương lai tốt đẹp hơn.</t>
  </si>
  <si>
    <t>love</t>
  </si>
  <si>
    <t>They share a great love.</t>
  </si>
  <si>
    <t>Họ chia sẻ một tình yêu lớn.</t>
  </si>
  <si>
    <t>game</t>
  </si>
  <si>
    <t>This is a fun game.</t>
  </si>
  <si>
    <t>Đây là một trò chơi vui.</t>
  </si>
  <si>
    <t>product</t>
  </si>
  <si>
    <t>This product is very popular.</t>
  </si>
  <si>
    <t>Sản phẩm này rất phổ biến.</t>
  </si>
  <si>
    <t>computer</t>
  </si>
  <si>
    <t>Use your computer now.</t>
  </si>
  <si>
    <t>Bây giờ hãy dùng máy tính của bạn.</t>
  </si>
  <si>
    <t>party</t>
  </si>
  <si>
    <t>bữa tiệc</t>
  </si>
  <si>
    <t>We went to a party.</t>
  </si>
  <si>
    <t>Chúng tôi đã đến một bữa tiệc.</t>
  </si>
  <si>
    <t>catch</t>
  </si>
  <si>
    <t>bắt lấy</t>
  </si>
  <si>
    <t>Catch the ball now.</t>
  </si>
  <si>
    <t>Bây giờ hãy bắt lấy quả bóng.</t>
  </si>
  <si>
    <t>compare</t>
  </si>
  <si>
    <t>Compare these two products.</t>
  </si>
  <si>
    <t>So sánh hai sản phẩm này đi.</t>
  </si>
  <si>
    <t>news</t>
  </si>
  <si>
    <t>Did you hear the news?</t>
  </si>
  <si>
    <t>Bạn có nghe tin tức đó chưa?</t>
  </si>
  <si>
    <t>ten</t>
  </si>
  <si>
    <t>He has ten red pens.</t>
  </si>
  <si>
    <t>Anh ấy có mười cây bút đỏ.</t>
  </si>
  <si>
    <t>towards</t>
  </si>
  <si>
    <t>về phía</t>
  </si>
  <si>
    <t>He walked towards the door.</t>
  </si>
  <si>
    <t>Anh ấy đã đi về phía cánh cửa.</t>
  </si>
  <si>
    <t>box</t>
  </si>
  <si>
    <t>cái hộp</t>
  </si>
  <si>
    <t>Open the cardboard box.</t>
  </si>
  <si>
    <t>Mở cái hộp các tông ra.</t>
  </si>
  <si>
    <t>born</t>
  </si>
  <si>
    <t>She was born in Hanoi.</t>
  </si>
  <si>
    <t>Cô ấy sinh ra ở Hà Nội.</t>
  </si>
  <si>
    <t>table</t>
  </si>
  <si>
    <t>cái bàn</t>
  </si>
  <si>
    <t>The book is on the table.</t>
  </si>
  <si>
    <t>Cuốn sách nằm trên cái bàn.</t>
  </si>
  <si>
    <t>structure</t>
  </si>
  <si>
    <t>kết cấu</t>
  </si>
  <si>
    <t>The building has strong structure.</t>
  </si>
  <si>
    <t>Tòa nhà có kết cấu mạnh.</t>
  </si>
  <si>
    <t>event</t>
  </si>
  <si>
    <t>The event was very successful.</t>
  </si>
  <si>
    <t>Sự kiện đã rất thành công.</t>
  </si>
  <si>
    <t>offer</t>
  </si>
  <si>
    <t>They offer a good price.</t>
  </si>
  <si>
    <t>Họ đề nghị một mức giá tốt.</t>
  </si>
  <si>
    <t>significant</t>
  </si>
  <si>
    <t>We saw a significant change.</t>
  </si>
  <si>
    <t>Chúng tôi đã thấy một thay đổi đáng kể.</t>
  </si>
  <si>
    <t>subject</t>
  </si>
  <si>
    <t>What is your favorite subject?</t>
  </si>
  <si>
    <t>Môn học yêu thích của bạn là gì?</t>
  </si>
  <si>
    <t>why</t>
  </si>
  <si>
    <t>Why are you here today?</t>
  </si>
  <si>
    <t>Tại sao hôm nay bạn ở đây?</t>
  </si>
  <si>
    <t>although</t>
  </si>
  <si>
    <t>Although it rained, we ran.</t>
  </si>
  <si>
    <t>Mặc dù trời mưa, chúng tôi đã chạy.</t>
  </si>
  <si>
    <t>cause</t>
  </si>
  <si>
    <t>Don't cause any trouble.</t>
  </si>
  <si>
    <t>Đừng gây ra bất kỳ rắc rối nào.</t>
  </si>
  <si>
    <t>six</t>
  </si>
  <si>
    <t>I have six red pens.</t>
  </si>
  <si>
    <t>Tôi có sáu cây bút đỏ.</t>
  </si>
  <si>
    <t>suppose</t>
  </si>
  <si>
    <t>cho là</t>
  </si>
  <si>
    <t>I suppose he is right.</t>
  </si>
  <si>
    <t>Tôi cho là anh ấy đúng.</t>
  </si>
  <si>
    <t>return</t>
  </si>
  <si>
    <t>I will return home very soon.</t>
  </si>
  <si>
    <t>Tôi sẽ trở về nhà rất sớm.</t>
  </si>
  <si>
    <t>possible</t>
  </si>
  <si>
    <t>Is it possible to go?</t>
  </si>
  <si>
    <t>Có thể đi được không?</t>
  </si>
  <si>
    <t>enter</t>
  </si>
  <si>
    <t>đi vào</t>
  </si>
  <si>
    <t>Please enter the room now.</t>
  </si>
  <si>
    <t>Bây giờ vui lòng đi vào phòng.</t>
  </si>
  <si>
    <t>please</t>
  </si>
  <si>
    <t>Please help me with this.</t>
  </si>
  <si>
    <t>Làm ơn giúp tôi với cái này.</t>
  </si>
  <si>
    <t>secret</t>
  </si>
  <si>
    <t>She kept the project a secret.</t>
  </si>
  <si>
    <t>Cô ấy giữ kín dự án như một bí mật.</t>
  </si>
  <si>
    <t>interesting</t>
  </si>
  <si>
    <t>That is a very interesting book.</t>
  </si>
  <si>
    <t>Đó là một cuốn sách rất thú vị.</t>
  </si>
  <si>
    <t>woman</t>
  </si>
  <si>
    <t>That woman is very smart.</t>
  </si>
  <si>
    <t>Người phụ nữ đó rất thông minh.</t>
  </si>
  <si>
    <t>issue</t>
  </si>
  <si>
    <t>We have a technical issue.</t>
  </si>
  <si>
    <t>lot</t>
  </si>
  <si>
    <t>I have a lot here.</t>
  </si>
  <si>
    <t>Tôi có nhiều ở đây.</t>
  </si>
  <si>
    <t>general</t>
  </si>
  <si>
    <t>This is a general rule.</t>
  </si>
  <si>
    <t>Đây là một quy tắc chung.</t>
  </si>
  <si>
    <t>lose</t>
  </si>
  <si>
    <t>Do not lose the game.</t>
  </si>
  <si>
    <t>Đừng thua trò chơi này.</t>
  </si>
  <si>
    <t>point</t>
  </si>
  <si>
    <t>He made a good point.</t>
  </si>
  <si>
    <t>Anh ấy đã đưa ra một điểm tốt.</t>
  </si>
  <si>
    <t>whether</t>
  </si>
  <si>
    <t>liệu</t>
  </si>
  <si>
    <t>I wonder whether he knows.</t>
  </si>
  <si>
    <t>Tôi tự hỏi liệu anh ấy có biết không.</t>
  </si>
  <si>
    <t>increase</t>
  </si>
  <si>
    <t>Prices will increase next month.</t>
  </si>
  <si>
    <t>Giá cả sẽ tăng vào tháng sau.</t>
  </si>
  <si>
    <t>god</t>
  </si>
  <si>
    <t>chúa</t>
  </si>
  <si>
    <t>They prayed to their god.</t>
  </si>
  <si>
    <t>Họ đã cầu nguyện với chúa của họ.</t>
  </si>
  <si>
    <t>station</t>
  </si>
  <si>
    <t>trạm</t>
  </si>
  <si>
    <t>Wait at the train station.</t>
  </si>
  <si>
    <t>Hãy chờ ở trạm tàu hỏa.</t>
  </si>
  <si>
    <t>date</t>
  </si>
  <si>
    <t>What is the date?</t>
  </si>
  <si>
    <t>Hôm nay là ngày nào?</t>
  </si>
  <si>
    <t>kind</t>
  </si>
  <si>
    <t>What kind of car is it?</t>
  </si>
  <si>
    <t>Đó là loại xe gì vậy?</t>
  </si>
  <si>
    <t>line</t>
  </si>
  <si>
    <t>dòng</t>
  </si>
  <si>
    <t>Write on the dotted line.</t>
  </si>
  <si>
    <t>Hãy viết trên dòng kẻ chấm.</t>
  </si>
  <si>
    <t>either</t>
  </si>
  <si>
    <t>You can choose either option.</t>
  </si>
  <si>
    <t>Bạn có thể chọn một trong hai lựa chọn.</t>
  </si>
  <si>
    <t>fall</t>
  </si>
  <si>
    <t>Be careful not to fall.</t>
  </si>
  <si>
    <t>Hãy cẩn thận đừng để ngã.</t>
  </si>
  <si>
    <t>late</t>
  </si>
  <si>
    <t>I am late for work.</t>
  </si>
  <si>
    <t>Tôi bị trễ giờ làm việc.</t>
  </si>
  <si>
    <t>four</t>
  </si>
  <si>
    <t>I have four cats now.</t>
  </si>
  <si>
    <t>Bây giờ tôi có bốn con mèo.</t>
  </si>
  <si>
    <t>learn</t>
  </si>
  <si>
    <t>I want to learn English.</t>
  </si>
  <si>
    <t>Tôi muốn học tiếng Anh.</t>
  </si>
  <si>
    <t>wait</t>
  </si>
  <si>
    <t>Please wait for me here.</t>
  </si>
  <si>
    <t>Làm ơn đợi tôi ở đây.</t>
  </si>
  <si>
    <t>eye</t>
  </si>
  <si>
    <t>She has beautiful blue eye.</t>
  </si>
  <si>
    <t>Cô ấy có đôi mắt xanh đẹp.</t>
  </si>
  <si>
    <t>full</t>
  </si>
  <si>
    <t>The glass is full now.</t>
  </si>
  <si>
    <t>Bây giờ chiếc cốc đã đầy.</t>
  </si>
  <si>
    <t>single</t>
  </si>
  <si>
    <t>đơn</t>
  </si>
  <si>
    <t>This is a single room.</t>
  </si>
  <si>
    <t>Đây là một phòng đơn.</t>
  </si>
  <si>
    <t>mother</t>
  </si>
  <si>
    <t>Mother is very kind today.</t>
  </si>
  <si>
    <t>Hôm nay mẹ rất tử tế.</t>
  </si>
  <si>
    <t>teacher</t>
  </si>
  <si>
    <t>My teacher is very kind.</t>
  </si>
  <si>
    <t>Giáo viên của tôi rất tử tế.</t>
  </si>
  <si>
    <t>cut</t>
  </si>
  <si>
    <t>Cut the paper carefully.</t>
  </si>
  <si>
    <t>Cắt tờ giấy một cách cẩn thận.</t>
  </si>
  <si>
    <t>door</t>
  </si>
  <si>
    <t>Open the office door.</t>
  </si>
  <si>
    <t>Mở cửa văn phòng.</t>
  </si>
  <si>
    <t>throw</t>
  </si>
  <si>
    <t>Please throw the ball here.</t>
  </si>
  <si>
    <t>Làm ơn ném trái bóng qua đây.</t>
  </si>
  <si>
    <t>human</t>
  </si>
  <si>
    <t>thuộc về con người</t>
  </si>
  <si>
    <t>That is a human error.</t>
  </si>
  <si>
    <t>Đó là một lỗi thuộc về con người.</t>
  </si>
  <si>
    <t>difference</t>
  </si>
  <si>
    <t>Explain the key difference.</t>
  </si>
  <si>
    <t>Giải thích sự khác biệt chính.</t>
  </si>
  <si>
    <t>decide</t>
  </si>
  <si>
    <t>Decide on the plan.</t>
  </si>
  <si>
    <t>Quyết định về kế hoạch.</t>
  </si>
  <si>
    <t>glass</t>
  </si>
  <si>
    <t>The cup is made of glass.</t>
  </si>
  <si>
    <t>Chiếc cốc được làm bằng thủy tinh.</t>
  </si>
  <si>
    <t>sector</t>
  </si>
  <si>
    <t>He works in the technology sector.</t>
  </si>
  <si>
    <t>Anh ấy làm việc trong lĩnh vực công nghệ.</t>
  </si>
  <si>
    <t>effect</t>
  </si>
  <si>
    <t>The drug effect today.</t>
  </si>
  <si>
    <t>Tác dụng của thuốc hôm nay.</t>
  </si>
  <si>
    <t>town</t>
  </si>
  <si>
    <t>They live in this town.</t>
  </si>
  <si>
    <t>Họ sống ở thị trấn này.</t>
  </si>
  <si>
    <t>hope</t>
  </si>
  <si>
    <t>I hope you are well.</t>
  </si>
  <si>
    <t>Tôi hy vọng bạn khỏe.</t>
  </si>
  <si>
    <t>lead</t>
  </si>
  <si>
    <t>She will lead the team.</t>
  </si>
  <si>
    <t>Cô ấy sẽ dẫn dắt nhóm.</t>
  </si>
  <si>
    <t>third</t>
  </si>
  <si>
    <t>She arrived in third place.</t>
  </si>
  <si>
    <t>Cô ấy đã về ở vị trí thứ ba.</t>
  </si>
  <si>
    <t>teach</t>
  </si>
  <si>
    <t>He will teach us English.</t>
  </si>
  <si>
    <t>Anh ấy sẽ dạy chúng ta tiếng Anh.</t>
  </si>
  <si>
    <t>design</t>
  </si>
  <si>
    <t>A modern logo design.</t>
  </si>
  <si>
    <t>Một thiết kế logo hiện đại.</t>
  </si>
  <si>
    <t>court</t>
  </si>
  <si>
    <t>Appear in the court.</t>
  </si>
  <si>
    <t>Xuất hiện tại tòa án.</t>
  </si>
  <si>
    <t>term</t>
  </si>
  <si>
    <t>The new term starts soon.</t>
  </si>
  <si>
    <t>Học kỳ mới sắp bắt đầu.</t>
  </si>
  <si>
    <t>draw</t>
  </si>
  <si>
    <t>Draw a simple picture.</t>
  </si>
  <si>
    <t>Vẽ một bức tranh đơn giản.</t>
  </si>
  <si>
    <t>industry</t>
  </si>
  <si>
    <t>ngành công nghiệp</t>
  </si>
  <si>
    <t>The computer industry is growing.</t>
  </si>
  <si>
    <t>Ngành công nghiệp máy tính đang phát triển.</t>
  </si>
  <si>
    <t>programme</t>
  </si>
  <si>
    <t>The TV programme starts at eight.</t>
  </si>
  <si>
    <t>Chương trình truyền hình bắt đầu lúc tám giờ.</t>
  </si>
  <si>
    <t>enjoy</t>
  </si>
  <si>
    <t>I enjoy reading good books.</t>
  </si>
  <si>
    <t>Tôi thích đọc những cuốn sách hay.</t>
  </si>
  <si>
    <t>email</t>
  </si>
  <si>
    <t>thư điện tử</t>
  </si>
  <si>
    <t>Please send me an email.</t>
  </si>
  <si>
    <t>Vui lòng gửi cho tôi một email.</t>
  </si>
  <si>
    <t>production</t>
  </si>
  <si>
    <t>Production levels have increased today.</t>
  </si>
  <si>
    <t>Hôm nay mức độ sản xuất đã tăng lên.</t>
  </si>
  <si>
    <t>war</t>
  </si>
  <si>
    <t>War causes a great suffering.</t>
  </si>
  <si>
    <t>Chiến tranh gây ra sự đau khổ lớn.</t>
  </si>
  <si>
    <t>status</t>
  </si>
  <si>
    <t>Check your status right now.</t>
  </si>
  <si>
    <t>Bây giờ hãy kiểm tra trạng thái của bạn.</t>
  </si>
  <si>
    <t>claim</t>
  </si>
  <si>
    <t>He claims he knows.</t>
  </si>
  <si>
    <t>Anh ấy khẳng định mình biết.</t>
  </si>
  <si>
    <t>phone</t>
  </si>
  <si>
    <t>I lost my new phone.</t>
  </si>
  <si>
    <t>Tôi đã làm mất chiếc điện thoại mới của mình.</t>
  </si>
  <si>
    <t>settle</t>
  </si>
  <si>
    <t>Let us settle the dispute.</t>
  </si>
  <si>
    <t>Hãy để chúng tôi giải quyết tranh chấp.</t>
  </si>
  <si>
    <t>thanks</t>
  </si>
  <si>
    <t>lời cảm ơn</t>
  </si>
  <si>
    <t>Many thanks for your help.</t>
  </si>
  <si>
    <t>Cảm ơn rất nhiều vì sự giúp đỡ của bạn.</t>
  </si>
  <si>
    <t>market</t>
  </si>
  <si>
    <t>thị trường</t>
  </si>
  <si>
    <t>The market is growing fast.</t>
  </si>
  <si>
    <t>Thị trường đang tăng trưởng nhanh.</t>
  </si>
  <si>
    <t>supply</t>
  </si>
  <si>
    <t>nguồn cung</t>
  </si>
  <si>
    <t>The supply is very low.</t>
  </si>
  <si>
    <t>Nguồn cung rất thấp.</t>
  </si>
  <si>
    <t>complete</t>
  </si>
  <si>
    <t>The work is complete.</t>
  </si>
  <si>
    <t>Công việc đã được hoàn thành.</t>
  </si>
  <si>
    <t>quality</t>
  </si>
  <si>
    <t>This product has high quality today.</t>
  </si>
  <si>
    <t>Sản phẩm này hôm nay có chất lượng cao.</t>
  </si>
  <si>
    <t>anyone</t>
  </si>
  <si>
    <t>bất kỳ ai</t>
  </si>
  <si>
    <t>Anyone can join the club.</t>
  </si>
  <si>
    <t>Bất kỳ ai cũng có thể tham gia câu lạc bộ.</t>
  </si>
  <si>
    <t>everybody</t>
  </si>
  <si>
    <t>Everybody is here on time.</t>
  </si>
  <si>
    <t>Mọi người đều có mặt đúng giờ.</t>
  </si>
  <si>
    <t>knowledge</t>
  </si>
  <si>
    <t>He has great technical knowledge.</t>
  </si>
  <si>
    <t>Anh ấy có kiến thức chuyên môn tốt.</t>
  </si>
  <si>
    <t>certain</t>
  </si>
  <si>
    <t>I am certain of it.</t>
  </si>
  <si>
    <t>completely</t>
  </si>
  <si>
    <t>I am completely ready.</t>
  </si>
  <si>
    <t>Tôi hoàn toàn sẵn sàng rồi.</t>
  </si>
  <si>
    <t>bank</t>
  </si>
  <si>
    <t>I went to the bank.</t>
  </si>
  <si>
    <t>Tôi đã đi đến ngân hàng.</t>
  </si>
  <si>
    <t>certainly</t>
  </si>
  <si>
    <t>I will certainly go.</t>
  </si>
  <si>
    <t>Tôi chắc chắn sẽ đi.</t>
  </si>
  <si>
    <t>accept</t>
  </si>
  <si>
    <t>Please accept my sincere apology.</t>
  </si>
  <si>
    <t>Hãy chấp nhận lời xin lỗi chân thành của tôi.</t>
  </si>
  <si>
    <t>sex</t>
  </si>
  <si>
    <t>Please indicate your sex here.</t>
  </si>
  <si>
    <t>Vui lòng cho biết giới tính của bạn ở đây.</t>
  </si>
  <si>
    <t>account</t>
  </si>
  <si>
    <t>tài khoản</t>
  </si>
  <si>
    <t>Please log in to your account.</t>
  </si>
  <si>
    <t>Vui lòng đăng nhập vào tài khoản của bạn.</t>
  </si>
  <si>
    <t>appear</t>
  </si>
  <si>
    <t>Stars appear in the night.</t>
  </si>
  <si>
    <t>Các vì sao xuất hiện vào ban đêm.</t>
  </si>
  <si>
    <t>percent</t>
  </si>
  <si>
    <t>Ten percent is not enough.</t>
  </si>
  <si>
    <t>Mười phần trăm là không đủ.</t>
  </si>
  <si>
    <t>condition</t>
  </si>
  <si>
    <t>The condition is good.</t>
  </si>
  <si>
    <t>Điều kiện này rất tốt.</t>
  </si>
  <si>
    <t>process</t>
  </si>
  <si>
    <t>The hiring process is very long.</t>
  </si>
  <si>
    <t>Quy trình tuyển dụng rất dài.</t>
  </si>
  <si>
    <t>room</t>
  </si>
  <si>
    <t>căn phòng</t>
  </si>
  <si>
    <t>The room is very clean today.</t>
  </si>
  <si>
    <t>Căn phòng rất sạch hôm nay.</t>
  </si>
  <si>
    <t>field</t>
  </si>
  <si>
    <t>They work in the field.</t>
  </si>
  <si>
    <t>Họ làm việc trong lĩnh vực đó.</t>
  </si>
  <si>
    <t>period</t>
  </si>
  <si>
    <t>This is a difficult period.</t>
  </si>
  <si>
    <t>Đây là một giai đoạn khó khăn.</t>
  </si>
  <si>
    <t>picture</t>
  </si>
  <si>
    <t>bức tranh</t>
  </si>
  <si>
    <t>This picture is very big.</t>
  </si>
  <si>
    <t>Bức tranh này rất lớn.</t>
  </si>
  <si>
    <t>road</t>
  </si>
  <si>
    <t>This road is very long today.</t>
  </si>
  <si>
    <t>Con đường này rất dài hôm nay.</t>
  </si>
  <si>
    <t>thought</t>
  </si>
  <si>
    <t>A new thought came up.</t>
  </si>
  <si>
    <t>Một suy nghĩ mới đã nảy ra.</t>
  </si>
  <si>
    <t>amount</t>
  </si>
  <si>
    <t>A small amount of water.</t>
  </si>
  <si>
    <t>Một số lượng nước nhỏ.</t>
  </si>
  <si>
    <t>ready</t>
  </si>
  <si>
    <t>sẵn sàng</t>
  </si>
  <si>
    <t>Are you ready to go now?</t>
  </si>
  <si>
    <t>Bạn đã sẵn sàng để đi bây giờ chưa?</t>
  </si>
  <si>
    <t>pass</t>
  </si>
  <si>
    <t>Did you pass the exam?</t>
  </si>
  <si>
    <t>Bạn đã vượt qua kỳ thi chưa?</t>
  </si>
  <si>
    <t>language</t>
  </si>
  <si>
    <t>English is a global language.</t>
  </si>
  <si>
    <t>Tiếng Anh là một ngôn ngữ toàn cầu.</t>
  </si>
  <si>
    <t>strength</t>
  </si>
  <si>
    <t>He has great physical strength.</t>
  </si>
  <si>
    <t>Anh ấy có sức mạnh thể chất lớn.</t>
  </si>
  <si>
    <t>character</t>
  </si>
  <si>
    <t>He likes this character.</t>
  </si>
  <si>
    <t>Anh ấy thích nhân vật này.</t>
  </si>
  <si>
    <t>stock</t>
  </si>
  <si>
    <t>I bought some new stock.</t>
  </si>
  <si>
    <t>Tôi đã mua một số cổ phiếu mới.</t>
  </si>
  <si>
    <t>sport</t>
  </si>
  <si>
    <t>I enjoy every outdoor sport.</t>
  </si>
  <si>
    <t>Tôi thích mọi môn thể thao ngoài trời.</t>
  </si>
  <si>
    <t>especially</t>
  </si>
  <si>
    <t>I like it, especially this.</t>
  </si>
  <si>
    <t>Tôi thích nó, đặc biệt là cái này.</t>
  </si>
  <si>
    <t>sign</t>
  </si>
  <si>
    <t>It is a sign of hope.</t>
  </si>
  <si>
    <t>Đó là một dấu hiệu của hy vọng.</t>
  </si>
  <si>
    <t>left</t>
  </si>
  <si>
    <t>Take the left turn here.</t>
  </si>
  <si>
    <t>Hãy rẽ trái ở đây.</t>
  </si>
  <si>
    <t>behind</t>
  </si>
  <si>
    <t>The car is behind us.</t>
  </si>
  <si>
    <t>Chiếc xe ở phía sau chúng ta.</t>
  </si>
  <si>
    <t>charge</t>
  </si>
  <si>
    <t>tính phí</t>
  </si>
  <si>
    <t>They charge high prices.</t>
  </si>
  <si>
    <t>Họ tính phí giá cao.</t>
  </si>
  <si>
    <t>produce</t>
  </si>
  <si>
    <t>This factory will produce cars.</t>
  </si>
  <si>
    <t>Nhà máy này sẽ sản xuất ô tô.</t>
  </si>
  <si>
    <t>private</t>
  </si>
  <si>
    <t>riêng tư</t>
  </si>
  <si>
    <t>This is a private conversation.</t>
  </si>
  <si>
    <t>Đây là một cuộc trò chuyện riêng tư.</t>
  </si>
  <si>
    <t>along</t>
  </si>
  <si>
    <t>We walked along the river.</t>
  </si>
  <si>
    <t>Chúng tôi đã đi dọc theo dòng sông.</t>
  </si>
  <si>
    <t>setting</t>
  </si>
  <si>
    <t>cài đặt</t>
  </si>
  <si>
    <t>Change the setting on your phone.</t>
  </si>
  <si>
    <t>Hãy thay đổi cài đặt trên điện thoại của bạn.</t>
  </si>
  <si>
    <t>record</t>
  </si>
  <si>
    <t>hồ sơ</t>
  </si>
  <si>
    <t>Check the student record for details.</t>
  </si>
  <si>
    <t>Hãy kiểm tra hồ sơ học sinh để biết chi tiết.</t>
  </si>
  <si>
    <t>recently</t>
  </si>
  <si>
    <t>I recently moved to this city.</t>
  </si>
  <si>
    <t>Tôi gần đây đã chuyển đến thành phố này.</t>
  </si>
  <si>
    <t>culture</t>
  </si>
  <si>
    <t>Learn about local culture.</t>
  </si>
  <si>
    <t>Tìm hiểu về văn hóa địa phương.</t>
  </si>
  <si>
    <t>report</t>
  </si>
  <si>
    <t>Please report the accident to police.</t>
  </si>
  <si>
    <t>Làm ơn báo cáo vụ tai nạn cho cảnh sát.</t>
  </si>
  <si>
    <t>result</t>
  </si>
  <si>
    <t>The result was good for us.</t>
  </si>
  <si>
    <t>Kết quả rất tốt cho chúng ta.</t>
  </si>
  <si>
    <t>require</t>
  </si>
  <si>
    <t>This job will require your skill.</t>
  </si>
  <si>
    <t>Công việc này sẽ yêu cầu kỹ năng của bạn.</t>
  </si>
  <si>
    <t>reach</t>
  </si>
  <si>
    <t>We hope to reach the peak.</t>
  </si>
  <si>
    <t>Chúng tôi hy vọng đạt tới đỉnh núi.</t>
  </si>
  <si>
    <t>century</t>
  </si>
  <si>
    <t>A new century starts.</t>
  </si>
  <si>
    <t>Một thế kỷ mới bắt đầu.</t>
  </si>
  <si>
    <t>drive</t>
  </si>
  <si>
    <t>Drive the car slowly.</t>
  </si>
  <si>
    <t>Lái xe hơi một cách chậm rãi.</t>
  </si>
  <si>
    <t>specific</t>
  </si>
  <si>
    <t>Give me a specific example.</t>
  </si>
  <si>
    <t>Hãy cho tôi một ví dụ cụ thể.</t>
  </si>
  <si>
    <t>bed</t>
  </si>
  <si>
    <t>Go to your bed now.</t>
  </si>
  <si>
    <t>Hãy đi về giường của bạn ngay.</t>
  </si>
  <si>
    <t>available</t>
  </si>
  <si>
    <t>có sẵn</t>
  </si>
  <si>
    <t>Is this seat available now?</t>
  </si>
  <si>
    <t>Ghế này có sẵn bây giờ không?</t>
  </si>
  <si>
    <t>parent</t>
  </si>
  <si>
    <t>My parent is very kind.</t>
  </si>
  <si>
    <t>Cha mẹ tôi rất tốt bụng.</t>
  </si>
  <si>
    <t>speed</t>
  </si>
  <si>
    <t>The speed is too high.</t>
  </si>
  <si>
    <t>Tốc độ quá cao.</t>
  </si>
  <si>
    <t>opportunity</t>
  </si>
  <si>
    <t>This is a great opportunity.</t>
  </si>
  <si>
    <t>Đây là một cơ hội tuyệt vời.</t>
  </si>
  <si>
    <t>generation</t>
  </si>
  <si>
    <t>This is a new generation.</t>
  </si>
  <si>
    <t>Đây là một thế hệ mới.</t>
  </si>
  <si>
    <t>piece</t>
  </si>
  <si>
    <t>miếng</t>
  </si>
  <si>
    <t>Give me a small piece.</t>
  </si>
  <si>
    <t>Hãy cho tôi một miếng nhỏ.</t>
  </si>
  <si>
    <t>month</t>
  </si>
  <si>
    <t>tháng</t>
  </si>
  <si>
    <t>One month has four weeks.</t>
  </si>
  <si>
    <t>Một tháng có bốn tuần.</t>
  </si>
  <si>
    <t>perhaps</t>
  </si>
  <si>
    <t>Perhaps it will rain today.</t>
  </si>
  <si>
    <t>Có lẽ trời sẽ mưa hôm nay.</t>
  </si>
  <si>
    <t>rate</t>
  </si>
  <si>
    <t>The exchange rate is good today.</t>
  </si>
  <si>
    <t>Tỷ lệ hối đoái hôm nay rất tốt.</t>
  </si>
  <si>
    <t>project</t>
  </si>
  <si>
    <t>dự án</t>
  </si>
  <si>
    <t>We finished the project yesterday.</t>
  </si>
  <si>
    <t>Chúng tôi đã hoàn thành dự án hôm qua.</t>
  </si>
  <si>
    <t>reason</t>
  </si>
  <si>
    <t>What is the reason for this?</t>
  </si>
  <si>
    <t>Lý do cho việc này là gì?</t>
  </si>
  <si>
    <t>forget</t>
  </si>
  <si>
    <t>Do not forget your book.</t>
  </si>
  <si>
    <t>Đừng quên cuốn sách của bạn.</t>
  </si>
  <si>
    <t>law</t>
  </si>
  <si>
    <t>luật</t>
  </si>
  <si>
    <t>Follow the law at work.</t>
  </si>
  <si>
    <t>Hãy tuân thủ luật pháp tại nơi làm việc.</t>
  </si>
  <si>
    <t>hot</t>
  </si>
  <si>
    <t>The tea is very hot.</t>
  </si>
  <si>
    <t>Trà rất nóng.</t>
  </si>
  <si>
    <t>slow</t>
  </si>
  <si>
    <t>The turtle is very slow.</t>
  </si>
  <si>
    <t>Con rùa rất chậm.</t>
  </si>
  <si>
    <t>cold</t>
  </si>
  <si>
    <t>The water is cold.</t>
  </si>
  <si>
    <t>Nước này rất lạnh.</t>
  </si>
  <si>
    <t>sort</t>
  </si>
  <si>
    <t>What sort of food here?</t>
  </si>
  <si>
    <t>Đây là loại thức ăn gì?</t>
  </si>
  <si>
    <t>write</t>
  </si>
  <si>
    <t>Write your name down now.</t>
  </si>
  <si>
    <t>Hãy viết tên bạn xuống bây giờ.</t>
  </si>
  <si>
    <t>difficult</t>
  </si>
  <si>
    <t>A very difficult task.</t>
  </si>
  <si>
    <t>Một nhiệm vụ rất khó.</t>
  </si>
  <si>
    <t>five</t>
  </si>
  <si>
    <t>I have five red apples.</t>
  </si>
  <si>
    <t>Tôi có năm quả táo đỏ.</t>
  </si>
  <si>
    <t>pull</t>
  </si>
  <si>
    <t>Please pull the door to open.</t>
  </si>
  <si>
    <t>Làm ơn kéo cửa để mở.</t>
  </si>
  <si>
    <t>push</t>
  </si>
  <si>
    <t>đẩy</t>
  </si>
  <si>
    <t>Please push the button to start.</t>
  </si>
  <si>
    <t>Làm ơn đẩy nút để bắt đầu.</t>
  </si>
  <si>
    <t>black</t>
  </si>
  <si>
    <t>đen</t>
  </si>
  <si>
    <t>She wears a black dress.</t>
  </si>
  <si>
    <t>Cô ấy mặc một chiếc váy đen.</t>
  </si>
  <si>
    <t>card</t>
  </si>
  <si>
    <t>Show your ID card.</t>
  </si>
  <si>
    <t>Hãy trình thẻ ID của bạn.</t>
  </si>
  <si>
    <t>bad</t>
  </si>
  <si>
    <t>tồi</t>
  </si>
  <si>
    <t>That was a bad idea.</t>
  </si>
  <si>
    <t>Đó là một ý tưởng tồi.</t>
  </si>
  <si>
    <t>fire</t>
  </si>
  <si>
    <t>The fire is very warm.</t>
  </si>
  <si>
    <t>Ngọn lửa rất ấm.</t>
  </si>
  <si>
    <t>save</t>
  </si>
  <si>
    <t>cứu</t>
  </si>
  <si>
    <t>We must save the planet today.</t>
  </si>
  <si>
    <t>Chúng ta phải cứu hành tinh hôm nay.</t>
  </si>
  <si>
    <t>name</t>
  </si>
  <si>
    <t>What is your full name?</t>
  </si>
  <si>
    <t>Tên đầy đủ của bạn là gì?</t>
  </si>
  <si>
    <t>shall</t>
  </si>
  <si>
    <t>Shall we go now?</t>
  </si>
  <si>
    <t>Chúng ta sẽ đi bây giờ chứ?</t>
  </si>
  <si>
    <t>word</t>
  </si>
  <si>
    <t>Write a new word now.</t>
  </si>
  <si>
    <t>Hãy viết một từ mới bây giờ.</t>
  </si>
  <si>
    <t>oh</t>
  </si>
  <si>
    <t>ồ</t>
  </si>
  <si>
    <t>Oh, I forgot my bag.</t>
  </si>
  <si>
    <t>Ồ, tôi quên túi xách rồi.</t>
  </si>
  <si>
    <t>describe</t>
  </si>
  <si>
    <t>mô tả</t>
  </si>
  <si>
    <t>Describe the main event.</t>
  </si>
  <si>
    <t>Mô tả sự kiện chính.</t>
  </si>
  <si>
    <t>usually</t>
  </si>
  <si>
    <t>We usually eat at noon.</t>
  </si>
  <si>
    <t>Chúng tôi thường xuyên ăn vào buổi trưa.</t>
  </si>
  <si>
    <t>boat</t>
  </si>
  <si>
    <t>con thuyền</t>
  </si>
  <si>
    <t>The boat crossed the lake.</t>
  </si>
  <si>
    <t>Con thuyền băng qua hồ.</t>
  </si>
  <si>
    <t>gender</t>
  </si>
  <si>
    <t>Choose your gender here.</t>
  </si>
  <si>
    <t>Hãy chọn giới tính của bạn tại đây.</t>
  </si>
  <si>
    <t>key</t>
  </si>
  <si>
    <t>Do not lose your key.</t>
  </si>
  <si>
    <t>Đừng làm mất chìa khóa của bạn.</t>
  </si>
  <si>
    <t>hospital</t>
  </si>
  <si>
    <t>He was taken to hospital.</t>
  </si>
  <si>
    <t>Anh ấy đã được đưa đến bệnh viện.</t>
  </si>
  <si>
    <t>hundred</t>
  </si>
  <si>
    <t>một trăm</t>
  </si>
  <si>
    <t>I have one hundred dollars.</t>
  </si>
  <si>
    <t>Tôi có một trăm đô la.</t>
  </si>
  <si>
    <t>join</t>
  </si>
  <si>
    <t>Join us for the meeting.</t>
  </si>
  <si>
    <t>Hãy tham gia cuộc họp với chúng tôi.</t>
  </si>
  <si>
    <t>image</t>
  </si>
  <si>
    <t>The image is very clear.</t>
  </si>
  <si>
    <t>Hình ảnh rất rõ ràng.</t>
  </si>
  <si>
    <t>data</t>
  </si>
  <si>
    <t>Collect all the data.</t>
  </si>
  <si>
    <t>Thu thập tất cả dữ liệu.</t>
  </si>
  <si>
    <t>ground</t>
  </si>
  <si>
    <t>He sat on the ground.</t>
  </si>
  <si>
    <t>Anh ấy đã ngồi trên mặt đất.</t>
  </si>
  <si>
    <t>less</t>
  </si>
  <si>
    <t>ít hơn</t>
  </si>
  <si>
    <t>I have less work today.</t>
  </si>
  <si>
    <t>Tôi có ít công việc hơn hôm nay.</t>
  </si>
  <si>
    <t>hit</t>
  </si>
  <si>
    <t>He hit the ball hard.</t>
  </si>
  <si>
    <t>Anh ấy đã đánh quả bóng mạnh.</t>
  </si>
  <si>
    <t>visit</t>
  </si>
  <si>
    <t>I will visit you tomorrow.</t>
  </si>
  <si>
    <t>Tôi sẽ thăm bạn vào ngày mai.</t>
  </si>
  <si>
    <t>throughout</t>
  </si>
  <si>
    <t>khắp</t>
  </si>
  <si>
    <t>It rained throughout the night.</t>
  </si>
  <si>
    <t>Trời đã mưa suốt cả đêm.</t>
  </si>
  <si>
    <t>tax</t>
  </si>
  <si>
    <t>The tax rate is high.</t>
  </si>
  <si>
    <t>Mức thuế này rất cao.</t>
  </si>
  <si>
    <t>hair</t>
  </si>
  <si>
    <t>She has long brown hair.</t>
  </si>
  <si>
    <t>Cô ấy có mái tóc dài màu nâu.</t>
  </si>
  <si>
    <t>department</t>
  </si>
  <si>
    <t>The human resources department.</t>
  </si>
  <si>
    <t>Phòng ban nhân sự.</t>
  </si>
  <si>
    <t>seriously</t>
  </si>
  <si>
    <t>một cách nghiêm túc</t>
  </si>
  <si>
    <t>Take the matter seriously.</t>
  </si>
  <si>
    <t>Hãy giải quyết vấn đề một cách nghiêm túc.</t>
  </si>
  <si>
    <t>successfully</t>
  </si>
  <si>
    <t>một cách thành công</t>
  </si>
  <si>
    <t>They finished it successfully now.</t>
  </si>
  <si>
    <t>Họ đã hoàn thành nó thành công.</t>
  </si>
  <si>
    <t>neither</t>
  </si>
  <si>
    <t>không ai trong hai</t>
  </si>
  <si>
    <t>Neither of them was there.</t>
  </si>
  <si>
    <t>Không ai trong hai người họ ở đó.</t>
  </si>
  <si>
    <t>slowly</t>
  </si>
  <si>
    <t>một cách chậm rãi</t>
  </si>
  <si>
    <t>Drive very slowly right now.</t>
  </si>
  <si>
    <t>Hãy lái xe chậm rãi ngay bây giờ.</t>
  </si>
  <si>
    <t>strongly</t>
  </si>
  <si>
    <t>một cách mạnh mẽ</t>
  </si>
  <si>
    <t>I strongly disagree with you.</t>
  </si>
  <si>
    <t>Tôi không đồng ý với bạn một cách mạnh mẽ.</t>
  </si>
  <si>
    <t>used</t>
  </si>
  <si>
    <t>đã qua sử dụng</t>
  </si>
  <si>
    <t>He bought a used car.</t>
  </si>
  <si>
    <t>Anh ấy đã mua một chiếc xe hơi đã qua sử dụng.</t>
  </si>
  <si>
    <t>college</t>
  </si>
  <si>
    <t>trường đại học</t>
  </si>
  <si>
    <t>She attends the college.</t>
  </si>
  <si>
    <t>Cô ấy đang học đại học.</t>
  </si>
  <si>
    <t>herself</t>
  </si>
  <si>
    <t>bản thân cô ấy</t>
  </si>
  <si>
    <t>She did it by herself.</t>
  </si>
  <si>
    <t>Cô ấy đã tự làm việc đó.</t>
  </si>
  <si>
    <t>stress</t>
  </si>
  <si>
    <t>sự căng thẳng</t>
  </si>
  <si>
    <t>Reduce your stress level now.</t>
  </si>
  <si>
    <t>Hãy giảm mức độ căng thẳng của bạn bây giờ.</t>
  </si>
  <si>
    <t>speech</t>
  </si>
  <si>
    <t>bài phát biểu</t>
  </si>
  <si>
    <t>The speech was very moving.</t>
  </si>
  <si>
    <t>Bài phát biểu rất cảm động.</t>
  </si>
  <si>
    <t>generally</t>
  </si>
  <si>
    <t>It is generally cold here.</t>
  </si>
  <si>
    <t>Ở đây thông thường rất lạnh.</t>
  </si>
  <si>
    <t>imagine</t>
  </si>
  <si>
    <t>Can you imagine that life?</t>
  </si>
  <si>
    <t>Bạn có thể tưởng tượng cuộc sống đó không?</t>
  </si>
  <si>
    <t>likely</t>
  </si>
  <si>
    <t>có khả năng</t>
  </si>
  <si>
    <t>It is likely to rain.</t>
  </si>
  <si>
    <t>Nhiều khả năng trời sẽ mưa.</t>
  </si>
  <si>
    <t>treatment</t>
  </si>
  <si>
    <t>sự điều trị</t>
  </si>
  <si>
    <t>The treatment was very effective.</t>
  </si>
  <si>
    <t>Sự điều trị rất hiệu quả.</t>
  </si>
  <si>
    <t>brand</t>
  </si>
  <si>
    <t>thương hiệu</t>
  </si>
  <si>
    <t>This is a famous brand.</t>
  </si>
  <si>
    <t>Đây là một thương hiệu nổi tiếng.</t>
  </si>
  <si>
    <t>solve</t>
  </si>
  <si>
    <t>Can you solve this puzzle?</t>
  </si>
  <si>
    <t>Bạn có thể giải quyết câu đố này không?</t>
  </si>
  <si>
    <t>player</t>
  </si>
  <si>
    <t>người chơi</t>
  </si>
  <si>
    <t>He is a great player.</t>
  </si>
  <si>
    <t>Anh ấy là một người chơi giỏi.</t>
  </si>
  <si>
    <t>member</t>
  </si>
  <si>
    <t>He is a team member.</t>
  </si>
  <si>
    <t>Anh ấy là một thành viên nhóm.</t>
  </si>
  <si>
    <t>front</t>
  </si>
  <si>
    <t>He sits at the front.</t>
  </si>
  <si>
    <t>Anh ấy ngồi ở phía trước.</t>
  </si>
  <si>
    <t>finish</t>
  </si>
  <si>
    <t>I finish my work today.</t>
  </si>
  <si>
    <t>Tôi hoàn thành công việc của mình hôm nay.</t>
  </si>
  <si>
    <t>club</t>
  </si>
  <si>
    <t>Join the sports club.</t>
  </si>
  <si>
    <t>Tham gia câu lạc bộ thể thao.</t>
  </si>
  <si>
    <t>suggestion</t>
  </si>
  <si>
    <t>That is a good suggestion.</t>
  </si>
  <si>
    <t>Đó là một sự đề nghị tốt.</t>
  </si>
  <si>
    <t>separate</t>
  </si>
  <si>
    <t>They live in separate houses.</t>
  </si>
  <si>
    <t>Họ sống trong những ngôi nhà riêng biệt.</t>
  </si>
  <si>
    <t>suffer</t>
  </si>
  <si>
    <t>Do not suffer in silence.</t>
  </si>
  <si>
    <t>Đừng chịu đựng trong sự im lặng.</t>
  </si>
  <si>
    <t>involve</t>
  </si>
  <si>
    <t>Does the job involve travel?</t>
  </si>
  <si>
    <t>Công việc đó có liên quan đến việc đi lại không?</t>
  </si>
  <si>
    <t>form</t>
  </si>
  <si>
    <t>Fill out this application form.</t>
  </si>
  <si>
    <t>Hãy điền vào đơn đăng ký này.</t>
  </si>
  <si>
    <t>morning</t>
  </si>
  <si>
    <t>Good morning to you today.</t>
  </si>
  <si>
    <t>Chào buổi sáng bạn hôm nay.</t>
  </si>
  <si>
    <t>shot</t>
  </si>
  <si>
    <t>phát súng</t>
  </si>
  <si>
    <t>He fired a warning shot.</t>
  </si>
  <si>
    <t>Anh ấy đã bắn một phát súng cảnh cáo.</t>
  </si>
  <si>
    <t>challenge</t>
  </si>
  <si>
    <t>It is a big challenge.</t>
  </si>
  <si>
    <t>Đó là một thử thách lớn.</t>
  </si>
  <si>
    <t>central</t>
  </si>
  <si>
    <t>It is a central location.</t>
  </si>
  <si>
    <t>Đó là một vị trí trung tâm.</t>
  </si>
  <si>
    <t>listen</t>
  </si>
  <si>
    <t>lắng nghe</t>
  </si>
  <si>
    <t>Listen to the teacher carefully.</t>
  </si>
  <si>
    <t>Hãy lắng nghe giáo viên cẩn thận.</t>
  </si>
  <si>
    <t>career</t>
  </si>
  <si>
    <t>She chose a medical career.</t>
  </si>
  <si>
    <t>Cô ấy chọn sự nghiệp y tế.</t>
  </si>
  <si>
    <t>voice</t>
  </si>
  <si>
    <t>She has a soft voice.</t>
  </si>
  <si>
    <t>Cô ấy có một giọng nói mềm mại.</t>
  </si>
  <si>
    <t>shape</t>
  </si>
  <si>
    <t>hình dạng</t>
  </si>
  <si>
    <t>The box has a square shape.</t>
  </si>
  <si>
    <t>Chiếc hộp có hình dạng vuông.</t>
  </si>
  <si>
    <t>officer</t>
  </si>
  <si>
    <t>viên chức</t>
  </si>
  <si>
    <t>The police officer helped me.</t>
  </si>
  <si>
    <t>Viên cảnh sát đã giúp tôi.</t>
  </si>
  <si>
    <t>january</t>
  </si>
  <si>
    <t>The term begins in January.</t>
  </si>
  <si>
    <t>Học kỳ bắt đầu vào tháng một.</t>
  </si>
  <si>
    <t>wall</t>
  </si>
  <si>
    <t>bức tường</t>
  </si>
  <si>
    <t>The wall is painted blue.</t>
  </si>
  <si>
    <t>Bức tường được sơn màu xanh.</t>
  </si>
  <si>
    <t>fight</t>
  </si>
  <si>
    <t>They fight for their rights.</t>
  </si>
  <si>
    <t>Họ chiến đấu vì quyền lợi của mình.</t>
  </si>
  <si>
    <t>hotel</t>
  </si>
  <si>
    <t>They stayed at a hotel.</t>
  </si>
  <si>
    <t>Họ đã ở tại một khách sạn.</t>
  </si>
  <si>
    <t>finally</t>
  </si>
  <si>
    <t>We finally found the way.</t>
  </si>
  <si>
    <t>Cuối cùng chúng tôi đã tìm thấy đường.</t>
  </si>
  <si>
    <t>budget</t>
  </si>
  <si>
    <t>We have a tight budget.</t>
  </si>
  <si>
    <t>Chúng tôi có ngân sách eo hẹp.</t>
  </si>
  <si>
    <t>improve</t>
  </si>
  <si>
    <t>We must improve the service.</t>
  </si>
  <si>
    <t>Chúng ta phải cải thiện dịch vụ.</t>
  </si>
  <si>
    <t>police</t>
  </si>
  <si>
    <t>Call the police right now.</t>
  </si>
  <si>
    <t>Hãy gọi cảnh sát ngay bây giờ.</t>
  </si>
  <si>
    <t>director</t>
  </si>
  <si>
    <t>Contact the office director.</t>
  </si>
  <si>
    <t>Liên hệ với giám đốc văn phòng.</t>
  </si>
  <si>
    <t>fail</t>
  </si>
  <si>
    <t>Do not fear to fail.</t>
  </si>
  <si>
    <t>Đừng sợ thất bại.</t>
  </si>
  <si>
    <t>self</t>
  </si>
  <si>
    <t>He improved his sense of self.</t>
  </si>
  <si>
    <t>Anh ấy cải thiện ý thức về bản thân.</t>
  </si>
  <si>
    <t>cash</t>
  </si>
  <si>
    <t>I only pay cash.</t>
  </si>
  <si>
    <t>Tôi chỉ trả tiền mặt.</t>
  </si>
  <si>
    <t>ability</t>
  </si>
  <si>
    <t>She has the ability to learn.</t>
  </si>
  <si>
    <t>Cô ấy có khả năng học hỏi.</t>
  </si>
  <si>
    <t>impact</t>
  </si>
  <si>
    <t>tác động</t>
  </si>
  <si>
    <t>The impact was very strong.</t>
  </si>
  <si>
    <t>Tác động rất mạnh mẽ.</t>
  </si>
  <si>
    <t>software</t>
  </si>
  <si>
    <t>The software is very useful.</t>
  </si>
  <si>
    <t>Phần mềm này rất hữu ích.</t>
  </si>
  <si>
    <t>star</t>
  </si>
  <si>
    <t>The star shines at night.</t>
  </si>
  <si>
    <t>Ngôi sao chiếu sáng vào ban đêm.</t>
  </si>
  <si>
    <t>sun</t>
  </si>
  <si>
    <t>The sun is very bright.</t>
  </si>
  <si>
    <t>Mặt trời rất sáng.</t>
  </si>
  <si>
    <t>view</t>
  </si>
  <si>
    <t>The view is very beautiful.</t>
  </si>
  <si>
    <t>Tầm nhìn rất đẹp.</t>
  </si>
  <si>
    <t>target</t>
  </si>
  <si>
    <t>We hit the target early.</t>
  </si>
  <si>
    <t>Chúng tôi đạt mục tiêu sớm.</t>
  </si>
  <si>
    <t>individual</t>
  </si>
  <si>
    <t>Each individual must work hard.</t>
  </si>
  <si>
    <t>Mỗi cá nhân phải làm việc chăm chỉ.</t>
  </si>
  <si>
    <t>past</t>
  </si>
  <si>
    <t>Forget about the past now.</t>
  </si>
  <si>
    <t>Hãy quên đi quá khứ bây giờ.</t>
  </si>
  <si>
    <t>organization</t>
  </si>
  <si>
    <t>He leads a large organization.</t>
  </si>
  <si>
    <t>Anh ấy lãnh đạo một tổ chức lớn.</t>
  </si>
  <si>
    <t>busy</t>
  </si>
  <si>
    <t>I am busy working.</t>
  </si>
  <si>
    <t>Tôi đang bận làm việc.</t>
  </si>
  <si>
    <t>daughter</t>
  </si>
  <si>
    <t>My daughter is smart.</t>
  </si>
  <si>
    <t>Con gái tôi rất thông minh.</t>
  </si>
  <si>
    <t>ensure</t>
  </si>
  <si>
    <t>đảm bảo</t>
  </si>
  <si>
    <t>Please ensure the door locks.</t>
  </si>
  <si>
    <t>Vui lòng đảm bảo cửa đã khóa.</t>
  </si>
  <si>
    <t>clothes</t>
  </si>
  <si>
    <t>Put on your clothes.</t>
  </si>
  <si>
    <t>Hãy mặc quần áo vào đi.</t>
  </si>
  <si>
    <t>brown</t>
  </si>
  <si>
    <t>She has brown eyes.</t>
  </si>
  <si>
    <t>Cô ấy có đôi mắt màu nâu.</t>
  </si>
  <si>
    <t>independent</t>
  </si>
  <si>
    <t>She is an independent person.</t>
  </si>
  <si>
    <t>Cô ấy là một người độc lập.</t>
  </si>
  <si>
    <t>song</t>
  </si>
  <si>
    <t>She sang a sweet song.</t>
  </si>
  <si>
    <t>Cô ấy đã hát một bài hát ngọt ngào.</t>
  </si>
  <si>
    <t>chair</t>
  </si>
  <si>
    <t>cái ghế</t>
  </si>
  <si>
    <t>Sit on the chair.</t>
  </si>
  <si>
    <t>Hãy ngồi lên ghế đi.</t>
  </si>
  <si>
    <t>camera</t>
  </si>
  <si>
    <t>Take a photo with camera.</t>
  </si>
  <si>
    <t>Chụp ảnh bằng máy ảnh đi.</t>
  </si>
  <si>
    <t>bus</t>
  </si>
  <si>
    <t>Take the bus home.</t>
  </si>
  <si>
    <t>Bắt xe buýt về nhà đi.</t>
  </si>
  <si>
    <t>green</t>
  </si>
  <si>
    <t>xanh lá</t>
  </si>
  <si>
    <t>The trees are very green.</t>
  </si>
  <si>
    <t>Những cái cây rất xanh lá.</t>
  </si>
  <si>
    <t>value</t>
  </si>
  <si>
    <t>The value is very high.</t>
  </si>
  <si>
    <t>Giá trị rất cao.</t>
  </si>
  <si>
    <t>personal</t>
  </si>
  <si>
    <t>This is my personal opinion.</t>
  </si>
  <si>
    <t>Đây là ý kiến cá nhân của tôi.</t>
  </si>
  <si>
    <t>colour</t>
  </si>
  <si>
    <t>What is your colour?</t>
  </si>
  <si>
    <t>Màu sắc của bạn là gì?</t>
  </si>
  <si>
    <t>coffee</t>
  </si>
  <si>
    <t>Drink some hot coffee.</t>
  </si>
  <si>
    <t>Uống chút cà phê nóng đi.</t>
  </si>
  <si>
    <t>position</t>
  </si>
  <si>
    <t>He has a good position.</t>
  </si>
  <si>
    <t>Anh ấy có một vị trí tốt.</t>
  </si>
  <si>
    <t>figure</t>
  </si>
  <si>
    <t>Look at this important figure.</t>
  </si>
  <si>
    <t>Hãy nhìn vào con số quan trọng này.</t>
  </si>
  <si>
    <t>effort</t>
  </si>
  <si>
    <t>Put more effort into your work.</t>
  </si>
  <si>
    <t>Hãy nỗ lực hơn trong công việc.</t>
  </si>
  <si>
    <t>summer</t>
  </si>
  <si>
    <t>Summer is a hot season.</t>
  </si>
  <si>
    <t>Mùa hè là một mùa nóng.</t>
  </si>
  <si>
    <t>brain</t>
  </si>
  <si>
    <t>bộ não</t>
  </si>
  <si>
    <t>The brain controls movement.</t>
  </si>
  <si>
    <t>Bộ não điều khiển vận động.</t>
  </si>
  <si>
    <t>secretary</t>
  </si>
  <si>
    <t>The secretary scheduled the meeting.</t>
  </si>
  <si>
    <t>Thư ký đã lên lịch cuộc họp.</t>
  </si>
  <si>
    <t>level</t>
  </si>
  <si>
    <t>cấp độ</t>
  </si>
  <si>
    <t>This is a high level.</t>
  </si>
  <si>
    <t>Đây là một cấp độ cao.</t>
  </si>
  <si>
    <t>therefore</t>
  </si>
  <si>
    <t>I was sick, therefore absent.</t>
  </si>
  <si>
    <t>Tôi bị ốm, do đó vắng mặt.</t>
  </si>
  <si>
    <t>husband</t>
  </si>
  <si>
    <t>My husband is very kind.</t>
  </si>
  <si>
    <t>Chồng của tôi rất tử tế.</t>
  </si>
  <si>
    <t>primary</t>
  </si>
  <si>
    <t>chính</t>
  </si>
  <si>
    <t>Our primary goal is to learn.</t>
  </si>
  <si>
    <t>Mục tiêu chính của chúng ta là học tập.</t>
  </si>
  <si>
    <t>television</t>
  </si>
  <si>
    <t>ti vi</t>
  </si>
  <si>
    <t>They watched the news on television.</t>
  </si>
  <si>
    <t>Họ đã xem tin tức trên ti vi.</t>
  </si>
  <si>
    <t>yet</t>
  </si>
  <si>
    <t>I have not finished yet.</t>
  </si>
  <si>
    <t>Tôi vẫn chưa hoàn thành.</t>
  </si>
  <si>
    <t>film</t>
  </si>
  <si>
    <t>I saw a great film.</t>
  </si>
  <si>
    <t>Tôi đã xem một bộ phim hay.</t>
  </si>
  <si>
    <t>paper</t>
  </si>
  <si>
    <t>Please give me some paper.</t>
  </si>
  <si>
    <t>Vui lòng đưa tôi ít giấy.</t>
  </si>
  <si>
    <t>kill</t>
  </si>
  <si>
    <t>The virus can kill cells.</t>
  </si>
  <si>
    <t>Virus có thể giết các tế bào.</t>
  </si>
  <si>
    <t>blow</t>
  </si>
  <si>
    <t>The wind blows hard.</t>
  </si>
  <si>
    <t>Gió thổi mạnh.</t>
  </si>
  <si>
    <t>heavy</t>
  </si>
  <si>
    <t>This box is very heavy.</t>
  </si>
  <si>
    <t>Chiếc hộp này rất nặng.</t>
  </si>
  <si>
    <t>minute</t>
  </si>
  <si>
    <t>phút</t>
  </si>
  <si>
    <t>Wait for a few minutes.</t>
  </si>
  <si>
    <t>Hãy đợi trong vài phút.</t>
  </si>
  <si>
    <t>type</t>
  </si>
  <si>
    <t>What type is this item?</t>
  </si>
  <si>
    <t>Mặt hàng này là loại gì?</t>
  </si>
  <si>
    <t>bottom</t>
  </si>
  <si>
    <t>It is at the bottom.</t>
  </si>
  <si>
    <t>Nó ở dưới đáy đó.</t>
  </si>
  <si>
    <t>shake</t>
  </si>
  <si>
    <t>lắc</t>
  </si>
  <si>
    <t>Shake the bottle before use.</t>
  </si>
  <si>
    <t>Hãy lắc chai trước khi sử dụng.</t>
  </si>
  <si>
    <t>young</t>
  </si>
  <si>
    <t>She is very young now.</t>
  </si>
  <si>
    <t>Cô ấy còn rất trẻ.</t>
  </si>
  <si>
    <t>ship</t>
  </si>
  <si>
    <t>tàu</t>
  </si>
  <si>
    <t>The ship sails at midnight.</t>
  </si>
  <si>
    <t>Con tàu khởi hành lúc nửa đêm.</t>
  </si>
  <si>
    <t>land</t>
  </si>
  <si>
    <t>They bought some new land.</t>
  </si>
  <si>
    <t>Họ đã mua một ít đất mới.</t>
  </si>
  <si>
    <t>force</t>
  </si>
  <si>
    <t>lực</t>
  </si>
  <si>
    <t>Use more force to push.</t>
  </si>
  <si>
    <t>Hãy dùng nhiều lực hơn để đẩy.</t>
  </si>
  <si>
    <t>price</t>
  </si>
  <si>
    <t>giá</t>
  </si>
  <si>
    <t>What is the total price?</t>
  </si>
  <si>
    <t>Tổng giá là bao nhiêu?</t>
  </si>
  <si>
    <t>sentence</t>
  </si>
  <si>
    <t>Write a simple English sentence.</t>
  </si>
  <si>
    <t>Hãy viết một câu tiếng Anh đơn giản.</t>
  </si>
  <si>
    <t>degree</t>
  </si>
  <si>
    <t>Earn a university degree.</t>
  </si>
  <si>
    <t>Đạt được một bằng cấp đại học.</t>
  </si>
  <si>
    <t>drop</t>
  </si>
  <si>
    <t>làm rơi</t>
  </si>
  <si>
    <t>Don't drop the glass.</t>
  </si>
  <si>
    <t>Đừng làm rơi cái ly.</t>
  </si>
  <si>
    <t>university</t>
  </si>
  <si>
    <t>He goes to university daily.</t>
  </si>
  <si>
    <t>Anh ấy đi đến trường đại học hàng ngày.</t>
  </si>
  <si>
    <t>july</t>
  </si>
  <si>
    <t>tháng bảy</t>
  </si>
  <si>
    <t>It is hot in July.</t>
  </si>
  <si>
    <t>Tháng bảy thời tiết rất nóng.</t>
  </si>
  <si>
    <t>june</t>
  </si>
  <si>
    <t>tháng sáu</t>
  </si>
  <si>
    <t>School ends in June.</t>
  </si>
  <si>
    <t>Trường học kết thúc vào tháng sáu.</t>
  </si>
  <si>
    <t>task</t>
  </si>
  <si>
    <t>Complete the task by noon.</t>
  </si>
  <si>
    <t>Hoàn thành nhiệm vụ trước buổi trưa.</t>
  </si>
  <si>
    <t>detail</t>
  </si>
  <si>
    <t>Explain in great detail.</t>
  </si>
  <si>
    <t>Giải thích một cách rất chi tiết.</t>
  </si>
  <si>
    <t>global</t>
  </si>
  <si>
    <t>toàn cầu</t>
  </si>
  <si>
    <t>It is a global problem.</t>
  </si>
  <si>
    <t>Đó là một vấn đề toàn cầu.</t>
  </si>
  <si>
    <t>doctor</t>
  </si>
  <si>
    <t>Consult a local doctor.</t>
  </si>
  <si>
    <t>Tham khảo ý kiến một bác sĩ địa phương.</t>
  </si>
  <si>
    <t>handle</t>
  </si>
  <si>
    <t>Can you handle this task?</t>
  </si>
  <si>
    <t>Bạn có thể xử lý nhiệm vụ này không?</t>
  </si>
  <si>
    <t>tv</t>
  </si>
  <si>
    <t>She is watching the tv.</t>
  </si>
  <si>
    <t>Cô ấy đang xem ti vi.</t>
  </si>
  <si>
    <t>count</t>
  </si>
  <si>
    <t>Count the total number.</t>
  </si>
  <si>
    <t>Đếm tổng số lượng.</t>
  </si>
  <si>
    <t>education</t>
  </si>
  <si>
    <t>Improve the school education.</t>
  </si>
  <si>
    <t>Cải thiện giáo dục nhà trường.</t>
  </si>
  <si>
    <t>customer</t>
  </si>
  <si>
    <t>khách hàng</t>
  </si>
  <si>
    <t>Help the new customer.</t>
  </si>
  <si>
    <t>Giúp đỡ khách hàng mới.</t>
  </si>
  <si>
    <t>direction</t>
  </si>
  <si>
    <t>hướng</t>
  </si>
  <si>
    <t>Move in this direction.</t>
  </si>
  <si>
    <t>Di chuyển theo hướng này.</t>
  </si>
  <si>
    <t>conversation</t>
  </si>
  <si>
    <t>cuộc hội thoại</t>
  </si>
  <si>
    <t>Start a casual conversation.</t>
  </si>
  <si>
    <t>Bắt đầu một cuộc hội thoại bình thường.</t>
  </si>
  <si>
    <t>training</t>
  </si>
  <si>
    <t>việc đào tạo</t>
  </si>
  <si>
    <t>We need more training now.</t>
  </si>
  <si>
    <t>Chúng ta cần đào tạo thêm ngay bây giờ.</t>
  </si>
  <si>
    <t>gift</t>
  </si>
  <si>
    <t>This is a birthday gift.</t>
  </si>
  <si>
    <t>Đây là một món quà sinh nhật.</t>
  </si>
  <si>
    <t>text</t>
  </si>
  <si>
    <t>Please read the short text.</t>
  </si>
  <si>
    <t>Làm ơn đọc văn bản ngắn này.</t>
  </si>
  <si>
    <t>treat</t>
  </si>
  <si>
    <t>Treat others with great respect.</t>
  </si>
  <si>
    <t>Đối xử với người khác bằng sự tôn trọng lớn.</t>
  </si>
  <si>
    <t>guess</t>
  </si>
  <si>
    <t>đoán</t>
  </si>
  <si>
    <t>Can you guess my age?</t>
  </si>
  <si>
    <t>Bạn có thể đoán tuổi của tôi không?</t>
  </si>
  <si>
    <t>deep</t>
  </si>
  <si>
    <t>A very deep river.</t>
  </si>
  <si>
    <t>Một con sông rất sâu.</t>
  </si>
  <si>
    <t>dog</t>
  </si>
  <si>
    <t>The dog is barking.</t>
  </si>
  <si>
    <t>direct</t>
  </si>
  <si>
    <t>A direct flight route.</t>
  </si>
  <si>
    <t>Một lộ trình bay trực tiếp.</t>
  </si>
  <si>
    <t>cup</t>
  </si>
  <si>
    <t>cái cốc</t>
  </si>
  <si>
    <t>Drink from a cup.</t>
  </si>
  <si>
    <t>Uống từ một cái cốc.</t>
  </si>
  <si>
    <t>quickly</t>
  </si>
  <si>
    <t>một cách nhanh chóng</t>
  </si>
  <si>
    <t>Please walk quickly to the car.</t>
  </si>
  <si>
    <t>Hãy đi nhanh đến chỗ chiếc xe.</t>
  </si>
  <si>
    <t>slightly</t>
  </si>
  <si>
    <t>một cách nhẹ nhàng</t>
  </si>
  <si>
    <t>It is slightly warmer today.</t>
  </si>
  <si>
    <t>Hôm nay trời ấm hơn một chút.</t>
  </si>
  <si>
    <t>surely</t>
  </si>
  <si>
    <t>một cách chắc chắn</t>
  </si>
  <si>
    <t>Surely he will come now.</t>
  </si>
  <si>
    <t>Chắc chắn bây giờ anh ấy sẽ đến.</t>
  </si>
  <si>
    <t>significantly</t>
  </si>
  <si>
    <t>một cách đáng kể</t>
  </si>
  <si>
    <t>Profits increased very significantly.</t>
  </si>
  <si>
    <t>Lợi nhuận đã tăng đáng kể.</t>
  </si>
  <si>
    <t>financial</t>
  </si>
  <si>
    <t>thuộc tài chính</t>
  </si>
  <si>
    <t>I have some financial trouble.</t>
  </si>
  <si>
    <t>Tôi có một vài rắc rối về tài chính.</t>
  </si>
  <si>
    <t>political</t>
  </si>
  <si>
    <t>thuộc chính trị</t>
  </si>
  <si>
    <t>She has strong political views.</t>
  </si>
  <si>
    <t>Cô ấy có quan điểm chính trị mạnh mẽ.</t>
  </si>
  <si>
    <t>leader</t>
  </si>
  <si>
    <t>người lãnh đạo</t>
  </si>
  <si>
    <t>He is a great leader.</t>
  </si>
  <si>
    <t>Anh ấy là một người lãnh đạo tuyệt vời.</t>
  </si>
  <si>
    <t>southern</t>
  </si>
  <si>
    <t>thuộc phía nam</t>
  </si>
  <si>
    <t>He lives in southern area.</t>
  </si>
  <si>
    <t>Anh ấy sống ở khu vực phía nam.</t>
  </si>
  <si>
    <t>importance</t>
  </si>
  <si>
    <t>tầm quan trọng</t>
  </si>
  <si>
    <t>I know its true importance.</t>
  </si>
  <si>
    <t>Tôi biết tầm quan trọng thực sự của nó.</t>
  </si>
  <si>
    <t>access</t>
  </si>
  <si>
    <t>quyền truy cập</t>
  </si>
  <si>
    <t>I need access to files.</t>
  </si>
  <si>
    <t>Tôi cần quyền truy cập vào các tệp tin.</t>
  </si>
  <si>
    <t>national</t>
  </si>
  <si>
    <t>thuộc quốc gia</t>
  </si>
  <si>
    <t>It is a national holiday.</t>
  </si>
  <si>
    <t>Đó là một ngày lễ quốc gia.</t>
  </si>
  <si>
    <t>interested</t>
  </si>
  <si>
    <t>được quan tâm</t>
  </si>
  <si>
    <t>Are you interested in this?</t>
  </si>
  <si>
    <t>Bạn có quan tâm đến việc này không?</t>
  </si>
  <si>
    <t>professional</t>
  </si>
  <si>
    <t>He gave a very professional response.</t>
  </si>
  <si>
    <t>Anh ấy đã đưa ra phản hồi rất chuyên nghiệp.</t>
  </si>
  <si>
    <t>hardly</t>
  </si>
  <si>
    <t>hầu như không</t>
  </si>
  <si>
    <t>I could hardly hear him.</t>
  </si>
  <si>
    <t>Tôi hầu như không thể nghe thấy anh ấy.</t>
  </si>
  <si>
    <t>surprise</t>
  </si>
  <si>
    <t>It is a big surprise.</t>
  </si>
  <si>
    <t>Đó là một sự ngạc nhiên lớn.</t>
  </si>
  <si>
    <t>known</t>
  </si>
  <si>
    <t>được biết đến</t>
  </si>
  <si>
    <t>It is a known fact.</t>
  </si>
  <si>
    <t>Đó là một sự thật được biết đến.</t>
  </si>
  <si>
    <t>forward</t>
  </si>
  <si>
    <t>về phía trước</t>
  </si>
  <si>
    <t>Please move forward right now.</t>
  </si>
  <si>
    <t>Vui lòng tiến về phía trước ngay.</t>
  </si>
  <si>
    <t>sale</t>
  </si>
  <si>
    <t>việc bán hàng</t>
  </si>
  <si>
    <t>The store has a big sale.</t>
  </si>
  <si>
    <t>Cửa hàng có một đợt bán hàng lớn.</t>
  </si>
  <si>
    <t>agreement</t>
  </si>
  <si>
    <t>sự thỏa thuận</t>
  </si>
  <si>
    <t>They signed the legal agreement.</t>
  </si>
  <si>
    <t>Họ đã ký bản thỏa thuận pháp lý.</t>
  </si>
  <si>
    <t>included</t>
  </si>
  <si>
    <t>được bao gồm</t>
  </si>
  <si>
    <t>Breakfast is included here daily.</t>
  </si>
  <si>
    <t>Bữa sáng được bao gồm tại đây hàng ngày.</t>
  </si>
  <si>
    <t>communication</t>
  </si>
  <si>
    <t>sự giao tiếp</t>
  </si>
  <si>
    <t>Good communication is key.</t>
  </si>
  <si>
    <t>Sự giao tiếp tốt là chìa khóa.</t>
  </si>
  <si>
    <t>involved</t>
  </si>
  <si>
    <t>bị liên quan</t>
  </si>
  <si>
    <t>He was involved in it.</t>
  </si>
  <si>
    <t>Anh ấy đã bị liên quan trong việc đó.</t>
  </si>
  <si>
    <t>myself</t>
  </si>
  <si>
    <t>bản thân tôi</t>
  </si>
  <si>
    <t>I did it by myself.</t>
  </si>
  <si>
    <t>Tôi đã tự làm nó một mình.</t>
  </si>
  <si>
    <t>shopping</t>
  </si>
  <si>
    <t>việc mua sắm</t>
  </si>
  <si>
    <t>I go shopping every Sunday.</t>
  </si>
  <si>
    <t>Tôi đi mua sắm mỗi Chủ nhật.</t>
  </si>
  <si>
    <t>immediately</t>
  </si>
  <si>
    <t>Please come back immediately now.</t>
  </si>
  <si>
    <t>Hãy quay lại ngay lập tức.</t>
  </si>
  <si>
    <t>practice</t>
  </si>
  <si>
    <t>sự luyện tập</t>
  </si>
  <si>
    <t>Practice makes everything perfect today.</t>
  </si>
  <si>
    <t>Sự luyện tập làm mọi thứ hoàn hảo.</t>
  </si>
  <si>
    <t>concern</t>
  </si>
  <si>
    <t>mối quan tâm</t>
  </si>
  <si>
    <t>That is my concern.</t>
  </si>
  <si>
    <t>Đó là mối quan tâm của tôi.</t>
  </si>
  <si>
    <t>analysis</t>
  </si>
  <si>
    <t>sự phân tích</t>
  </si>
  <si>
    <t>The analysis shows new results.</t>
  </si>
  <si>
    <t>Sự phân tích cho thấy các kết quả mới.</t>
  </si>
  <si>
    <t>encourage</t>
  </si>
  <si>
    <t>khuyến khích</t>
  </si>
  <si>
    <t>They encourage students to read.</t>
  </si>
  <si>
    <t>Họ khuyến khích học sinh đọc sách.</t>
  </si>
  <si>
    <t>rest</t>
  </si>
  <si>
    <t>You need some rest right now.</t>
  </si>
  <si>
    <t>Bạn cần nghỉ ngơi ngay bây giờ.</t>
  </si>
  <si>
    <t>normal</t>
  </si>
  <si>
    <t>Everything seems normal here.</t>
  </si>
  <si>
    <t>Mọi thứ có vẻ bình thường ở đây.</t>
  </si>
  <si>
    <t>operation</t>
  </si>
  <si>
    <t>The operation went well today.</t>
  </si>
  <si>
    <t>Sự vận hành đã diễn ra tốt đẹp hôm nay.</t>
  </si>
  <si>
    <t>relationship</t>
  </si>
  <si>
    <t>They have a good relationship today.</t>
  </si>
  <si>
    <t>Họ có một mối quan hệ tốt hôm nay.</t>
  </si>
  <si>
    <t>moment</t>
  </si>
  <si>
    <t>Wait for a brief moment.</t>
  </si>
  <si>
    <t>Hãy đợi trong một khoảnh khắc ngắn.</t>
  </si>
  <si>
    <t>local</t>
  </si>
  <si>
    <t>Buy local fresh food daily.</t>
  </si>
  <si>
    <t>Hãy mua thực phẩm tươi địa phương hằng ngày.</t>
  </si>
  <si>
    <t>prove</t>
  </si>
  <si>
    <t>Can you prove your theory true?</t>
  </si>
  <si>
    <t>Bạn có thể chứng minh lý thuyết của mình đúng không?</t>
  </si>
  <si>
    <t>square</t>
  </si>
  <si>
    <t>Draw a large square now.</t>
  </si>
  <si>
    <t>Hãy vẽ một hình vuông lớn bây giờ.</t>
  </si>
  <si>
    <t>smart</t>
  </si>
  <si>
    <t>He is a smart student.</t>
  </si>
  <si>
    <t>Anh ấy là một học sinh thông minh.</t>
  </si>
  <si>
    <t>terms</t>
  </si>
  <si>
    <t>I agree to the terms.</t>
  </si>
  <si>
    <t>Tôi đồng ý với các điều khoản.</t>
  </si>
  <si>
    <t>afternoon</t>
  </si>
  <si>
    <t>I work in the afternoon.</t>
  </si>
  <si>
    <t>Tôi làm việc vào buổi chiều.</t>
  </si>
  <si>
    <t>beginning</t>
  </si>
  <si>
    <t>It is the very beginning.</t>
  </si>
  <si>
    <t>Đó là sự bắt đầu thực sự.</t>
  </si>
  <si>
    <t>within</t>
  </si>
  <si>
    <t>It is within my reach.</t>
  </si>
  <si>
    <t>Nó nằm trong tầm tay của tôi.</t>
  </si>
  <si>
    <t>introduce</t>
  </si>
  <si>
    <t>Let me introduce my friend.</t>
  </si>
  <si>
    <t>Hãy để tôi giới thiệu bạn của mình.</t>
  </si>
  <si>
    <t>collection</t>
  </si>
  <si>
    <t>bộ sưu tập</t>
  </si>
  <si>
    <t>Look at my collection.</t>
  </si>
  <si>
    <t>Nhìn vào bộ sưu tập của tôi.</t>
  </si>
  <si>
    <t>ahead</t>
  </si>
  <si>
    <t>Look at the road ahead.</t>
  </si>
  <si>
    <t>Hãy nhìn con đường phía trước.</t>
  </si>
  <si>
    <t>art</t>
  </si>
  <si>
    <t>She studies fine art now.</t>
  </si>
  <si>
    <t>Cô ấy học nghệ thuật tạo hình bây giờ.</t>
  </si>
  <si>
    <t>advice</t>
  </si>
  <si>
    <t>Thank you for your advice.</t>
  </si>
  <si>
    <t>Cảm ơn vì lời khuyên của bạn.</t>
  </si>
  <si>
    <t>campaign</t>
  </si>
  <si>
    <t>chiến dịch</t>
  </si>
  <si>
    <t>The campaign was successful.</t>
  </si>
  <si>
    <t>Chiến dịch đó đã thành công.</t>
  </si>
  <si>
    <t>client</t>
  </si>
  <si>
    <t>The client is happy.</t>
  </si>
  <si>
    <t>Khách hàng cảm thấy hạnh phúc.</t>
  </si>
  <si>
    <t>connection</t>
  </si>
  <si>
    <t>sự kết nối</t>
  </si>
  <si>
    <t>The internet connection works.</t>
  </si>
  <si>
    <t>Kết nối internet vẫn hoạt động.</t>
  </si>
  <si>
    <t>president</t>
  </si>
  <si>
    <t>The president gave a speech.</t>
  </si>
  <si>
    <t>Tổng thống đã có một bài phát biểu.</t>
  </si>
  <si>
    <t>september</t>
  </si>
  <si>
    <t>tháng chín</t>
  </si>
  <si>
    <t>The project ends in September.</t>
  </si>
  <si>
    <t>Dự án kết thúc vào tháng chín.</t>
  </si>
  <si>
    <t>argue</t>
  </si>
  <si>
    <t>They argue about the plan.</t>
  </si>
  <si>
    <t>Họ tranh luận về kế hoạch.</t>
  </si>
  <si>
    <t>trade</t>
  </si>
  <si>
    <t>They focus on international trade.</t>
  </si>
  <si>
    <t>Họ tập trung vào thương mại quốc tế.</t>
  </si>
  <si>
    <t>policy</t>
  </si>
  <si>
    <t>This is our company policy.</t>
  </si>
  <si>
    <t>Đây là chính sách công ty chúng ta.</t>
  </si>
  <si>
    <t>research</t>
  </si>
  <si>
    <t>This research is very important now.</t>
  </si>
  <si>
    <t>Nghiên cứu này rất quan trọng hiện nay.</t>
  </si>
  <si>
    <t>principle</t>
  </si>
  <si>
    <t>We must follow this basic principle.</t>
  </si>
  <si>
    <t>Chúng ta phải tuân theo nguyên tắc cơ bản này.</t>
  </si>
  <si>
    <t>evidence</t>
  </si>
  <si>
    <t>bằng chứng</t>
  </si>
  <si>
    <t>We need more clear evidence.</t>
  </si>
  <si>
    <t>Chúng ta cần thêm bằng chứng rõ ràng.</t>
  </si>
  <si>
    <t>authority</t>
  </si>
  <si>
    <t>Who has the legal authority?</t>
  </si>
  <si>
    <t>Ai có thẩm quyền hợp pháp?</t>
  </si>
  <si>
    <t>succeed</t>
  </si>
  <si>
    <t>You will succeed very soon.</t>
  </si>
  <si>
    <t>Bạn sẽ thành công rất sớm.</t>
  </si>
  <si>
    <t>following</t>
  </si>
  <si>
    <t>Answer the following question please.</t>
  </si>
  <si>
    <t>Hãy trả lời câu hỏi tiếp theo.</t>
  </si>
  <si>
    <t>identify</t>
  </si>
  <si>
    <t>nhận diện</t>
  </si>
  <si>
    <t>Can you identify this object?</t>
  </si>
  <si>
    <t>Bạn có thể nhận diện vật này không?</t>
  </si>
  <si>
    <t>list</t>
  </si>
  <si>
    <t>danh sách</t>
  </si>
  <si>
    <t>Check the list of items.</t>
  </si>
  <si>
    <t>Hãy kiểm tra danh sách các món đồ.</t>
  </si>
  <si>
    <t>affect</t>
  </si>
  <si>
    <t>Does noise affect your work?</t>
  </si>
  <si>
    <t>Tiếng ồn có ảnh hưởng đến công việc không?</t>
  </si>
  <si>
    <t>except</t>
  </si>
  <si>
    <t>ngoại trừ</t>
  </si>
  <si>
    <t>Everyone is here except him.</t>
  </si>
  <si>
    <t>Mọi người đều ở đây ngoại trừ anh ấy.</t>
  </si>
  <si>
    <t>east</t>
  </si>
  <si>
    <t>Go to the east.</t>
  </si>
  <si>
    <t>Đi về phía đông.</t>
  </si>
  <si>
    <t>spirit</t>
  </si>
  <si>
    <t>He has a team spirit.</t>
  </si>
  <si>
    <t>Anh ấy có tinh thần đồng đội.</t>
  </si>
  <si>
    <t>identity</t>
  </si>
  <si>
    <t>danh tính</t>
  </si>
  <si>
    <t>He hides his true identity.</t>
  </si>
  <si>
    <t>Anh ấy che giấu danh tính thực sự của mình.</t>
  </si>
  <si>
    <t>speaker</t>
  </si>
  <si>
    <t>người nói</t>
  </si>
  <si>
    <t>He is a good speaker.</t>
  </si>
  <si>
    <t>Anh ấy là một người nói tốt.</t>
  </si>
  <si>
    <t>protection</t>
  </si>
  <si>
    <t>He needs more protection today.</t>
  </si>
  <si>
    <t>Anh ấy cần sự bảo vệ nhiều hơn hôm nay.</t>
  </si>
  <si>
    <t>eventually</t>
  </si>
  <si>
    <t>He will eventually understand this.</t>
  </si>
  <si>
    <t>Anh ấy cuối cùng sẽ hiểu điều này.</t>
  </si>
  <si>
    <t>absolutely</t>
  </si>
  <si>
    <t>I am absolutely sure now.</t>
  </si>
  <si>
    <t>Tôi hoàn toàn chắc chắn rồi.</t>
  </si>
  <si>
    <t>contain</t>
  </si>
  <si>
    <t>It contains much water.</t>
  </si>
  <si>
    <t>Nó chứa đựng nhiều nước.</t>
  </si>
  <si>
    <t>impossible</t>
  </si>
  <si>
    <t>It is an impossible task.</t>
  </si>
  <si>
    <t>Đó là một nhiệm vụ không thể.</t>
  </si>
  <si>
    <t>focus</t>
  </si>
  <si>
    <t>Please focus on your study.</t>
  </si>
  <si>
    <t>Vui lòng tập trung vào việc học.</t>
  </si>
  <si>
    <t>comment</t>
  </si>
  <si>
    <t>Post a short comment.</t>
  </si>
  <si>
    <t>Đăng một bình luận ngắn.</t>
  </si>
  <si>
    <t>influence</t>
  </si>
  <si>
    <t>She has a great influence.</t>
  </si>
  <si>
    <t>Cô ấy có một ảnh hưởng tuyệt vời.</t>
  </si>
  <si>
    <t>inside</t>
  </si>
  <si>
    <t>Stay inside the building now.</t>
  </si>
  <si>
    <t>Hãy ở bên trong tòa nhà ngay bây giờ.</t>
  </si>
  <si>
    <t>exactly</t>
  </si>
  <si>
    <t>That is exactly what happened.</t>
  </si>
  <si>
    <t>Đó chính xác là những gì đã xảy ra.</t>
  </si>
  <si>
    <t>comfortable</t>
  </si>
  <si>
    <t>The chair is comfortable.</t>
  </si>
  <si>
    <t>Chiếc ghế này rất thoải mái.</t>
  </si>
  <si>
    <t>performance</t>
  </si>
  <si>
    <t>The performance is quite high.</t>
  </si>
  <si>
    <t>Hiệu suất khá cao.</t>
  </si>
  <si>
    <t>above</t>
  </si>
  <si>
    <t>phía trên</t>
  </si>
  <si>
    <t>The shelf is above desk.</t>
  </si>
  <si>
    <t>Cái kệ ở phía trên bàn.</t>
  </si>
  <si>
    <t>below</t>
  </si>
  <si>
    <t>The temperature is below zero.</t>
  </si>
  <si>
    <t>Nhiệt độ ở phía dưới mức không.</t>
  </si>
  <si>
    <t>border</t>
  </si>
  <si>
    <t>They crossed the border.</t>
  </si>
  <si>
    <t>Họ đã băng qua biên giới.</t>
  </si>
  <si>
    <t>establish</t>
  </si>
  <si>
    <t>They establish a new rule.</t>
  </si>
  <si>
    <t>Họ thiết lập một quy tắc mới.</t>
  </si>
  <si>
    <t>outside</t>
  </si>
  <si>
    <t>They waited outside the door.</t>
  </si>
  <si>
    <t>Họ đã đợi bên ngoài cánh cửa.</t>
  </si>
  <si>
    <t>release</t>
  </si>
  <si>
    <t>They will release the movie today.</t>
  </si>
  <si>
    <t>Họ sẽ phát hành bộ phim hôm nay.</t>
  </si>
  <si>
    <t>investment</t>
  </si>
  <si>
    <t>sự đầu tư</t>
  </si>
  <si>
    <t>This is a safe investment.</t>
  </si>
  <si>
    <t>Đây là một sự đầu tư an toàn.</t>
  </si>
  <si>
    <t>final</t>
  </si>
  <si>
    <t>This is the final decision.</t>
  </si>
  <si>
    <t>Đây là quyết định cuối cùng.</t>
  </si>
  <si>
    <t>feature</t>
  </si>
  <si>
    <t>tính năng</t>
  </si>
  <si>
    <t>This phone has new feature.</t>
  </si>
  <si>
    <t>Điện thoại này có tính năng mới.</t>
  </si>
  <si>
    <t>network</t>
  </si>
  <si>
    <t>mạng lưới</t>
  </si>
  <si>
    <t>We need a better network.</t>
  </si>
  <si>
    <t>Chúng ta cần một mạng lưới tốt hơn.</t>
  </si>
  <si>
    <t>struggle</t>
  </si>
  <si>
    <t>đấu tranh</t>
  </si>
  <si>
    <t>We struggle for the truth.</t>
  </si>
  <si>
    <t>Chúng tôi đấu tranh cho sự thật.</t>
  </si>
  <si>
    <t>activity</t>
  </si>
  <si>
    <t>What is your favorite activity?</t>
  </si>
  <si>
    <t>Hoạt động yêu thích của bạn là gì?</t>
  </si>
  <si>
    <t>collect</t>
  </si>
  <si>
    <t>Collect the data now.</t>
  </si>
  <si>
    <t>Thu thập dữ liệu ngay đi.</t>
  </si>
  <si>
    <t>survey</t>
  </si>
  <si>
    <t>khảo sát</t>
  </si>
  <si>
    <t>Do a survey very quickly.</t>
  </si>
  <si>
    <t>Hãy làm một khảo sát rất nhanh chóng.</t>
  </si>
  <si>
    <t>burn</t>
  </si>
  <si>
    <t>đốt cháy</t>
  </si>
  <si>
    <t>Don't burn the paper.</t>
  </si>
  <si>
    <t>Đừng đốt cháy tờ giấy.</t>
  </si>
  <si>
    <t>present</t>
  </si>
  <si>
    <t>He is present here today.</t>
  </si>
  <si>
    <t>Anh ấy hiện diện ở đây hôm nay.</t>
  </si>
  <si>
    <t>race</t>
  </si>
  <si>
    <t>He won the long car race.</t>
  </si>
  <si>
    <t>Anh ấy đã thắng cuộc đua xe dài.</t>
  </si>
  <si>
    <t>response</t>
  </si>
  <si>
    <t>phản hồi</t>
  </si>
  <si>
    <t>Her response was very fast today.</t>
  </si>
  <si>
    <t>Phản hồi của cô ấy rất nhanh hôm nay.</t>
  </si>
  <si>
    <t>feeling</t>
  </si>
  <si>
    <t>I have a strange feeling.</t>
  </si>
  <si>
    <t>Tôi có một cảm giác kỳ lạ.</t>
  </si>
  <si>
    <t>twenty</t>
  </si>
  <si>
    <t>hai mươi</t>
  </si>
  <si>
    <t>I have twenty new books.</t>
  </si>
  <si>
    <t>Tôi có hai mươi cuốn sách mới.</t>
  </si>
  <si>
    <t>science</t>
  </si>
  <si>
    <t>I like to study natural science.</t>
  </si>
  <si>
    <t>Tôi thích nghiên cứu khoa học tự nhiên.</t>
  </si>
  <si>
    <t>sunday</t>
  </si>
  <si>
    <t>I rest on every Sunday.</t>
  </si>
  <si>
    <t>Tôi nghỉ ngơi vào mỗi Chủ nhật.</t>
  </si>
  <si>
    <t>search</t>
  </si>
  <si>
    <t>I will search for the file.</t>
  </si>
  <si>
    <t>Tôi sẽ tìm kiếm tệp đó.</t>
  </si>
  <si>
    <t>popular</t>
  </si>
  <si>
    <t>It is a popular song.</t>
  </si>
  <si>
    <t>Đó là một bài hát phổ biến.</t>
  </si>
  <si>
    <t>particularly</t>
  </si>
  <si>
    <t>It is particularly cold today.</t>
  </si>
  <si>
    <t>Hôm nay đặc biệt lạnh.</t>
  </si>
  <si>
    <t>bit</t>
  </si>
  <si>
    <t>Just a little bit more.</t>
  </si>
  <si>
    <t>Chỉ một chút nữa thôi.</t>
  </si>
  <si>
    <t>sight</t>
  </si>
  <si>
    <t>Keep him in your sight.</t>
  </si>
  <si>
    <t>Hãy giữ anh ấy trong tầm nhìn của bạn.</t>
  </si>
  <si>
    <t>contact</t>
  </si>
  <si>
    <t>Keep in touch contact.</t>
  </si>
  <si>
    <t>Giữ liên lạc nhé.</t>
  </si>
  <si>
    <t>spending</t>
  </si>
  <si>
    <t>Keep track of your spending.</t>
  </si>
  <si>
    <t>Hãy theo dõi việc chi tiêu của bạn.</t>
  </si>
  <si>
    <t>confirm</t>
  </si>
  <si>
    <t>Please confirm the order.</t>
  </si>
  <si>
    <t>Làm ơn xác nhận đơn hàng.</t>
  </si>
  <si>
    <t>express</t>
  </si>
  <si>
    <t>Please express your feelings now.</t>
  </si>
  <si>
    <t>Hãy thể hiện cảm xúc của bạn ngay bây giờ.</t>
  </si>
  <si>
    <t>attention</t>
  </si>
  <si>
    <t>sự chú ý</t>
  </si>
  <si>
    <t>Please pay attention to me.</t>
  </si>
  <si>
    <t>Vui lòng chú ý đến tôi.</t>
  </si>
  <si>
    <t>prepare</t>
  </si>
  <si>
    <t>Please prepare for the test.</t>
  </si>
  <si>
    <t>Vui lòng chuẩn bị cho bài kiểm tra.</t>
  </si>
  <si>
    <t>crime</t>
  </si>
  <si>
    <t>Reduce the crime rate.</t>
  </si>
  <si>
    <t>Giảm tỷ lệ tội phạm.</t>
  </si>
  <si>
    <t>blonde</t>
  </si>
  <si>
    <t>tóc vàng</t>
  </si>
  <si>
    <t>She has beautiful blonde hair.</t>
  </si>
  <si>
    <t>Cô ấy có mái tóc vàng xinh đẹp.</t>
  </si>
  <si>
    <t>arm</t>
  </si>
  <si>
    <t>She hurt her right arm.</t>
  </si>
  <si>
    <t>Cô ấy bị đau cánh tay phải.</t>
  </si>
  <si>
    <t>alone</t>
  </si>
  <si>
    <t>She went there all alone.</t>
  </si>
  <si>
    <t>Cô ấy đã đi đến đó một mình.</t>
  </si>
  <si>
    <t>shift</t>
  </si>
  <si>
    <t>Shift your focus to work.</t>
  </si>
  <si>
    <t>Hãy thay đổi sự tập trung của bạn vào công việc.</t>
  </si>
  <si>
    <t>excellent</t>
  </si>
  <si>
    <t>xuất sắc</t>
  </si>
  <si>
    <t>That is an excellent idea.</t>
  </si>
  <si>
    <t>Đó là một ý tưởng xuất sắc.</t>
  </si>
  <si>
    <t>equipment</t>
  </si>
  <si>
    <t>The equipment is brand new.</t>
  </si>
  <si>
    <t>Thiết bị hoàn toàn mới.</t>
  </si>
  <si>
    <t>meeting</t>
  </si>
  <si>
    <t>The meeting starts very soon.</t>
  </si>
  <si>
    <t>Cuộc họp bắt đầu rất sớm.</t>
  </si>
  <si>
    <t>signal</t>
  </si>
  <si>
    <t>The signal is very weak.</t>
  </si>
  <si>
    <t>Tín hiệu rất yếu.</t>
  </si>
  <si>
    <t>based</t>
  </si>
  <si>
    <t>The story is based here.</t>
  </si>
  <si>
    <t>Câu chuyện được dựa trên ở đây.</t>
  </si>
  <si>
    <t>sexual</t>
  </si>
  <si>
    <t>They discussed sexual health issues.</t>
  </si>
  <si>
    <t>Họ đã thảo luận về các vấn đề sức khỏe tình dục.</t>
  </si>
  <si>
    <t>themselves</t>
  </si>
  <si>
    <t>chính họ</t>
  </si>
  <si>
    <t>They fixed the roof themselves.</t>
  </si>
  <si>
    <t>Họ đã tự sửa mái nhà.</t>
  </si>
  <si>
    <t>enable</t>
  </si>
  <si>
    <t>This tool will enable progress.</t>
  </si>
  <si>
    <t>Công cụ này sẽ cho phép tiến triển.</t>
  </si>
  <si>
    <t>closely</t>
  </si>
  <si>
    <t>Watch them very closely.</t>
  </si>
  <si>
    <t>Hãy theo dõi họ thật chặt chẽ.</t>
  </si>
  <si>
    <t>option</t>
  </si>
  <si>
    <t>tùy chọn</t>
  </si>
  <si>
    <t>We have another good option.</t>
  </si>
  <si>
    <t>Chúng ta có một tùy chọn tốt khác.</t>
  </si>
  <si>
    <t>purpose</t>
  </si>
  <si>
    <t>What is the purpose of this?</t>
  </si>
  <si>
    <t>Mục đích của việc này là gì?</t>
  </si>
  <si>
    <t>competition</t>
  </si>
  <si>
    <t>Win the big competition.</t>
  </si>
  <si>
    <t>Chiến thắng cuộc thi lớn đó.</t>
  </si>
  <si>
    <t>achieve</t>
  </si>
  <si>
    <t>Work hard to achieve success.</t>
  </si>
  <si>
    <t>Hãy làm việc chăm chỉ để đạt được thành công.</t>
  </si>
  <si>
    <t>argument</t>
  </si>
  <si>
    <t>lập luận</t>
  </si>
  <si>
    <t>Your argument is very weak.</t>
  </si>
  <si>
    <t>Lập luận của bạn rất yếu.</t>
  </si>
  <si>
    <t>apply</t>
  </si>
  <si>
    <t>Apply the paint very carefully.</t>
  </si>
  <si>
    <t>Hãy áp dụng lớp sơn thật cẩn thận.</t>
  </si>
  <si>
    <t>floor</t>
  </si>
  <si>
    <t>Clean the floor right now.</t>
  </si>
  <si>
    <t>Hãy lau sàn nhà ngay bây giờ.</t>
  </si>
  <si>
    <t>connect</t>
  </si>
  <si>
    <t>Connect the wires now.</t>
  </si>
  <si>
    <t>Kết nối các dây điện đi.</t>
  </si>
  <si>
    <t>exercise</t>
  </si>
  <si>
    <t>Do exercise every single morning.</t>
  </si>
  <si>
    <t>Hãy tập bài tập mỗi buổi sáng.</t>
  </si>
  <si>
    <t>exist</t>
  </si>
  <si>
    <t>Do ghosts really exist now?</t>
  </si>
  <si>
    <t>Ma có thực sự tồn tại lúc này không?</t>
  </si>
  <si>
    <t>lie</t>
  </si>
  <si>
    <t>Do not lie to me.</t>
  </si>
  <si>
    <t>Đừng nói dối tôi.</t>
  </si>
  <si>
    <t>further</t>
  </si>
  <si>
    <t>Do you have further questions?</t>
  </si>
  <si>
    <t>Bạn có câu hỏi nào khác không?</t>
  </si>
  <si>
    <t>suit</t>
  </si>
  <si>
    <t>Does this suit you now?</t>
  </si>
  <si>
    <t>Điều này có phù hợp với bạn bây giờ không?</t>
  </si>
  <si>
    <t>nice</t>
  </si>
  <si>
    <t>Have a nice day!</t>
  </si>
  <si>
    <t>Chúc một ngày tốt đẹp!</t>
  </si>
  <si>
    <t>recent</t>
  </si>
  <si>
    <t>Have you seen the recent news?</t>
  </si>
  <si>
    <t>Bạn đã xem tin tức gần đây chưa?</t>
  </si>
  <si>
    <t>trouble</t>
  </si>
  <si>
    <t>I am in big trouble.</t>
  </si>
  <si>
    <t>Tôi đang gặp rắc rối lớn.</t>
  </si>
  <si>
    <t>recognize</t>
  </si>
  <si>
    <t>I did not recognize him today.</t>
  </si>
  <si>
    <t>Tôi đã không nhận ra anh ấy hôm nay.</t>
  </si>
  <si>
    <t>music</t>
  </si>
  <si>
    <t>I listen to good music.</t>
  </si>
  <si>
    <t>Tôi nghe nhạc hay.</t>
  </si>
  <si>
    <t>entire</t>
  </si>
  <si>
    <t>I read the entire book.</t>
  </si>
  <si>
    <t>Tôi đã đọc toàn bộ cuốn sách.</t>
  </si>
  <si>
    <t>realize</t>
  </si>
  <si>
    <t>I realize that I am wrong.</t>
  </si>
  <si>
    <t>Tôi nhận ra rằng mình đã sai.</t>
  </si>
  <si>
    <t>whole</t>
  </si>
  <si>
    <t>I spent the whole day.</t>
  </si>
  <si>
    <t>Tôi đã dành toàn bộ ngày.</t>
  </si>
  <si>
    <t>instead</t>
  </si>
  <si>
    <t>I want tea instead now.</t>
  </si>
  <si>
    <t>Tôi muốn trà thay vì bây giờ.</t>
  </si>
  <si>
    <t>advantage</t>
  </si>
  <si>
    <t>lợi thế</t>
  </si>
  <si>
    <t>It gives us an advantage.</t>
  </si>
  <si>
    <t>Nó mang lại cho chúng ta lợi thế.</t>
  </si>
  <si>
    <t>primarily</t>
  </si>
  <si>
    <t>It is primarily about money.</t>
  </si>
  <si>
    <t>Nó chủ yếu là về tiền bạc.</t>
  </si>
  <si>
    <t>mind</t>
  </si>
  <si>
    <t>tâm trí</t>
  </si>
  <si>
    <t>Keep it in your mind.</t>
  </si>
  <si>
    <t>Hãy giữ nó trong tâm trí bạn.</t>
  </si>
  <si>
    <t>manage</t>
  </si>
  <si>
    <t>Manage your time very well.</t>
  </si>
  <si>
    <t>Hãy quản lý thời gian thật tốt.</t>
  </si>
  <si>
    <t>fill</t>
  </si>
  <si>
    <t>lấp đầy</t>
  </si>
  <si>
    <t>Please fill the glass now.</t>
  </si>
  <si>
    <t>Vui lòng lấp đầy chiếc cốc ngay.</t>
  </si>
  <si>
    <t>bill</t>
  </si>
  <si>
    <t>hóa đơn</t>
  </si>
  <si>
    <t>Please pay the bill now.</t>
  </si>
  <si>
    <t>Vui lòng thanh toán hóa đơn ngay bây giờ.</t>
  </si>
  <si>
    <t>remove</t>
  </si>
  <si>
    <t>Please remove your shoes right now.</t>
  </si>
  <si>
    <t>Hãy cởi giày của bạn ra ngay.</t>
  </si>
  <si>
    <t>note</t>
  </si>
  <si>
    <t>Please take a quick note.</t>
  </si>
  <si>
    <t>Vui lòng viết một ghi chú nhanh.</t>
  </si>
  <si>
    <t>partner</t>
  </si>
  <si>
    <t>đối tác</t>
  </si>
  <si>
    <t>She is my business partner.</t>
  </si>
  <si>
    <t>Cô ấy là đối tác kinh doanh của tôi.</t>
  </si>
  <si>
    <t>manager</t>
  </si>
  <si>
    <t>Talk to your manager today.</t>
  </si>
  <si>
    <t>Hãy nói chuyện với quản lý của bạn hôm nay.</t>
  </si>
  <si>
    <t>cat</t>
  </si>
  <si>
    <t>con mèo</t>
  </si>
  <si>
    <t>The cat drinks milk.</t>
  </si>
  <si>
    <t>Con mèo đang uống sữa.</t>
  </si>
  <si>
    <t>range</t>
  </si>
  <si>
    <t>The range of products is wide.</t>
  </si>
  <si>
    <t>Phạm vi các sản phẩm rất rộng.</t>
  </si>
  <si>
    <t>clean</t>
  </si>
  <si>
    <t>The room is clean.</t>
  </si>
  <si>
    <t>Căn phòng này sạch sẽ.</t>
  </si>
  <si>
    <t>closed</t>
  </si>
  <si>
    <t>đã đóng</t>
  </si>
  <si>
    <t>The shop is closed.</t>
  </si>
  <si>
    <t>Cửa hàng đã đóng cửa rồi.</t>
  </si>
  <si>
    <t>remain</t>
  </si>
  <si>
    <t>vẫn còn</t>
  </si>
  <si>
    <t>The situation will remain the same.</t>
  </si>
  <si>
    <t>Tình hình sẽ vẫn còn như cũ.</t>
  </si>
  <si>
    <t>tree</t>
  </si>
  <si>
    <t>cái cây</t>
  </si>
  <si>
    <t>The tree is very tall.</t>
  </si>
  <si>
    <t>Cái cây rất cao.</t>
  </si>
  <si>
    <t>benefit</t>
  </si>
  <si>
    <t>lợi ích</t>
  </si>
  <si>
    <t>There is a great benefit.</t>
  </si>
  <si>
    <t>Có một lợi ích to lớn.</t>
  </si>
  <si>
    <t>church</t>
  </si>
  <si>
    <t>They go to church.</t>
  </si>
  <si>
    <t>Họ đi đến nhà thờ.</t>
  </si>
  <si>
    <t>train</t>
  </si>
  <si>
    <t>They train new staff daily.</t>
  </si>
  <si>
    <t>Họ đào tạo nhân viên mới hàng ngày.</t>
  </si>
  <si>
    <t>secondary</t>
  </si>
  <si>
    <t>thứ cấp</t>
  </si>
  <si>
    <t>This is a secondary concern.</t>
  </si>
  <si>
    <t>Đây là mối quan tâm thứ cấp.</t>
  </si>
  <si>
    <t>least</t>
  </si>
  <si>
    <t>This is the least important.</t>
  </si>
  <si>
    <t>Đây là thứ ít quan trọng nhất.</t>
  </si>
  <si>
    <t>property</t>
  </si>
  <si>
    <t>This land is private property.</t>
  </si>
  <si>
    <t>Mảnh đất này là tài sản tư nhân.</t>
  </si>
  <si>
    <t>additional</t>
  </si>
  <si>
    <t>We need some additional funding.</t>
  </si>
  <si>
    <t>Chúng tôi cần một số kinh phí bổ sung.</t>
  </si>
  <si>
    <t>secure</t>
  </si>
  <si>
    <t>We need to secure our data.</t>
  </si>
  <si>
    <t>Chúng ta cần bảo đảm dữ liệu của mình.</t>
  </si>
  <si>
    <t>role</t>
  </si>
  <si>
    <t>What is your main role today?</t>
  </si>
  <si>
    <t>Vai trò chính của bạn hôm nay là gì?</t>
  </si>
  <si>
    <t>rule</t>
  </si>
  <si>
    <t>You must follow every rule here.</t>
  </si>
  <si>
    <t>Bạn phải tuân theo mọi quy tắc ở đây.</t>
  </si>
  <si>
    <t>skill</t>
  </si>
  <si>
    <t>You need this new skill.</t>
  </si>
  <si>
    <t>Bạn cần kỹ năng mới này.</t>
  </si>
  <si>
    <t>anyway</t>
  </si>
  <si>
    <t>Anyway, I will try again.</t>
  </si>
  <si>
    <t>Dù sao, tôi sẽ thử lại.</t>
  </si>
  <si>
    <t>afraid</t>
  </si>
  <si>
    <t>Are you afraid of dogs?</t>
  </si>
  <si>
    <t>Bạn có sợ chó không?</t>
  </si>
  <si>
    <t>surface</t>
  </si>
  <si>
    <t>Clean the surface very well.</t>
  </si>
  <si>
    <t>Hãy làm sạch bề mặt thật kỹ.</t>
  </si>
  <si>
    <t>fear</t>
  </si>
  <si>
    <t>Face your fear with courage.</t>
  </si>
  <si>
    <t>Hãy đối mặt với nỗi sợ bằng sự can đảm.</t>
  </si>
  <si>
    <t>capital</t>
  </si>
  <si>
    <t>Hanoi is the capital.</t>
  </si>
  <si>
    <t>Hà Nội là thủ đô.</t>
  </si>
  <si>
    <t>travel</t>
  </si>
  <si>
    <t>I travel to work daily.</t>
  </si>
  <si>
    <t>Tôi đi lại tới nơi làm việc hàng ngày.</t>
  </si>
  <si>
    <t>pressure</t>
  </si>
  <si>
    <t>I work under high pressure.</t>
  </si>
  <si>
    <t>Tôi làm việc dưới áp lực cao.</t>
  </si>
  <si>
    <t>particular</t>
  </si>
  <si>
    <t>Is there a particular reason?</t>
  </si>
  <si>
    <t>Có lý do cụ thể nào không?</t>
  </si>
  <si>
    <t>matter</t>
  </si>
  <si>
    <t>It is a serious matter.</t>
  </si>
  <si>
    <t>Đó là một vấn đề nghiêm trọng.</t>
  </si>
  <si>
    <t>stuff</t>
  </si>
  <si>
    <t>đồ đạc</t>
  </si>
  <si>
    <t>Put all your stuff here.</t>
  </si>
  <si>
    <t>Hãy để tất cả đồ đạc của bạn ở đây.</t>
  </si>
  <si>
    <t>letter</t>
  </si>
  <si>
    <t>lá thư</t>
  </si>
  <si>
    <t>She wrote a long letter.</t>
  </si>
  <si>
    <t>Cô ấy đã viết một lá thư dài.</t>
  </si>
  <si>
    <t>switch</t>
  </si>
  <si>
    <t>Switch the light off now.</t>
  </si>
  <si>
    <t>Hãy tắt đèn ngay.</t>
  </si>
  <si>
    <t>indicate</t>
  </si>
  <si>
    <t>The data indicates a trend.</t>
  </si>
  <si>
    <t>Dữ liệu chỉ ra một xu hướng.</t>
  </si>
  <si>
    <t>risk</t>
  </si>
  <si>
    <t>rủi ro</t>
  </si>
  <si>
    <t>This job has a high risk.</t>
  </si>
  <si>
    <t>Công việc này có một rủi ro cao.</t>
  </si>
  <si>
    <t>generate</t>
  </si>
  <si>
    <t>This machine generates power.</t>
  </si>
  <si>
    <t>Máy này tạo ra điện năng.</t>
  </si>
  <si>
    <t>protect</t>
  </si>
  <si>
    <t>We must protect the environment daily.</t>
  </si>
  <si>
    <t>Chúng ta phải bảo vệ môi trường hàng ngày.</t>
  </si>
  <si>
    <t>object</t>
  </si>
  <si>
    <t>đồ vật</t>
  </si>
  <si>
    <t>What is that strange object?</t>
  </si>
  <si>
    <t>Đồ vật lạ đó là gì?</t>
  </si>
  <si>
    <t>opinion</t>
  </si>
  <si>
    <t>What is your personal opinion?</t>
  </si>
  <si>
    <t>Ý kiến cá nhân của bạn là gì?</t>
  </si>
  <si>
    <t>despite</t>
  </si>
  <si>
    <t>Work despite the pain.</t>
  </si>
  <si>
    <t>Làm việc mặc dù đau đớn.</t>
  </si>
  <si>
    <t>chain</t>
  </si>
  <si>
    <t>chuỗi</t>
  </si>
  <si>
    <t>A chain of events.</t>
  </si>
  <si>
    <t>Một chuỗi các sự kiện.</t>
  </si>
  <si>
    <t>notice</t>
  </si>
  <si>
    <t>Did you notice the sign?</t>
  </si>
  <si>
    <t>Bạn có chú ý đến cái biển báo không?</t>
  </si>
  <si>
    <t>straight</t>
  </si>
  <si>
    <t>Draw a straight line now.</t>
  </si>
  <si>
    <t>Hãy vẽ một đường thẳng bây giờ.</t>
  </si>
  <si>
    <t>bar</t>
  </si>
  <si>
    <t>thanh</t>
  </si>
  <si>
    <t>He bought a chocolate bar.</t>
  </si>
  <si>
    <t>Anh ấy mua một thanh sô cô la.</t>
  </si>
  <si>
    <t>million</t>
  </si>
  <si>
    <t>triệu</t>
  </si>
  <si>
    <t>He has a million dollars.</t>
  </si>
  <si>
    <t>Anh ấy có một triệu đô la.</t>
  </si>
  <si>
    <t>fast</t>
  </si>
  <si>
    <t>He is a fast runner.</t>
  </si>
  <si>
    <t>Anh ấy là một người chạy nhanh.</t>
  </si>
  <si>
    <t>various</t>
  </si>
  <si>
    <t>I have various new ideas.</t>
  </si>
  <si>
    <t>Tôi có nhiều ý tưởng mới.</t>
  </si>
  <si>
    <t>maybe</t>
  </si>
  <si>
    <t>Maybe I will go later.</t>
  </si>
  <si>
    <t>Có lẽ tôi sẽ đi sau.</t>
  </si>
  <si>
    <t>page</t>
  </si>
  <si>
    <t>Read page ten, please.</t>
  </si>
  <si>
    <t>Vui lòng đọc trang mười.</t>
  </si>
  <si>
    <t>She watched a funny video.</t>
  </si>
  <si>
    <t>Cô ấy đã xem một video hài hước.</t>
  </si>
  <si>
    <t>somebody</t>
  </si>
  <si>
    <t>Somebody is at the door.</t>
  </si>
  <si>
    <t>Ai đó đang ở cửa.</t>
  </si>
  <si>
    <t>branch</t>
  </si>
  <si>
    <t>nhánh</t>
  </si>
  <si>
    <t>The branch broke off.</t>
  </si>
  <si>
    <t>Nhánh cây bị gãy rời.</t>
  </si>
  <si>
    <t>session</t>
  </si>
  <si>
    <t>phiên</t>
  </si>
  <si>
    <t>The morning session is full.</t>
  </si>
  <si>
    <t>Phiên họp buổi sáng đã kín chỗ.</t>
  </si>
  <si>
    <t>white</t>
  </si>
  <si>
    <t>The wall is very white.</t>
  </si>
  <si>
    <t>Bức tường rất trắng.</t>
  </si>
  <si>
    <t>poor</t>
  </si>
  <si>
    <t>They live in poor conditions.</t>
  </si>
  <si>
    <t>Họ sống trong điều kiện nghèo nàn.</t>
  </si>
  <si>
    <t>main</t>
  </si>
  <si>
    <t>This is the main reason.</t>
  </si>
  <si>
    <t>Đây là lý do chính.</t>
  </si>
  <si>
    <t>base</t>
  </si>
  <si>
    <t>This is the military base.</t>
  </si>
  <si>
    <t>Đây là cơ sở quân sự.</t>
  </si>
  <si>
    <t>guest</t>
  </si>
  <si>
    <t>We have a guest today.</t>
  </si>
  <si>
    <t>Chúng ta có một vị khách hôm nay.</t>
  </si>
  <si>
    <t>win</t>
  </si>
  <si>
    <t>thắng</t>
  </si>
  <si>
    <t>We will win the game.</t>
  </si>
  <si>
    <t>Chúng tôi sẽ thắng trận đấu.</t>
  </si>
  <si>
    <t>bright</t>
  </si>
  <si>
    <t>The light is very bright.</t>
  </si>
  <si>
    <t>Ánh đèn rất sáng.</t>
  </si>
  <si>
    <t>channel</t>
  </si>
  <si>
    <t>Change the TV channel.</t>
  </si>
  <si>
    <t>Chuyển kênh truyền hình đi.</t>
  </si>
  <si>
    <t>else</t>
  </si>
  <si>
    <t>Do you need anything else?</t>
  </si>
  <si>
    <t>Bạn có cần gì khác không?</t>
  </si>
  <si>
    <t>middle</t>
  </si>
  <si>
    <t>He is in the middle.</t>
  </si>
  <si>
    <t>Anh ấy đang ở giữa.</t>
  </si>
  <si>
    <t>gun</t>
  </si>
  <si>
    <t>He owns a hunting gun.</t>
  </si>
  <si>
    <t>Anh ấy sở hữu một khẩu súng săn.</t>
  </si>
  <si>
    <t>upon</t>
  </si>
  <si>
    <t>He sat upon the chair.</t>
  </si>
  <si>
    <t>Anh ấy đã ngồi trên chiếc ghế.</t>
  </si>
  <si>
    <t>ok</t>
  </si>
  <si>
    <t>Is the plan ok now?</t>
  </si>
  <si>
    <t>Kế hoạch bây giờ đã được chưa?</t>
  </si>
  <si>
    <t>pick</t>
  </si>
  <si>
    <t>Please pick a good one.</t>
  </si>
  <si>
    <t>Vui lòng chọn một cái tốt.</t>
  </si>
  <si>
    <t>shut</t>
  </si>
  <si>
    <t>Please shut the door tight.</t>
  </si>
  <si>
    <t>Vui lòng đóng chặt cửa.</t>
  </si>
  <si>
    <t>rise</t>
  </si>
  <si>
    <t>Prices will rise again tomorrow now.</t>
  </si>
  <si>
    <t>Giá cả sẽ tăng lại vào ngày mai.</t>
  </si>
  <si>
    <t>select</t>
  </si>
  <si>
    <t>Select the files you want.</t>
  </si>
  <si>
    <t>Hãy chọn các tệp bạn muốn.</t>
  </si>
  <si>
    <t>low</t>
  </si>
  <si>
    <t>The battery is very low.</t>
  </si>
  <si>
    <t>Pin đang ở mức rất thấp.</t>
  </si>
  <si>
    <t>strike</t>
  </si>
  <si>
    <t>The clock will strike twelve.</t>
  </si>
  <si>
    <t>Chiếc đồng hồ sẽ đánh mười hai giờ.</t>
  </si>
  <si>
    <t>broad</t>
  </si>
  <si>
    <t>The road is very broad.</t>
  </si>
  <si>
    <t>Con đường này rất rộng.</t>
  </si>
  <si>
    <t>shoe</t>
  </si>
  <si>
    <t>Tie your shoe lace now.</t>
  </si>
  <si>
    <t>Hãy buộc dây giày của bạn ngay.</t>
  </si>
  <si>
    <t>reduce</t>
  </si>
  <si>
    <t>We must reduce our costs now.</t>
  </si>
  <si>
    <t>Chúng ta phải giảm chi phí ngay bây giờ.</t>
  </si>
  <si>
    <t>yeah</t>
  </si>
  <si>
    <t>Yeah, I agree with you.</t>
  </si>
  <si>
    <t>Vâng, tôi đồng ý với bạn.</t>
  </si>
  <si>
    <t>sleep</t>
  </si>
  <si>
    <t>Babies sleep for many hours.</t>
  </si>
  <si>
    <t>Trẻ sơ sinh ngủ trong nhiều giờ.</t>
  </si>
  <si>
    <t>shoot</t>
  </si>
  <si>
    <t>Do not shoot the target.</t>
  </si>
  <si>
    <t>Đừng bắn vào mục tiêu.</t>
  </si>
  <si>
    <t>shoulder</t>
  </si>
  <si>
    <t>He has a broad shoulder.</t>
  </si>
  <si>
    <t>Anh ấy có một bờ vai rộng.</t>
  </si>
  <si>
    <t>highly</t>
  </si>
  <si>
    <t>He is highly regarded here.</t>
  </si>
  <si>
    <t>Anh ấy được đánh giá cao tại đây.</t>
  </si>
  <si>
    <t>fine</t>
  </si>
  <si>
    <t>I am feeling fine today.</t>
  </si>
  <si>
    <t>Hôm nay tôi cảm thấy tốt.</t>
  </si>
  <si>
    <t>eight</t>
  </si>
  <si>
    <t>tám</t>
  </si>
  <si>
    <t>I have eight books here.</t>
  </si>
  <si>
    <t>Tôi có tám cuốn sách ở đây.</t>
  </si>
  <si>
    <t>wear</t>
  </si>
  <si>
    <t>I wear a blue shirt.</t>
  </si>
  <si>
    <t>Tôi mặc một chiếc áo xanh.</t>
  </si>
  <si>
    <t>lay</t>
  </si>
  <si>
    <t>Lay the book on table.</t>
  </si>
  <si>
    <t>Hãy đặt quyển sách lên bàn.</t>
  </si>
  <si>
    <t>beautiful</t>
  </si>
  <si>
    <t>She is a beautiful girl.</t>
  </si>
  <si>
    <t>Cô ấy là một cô gái đẹp.</t>
  </si>
  <si>
    <t>stick</t>
  </si>
  <si>
    <t>Stick the note on wall.</t>
  </si>
  <si>
    <t>Hãy dán ghi chú lên tường.</t>
  </si>
  <si>
    <t>boss</t>
  </si>
  <si>
    <t>sếp</t>
  </si>
  <si>
    <t>The boss is in meetings.</t>
  </si>
  <si>
    <t>Sếp đang bận họp hành.</t>
  </si>
  <si>
    <t>per</t>
  </si>
  <si>
    <t>The cost is ten per.</t>
  </si>
  <si>
    <t>Chi phí là mười mỗi cái.</t>
  </si>
  <si>
    <t>soft</t>
  </si>
  <si>
    <t>The pillow is very soft.</t>
  </si>
  <si>
    <t>Chiếc gối rất mềm.</t>
  </si>
  <si>
    <t>near</t>
  </si>
  <si>
    <t>The shop is near here.</t>
  </si>
  <si>
    <t>Cửa hàng ở gần đây.</t>
  </si>
  <si>
    <t>spot</t>
  </si>
  <si>
    <t>đốm</t>
  </si>
  <si>
    <t>There is a red spot.</t>
  </si>
  <si>
    <t>Có một đốm đỏ.</t>
  </si>
  <si>
    <t>oil</t>
  </si>
  <si>
    <t>They extract oil from seeds.</t>
  </si>
  <si>
    <t>Họ chiết xuất dầu từ hạt.</t>
  </si>
  <si>
    <t>arrive</t>
  </si>
  <si>
    <t>When will you arrive there?</t>
  </si>
  <si>
    <t>Khi nào bạn sẽ đến đó?</t>
  </si>
  <si>
    <t>wife</t>
  </si>
  <si>
    <t>His wife is very kind.</t>
  </si>
  <si>
    <t>Vợ của anh ấy rất tử tế.</t>
  </si>
  <si>
    <t>cheap</t>
  </si>
  <si>
    <t>It is very cheap.</t>
  </si>
  <si>
    <t>Nó rất là rẻ.</t>
  </si>
  <si>
    <t>print</t>
  </si>
  <si>
    <t>Please print the document for me.</t>
  </si>
  <si>
    <t>Làm ơn in tài liệu cho tôi.</t>
  </si>
  <si>
    <t>skin</t>
  </si>
  <si>
    <t>She has very soft skin.</t>
  </si>
  <si>
    <t>Cô ấy có làn da rất mềm mại.</t>
  </si>
  <si>
    <t>strange</t>
  </si>
  <si>
    <t>lạ</t>
  </si>
  <si>
    <t>That is a strange noise.</t>
  </si>
  <si>
    <t>Đó là một âm thanh lạ.</t>
  </si>
  <si>
    <t>mã</t>
  </si>
  <si>
    <t>Write the computer code.</t>
  </si>
  <si>
    <t>Viết mã máy tính đi.</t>
  </si>
  <si>
    <t>discussion</t>
  </si>
  <si>
    <t>A long group discussion.</t>
  </si>
  <si>
    <t>Một cuộc thảo luận nhóm dài.</t>
  </si>
  <si>
    <t>economic</t>
  </si>
  <si>
    <t>thuộc kinh tế</t>
  </si>
  <si>
    <t>The current economic status.</t>
  </si>
  <si>
    <t>Trạng thái kinh tế hiện tại.</t>
  </si>
  <si>
    <t>contribute</t>
  </si>
  <si>
    <t>Contribute to the project.</t>
  </si>
  <si>
    <t>Đóng góp cho dự án.</t>
  </si>
  <si>
    <t>dead</t>
  </si>
  <si>
    <t>đã chết</t>
  </si>
  <si>
    <t>The plant is dead.</t>
  </si>
  <si>
    <t>Cái cây đã chết.</t>
  </si>
  <si>
    <t>guide</t>
  </si>
  <si>
    <t>người hướng dẫn</t>
  </si>
  <si>
    <t>The guide showed us around.</t>
  </si>
  <si>
    <t>Người hướng dẫn đã dẫn chúng tôi đi tham quan.</t>
  </si>
  <si>
    <t>theory</t>
  </si>
  <si>
    <t>This theory is very famous.</t>
  </si>
  <si>
    <t>Lý thuyết này rất nổi tiếng.</t>
  </si>
  <si>
    <t>truth</t>
  </si>
  <si>
    <t>Always tell the whole truth.</t>
  </si>
  <si>
    <t>Luôn nói toàn bộ sự thật.</t>
  </si>
  <si>
    <t>demand</t>
  </si>
  <si>
    <t>Meet the market demand.</t>
  </si>
  <si>
    <t>Đáp ứng nhu cầu thị trường.</t>
  </si>
  <si>
    <t>thank</t>
  </si>
  <si>
    <t>I want to thank you.</t>
  </si>
  <si>
    <t>Tôi muốn cảm ơn bạn.</t>
  </si>
  <si>
    <t>dollar</t>
  </si>
  <si>
    <t>đô la</t>
  </si>
  <si>
    <t>Costs one hundred dollars.</t>
  </si>
  <si>
    <t>Chi phí một trăm đô la.</t>
  </si>
  <si>
    <t>thousand</t>
  </si>
  <si>
    <t>nghìn</t>
  </si>
  <si>
    <t>I have a thousand dollars.</t>
  </si>
  <si>
    <t>Tôi có một nghìn đô la.</t>
  </si>
  <si>
    <t>hang</t>
  </si>
  <si>
    <t>Hang your coat on wall.</t>
  </si>
  <si>
    <t>Hãy treo áo khoác của bạn lên tường.</t>
  </si>
  <si>
    <t>hall</t>
  </si>
  <si>
    <t>Meet me in the hall.</t>
  </si>
  <si>
    <t>Hãy gặp tôi tại sảnh.</t>
  </si>
  <si>
    <t>hide</t>
  </si>
  <si>
    <t>trốn</t>
  </si>
  <si>
    <t>They hide in the house.</t>
  </si>
  <si>
    <t>Họ trốn trong ngôi nhà.</t>
  </si>
  <si>
    <t>corner</t>
  </si>
  <si>
    <t>Wait at the corner.</t>
  </si>
  <si>
    <t>Đợi ở góc phố.</t>
  </si>
  <si>
    <t>contrary</t>
  </si>
  <si>
    <t>He holds contrary views.</t>
  </si>
  <si>
    <t>Anh ấy giữ các quan điểm trái ngược.</t>
  </si>
  <si>
    <t>discuss</t>
  </si>
  <si>
    <t>Discuss the new plan.</t>
  </si>
  <si>
    <t>Thảo luận kế hoạch mới.</t>
  </si>
  <si>
    <t>effective</t>
  </si>
  <si>
    <t>An effective working method.</t>
  </si>
  <si>
    <t>Một phương pháp làm việc hiệu quả.</t>
  </si>
  <si>
    <t>current</t>
  </si>
  <si>
    <t>The current project status.</t>
  </si>
  <si>
    <t>Trạng thái dự án hiện tại.</t>
  </si>
  <si>
    <t>traditional</t>
  </si>
  <si>
    <t>They wear traditional clothes today.</t>
  </si>
  <si>
    <t>Hôm nay họ mặc quần áo truyền thống.</t>
  </si>
  <si>
    <t>economy</t>
  </si>
  <si>
    <t>nền kinh tế</t>
  </si>
  <si>
    <t>Improve the national economy.</t>
  </si>
  <si>
    <t>Cải thiện nền kinh tế quốc gia.</t>
  </si>
  <si>
    <t>total</t>
  </si>
  <si>
    <t>The total number is fifty.</t>
  </si>
  <si>
    <t>Tổng số là năm mươi.</t>
  </si>
  <si>
    <t>holiday</t>
  </si>
  <si>
    <t>We have a holiday soon.</t>
  </si>
  <si>
    <t>Chúng ta sắp có một ngày nghỉ.</t>
  </si>
  <si>
    <t>determine</t>
  </si>
  <si>
    <t>Determine the project scope.</t>
  </si>
  <si>
    <t>Xác định phạm vi dự án.</t>
  </si>
  <si>
    <t>heat</t>
  </si>
  <si>
    <t>The heat is too high.</t>
  </si>
  <si>
    <t>Nhiệt độ quá cao.</t>
  </si>
  <si>
    <t>tonight</t>
  </si>
  <si>
    <t>We go out tonight later.</t>
  </si>
  <si>
    <t>Chúng ta sẽ đi ra ngoài vào tối muộn.</t>
  </si>
  <si>
    <t>cool</t>
  </si>
  <si>
    <t>A cool autumn day.</t>
  </si>
  <si>
    <t>Một ngày mùa thu mát mẻ.</t>
  </si>
  <si>
    <t>tea</t>
  </si>
  <si>
    <t>She enjoys drinking hot tea.</t>
  </si>
  <si>
    <t>Cô ấy thích uống trà nóng.</t>
  </si>
  <si>
    <t>discover</t>
  </si>
  <si>
    <t>khám phá</t>
  </si>
  <si>
    <t>Discover a new fact.</t>
  </si>
  <si>
    <t>Khám phá một sự thật mới.</t>
  </si>
  <si>
    <t>credit</t>
  </si>
  <si>
    <t>tín dụng</t>
  </si>
  <si>
    <t>Use a credit card.</t>
  </si>
  <si>
    <t>Sử dụng thẻ tín dụng.</t>
  </si>
  <si>
    <t>double</t>
  </si>
  <si>
    <t>A double room please.</t>
  </si>
  <si>
    <t>Cho tôi một phòng đôi.</t>
  </si>
  <si>
    <t>lack</t>
  </si>
  <si>
    <t>There is a lack of time.</t>
  </si>
  <si>
    <t>Đang thiếu thời gian.</t>
  </si>
  <si>
    <t>understanding</t>
  </si>
  <si>
    <t>sự thấu hiểu</t>
  </si>
  <si>
    <t>They reach an understanding now.</t>
  </si>
  <si>
    <t>Họ đạt được sự thấu hiểu lúc này.</t>
  </si>
  <si>
    <t>improvement</t>
  </si>
  <si>
    <t>This is a great improvement.</t>
  </si>
  <si>
    <t>Đây là một sự cải thiện tuyệt vời.</t>
  </si>
  <si>
    <t>contribution</t>
  </si>
  <si>
    <t>sự đóng góp</t>
  </si>
  <si>
    <t>Make a small contribution.</t>
  </si>
  <si>
    <t>Hãy đóng góp một phần nhỏ.</t>
  </si>
  <si>
    <t>selection</t>
  </si>
  <si>
    <t>The selection process was fair.</t>
  </si>
  <si>
    <t>Quá trình lựa chọn rất công bằng.</t>
  </si>
  <si>
    <t>define</t>
  </si>
  <si>
    <t>Define the new term.</t>
  </si>
  <si>
    <t>Định nghĩa thuật ngữ mới.</t>
  </si>
  <si>
    <t>official</t>
  </si>
  <si>
    <t>This is an official document.</t>
  </si>
  <si>
    <t>Đây là tài liệu chính thức.</t>
  </si>
  <si>
    <t>interview</t>
  </si>
  <si>
    <t>I have a job interview.</t>
  </si>
  <si>
    <t>Tôi có một buổi phỏng vấn xin việc.</t>
  </si>
  <si>
    <t>version</t>
  </si>
  <si>
    <t>This is the new version.</t>
  </si>
  <si>
    <t>Đây là phiên bản mới.</t>
  </si>
  <si>
    <t>website</t>
  </si>
  <si>
    <t>Visit our website for info.</t>
  </si>
  <si>
    <t>Truy cập trang web của chúng tôi để biết thông tin.</t>
  </si>
  <si>
    <t>trip</t>
  </si>
  <si>
    <t>We had a great trip.</t>
  </si>
  <si>
    <t>Chúng tôi đã có một chuyến đi tuyệt vời.</t>
  </si>
  <si>
    <t>weekend</t>
  </si>
  <si>
    <t>cuối tuần</t>
  </si>
  <si>
    <t>We relax on the weekend.</t>
  </si>
  <si>
    <t>Chúng tôi thư giãn vào cuối tuần.</t>
  </si>
  <si>
    <t>efficient</t>
  </si>
  <si>
    <t>An efficient new system.</t>
  </si>
  <si>
    <t>Một hệ thống mới hiệu quả.</t>
  </si>
  <si>
    <t>legal</t>
  </si>
  <si>
    <t>hợp pháp</t>
  </si>
  <si>
    <t>Is this action legal here?</t>
  </si>
  <si>
    <t>Hành động này có hợp pháp ở đây không?</t>
  </si>
  <si>
    <t>income</t>
  </si>
  <si>
    <t>My monthly income is high.</t>
  </si>
  <si>
    <t>Thu nhập hàng tháng của tôi rất cao.</t>
  </si>
  <si>
    <t>nobody</t>
  </si>
  <si>
    <t>không ai</t>
  </si>
  <si>
    <t>Nobody was in the room.</t>
  </si>
  <si>
    <t>Không có ai trong phòng cả.</t>
  </si>
  <si>
    <t>bottle</t>
  </si>
  <si>
    <t>Open the water bottle.</t>
  </si>
  <si>
    <t>Mở chai nước ra đi.</t>
  </si>
  <si>
    <t>north</t>
  </si>
  <si>
    <t>They traveled to the north.</t>
  </si>
  <si>
    <t>Họ đã đi du lịch về phía bắc.</t>
  </si>
  <si>
    <t>technique</t>
  </si>
  <si>
    <t>This is a new technique.</t>
  </si>
  <si>
    <t>Đây là một kỹ thuật mới.</t>
  </si>
  <si>
    <t>kitchen</t>
  </si>
  <si>
    <t>nhà bếp</t>
  </si>
  <si>
    <t>Cooking is in the kitchen.</t>
  </si>
  <si>
    <t>Việc nấu nướng diễn ra trong nhà bếp.</t>
  </si>
  <si>
    <t>senior</t>
  </si>
  <si>
    <t>cấp cao</t>
  </si>
  <si>
    <t>He is a senior manager.</t>
  </si>
  <si>
    <t>Ông ấy là một nhà quản lý cấp cao.</t>
  </si>
  <si>
    <t>thirty</t>
  </si>
  <si>
    <t>ba mươi</t>
  </si>
  <si>
    <t>I have thirty red apples.</t>
  </si>
  <si>
    <t>Tôi có ba mươi quả táo đỏ.</t>
  </si>
  <si>
    <t>due</t>
  </si>
  <si>
    <t>đến hạn</t>
  </si>
  <si>
    <t>Payment is due today.</t>
  </si>
  <si>
    <t>Hạn thanh toán là hôm nay.</t>
  </si>
  <si>
    <t>title</t>
  </si>
  <si>
    <t>The title is very long.</t>
  </si>
  <si>
    <t>Tiêu đề này rất dài.</t>
  </si>
  <si>
    <t>thus</t>
  </si>
  <si>
    <t>They worked thus for hours.</t>
  </si>
  <si>
    <t>Họ đã làm việc như vậy trong nhiều giờ.</t>
  </si>
  <si>
    <t>thinking</t>
  </si>
  <si>
    <t>His thinking is very logical.</t>
  </si>
  <si>
    <t>Tư duy của anh ấy rất logic.</t>
  </si>
  <si>
    <t>unit</t>
  </si>
  <si>
    <t>This is a basic unit.</t>
  </si>
  <si>
    <t>Đây là một đơn vị cơ bản.</t>
  </si>
  <si>
    <t>bone</t>
  </si>
  <si>
    <t>Milk helps build strong bones.</t>
  </si>
  <si>
    <t>Sữa giúp xương chắc khỏe.</t>
  </si>
  <si>
    <t>touch</t>
  </si>
  <si>
    <t>Do not touch the screen.</t>
  </si>
  <si>
    <t>Đừng chạm vào màn hình.</t>
  </si>
  <si>
    <t>gold</t>
  </si>
  <si>
    <t>The ring is made of gold.</t>
  </si>
  <si>
    <t>Chiếc nhẫn được làm bằng vàng.</t>
  </si>
  <si>
    <t>tall</t>
  </si>
  <si>
    <t>The building is very tall.</t>
  </si>
  <si>
    <t>Tòa nhà đó rất cao.</t>
  </si>
  <si>
    <t>sheet</t>
  </si>
  <si>
    <t>tờ</t>
  </si>
  <si>
    <t>Give me a sheet of paper.</t>
  </si>
  <si>
    <t>Cho tôi một tờ giấy.</t>
  </si>
  <si>
    <t>neck</t>
  </si>
  <si>
    <t>He has a sore neck.</t>
  </si>
  <si>
    <t>Anh ấy bị đau cổ.</t>
  </si>
  <si>
    <t>difficulty</t>
  </si>
  <si>
    <t>sự khó khăn</t>
  </si>
  <si>
    <t>Face a minor difficulty.</t>
  </si>
  <si>
    <t>Đối mặt với một khó khăn nhỏ.</t>
  </si>
  <si>
    <t>earth</t>
  </si>
  <si>
    <t>Save the earth now.</t>
  </si>
  <si>
    <t>Hãy bảo vệ trái đất ngay bây giờ.</t>
  </si>
  <si>
    <t>correct</t>
  </si>
  <si>
    <t>The correct answer is here.</t>
  </si>
  <si>
    <t>Câu trả lời đúng ở đây.</t>
  </si>
  <si>
    <t>deliver</t>
  </si>
  <si>
    <t>Deliver the goods today.</t>
  </si>
  <si>
    <t>Giao hàng vào hôm nay.</t>
  </si>
  <si>
    <t>totally</t>
  </si>
  <si>
    <t>I totally agree with you.</t>
  </si>
  <si>
    <t>Tôi hoàn toàn đồng ý với bạn.</t>
  </si>
  <si>
    <t>threat</t>
  </si>
  <si>
    <t>sự đe dọa</t>
  </si>
  <si>
    <t>That is a real threat.</t>
  </si>
  <si>
    <t>Đó là một mối đe dọa thực sự.</t>
  </si>
  <si>
    <t>gear</t>
  </si>
  <si>
    <t>Bring your safety gear now.</t>
  </si>
  <si>
    <t>Hãy mang thiết bị an toàn của bạn ngay.</t>
  </si>
  <si>
    <t>council</t>
  </si>
  <si>
    <t>hội đồng</t>
  </si>
  <si>
    <t>The city council meeting.</t>
  </si>
  <si>
    <t>Cuộc họp hội đồng thành phố.</t>
  </si>
  <si>
    <t>temperature</t>
  </si>
  <si>
    <t>The temperature is rising today.</t>
  </si>
  <si>
    <t>Hôm nay nhiệt độ đang tăng lên.</t>
  </si>
  <si>
    <t>tough</t>
  </si>
  <si>
    <t>This is a tough task.</t>
  </si>
  <si>
    <t>Đây là một nhiệm vụ khó khăn.</t>
  </si>
  <si>
    <t>tomorrow</t>
  </si>
  <si>
    <t>Tomorrow is my birthday party.</t>
  </si>
  <si>
    <t>Ngày mai là tiệc sinh nhật của tôi.</t>
  </si>
  <si>
    <t>tool</t>
  </si>
  <si>
    <t>công cụ</t>
  </si>
  <si>
    <t>He used a sharp tool.</t>
  </si>
  <si>
    <t>Anh ấy đã sử dụng một công cụ sắc.</t>
  </si>
  <si>
    <t>grant</t>
  </si>
  <si>
    <t>trợ cấp</t>
  </si>
  <si>
    <t>The bank granted the loan.</t>
  </si>
  <si>
    <t>Ngân hàng đã phê duyệt khoản vay.</t>
  </si>
  <si>
    <t>drink</t>
  </si>
  <si>
    <t>Drink cold fresh water.</t>
  </si>
  <si>
    <t>Hãy uống nước mát.</t>
  </si>
  <si>
    <t>directly</t>
  </si>
  <si>
    <t>một cách trực tiếp</t>
  </si>
  <si>
    <t>Speak to him directly.</t>
  </si>
  <si>
    <t>Hãy nói chuyện trực tiếp với anh ấy.</t>
  </si>
  <si>
    <t>currently</t>
  </si>
  <si>
    <t>We are currently busy.</t>
  </si>
  <si>
    <t>Hiện tại chúng tôi đang bận.</t>
  </si>
  <si>
    <t>carefully</t>
  </si>
  <si>
    <t>một cách cẩn thận</t>
  </si>
  <si>
    <t>Listen carefully to me.</t>
  </si>
  <si>
    <t>Hãy lắng nghe tôi cẩn thận.</t>
  </si>
  <si>
    <t>properly</t>
  </si>
  <si>
    <t>một cách đúng đắn</t>
  </si>
  <si>
    <t>Please use the tools properly.</t>
  </si>
  <si>
    <t>Vui lòng sử dụng công cụ đúng cách.</t>
  </si>
  <si>
    <t>healthcare</t>
  </si>
  <si>
    <t>chăm sóc sức khỏe</t>
  </si>
  <si>
    <t>They provide quality healthcare services.</t>
  </si>
  <si>
    <t>Họ cung cấp dịch vụ chăm sóc sức khỏe chất lượng.</t>
  </si>
  <si>
    <t>environmental</t>
  </si>
  <si>
    <t>thuộc môi trường</t>
  </si>
  <si>
    <t>We face environmental issues now.</t>
  </si>
  <si>
    <t>Chúng ta đang đối mặt với các vấn đề môi trường.</t>
  </si>
  <si>
    <t>responsible</t>
  </si>
  <si>
    <t>chịu trách nhiệm</t>
  </si>
  <si>
    <t>Who is responsible for this now?</t>
  </si>
  <si>
    <t>Ai chịu trách nhiệm cho việc này bây giờ?</t>
  </si>
  <si>
    <t>consumer</t>
  </si>
  <si>
    <t>người tiêu dùng</t>
  </si>
  <si>
    <t>Protect the local consumer.</t>
  </si>
  <si>
    <t>Bảo vệ người tiêu dùng địa phương.</t>
  </si>
  <si>
    <t>specifically</t>
  </si>
  <si>
    <t>một cách cụ thể</t>
  </si>
  <si>
    <t>Specifically, we need more help.</t>
  </si>
  <si>
    <t>Cụ thể là chúng tôi cần thêm sự giúp đỡ.</t>
  </si>
  <si>
    <t>ourselves</t>
  </si>
  <si>
    <t>chính chúng tôi</t>
  </si>
  <si>
    <t>We did it all ourselves.</t>
  </si>
  <si>
    <t>Chúng tôi đã tự mình làm tất cả.</t>
  </si>
  <si>
    <t>teaching</t>
  </si>
  <si>
    <t>việc giảng dạy</t>
  </si>
  <si>
    <t>Her teaching style is great.</t>
  </si>
  <si>
    <t>Phong cách giảng dạy của cô ấy rất tuyệt.</t>
  </si>
  <si>
    <t>anywhere</t>
  </si>
  <si>
    <t>bất cứ nơi nào</t>
  </si>
  <si>
    <t>I can go anywhere now.</t>
  </si>
  <si>
    <t>Tôi có thể đi bất cứ đâu bây giờ.</t>
  </si>
  <si>
    <t>đài phát thanh</t>
  </si>
  <si>
    <t>I heard it on the radio.</t>
  </si>
  <si>
    <t>Tôi đã nghe điều đó trên đài phát thanh.</t>
  </si>
  <si>
    <t>western</t>
  </si>
  <si>
    <t>thuộc phía tây</t>
  </si>
  <si>
    <t>They like the western music.</t>
  </si>
  <si>
    <t>Họ thích âm nhạc phương Tây.</t>
  </si>
  <si>
    <t>surprised</t>
  </si>
  <si>
    <t>bị ngạc nhiên</t>
  </si>
  <si>
    <t>I am surprised by this.</t>
  </si>
  <si>
    <t>Tôi rất ngạc nhiên về điều này.</t>
  </si>
  <si>
    <t>beyond</t>
  </si>
  <si>
    <t>vượt ra ngoài</t>
  </si>
  <si>
    <t>It is beyond my control.</t>
  </si>
  <si>
    <t>Nó vượt ra ngoài tầm kiểm soát của tôi.</t>
  </si>
  <si>
    <t>introduction</t>
  </si>
  <si>
    <t>sự giới thiệu</t>
  </si>
  <si>
    <t>Read the book's introduction first.</t>
  </si>
  <si>
    <t>Hãy đọc phần giới thiệu sách trước.</t>
  </si>
  <si>
    <t>whatever</t>
  </si>
  <si>
    <t>bất cứ cái gì</t>
  </si>
  <si>
    <t>Take whatever you want now.</t>
  </si>
  <si>
    <t>Lấy bất cứ cái gì bạn muốn.</t>
  </si>
  <si>
    <t>attack</t>
  </si>
  <si>
    <t>The surprise attack was fast.</t>
  </si>
  <si>
    <t>Cuộc tấn công bất ngờ diễn ra rất nhanh.</t>
  </si>
  <si>
    <t>provided</t>
  </si>
  <si>
    <t>với điều kiện</t>
  </si>
  <si>
    <t>You can go provided you finish.</t>
  </si>
  <si>
    <t>Bạn có thể đi với điều kiện là phải xong việc.</t>
  </si>
  <si>
    <t>related</t>
  </si>
  <si>
    <t>có liên quan</t>
  </si>
  <si>
    <t>Are these two facts related now?</t>
  </si>
  <si>
    <t>Hai sự kiện này có liên quan với nhau không?</t>
  </si>
  <si>
    <t>yourself</t>
  </si>
  <si>
    <t>bản thân bạn</t>
  </si>
  <si>
    <t>Do it by yourself now.</t>
  </si>
  <si>
    <t>Hãy tự mình làm việc đó đi.</t>
  </si>
  <si>
    <t>cancer</t>
  </si>
  <si>
    <t>bệnh ung thư</t>
  </si>
  <si>
    <t>He fights against cancer.</t>
  </si>
  <si>
    <t>Anh ấy chiến đấu với bệnh ung thư.</t>
  </si>
  <si>
    <t>respect</t>
  </si>
  <si>
    <t>sự tôn trọng</t>
  </si>
  <si>
    <t>I have great respect for him.</t>
  </si>
  <si>
    <t>Tôi rất tôn trọng anh ấy.</t>
  </si>
  <si>
    <t>reference</t>
  </si>
  <si>
    <t>sự tham khảo</t>
  </si>
  <si>
    <t>I need a good reference letter.</t>
  </si>
  <si>
    <t>Tôi cần một lá thư giới thiệu tốt.</t>
  </si>
  <si>
    <t>normally</t>
  </si>
  <si>
    <t>I normally go home early.</t>
  </si>
  <si>
    <t>Thông thường tôi về nhà sớm.</t>
  </si>
  <si>
    <t>yesterday</t>
  </si>
  <si>
    <t>ngày hôm qua</t>
  </si>
  <si>
    <t>I worked hard yesterday today.</t>
  </si>
  <si>
    <t>Tôi đã làm việc chăm chỉ ngày hôm qua.</t>
  </si>
  <si>
    <t>movement</t>
  </si>
  <si>
    <t>sự di chuyển</t>
  </si>
  <si>
    <t>The movement is very slow.</t>
  </si>
  <si>
    <t>Sự di chuyển rất chậm.</t>
  </si>
  <si>
    <t>bond</t>
  </si>
  <si>
    <t>mối liên kết</t>
  </si>
  <si>
    <t>They have a strong bond.</t>
  </si>
  <si>
    <t>Họ có mối liên kết bền chặt.</t>
  </si>
  <si>
    <t>usual</t>
  </si>
  <si>
    <t>This is my usual way.</t>
  </si>
  <si>
    <t>Đây là cách thông thường của tôi.</t>
  </si>
  <si>
    <t>immediate</t>
  </si>
  <si>
    <t>We need an immediate solution.</t>
  </si>
  <si>
    <t>Chúng ta cần một giải pháp ngay lập tức.</t>
  </si>
  <si>
    <t>failure</t>
  </si>
  <si>
    <t>sự thất bại</t>
  </si>
  <si>
    <t>Failure is part of learning.</t>
  </si>
  <si>
    <t>Sự thất bại là một phần của việc học.</t>
  </si>
  <si>
    <t>colleague</t>
  </si>
  <si>
    <t>He is my colleague.</t>
  </si>
  <si>
    <t>Anh ấy là đồng nghiệp của tôi.</t>
  </si>
  <si>
    <t>quarter</t>
  </si>
  <si>
    <t>một phần tư</t>
  </si>
  <si>
    <t>I ate a quarter of it.</t>
  </si>
  <si>
    <t>Tôi đã ăn một phần tư của nó.</t>
  </si>
  <si>
    <t>nature</t>
  </si>
  <si>
    <t>I love the beautiful nature.</t>
  </si>
  <si>
    <t>Tôi yêu thiên nhiên tươi đẹp.</t>
  </si>
  <si>
    <t>review</t>
  </si>
  <si>
    <t>sự đánh giá</t>
  </si>
  <si>
    <t>I read a positive movie review.</t>
  </si>
  <si>
    <t>Tôi đã đọc một bài đánh giá phim tích cực.</t>
  </si>
  <si>
    <t>responsibility</t>
  </si>
  <si>
    <t>It is your responsibility to finish.</t>
  </si>
  <si>
    <t>Bạn có trách nhiệm phải hoàn thành việc đó.</t>
  </si>
  <si>
    <t>consideration</t>
  </si>
  <si>
    <t>sự cân nhắc</t>
  </si>
  <si>
    <t>Take it into consideration.</t>
  </si>
  <si>
    <t>Hãy cân nhắc điều đó.</t>
  </si>
  <si>
    <t>expression</t>
  </si>
  <si>
    <t>sự thể hiện</t>
  </si>
  <si>
    <t>That was a strange expression.</t>
  </si>
  <si>
    <t>Đó là một cách diễn đạt kỳ lạ.</t>
  </si>
  <si>
    <t>construction</t>
  </si>
  <si>
    <t>sự xây dựng</t>
  </si>
  <si>
    <t>The construction is finish.</t>
  </si>
  <si>
    <t>Công trình xây dựng đã hoàn thành.</t>
  </si>
  <si>
    <t>election</t>
  </si>
  <si>
    <t>cuộc bầu cử</t>
  </si>
  <si>
    <t>The election is held every year.</t>
  </si>
  <si>
    <t>Cuộc bầu cử được tổ chức hàng năm.</t>
  </si>
  <si>
    <t>exchange</t>
  </si>
  <si>
    <t>sự trao đổi</t>
  </si>
  <si>
    <t>We made a quick exchange.</t>
  </si>
  <si>
    <t>Chúng tôi đã trao đổi nhanh.</t>
  </si>
  <si>
    <t>approach</t>
  </si>
  <si>
    <t>What is your approach here?</t>
  </si>
  <si>
    <t>Phương pháp của bạn ở đây là gì?</t>
  </si>
  <si>
    <t>weight</t>
  </si>
  <si>
    <t>What is your body weight?</t>
  </si>
  <si>
    <t>Trọng lượng cơ thể của bạn là bao nhiêu?</t>
  </si>
  <si>
    <t>click</t>
  </si>
  <si>
    <t>nhấp chuột</t>
  </si>
  <si>
    <t>Click the icon now.</t>
  </si>
  <si>
    <t>Hãy nhấp vào biểu tượng đi.</t>
  </si>
  <si>
    <t>instance</t>
  </si>
  <si>
    <t>For instance, look at this.</t>
  </si>
  <si>
    <t>Ví dụ, hãy nhìn vào điều này.</t>
  </si>
  <si>
    <t>owner</t>
  </si>
  <si>
    <t>chủ sở hữu</t>
  </si>
  <si>
    <t>He is the house owner.</t>
  </si>
  <si>
    <t>Anh ấy là chủ sở hữu ngôi nhà.</t>
  </si>
  <si>
    <t>commitment</t>
  </si>
  <si>
    <t>sự cam kết</t>
  </si>
  <si>
    <t>He made a commitment.</t>
  </si>
  <si>
    <t>Anh ấy đã đưa ra cam kết.</t>
  </si>
  <si>
    <t>clothing</t>
  </si>
  <si>
    <t>He sells warm clothing.</t>
  </si>
  <si>
    <t>Anh ấy bán trang phục ấm.</t>
  </si>
  <si>
    <t>online</t>
  </si>
  <si>
    <t>I bought it online today.</t>
  </si>
  <si>
    <t>Tôi đã mua nó trực tuyến hôm nay.</t>
  </si>
  <si>
    <t>commercial</t>
  </si>
  <si>
    <t>It is a commercial success.</t>
  </si>
  <si>
    <t>Đó là một thành công thương mại.</t>
  </si>
  <si>
    <t>comparison</t>
  </si>
  <si>
    <t>sự so sánh</t>
  </si>
  <si>
    <t>Make a fair comparison.</t>
  </si>
  <si>
    <t>Hãy thực hiện sự so sánh công bằng.</t>
  </si>
  <si>
    <t>administration</t>
  </si>
  <si>
    <t>sự quản lý</t>
  </si>
  <si>
    <t>The administration changed the policy.</t>
  </si>
  <si>
    <t>Ban quản lý đã thay đổi chính sách.</t>
  </si>
  <si>
    <t>loss</t>
  </si>
  <si>
    <t>The company reported a loss.</t>
  </si>
  <si>
    <t>Công ty đã báo cáo một khoản lỗ.</t>
  </si>
  <si>
    <t>flight</t>
  </si>
  <si>
    <t>The flight is at noon.</t>
  </si>
  <si>
    <t>Chuyến bay vào buổi trưa.</t>
  </si>
  <si>
    <t>management</t>
  </si>
  <si>
    <t>The management made a decision.</t>
  </si>
  <si>
    <t>Ban quản lý đã đưa ra quyết định.</t>
  </si>
  <si>
    <t>settlement</t>
  </si>
  <si>
    <t>sự dàn xếp</t>
  </si>
  <si>
    <t>They reached a quick settlement.</t>
  </si>
  <si>
    <t>Họ đã đạt được một sự dàn xếp nhanh chóng.</t>
  </si>
  <si>
    <t>original</t>
  </si>
  <si>
    <t>This is the original design.</t>
  </si>
  <si>
    <t>Đây là thiết kế nguyên bản.</t>
  </si>
  <si>
    <t>resource</t>
  </si>
  <si>
    <t>Water is a very valuable resource.</t>
  </si>
  <si>
    <t>Nước là một tài nguyên rất quý giá.</t>
  </si>
  <si>
    <t>progress</t>
  </si>
  <si>
    <t>sự tiến bộ</t>
  </si>
  <si>
    <t>We are making good progress now.</t>
  </si>
  <si>
    <t>Hiện chúng ta đang có những tiến bộ tốt.</t>
  </si>
  <si>
    <t>safety</t>
  </si>
  <si>
    <t>sự an toàn</t>
  </si>
  <si>
    <t>Your safety is my priority now.</t>
  </si>
  <si>
    <t>Sự an toàn của bạn là ưu tiên hàng đầu của tôi.</t>
  </si>
  <si>
    <t>aware</t>
  </si>
  <si>
    <t>nhận thức</t>
  </si>
  <si>
    <t>Are you aware of this?</t>
  </si>
  <si>
    <t>Bạn có nhận thức được điều này không?</t>
  </si>
  <si>
    <t>communicate</t>
  </si>
  <si>
    <t>Communicate with your team.</t>
  </si>
  <si>
    <t>Hãy giao tiếp với đội của bạn.</t>
  </si>
  <si>
    <t>aspect</t>
  </si>
  <si>
    <t>khía cạnh</t>
  </si>
  <si>
    <t>Consider every aspect of this.</t>
  </si>
  <si>
    <t>Hãy xem xét mọi khía cạnh của việc này.</t>
  </si>
  <si>
    <t>commit</t>
  </si>
  <si>
    <t>phạm phải</t>
  </si>
  <si>
    <t>Do not commit errors.</t>
  </si>
  <si>
    <t>Đừng mắc lỗi.</t>
  </si>
  <si>
    <t>circle</t>
  </si>
  <si>
    <t>Draw a large circle.</t>
  </si>
  <si>
    <t>Vẽ một hình tròn lớn.</t>
  </si>
  <si>
    <t>healthy</t>
  </si>
  <si>
    <t>Eat healthy food every day.</t>
  </si>
  <si>
    <t>Hãy ăn thực phẩm lành mạnh mỗi ngày.</t>
  </si>
  <si>
    <t>concept</t>
  </si>
  <si>
    <t>Explain the new concept.</t>
  </si>
  <si>
    <t>Hãy giải thích khái niệm mới đi.</t>
  </si>
  <si>
    <t>instruction</t>
  </si>
  <si>
    <t>Follow the instruction very carefully.</t>
  </si>
  <si>
    <t>Hãy tuân theo hướng dẫn một cách cẩn thận.</t>
  </si>
  <si>
    <t>procedure</t>
  </si>
  <si>
    <t>Follow the standard operating procedure.</t>
  </si>
  <si>
    <t>Hãy tuân theo quy trình vận hành tiêu chuẩn.</t>
  </si>
  <si>
    <t>confidence</t>
  </si>
  <si>
    <t>sự tự tin</t>
  </si>
  <si>
    <t>He has great confidence.</t>
  </si>
  <si>
    <t>Anh ấy rất tự tin.</t>
  </si>
  <si>
    <t>famous</t>
  </si>
  <si>
    <t>He is a famous writer.</t>
  </si>
  <si>
    <t>Anh ấy là một nhà văn nổi tiếng.</t>
  </si>
  <si>
    <t>entirely</t>
  </si>
  <si>
    <t>I agree with you entirely.</t>
  </si>
  <si>
    <t>addition</t>
  </si>
  <si>
    <t>phần thêm</t>
  </si>
  <si>
    <t>In addition, we need help.</t>
  </si>
  <si>
    <t>Ngoài ra, chúng tôi cần sự giúp đỡ.</t>
  </si>
  <si>
    <t>web</t>
  </si>
  <si>
    <t>It is a complex web.</t>
  </si>
  <si>
    <t>Đó là một mạng lưới phức tạp.</t>
  </si>
  <si>
    <t>written</t>
  </si>
  <si>
    <t>được viết</t>
  </si>
  <si>
    <t>It is a written test.</t>
  </si>
  <si>
    <t>Đó là một bài kiểm tra viết.</t>
  </si>
  <si>
    <t>attempt</t>
  </si>
  <si>
    <t>sự nỗ lực</t>
  </si>
  <si>
    <t>It was his first attempt.</t>
  </si>
  <si>
    <t>Đó là lần thử sức đầu tiên của anh ấy.</t>
  </si>
  <si>
    <t>depend</t>
  </si>
  <si>
    <t>phụ thuộc</t>
  </si>
  <si>
    <t>It will depend now.</t>
  </si>
  <si>
    <t>Nó sẽ phụ thuộc vào lúc này.</t>
  </si>
  <si>
    <t>refer</t>
  </si>
  <si>
    <t>Please refer to the manual now.</t>
  </si>
  <si>
    <t>Vui lòng tham khảo tài liệu hướng dẫn ngay.</t>
  </si>
  <si>
    <t>admit</t>
  </si>
  <si>
    <t>She did admit her fault.</t>
  </si>
  <si>
    <t>Cô ấy đã thừa nhận lỗi của mình.</t>
  </si>
  <si>
    <t>profit</t>
  </si>
  <si>
    <t>The company made a large profit.</t>
  </si>
  <si>
    <t>Công ty đã tạo ra một khoản lợi nhuận lớn.</t>
  </si>
  <si>
    <t>fair</t>
  </si>
  <si>
    <t>The judge is very fair.</t>
  </si>
  <si>
    <t>Vị thẩm phán rất công bằng.</t>
  </si>
  <si>
    <t>stream</t>
  </si>
  <si>
    <t>dòng suối</t>
  </si>
  <si>
    <t>The stream flows very fast.</t>
  </si>
  <si>
    <t>Dòng suối chảy rất nhanh.</t>
  </si>
  <si>
    <t>track</t>
  </si>
  <si>
    <t>đường đua</t>
  </si>
  <si>
    <t>The train is on track.</t>
  </si>
  <si>
    <t>Đoàn tàu đang ở trên đường ray.</t>
  </si>
  <si>
    <t>weather</t>
  </si>
  <si>
    <t>The weather is nice today.</t>
  </si>
  <si>
    <t>Thời tiết hôm nay rất đẹp.</t>
  </si>
  <si>
    <t>worker</t>
  </si>
  <si>
    <t>The worker works very hard.</t>
  </si>
  <si>
    <t>Người công nhân làm việc rất vất vả.</t>
  </si>
  <si>
    <t>found</t>
  </si>
  <si>
    <t>They found a new company.</t>
  </si>
  <si>
    <t>Họ đã thành lập một công ty mới.</t>
  </si>
  <si>
    <t>perform</t>
  </si>
  <si>
    <t>They perform the task well.</t>
  </si>
  <si>
    <t>Họ thực hiện nhiệm vụ rất tốt.</t>
  </si>
  <si>
    <t>announce</t>
  </si>
  <si>
    <t>They will announce the winners.</t>
  </si>
  <si>
    <t>Họ sẽ thông báo tên những người chiến thắng.</t>
  </si>
  <si>
    <t>function</t>
  </si>
  <si>
    <t>This button has a function.</t>
  </si>
  <si>
    <t>Cái nút này có một chức năng.</t>
  </si>
  <si>
    <t>essential</t>
  </si>
  <si>
    <t>thiết yếu</t>
  </si>
  <si>
    <t>Water is essential for life.</t>
  </si>
  <si>
    <t>Nước là thiết yếu đối với cuộc sống.</t>
  </si>
  <si>
    <t>fun</t>
  </si>
  <si>
    <t>sự vui vẻ</t>
  </si>
  <si>
    <t>We had a lot of fun.</t>
  </si>
  <si>
    <t>Chúng tôi đã có rất nhiều niềm vui.</t>
  </si>
  <si>
    <t>amazing</t>
  </si>
  <si>
    <t>You did an amazing job.</t>
  </si>
  <si>
    <t>Bạn đã làm một công việc tuyệt vời.</t>
  </si>
  <si>
    <t>conference</t>
  </si>
  <si>
    <t>Attend the annual conference.</t>
  </si>
  <si>
    <t>Tham dự hội nghị hàng năm.</t>
  </si>
  <si>
    <t>conflict</t>
  </si>
  <si>
    <t>Avoid any family conflict.</t>
  </si>
  <si>
    <t>Hãy tránh mọi xung đột trong gia đình.</t>
  </si>
  <si>
    <t>careful</t>
  </si>
  <si>
    <t>Be careful on road.</t>
  </si>
  <si>
    <t>Hãy cẩn thận khi ở trên đường.</t>
  </si>
  <si>
    <t>fix</t>
  </si>
  <si>
    <t>Can you fix my car?</t>
  </si>
  <si>
    <t>Bạn có thể sửa chiếc xe của tôi không?</t>
  </si>
  <si>
    <t>appearance</t>
  </si>
  <si>
    <t>Change your appearance for work.</t>
  </si>
  <si>
    <t>Hãy thay đổi vẻ ngoài của bạn vì công việc.</t>
  </si>
  <si>
    <t>category</t>
  </si>
  <si>
    <t>Choose the right category.</t>
  </si>
  <si>
    <t>Hãy chọn đúng hạng mục.</t>
  </si>
  <si>
    <t>insurance</t>
  </si>
  <si>
    <t>Do you have travel insurance?</t>
  </si>
  <si>
    <t>Bạn có bảo hiểm du lịch không?</t>
  </si>
  <si>
    <t>gain</t>
  </si>
  <si>
    <t>Gain more knowledge every day.</t>
  </si>
  <si>
    <t>Hãy đạt được nhiều kiến thức hơn mỗi ngày.</t>
  </si>
  <si>
    <t>citizen</t>
  </si>
  <si>
    <t>He is a citizen.</t>
  </si>
  <si>
    <t>Anh ấy là một công dân.</t>
  </si>
  <si>
    <t>providing</t>
  </si>
  <si>
    <t>He is providing food for them.</t>
  </si>
  <si>
    <t>Anh ấy đang cung cấp thức ăn cho họ.</t>
  </si>
  <si>
    <t>onto</t>
  </si>
  <si>
    <t>lên trên</t>
  </si>
  <si>
    <t>He jumped onto the box.</t>
  </si>
  <si>
    <t>Anh ấy nhảy lên trên cái hộp.</t>
  </si>
  <si>
    <t>physical</t>
  </si>
  <si>
    <t>thể chất</t>
  </si>
  <si>
    <t>He needs physical exercise daily.</t>
  </si>
  <si>
    <t>Anh ấy cần tập thể chất hàng ngày.</t>
  </si>
  <si>
    <t>represent</t>
  </si>
  <si>
    <t>He will represent our team now.</t>
  </si>
  <si>
    <t>Anh ấy sẽ đại diện cho đội của chúng ta ngay bây giờ.</t>
  </si>
  <si>
    <t>reaction</t>
  </si>
  <si>
    <t>phản ứng</t>
  </si>
  <si>
    <t>Her reaction was very positive today.</t>
  </si>
  <si>
    <t>Hôm nay phản ứng của cô ấy rất tích cực.</t>
  </si>
  <si>
    <t>assume</t>
  </si>
  <si>
    <t>cho rằng</t>
  </si>
  <si>
    <t>I assume you are right.</t>
  </si>
  <si>
    <t>Tôi cho rằng bạn đúng.</t>
  </si>
  <si>
    <t>conclude</t>
  </si>
  <si>
    <t>I conclude he left.</t>
  </si>
  <si>
    <t>Tôi kết luận rằng anh ấy đã đi.</t>
  </si>
  <si>
    <t>impression</t>
  </si>
  <si>
    <t>I have a good impression.</t>
  </si>
  <si>
    <t>Tôi có một ấn tượng tốt.</t>
  </si>
  <si>
    <t>trust</t>
  </si>
  <si>
    <t>niềm tin</t>
  </si>
  <si>
    <t>I have trust in him.</t>
  </si>
  <si>
    <t>Tôi có niềm tin vào anh ấy.</t>
  </si>
  <si>
    <t>replace</t>
  </si>
  <si>
    <t>I must replace my broken phone.</t>
  </si>
  <si>
    <t>Tôi phải thay thế chiếc điện thoại bị hỏng của mình.</t>
  </si>
  <si>
    <t>largely</t>
  </si>
  <si>
    <t>It is largely my fault.</t>
  </si>
  <si>
    <t>Đó phần lớn là lỗi của tôi.</t>
  </si>
  <si>
    <t>breakfast</t>
  </si>
  <si>
    <t>Let's have breakfast now.</t>
  </si>
  <si>
    <t>Chúng ta ăn sáng ngay thôi.</t>
  </si>
  <si>
    <t>respond</t>
  </si>
  <si>
    <t>Please respond to my email now.</t>
  </si>
  <si>
    <t>Vui lòng phản hồi email của tôi ngay.</t>
  </si>
  <si>
    <t>coat</t>
  </si>
  <si>
    <t>Put on your coat.</t>
  </si>
  <si>
    <t>Hãy mặc áo khoác vào.</t>
  </si>
  <si>
    <t>conclusion</t>
  </si>
  <si>
    <t>Reach a logical conclusion.</t>
  </si>
  <si>
    <t>Đạt đến một kết luận logic.</t>
  </si>
  <si>
    <t>reading</t>
  </si>
  <si>
    <t>việc đọc</t>
  </si>
  <si>
    <t>Reading is a very good habit.</t>
  </si>
  <si>
    <t>Việc đọc là một thói quen rất tốt.</t>
  </si>
  <si>
    <t>message</t>
  </si>
  <si>
    <t>Send me a short message.</t>
  </si>
  <si>
    <t>Hãy gửi cho tôi một tin nhắn ngắn.</t>
  </si>
  <si>
    <t>spring</t>
  </si>
  <si>
    <t>Spring is a beautiful season.</t>
  </si>
  <si>
    <t>Mùa xuân là một mùa đẹp.</t>
  </si>
  <si>
    <t>active</t>
  </si>
  <si>
    <t>Stay active during the day.</t>
  </si>
  <si>
    <t>Hãy giữ sự năng động trong suốt cả ngày.</t>
  </si>
  <si>
    <t>background</t>
  </si>
  <si>
    <t>Tell me your professional background.</t>
  </si>
  <si>
    <t>Hãy kể cho tôi nghe bối cảnh chuyên môn của bạn.</t>
  </si>
  <si>
    <t>animal</t>
  </si>
  <si>
    <t>The animal lives in jungle.</t>
  </si>
  <si>
    <t>Động vật đó sống trong rừng.</t>
  </si>
  <si>
    <t>audience</t>
  </si>
  <si>
    <t>The audience enjoyed the show.</t>
  </si>
  <si>
    <t>Khán giả đã thích thú với chương trình.</t>
  </si>
  <si>
    <t>candidate</t>
  </si>
  <si>
    <t>The candidate is qualified.</t>
  </si>
  <si>
    <t>Ứng viên đó đủ năng lực.</t>
  </si>
  <si>
    <t>chairman</t>
  </si>
  <si>
    <t>The chairman leads meeting.</t>
  </si>
  <si>
    <t>Chủ tịch điều hành cuộc họp.</t>
  </si>
  <si>
    <t>employment</t>
  </si>
  <si>
    <t>việc làm</t>
  </si>
  <si>
    <t>The employment rate is rising.</t>
  </si>
  <si>
    <t>Tỷ lệ việc làm đang tăng lên.</t>
  </si>
  <si>
    <t>quiet</t>
  </si>
  <si>
    <t>The library is very quiet now.</t>
  </si>
  <si>
    <t>Thư viện rất yên tĩnh lúc này.</t>
  </si>
  <si>
    <t>nation</t>
  </si>
  <si>
    <t>The nation celebrates the day.</t>
  </si>
  <si>
    <t>Cả quốc gia ăn mừng ngày đó.</t>
  </si>
  <si>
    <t>overall</t>
  </si>
  <si>
    <t>The overall result is good.</t>
  </si>
  <si>
    <t>Kết quả tổng thể rất tốt.</t>
  </si>
  <si>
    <t>priest</t>
  </si>
  <si>
    <t>linh mục</t>
  </si>
  <si>
    <t>The priest blesses the people.</t>
  </si>
  <si>
    <t>Linh mục ban phước cho mọi người.</t>
  </si>
  <si>
    <t>capacity</t>
  </si>
  <si>
    <t>sức chứa</t>
  </si>
  <si>
    <t>The room has limited capacity.</t>
  </si>
  <si>
    <t>Phòng có sức chứa hạn chế.</t>
  </si>
  <si>
    <t>sky</t>
  </si>
  <si>
    <t>The sky is very blue.</t>
  </si>
  <si>
    <t>Bầu trời rất xanh.</t>
  </si>
  <si>
    <t>sudden</t>
  </si>
  <si>
    <t>The sudden change was bad.</t>
  </si>
  <si>
    <t>Sự thay đổi đột ngột đã rất tệ.</t>
  </si>
  <si>
    <t>west</t>
  </si>
  <si>
    <t>The sun sets in west.</t>
  </si>
  <si>
    <t>Mặt trời lặn ở phía tây.</t>
  </si>
  <si>
    <t>complex</t>
  </si>
  <si>
    <t>The system is complex.</t>
  </si>
  <si>
    <t>Hệ thống này rất phức tạp.</t>
  </si>
  <si>
    <t>sensitive</t>
  </si>
  <si>
    <t>The topic is quite sensitive.</t>
  </si>
  <si>
    <t>Chủ đề này khá nhạy cảm.</t>
  </si>
  <si>
    <t>examine</t>
  </si>
  <si>
    <t>They examine the file carefully.</t>
  </si>
  <si>
    <t>Họ kiểm tra tệp tin một cách cẩn thận.</t>
  </si>
  <si>
    <t>modern</t>
  </si>
  <si>
    <t>They live in modern times.</t>
  </si>
  <si>
    <t>Họ sống trong thời hiện đại.</t>
  </si>
  <si>
    <t>united</t>
  </si>
  <si>
    <t>đoàn kết</t>
  </si>
  <si>
    <t>They stay united as always.</t>
  </si>
  <si>
    <t>Họ vẫn đoàn kết như mọi khi.</t>
  </si>
  <si>
    <t>survive</t>
  </si>
  <si>
    <t>sống sót</t>
  </si>
  <si>
    <t>They survive in the wild.</t>
  </si>
  <si>
    <t>Họ sống sót trong tự nhiên.</t>
  </si>
  <si>
    <t>perfect</t>
  </si>
  <si>
    <t>This is a perfect day.</t>
  </si>
  <si>
    <t>Đây là một ngày hoàn hảo.</t>
  </si>
  <si>
    <t>proper</t>
  </si>
  <si>
    <t>đúng đắn</t>
  </si>
  <si>
    <t>This is not the proper way.</t>
  </si>
  <si>
    <t>Đây không phải là cách đúng đắn.</t>
  </si>
  <si>
    <t>ball</t>
  </si>
  <si>
    <t>Throw the ball to me.</t>
  </si>
  <si>
    <t>Hãy ném quả bóng cho tôi.</t>
  </si>
  <si>
    <t>context</t>
  </si>
  <si>
    <t>Understand the word context.</t>
  </si>
  <si>
    <t>Hiểu ngữ cảnh của từ đó.</t>
  </si>
  <si>
    <t>peace</t>
  </si>
  <si>
    <t>We all desire world peace.</t>
  </si>
  <si>
    <t>Tất cả chúng ta đều mong muốn hòa bình thế giới.</t>
  </si>
  <si>
    <t>freedom</t>
  </si>
  <si>
    <t>sự tự do</t>
  </si>
  <si>
    <t>We value our true freedom.</t>
  </si>
  <si>
    <t>Chúng tôi coi trọng sự tự do thực sự của mình.</t>
  </si>
  <si>
    <t>promote</t>
  </si>
  <si>
    <t>We want to promote our brand.</t>
  </si>
  <si>
    <t>Chúng tôi muốn thúc đẩy thương hiệu của mình.</t>
  </si>
  <si>
    <t>limit</t>
  </si>
  <si>
    <t>What is the speed limit?</t>
  </si>
  <si>
    <t>Giới hạn tốc độ là bao nhiêu?</t>
  </si>
  <si>
    <t>aim</t>
  </si>
  <si>
    <t>What is your main aim?</t>
  </si>
  <si>
    <t>Mục đích chính của bạn là gì?</t>
  </si>
  <si>
    <t>combine</t>
  </si>
  <si>
    <t>Combine the ingredients now.</t>
  </si>
  <si>
    <t>Hãy kết hợp các nguyên liệu đi.</t>
  </si>
  <si>
    <t>bridge</t>
  </si>
  <si>
    <t>cây cầu</t>
  </si>
  <si>
    <t>Cross the bridge carefully.</t>
  </si>
  <si>
    <t>Đi qua cây cầu cẩn thận.</t>
  </si>
  <si>
    <t>article</t>
  </si>
  <si>
    <t>Did you read that article?</t>
  </si>
  <si>
    <t>Bạn đã đọc bài báo đó chưa?</t>
  </si>
  <si>
    <t>unless</t>
  </si>
  <si>
    <t>trừ khi</t>
  </si>
  <si>
    <t>Do not go unless invited.</t>
  </si>
  <si>
    <t>Đừng đi trừ khi được mời.</t>
  </si>
  <si>
    <t>ignore</t>
  </si>
  <si>
    <t>Do not ignore my advice.</t>
  </si>
  <si>
    <t>Đừng phớt lờ lời khuyên của tôi.</t>
  </si>
  <si>
    <t>consequence</t>
  </si>
  <si>
    <t>hậu quả</t>
  </si>
  <si>
    <t>Face the final consequence.</t>
  </si>
  <si>
    <t>Đối mặt với hậu quả cuối cùng.</t>
  </si>
  <si>
    <t>pain</t>
  </si>
  <si>
    <t>nỗi đau</t>
  </si>
  <si>
    <t>He felt sharp pain today.</t>
  </si>
  <si>
    <t>Anh ấy cảm thấy đau nhói hôm nay.</t>
  </si>
  <si>
    <t>girlfriend</t>
  </si>
  <si>
    <t>bạn gái</t>
  </si>
  <si>
    <t>He loves his girlfriend.</t>
  </si>
  <si>
    <t>Anh ấy yêu bạn gái của mình.</t>
  </si>
  <si>
    <t>concerned</t>
  </si>
  <si>
    <t>I am concerned today.</t>
  </si>
  <si>
    <t>Tôi đang cảm thấy lo lắng.</t>
  </si>
  <si>
    <t>sorry</t>
  </si>
  <si>
    <t>I am sorry for that.</t>
  </si>
  <si>
    <t>Tôi xin lỗi về điều đó.</t>
  </si>
  <si>
    <t>bread</t>
  </si>
  <si>
    <t>I eat bread for breakfast.</t>
  </si>
  <si>
    <t>Tôi ăn bánh mì vào bữa sáng.</t>
  </si>
  <si>
    <t>memory</t>
  </si>
  <si>
    <t>I have a good memory.</t>
  </si>
  <si>
    <t>Tôi có một trí nhớ tốt.</t>
  </si>
  <si>
    <t>request</t>
  </si>
  <si>
    <t>I have a small request now.</t>
  </si>
  <si>
    <t>Tôi có một yêu cầu nhỏ lúc này.</t>
  </si>
  <si>
    <t>nine</t>
  </si>
  <si>
    <t>số chín</t>
  </si>
  <si>
    <t>I have nine pens.</t>
  </si>
  <si>
    <t>Tôi có chín cây bút.</t>
  </si>
  <si>
    <t>everywhere</t>
  </si>
  <si>
    <t>mọi nơi</t>
  </si>
  <si>
    <t>I looked for it everywhere.</t>
  </si>
  <si>
    <t>Tôi đã tìm nó ở mọi nơi.</t>
  </si>
  <si>
    <t>refuse</t>
  </si>
  <si>
    <t>I must refuse this offer now.</t>
  </si>
  <si>
    <t>Tôi phải từ chối lời đề nghị này ngay.</t>
  </si>
  <si>
    <t>propose</t>
  </si>
  <si>
    <t>I propose a new meeting time.</t>
  </si>
  <si>
    <t>Tôi đề xuất một thời gian họp mới.</t>
  </si>
  <si>
    <t>plant</t>
  </si>
  <si>
    <t>I water the plant daily.</t>
  </si>
  <si>
    <t>Tôi tưới cây hàng ngày.</t>
  </si>
  <si>
    <t>institution</t>
  </si>
  <si>
    <t>It is a financial institution.</t>
  </si>
  <si>
    <t>Đó là một tổ chức tài chính.</t>
  </si>
  <si>
    <t>powerful</t>
  </si>
  <si>
    <t>It is a powerful machine.</t>
  </si>
  <si>
    <t>Đó là một chiếc máy mạnh mẽ.</t>
  </si>
  <si>
    <t>initial</t>
  </si>
  <si>
    <t>ban đầu</t>
  </si>
  <si>
    <t>My initial thought was different.</t>
  </si>
  <si>
    <t>Suy nghĩ ban đầu của tôi đã khác.</t>
  </si>
  <si>
    <t>entry</t>
  </si>
  <si>
    <t>Please make an entry here.</t>
  </si>
  <si>
    <t>Vui lòng nhập thông tin tại đây.</t>
  </si>
  <si>
    <t>file</t>
  </si>
  <si>
    <t>Save the file before exit.</t>
  </si>
  <si>
    <t>Hãy lưu tệp tin trước khi thoát.</t>
  </si>
  <si>
    <t>reveal</t>
  </si>
  <si>
    <t>tiết lộ</t>
  </si>
  <si>
    <t>She did reveal her secret today.</t>
  </si>
  <si>
    <t>Cô ấy đã tiết lộ bí mật của mình hôm nay.</t>
  </si>
  <si>
    <t>bag</t>
  </si>
  <si>
    <t>cái túi</t>
  </si>
  <si>
    <t>She has a leather bag.</t>
  </si>
  <si>
    <t>Cô ấy có một cái túi da.</t>
  </si>
  <si>
    <t>breath</t>
  </si>
  <si>
    <t>Take a deep breath.</t>
  </si>
  <si>
    <t>Hãy hít một hơi thật sâu.</t>
  </si>
  <si>
    <t>obvious</t>
  </si>
  <si>
    <t>The answer is quite obvious.</t>
  </si>
  <si>
    <t>Câu trả lời khá rõ ràng.</t>
  </si>
  <si>
    <t>climate</t>
  </si>
  <si>
    <t>The climate is hot.</t>
  </si>
  <si>
    <t>Khí hậu này rất nóng.</t>
  </si>
  <si>
    <t>clock</t>
  </si>
  <si>
    <t>The clock shows time.</t>
  </si>
  <si>
    <t>Chiếc đồng hồ chỉ thời gian.</t>
  </si>
  <si>
    <t>reality</t>
  </si>
  <si>
    <t>The dream became a harsh reality.</t>
  </si>
  <si>
    <t>Giấc mơ đã trở thành một thực tế khắc nghiệt.</t>
  </si>
  <si>
    <t>machine</t>
  </si>
  <si>
    <t>The machine works very well.</t>
  </si>
  <si>
    <t>Cái máy hoạt động rất tốt.</t>
  </si>
  <si>
    <t>press</t>
  </si>
  <si>
    <t>báo chí</t>
  </si>
  <si>
    <t>The press reported it today.</t>
  </si>
  <si>
    <t>Báo chí đã đưa tin về nó hôm nay.</t>
  </si>
  <si>
    <t>organize</t>
  </si>
  <si>
    <t>They organize events every week.</t>
  </si>
  <si>
    <t>Họ tổ chức các sự kiện hàng tuần.</t>
  </si>
  <si>
    <t>extend</t>
  </si>
  <si>
    <t>They will extend the road.</t>
  </si>
  <si>
    <t>Họ sẽ mở rộng con đường.</t>
  </si>
  <si>
    <t>useful</t>
  </si>
  <si>
    <t>This app is very useful.</t>
  </si>
  <si>
    <t>Ứng dụng này rất hữu ích.</t>
  </si>
  <si>
    <t>justice</t>
  </si>
  <si>
    <t>công lý</t>
  </si>
  <si>
    <t>We must seek justice here.</t>
  </si>
  <si>
    <t>Chúng ta phải tìm kiếm công lý ở đây.</t>
  </si>
  <si>
    <t>monday</t>
  </si>
  <si>
    <t>Work starts on Monday today.</t>
  </si>
  <si>
    <t>Công việc bắt đầu vào thứ hai hôm nay.</t>
  </si>
  <si>
    <t>address</t>
  </si>
  <si>
    <t>Write your address here please.</t>
  </si>
  <si>
    <t>Vui lòng viết địa chỉ của bạn vào đây.</t>
  </si>
  <si>
    <t>safe</t>
  </si>
  <si>
    <t>You are safe in here now.</t>
  </si>
  <si>
    <t>Bây giờ bạn an toàn trong đây.</t>
  </si>
  <si>
    <t>promise</t>
  </si>
  <si>
    <t>You must keep your promise.</t>
  </si>
  <si>
    <t>Bạn phải giữ lời hứa của mình.</t>
  </si>
  <si>
    <t>agent</t>
  </si>
  <si>
    <t>đại lý</t>
  </si>
  <si>
    <t>Call the travel agent today.</t>
  </si>
  <si>
    <t>Hãy gọi cho đại lý du lịch hôm nay.</t>
  </si>
  <si>
    <t>relate</t>
  </si>
  <si>
    <t>Can you relate the story now?</t>
  </si>
  <si>
    <t>Bạn có thể kể lại câu chuyện bây giờ không?</t>
  </si>
  <si>
    <t>cell</t>
  </si>
  <si>
    <t>Cells grow and divide.</t>
  </si>
  <si>
    <t>Các tế bào lớn lên và phân chia.</t>
  </si>
  <si>
    <t>mention</t>
  </si>
  <si>
    <t>đề cập</t>
  </si>
  <si>
    <t>Did you mention it today?</t>
  </si>
  <si>
    <t>Bạn đã đề cập đến nó hôm nay chưa?</t>
  </si>
  <si>
    <t>somewhere</t>
  </si>
  <si>
    <t>He lives somewhere in town.</t>
  </si>
  <si>
    <t>Anh ấy sống đâu đó trong thị trấn.</t>
  </si>
  <si>
    <t>prison</t>
  </si>
  <si>
    <t>nhà tù</t>
  </si>
  <si>
    <t>He was sent to prison.</t>
  </si>
  <si>
    <t>Anh ấy đã bị đưa vào nhà tù.</t>
  </si>
  <si>
    <t>regard</t>
  </si>
  <si>
    <t>I regard him as a friend.</t>
  </si>
  <si>
    <t>Tôi coi anh ấy như một người bạn.</t>
  </si>
  <si>
    <t>agency</t>
  </si>
  <si>
    <t>I work for an agency.</t>
  </si>
  <si>
    <t>Tôi làm việc cho một đại lý.</t>
  </si>
  <si>
    <t>civil</t>
  </si>
  <si>
    <t>dân sự</t>
  </si>
  <si>
    <t>It is a civil matter.</t>
  </si>
  <si>
    <t>Đó là một vấn đề dân sự.</t>
  </si>
  <si>
    <t>extremely</t>
  </si>
  <si>
    <t>It is extremely cold today.</t>
  </si>
  <si>
    <t>Hôm nay trời cực kỳ lạnh.</t>
  </si>
  <si>
    <t>exciting</t>
  </si>
  <si>
    <t>It was an exciting game.</t>
  </si>
  <si>
    <t>Đó là một trận đấu thú vị.</t>
  </si>
  <si>
    <t>window</t>
  </si>
  <si>
    <t>Open the window for air.</t>
  </si>
  <si>
    <t>Hãy mở cửa sổ để lấy không khí.</t>
  </si>
  <si>
    <t>feed</t>
  </si>
  <si>
    <t>cho ăn</t>
  </si>
  <si>
    <t>Please feed the cat now.</t>
  </si>
  <si>
    <t>Vui lòng cho con mèo ăn ngay.</t>
  </si>
  <si>
    <t>chapter</t>
  </si>
  <si>
    <t>Read the first chapter.</t>
  </si>
  <si>
    <t>Hãy đọc chương đầu tiên.</t>
  </si>
  <si>
    <t>expensive</t>
  </si>
  <si>
    <t>đắt đỏ</t>
  </si>
  <si>
    <t>That house is very expensive.</t>
  </si>
  <si>
    <t>Ngôi nhà đó rất đắt đỏ.</t>
  </si>
  <si>
    <t>committee</t>
  </si>
  <si>
    <t>ủy ban</t>
  </si>
  <si>
    <t>The committee voted now.</t>
  </si>
  <si>
    <t>Ủy ban đã bỏ phiếu.</t>
  </si>
  <si>
    <t>population</t>
  </si>
  <si>
    <t>The population is growing fast.</t>
  </si>
  <si>
    <t>Dân số đang tăng nhanh.</t>
  </si>
  <si>
    <t>hole</t>
  </si>
  <si>
    <t>cái lỗ</t>
  </si>
  <si>
    <t>There is a small hole.</t>
  </si>
  <si>
    <t>Có một cái lỗ nhỏ.</t>
  </si>
  <si>
    <t>basic</t>
  </si>
  <si>
    <t>These are the basic rules.</t>
  </si>
  <si>
    <t>Đây là những quy tắc cơ bản.</t>
  </si>
  <si>
    <t>factor</t>
  </si>
  <si>
    <t>Time is a critical factor.</t>
  </si>
  <si>
    <t>Thời gian là một yếu tố quan trọng.</t>
  </si>
  <si>
    <t>element</t>
  </si>
  <si>
    <t>Trust is a key element.</t>
  </si>
  <si>
    <t>Lòng tin là một yếu tố then chốt.</t>
  </si>
  <si>
    <t>occur</t>
  </si>
  <si>
    <t>When did the accident occur?</t>
  </si>
  <si>
    <t>Tai nạn xảy ra khi nào?</t>
  </si>
  <si>
    <t>whose</t>
  </si>
  <si>
    <t>của ai</t>
  </si>
  <si>
    <t>Whose book is this here?</t>
  </si>
  <si>
    <t>Đây là sách của ai?</t>
  </si>
  <si>
    <t>miss</t>
  </si>
  <si>
    <t>Do not miss the chance.</t>
  </si>
  <si>
    <t>Đừng bỏ lỡ cơ hội này.</t>
  </si>
  <si>
    <t>quick</t>
  </si>
  <si>
    <t>I need a quick answer now.</t>
  </si>
  <si>
    <t>Tôi cần một câu trả lời nhanh ngay bây giờ.</t>
  </si>
  <si>
    <t>baby</t>
  </si>
  <si>
    <t>The baby is sleeping now.</t>
  </si>
  <si>
    <t>Em bé đang ngủ.</t>
  </si>
  <si>
    <t>score</t>
  </si>
  <si>
    <t>tỷ số</t>
  </si>
  <si>
    <t>The final score was two-one.</t>
  </si>
  <si>
    <t>Tỷ số cuối cùng là hai-một.</t>
  </si>
  <si>
    <t>major</t>
  </si>
  <si>
    <t>This is a major problem.</t>
  </si>
  <si>
    <t>Đây là một vấn đề chính.</t>
  </si>
  <si>
    <t>avoid</t>
  </si>
  <si>
    <t>Try to avoid the traffic.</t>
  </si>
  <si>
    <t>Hãy cố gắng tránh giao thông.</t>
  </si>
  <si>
    <t>basis</t>
  </si>
  <si>
    <t>What is the legal basis?</t>
  </si>
  <si>
    <t>Cơ sở pháp lý là gì?</t>
  </si>
  <si>
    <t>borrow</t>
  </si>
  <si>
    <t>Can I borrow your pen?</t>
  </si>
  <si>
    <t>Tôi mượn bút bạn được không?</t>
  </si>
  <si>
    <t>extra</t>
  </si>
  <si>
    <t>Do you need extra help?</t>
  </si>
  <si>
    <t>Bạn có cần giúp đỡ thêm không?</t>
  </si>
  <si>
    <t>leg</t>
  </si>
  <si>
    <t>chân</t>
  </si>
  <si>
    <t>He hurt his right leg.</t>
  </si>
  <si>
    <t>Anh ấy bị đau chân phải.</t>
  </si>
  <si>
    <t>hate</t>
  </si>
  <si>
    <t>I hate being late here.</t>
  </si>
  <si>
    <t>Tôi ghét việc đến muộn.</t>
  </si>
  <si>
    <t>smile</t>
  </si>
  <si>
    <t>She has a nice smile.</t>
  </si>
  <si>
    <t>Cô ấy có một nụ cười đẹp.</t>
  </si>
  <si>
    <t>horse</t>
  </si>
  <si>
    <t>She rides a white horse.</t>
  </si>
  <si>
    <t>Cô ấy cưỡi một con ngựa trắng.</t>
  </si>
  <si>
    <t>round</t>
  </si>
  <si>
    <t>tròn</t>
  </si>
  <si>
    <t>The ball is perfectly round today.</t>
  </si>
  <si>
    <t>Hôm nay quả bóng tròn hoàn hảo.</t>
  </si>
  <si>
    <t>beat</t>
  </si>
  <si>
    <t>They beat the other team.</t>
  </si>
  <si>
    <t>Họ đã đánh bại đội còn lại.</t>
  </si>
  <si>
    <t>region</t>
  </si>
  <si>
    <t>This region is very cold today.</t>
  </si>
  <si>
    <t>Hôm nay vùng này rất lạnh.</t>
  </si>
  <si>
    <t>sea</t>
  </si>
  <si>
    <t>We swim in the sea today.</t>
  </si>
  <si>
    <t>Hôm nay chúng tôi bơi ở biển.</t>
  </si>
  <si>
    <t>sir</t>
  </si>
  <si>
    <t>ngài</t>
  </si>
  <si>
    <t>Yes, sir, I agree now.</t>
  </si>
  <si>
    <t>Vâng, thưa ngài, tôi đồng ý.</t>
  </si>
  <si>
    <t>fit</t>
  </si>
  <si>
    <t>vừa</t>
  </si>
  <si>
    <t>Does the dress fit you?</t>
  </si>
  <si>
    <t>Chiếc váy có vừa với bạn không?</t>
  </si>
  <si>
    <t>newspaper</t>
  </si>
  <si>
    <t>He reads the newspaper daily.</t>
  </si>
  <si>
    <t>Anh ấy đọc báo hàng ngày.</t>
  </si>
  <si>
    <t>purchase</t>
  </si>
  <si>
    <t>I want to purchase this item.</t>
  </si>
  <si>
    <t>Tôi muốn mua món đồ này.</t>
  </si>
  <si>
    <t>fairly</t>
  </si>
  <si>
    <t>It is fairly good today.</t>
  </si>
  <si>
    <t>Hôm nay nó khá tốt.</t>
  </si>
  <si>
    <t>breathe</t>
  </si>
  <si>
    <t>thở</t>
  </si>
  <si>
    <t>It is hard to breathe.</t>
  </si>
  <si>
    <t>Thật khó để thở.</t>
  </si>
  <si>
    <t>item</t>
  </si>
  <si>
    <t>Select every item you need.</t>
  </si>
  <si>
    <t>Hãy chọn mọi mục bạn cần.</t>
  </si>
  <si>
    <t>wrong</t>
  </si>
  <si>
    <t>sai</t>
  </si>
  <si>
    <t>That answer is completely wrong.</t>
  </si>
  <si>
    <t>Câu trả lời đó hoàn toàn sai.</t>
  </si>
  <si>
    <t>fly</t>
  </si>
  <si>
    <t>The birds fly very high.</t>
  </si>
  <si>
    <t>Những con chim bay rất cao.</t>
  </si>
  <si>
    <t>error</t>
  </si>
  <si>
    <t>The file contains an error.</t>
  </si>
  <si>
    <t>Tệp tin chứa một lỗi.</t>
  </si>
  <si>
    <t>sharp</t>
  </si>
  <si>
    <t>sắc</t>
  </si>
  <si>
    <t>The knife is very sharp.</t>
  </si>
  <si>
    <t>Con dao rất sắc.</t>
  </si>
  <si>
    <t>dark</t>
  </si>
  <si>
    <t>The room is dark.</t>
  </si>
  <si>
    <t>Căn phòng bị tối.</t>
  </si>
  <si>
    <t>hill</t>
  </si>
  <si>
    <t>They climbed the small hill.</t>
  </si>
  <si>
    <t>Họ đã leo lên ngọn đồi nhỏ.</t>
  </si>
  <si>
    <t>island</t>
  </si>
  <si>
    <t>They visited the tropical island.</t>
  </si>
  <si>
    <t>Họ đã thăm hòn đảo nhiệt đới đó.</t>
  </si>
  <si>
    <t>cent</t>
  </si>
  <si>
    <t>xu</t>
  </si>
  <si>
    <t>It costs fifty cents.</t>
  </si>
  <si>
    <t>Nó có giá năm mươi xu.</t>
  </si>
  <si>
    <t>cabinet</t>
  </si>
  <si>
    <t>Put files in the cabinet.</t>
  </si>
  <si>
    <t>Để tài liệu vào trong tủ.</t>
  </si>
  <si>
    <t>red</t>
  </si>
  <si>
    <t>She wore a bright red coat.</t>
  </si>
  <si>
    <t>Cô ấy đã mặc một chiếc áo khoác màu đỏ tươi.</t>
  </si>
  <si>
    <t>stone</t>
  </si>
  <si>
    <t>Throw the stone far away.</t>
  </si>
  <si>
    <t>Hãy ném hòn đá đi xa.</t>
  </si>
  <si>
    <t>cultural</t>
  </si>
  <si>
    <t>thuộc văn hóa</t>
  </si>
  <si>
    <t>Deep cultural differences.</t>
  </si>
  <si>
    <t>Những khác biệt văn hóa sâu sắc.</t>
  </si>
  <si>
    <t>doubt</t>
  </si>
  <si>
    <t>Have a serious doubt.</t>
  </si>
  <si>
    <t>Có một sự nghi ngờ nghiêm trọng.</t>
  </si>
  <si>
    <t>technical</t>
  </si>
  <si>
    <t>thuộc kỹ thuật</t>
  </si>
  <si>
    <t>There was a technical issue.</t>
  </si>
  <si>
    <t>Đã có một vấn đề về kỹ thuật.</t>
  </si>
  <si>
    <t>tend</t>
  </si>
  <si>
    <t>có xu hướng</t>
  </si>
  <si>
    <t>Prices tend to increase yearly.</t>
  </si>
  <si>
    <t>Giá cả có xu hướng tăng hàng năm.</t>
  </si>
  <si>
    <t>definitely</t>
  </si>
  <si>
    <t>I will definitely go.</t>
  </si>
  <si>
    <t>goods</t>
  </si>
  <si>
    <t>They transport goods by ship.</t>
  </si>
  <si>
    <t>Họ vận chuyển hàng hóa bằng tàu thủy.</t>
  </si>
  <si>
    <t>corporation</t>
  </si>
  <si>
    <t>tập đoàn</t>
  </si>
  <si>
    <t>Work for a corporation.</t>
  </si>
  <si>
    <t>Làm việc cho một tập đoàn.</t>
  </si>
  <si>
    <t>driver</t>
  </si>
  <si>
    <t>A professional bus driver.</t>
  </si>
  <si>
    <t>Một tài xế xe buýt chuyên nghiệp.</t>
  </si>
  <si>
    <t>danger</t>
  </si>
  <si>
    <t>sự nguy hiểm</t>
  </si>
  <si>
    <t>There is real danger.</t>
  </si>
  <si>
    <t>Có một sự nguy hiểm thực sự.</t>
  </si>
  <si>
    <t>dinner</t>
  </si>
  <si>
    <t>Eat a warm dinner.</t>
  </si>
  <si>
    <t>Ăn một bữa tối ấm áp.</t>
  </si>
  <si>
    <t>tour</t>
  </si>
  <si>
    <t>chuyến tham quan</t>
  </si>
  <si>
    <t>The tour was very exciting.</t>
  </si>
  <si>
    <t>Chuyến tham quan rất thú vị.</t>
  </si>
  <si>
    <t>testing</t>
  </si>
  <si>
    <t>việc thử nghiệm</t>
  </si>
  <si>
    <t>Testing will begin next week.</t>
  </si>
  <si>
    <t>Việc thử nghiệm sẽ bắt đầu vào tuần tới.</t>
  </si>
  <si>
    <t>tradition</t>
  </si>
  <si>
    <t>It is a local tradition.</t>
  </si>
  <si>
    <t>Đó là một truyền thống địa phương.</t>
  </si>
  <si>
    <t>variety</t>
  </si>
  <si>
    <t>sự đa dạng</t>
  </si>
  <si>
    <t>They have a great variety.</t>
  </si>
  <si>
    <t>Họ có sự đa dạng lớn.</t>
  </si>
  <si>
    <t>negative</t>
  </si>
  <si>
    <t>He has a negative attitude.</t>
  </si>
  <si>
    <t>Anh ấy có thái độ tiêu cực.</t>
  </si>
  <si>
    <t>description</t>
  </si>
  <si>
    <t>Provide a job description.</t>
  </si>
  <si>
    <t>Hãy cung cấp bản mô tả công việc.</t>
  </si>
  <si>
    <t>trend</t>
  </si>
  <si>
    <t>This is a new trend.</t>
  </si>
  <si>
    <t>Đây là một xu hướng mới.</t>
  </si>
  <si>
    <t>hurt</t>
  </si>
  <si>
    <t>làm đau</t>
  </si>
  <si>
    <t>He hurt his leg today.</t>
  </si>
  <si>
    <t>Hôm nay anh ấy làm đau chân mình.</t>
  </si>
  <si>
    <t>tired</t>
  </si>
  <si>
    <t>I am very tired today.</t>
  </si>
  <si>
    <t>Tôi rất mệt mỏi hôm nay.</t>
  </si>
  <si>
    <t>twice</t>
  </si>
  <si>
    <t>hai lần</t>
  </si>
  <si>
    <t>I checked it twice already.</t>
  </si>
  <si>
    <t>Tôi đã kiểm tra nó hai lần rồi.</t>
  </si>
  <si>
    <t>copy</t>
  </si>
  <si>
    <t>Make a digital copy.</t>
  </si>
  <si>
    <t>Hãy tạo ra một bản sao kỹ thuật số.</t>
  </si>
  <si>
    <t>grade</t>
  </si>
  <si>
    <t>She got a good grade.</t>
  </si>
  <si>
    <t>Cô ấy đã nhận được điểm số tốt.</t>
  </si>
  <si>
    <t>theme</t>
  </si>
  <si>
    <t>What is the main theme?</t>
  </si>
  <si>
    <t>Chủ đề chính là gì?</t>
  </si>
  <si>
    <t>jump</t>
  </si>
  <si>
    <t>He can jump very high.</t>
  </si>
  <si>
    <t>Anh ấy có thể nhảy rất cao.</t>
  </si>
  <si>
    <t>thin</t>
  </si>
  <si>
    <t>The ice is very thin.</t>
  </si>
  <si>
    <t>Lớp băng rất mỏng.</t>
  </si>
  <si>
    <t>laugh</t>
  </si>
  <si>
    <t>They always laugh at jokes.</t>
  </si>
  <si>
    <t>Họ luôn cười trước những câu đùa.</t>
  </si>
  <si>
    <t>hire</t>
  </si>
  <si>
    <t>They want to hire staff.</t>
  </si>
  <si>
    <t>Họ muốn thuê nhân viên.</t>
  </si>
  <si>
    <t>gene</t>
  </si>
  <si>
    <t>gen</t>
  </si>
  <si>
    <t>Genes determine our traits.</t>
  </si>
  <si>
    <t>Gen quyết định các đặc điểm của chúng ta.</t>
  </si>
  <si>
    <t>king</t>
  </si>
  <si>
    <t>The king rules the country.</t>
  </si>
  <si>
    <t>dangerous</t>
  </si>
  <si>
    <t>A dangerous driving condition.</t>
  </si>
  <si>
    <t>Một điều kiện lái xe nguy hiểm.</t>
  </si>
  <si>
    <t>device</t>
  </si>
  <si>
    <t>Use a mobile device.</t>
  </si>
  <si>
    <t>Sử dụng một thiết bị di động.</t>
  </si>
  <si>
    <t>crisis</t>
  </si>
  <si>
    <t>cuộc khủng hoảng</t>
  </si>
  <si>
    <t>Manage a financial crisis.</t>
  </si>
  <si>
    <t>Quản lý một cuộc khủng hoảng tài chính.</t>
  </si>
  <si>
    <t>democratic</t>
  </si>
  <si>
    <t>thuộc dân chủ</t>
  </si>
  <si>
    <t>A democratic election process.</t>
  </si>
  <si>
    <t>Một quy trình bầu cử dân chủ.</t>
  </si>
  <si>
    <t>dress</t>
  </si>
  <si>
    <t>Wear a nice dress.</t>
  </si>
  <si>
    <t>Hãy mặc một chiếc váy đẹp.</t>
  </si>
  <si>
    <t>taste</t>
  </si>
  <si>
    <t>This cake has a sweet taste.</t>
  </si>
  <si>
    <t>Chiếc bánh này có vị ngọt.</t>
  </si>
  <si>
    <t>damage</t>
  </si>
  <si>
    <t>sự thiệt hại</t>
  </si>
  <si>
    <t>The damage is done.</t>
  </si>
  <si>
    <t>Sự thiệt hại đã xảy ra.</t>
  </si>
  <si>
    <t>disease</t>
  </si>
  <si>
    <t>Prevent the infectious disease.</t>
  </si>
  <si>
    <t>Ngăn chặn bệnh truyền nhiễm.</t>
  </si>
  <si>
    <t>edge</t>
  </si>
  <si>
    <t>cạnh</t>
  </si>
  <si>
    <t>Stand at the edge.</t>
  </si>
  <si>
    <t>Hãy đứng ở cạnh đó.</t>
  </si>
  <si>
    <t>effectively</t>
  </si>
  <si>
    <t>một cách hiệu quả</t>
  </si>
  <si>
    <t>Work effectively every day.</t>
  </si>
  <si>
    <t>Hãy làm việc hiệu quả mỗi ngày.</t>
  </si>
  <si>
    <t>contrast</t>
  </si>
  <si>
    <t>sự tương phản</t>
  </si>
  <si>
    <t>Notice the sharp contrast.</t>
  </si>
  <si>
    <t>Hãy chú ý sự tương phản rõ rệt.</t>
  </si>
  <si>
    <t>sympathy</t>
  </si>
  <si>
    <t>sự thông cảm</t>
  </si>
  <si>
    <t>I feel deep sympathy now.</t>
  </si>
  <si>
    <t>Tôi cảm thấy sự thông cảm sâu sắc bây giờ.</t>
  </si>
  <si>
    <t>trial</t>
  </si>
  <si>
    <t>phiên tòa</t>
  </si>
  <si>
    <t>He appeared in the trial.</t>
  </si>
  <si>
    <t>Anh ấy đã xuất hiện tại phiên tòa.</t>
  </si>
  <si>
    <t>genuine</t>
  </si>
  <si>
    <t>chân thật</t>
  </si>
  <si>
    <t>His apology was genuine.</t>
  </si>
  <si>
    <t>Lời xin lỗi của anh ấy là chân thật.</t>
  </si>
  <si>
    <t>deny</t>
  </si>
  <si>
    <t>Deny the false claims.</t>
  </si>
  <si>
    <t>Hãy phủ nhận các tuyên bố sai sự thật.</t>
  </si>
  <si>
    <t>terrible</t>
  </si>
  <si>
    <t>The weather was truly terrible.</t>
  </si>
  <si>
    <t>Thời tiết thực sự tồi tệ.</t>
  </si>
  <si>
    <t>topic</t>
  </si>
  <si>
    <t>We discussed a new topic.</t>
  </si>
  <si>
    <t>Chúng tôi đã thảo luận về một chủ đề mới.</t>
  </si>
  <si>
    <t>tight</t>
  </si>
  <si>
    <t>chặt</t>
  </si>
  <si>
    <t>The rope is too tight.</t>
  </si>
  <si>
    <t>Sợi dây quá chặt.</t>
  </si>
  <si>
    <t>daily</t>
  </si>
  <si>
    <t>hằng ngày</t>
  </si>
  <si>
    <t>A daily work report.</t>
  </si>
  <si>
    <t>Một báo cáo công việc hàng ngày.</t>
  </si>
  <si>
    <t>dream</t>
  </si>
  <si>
    <t>Have a big dream.</t>
  </si>
  <si>
    <t>Hãy có một giấc mơ lớn.</t>
  </si>
  <si>
    <t>afford</t>
  </si>
  <si>
    <t>có khả năng chi trả</t>
  </si>
  <si>
    <t>I cannot afford this car.</t>
  </si>
  <si>
    <t>Tôi không thể chi trả cho chiếc xe này.</t>
  </si>
  <si>
    <t>cellphone</t>
  </si>
  <si>
    <t>điện thoại di động</t>
  </si>
  <si>
    <t>My cellphone is ringing.</t>
  </si>
  <si>
    <t>Điện thoại di động của tôi đang reo.</t>
  </si>
  <si>
    <t>competitive</t>
  </si>
  <si>
    <t>có tính cạnh tranh</t>
  </si>
  <si>
    <t>The market is competitive.</t>
  </si>
  <si>
    <t>Thị trường rất có tính cạnh tranh.</t>
  </si>
  <si>
    <t>incredible</t>
  </si>
  <si>
    <t>không thể tin được</t>
  </si>
  <si>
    <t>The view is simply incredible.</t>
  </si>
  <si>
    <t>Cảnh quan đơn giản là không thể tin được.</t>
  </si>
  <si>
    <t>perfectly</t>
  </si>
  <si>
    <t>một cách hoàn hảo</t>
  </si>
  <si>
    <t>It fits perfectly on me.</t>
  </si>
  <si>
    <t>Nó vừa vặn với tôi một cách hoàn hảo.</t>
  </si>
  <si>
    <t>northern</t>
  </si>
  <si>
    <t>thuộc về phía bắc</t>
  </si>
  <si>
    <t>It is a northern wind.</t>
  </si>
  <si>
    <t>Đó là một cơn gió phương bắc.</t>
  </si>
  <si>
    <t>commonly</t>
  </si>
  <si>
    <t>một cách phổ biến</t>
  </si>
  <si>
    <t>It is commonly used.</t>
  </si>
  <si>
    <t>Nó được sử dụng phổ biến.</t>
  </si>
  <si>
    <t>obviously</t>
  </si>
  <si>
    <t>She is obviously very smart.</t>
  </si>
  <si>
    <t>Cô ấy rõ ràng là rất thông minh.</t>
  </si>
  <si>
    <t>somehow</t>
  </si>
  <si>
    <t>Somehow we finished the work.</t>
  </si>
  <si>
    <t>Bằng cách nào đó chúng tôi đã hoàn thành công việc.</t>
  </si>
  <si>
    <t>chip</t>
  </si>
  <si>
    <t>khoai tây chiên</t>
  </si>
  <si>
    <t>Eat chips with fish.</t>
  </si>
  <si>
    <t>Hãy ăn khoai tây chiên với cá.</t>
  </si>
  <si>
    <t>planning</t>
  </si>
  <si>
    <t>sự lập kế hoạch</t>
  </si>
  <si>
    <t>Good planning saves much time.</t>
  </si>
  <si>
    <t>Việc lập kế hoạch tốt giúp tiết kiệm nhiều thời gian.</t>
  </si>
  <si>
    <t>coach</t>
  </si>
  <si>
    <t>The coach teaches well.</t>
  </si>
  <si>
    <t>Huấn luyện viên dạy rất tốt.</t>
  </si>
  <si>
    <t>explanation</t>
  </si>
  <si>
    <t>lời giải thích</t>
  </si>
  <si>
    <t>I need a clear explanation.</t>
  </si>
  <si>
    <t>Tôi cần một lời giải thích rõ ràng.</t>
  </si>
  <si>
    <t>cinema</t>
  </si>
  <si>
    <t>Let's go to cinema.</t>
  </si>
  <si>
    <t>Hãy đi đến rạp chiếu phim.</t>
  </si>
  <si>
    <t>significance</t>
  </si>
  <si>
    <t>The event has great significance.</t>
  </si>
  <si>
    <t>Sự kiện đó có tầm quan trọng lớn.</t>
  </si>
  <si>
    <t>researcher</t>
  </si>
  <si>
    <t>nhà nghiên cứu</t>
  </si>
  <si>
    <t>The researcher found new data today.</t>
  </si>
  <si>
    <t>Hôm nay nhà nghiên cứu đã tìm thấy dữ liệu mới.</t>
  </si>
  <si>
    <t>concert</t>
  </si>
  <si>
    <t>Attend the music concert.</t>
  </si>
  <si>
    <t>Hãy tham dự buổi hòa nhạc đó.</t>
  </si>
  <si>
    <t>emotional</t>
  </si>
  <si>
    <t>thuộc cảm xúc</t>
  </si>
  <si>
    <t>He gave an emotional speech.</t>
  </si>
  <si>
    <t>Anh ấy đã có một bài phát biểu đầy cảm xúc.</t>
  </si>
  <si>
    <t>actor</t>
  </si>
  <si>
    <t>nam diễn viên</t>
  </si>
  <si>
    <t>He is a famous actor.</t>
  </si>
  <si>
    <t>Anh ấy là một nam diễn viên nổi tiếng.</t>
  </si>
  <si>
    <t>otherwise</t>
  </si>
  <si>
    <t>nếu không thì</t>
  </si>
  <si>
    <t>Run, otherwise you'll be late.</t>
  </si>
  <si>
    <t>Hãy chạy đi, nếu không bạn sẽ bị muộn.</t>
  </si>
  <si>
    <t>captain</t>
  </si>
  <si>
    <t>thuyền trưởng</t>
  </si>
  <si>
    <t>The captain steers ship.</t>
  </si>
  <si>
    <t>Thuyền trưởng điều khiển con tàu.</t>
  </si>
  <si>
    <t>challenging</t>
  </si>
  <si>
    <t>đầy thử thách</t>
  </si>
  <si>
    <t>The job is challenging.</t>
  </si>
  <si>
    <t>Công việc đó đầy thử thách.</t>
  </si>
  <si>
    <t>payment</t>
  </si>
  <si>
    <t>sự thanh toán</t>
  </si>
  <si>
    <t>The payment was made yesterday.</t>
  </si>
  <si>
    <t>Sự thanh toán đã được thực hiện ngày hôm qua.</t>
  </si>
  <si>
    <t>working</t>
  </si>
  <si>
    <t>đang làm việc</t>
  </si>
  <si>
    <t>The working hours are long.</t>
  </si>
  <si>
    <t>Giờ làm việc rất dài.</t>
  </si>
  <si>
    <t>historical</t>
  </si>
  <si>
    <t>thuộc lịch sử</t>
  </si>
  <si>
    <t>They read historical documents daily.</t>
  </si>
  <si>
    <t>Họ đọc các tài liệu lịch sử hàng ngày.</t>
  </si>
  <si>
    <t>supporter</t>
  </si>
  <si>
    <t>người ủng hộ</t>
  </si>
  <si>
    <t>He is a loyal supporter.</t>
  </si>
  <si>
    <t>Anh ấy là một người ủng hộ trung thành.</t>
  </si>
  <si>
    <t>regular</t>
  </si>
  <si>
    <t>He is a regular customer here.</t>
  </si>
  <si>
    <t>Anh ấy là khách hàng thường xuyên ở đây.</t>
  </si>
  <si>
    <t>comfort</t>
  </si>
  <si>
    <t>sự thoải mái</t>
  </si>
  <si>
    <t>Live in great comfort.</t>
  </si>
  <si>
    <t>Hãy sống trong sự thoải mái tuyệt vời.</t>
  </si>
  <si>
    <t>complaint</t>
  </si>
  <si>
    <t>lời phàn nàn</t>
  </si>
  <si>
    <t>Make a formal complaint.</t>
  </si>
  <si>
    <t>Hãy đưa ra lời phàn nàn chính thức.</t>
  </si>
  <si>
    <t>concentration</t>
  </si>
  <si>
    <t>sự tập trung</t>
  </si>
  <si>
    <t>She lacks concentration today.</t>
  </si>
  <si>
    <t>Cô ấy thiếu sự tập trung hôm nay.</t>
  </si>
  <si>
    <t>emphasis</t>
  </si>
  <si>
    <t>sự nhấn mạnh</t>
  </si>
  <si>
    <t>The emphasis is on quality.</t>
  </si>
  <si>
    <t>Trọng tâm được đặt vào chất lượng.</t>
  </si>
  <si>
    <t>media</t>
  </si>
  <si>
    <t>The media reported the news.</t>
  </si>
  <si>
    <t>Truyền thông đã đưa tin tức đó.</t>
  </si>
  <si>
    <t>separation</t>
  </si>
  <si>
    <t>sự chia tách</t>
  </si>
  <si>
    <t>The separation was very difficult.</t>
  </si>
  <si>
    <t>Sự chia tách đã rất khó khăn.</t>
  </si>
  <si>
    <t>severe</t>
  </si>
  <si>
    <t>The winter was very severe.</t>
  </si>
  <si>
    <t>Mùa đông rất khắc nghiệt.</t>
  </si>
  <si>
    <t>connected</t>
  </si>
  <si>
    <t>They are closely connected.</t>
  </si>
  <si>
    <t>Họ có liên quan chặt chẽ với nhau.</t>
  </si>
  <si>
    <t>import</t>
  </si>
  <si>
    <t>sự nhập khẩu</t>
  </si>
  <si>
    <t>They control the food imports.</t>
  </si>
  <si>
    <t>Họ kiểm soát các hoạt động nhập khẩu thực phẩm.</t>
  </si>
  <si>
    <t>necessity</t>
  </si>
  <si>
    <t>sự cần thiết</t>
  </si>
  <si>
    <t>Water is a basic necessity.</t>
  </si>
  <si>
    <t>Nước là một nhu cầu thiết yếu cơ bản.</t>
  </si>
  <si>
    <t>defence</t>
  </si>
  <si>
    <t>Work on national defence.</t>
  </si>
  <si>
    <t>Hãy làm việc về phòng thủ quốc gia.</t>
  </si>
  <si>
    <t>alternative</t>
  </si>
  <si>
    <t>Do we have an alternative?</t>
  </si>
  <si>
    <t>Chúng ta có phương án thay thế nào không?</t>
  </si>
  <si>
    <t>household</t>
  </si>
  <si>
    <t>Every household needs a computer.</t>
  </si>
  <si>
    <t>Mỗi hộ gia đình đều cần một máy tính.</t>
  </si>
  <si>
    <t>insist</t>
  </si>
  <si>
    <t>khăng khăng</t>
  </si>
  <si>
    <t>He insisted on going out.</t>
  </si>
  <si>
    <t>Anh ấy đã khăng khăng đòi đi ra ngoài.</t>
  </si>
  <si>
    <t>capable</t>
  </si>
  <si>
    <t>He is capable of working.</t>
  </si>
  <si>
    <t>Anh ấy có khả năng làm việc.</t>
  </si>
  <si>
    <t>champion</t>
  </si>
  <si>
    <t>nhà vô địch</t>
  </si>
  <si>
    <t>He is the champion.</t>
  </si>
  <si>
    <t>Anh ấy là nhà vô địch.</t>
  </si>
  <si>
    <t>expectation</t>
  </si>
  <si>
    <t>sự mong đợi</t>
  </si>
  <si>
    <t>It met all my expectation.</t>
  </si>
  <si>
    <t>Nó đáp ứng mọi sự mong đợi của tôi.</t>
  </si>
  <si>
    <t>balance</t>
  </si>
  <si>
    <t>Keep your body in balance.</t>
  </si>
  <si>
    <t>Hãy giữ cơ thể bạn cân bằng.</t>
  </si>
  <si>
    <t>none</t>
  </si>
  <si>
    <t>không ai cả</t>
  </si>
  <si>
    <t>None of them were ready.</t>
  </si>
  <si>
    <t>Không ai trong số họ sẵn sàng cả.</t>
  </si>
  <si>
    <t>summary</t>
  </si>
  <si>
    <t>bản tóm tắt</t>
  </si>
  <si>
    <t>Read the summary very carefully.</t>
  </si>
  <si>
    <t>Hãy đọc bản tóm tắt thật cẩn thận.</t>
  </si>
  <si>
    <t>injury</t>
  </si>
  <si>
    <t>chấn thương</t>
  </si>
  <si>
    <t>She has a serious injury.</t>
  </si>
  <si>
    <t>Cô ấy có một chấn thương nghiêm trọng.</t>
  </si>
  <si>
    <t>investigation</t>
  </si>
  <si>
    <t>The investigation is not over.</t>
  </si>
  <si>
    <t>Cuộc điều tra chưa kết thúc.</t>
  </si>
  <si>
    <t>scene</t>
  </si>
  <si>
    <t>The police arrived at the scene.</t>
  </si>
  <si>
    <t>Cảnh sát đã đến hiện trường.</t>
  </si>
  <si>
    <t>relation</t>
  </si>
  <si>
    <t>The relation is very strong now.</t>
  </si>
  <si>
    <t>Mối quan hệ đang rất bền chặt.</t>
  </si>
  <si>
    <t>strict</t>
  </si>
  <si>
    <t>The teacher is very strict.</t>
  </si>
  <si>
    <t>Giáo viên rất nghiêm khắc.</t>
  </si>
  <si>
    <t>reduction</t>
  </si>
  <si>
    <t>They announced a large price reduction.</t>
  </si>
  <si>
    <t>Họ đã thông báo một đợt giảm giá lớn.</t>
  </si>
  <si>
    <t>industrial</t>
  </si>
  <si>
    <t>They built an industrial park.</t>
  </si>
  <si>
    <t>Họ đã xây một khu công nghiệp.</t>
  </si>
  <si>
    <t>method</t>
  </si>
  <si>
    <t>Use a new working method.</t>
  </si>
  <si>
    <t>Hãy sử dụng một phương pháp làm việc mới.</t>
  </si>
  <si>
    <t>limited</t>
  </si>
  <si>
    <t>bị giới hạn</t>
  </si>
  <si>
    <t>We have limited time today.</t>
  </si>
  <si>
    <t>Chúng ta có thời gian hạn chế hôm nay.</t>
  </si>
  <si>
    <t>storage</t>
  </si>
  <si>
    <t>kho lưu trữ</t>
  </si>
  <si>
    <t>We need more digital storage.</t>
  </si>
  <si>
    <t>Chúng tôi cần thêm kho lưu trữ kỹ thuật số.</t>
  </si>
  <si>
    <t>entertainment</t>
  </si>
  <si>
    <t>sự giải trí</t>
  </si>
  <si>
    <t>We need some light entertainment.</t>
  </si>
  <si>
    <t>Chúng ta cần một chút giải trí nhẹ nhàng.</t>
  </si>
  <si>
    <t>component</t>
  </si>
  <si>
    <t>Check every machine component.</t>
  </si>
  <si>
    <t>Hãy kiểm tra mọi thành phần của máy.</t>
  </si>
  <si>
    <t>nor</t>
  </si>
  <si>
    <t>cũng không</t>
  </si>
  <si>
    <t>He cannot read nor write.</t>
  </si>
  <si>
    <t>Anh ấy không biết đọc cũng không biết viết.</t>
  </si>
  <si>
    <t>clever</t>
  </si>
  <si>
    <t>He is a clever boy.</t>
  </si>
  <si>
    <t>Cậu bé này rất thông minh.</t>
  </si>
  <si>
    <t>achievement</t>
  </si>
  <si>
    <t>He is proud of his achievement.</t>
  </si>
  <si>
    <t>Anh ấy tự hào về thành tích của mình.</t>
  </si>
  <si>
    <t>foreign</t>
  </si>
  <si>
    <t>He speaks a foreign language.</t>
  </si>
  <si>
    <t>Anh ấy nói một ngôn ngữ nước ngoài.</t>
  </si>
  <si>
    <t>hearing</t>
  </si>
  <si>
    <t>His hearing is very good.</t>
  </si>
  <si>
    <t>Thính giác của anh ấy rất tốt.</t>
  </si>
  <si>
    <t>advise</t>
  </si>
  <si>
    <t>khuyên bảo</t>
  </si>
  <si>
    <t>I advise you to stay.</t>
  </si>
  <si>
    <t>Tôi khuyên bạn nên ở lại.</t>
  </si>
  <si>
    <t>excited</t>
  </si>
  <si>
    <t>phấn khích</t>
  </si>
  <si>
    <t>I am excited about travel.</t>
  </si>
  <si>
    <t>Tôi rất phấn khích về chuyến đi.</t>
  </si>
  <si>
    <t>combination</t>
  </si>
  <si>
    <t>sự kết hợp</t>
  </si>
  <si>
    <t>It is a good combination.</t>
  </si>
  <si>
    <t>Đó là một sự kết hợp tốt.</t>
  </si>
  <si>
    <t>symbol</t>
  </si>
  <si>
    <t>It is a peace symbol.</t>
  </si>
  <si>
    <t>Đó là một biểu tượng hòa bình.</t>
  </si>
  <si>
    <t>strategic</t>
  </si>
  <si>
    <t>It is a strategic move.</t>
  </si>
  <si>
    <t>Đó là một nước đi chiến lược.</t>
  </si>
  <si>
    <t>learning</t>
  </si>
  <si>
    <t>Learning is a lifelong process.</t>
  </si>
  <si>
    <t>Học tập là một quá trình suốt đời.</t>
  </si>
  <si>
    <t>priority</t>
  </si>
  <si>
    <t>Safety is our top priority.</t>
  </si>
  <si>
    <t>An toàn là sự ưu tiên hàng đầu của chúng ta.</t>
  </si>
  <si>
    <t>organized</t>
  </si>
  <si>
    <t>có tổ chức</t>
  </si>
  <si>
    <t>She is a very organized person.</t>
  </si>
  <si>
    <t>Cô ấy là một người rất có tổ chức.</t>
  </si>
  <si>
    <t>expert</t>
  </si>
  <si>
    <t>chuyên gia</t>
  </si>
  <si>
    <t>She is an expert here.</t>
  </si>
  <si>
    <t>Cô ấy là một chuyên gia ở đây.</t>
  </si>
  <si>
    <t>medical</t>
  </si>
  <si>
    <t>thuộc y tế</t>
  </si>
  <si>
    <t>She needs medical help now.</t>
  </si>
  <si>
    <t>Cô ấy cần giúp đỡ về y tế ngay bây giờ.</t>
  </si>
  <si>
    <t>average</t>
  </si>
  <si>
    <t>The average age is twenty.</t>
  </si>
  <si>
    <t>Độ tuổi trung bình là hai mươi.</t>
  </si>
  <si>
    <t>experiment</t>
  </si>
  <si>
    <t>The experiment was a success.</t>
  </si>
  <si>
    <t>Thí nghiệm đã thành công.</t>
  </si>
  <si>
    <t>flat</t>
  </si>
  <si>
    <t>The ground is very flat.</t>
  </si>
  <si>
    <t>Mặt đất rất bằng phẳng.</t>
  </si>
  <si>
    <t>silence</t>
  </si>
  <si>
    <t>The room was in silence.</t>
  </si>
  <si>
    <t>Căn phòng chìm trong sự im lặng.</t>
  </si>
  <si>
    <t>soldier</t>
  </si>
  <si>
    <t>The soldier guards the gate.</t>
  </si>
  <si>
    <t>Người lính canh gác cổng.</t>
  </si>
  <si>
    <t>user</t>
  </si>
  <si>
    <t>người dùng</t>
  </si>
  <si>
    <t>The user is very happy.</t>
  </si>
  <si>
    <t>Người dùng rất hạnh phúc.</t>
  </si>
  <si>
    <t>reflect</t>
  </si>
  <si>
    <t>The water did reflect the sky.</t>
  </si>
  <si>
    <t>Nước đã phản chiếu bầu trời.</t>
  </si>
  <si>
    <t>traffic</t>
  </si>
  <si>
    <t>There is much traffic now.</t>
  </si>
  <si>
    <t>Hiện tại giao thông rất đông đúc.</t>
  </si>
  <si>
    <t>friendly</t>
  </si>
  <si>
    <t>thân thiện</t>
  </si>
  <si>
    <t>They are very friendly people.</t>
  </si>
  <si>
    <t>Họ là những người rất thân thiện.</t>
  </si>
  <si>
    <t>compete</t>
  </si>
  <si>
    <t>They compete for prize.</t>
  </si>
  <si>
    <t>Họ cạnh tranh vì giải thưởng.</t>
  </si>
  <si>
    <t>independence</t>
  </si>
  <si>
    <t>sự độc lập</t>
  </si>
  <si>
    <t>They fought for their independence.</t>
  </si>
  <si>
    <t>Họ đã chiến đấu cho sự độc lập của mình.</t>
  </si>
  <si>
    <t>escape</t>
  </si>
  <si>
    <t>They managed to escape safely.</t>
  </si>
  <si>
    <t>Họ đã xoay xở trốn thoát an toàn.</t>
  </si>
  <si>
    <t>innovation</t>
  </si>
  <si>
    <t>sự đổi mới</t>
  </si>
  <si>
    <t>This is a technical innovation.</t>
  </si>
  <si>
    <t>Đây là một sự đổi mới kỹ thuật.</t>
  </si>
  <si>
    <t>birth</t>
  </si>
  <si>
    <t>What is your date birth?</t>
  </si>
  <si>
    <t>Ngày sinh của bạn là ngày nào?</t>
  </si>
  <si>
    <t>circumstance</t>
  </si>
  <si>
    <t>Adapt to the circumstance.</t>
  </si>
  <si>
    <t>Hãy thích nghi với hoàn cảnh.</t>
  </si>
  <si>
    <t>consistent</t>
  </si>
  <si>
    <t>nhất quán</t>
  </si>
  <si>
    <t>Be consistent in work.</t>
  </si>
  <si>
    <t>Hãy nhất quán trong công việc.</t>
  </si>
  <si>
    <t>equal</t>
  </si>
  <si>
    <t>bằng nhau</t>
  </si>
  <si>
    <t>Both sides are quite equal.</t>
  </si>
  <si>
    <t>Cả hai bên khá là bằng nhau.</t>
  </si>
  <si>
    <t>quote</t>
  </si>
  <si>
    <t>Can you quote that famous line?</t>
  </si>
  <si>
    <t>Bạn có thể trích dẫn câu nói nổi tiếng đó không?</t>
  </si>
  <si>
    <t>concentrate</t>
  </si>
  <si>
    <t>Concentrate on your work.</t>
  </si>
  <si>
    <t>Hãy tập trung vào công việc của bạn.</t>
  </si>
  <si>
    <t>conduct</t>
  </si>
  <si>
    <t>Conduct the study now.</t>
  </si>
  <si>
    <t>Hãy thực hiện nghiên cứu ngay đi.</t>
  </si>
  <si>
    <t>bother</t>
  </si>
  <si>
    <t>Don't bother me now.</t>
  </si>
  <si>
    <t>Đừng làm phiền tôi lúc này.</t>
  </si>
  <si>
    <t>employee</t>
  </si>
  <si>
    <t>Every employee must attend training.</t>
  </si>
  <si>
    <t>Mọi nhân viên phải tham gia đào tạo.</t>
  </si>
  <si>
    <t>suitable</t>
  </si>
  <si>
    <t>Find a suitable person now.</t>
  </si>
  <si>
    <t>Hãy tìm một người thích hợp ngay.</t>
  </si>
  <si>
    <t>studio</t>
  </si>
  <si>
    <t>Go to the dance studio.</t>
  </si>
  <si>
    <t>Hãy đi đến phòng tập nhảy.</t>
  </si>
  <si>
    <t>potential</t>
  </si>
  <si>
    <t>tiềm năng</t>
  </si>
  <si>
    <t>He is a potential leader.</t>
  </si>
  <si>
    <t>Anh ấy là một nhà lãnh đạo tiềm năng.</t>
  </si>
  <si>
    <t>politics</t>
  </si>
  <si>
    <t>He studied politics for years.</t>
  </si>
  <si>
    <t>Anh ấy đã học chính trị nhiều năm.</t>
  </si>
  <si>
    <t>finance</t>
  </si>
  <si>
    <t>He studies finance in school.</t>
  </si>
  <si>
    <t>Anh ấy học tài chính ở trường.</t>
  </si>
  <si>
    <t>acknowledge</t>
  </si>
  <si>
    <t>I acknowledge my own mistake.</t>
  </si>
  <si>
    <t>Tôi công nhận sai lầm của chính mình.</t>
  </si>
  <si>
    <t>fully</t>
  </si>
  <si>
    <t>I am fully aware now.</t>
  </si>
  <si>
    <t>Bây giờ tôi hoàn toàn nhận thức được rồi.</t>
  </si>
  <si>
    <t>anybody</t>
  </si>
  <si>
    <t>Is anybody here right now?</t>
  </si>
  <si>
    <t>Hiện tại có ai ở đây không?</t>
  </si>
  <si>
    <t>habit</t>
  </si>
  <si>
    <t>It is a bad habit.</t>
  </si>
  <si>
    <t>Đó là một thói quen xấu.</t>
  </si>
  <si>
    <t>genetic</t>
  </si>
  <si>
    <t>thuộc gen</t>
  </si>
  <si>
    <t>It is a genetic disorder.</t>
  </si>
  <si>
    <t>Đó là một chứng rối loạn di truyền.</t>
  </si>
  <si>
    <t>typical</t>
  </si>
  <si>
    <t>It is a typical day.</t>
  </si>
  <si>
    <t>Đó là một ngày điển hình.</t>
  </si>
  <si>
    <t>increasingly</t>
  </si>
  <si>
    <t>It is becoming increasingly cold.</t>
  </si>
  <si>
    <t>Trời đang ngày càng trở nên lạnh hơn.</t>
  </si>
  <si>
    <t>essentially</t>
  </si>
  <si>
    <t>về cơ bản</t>
  </si>
  <si>
    <t>It is essentially the same.</t>
  </si>
  <si>
    <t>Nó về cơ bản là giống nhau.</t>
  </si>
  <si>
    <t>adult</t>
  </si>
  <si>
    <t>Only adults can enter here.</t>
  </si>
  <si>
    <t>Chỉ người lớn mới có thể vào đây.</t>
  </si>
  <si>
    <t>seed</t>
  </si>
  <si>
    <t>hạt giống</t>
  </si>
  <si>
    <t>Plant the seed in the soil.</t>
  </si>
  <si>
    <t>Hãy gieo hạt giống vào đất.</t>
  </si>
  <si>
    <t>reader</t>
  </si>
  <si>
    <t>người đọc</t>
  </si>
  <si>
    <t>She is a very avid reader.</t>
  </si>
  <si>
    <t>Cô ấy là một người đọc rất ham học.</t>
  </si>
  <si>
    <t>initiative</t>
  </si>
  <si>
    <t>sáng kiến</t>
  </si>
  <si>
    <t>That is a bold initiative.</t>
  </si>
  <si>
    <t>Đó là một sáng kiến táo bạo.</t>
  </si>
  <si>
    <t>buyer</t>
  </si>
  <si>
    <t>người mua</t>
  </si>
  <si>
    <t>The buyer is waiting.</t>
  </si>
  <si>
    <t>Người mua đang chờ đợi.</t>
  </si>
  <si>
    <t>classroom</t>
  </si>
  <si>
    <t>phòng học</t>
  </si>
  <si>
    <t>The classroom is clean.</t>
  </si>
  <si>
    <t>Phòng học rất sạch sẽ.</t>
  </si>
  <si>
    <t>federal</t>
  </si>
  <si>
    <t>thuộc liên bang</t>
  </si>
  <si>
    <t>The federal rules apply now.</t>
  </si>
  <si>
    <t>Các quy định liên bang được áp dụng ngay lúc này.</t>
  </si>
  <si>
    <t>firm</t>
  </si>
  <si>
    <t>The ground is very firm.</t>
  </si>
  <si>
    <t>Mặt đất rất chắc chắn.</t>
  </si>
  <si>
    <t>height</t>
  </si>
  <si>
    <t>The height of the building is massive.</t>
  </si>
  <si>
    <t>Chiều cao của tòa nhà rất lớn.</t>
  </si>
  <si>
    <t>journey</t>
  </si>
  <si>
    <t>The journey was very long.</t>
  </si>
  <si>
    <t>Chuyến đi rất dài.</t>
  </si>
  <si>
    <t>patient</t>
  </si>
  <si>
    <t>The patient is doing well.</t>
  </si>
  <si>
    <t>Bệnh nhân đang hồi phục tốt.</t>
  </si>
  <si>
    <t>solid</t>
  </si>
  <si>
    <t>The table is very solid.</t>
  </si>
  <si>
    <t>Cái bàn rất chắc chắn.</t>
  </si>
  <si>
    <t>union</t>
  </si>
  <si>
    <t>The union supports the workers.</t>
  </si>
  <si>
    <t>Công đoàn hỗ trợ các công nhân.</t>
  </si>
  <si>
    <t>vote</t>
  </si>
  <si>
    <t>phiếu bầu</t>
  </si>
  <si>
    <t>They cast their vote today.</t>
  </si>
  <si>
    <t>Họ đã bỏ phiếu bầu hôm nay.</t>
  </si>
  <si>
    <t>village</t>
  </si>
  <si>
    <t>ngôi làng</t>
  </si>
  <si>
    <t>They live in small village.</t>
  </si>
  <si>
    <t>Họ sống trong một ngôi làng nhỏ.</t>
  </si>
  <si>
    <t>farm</t>
  </si>
  <si>
    <t>They live on a farm.</t>
  </si>
  <si>
    <t>Họ sống ở một nông trại.</t>
  </si>
  <si>
    <t>waste</t>
  </si>
  <si>
    <t>chất thải</t>
  </si>
  <si>
    <t>They manage the liquid waste.</t>
  </si>
  <si>
    <t>Họ quản lý chất thải lỏng.</t>
  </si>
  <si>
    <t>aid</t>
  </si>
  <si>
    <t>They provided humanitarian aid here.</t>
  </si>
  <si>
    <t>Họ đã cung cấp hỗ trợ nhân đạo tại đây.</t>
  </si>
  <si>
    <t>boring</t>
  </si>
  <si>
    <t>This movie is very boring.</t>
  </si>
  <si>
    <t>Bộ phim này rất nhàm chán.</t>
  </si>
  <si>
    <t>surround</t>
  </si>
  <si>
    <t>Trees surround the house here.</t>
  </si>
  <si>
    <t>Những cái cây bao quanh ngôi nhà ở đây.</t>
  </si>
  <si>
    <t>prevent</t>
  </si>
  <si>
    <t>We must prevent the fire.</t>
  </si>
  <si>
    <t>Chúng ta phải ngăn chặn đám cháy.</t>
  </si>
  <si>
    <t>absolute</t>
  </si>
  <si>
    <t>We need absolute proof here.</t>
  </si>
  <si>
    <t>Chúng ta cần bằng chứng tuyệt đối tại đây.</t>
  </si>
  <si>
    <t>segment</t>
  </si>
  <si>
    <t>phân khúc</t>
  </si>
  <si>
    <t>We target a specific market segment.</t>
  </si>
  <si>
    <t>Chúng tôi nhắm mục tiêu vào một phân khúc thị trường cụ thể.</t>
  </si>
  <si>
    <t>welcome</t>
  </si>
  <si>
    <t>chào mừng</t>
  </si>
  <si>
    <t>We welcome all visitors today.</t>
  </si>
  <si>
    <t>Chúng tôi chào mừng tất cả khách tham quan hôm nay.</t>
  </si>
  <si>
    <t>park</t>
  </si>
  <si>
    <t>We went to the park.</t>
  </si>
  <si>
    <t>Chúng tôi đã đi đến công viên.</t>
  </si>
  <si>
    <t>pursue</t>
  </si>
  <si>
    <t>theo đuổi</t>
  </si>
  <si>
    <t>You should pursue your own dreams.</t>
  </si>
  <si>
    <t>Bạn nên theo đuổi những giấc mơ của riêng mình.</t>
  </si>
  <si>
    <t>convention</t>
  </si>
  <si>
    <t>Attend an annual convention.</t>
  </si>
  <si>
    <t>Hãy tham dự một hội nghị thường niên.</t>
  </si>
  <si>
    <t>material</t>
  </si>
  <si>
    <t>vật liệu</t>
  </si>
  <si>
    <t>Buy raw material for work.</t>
  </si>
  <si>
    <t>Hãy mua vật liệu thô cho công việc.</t>
  </si>
  <si>
    <t>emergency</t>
  </si>
  <si>
    <t>Call me in an emergency.</t>
  </si>
  <si>
    <t>Hãy gọi cho tôi khi có việc khẩn cấp.</t>
  </si>
  <si>
    <t>link</t>
  </si>
  <si>
    <t>liên kết</t>
  </si>
  <si>
    <t>Click the link to open.</t>
  </si>
  <si>
    <t>Hãy nhấp vào liên kết để mở.</t>
  </si>
  <si>
    <t>climb</t>
  </si>
  <si>
    <t>leo trèo</t>
  </si>
  <si>
    <t>Climb the mountain now.</t>
  </si>
  <si>
    <t>Hãy leo lên ngọn núi ngay.</t>
  </si>
  <si>
    <t>boost</t>
  </si>
  <si>
    <t>Coffee boosts my energy.</t>
  </si>
  <si>
    <t>Cà phê giúp tăng cường năng lượng của tôi.</t>
  </si>
  <si>
    <t>complain</t>
  </si>
  <si>
    <t>Do not complain today.</t>
  </si>
  <si>
    <t>Đừng phàn nàn vào hôm nay.</t>
  </si>
  <si>
    <t>regulation</t>
  </si>
  <si>
    <t>Follow every safety regulation closely now.</t>
  </si>
  <si>
    <t>Hãy tuân theo mọi quy định an toàn chặt chẽ ngay bây giờ.</t>
  </si>
  <si>
    <t>gather</t>
  </si>
  <si>
    <t>Gather all the data now.</t>
  </si>
  <si>
    <t>Hãy thu thập tất cả dữ liệu ngay bây giờ.</t>
  </si>
  <si>
    <t>grab</t>
  </si>
  <si>
    <t>chộp lấy</t>
  </si>
  <si>
    <t>Grab your coat and leave.</t>
  </si>
  <si>
    <t>Hãy chộp lấy áo khoác của bạn và đi.</t>
  </si>
  <si>
    <t>positive</t>
  </si>
  <si>
    <t>He has a positive attitude.</t>
  </si>
  <si>
    <t>Anh ấy có thái độ tích cực.</t>
  </si>
  <si>
    <t>army</t>
  </si>
  <si>
    <t>He joined the army today.</t>
  </si>
  <si>
    <t>Anh ấy đã gia nhập quân đội hôm nay.</t>
  </si>
  <si>
    <t>funny</t>
  </si>
  <si>
    <t>He tells a funny story.</t>
  </si>
  <si>
    <t>Anh ấy kể một câu chuyện hài hước.</t>
  </si>
  <si>
    <t>shirt</t>
  </si>
  <si>
    <t>He wears a white shirt.</t>
  </si>
  <si>
    <t>Anh ấy mặc một chiếc áo sơ mi trắng.</t>
  </si>
  <si>
    <t>hello</t>
  </si>
  <si>
    <t>Hello, how are you today?</t>
  </si>
  <si>
    <t>Xin chào, bạn thế nào hôm nay?</t>
  </si>
  <si>
    <t>boyfriend</t>
  </si>
  <si>
    <t>bạn trai</t>
  </si>
  <si>
    <t>Her boyfriend is kind.</t>
  </si>
  <si>
    <t>Bạn trai cô ấy rất tốt bụng.</t>
  </si>
  <si>
    <t>operate</t>
  </si>
  <si>
    <t>How to operate this machine?</t>
  </si>
  <si>
    <t>Làm thế nào để vận hành chiếc máy này?</t>
  </si>
  <si>
    <t>childhood</t>
  </si>
  <si>
    <t>tuổi thơ</t>
  </si>
  <si>
    <t>I had a happy childhood.</t>
  </si>
  <si>
    <t>Tôi có một tuổi thơ hạnh phúc.</t>
  </si>
  <si>
    <t>suspect</t>
  </si>
  <si>
    <t>I suspect he lied now.</t>
  </si>
  <si>
    <t>Tôi đang nghi ngờ anh ấy đã nói dối.</t>
  </si>
  <si>
    <t>leading</t>
  </si>
  <si>
    <t>It is a leading company.</t>
  </si>
  <si>
    <t>Đó là một công ty hàng đầu.</t>
  </si>
  <si>
    <t>natural</t>
  </si>
  <si>
    <t>It is a natural reaction.</t>
  </si>
  <si>
    <t>Đó là một phản ứng tự nhiên.</t>
  </si>
  <si>
    <t>foundation</t>
  </si>
  <si>
    <t>It is a strong foundation.</t>
  </si>
  <si>
    <t>Đó là một nền tảng vững chắc.</t>
  </si>
  <si>
    <t>somewhat</t>
  </si>
  <si>
    <t>phần nào</t>
  </si>
  <si>
    <t>It is somewhat cold today.</t>
  </si>
  <si>
    <t>Hôm nay trời lạnh phần nào.</t>
  </si>
  <si>
    <t>lunch</t>
  </si>
  <si>
    <t>Let us have lunch now.</t>
  </si>
  <si>
    <t>Hãy ăn trưa bây giờ nào.</t>
  </si>
  <si>
    <t>lower</t>
  </si>
  <si>
    <t>Lower the price of it.</t>
  </si>
  <si>
    <t>Hãy hạ giá của nó xuống.</t>
  </si>
  <si>
    <t>measure</t>
  </si>
  <si>
    <t>Measure the size of it.</t>
  </si>
  <si>
    <t>Hãy đo kích thước của nó.</t>
  </si>
  <si>
    <t>neighbour</t>
  </si>
  <si>
    <t>Our neighbour is very kind.</t>
  </si>
  <si>
    <t>Người hàng xóm của chúng tôi rất tốt bụng.</t>
  </si>
  <si>
    <t>remind</t>
  </si>
  <si>
    <t>nhắc nhở</t>
  </si>
  <si>
    <t>Please remind me about the meeting.</t>
  </si>
  <si>
    <t>Làm ơn nhắc tôi về cuộc họp.</t>
  </si>
  <si>
    <t>volume</t>
  </si>
  <si>
    <t>âm lượng</t>
  </si>
  <si>
    <t>Please turn the volume down.</t>
  </si>
  <si>
    <t>Làm ơn vặn nhỏ âm lượng xuống.</t>
  </si>
  <si>
    <t>vary</t>
  </si>
  <si>
    <t>Prices vary from day today.</t>
  </si>
  <si>
    <t>Giá cả thay đổi theo từng ngày.</t>
  </si>
  <si>
    <t>post</t>
  </si>
  <si>
    <t>bài đăng</t>
  </si>
  <si>
    <t>Read my latest post today.</t>
  </si>
  <si>
    <t>Hãy đọc bài đăng mới nhất của tôi hôm nay.</t>
  </si>
  <si>
    <t>finger</t>
  </si>
  <si>
    <t>She cut her own finger.</t>
  </si>
  <si>
    <t>Cô ấy đã cắt trúng ngón tay mình.</t>
  </si>
  <si>
    <t>brilliant</t>
  </si>
  <si>
    <t>She had a brilliant idea.</t>
  </si>
  <si>
    <t>Cô ấy có một ý tưởng xuất sắc.</t>
  </si>
  <si>
    <t>vision</t>
  </si>
  <si>
    <t>She has a clear vision.</t>
  </si>
  <si>
    <t>Cô ấy có một tầm nhìn rõ ràng.</t>
  </si>
  <si>
    <t>talent</t>
  </si>
  <si>
    <t>She has a great talent.</t>
  </si>
  <si>
    <t>Cô ấy có một tài năng tuyệt vời.</t>
  </si>
  <si>
    <t>association</t>
  </si>
  <si>
    <t>She leads the local association.</t>
  </si>
  <si>
    <t>Cô ấy lãnh đạo hiệp hội địa phương.</t>
  </si>
  <si>
    <t>illness</t>
  </si>
  <si>
    <t>căn bệnh</t>
  </si>
  <si>
    <t>She recovered from the illness.</t>
  </si>
  <si>
    <t>Cô ấy đã hồi phục sau căn bệnh.</t>
  </si>
  <si>
    <t>advanced</t>
  </si>
  <si>
    <t>She takes an advanced class.</t>
  </si>
  <si>
    <t>Cô ấy tham gia một lớp học nâng cao.</t>
  </si>
  <si>
    <t>boot</t>
  </si>
  <si>
    <t>giày bốt</t>
  </si>
  <si>
    <t>She wears leather boots.</t>
  </si>
  <si>
    <t>Cô ấy mang đôi giày bốt da.</t>
  </si>
  <si>
    <t>contract</t>
  </si>
  <si>
    <t>Sign the legal contract.</t>
  </si>
  <si>
    <t>Hãy ký bản hợp đồng pháp lý.</t>
  </si>
  <si>
    <t>noise</t>
  </si>
  <si>
    <t>Stop making that noise.</t>
  </si>
  <si>
    <t>Đừng gây ra tiếng ồn đó nữa.</t>
  </si>
  <si>
    <t>stretch</t>
  </si>
  <si>
    <t>kéo giãn</t>
  </si>
  <si>
    <t>Stretch your body every morning.</t>
  </si>
  <si>
    <t>Hãy kéo giãn cơ thể bạn mỗi sáng.</t>
  </si>
  <si>
    <t>band</t>
  </si>
  <si>
    <t>The band plays music well.</t>
  </si>
  <si>
    <t>Ban nhạc chơi nhạc rất tốt.</t>
  </si>
  <si>
    <t>content</t>
  </si>
  <si>
    <t>The book content helps.</t>
  </si>
  <si>
    <t>Nội dung sách rất hữu ích.</t>
  </si>
  <si>
    <t>screen</t>
  </si>
  <si>
    <t>The computer screen is very bright.</t>
  </si>
  <si>
    <t>Màn hình máy tính rất sáng.</t>
  </si>
  <si>
    <t>garden</t>
  </si>
  <si>
    <t>khu vườn</t>
  </si>
  <si>
    <t>The garden is very beautiful.</t>
  </si>
  <si>
    <t>Khu vườn rất đẹp.</t>
  </si>
  <si>
    <t>match</t>
  </si>
  <si>
    <t>The match starts at nine.</t>
  </si>
  <si>
    <t>Trận đấu bắt đầu lúc chín giờ.</t>
  </si>
  <si>
    <t>impressive</t>
  </si>
  <si>
    <t>The performance was truly impressive.</t>
  </si>
  <si>
    <t>Màn trình diễn thực sự ấn tượng.</t>
  </si>
  <si>
    <t>prince</t>
  </si>
  <si>
    <t>The prince greeted the people.</t>
  </si>
  <si>
    <t>Hoàng tử chào đón người dân.</t>
  </si>
  <si>
    <t>river</t>
  </si>
  <si>
    <t>con sông</t>
  </si>
  <si>
    <t>The river is very deep now.</t>
  </si>
  <si>
    <t>Con sông rất sâu vào lúc này.</t>
  </si>
  <si>
    <t>shadow</t>
  </si>
  <si>
    <t>The shadow grew very long.</t>
  </si>
  <si>
    <t>Cái bóng đã dài ra rất nhiều.</t>
  </si>
  <si>
    <t>smooth</t>
  </si>
  <si>
    <t>mịn màng</t>
  </si>
  <si>
    <t>The surface is very smooth.</t>
  </si>
  <si>
    <t>Bề mặt rất mịn màng.</t>
  </si>
  <si>
    <t>labour</t>
  </si>
  <si>
    <t>The work requires manual labour.</t>
  </si>
  <si>
    <t>Công việc này đòi hỏi lao động chân tay.</t>
  </si>
  <si>
    <t>writing</t>
  </si>
  <si>
    <t>bài viết</t>
  </si>
  <si>
    <t>The writing is very clear.</t>
  </si>
  <si>
    <t>Bài viết rất rõ ràng.</t>
  </si>
  <si>
    <t>engage</t>
  </si>
  <si>
    <t>They engage in active sports.</t>
  </si>
  <si>
    <t>Họ tham gia các môn thể thao tích cực.</t>
  </si>
  <si>
    <t>publish</t>
  </si>
  <si>
    <t>They will publish the book soon.</t>
  </si>
  <si>
    <t>Họ sẽ sớm xuất bản cuốn sách này.</t>
  </si>
  <si>
    <t>latest</t>
  </si>
  <si>
    <t>mới nhất</t>
  </si>
  <si>
    <t>This is the latest news.</t>
  </si>
  <si>
    <t>Đây là tin tức mới nhất.</t>
  </si>
  <si>
    <t>estimate</t>
  </si>
  <si>
    <t>ước tính</t>
  </si>
  <si>
    <t>We estimate the cost now.</t>
  </si>
  <si>
    <t>Chúng tôi đang ước tính chi phí.</t>
  </si>
  <si>
    <t>short-term</t>
  </si>
  <si>
    <t>We need short-term solutions.</t>
  </si>
  <si>
    <t>Chúng tôi cần các giải pháp ngắn hạn.</t>
  </si>
  <si>
    <t>explore</t>
  </si>
  <si>
    <t>We want to explore nature.</t>
  </si>
  <si>
    <t>Chúng tôi muốn khám phá tự nhiên.</t>
  </si>
  <si>
    <t>observe</t>
  </si>
  <si>
    <t>We will observe the stars.</t>
  </si>
  <si>
    <t>Chúng ta sẽ quan sát các ngôi sao.</t>
  </si>
  <si>
    <t>mistake</t>
  </si>
  <si>
    <t>Do not make a mistake.</t>
  </si>
  <si>
    <t>Đừng phạm sai lầm.</t>
  </si>
  <si>
    <t>expense</t>
  </si>
  <si>
    <t>Do not worry about expense.</t>
  </si>
  <si>
    <t>Đừng lo lắng về chi phí.</t>
  </si>
  <si>
    <t>bowl</t>
  </si>
  <si>
    <t>Eat from this bowl.</t>
  </si>
  <si>
    <t>Hãy ăn từ cái bát này.</t>
  </si>
  <si>
    <t>accident</t>
  </si>
  <si>
    <t>He had a car accident.</t>
  </si>
  <si>
    <t>Anh ấy đã gặp tai nạn xe hơi.</t>
  </si>
  <si>
    <t>soul</t>
  </si>
  <si>
    <t>He has a kind soul.</t>
  </si>
  <si>
    <t>Anh ấy có một tâm hồn nhân hậu.</t>
  </si>
  <si>
    <t>nose</t>
  </si>
  <si>
    <t>cái mũi</t>
  </si>
  <si>
    <t>He has a small nose.</t>
  </si>
  <si>
    <t>Anh ấy có một chiếc mũi nhỏ.</t>
  </si>
  <si>
    <t>kid</t>
  </si>
  <si>
    <t>He is a happy kid.</t>
  </si>
  <si>
    <t>Đó là một đứa trẻ hạnh phúc.</t>
  </si>
  <si>
    <t>rich</t>
  </si>
  <si>
    <t>He is a very rich man.</t>
  </si>
  <si>
    <t>Anh ấy là một người đàn ông rất giàu có.</t>
  </si>
  <si>
    <t>instrument</t>
  </si>
  <si>
    <t>He plays a musical instrument.</t>
  </si>
  <si>
    <t>Anh ấy chơi một nhạc cụ.</t>
  </si>
  <si>
    <t>bush</t>
  </si>
  <si>
    <t>bụi cây</t>
  </si>
  <si>
    <t>Hide behind the bush.</t>
  </si>
  <si>
    <t>Hãy trốn sau bụi cây kia.</t>
  </si>
  <si>
    <t>behaviour</t>
  </si>
  <si>
    <t>His behaviour is quite strange.</t>
  </si>
  <si>
    <t>Hành vi của anh ấy khá lạ.</t>
  </si>
  <si>
    <t>attend</t>
  </si>
  <si>
    <t>tham dự</t>
  </si>
  <si>
    <t>I will attend the party.</t>
  </si>
  <si>
    <t>Tôi sẽ tham dự buổi tiệc.</t>
  </si>
  <si>
    <t>initially</t>
  </si>
  <si>
    <t>Initially, I did not know.</t>
  </si>
  <si>
    <t>Ban đầu, tôi đã không biết.</t>
  </si>
  <si>
    <t>consist</t>
  </si>
  <si>
    <t>It consists of parts.</t>
  </si>
  <si>
    <t>Nó bao gồm các bộ phận.</t>
  </si>
  <si>
    <t>classic</t>
  </si>
  <si>
    <t>It is a classic car.</t>
  </si>
  <si>
    <t>Đó là một chiếc xe cổ điển.</t>
  </si>
  <si>
    <t>nearly</t>
  </si>
  <si>
    <t>It is nearly finished now.</t>
  </si>
  <si>
    <t>Mọi thứ gần như đã hoàn thành.</t>
  </si>
  <si>
    <t>heavily</t>
  </si>
  <si>
    <t>nặng nề</t>
  </si>
  <si>
    <t>It is raining heavily now.</t>
  </si>
  <si>
    <t>Trời đang mưa rất to.</t>
  </si>
  <si>
    <t>worst</t>
  </si>
  <si>
    <t>tệ nhất</t>
  </si>
  <si>
    <t>It is the worst day.</t>
  </si>
  <si>
    <t>Đó là ngày tệ nhất.</t>
  </si>
  <si>
    <t>indeed</t>
  </si>
  <si>
    <t>It was indeed a shock.</t>
  </si>
  <si>
    <t>Đó thực sự là một cú sốc.</t>
  </si>
  <si>
    <t>originally</t>
  </si>
  <si>
    <t>It was originally a school.</t>
  </si>
  <si>
    <t>Nó ban đầu là một ngôi trường.</t>
  </si>
  <si>
    <t>coast</t>
  </si>
  <si>
    <t>Live by the coast.</t>
  </si>
  <si>
    <t>Hãy sống cạnh bờ biển.</t>
  </si>
  <si>
    <t>chart</t>
  </si>
  <si>
    <t>Look at the chart.</t>
  </si>
  <si>
    <t>Hãy nhìn vào biểu đồ.</t>
  </si>
  <si>
    <t>pattern</t>
  </si>
  <si>
    <t>Look at this beautiful pattern.</t>
  </si>
  <si>
    <t>Hãy nhìn vào họa tiết tuyệt đẹp này.</t>
  </si>
  <si>
    <t>photo</t>
  </si>
  <si>
    <t>bức ảnh</t>
  </si>
  <si>
    <t>Look at this cool photo.</t>
  </si>
  <si>
    <t>Hãy nhìn vào bức ảnh ngầu này.</t>
  </si>
  <si>
    <t>maintain</t>
  </si>
  <si>
    <t>Maintain your focus on work.</t>
  </si>
  <si>
    <t>Hãy duy trì sự tập trung vào công việc.</t>
  </si>
  <si>
    <t>greatly</t>
  </si>
  <si>
    <t>My life changed greatly.</t>
  </si>
  <si>
    <t>Cuộc sống của tôi đã thay đổi đáng kể.</t>
  </si>
  <si>
    <t>excuse</t>
  </si>
  <si>
    <t>tha lỗi</t>
  </si>
  <si>
    <t>Please excuse my late arrival.</t>
  </si>
  <si>
    <t>Xin hãy lượng thứ cho sự đến muộn của tôi.</t>
  </si>
  <si>
    <t>button</t>
  </si>
  <si>
    <t>cái nút</t>
  </si>
  <si>
    <t>Press the start button.</t>
  </si>
  <si>
    <t>Hãy nhấn nút khởi động.</t>
  </si>
  <si>
    <t>attitude</t>
  </si>
  <si>
    <t>She has a positive attitude.</t>
  </si>
  <si>
    <t>Cô ấy có một thái độ tích cực.</t>
  </si>
  <si>
    <t>intelligence</t>
  </si>
  <si>
    <t>She has very high intelligence.</t>
  </si>
  <si>
    <t>Cô ấy có trí tuệ rất cao.</t>
  </si>
  <si>
    <t>artist</t>
  </si>
  <si>
    <t>nghệ sĩ</t>
  </si>
  <si>
    <t>She is a great artist.</t>
  </si>
  <si>
    <t>Cô ấy là một nghệ sĩ tuyệt vời.</t>
  </si>
  <si>
    <t>incident</t>
  </si>
  <si>
    <t>vụ việc</t>
  </si>
  <si>
    <t>Tell me about the incident.</t>
  </si>
  <si>
    <t>Hãy kể cho tôi về vụ việc đó.</t>
  </si>
  <si>
    <t>engine</t>
  </si>
  <si>
    <t>The engine is very powerful.</t>
  </si>
  <si>
    <t>Động cơ rất mạnh mẽ.</t>
  </si>
  <si>
    <t>host</t>
  </si>
  <si>
    <t>The host greeted us warmly.</t>
  </si>
  <si>
    <t>Chủ nhà đã chào đón chúng tôi nồng nhiệt.</t>
  </si>
  <si>
    <t>lawyer</t>
  </si>
  <si>
    <t>luật sư</t>
  </si>
  <si>
    <t>The lawyer helps the client.</t>
  </si>
  <si>
    <t>Luật sư đang giúp đỡ thân chủ.</t>
  </si>
  <si>
    <t>broken</t>
  </si>
  <si>
    <t>The phone is broken.</t>
  </si>
  <si>
    <t>Chiếc điện thoại bị hỏng rồi.</t>
  </si>
  <si>
    <t>proposal</t>
  </si>
  <si>
    <t>They accepted our new proposal.</t>
  </si>
  <si>
    <t>Họ đã chấp nhận đề xuất mới của chúng tôi.</t>
  </si>
  <si>
    <t>capture</t>
  </si>
  <si>
    <t>They capture the moment.</t>
  </si>
  <si>
    <t>Họ ghi lại khoảnh khắc đó.</t>
  </si>
  <si>
    <t>bomb</t>
  </si>
  <si>
    <t>quả bom</t>
  </si>
  <si>
    <t>They found a bomb.</t>
  </si>
  <si>
    <t>Họ tìm thấy một quả bom.</t>
  </si>
  <si>
    <t>shore</t>
  </si>
  <si>
    <t>They walked along the shore.</t>
  </si>
  <si>
    <t>Họ đã đi bộ dọc theo bờ biển.</t>
  </si>
  <si>
    <t>factory</t>
  </si>
  <si>
    <t>They work in a factory.</t>
  </si>
  <si>
    <t>Họ làm việc trong một nhà máy.</t>
  </si>
  <si>
    <t>chemical</t>
  </si>
  <si>
    <t>This is chemical waste.</t>
  </si>
  <si>
    <t>Đây là chất thải hóa học.</t>
  </si>
  <si>
    <t>model</t>
  </si>
  <si>
    <t>This model is very efficient.</t>
  </si>
  <si>
    <t>Mô hình này rất hiệu quả.</t>
  </si>
  <si>
    <t>lesson</t>
  </si>
  <si>
    <t>We learn a new lesson.</t>
  </si>
  <si>
    <t>Chúng tôi đang học một bài học mới.</t>
  </si>
  <si>
    <t>expand</t>
  </si>
  <si>
    <t>We need to expand business.</t>
  </si>
  <si>
    <t>Chúng ta cần mở rộng kinh doanh.</t>
  </si>
  <si>
    <t>substantial</t>
  </si>
  <si>
    <t>We saw a substantial increase.</t>
  </si>
  <si>
    <t>Chúng tôi đã thấy một sự gia tăng đáng kể.</t>
  </si>
  <si>
    <t>theatre</t>
  </si>
  <si>
    <t>We went to the theatre.</t>
  </si>
  <si>
    <t>Chúng tôi đã đi đến nhà hát.</t>
  </si>
  <si>
    <t>actual</t>
  </si>
  <si>
    <t>What is the actual cost?</t>
  </si>
  <si>
    <t>Chi phí thực tế là bao nhiêu?</t>
  </si>
  <si>
    <t>requirement</t>
  </si>
  <si>
    <t>What is the main requirement today?</t>
  </si>
  <si>
    <t>Yêu cầu chính ngày hôm nay là gì?</t>
  </si>
  <si>
    <t>author</t>
  </si>
  <si>
    <t>Who is the famous author?</t>
  </si>
  <si>
    <t>Ai là tác giả nổi tiếng đó?</t>
  </si>
  <si>
    <t>rely</t>
  </si>
  <si>
    <t>You can rely on me now.</t>
  </si>
  <si>
    <t>Bạn có thể tin cậy vào tôi.</t>
  </si>
  <si>
    <t>confident</t>
  </si>
  <si>
    <t>tự tin</t>
  </si>
  <si>
    <t>Be confident in yourself.</t>
  </si>
  <si>
    <t>Hãy tự tin vào chính mình.</t>
  </si>
  <si>
    <t>enemy</t>
  </si>
  <si>
    <t>He has no enemy here.</t>
  </si>
  <si>
    <t>Anh ấy không có kẻ thù nào ở đây.</t>
  </si>
  <si>
    <t>lost</t>
  </si>
  <si>
    <t>bị lạc</t>
  </si>
  <si>
    <t>I am lost in city.</t>
  </si>
  <si>
    <t>Tôi đang bị lạc trong thành phố.</t>
  </si>
  <si>
    <t>recommend</t>
  </si>
  <si>
    <t>I recommend this book to you.</t>
  </si>
  <si>
    <t>Tôi khuyên bạn nên đọc cuốn sách này.</t>
  </si>
  <si>
    <t>internal</t>
  </si>
  <si>
    <t>It is an internal matter.</t>
  </si>
  <si>
    <t>Đó là một vấn đề nội bộ.</t>
  </si>
  <si>
    <t>incredibly</t>
  </si>
  <si>
    <t>She is incredibly smart today.</t>
  </si>
  <si>
    <t>Cô ấy hôm nay cực kỳ thông minh.</t>
  </si>
  <si>
    <t>exam</t>
  </si>
  <si>
    <t>She passed the final exam.</t>
  </si>
  <si>
    <t>Cô ấy đã vượt qua kỳ thi cuối cùng.</t>
  </si>
  <si>
    <t>tiny</t>
  </si>
  <si>
    <t>nhỏ bé</t>
  </si>
  <si>
    <t>She saw a tiny insect.</t>
  </si>
  <si>
    <t>Cô ấy đã thấy một con côn trùng nhỏ bé.</t>
  </si>
  <si>
    <t>beauty</t>
  </si>
  <si>
    <t>She values inner beauty now.</t>
  </si>
  <si>
    <t>Cô ấy đang trân trọng vẻ đẹp nội tâm.</t>
  </si>
  <si>
    <t>affair</t>
  </si>
  <si>
    <t>That is my private affair.</t>
  </si>
  <si>
    <t>Đó là vấn đề riêng tư của tôi.</t>
  </si>
  <si>
    <t>commission</t>
  </si>
  <si>
    <t>The commission meets today.</t>
  </si>
  <si>
    <t>Ủy ban họp vào hôm nay.</t>
  </si>
  <si>
    <t>guard</t>
  </si>
  <si>
    <t>The guard stood at door.</t>
  </si>
  <si>
    <t>Người bảo vệ đứng ở cửa.</t>
  </si>
  <si>
    <t>lady</t>
  </si>
  <si>
    <t>The lady is very polite.</t>
  </si>
  <si>
    <t>Quý bà đó rất lịch sự.</t>
  </si>
  <si>
    <t>shock</t>
  </si>
  <si>
    <t>cú sốc</t>
  </si>
  <si>
    <t>The news was a shock.</t>
  </si>
  <si>
    <t>Tin tức đó là một cú sốc.</t>
  </si>
  <si>
    <t>scale</t>
  </si>
  <si>
    <t>The project has a large scale.</t>
  </si>
  <si>
    <t>Dự án có quy mô rất lớn.</t>
  </si>
  <si>
    <t>enormous</t>
  </si>
  <si>
    <t>The task is an enormous challenge.</t>
  </si>
  <si>
    <t>Nhiệm vụ này là một thử thách to lớn.</t>
  </si>
  <si>
    <t>worse</t>
  </si>
  <si>
    <t>tệ hơn</t>
  </si>
  <si>
    <t>The weather is worse today.</t>
  </si>
  <si>
    <t>Thời tiết tệ hơn hôm nay.</t>
  </si>
  <si>
    <t>implication</t>
  </si>
  <si>
    <t>hệ quả</t>
  </si>
  <si>
    <t>Think about the future implications.</t>
  </si>
  <si>
    <t>Hãy suy nghĩ về các hệ quả trong tương lai.</t>
  </si>
  <si>
    <t>khí ga</t>
  </si>
  <si>
    <t>Turn off the gas now.</t>
  </si>
  <si>
    <t>Hãy tắt khí ga ngay.</t>
  </si>
  <si>
    <t>extent</t>
  </si>
  <si>
    <t>We know the extent now.</t>
  </si>
  <si>
    <t>Chúng ta đã biết mức độ rồi.</t>
  </si>
  <si>
    <t>tuesday</t>
  </si>
  <si>
    <t>We work on every Tuesday.</t>
  </si>
  <si>
    <t>Chúng tôi làm việc vào mỗi thứ Ba.</t>
  </si>
  <si>
    <t>location</t>
  </si>
  <si>
    <t>What is your current location?</t>
  </si>
  <si>
    <t>Vị trí hiện tại của bạn là gì?</t>
  </si>
  <si>
    <t>sequence</t>
  </si>
  <si>
    <t>Follow the correct sequence here.</t>
  </si>
  <si>
    <t>Hãy làm theo trình tự đúng ở đây.</t>
  </si>
  <si>
    <t>egg</t>
  </si>
  <si>
    <t>I eat an egg for breakfast.</t>
  </si>
  <si>
    <t>Tôi ăn một quả trứng cho bữa sáng.</t>
  </si>
  <si>
    <t>prior</t>
  </si>
  <si>
    <t>I have a prior commitment today.</t>
  </si>
  <si>
    <t>Tôi có một cam kết từ trước hôm nay.</t>
  </si>
  <si>
    <t>mouth</t>
  </si>
  <si>
    <t>Open your mouth wide now.</t>
  </si>
  <si>
    <t>Hãy mở miệng rộng ra.</t>
  </si>
  <si>
    <t>previous</t>
  </si>
  <si>
    <t>Read the previous page, please.</t>
  </si>
  <si>
    <t>Vui lòng đọc trang trước.</t>
  </si>
  <si>
    <t>engineer</t>
  </si>
  <si>
    <t>She is a software engineer.</t>
  </si>
  <si>
    <t>Cô ấy là một kỹ sư phần mềm.</t>
  </si>
  <si>
    <t>drug</t>
  </si>
  <si>
    <t>Take the prescribed drug.</t>
  </si>
  <si>
    <t>Hãy uống loại thuốc được kê đơn.</t>
  </si>
  <si>
    <t>chief</t>
  </si>
  <si>
    <t>The chief reason is money.</t>
  </si>
  <si>
    <t>Lý do chính là tiền bạc.</t>
  </si>
  <si>
    <t>warm</t>
  </si>
  <si>
    <t>The weather is very warm.</t>
  </si>
  <si>
    <t>Thời tiết rất ấm áp.</t>
  </si>
  <si>
    <t>housing</t>
  </si>
  <si>
    <t>They provide affordable housing now.</t>
  </si>
  <si>
    <t>Họ đang cung cấp nhà ở giá cả phải chăng.</t>
  </si>
  <si>
    <t>prime</t>
  </si>
  <si>
    <t>This is a prime example of art.</t>
  </si>
  <si>
    <t>Đây là ví dụ điển hình về nghệ thuật.</t>
  </si>
  <si>
    <t>facility</t>
  </si>
  <si>
    <t>We have a new facility.</t>
  </si>
  <si>
    <t>Chúng tôi có một cơ sở mới.</t>
  </si>
  <si>
    <t>imply</t>
  </si>
  <si>
    <t>ngụ ý</t>
  </si>
  <si>
    <t>What do you imply here?</t>
  </si>
  <si>
    <t>Bạn đang ngụ ý điều gì tại đây?</t>
  </si>
  <si>
    <t>smell</t>
  </si>
  <si>
    <t>Can you smell the food?</t>
  </si>
  <si>
    <t>Bạn có ngửi thấy mùi thức ăn không?</t>
  </si>
  <si>
    <t>circuit</t>
  </si>
  <si>
    <t>Check the electric circuit.</t>
  </si>
  <si>
    <t>Hãy kiểm tra mạch điện đó.</t>
  </si>
  <si>
    <t>fresh</t>
  </si>
  <si>
    <t>Eat fresh fruit every day.</t>
  </si>
  <si>
    <t>Hãy ăn trái cây tươi mỗi ngày.</t>
  </si>
  <si>
    <t>command</t>
  </si>
  <si>
    <t>lệnh</t>
  </si>
  <si>
    <t>Follow my command now.</t>
  </si>
  <si>
    <t>Hãy tuân theo lệnh của tôi.</t>
  </si>
  <si>
    <t>breast</t>
  </si>
  <si>
    <t>He felt chest pain.</t>
  </si>
  <si>
    <t>Anh ấy cảm thấy đau ngực.</t>
  </si>
  <si>
    <t>chest</t>
  </si>
  <si>
    <t>He has a big chest.</t>
  </si>
  <si>
    <t>Anh ấy có khuôn ngực lớn.</t>
  </si>
  <si>
    <t>movie</t>
  </si>
  <si>
    <t>I watched a good movie.</t>
  </si>
  <si>
    <t>sweet</t>
  </si>
  <si>
    <t>The candy is very sweet.</t>
  </si>
  <si>
    <t>Viên kẹo rất ngọt.</t>
  </si>
  <si>
    <t>wide</t>
  </si>
  <si>
    <t>The door is very wide.</t>
  </si>
  <si>
    <t>Cánh cửa rất rộng.</t>
  </si>
  <si>
    <t>electricity</t>
  </si>
  <si>
    <t>The electricity went out suddenly.</t>
  </si>
  <si>
    <t>Điện bị mất đột ngột.</t>
  </si>
  <si>
    <t>employ</t>
  </si>
  <si>
    <t>They employ many skilled workers.</t>
  </si>
  <si>
    <t>Họ thuê nhiều công nhân lành nghề.</t>
  </si>
  <si>
    <t>camp</t>
  </si>
  <si>
    <t>trại</t>
  </si>
  <si>
    <t>They set up a camp.</t>
  </si>
  <si>
    <t>Họ dựng một khu trại.</t>
  </si>
  <si>
    <t>wish</t>
  </si>
  <si>
    <t>ước</t>
  </si>
  <si>
    <t>I wish to visit Japan soon.</t>
  </si>
  <si>
    <t>Tôi ước sớm được thăm Nhật Bản.</t>
  </si>
  <si>
    <t>cable</t>
  </si>
  <si>
    <t>cáp</t>
  </si>
  <si>
    <t>Connect the power cable.</t>
  </si>
  <si>
    <t>Hãy kết nối dây cáp nguồn.</t>
  </si>
  <si>
    <t>shout</t>
  </si>
  <si>
    <t>Do not shout at him.</t>
  </si>
  <si>
    <t>Đừng hét vào mặt anh ấy.</t>
  </si>
  <si>
    <t>former</t>
  </si>
  <si>
    <t>cựu</t>
  </si>
  <si>
    <t>He is a former leader.</t>
  </si>
  <si>
    <t>Anh ấy là một cựu lãnh đạo.</t>
  </si>
  <si>
    <t>hey</t>
  </si>
  <si>
    <t>Hey, look at that bird!</t>
  </si>
  <si>
    <t>Này, hãy nhìn con chim đó kìa!</t>
  </si>
  <si>
    <t>pair</t>
  </si>
  <si>
    <t>I bought a pair today.</t>
  </si>
  <si>
    <t>Tôi đã mua một đôi hôm nay.</t>
  </si>
  <si>
    <t>pretty</t>
  </si>
  <si>
    <t>It is pretty good today.</t>
  </si>
  <si>
    <t>Hôm nay khá tốt.</t>
  </si>
  <si>
    <t>mark</t>
  </si>
  <si>
    <t>dấu</t>
  </si>
  <si>
    <t>Leave a mark here please.</t>
  </si>
  <si>
    <t>Làm ơn hãy để lại một dấu ở đây.</t>
  </si>
  <si>
    <t>invite</t>
  </si>
  <si>
    <t>Please invite them to party.</t>
  </si>
  <si>
    <t>Làm ơn hãy mời họ đến bữa tiệc.</t>
  </si>
  <si>
    <t>roll</t>
  </si>
  <si>
    <t>Please roll the ball to me.</t>
  </si>
  <si>
    <t>Làm ơn lăn quả bóng đến cho tôi.</t>
  </si>
  <si>
    <t>sing</t>
  </si>
  <si>
    <t>She can sing very well.</t>
  </si>
  <si>
    <t>Cô ấy có thể hát rất hay.</t>
  </si>
  <si>
    <t>submit</t>
  </si>
  <si>
    <t>Submit your report to me.</t>
  </si>
  <si>
    <t>Hãy nộp báo cáo của bạn cho tôi.</t>
  </si>
  <si>
    <t>column</t>
  </si>
  <si>
    <t>The column is strong.</t>
  </si>
  <si>
    <t>Cái cột này rất chắc chắn.</t>
  </si>
  <si>
    <t>grey</t>
  </si>
  <si>
    <t>xám</t>
  </si>
  <si>
    <t>The sky is turning grey.</t>
  </si>
  <si>
    <t>Bầu trời đang chuyển sang màu xám.</t>
  </si>
  <si>
    <t>cast</t>
  </si>
  <si>
    <t>đúc</t>
  </si>
  <si>
    <t>They cast the metal.</t>
  </si>
  <si>
    <t>Họ đúc miếng kim loại đó.</t>
  </si>
  <si>
    <t>sick</t>
  </si>
  <si>
    <t>ốm</t>
  </si>
  <si>
    <t>He felt sick this morning.</t>
  </si>
  <si>
    <t>Anh ấy cảm thấy ốm sáng nay.</t>
  </si>
  <si>
    <t>chicken</t>
  </si>
  <si>
    <t>gà</t>
  </si>
  <si>
    <t>I eat fried chicken.</t>
  </si>
  <si>
    <t>Tôi ăn món gà rán.</t>
  </si>
  <si>
    <t>fish</t>
  </si>
  <si>
    <t>I like eating fresh fish.</t>
  </si>
  <si>
    <t>Tôi thích ăn cá tươi.</t>
  </si>
  <si>
    <t>ice</t>
  </si>
  <si>
    <t>Put some ice in drinks.</t>
  </si>
  <si>
    <t>Hãy cho một ít đá vào đồ uống.</t>
  </si>
  <si>
    <t>female</t>
  </si>
  <si>
    <t>nữ</t>
  </si>
  <si>
    <t>She is a female doctor.</t>
  </si>
  <si>
    <t>Cô ấy là một nữ bác sĩ.</t>
  </si>
  <si>
    <t>hat</t>
  </si>
  <si>
    <t>She wears a blue hat.</t>
  </si>
  <si>
    <t>Cô ấy đội một chiếc mũ màu xanh.</t>
  </si>
  <si>
    <t>shell</t>
  </si>
  <si>
    <t>The egg shell is broken.</t>
  </si>
  <si>
    <t>Vỏ trứng đã bị vỡ.</t>
  </si>
  <si>
    <t>grass</t>
  </si>
  <si>
    <t>The grass is very green.</t>
  </si>
  <si>
    <t>Cỏ rất xanh.</t>
  </si>
  <si>
    <t>rock</t>
  </si>
  <si>
    <t>The rock is very hard now.</t>
  </si>
  <si>
    <t>sufficient</t>
  </si>
  <si>
    <t>We have sufficient food here.</t>
  </si>
  <si>
    <t>Chúng tôi có đủ thực phẩm ở đây.</t>
  </si>
  <si>
    <t>display</t>
  </si>
  <si>
    <t>Display the new items.</t>
  </si>
  <si>
    <t>Hãy trưng bày các mặt hàng mới.</t>
  </si>
  <si>
    <t>cry</t>
  </si>
  <si>
    <t>The baby started to cry.</t>
  </si>
  <si>
    <t>Đứa bé bắt đầu khóc.</t>
  </si>
  <si>
    <t>corporate</t>
  </si>
  <si>
    <t>thuộc doanh nghiệp</t>
  </si>
  <si>
    <t>A corporate office building.</t>
  </si>
  <si>
    <t>Một tòa nhà văn phòng doanh nghiệp.</t>
  </si>
  <si>
    <t>debate</t>
  </si>
  <si>
    <t>cuộc tranh luận</t>
  </si>
  <si>
    <t>Join the public debate.</t>
  </si>
  <si>
    <t>Hãy tham gia cuộc tranh luận công khai.</t>
  </si>
  <si>
    <t>earn</t>
  </si>
  <si>
    <t>kiếm được</t>
  </si>
  <si>
    <t>Earn a good salary.</t>
  </si>
  <si>
    <t>Hãy kiếm một mức lương tốt.</t>
  </si>
  <si>
    <t>gentle</t>
  </si>
  <si>
    <t>He has a gentle voice.</t>
  </si>
  <si>
    <t>Anh ấy có một giọng nói nhẹ nhàng.</t>
  </si>
  <si>
    <t>guarantee</t>
  </si>
  <si>
    <t>I guarantee you will like it.</t>
  </si>
  <si>
    <t>Tôi đảm bảo bạn sẽ thích nó.</t>
  </si>
  <si>
    <t>transfer</t>
  </si>
  <si>
    <t>They transfer money by app.</t>
  </si>
  <si>
    <t>Họ chuyển tiền bằng ứng dụng.</t>
  </si>
  <si>
    <t>ticket</t>
  </si>
  <si>
    <t>I bought a bus ticket.</t>
  </si>
  <si>
    <t>Tôi đã mua một chiếc vé xe buýt.</t>
  </si>
  <si>
    <t>digital</t>
  </si>
  <si>
    <t>kỹ thuật số</t>
  </si>
  <si>
    <t>The world is digital.</t>
  </si>
  <si>
    <t>Thế giới là kỹ thuật số.</t>
  </si>
  <si>
    <t>cross</t>
  </si>
  <si>
    <t>Cross the busy road.</t>
  </si>
  <si>
    <t>Hãy băng qua con đường đông đúc.</t>
  </si>
  <si>
    <t>critical</t>
  </si>
  <si>
    <t>mang tính phê bình</t>
  </si>
  <si>
    <t>A critical analysis report.</t>
  </si>
  <si>
    <t>Một báo cáo phân tích mang tính phê bình.</t>
  </si>
  <si>
    <t>tear</t>
  </si>
  <si>
    <t>giọt nước mắt</t>
  </si>
  <si>
    <t>A tear fell from her eye.</t>
  </si>
  <si>
    <t>Một giọt nước mắt rơi từ mắt cô ấy.</t>
  </si>
  <si>
    <t>democracy</t>
  </si>
  <si>
    <t>nền dân chủ</t>
  </si>
  <si>
    <t>Support the local democracy.</t>
  </si>
  <si>
    <t>Ủng hộ nền dân chủ địa phương.</t>
  </si>
  <si>
    <t>glad</t>
  </si>
  <si>
    <t>I am glad you came.</t>
  </si>
  <si>
    <t>Tôi rất vui bạn đã đến.</t>
  </si>
  <si>
    <t>ear</t>
  </si>
  <si>
    <t>Listen with your ear.</t>
  </si>
  <si>
    <t>Hãy lắng nghe bằng tai của bạn.</t>
  </si>
  <si>
    <t>distance</t>
  </si>
  <si>
    <t>A short travel distance.</t>
  </si>
  <si>
    <t>Một khoảng cách di chuyển ngắn.</t>
  </si>
  <si>
    <t>dance</t>
  </si>
  <si>
    <t>Learn a new dance.</t>
  </si>
  <si>
    <t>Hãy học một điệu nhảy mới.</t>
  </si>
  <si>
    <t>gaze</t>
  </si>
  <si>
    <t>cái nhìn chằm chằm</t>
  </si>
  <si>
    <t>He had a steady gaze.</t>
  </si>
  <si>
    <t>Anh ấy có một cái nhìn chằm chằm ổn định.</t>
  </si>
  <si>
    <t>easily</t>
  </si>
  <si>
    <t>một cách dễ dàng</t>
  </si>
  <si>
    <t>Win the game easily.</t>
  </si>
  <si>
    <t>Hãy thắng trò chơi một cách dễ dàng.</t>
  </si>
  <si>
    <t>visitor</t>
  </si>
  <si>
    <t>khách tham quan</t>
  </si>
  <si>
    <t>The visitor enjoyed the tour.</t>
  </si>
  <si>
    <t>Khách tham quan đã thích chuyến tham quan.</t>
  </si>
  <si>
    <t>typically</t>
  </si>
  <si>
    <t>We typically meet at noon.</t>
  </si>
  <si>
    <t>Chúng tôi thông thường gặp nhau vào buổi trưa.</t>
  </si>
  <si>
    <t>convince</t>
  </si>
  <si>
    <t>Convince them to join.</t>
  </si>
  <si>
    <t>Hãy thuyết phục họ tham gia.</t>
  </si>
  <si>
    <t>symptom</t>
  </si>
  <si>
    <t>The symptom is very clear.</t>
  </si>
  <si>
    <t>Triệu chứng rất rõ ràng.</t>
  </si>
  <si>
    <t>vehicle</t>
  </si>
  <si>
    <t>The vehicle stopped right there.</t>
  </si>
  <si>
    <t>Phương tiện đã dừng ngay ở đó.</t>
  </si>
  <si>
    <t>tone</t>
  </si>
  <si>
    <t>giọng điệu</t>
  </si>
  <si>
    <t>His tone was very serious.</t>
  </si>
  <si>
    <t>Giọng điệu của anh ấy rất nghiêm túc.</t>
  </si>
  <si>
    <t>unable</t>
  </si>
  <si>
    <t>He was unable to work.</t>
  </si>
  <si>
    <t>Anh ấy đã không thể làm việc.</t>
  </si>
  <si>
    <t>victim</t>
  </si>
  <si>
    <t>nạn nhân</t>
  </si>
  <si>
    <t>She is the main victim.</t>
  </si>
  <si>
    <t>Cô ấy là nạn nhân chính.</t>
  </si>
  <si>
    <t>wave</t>
  </si>
  <si>
    <t>con sóng</t>
  </si>
  <si>
    <t>The wave was very high.</t>
  </si>
  <si>
    <t>Con sóng rất cao.</t>
  </si>
  <si>
    <t>jacket</t>
  </si>
  <si>
    <t>Wear your jacket outside.</t>
  </si>
  <si>
    <t>Hãy mặc áo khoác khi ra ngoài.</t>
  </si>
  <si>
    <t>unique</t>
  </si>
  <si>
    <t>This design is truly unique.</t>
  </si>
  <si>
    <t>Thiết kế này thực sự độc đáo.</t>
  </si>
  <si>
    <t>destroy</t>
  </si>
  <si>
    <t>Destroy the old building.</t>
  </si>
  <si>
    <t>Hãy phá hủy tòa nhà cũ.</t>
  </si>
  <si>
    <t>govern</t>
  </si>
  <si>
    <t>Laws govern our society.</t>
  </si>
  <si>
    <t>Pháp luật quản lý xã hội của chúng ta.</t>
  </si>
  <si>
    <t>gradually</t>
  </si>
  <si>
    <t>The weather improved gradually.</t>
  </si>
  <si>
    <t>Thời tiết đã cải thiện dần dần.</t>
  </si>
  <si>
    <t>thursday</t>
  </si>
  <si>
    <t>We meet every Thursday morning.</t>
  </si>
  <si>
    <t>Chúng tôi gặp nhau mỗi sáng thứ Năm.</t>
  </si>
  <si>
    <t>threaten</t>
  </si>
  <si>
    <t>They threatened to leave home.</t>
  </si>
  <si>
    <t>Họ đã đe dọa bỏ nhà đi.</t>
  </si>
  <si>
    <t>wednesday</t>
  </si>
  <si>
    <t>We meet on every Wednesday.</t>
  </si>
  <si>
    <t>Chúng tôi gặp nhau vào mỗi thứ Tư.</t>
  </si>
  <si>
    <t>tie</t>
  </si>
  <si>
    <t>Please tie your shoelaces now.</t>
  </si>
  <si>
    <t>Làm ơn hãy buộc dây giày của bạn.</t>
  </si>
  <si>
    <t>tip</t>
  </si>
  <si>
    <t>mẹo</t>
  </si>
  <si>
    <t>Here is a useful tip.</t>
  </si>
  <si>
    <t>Đây là một mẹo hữu ích.</t>
  </si>
  <si>
    <t>thick</t>
  </si>
  <si>
    <t>The book is very thick.</t>
  </si>
  <si>
    <t>Cuốn sách rất dày.</t>
  </si>
  <si>
    <t>knock</t>
  </si>
  <si>
    <t>gõ</t>
  </si>
  <si>
    <t>Please knock on the door.</t>
  </si>
  <si>
    <t>Làm ơn hãy gõ cửa.</t>
  </si>
  <si>
    <t>divide</t>
  </si>
  <si>
    <t>Divide the total amount.</t>
  </si>
  <si>
    <t>Hãy chia tổng số lượng.</t>
  </si>
  <si>
    <t>dad</t>
  </si>
  <si>
    <t>My dad is here.</t>
  </si>
  <si>
    <t>Bố tôi đang ở đây.</t>
  </si>
  <si>
    <t>tension</t>
  </si>
  <si>
    <t>The tension in class increased.</t>
  </si>
  <si>
    <t>Sự căng thẳng trong lớp đã tăng lên.</t>
  </si>
  <si>
    <t>telephone</t>
  </si>
  <si>
    <t>He answered the telephone quickly.</t>
  </si>
  <si>
    <t>Anh ấy đã trả lời điện thoại nhanh chóng.</t>
  </si>
  <si>
    <t>governor</t>
  </si>
  <si>
    <t>thống đốc</t>
  </si>
  <si>
    <t>The governor gave a speech.</t>
  </si>
  <si>
    <t>Thống đốc đã có bài phát biểu.</t>
  </si>
  <si>
    <t>duty</t>
  </si>
  <si>
    <t>Perform your daily duty.</t>
  </si>
  <si>
    <t>Hãy thực hiện nhiệm vụ hằng ngày của bạn.</t>
  </si>
  <si>
    <t>cook</t>
  </si>
  <si>
    <t>nấu ăn</t>
  </si>
  <si>
    <t>Cook dinner for everyone.</t>
  </si>
  <si>
    <t>Hãy nấu bữa tối cho mọi người.</t>
  </si>
  <si>
    <t>defend</t>
  </si>
  <si>
    <t>Defend your own rights.</t>
  </si>
  <si>
    <t>Hãy bảo vệ quyền lợi của chính bạn.</t>
  </si>
  <si>
    <t>eastern</t>
  </si>
  <si>
    <t>thuộc phía đông</t>
  </si>
  <si>
    <t>The eastern part today.</t>
  </si>
  <si>
    <t>Phần phía đông của hôm nay.</t>
  </si>
  <si>
    <t>disappear</t>
  </si>
  <si>
    <t>The sun will disappear.</t>
  </si>
  <si>
    <t>Mặt trời sẽ biến mất.</t>
  </si>
  <si>
    <t>crucial</t>
  </si>
  <si>
    <t>cốt yếu</t>
  </si>
  <si>
    <t>A crucial business decision.</t>
  </si>
  <si>
    <t>Một quyết định kinh doanh cốt yếu.</t>
  </si>
  <si>
    <t>graduate</t>
  </si>
  <si>
    <t>sinh viên tốt nghiệp</t>
  </si>
  <si>
    <t>He is a recent graduate.</t>
  </si>
  <si>
    <t>Anh ấy là sinh viên mới tốt nghiệp.</t>
  </si>
  <si>
    <t>strictly</t>
  </si>
  <si>
    <t>một cách nghiêm ngặt</t>
  </si>
  <si>
    <t>It is strictly forbidden now.</t>
  </si>
  <si>
    <t>Nó bị cấm một cách nghiêm ngặt.</t>
  </si>
  <si>
    <t>rapidly</t>
  </si>
  <si>
    <t>Technology is changing very rapidly now.</t>
  </si>
  <si>
    <t>Công nghệ đang thay đổi một cách nhanh chóng.</t>
  </si>
  <si>
    <t>competitor</t>
  </si>
  <si>
    <t>đối thủ cạnh tranh</t>
  </si>
  <si>
    <t>Beat the main competitor.</t>
  </si>
  <si>
    <t>Hãy đánh bại đối thủ cạnh tranh chính.</t>
  </si>
  <si>
    <t>relatively</t>
  </si>
  <si>
    <t>một cách tương đối</t>
  </si>
  <si>
    <t>The test was relatively easy today.</t>
  </si>
  <si>
    <t>Bài kiểm tra hôm nay tương đối dễ.</t>
  </si>
  <si>
    <t>fellow</t>
  </si>
  <si>
    <t>người đồng nghiệp</t>
  </si>
  <si>
    <t>He is my fellow worker.</t>
  </si>
  <si>
    <t>Anh ấy là người đồng nghiệp của tôi.</t>
  </si>
  <si>
    <t>briefly</t>
  </si>
  <si>
    <t>một cách ngắn gọn</t>
  </si>
  <si>
    <t>He spoke briefly about it.</t>
  </si>
  <si>
    <t>Anh ấy đã nói ngắn gọn về việc đó.</t>
  </si>
  <si>
    <t>quietly</t>
  </si>
  <si>
    <t>một cách yên tĩnh</t>
  </si>
  <si>
    <t>She sat quietly in the room.</t>
  </si>
  <si>
    <t>Cô ấy đã ngồi yên tĩnh trong phòng.</t>
  </si>
  <si>
    <t>leadership</t>
  </si>
  <si>
    <t>kỹ năng lãnh đạo</t>
  </si>
  <si>
    <t>He has strong leadership skills.</t>
  </si>
  <si>
    <t>Anh ấy có kỹ năng lãnh đạo mạnh mẽ.</t>
  </si>
  <si>
    <t>making</t>
  </si>
  <si>
    <t>quá trình tạo ra</t>
  </si>
  <si>
    <t>The making takes much time.</t>
  </si>
  <si>
    <t>Quá trình tạo ra mất nhiều thời gian.</t>
  </si>
  <si>
    <t>statistic</t>
  </si>
  <si>
    <t>số liệu thống kê</t>
  </si>
  <si>
    <t>The statistic shows a rise.</t>
  </si>
  <si>
    <t>Số liệu thống kê cho thấy một sự gia tăng.</t>
  </si>
  <si>
    <t>finding</t>
  </si>
  <si>
    <t>kết quả tìm kiếm</t>
  </si>
  <si>
    <t>These are the new finding.</t>
  </si>
  <si>
    <t>Đây là các kết quả tìm kiếm mới.</t>
  </si>
  <si>
    <t>inspire</t>
  </si>
  <si>
    <t>truyền cảm hứng</t>
  </si>
  <si>
    <t>Her words inspired the team.</t>
  </si>
  <si>
    <t>Những lời của cô ấy đã truyền cảm hứng cho nhóm.</t>
  </si>
  <si>
    <t>saving</t>
  </si>
  <si>
    <t>khoản tiết kiệm</t>
  </si>
  <si>
    <t>She put her small saving away.</t>
  </si>
  <si>
    <t>Cô ấy đã cất khoản tiết kiệm nhỏ của mình đi.</t>
  </si>
  <si>
    <t>percentage</t>
  </si>
  <si>
    <t>tỷ lệ phần trăm</t>
  </si>
  <si>
    <t>What is the correct percentage?</t>
  </si>
  <si>
    <t>Tỷ lệ phần trăm chính xác là bao nhiêu?</t>
  </si>
  <si>
    <t>electric</t>
  </si>
  <si>
    <t>chạy bằng điện</t>
  </si>
  <si>
    <t>He drives an electric car.</t>
  </si>
  <si>
    <t>Anh ấy lái một chiếc xe điện.</t>
  </si>
  <si>
    <t>religious</t>
  </si>
  <si>
    <t>thuộc tôn giáo</t>
  </si>
  <si>
    <t>He is a very religious person.</t>
  </si>
  <si>
    <t>Anh ấy là một người rất sùng đạo.</t>
  </si>
  <si>
    <t>november</t>
  </si>
  <si>
    <t>tháng mười một</t>
  </si>
  <si>
    <t>My birthday is in November.</t>
  </si>
  <si>
    <t>Sinh nhật của tôi vào tháng mười một.</t>
  </si>
  <si>
    <t>representative</t>
  </si>
  <si>
    <t>người đại diện</t>
  </si>
  <si>
    <t>Our representative will call you soon.</t>
  </si>
  <si>
    <t>Người đại diện của chúng tôi sẽ gọi cho bạn sớm.</t>
  </si>
  <si>
    <t>protest</t>
  </si>
  <si>
    <t>cuộc biểu tình</t>
  </si>
  <si>
    <t>The protest lasted for three days.</t>
  </si>
  <si>
    <t>Cuộc biểu tình kéo dài trong ba ngày.</t>
  </si>
  <si>
    <t>surprising</t>
  </si>
  <si>
    <t>gây ngạc nhiên</t>
  </si>
  <si>
    <t>The result is very surprising.</t>
  </si>
  <si>
    <t>Kết quả rất gây ngạc nhiên.</t>
  </si>
  <si>
    <t>senator</t>
  </si>
  <si>
    <t>thượng nghị sĩ</t>
  </si>
  <si>
    <t>The senator delivered a speech.</t>
  </si>
  <si>
    <t>Thượng nghị sĩ đã có bài phát biểu.</t>
  </si>
  <si>
    <t>scientific</t>
  </si>
  <si>
    <t>thuộc khoa học</t>
  </si>
  <si>
    <t>This is a scientific fact today.</t>
  </si>
  <si>
    <t>Đây là một sự thật khoa học.</t>
  </si>
  <si>
    <t>unfortunately</t>
  </si>
  <si>
    <t>không may thay</t>
  </si>
  <si>
    <t>Unfortunately, I forgot my keys.</t>
  </si>
  <si>
    <t>Không may thay, tôi đã quên chìa khóa.</t>
  </si>
  <si>
    <t>aids</t>
  </si>
  <si>
    <t>căn bệnh aids</t>
  </si>
  <si>
    <t>AIDS is a serious disease.</t>
  </si>
  <si>
    <t>AIDS là một căn bệnh nghiêm trọng.</t>
  </si>
  <si>
    <t>recommendation</t>
  </si>
  <si>
    <t>Do you have any good recommendation?</t>
  </si>
  <si>
    <t>Bạn có gợi ý nào hay không?</t>
  </si>
  <si>
    <t>promotion</t>
  </si>
  <si>
    <t>sự thăng tiến</t>
  </si>
  <si>
    <t>He earned a quick promotion recently.</t>
  </si>
  <si>
    <t>Anh ấy vừa giành được sự thăng tiến nhanh chóng.</t>
  </si>
  <si>
    <t>excitement</t>
  </si>
  <si>
    <t>sự phấn khích</t>
  </si>
  <si>
    <t>The excitement was very high.</t>
  </si>
  <si>
    <t>Sự phấn khích rất cao.</t>
  </si>
  <si>
    <t>implementation</t>
  </si>
  <si>
    <t>sự triển khai</t>
  </si>
  <si>
    <t>The implementation takes some time.</t>
  </si>
  <si>
    <t>Sự triển khai tốn một chút thời gian.</t>
  </si>
  <si>
    <t>expected</t>
  </si>
  <si>
    <t>được mong đợi</t>
  </si>
  <si>
    <t>The result was expected today.</t>
  </si>
  <si>
    <t>Kết quả đã được mong đợi hôm nay.</t>
  </si>
  <si>
    <t>structural</t>
  </si>
  <si>
    <t>thuộc kết cấu</t>
  </si>
  <si>
    <t>The structural damage is bad.</t>
  </si>
  <si>
    <t>Hư hại về kết cấu rất tệ.</t>
  </si>
  <si>
    <t>prepared</t>
  </si>
  <si>
    <t>They are well prepared now.</t>
  </si>
  <si>
    <t>Họ đã được chuẩn bị kỹ lưỡng.</t>
  </si>
  <si>
    <t>transportation</t>
  </si>
  <si>
    <t>They improved the transportation system.</t>
  </si>
  <si>
    <t>Họ đã cải thiện hệ thống vận chuyển.</t>
  </si>
  <si>
    <t>infrastructure</t>
  </si>
  <si>
    <t>cơ sở hạ tầng</t>
  </si>
  <si>
    <t>They upgraded the city infrastructure.</t>
  </si>
  <si>
    <t>Họ đã nâng cấp cơ sở hạ tầng thành phố.</t>
  </si>
  <si>
    <t>interpretation</t>
  </si>
  <si>
    <t>sự thông dịch</t>
  </si>
  <si>
    <t>Your interpretation is totally correct.</t>
  </si>
  <si>
    <t>Sự thông dịch của bạn hoàn toàn chính xác.</t>
  </si>
  <si>
    <t>confuse</t>
  </si>
  <si>
    <t>Don't confuse me now.</t>
  </si>
  <si>
    <t>Đừng làm tôi nhầm lẫn nhé.</t>
  </si>
  <si>
    <t>delivery</t>
  </si>
  <si>
    <t>sự giao hàng</t>
  </si>
  <si>
    <t>Fast food delivery service.</t>
  </si>
  <si>
    <t>Dịch vụ giao hàng thức ăn nhanh.</t>
  </si>
  <si>
    <t>relevant</t>
  </si>
  <si>
    <t>Give me all relevant documents now.</t>
  </si>
  <si>
    <t>Hãy đưa cho tôi mọi tài liệu liên quan.</t>
  </si>
  <si>
    <t>fan</t>
  </si>
  <si>
    <t>He has many loyal fan.</t>
  </si>
  <si>
    <t>Anh ấy có nhiều người hâm mộ trung thành.</t>
  </si>
  <si>
    <t>producer</t>
  </si>
  <si>
    <t>He is a famous film producer.</t>
  </si>
  <si>
    <t>Ông ấy là một nhà sản xuất phim nổi tiếng.</t>
  </si>
  <si>
    <t>estate</t>
  </si>
  <si>
    <t>He works in real estate.</t>
  </si>
  <si>
    <t>Anh ấy làm việc trong ngành bất động sản.</t>
  </si>
  <si>
    <t>cleaning</t>
  </si>
  <si>
    <t>việc lau dọn</t>
  </si>
  <si>
    <t>I enjoy house cleaning.</t>
  </si>
  <si>
    <t>Tôi thích việc lau dọn nhà.</t>
  </si>
  <si>
    <t>booking</t>
  </si>
  <si>
    <t>việc đặt chỗ</t>
  </si>
  <si>
    <t>I made a hotel booking.</t>
  </si>
  <si>
    <t>Tôi đã đặt chỗ khách sạn.</t>
  </si>
  <si>
    <t>frequently</t>
  </si>
  <si>
    <t>I travel there quite frequently.</t>
  </si>
  <si>
    <t>Tôi đi du lịch ở đó khá thường xuyên.</t>
  </si>
  <si>
    <t>spoken</t>
  </si>
  <si>
    <t>bằng lời nói</t>
  </si>
  <si>
    <t>It is a spoken language.</t>
  </si>
  <si>
    <t>Đó là một ngôn ngữ nói.</t>
  </si>
  <si>
    <t>recognition</t>
  </si>
  <si>
    <t>She gained recognition for her work.</t>
  </si>
  <si>
    <t>Cô ấy đã đạt được sự công nhận cho công việc của mình.</t>
  </si>
  <si>
    <t>warning</t>
  </si>
  <si>
    <t>lời cảnh báo</t>
  </si>
  <si>
    <t>She gave a clear warning.</t>
  </si>
  <si>
    <t>Cô ấy đã đưa ra một lời cảnh báo rõ ràng.</t>
  </si>
  <si>
    <t>championship</t>
  </si>
  <si>
    <t>giải vô địch</t>
  </si>
  <si>
    <t>She won the championship.</t>
  </si>
  <si>
    <t>Cô ấy đã thắng giải vô địch.</t>
  </si>
  <si>
    <t>illegal</t>
  </si>
  <si>
    <t>bất hợp pháp</t>
  </si>
  <si>
    <t>That is an illegal act.</t>
  </si>
  <si>
    <t>Đó là một hành động bất hợp pháp.</t>
  </si>
  <si>
    <t>panel</t>
  </si>
  <si>
    <t>ban hội thẩm</t>
  </si>
  <si>
    <t>The panel will decide soon.</t>
  </si>
  <si>
    <t>Ban hội thẩm sẽ sớm quyết định.</t>
  </si>
  <si>
    <t>scientist</t>
  </si>
  <si>
    <t>The scientist works in a lab.</t>
  </si>
  <si>
    <t>Nhà khoa học làm việc trong một phòng thí nghiệm.</t>
  </si>
  <si>
    <t>enterprise</t>
  </si>
  <si>
    <t>They run a small enterprise.</t>
  </si>
  <si>
    <t>Họ điều hành một doanh nghiệp nhỏ.</t>
  </si>
  <si>
    <t>satisfy</t>
  </si>
  <si>
    <t>làm thỏa mãn</t>
  </si>
  <si>
    <t>This food will satisfy your hunger.</t>
  </si>
  <si>
    <t>Thức ăn này sẽ làm thỏa mãn cơn đói của bạn.</t>
  </si>
  <si>
    <t>interaction</t>
  </si>
  <si>
    <t>sự tương tác</t>
  </si>
  <si>
    <t>We need more social interaction.</t>
  </si>
  <si>
    <t>Chúng ta cần nhiều sự tương tác xã hội hơn.</t>
  </si>
  <si>
    <t>presence</t>
  </si>
  <si>
    <t>sự hiện diện</t>
  </si>
  <si>
    <t>Your presence is very important.</t>
  </si>
  <si>
    <t>Sự hiện diện của bạn rất quan trọng.</t>
  </si>
  <si>
    <t>gap</t>
  </si>
  <si>
    <t>Fill the gap between them.</t>
  </si>
  <si>
    <t>Hãy lấp đầy khoảng cách giữa chúng.</t>
  </si>
  <si>
    <t>seventy</t>
  </si>
  <si>
    <t>số bảy mươi</t>
  </si>
  <si>
    <t>He is seventy years old.</t>
  </si>
  <si>
    <t>Ông ấy đã bảy mươi tuổi.</t>
  </si>
  <si>
    <t>award</t>
  </si>
  <si>
    <t>He won a prestigious award.</t>
  </si>
  <si>
    <t>Anh ấy đã giành được một giải thưởng danh giá.</t>
  </si>
  <si>
    <t>absence</t>
  </si>
  <si>
    <t>sự vắng mặt</t>
  </si>
  <si>
    <t>His absence caused some delays.</t>
  </si>
  <si>
    <t>Sự vắng mặt của anh ấy gây ra một số chậm trễ.</t>
  </si>
  <si>
    <t>ordinary</t>
  </si>
  <si>
    <t>It is just an ordinary day.</t>
  </si>
  <si>
    <t>Đó chỉ là một ngày bình thường.</t>
  </si>
  <si>
    <t>relief</t>
  </si>
  <si>
    <t>sự nhẹ nhõm</t>
  </si>
  <si>
    <t>It was a great relief today.</t>
  </si>
  <si>
    <t>Hôm nay thật là nhẹ nhõm.</t>
  </si>
  <si>
    <t>cafe</t>
  </si>
  <si>
    <t>Meet at the cafe.</t>
  </si>
  <si>
    <t>Hãy gặp nhau tại quán cà phê.</t>
  </si>
  <si>
    <t>highlight</t>
  </si>
  <si>
    <t>làm nổi bật</t>
  </si>
  <si>
    <t>Please highlight the important text.</t>
  </si>
  <si>
    <t>Làm ơn hãy làm nổi bật phần văn bản quan trọng.</t>
  </si>
  <si>
    <t>means</t>
  </si>
  <si>
    <t>Public means of transport exist.</t>
  </si>
  <si>
    <t>Các phương tiện giao thông công cộng hiện có sẵn.</t>
  </si>
  <si>
    <t>consumption</t>
  </si>
  <si>
    <t>sự tiêu thụ</t>
  </si>
  <si>
    <t>Reduce your energy consumption.</t>
  </si>
  <si>
    <t>Hãy giảm sự tiêu thụ năng lượng.</t>
  </si>
  <si>
    <t>prize</t>
  </si>
  <si>
    <t>She won the first prize.</t>
  </si>
  <si>
    <t>Cô ấy đã giành giải nhất.</t>
  </si>
  <si>
    <t>survival</t>
  </si>
  <si>
    <t>sự sống sót</t>
  </si>
  <si>
    <t>Survival is the top goal.</t>
  </si>
  <si>
    <t>Sự sống sót là mục tiêu hàng đầu.</t>
  </si>
  <si>
    <t>profession</t>
  </si>
  <si>
    <t>Teaching is a noble profession.</t>
  </si>
  <si>
    <t>Giảng dạy là một nghề nghiệp cao quý.</t>
  </si>
  <si>
    <t>opposition</t>
  </si>
  <si>
    <t>The opposition failed the vote.</t>
  </si>
  <si>
    <t>Sự phản đối đã làm thất bại cuộc bỏ phiếu.</t>
  </si>
  <si>
    <t>provision</t>
  </si>
  <si>
    <t>The provision of food is essential.</t>
  </si>
  <si>
    <t>Việc cung cấp thức ăn là rất cần thiết.</t>
  </si>
  <si>
    <t>publication</t>
  </si>
  <si>
    <t>sự xuất bản</t>
  </si>
  <si>
    <t>The publication is due next week.</t>
  </si>
  <si>
    <t>Việc xuất bản sẽ diễn ra vào tuần tới.</t>
  </si>
  <si>
    <t>sixty</t>
  </si>
  <si>
    <t>số sáu mươi</t>
  </si>
  <si>
    <t>The speed limit is sixty.</t>
  </si>
  <si>
    <t>Giới hạn tốc độ là sáu mươi.</t>
  </si>
  <si>
    <t>victory</t>
  </si>
  <si>
    <t>They celebrated the big victory.</t>
  </si>
  <si>
    <t>Họ đã ăn mừng chiến thắng lớn.</t>
  </si>
  <si>
    <t>representation</t>
  </si>
  <si>
    <t>sự đại diện</t>
  </si>
  <si>
    <t>They need better legal representation now.</t>
  </si>
  <si>
    <t>Họ cần sự đại diện pháp lý tốt hơn.</t>
  </si>
  <si>
    <t>incentive</t>
  </si>
  <si>
    <t>They offer a financial incentive.</t>
  </si>
  <si>
    <t>Họ đưa ra một sự khích lệ tài chính.</t>
  </si>
  <si>
    <t>involvement</t>
  </si>
  <si>
    <t>sự tham gia</t>
  </si>
  <si>
    <t>We appreciate your active involvement.</t>
  </si>
  <si>
    <t>Chúng tôi đánh giá cao sự tham gia tích cực của bạn.</t>
  </si>
  <si>
    <t>sensitivity</t>
  </si>
  <si>
    <t>sự nhạy cảm</t>
  </si>
  <si>
    <t>We appreciate your cultural sensitivity.</t>
  </si>
  <si>
    <t>Chúng tôi đánh giá cao sự nhạy cảm văn hóa của bạn.</t>
  </si>
  <si>
    <t>recovery</t>
  </si>
  <si>
    <t>sự hồi phục</t>
  </si>
  <si>
    <t>We hope for a fast recovery.</t>
  </si>
  <si>
    <t>Chúng tôi hy vọng vào một sự hồi phục nhanh.</t>
  </si>
  <si>
    <t>privacy</t>
  </si>
  <si>
    <t>sự riêng tư</t>
  </si>
  <si>
    <t>We value our digital privacy.</t>
  </si>
  <si>
    <t>Chúng tôi coi trọng sự riêng tư kỹ thuật số.</t>
  </si>
  <si>
    <t>formal</t>
  </si>
  <si>
    <t>trang trọng</t>
  </si>
  <si>
    <t>Wear a formal suit today.</t>
  </si>
  <si>
    <t>Hãy mặc một bộ vest trang trọng hôm nay.</t>
  </si>
  <si>
    <t>route</t>
  </si>
  <si>
    <t>tuyến đường</t>
  </si>
  <si>
    <t>What is the fastest route now?</t>
  </si>
  <si>
    <t>Tuyến đường nhanh nhất bây giờ là gì?</t>
  </si>
  <si>
    <t>slip</t>
  </si>
  <si>
    <t>trượt chân</t>
  </si>
  <si>
    <t>Be careful not to slip.</t>
  </si>
  <si>
    <t>Hãy cẩn thận đừng để trượt chân.</t>
  </si>
  <si>
    <t>interpret</t>
  </si>
  <si>
    <t>thông dịch</t>
  </si>
  <si>
    <t>Can you interpret for me?</t>
  </si>
  <si>
    <t>Bạn có thể thông dịch cho tôi không?</t>
  </si>
  <si>
    <t>schedule</t>
  </si>
  <si>
    <t>Check your busy work schedule now.</t>
  </si>
  <si>
    <t>Hãy kiểm tra lịch trình công việc bận rộn của bạn.</t>
  </si>
  <si>
    <t>proof</t>
  </si>
  <si>
    <t>Do you have proof of this?</t>
  </si>
  <si>
    <t>Bạn có bằng chứng về việc này không?</t>
  </si>
  <si>
    <t>cigarette</t>
  </si>
  <si>
    <t>điếu thuốc</t>
  </si>
  <si>
    <t>Don't smoke a cigarette.</t>
  </si>
  <si>
    <t>Đừng hút thuốc.</t>
  </si>
  <si>
    <t>specialist</t>
  </si>
  <si>
    <t>He is a marketing specialist.</t>
  </si>
  <si>
    <t>Anh ấy là một chuyên gia tiếp thị.</t>
  </si>
  <si>
    <t>skilled</t>
  </si>
  <si>
    <t>có kỹ năng</t>
  </si>
  <si>
    <t>He is a skilled worker.</t>
  </si>
  <si>
    <t>Anh ấy là một công nhân có kỹ năng.</t>
  </si>
  <si>
    <t>businessman</t>
  </si>
  <si>
    <t>doanh nhân</t>
  </si>
  <si>
    <t>He is a successful businessman.</t>
  </si>
  <si>
    <t>Ông ấy là một doanh nhân thành đạt.</t>
  </si>
  <si>
    <t>surgery</t>
  </si>
  <si>
    <t>He needs surgery very soon.</t>
  </si>
  <si>
    <t>Anh ấy cần phẫu thuật rất sớm.</t>
  </si>
  <si>
    <t>guitar</t>
  </si>
  <si>
    <t>đàn ghi ta</t>
  </si>
  <si>
    <t>He plays the guitar well.</t>
  </si>
  <si>
    <t>Anh ấy chơi đàn ghi ta rất giỏi.</t>
  </si>
  <si>
    <t>honestly</t>
  </si>
  <si>
    <t>thành thật</t>
  </si>
  <si>
    <t>Honestly, I do not know.</t>
  </si>
  <si>
    <t>Thành thật mà nói, tôi không biết.</t>
  </si>
  <si>
    <t>chat</t>
  </si>
  <si>
    <t>trò chuyện</t>
  </si>
  <si>
    <t>Let us chat together.</t>
  </si>
  <si>
    <t>Hãy cùng trò chuyện với nhau.</t>
  </si>
  <si>
    <t>recording</t>
  </si>
  <si>
    <t>bản ghi âm</t>
  </si>
  <si>
    <t>Listen to the new recording now.</t>
  </si>
  <si>
    <t>Hãy nghe bản ghi âm mới ngay.</t>
  </si>
  <si>
    <t>honest</t>
  </si>
  <si>
    <t>She is an honest person.</t>
  </si>
  <si>
    <t>Cô ấy là một người trung thực.</t>
  </si>
  <si>
    <t>ring</t>
  </si>
  <si>
    <t>chiếc nhẫn</t>
  </si>
  <si>
    <t>She wore a gold diamond ring.</t>
  </si>
  <si>
    <t>Cô ấy đã đeo một chiếc nhẫn kim cương vàng.</t>
  </si>
  <si>
    <t>fashion</t>
  </si>
  <si>
    <t>She works in fashion industry.</t>
  </si>
  <si>
    <t>Cô ấy làm trong ngành thời trang.</t>
  </si>
  <si>
    <t>processing</t>
  </si>
  <si>
    <t>việc xử lý</t>
  </si>
  <si>
    <t>The data processing is complete.</t>
  </si>
  <si>
    <t>Việc xử lý dữ liệu đã hoàn tất.</t>
  </si>
  <si>
    <t>october</t>
  </si>
  <si>
    <t>tháng mười</t>
  </si>
  <si>
    <t>The event is in October.</t>
  </si>
  <si>
    <t>Sự kiện diễn ra vào tháng mười.</t>
  </si>
  <si>
    <t>existence</t>
  </si>
  <si>
    <t>The existence of life matters.</t>
  </si>
  <si>
    <t>Sự tồn tại của sự sống là quan trọng.</t>
  </si>
  <si>
    <t>extension</t>
  </si>
  <si>
    <t>The extension is very needed.</t>
  </si>
  <si>
    <t>Sự mở rộng là rất cần thiết.</t>
  </si>
  <si>
    <t>familiar</t>
  </si>
  <si>
    <t>quen thuộc</t>
  </si>
  <si>
    <t>The face looks very familiar.</t>
  </si>
  <si>
    <t>Gương mặt này trông rất quen thuộc.</t>
  </si>
  <si>
    <t>holding</t>
  </si>
  <si>
    <t>sự nắm giữ</t>
  </si>
  <si>
    <t>The holding of shares matters.</t>
  </si>
  <si>
    <t>Việc nắm giữ cổ phần là rất quan trọng.</t>
  </si>
  <si>
    <t>investor</t>
  </si>
  <si>
    <t>nhà đầu tư</t>
  </si>
  <si>
    <t>The investor likes the plan.</t>
  </si>
  <si>
    <t>Nhà đầu tư thích kế hoạch đó.</t>
  </si>
  <si>
    <t>appeal</t>
  </si>
  <si>
    <t>sự hấp dẫn</t>
  </si>
  <si>
    <t>The music has great appeal.</t>
  </si>
  <si>
    <t>Âm nhạc có sức hấp dẫn lớn.</t>
  </si>
  <si>
    <t>registration</t>
  </si>
  <si>
    <t>The registration is open for you.</t>
  </si>
  <si>
    <t>Việc đăng ký đã mở cho bạn.</t>
  </si>
  <si>
    <t>empty</t>
  </si>
  <si>
    <t>The room was completely empty.</t>
  </si>
  <si>
    <t>Căn phòng hoàn toàn trống rỗng.</t>
  </si>
  <si>
    <t>shipping</t>
  </si>
  <si>
    <t>The shipping cost is high.</t>
  </si>
  <si>
    <t>Chi phí vận chuyển rất cao.</t>
  </si>
  <si>
    <t>shooting</t>
  </si>
  <si>
    <t>vụ nổ súng</t>
  </si>
  <si>
    <t>The shooting caused great panic.</t>
  </si>
  <si>
    <t>Vụ nổ súng đã gây ra sự hoảng loạn lớn.</t>
  </si>
  <si>
    <t>intelligent</t>
  </si>
  <si>
    <t>The student is very intelligent.</t>
  </si>
  <si>
    <t>Học sinh đó rất thông minh.</t>
  </si>
  <si>
    <t>suffering</t>
  </si>
  <si>
    <t>sự đau khổ</t>
  </si>
  <si>
    <t>The suffering is ending now.</t>
  </si>
  <si>
    <t>Sự đau khổ đang kết thúc.</t>
  </si>
  <si>
    <t>shine</t>
  </si>
  <si>
    <t>The sun will shine brightly.</t>
  </si>
  <si>
    <t>Mặt trời sẽ chiếu sáng rực rỡ.</t>
  </si>
  <si>
    <t>surrounding</t>
  </si>
  <si>
    <t>The surrounding area is quiet.</t>
  </si>
  <si>
    <t>Khu vực xung quanh rất yên tĩnh.</t>
  </si>
  <si>
    <t>restriction</t>
  </si>
  <si>
    <t>There is a new speed restriction.</t>
  </si>
  <si>
    <t>Có một sự hạn chế tốc độ mới.</t>
  </si>
  <si>
    <t>confusion</t>
  </si>
  <si>
    <t>sự bối rối</t>
  </si>
  <si>
    <t>There is some confusion.</t>
  </si>
  <si>
    <t>Có một chút sự bối rối.</t>
  </si>
  <si>
    <t>immigration</t>
  </si>
  <si>
    <t>sự nhập cư</t>
  </si>
  <si>
    <t>They control the immigration rules.</t>
  </si>
  <si>
    <t>Họ kiểm soát các quy định về nhập cư.</t>
  </si>
  <si>
    <t>partnership</t>
  </si>
  <si>
    <t>sự hợp tác</t>
  </si>
  <si>
    <t>They formed a strong partnership.</t>
  </si>
  <si>
    <t>Họ đã hình thành một sự hợp tác mạnh mẽ.</t>
  </si>
  <si>
    <t>battle</t>
  </si>
  <si>
    <t>They won the great battle.</t>
  </si>
  <si>
    <t>Họ đã thắng trận chiến vĩ đại.</t>
  </si>
  <si>
    <t>advance</t>
  </si>
  <si>
    <t>This is a great advance.</t>
  </si>
  <si>
    <t>Đây là một sự tiến bộ to lớn.</t>
  </si>
  <si>
    <t>arrangement</t>
  </si>
  <si>
    <t>sự sắp xếp</t>
  </si>
  <si>
    <t>We have a new arrangement.</t>
  </si>
  <si>
    <t>Chúng tôi có một sự sắp xếp mới.</t>
  </si>
  <si>
    <t>implement</t>
  </si>
  <si>
    <t>We must implement the plan.</t>
  </si>
  <si>
    <t>Chúng ta phải triển khai kế hoạch.</t>
  </si>
  <si>
    <t>strengthen</t>
  </si>
  <si>
    <t>We must strengthen the bond.</t>
  </si>
  <si>
    <t>Chúng ta phải tăng cường mối quan hệ.</t>
  </si>
  <si>
    <t>stability</t>
  </si>
  <si>
    <t>sự ổn định</t>
  </si>
  <si>
    <t>We need more economic stability.</t>
  </si>
  <si>
    <t>Chúng ta cần nhiều sự ổn định kinh tế hơn.</t>
  </si>
  <si>
    <t>regional</t>
  </si>
  <si>
    <t>thuộc vùng</t>
  </si>
  <si>
    <t>We need more regional support now.</t>
  </si>
  <si>
    <t>Chúng ta cần nhiều sự hỗ trợ khu vực hơn.</t>
  </si>
  <si>
    <t>engagement</t>
  </si>
  <si>
    <t>We value your long engagement.</t>
  </si>
  <si>
    <t>Chúng tôi coi trọng sự cam kết lâu dài của bạn.</t>
  </si>
  <si>
    <t>basically</t>
  </si>
  <si>
    <t>Basically, we need more time.</t>
  </si>
  <si>
    <t>Về cơ bản, chúng tôi cần thêm thời gian.</t>
  </si>
  <si>
    <t>conscious</t>
  </si>
  <si>
    <t>có ý thức</t>
  </si>
  <si>
    <t>Be conscious of time.</t>
  </si>
  <si>
    <t>Hãy có ý thức về thời gian.</t>
  </si>
  <si>
    <t>reserve</t>
  </si>
  <si>
    <t>Can I reserve a table now?</t>
  </si>
  <si>
    <t>Tôi có thể đặt trước một cái bàn không?</t>
  </si>
  <si>
    <t>stair</t>
  </si>
  <si>
    <t>Climb the stair to top.</t>
  </si>
  <si>
    <t>Hãy leo cầu thang lên đỉnh.</t>
  </si>
  <si>
    <t>compose</t>
  </si>
  <si>
    <t>soạn thảo</t>
  </si>
  <si>
    <t>Compose a short email.</t>
  </si>
  <si>
    <t>Hãy soạn thảo một email ngắn.</t>
  </si>
  <si>
    <t>path</t>
  </si>
  <si>
    <t>Follow the narrow path ahead.</t>
  </si>
  <si>
    <t>Hãy đi theo con đường hẹp phía trước.</t>
  </si>
  <si>
    <t>guideline</t>
  </si>
  <si>
    <t>Follow the safety guidelines carefully.</t>
  </si>
  <si>
    <t>Hãy tuân theo các hướng dẫn an toàn một cách cẩn thận.</t>
  </si>
  <si>
    <t>generous</t>
  </si>
  <si>
    <t>hào phóng</t>
  </si>
  <si>
    <t>He is a generous man.</t>
  </si>
  <si>
    <t>Anh ấy là một người hào phóng.</t>
  </si>
  <si>
    <t>living</t>
  </si>
  <si>
    <t>đang sống</t>
  </si>
  <si>
    <t>He is a living legend.</t>
  </si>
  <si>
    <t>Anh ấy là một huyền thoại sống.</t>
  </si>
  <si>
    <t>standing</t>
  </si>
  <si>
    <t>đang đứng</t>
  </si>
  <si>
    <t>He is a standing figure.</t>
  </si>
  <si>
    <t>Đó là một nhân vật đang đứng.</t>
  </si>
  <si>
    <t>previously</t>
  </si>
  <si>
    <t>He worked here previously today.</t>
  </si>
  <si>
    <t>Trước đây hôm nay anh ấy đã làm việc ở đây.</t>
  </si>
  <si>
    <t>bored</t>
  </si>
  <si>
    <t>buồn chán</t>
  </si>
  <si>
    <t>I am bored with this.</t>
  </si>
  <si>
    <t>Tôi thấy chán việc này rồi.</t>
  </si>
  <si>
    <t>rent</t>
  </si>
  <si>
    <t>tiền thuê</t>
  </si>
  <si>
    <t>I pay my rent every month.</t>
  </si>
  <si>
    <t>Tôi trả tiền thuê nhà hàng tháng.</t>
  </si>
  <si>
    <t>ad</t>
  </si>
  <si>
    <t>I saw an ad online.</t>
  </si>
  <si>
    <t>Tôi thấy một quảng cáo trực tuyến.</t>
  </si>
  <si>
    <t>relative</t>
  </si>
  <si>
    <t>It is a relative success today.</t>
  </si>
  <si>
    <t>Đó là một sự thành công tương đối hôm nay.</t>
  </si>
  <si>
    <t>wonderful</t>
  </si>
  <si>
    <t>It was a wonderful day.</t>
  </si>
  <si>
    <t>Đó là một ngày tuyệt vời.</t>
  </si>
  <si>
    <t>container</t>
  </si>
  <si>
    <t>cái thùng</t>
  </si>
  <si>
    <t>Open the big container.</t>
  </si>
  <si>
    <t>Hãy mở cái thùng lớn ra.</t>
  </si>
  <si>
    <t>emphasize</t>
  </si>
  <si>
    <t>Please emphasize the main points.</t>
  </si>
  <si>
    <t>Vui lòng nhấn mạnh các điểm chính.</t>
  </si>
  <si>
    <t>inform</t>
  </si>
  <si>
    <t>Please inform me about results.</t>
  </si>
  <si>
    <t>Làm ơn hãy thông báo kết quả cho tôi.</t>
  </si>
  <si>
    <t>running</t>
  </si>
  <si>
    <t>việc chạy</t>
  </si>
  <si>
    <t>Running is good for health now.</t>
  </si>
  <si>
    <t>Việc chạy bộ rất tốt cho sức khỏe.</t>
  </si>
  <si>
    <t>cake</t>
  </si>
  <si>
    <t>She baked a cake.</t>
  </si>
  <si>
    <t>Cô ấy đã nướng bánh ngọt.</t>
  </si>
  <si>
    <t>academic</t>
  </si>
  <si>
    <t>She pursues an academic career.</t>
  </si>
  <si>
    <t>Cô ấy theo đuổi sự nghiệp học thuật.</t>
  </si>
  <si>
    <t>calm</t>
  </si>
  <si>
    <t>Stay calm in emergency.</t>
  </si>
  <si>
    <t>Hãy bình tĩnh trong trường hợp khẩn cấp.</t>
  </si>
  <si>
    <t>fantastic</t>
  </si>
  <si>
    <t>That is a fantastic idea.</t>
  </si>
  <si>
    <t>revenue</t>
  </si>
  <si>
    <t>The company has high annual revenue.</t>
  </si>
  <si>
    <t>Công ty có doanh thu hàng năm cao.</t>
  </si>
  <si>
    <t>judge</t>
  </si>
  <si>
    <t>thẩm phán</t>
  </si>
  <si>
    <t>The judge heard the case.</t>
  </si>
  <si>
    <t>Thẩm phán đã xét xử vụ án.</t>
  </si>
  <si>
    <t>minister</t>
  </si>
  <si>
    <t>The minister spoke to people.</t>
  </si>
  <si>
    <t>Bộ trưởng đã nói chuyện với mọi người.</t>
  </si>
  <si>
    <t>opening</t>
  </si>
  <si>
    <t>sự mở đầu</t>
  </si>
  <si>
    <t>The opening was very grand.</t>
  </si>
  <si>
    <t>Sự mở đầu rất hoành tráng.</t>
  </si>
  <si>
    <t>euro</t>
  </si>
  <si>
    <t>đồng euro</t>
  </si>
  <si>
    <t>The price is ten euro.</t>
  </si>
  <si>
    <t>Giá là mười đồng euro.</t>
  </si>
  <si>
    <t>ocean</t>
  </si>
  <si>
    <t>The ship crossed the ocean.</t>
  </si>
  <si>
    <t>Con tàu đã băng qua đại dương.</t>
  </si>
  <si>
    <t>constant</t>
  </si>
  <si>
    <t>không đổi</t>
  </si>
  <si>
    <t>The speed is constant.</t>
  </si>
  <si>
    <t>Tốc độ này là không đổi.</t>
  </si>
  <si>
    <t>subsequent</t>
  </si>
  <si>
    <t>The subsequent event is next.</t>
  </si>
  <si>
    <t>Sự kiện tiếp theo là kế tiếp.</t>
  </si>
  <si>
    <t>broadcast</t>
  </si>
  <si>
    <t>They broadcast the news.</t>
  </si>
  <si>
    <t>Họ phát sóng bản tin.</t>
  </si>
  <si>
    <t>approve</t>
  </si>
  <si>
    <t>They did approve the plan.</t>
  </si>
  <si>
    <t>Họ đã phê duyệt kế hoạch đó.</t>
  </si>
  <si>
    <t>inner</t>
  </si>
  <si>
    <t>They hide their inner feelings.</t>
  </si>
  <si>
    <t>Họ che giấu những cảm xúc bên trong của mình.</t>
  </si>
  <si>
    <t>adopt</t>
  </si>
  <si>
    <t>nhận nuôi</t>
  </si>
  <si>
    <t>They want to adopt children.</t>
  </si>
  <si>
    <t>Họ muốn nhận nuôi trẻ em.</t>
  </si>
  <si>
    <t>bedroom</t>
  </si>
  <si>
    <t>phòng ngủ</t>
  </si>
  <si>
    <t>This is my small bedroom.</t>
  </si>
  <si>
    <t>Đây là phòng ngủ nhỏ của tôi.</t>
  </si>
  <si>
    <t>proceed</t>
  </si>
  <si>
    <t>tiến hành</t>
  </si>
  <si>
    <t>We can proceed with the plan.</t>
  </si>
  <si>
    <t>Chúng ta có thể tiến hành kế hoạch.</t>
  </si>
  <si>
    <t>era</t>
  </si>
  <si>
    <t>kỷ nguyên</t>
  </si>
  <si>
    <t>We live in new era.</t>
  </si>
  <si>
    <t>Chúng ta đang sống trong một kỷ nguyên mới.</t>
  </si>
  <si>
    <t>analyse</t>
  </si>
  <si>
    <t>We must analyse the data.</t>
  </si>
  <si>
    <t>Chúng ta phải phân tích dữ liệu.</t>
  </si>
  <si>
    <t>favourite</t>
  </si>
  <si>
    <t>What is your favourite song?</t>
  </si>
  <si>
    <t>Bài hát yêu thích của bạn là gì?</t>
  </si>
  <si>
    <t>charity</t>
  </si>
  <si>
    <t>từ thiện</t>
  </si>
  <si>
    <t>Donate to the charity.</t>
  </si>
  <si>
    <t>Hãy quyên góp cho từ thiện.</t>
  </si>
  <si>
    <t>chocolate</t>
  </si>
  <si>
    <t>sô cô la</t>
  </si>
  <si>
    <t>Do you like chocolate?</t>
  </si>
  <si>
    <t>Bạn có thích sô cô la không?</t>
  </si>
  <si>
    <t>app</t>
  </si>
  <si>
    <t>Download the app right now.</t>
  </si>
  <si>
    <t>Hãy tải ứng dụng ngay bây giờ.</t>
  </si>
  <si>
    <t>fruit</t>
  </si>
  <si>
    <t>Eat some fresh fruit now.</t>
  </si>
  <si>
    <t>Hãy ăn một ít trái cây tươi.</t>
  </si>
  <si>
    <t>being</t>
  </si>
  <si>
    <t>Every being needs fresh water.</t>
  </si>
  <si>
    <t>Mỗi sinh vật đều cần nước sạch.</t>
  </si>
  <si>
    <t>brief</t>
  </si>
  <si>
    <t>Give a brief report.</t>
  </si>
  <si>
    <t>Hãy đưa ra một báo cáo ngắn gọn.</t>
  </si>
  <si>
    <t>hero</t>
  </si>
  <si>
    <t>He is a real hero.</t>
  </si>
  <si>
    <t>Anh ấy là một anh hùng thực sự.</t>
  </si>
  <si>
    <t>alive</t>
  </si>
  <si>
    <t>còn sống</t>
  </si>
  <si>
    <t>He is still alive today.</t>
  </si>
  <si>
    <t>Anh ấy vẫn còn sống đến tận hôm nay.</t>
  </si>
  <si>
    <t>rank</t>
  </si>
  <si>
    <t>He reached a high military rank.</t>
  </si>
  <si>
    <t>Anh ấy đã đạt được một thứ hạng quân sự cao.</t>
  </si>
  <si>
    <t>engineering</t>
  </si>
  <si>
    <t>He studied civil engineering there.</t>
  </si>
  <si>
    <t>Anh ấy đã học kỹ thuật dân dụng ở đó.</t>
  </si>
  <si>
    <t>react</t>
  </si>
  <si>
    <t>How did she react to this?</t>
  </si>
  <si>
    <t>Cô ấy đã phản ứng thế nào với việc này?</t>
  </si>
  <si>
    <t>spell</t>
  </si>
  <si>
    <t>đánh vần</t>
  </si>
  <si>
    <t>How do you spell that?</t>
  </si>
  <si>
    <t>Bạn đánh vần điều đó như thế nào?</t>
  </si>
  <si>
    <t>appointment</t>
  </si>
  <si>
    <t>cuộc hẹn</t>
  </si>
  <si>
    <t>I have an appointment today.</t>
  </si>
  <si>
    <t>Tôi có một cuộc hẹn hôm nay.</t>
  </si>
  <si>
    <t>rarely</t>
  </si>
  <si>
    <t>I rarely go out at night.</t>
  </si>
  <si>
    <t>Tôi hiếm khi đi ra ngoài vào ban đêm.</t>
  </si>
  <si>
    <t>package</t>
  </si>
  <si>
    <t>gói hàng</t>
  </si>
  <si>
    <t>I received a large package.</t>
  </si>
  <si>
    <t>Tôi đã nhận được một gói hàng lớn.</t>
  </si>
  <si>
    <t>library</t>
  </si>
  <si>
    <t>I study at the library.</t>
  </si>
  <si>
    <t>Tôi học tập tại thư viện.</t>
  </si>
  <si>
    <t>wake</t>
  </si>
  <si>
    <t>I wake up early daily.</t>
  </si>
  <si>
    <t>Tôi thức dậy sớm hàng ngày.</t>
  </si>
  <si>
    <t>hell</t>
  </si>
  <si>
    <t>It felt like living hell.</t>
  </si>
  <si>
    <t>Nó cảm thấy như đang sống trong địa ngục.</t>
  </si>
  <si>
    <t>pleasure</t>
  </si>
  <si>
    <t>It is a great pleasure.</t>
  </si>
  <si>
    <t>Đó là một niềm vui lớn.</t>
  </si>
  <si>
    <t>constantly</t>
  </si>
  <si>
    <t>It is constantly changing.</t>
  </si>
  <si>
    <t>Nó đang liên tục thay đổi.</t>
  </si>
  <si>
    <t>complicated</t>
  </si>
  <si>
    <t>It is very complicated.</t>
  </si>
  <si>
    <t>Việc đó rất phức tạp.</t>
  </si>
  <si>
    <t>worth</t>
  </si>
  <si>
    <t>đáng giá</t>
  </si>
  <si>
    <t>It is worth the money.</t>
  </si>
  <si>
    <t>Nó xứng đáng với số tiền đó.</t>
  </si>
  <si>
    <t>arise</t>
  </si>
  <si>
    <t>nảy sinh</t>
  </si>
  <si>
    <t>New problems may arise now.</t>
  </si>
  <si>
    <t>Các vấn đề mới có thể nảy sinh.</t>
  </si>
  <si>
    <t>objective</t>
  </si>
  <si>
    <t>Our objective is to win.</t>
  </si>
  <si>
    <t>Mục tiêu của chúng ta là chiến thắng.</t>
  </si>
  <si>
    <t>specify</t>
  </si>
  <si>
    <t>Please specify the exact date.</t>
  </si>
  <si>
    <t>Vui lòng chỉ định ngày chính xác.</t>
  </si>
  <si>
    <t>investigate</t>
  </si>
  <si>
    <t>Police investigate the case now.</t>
  </si>
  <si>
    <t>Cảnh sát đang điều tra vụ án.</t>
  </si>
  <si>
    <t>belief</t>
  </si>
  <si>
    <t>She has a strong belief.</t>
  </si>
  <si>
    <t>Cô ấy có một niềm tin mạnh mẽ.</t>
  </si>
  <si>
    <t>attractive</t>
  </si>
  <si>
    <t>She is a very attractive person.</t>
  </si>
  <si>
    <t>Cô ấy là một người rất quyến rũ.</t>
  </si>
  <si>
    <t>fifty</t>
  </si>
  <si>
    <t>năm mươi</t>
  </si>
  <si>
    <t>She is fifty years old.</t>
  </si>
  <si>
    <t>Cô ấy đã năm mươi tuổi.</t>
  </si>
  <si>
    <t>recover</t>
  </si>
  <si>
    <t>She will recover very soon now.</t>
  </si>
  <si>
    <t>Cô ấy sẽ hồi phục rất sớm.</t>
  </si>
  <si>
    <t>stupid</t>
  </si>
  <si>
    <t>That was a stupid move.</t>
  </si>
  <si>
    <t>Đó là một nước đi ngu ngốc.</t>
  </si>
  <si>
    <t>bird</t>
  </si>
  <si>
    <t>con chim</t>
  </si>
  <si>
    <t>The bird sings very loudly.</t>
  </si>
  <si>
    <t>Con chim hót rất to.</t>
  </si>
  <si>
    <t>executive</t>
  </si>
  <si>
    <t>The executive made the decision.</t>
  </si>
  <si>
    <t>Vị giám đốc đã đưa ra quyết định.</t>
  </si>
  <si>
    <t>farmer</t>
  </si>
  <si>
    <t>The farmer works very hard.</t>
  </si>
  <si>
    <t>Người nông dân làm việc rất chăm chỉ.</t>
  </si>
  <si>
    <t>handling</t>
  </si>
  <si>
    <t>The handling of data matters.</t>
  </si>
  <si>
    <t>Việc xử lý dữ liệu rất quan trọng.</t>
  </si>
  <si>
    <t>majority</t>
  </si>
  <si>
    <t>The majority agreed to it.</t>
  </si>
  <si>
    <t>Phần lớn đã đồng ý với nó.</t>
  </si>
  <si>
    <t>queen</t>
  </si>
  <si>
    <t>The queen waved at the crowd.</t>
  </si>
  <si>
    <t>Nữ hoàng đã vẫy tay chào đám đông.</t>
  </si>
  <si>
    <t>rating</t>
  </si>
  <si>
    <t>The show has a high rating.</t>
  </si>
  <si>
    <t>Chương trình đó có một đánh giá cao.</t>
  </si>
  <si>
    <t>wedding</t>
  </si>
  <si>
    <t>đám cưới</t>
  </si>
  <si>
    <t>The wedding was very lovely.</t>
  </si>
  <si>
    <t>Đám cưới rất đáng yêu.</t>
  </si>
  <si>
    <t>possibility</t>
  </si>
  <si>
    <t>There is a real possibility.</t>
  </si>
  <si>
    <t>Có một khả năng thực sự.</t>
  </si>
  <si>
    <t>acquire</t>
  </si>
  <si>
    <t>They acquire new skills daily.</t>
  </si>
  <si>
    <t>Họ thu được những kỹ năng mới mỗi ngày.</t>
  </si>
  <si>
    <t>bury</t>
  </si>
  <si>
    <t>chôn cất</t>
  </si>
  <si>
    <t>They bury the box.</t>
  </si>
  <si>
    <t>Họ chôn cái hộp đó.</t>
  </si>
  <si>
    <t>extreme</t>
  </si>
  <si>
    <t>They face extreme weather today.</t>
  </si>
  <si>
    <t>Họ đối mặt với thời tiết cực đoan hôm nay.</t>
  </si>
  <si>
    <t>opposite</t>
  </si>
  <si>
    <t>They live on the opposite side.</t>
  </si>
  <si>
    <t>Họ sống ở phía đối diện.</t>
  </si>
  <si>
    <t>religion</t>
  </si>
  <si>
    <t>They share the same deep religion.</t>
  </si>
  <si>
    <t>Họ cùng chia sẻ một tôn giáo sâu sắc.</t>
  </si>
  <si>
    <t>comedy</t>
  </si>
  <si>
    <t>phim hài</t>
  </si>
  <si>
    <t>They watch a comedy.</t>
  </si>
  <si>
    <t>Họ xem một bộ phim hài.</t>
  </si>
  <si>
    <t>exception</t>
  </si>
  <si>
    <t>This is a rare exception.</t>
  </si>
  <si>
    <t>Đây là một ngoại lệ hiếm hoi.</t>
  </si>
  <si>
    <t>ideal</t>
  </si>
  <si>
    <t>This is an ideal place.</t>
  </si>
  <si>
    <t>Đây là một địa điểm lý tưởng.</t>
  </si>
  <si>
    <t>restaurant</t>
  </si>
  <si>
    <t>This restaurant is very popular now.</t>
  </si>
  <si>
    <t>Nhà hàng này hiện đang rất phổ biến.</t>
  </si>
  <si>
    <t>scheme</t>
  </si>
  <si>
    <t>This scheme will help us today.</t>
  </si>
  <si>
    <t>Kế hoạch này sẽ giúp chúng ta hôm nay.</t>
  </si>
  <si>
    <t>enhance</t>
  </si>
  <si>
    <t>This will enhance your skills.</t>
  </si>
  <si>
    <t>Điều này sẽ nâng cao kỹ năng của bạn.</t>
  </si>
  <si>
    <t>swing</t>
  </si>
  <si>
    <t>đung đưa</t>
  </si>
  <si>
    <t>Watch the swing go high.</t>
  </si>
  <si>
    <t>Hãy nhìn cái xích đu đung đưa lên cao.</t>
  </si>
  <si>
    <t>annual</t>
  </si>
  <si>
    <t>hàng năm</t>
  </si>
  <si>
    <t>We hold an annual meeting.</t>
  </si>
  <si>
    <t>Chúng tôi tổ chức một cuộc họp hàng năm.</t>
  </si>
  <si>
    <t>quantity</t>
  </si>
  <si>
    <t>We need a large quantity now.</t>
  </si>
  <si>
    <t>Chúng ta cần một số lượng lớn ngay bây giờ.</t>
  </si>
  <si>
    <t>funding</t>
  </si>
  <si>
    <t>kinh phí</t>
  </si>
  <si>
    <t>We need more project funding.</t>
  </si>
  <si>
    <t>Chúng ta cần nhiều kinh phí dự án hơn.</t>
  </si>
  <si>
    <t>evaluate</t>
  </si>
  <si>
    <t>We need to evaluate progress.</t>
  </si>
  <si>
    <t>Chúng ta cần đánh giá sự tiến bộ.</t>
  </si>
  <si>
    <t>characteristic</t>
  </si>
  <si>
    <t>đặc điểm</t>
  </si>
  <si>
    <t>What is its characteristic?</t>
  </si>
  <si>
    <t>Đặc điểm của nó là gì?</t>
  </si>
  <si>
    <t>angry</t>
  </si>
  <si>
    <t>Why are you so angry?</t>
  </si>
  <si>
    <t>Tại sao bạn lại tức giận vậy?</t>
  </si>
  <si>
    <t>winter</t>
  </si>
  <si>
    <t>Winter is very cold now.</t>
  </si>
  <si>
    <t>Mùa đông rất lạnh.</t>
  </si>
  <si>
    <t>concerning</t>
  </si>
  <si>
    <t>về việc</t>
  </si>
  <si>
    <t>Concerning the project plan.</t>
  </si>
  <si>
    <t>Về việc kế hoạch dự án.</t>
  </si>
  <si>
    <t>worry</t>
  </si>
  <si>
    <t>Do not worry about it.</t>
  </si>
  <si>
    <t>Đừng lo lắng về điều đó.</t>
  </si>
  <si>
    <t>cheese</t>
  </si>
  <si>
    <t>Eat bread with cheese.</t>
  </si>
  <si>
    <t>Hãy ăn bánh mì với phô mai.</t>
  </si>
  <si>
    <t>conservative</t>
  </si>
  <si>
    <t>bảo thủ</t>
  </si>
  <si>
    <t>He is a conservative.</t>
  </si>
  <si>
    <t>Anh ấy là một người bảo thủ.</t>
  </si>
  <si>
    <t>confused</t>
  </si>
  <si>
    <t>I am very confused.</t>
  </si>
  <si>
    <t>Tôi đang rất bối rối.</t>
  </si>
  <si>
    <t>electronic</t>
  </si>
  <si>
    <t>I bought an electronic device.</t>
  </si>
  <si>
    <t>Tôi đã mua một thiết bị điện tử.</t>
  </si>
  <si>
    <t>recall</t>
  </si>
  <si>
    <t>I cannot recall his name now.</t>
  </si>
  <si>
    <t>Tôi không thể nhớ lại tên anh ấy lúc này.</t>
  </si>
  <si>
    <t>nervous</t>
  </si>
  <si>
    <t>I feel nervous about exams.</t>
  </si>
  <si>
    <t>Tôi cảm thấy lo lắng về các kỳ thi.</t>
  </si>
  <si>
    <t>intend</t>
  </si>
  <si>
    <t>dự định</t>
  </si>
  <si>
    <t>I intend to go today.</t>
  </si>
  <si>
    <t>Tôi dự định đi hôm nay.</t>
  </si>
  <si>
    <t>football</t>
  </si>
  <si>
    <t>bóng đá</t>
  </si>
  <si>
    <t>I love playing football now.</t>
  </si>
  <si>
    <t>Tôi rất thích chơi bóng đá.</t>
  </si>
  <si>
    <t>permanent</t>
  </si>
  <si>
    <t>I need a permanent job.</t>
  </si>
  <si>
    <t>Tôi cần một công việc lâu dài.</t>
  </si>
  <si>
    <t>install</t>
  </si>
  <si>
    <t>I need to install software.</t>
  </si>
  <si>
    <t>Tôi cần cài đặt phần mềm.</t>
  </si>
  <si>
    <t>chemistry</t>
  </si>
  <si>
    <t>I study chemistry now.</t>
  </si>
  <si>
    <t>Tôi đang học môn hóa học.</t>
  </si>
  <si>
    <t>considerable</t>
  </si>
  <si>
    <t>It is a considerable amount.</t>
  </si>
  <si>
    <t>Đó là một số lượng đáng kể.</t>
  </si>
  <si>
    <t>honour</t>
  </si>
  <si>
    <t>vinh dự</t>
  </si>
  <si>
    <t>It is an honour here.</t>
  </si>
  <si>
    <t>Đó là một vinh dự tại đây.</t>
  </si>
  <si>
    <t>bold</t>
  </si>
  <si>
    <t>táo bạo</t>
  </si>
  <si>
    <t>It was a bold decision.</t>
  </si>
  <si>
    <t>Đó là một quyết định táo bạo.</t>
  </si>
  <si>
    <t>cloud</t>
  </si>
  <si>
    <t>đám mây</t>
  </si>
  <si>
    <t>Look at the cloud.</t>
  </si>
  <si>
    <t>Hãy nhìn đám mây kìa.</t>
  </si>
  <si>
    <t>arrange</t>
  </si>
  <si>
    <t>Please arrange the books now.</t>
  </si>
  <si>
    <t>Vui lòng sắp xếp các cuốn sách ngay.</t>
  </si>
  <si>
    <t>input</t>
  </si>
  <si>
    <t>đầu vào</t>
  </si>
  <si>
    <t>Please check the data input.</t>
  </si>
  <si>
    <t>Làm ơn hãy kiểm tra dữ liệu đầu vào.</t>
  </si>
  <si>
    <t>silent</t>
  </si>
  <si>
    <t>Please keep silent during class.</t>
  </si>
  <si>
    <t>Vui lòng giữ im lặng trong lớp.</t>
  </si>
  <si>
    <t>register</t>
  </si>
  <si>
    <t>Please register for the event now.</t>
  </si>
  <si>
    <t>Làm ơn hãy đăng ký cho sự kiện ngay.</t>
  </si>
  <si>
    <t>repeat</t>
  </si>
  <si>
    <t>Please repeat what you said now.</t>
  </si>
  <si>
    <t>Làm ơn hãy lặp lại những gì bạn đã nói.</t>
  </si>
  <si>
    <t>application</t>
  </si>
  <si>
    <t>Send your application by email.</t>
  </si>
  <si>
    <t>Hãy gửi đơn xin của bạn qua email.</t>
  </si>
  <si>
    <t>reply</t>
  </si>
  <si>
    <t>She did reply to me fast.</t>
  </si>
  <si>
    <t>Cô ấy đã trả lời tôi rất nhanh.</t>
  </si>
  <si>
    <t>steady</t>
  </si>
  <si>
    <t>đều đặn</t>
  </si>
  <si>
    <t>She has a steady hand.</t>
  </si>
  <si>
    <t>Cô ấy có một bàn tay đều đặn.</t>
  </si>
  <si>
    <t>writer</t>
  </si>
  <si>
    <t>She is a great writer.</t>
  </si>
  <si>
    <t>Cô ấy là một nhà văn tuyệt vời.</t>
  </si>
  <si>
    <t>classical</t>
  </si>
  <si>
    <t>She likes classical music.</t>
  </si>
  <si>
    <t>Cô ấy thích nhạc cổ điển.</t>
  </si>
  <si>
    <t>joke</t>
  </si>
  <si>
    <t>trò đùa</t>
  </si>
  <si>
    <t>That was a funny joke.</t>
  </si>
  <si>
    <t>Đó là một trò đùa hài hước.</t>
  </si>
  <si>
    <t>located</t>
  </si>
  <si>
    <t>nằm tại</t>
  </si>
  <si>
    <t>The office is located here.</t>
  </si>
  <si>
    <t>Văn phòng nằm tại đây.</t>
  </si>
  <si>
    <t>plane</t>
  </si>
  <si>
    <t>The plane took off now.</t>
  </si>
  <si>
    <t>Máy bay đã cất cánh.</t>
  </si>
  <si>
    <t>prisoner</t>
  </si>
  <si>
    <t>tù nhân</t>
  </si>
  <si>
    <t>The prisoner escaped from the cell.</t>
  </si>
  <si>
    <t>Tù nhân đã trốn thoát khỏi phòng giam.</t>
  </si>
  <si>
    <t>professor</t>
  </si>
  <si>
    <t>The professor teaches history daily.</t>
  </si>
  <si>
    <t>Giáo sư giảng dạy lịch sử hàng ngày.</t>
  </si>
  <si>
    <t>roof</t>
  </si>
  <si>
    <t>The roof needs repair right now.</t>
  </si>
  <si>
    <t>Mái nhà cần sửa chữa ngay bây giờ.</t>
  </si>
  <si>
    <t>sophisticated</t>
  </si>
  <si>
    <t>The system is quite sophisticated.</t>
  </si>
  <si>
    <t>Hệ thống khá tinh vi.</t>
  </si>
  <si>
    <t>hidden</t>
  </si>
  <si>
    <t>ẩn giấu</t>
  </si>
  <si>
    <t>The treasure is hidden there.</t>
  </si>
  <si>
    <t>Kho báu bị ẩn giấu ở đó.</t>
  </si>
  <si>
    <t>wheel</t>
  </si>
  <si>
    <t>The wheel is turning now.</t>
  </si>
  <si>
    <t>Bánh xe đang xoay bây giờ.</t>
  </si>
  <si>
    <t>grand</t>
  </si>
  <si>
    <t>They built a grand hotel.</t>
  </si>
  <si>
    <t>Họ đã xây một khách sạn hùng vĩ.</t>
  </si>
  <si>
    <t>coal</t>
  </si>
  <si>
    <t>They burn coal daily.</t>
  </si>
  <si>
    <t>Họ đốt than đá hàng ngày.</t>
  </si>
  <si>
    <t>reject</t>
  </si>
  <si>
    <t>They did reject our new plan.</t>
  </si>
  <si>
    <t>Họ đã từ chối kế hoạch mới của chúng ta.</t>
  </si>
  <si>
    <t>marry</t>
  </si>
  <si>
    <t>They plan to marry soon.</t>
  </si>
  <si>
    <t>Họ dự định kết hôn sớm.</t>
  </si>
  <si>
    <t>violence</t>
  </si>
  <si>
    <t>They stop all the violence.</t>
  </si>
  <si>
    <t>Họ dừng mọi sự bạo lực.</t>
  </si>
  <si>
    <t>helpful</t>
  </si>
  <si>
    <t>This tip is very helpful.</t>
  </si>
  <si>
    <t>Mẹo này rất hữu ích.</t>
  </si>
  <si>
    <t>friday</t>
  </si>
  <si>
    <t>Today is a nice Friday.</t>
  </si>
  <si>
    <t>Hôm nay là một ngày thứ sáu đẹp.</t>
  </si>
  <si>
    <t>existing</t>
  </si>
  <si>
    <t>hiện có</t>
  </si>
  <si>
    <t>Use the existing system now.</t>
  </si>
  <si>
    <t>Hãy sử dụng hệ thống hiện có ngay.</t>
  </si>
  <si>
    <t>till</t>
  </si>
  <si>
    <t>Wait here till I return.</t>
  </si>
  <si>
    <t>Hãy đợi ở đây cho đến khi tôi quay lại.</t>
  </si>
  <si>
    <t>celebrate</t>
  </si>
  <si>
    <t>ăn mừng</t>
  </si>
  <si>
    <t>We celebrate our success.</t>
  </si>
  <si>
    <t>Chúng tôi ăn mừng thành công.</t>
  </si>
  <si>
    <t>outcome</t>
  </si>
  <si>
    <t>We expect a good outcome.</t>
  </si>
  <si>
    <t>Chúng tôi mong đợi một kết quả tốt.</t>
  </si>
  <si>
    <t>soccer</t>
  </si>
  <si>
    <t>We play soccer every day.</t>
  </si>
  <si>
    <t>Chúng tôi chơi bóng đá mỗi ngày.</t>
  </si>
  <si>
    <t>saturday</t>
  </si>
  <si>
    <t>We will meet on Saturday.</t>
  </si>
  <si>
    <t>Chúng ta sẽ gặp nhau vào thứ bảy.</t>
  </si>
  <si>
    <t>meaning</t>
  </si>
  <si>
    <t>What is the deeper meaning?</t>
  </si>
  <si>
    <t>Ý nghĩa sâu xa hơn là gì?</t>
  </si>
  <si>
    <t>index</t>
  </si>
  <si>
    <t>chỉ mục</t>
  </si>
  <si>
    <t>Check the book's index.</t>
  </si>
  <si>
    <t>Hãy kiểm tra chỉ mục của cuốn sách.</t>
  </si>
  <si>
    <t>meal</t>
  </si>
  <si>
    <t>Have a healthy meal daily.</t>
  </si>
  <si>
    <t>Hãy dùng bữa ăn lành mạnh hằng ngày.</t>
  </si>
  <si>
    <t>consultant</t>
  </si>
  <si>
    <t>cố vấn</t>
  </si>
  <si>
    <t>Hire an expert consultant.</t>
  </si>
  <si>
    <t>Thuê một chuyên gia cố vấn.</t>
  </si>
  <si>
    <t>proud</t>
  </si>
  <si>
    <t>I am proud of your success.</t>
  </si>
  <si>
    <t>Tôi tự hào về sự thành công của bạn.</t>
  </si>
  <si>
    <t>intention</t>
  </si>
  <si>
    <t>I have no intention of doing that.</t>
  </si>
  <si>
    <t>Tôi không có ý định làm điều đó.</t>
  </si>
  <si>
    <t>invest</t>
  </si>
  <si>
    <t>I want to invest some money.</t>
  </si>
  <si>
    <t>Tôi muốn đầu tư một ít tiền.</t>
  </si>
  <si>
    <t>wonder</t>
  </si>
  <si>
    <t>tự hỏi</t>
  </si>
  <si>
    <t>I wonder why it happened.</t>
  </si>
  <si>
    <t>Tôi tự hỏi tại sao chuyện đó xảy ra.</t>
  </si>
  <si>
    <t>hence</t>
  </si>
  <si>
    <t>It is late; hence, go home.</t>
  </si>
  <si>
    <t>Trời đã muộn; vì vậy, hãy về nhà.</t>
  </si>
  <si>
    <t>stomach</t>
  </si>
  <si>
    <t>My stomach is empty.</t>
  </si>
  <si>
    <t>Dạ dày của tôi đang trống rỗng.</t>
  </si>
  <si>
    <t>fee</t>
  </si>
  <si>
    <t>lệ phí</t>
  </si>
  <si>
    <t>Pay the fee at the desk.</t>
  </si>
  <si>
    <t>Hãy đóng lệ phí tại quầy.</t>
  </si>
  <si>
    <t>cd</t>
  </si>
  <si>
    <t>đĩa cd</t>
  </si>
  <si>
    <t>Play the music CD.</t>
  </si>
  <si>
    <t>Hãy phát đĩa CD nhạc.</t>
  </si>
  <si>
    <t>signature</t>
  </si>
  <si>
    <t>Please add your signature here.</t>
  </si>
  <si>
    <t>Vui lòng thêm chữ ký của bạn tại đây.</t>
  </si>
  <si>
    <t>holder</t>
  </si>
  <si>
    <t>giá đỡ</t>
  </si>
  <si>
    <t>Put it in the holder.</t>
  </si>
  <si>
    <t>Hãy đặt nó vào giá đỡ.</t>
  </si>
  <si>
    <t>apartment</t>
  </si>
  <si>
    <t>She lives in an apartment.</t>
  </si>
  <si>
    <t>Cô ấy sống trong một căn hộ.</t>
  </si>
  <si>
    <t>reasonable</t>
  </si>
  <si>
    <t>That is a very reasonable price.</t>
  </si>
  <si>
    <t>Đó là mức giá rất hợp lý.</t>
  </si>
  <si>
    <t>examination</t>
  </si>
  <si>
    <t>The examination was very hard.</t>
  </si>
  <si>
    <t>Kỳ thi đó rất khó.</t>
  </si>
  <si>
    <t>resident</t>
  </si>
  <si>
    <t>The local resident was happy.</t>
  </si>
  <si>
    <t>Cư dân địa phương rất hạnh phúc.</t>
  </si>
  <si>
    <t>printer</t>
  </si>
  <si>
    <t>máy in</t>
  </si>
  <si>
    <t>The printer is out of paper.</t>
  </si>
  <si>
    <t>Máy in đã hết giấy.</t>
  </si>
  <si>
    <t>coloured</t>
  </si>
  <si>
    <t>có màu</t>
  </si>
  <si>
    <t>These are coloured pens.</t>
  </si>
  <si>
    <t>Đây là những cây bút có màu.</t>
  </si>
  <si>
    <t>weapon</t>
  </si>
  <si>
    <t>They found a hidden weapon.</t>
  </si>
  <si>
    <t>Họ đã tìm thấy một vũ khí ẩn giấu.</t>
  </si>
  <si>
    <t>arms</t>
  </si>
  <si>
    <t>They lay down their arms.</t>
  </si>
  <si>
    <t>Họ hạ vũ khí xuống.</t>
  </si>
  <si>
    <t>pool</t>
  </si>
  <si>
    <t>hồ bơi</t>
  </si>
  <si>
    <t>They swim in the pool.</t>
  </si>
  <si>
    <t>Họ bơi trong hồ bơi.</t>
  </si>
  <si>
    <t>launch</t>
  </si>
  <si>
    <t>ra mắt</t>
  </si>
  <si>
    <t>We will launch the product.</t>
  </si>
  <si>
    <t>Chúng tôi sẽ ra mắt sản phẩm này.</t>
  </si>
  <si>
    <t>proportion</t>
  </si>
  <si>
    <t>A large proportion of students work.</t>
  </si>
  <si>
    <t>Một tỷ lệ lớn sinh viên đi làm.</t>
  </si>
  <si>
    <t>quit</t>
  </si>
  <si>
    <t>He decided to quit his job.</t>
  </si>
  <si>
    <t>Anh ấy đã quyết định từ bỏ công việc.</t>
  </si>
  <si>
    <t>singer</t>
  </si>
  <si>
    <t>He is a famous singer.</t>
  </si>
  <si>
    <t>Anh ấy là một ca sĩ nổi tiếng.</t>
  </si>
  <si>
    <t>ride</t>
  </si>
  <si>
    <t>đi xe</t>
  </si>
  <si>
    <t>I like to ride my bike.</t>
  </si>
  <si>
    <t>Tôi thích đi xe đạp.</t>
  </si>
  <si>
    <t>possibly</t>
  </si>
  <si>
    <t>Possibly I will come late.</t>
  </si>
  <si>
    <t>Có lẽ tôi sẽ đến muộn.</t>
  </si>
  <si>
    <t>sugar</t>
  </si>
  <si>
    <t>Put some sugar in the tea.</t>
  </si>
  <si>
    <t>Hãy cho một ít đường vào trà.</t>
  </si>
  <si>
    <t>slide</t>
  </si>
  <si>
    <t>The ice makes things slide.</t>
  </si>
  <si>
    <t>Băng làm mọi thứ trượt đi.</t>
  </si>
  <si>
    <t>principal</t>
  </si>
  <si>
    <t>The principal reason is lack of time.</t>
  </si>
  <si>
    <t>Lý do chính là thiếu thời gian.</t>
  </si>
  <si>
    <t>snow</t>
  </si>
  <si>
    <t>The snow falls softly.</t>
  </si>
  <si>
    <t>Tuyết rơi rất nhẹ nhàng.</t>
  </si>
  <si>
    <t>establishment</t>
  </si>
  <si>
    <t>This is a local establishment.</t>
  </si>
  <si>
    <t>Đây là một cơ sở địa phương.</t>
  </si>
  <si>
    <t>profile</t>
  </si>
  <si>
    <t>Update your online profile.</t>
  </si>
  <si>
    <t>Hãy cập nhật hồ sơ trực tuyến của bạn.</t>
  </si>
  <si>
    <t>county</t>
  </si>
  <si>
    <t>A large rural county.</t>
  </si>
  <si>
    <t>Một quận nông thôn lớn.</t>
  </si>
  <si>
    <t>institute</t>
  </si>
  <si>
    <t>viện</t>
  </si>
  <si>
    <t>He works at a research institute.</t>
  </si>
  <si>
    <t>Anh ấy làm việc tại viện nghiên cứu.</t>
  </si>
  <si>
    <t>hi</t>
  </si>
  <si>
    <t>chào</t>
  </si>
  <si>
    <t>Hi, nice to meet you.</t>
  </si>
  <si>
    <t>Chào, rất vui được gặp bạn.</t>
  </si>
  <si>
    <t>smoke</t>
  </si>
  <si>
    <t>I can see the smoke.</t>
  </si>
  <si>
    <t>Tôi có thể nhìn thấy khói.</t>
  </si>
  <si>
    <t>sad</t>
  </si>
  <si>
    <t>I feel very sad today.</t>
  </si>
  <si>
    <t>Tôi cảm thấy rất buồn hôm nay.</t>
  </si>
  <si>
    <t>wash</t>
  </si>
  <si>
    <t>giặt</t>
  </si>
  <si>
    <t>I wash my clothes daily.</t>
  </si>
  <si>
    <t>Tôi giặt quần áo hàng ngày.</t>
  </si>
  <si>
    <t>lift</t>
  </si>
  <si>
    <t>Lift the box up slowly.</t>
  </si>
  <si>
    <t>Hãy nâng cái hộp lên một cách chậm rãi.</t>
  </si>
  <si>
    <t>split</t>
  </si>
  <si>
    <t>Split the group in two.</t>
  </si>
  <si>
    <t>Hãy chia nhóm thành hai.</t>
  </si>
  <si>
    <t>sink</t>
  </si>
  <si>
    <t>The heavy boat will sink.</t>
  </si>
  <si>
    <t>Chiếc thuyền nặng sẽ chìm.</t>
  </si>
  <si>
    <t>nurse</t>
  </si>
  <si>
    <t>The nurse helped the patient.</t>
  </si>
  <si>
    <t>Cô y tá đã giúp đỡ bệnh nhân.</t>
  </si>
  <si>
    <t>port</t>
  </si>
  <si>
    <t>The ship entered the port.</t>
  </si>
  <si>
    <t>Con tàu đã vào cảng.</t>
  </si>
  <si>
    <t>species</t>
  </si>
  <si>
    <t>loài</t>
  </si>
  <si>
    <t>This species is rare.</t>
  </si>
  <si>
    <t>Loài này hiện rất hiếm.</t>
  </si>
  <si>
    <t>substance</t>
  </si>
  <si>
    <t>The substance is toxic.</t>
  </si>
  <si>
    <t>Chất này rất độc hại.</t>
  </si>
  <si>
    <t>sum</t>
  </si>
  <si>
    <t>tổng</t>
  </si>
  <si>
    <t>The sum is very large.</t>
  </si>
  <si>
    <t>Tổng số rất lớn.</t>
  </si>
  <si>
    <t>plus</t>
  </si>
  <si>
    <t>Two plus two is four.</t>
  </si>
  <si>
    <t>Hai cộng hai bằng bốn.</t>
  </si>
  <si>
    <t>weak</t>
  </si>
  <si>
    <t>He feels very weak today.</t>
  </si>
  <si>
    <t>Anh ấy cảm thấy rất yếu hôm nay.</t>
  </si>
  <si>
    <t>shortly</t>
  </si>
  <si>
    <t>He will arrive shortly.</t>
  </si>
  <si>
    <t>Anh ấy sẽ đến đây sớm.</t>
  </si>
  <si>
    <t>rain</t>
  </si>
  <si>
    <t>Heavy rain started this morning.</t>
  </si>
  <si>
    <t>Cơn mưa lớn đã bắt đầu sáng nay.</t>
  </si>
  <si>
    <t>swim</t>
  </si>
  <si>
    <t>I love to swim fast.</t>
  </si>
  <si>
    <t>Tôi thích bơi nhanh.</t>
  </si>
  <si>
    <t>sample</t>
  </si>
  <si>
    <t>I need a small product sample.</t>
  </si>
  <si>
    <t>Tôi cần một mẫu sản phẩm nhỏ.</t>
  </si>
  <si>
    <t>mile</t>
  </si>
  <si>
    <t>dặm</t>
  </si>
  <si>
    <t>It is a long mile.</t>
  </si>
  <si>
    <t>Đó là một dặm đường dài.</t>
  </si>
  <si>
    <t>occasion</t>
  </si>
  <si>
    <t>dịp</t>
  </si>
  <si>
    <t>It is a special occasion.</t>
  </si>
  <si>
    <t>Đây là một dịp đặc biệt.</t>
  </si>
  <si>
    <t>fault</t>
  </si>
  <si>
    <t>It is not my fault.</t>
  </si>
  <si>
    <t>Đó không phải là lỗi của tôi.</t>
  </si>
  <si>
    <t>iron</t>
  </si>
  <si>
    <t>The gate is made of iron.</t>
  </si>
  <si>
    <t>Cánh cổng được làm bằng sắt.</t>
  </si>
  <si>
    <t>dry</t>
  </si>
  <si>
    <t>The ground is dry.</t>
  </si>
  <si>
    <t>Mặt đất rất khô.</t>
  </si>
  <si>
    <t>storm</t>
  </si>
  <si>
    <t>The storm is very violent.</t>
  </si>
  <si>
    <t>Cơn bão rất dữ dội.</t>
  </si>
  <si>
    <t>fund</t>
  </si>
  <si>
    <t>They started a new fund.</t>
  </si>
  <si>
    <t>Họ đã bắt đầu một quỹ mới.</t>
  </si>
  <si>
    <t>string</t>
  </si>
  <si>
    <t>Tie it with a strong string.</t>
  </si>
  <si>
    <t>Hãy buộc nó bằng một sợi dây chắc chắn.</t>
  </si>
  <si>
    <t>bunch</t>
  </si>
  <si>
    <t>A bunch of flowers.</t>
  </si>
  <si>
    <t>Một bó hoa.</t>
  </si>
  <si>
    <t>kick</t>
  </si>
  <si>
    <t>Do not kick the ball.</t>
  </si>
  <si>
    <t>Đừng đá quả bóng đó.</t>
  </si>
  <si>
    <t>billion</t>
  </si>
  <si>
    <t>tỷ</t>
  </si>
  <si>
    <t>It costs a billion dollars.</t>
  </si>
  <si>
    <t>Nó có giá một tỷ đô la.</t>
  </si>
  <si>
    <t>mum</t>
  </si>
  <si>
    <t>Mum is waiting for me.</t>
  </si>
  <si>
    <t>Mẹ đang đợi tôi.</t>
  </si>
  <si>
    <t>grandmother</t>
  </si>
  <si>
    <t>My grandmother is kind.</t>
  </si>
  <si>
    <t>Bà của tôi rất tử tế.</t>
  </si>
  <si>
    <t>ill</t>
  </si>
  <si>
    <t>She feels very ill today.</t>
  </si>
  <si>
    <t>Cô ấy cảm thấy rất ốm hôm nay.</t>
  </si>
  <si>
    <t>cheek</t>
  </si>
  <si>
    <t>She has rosy cheeks.</t>
  </si>
  <si>
    <t>Cô ấy có đôi má hồng.</t>
  </si>
  <si>
    <t>root</t>
  </si>
  <si>
    <t>The tree has a deep root.</t>
  </si>
  <si>
    <t>Cái cây có rễ sâu.</t>
  </si>
  <si>
    <t>ah</t>
  </si>
  <si>
    <t>á</t>
  </si>
  <si>
    <t>Ah, I see it now.</t>
  </si>
  <si>
    <t>À, tôi thấy nó rồi.</t>
  </si>
  <si>
    <t>december</t>
  </si>
  <si>
    <t>tháng 12</t>
  </si>
  <si>
    <t>Born in December.</t>
  </si>
  <si>
    <t>Sinh vào tháng 12.</t>
  </si>
  <si>
    <t>document</t>
  </si>
  <si>
    <t>Sign the legal document.</t>
  </si>
  <si>
    <t>Hãy ký vào tài liệu pháp lý.</t>
  </si>
  <si>
    <t>tablet</t>
  </si>
  <si>
    <t>máy tính bảng</t>
  </si>
  <si>
    <t>She reads on her tablet.</t>
  </si>
  <si>
    <t>Cô ấy đọc sách trên máy tính bảng.</t>
  </si>
  <si>
    <t>division</t>
  </si>
  <si>
    <t>The division of labor.</t>
  </si>
  <si>
    <t>Sự phân chia lao động.</t>
  </si>
  <si>
    <t>convenient</t>
  </si>
  <si>
    <t>thuận tiện</t>
  </si>
  <si>
    <t>A very convenient location.</t>
  </si>
  <si>
    <t>Một vị trí rất thuận tiện.</t>
  </si>
  <si>
    <t>declare</t>
  </si>
  <si>
    <t>Declare the meeting open.</t>
  </si>
  <si>
    <t>Tuyên bố cuộc họp bắt đầu.</t>
  </si>
  <si>
    <t>giant</t>
  </si>
  <si>
    <t>They built a giant wall.</t>
  </si>
  <si>
    <t>Họ đã xây một bức tường khổng lồ.</t>
  </si>
  <si>
    <t>territory</t>
  </si>
  <si>
    <t>This is our own territory.</t>
  </si>
  <si>
    <t>Đây là lãnh thổ của chúng tôi.</t>
  </si>
  <si>
    <t>decade</t>
  </si>
  <si>
    <t>thập kỷ</t>
  </si>
  <si>
    <t>A whole new decade.</t>
  </si>
  <si>
    <t>Một thập kỷ hoàn toàn mới.</t>
  </si>
  <si>
    <t>drama</t>
  </si>
  <si>
    <t>A high school drama.</t>
  </si>
  <si>
    <t>Một vở kịch ở trường trung học.</t>
  </si>
  <si>
    <t>deeply</t>
  </si>
  <si>
    <t>một cách sâu sắc</t>
  </si>
  <si>
    <t>Be deeply moved.</t>
  </si>
  <si>
    <t>Cảm thấy xúc động sâu sắc.</t>
  </si>
  <si>
    <t>teenager</t>
  </si>
  <si>
    <t>The teenager loves playing games.</t>
  </si>
  <si>
    <t>Thanh thiếu niên đó thích chơi trò chơi.</t>
  </si>
  <si>
    <t>controversy</t>
  </si>
  <si>
    <t>cuộc tranh cãi</t>
  </si>
  <si>
    <t>Cause a big controversy.</t>
  </si>
  <si>
    <t>Gây ra một cuộc tranh cãi lớn.</t>
  </si>
  <si>
    <t>editor</t>
  </si>
  <si>
    <t>biên tập viên</t>
  </si>
  <si>
    <t>Ask the office editor.</t>
  </si>
  <si>
    <t>Hãy hỏi biên tập viên của văn phòng.</t>
  </si>
  <si>
    <t>tourist</t>
  </si>
  <si>
    <t>khách du lịch</t>
  </si>
  <si>
    <t>Many tourists visit this place.</t>
  </si>
  <si>
    <t>Nhiều khách du lịch thăm nơi này.</t>
  </si>
  <si>
    <t>globalization</t>
  </si>
  <si>
    <t>toàn cầu hóa</t>
  </si>
  <si>
    <t>We study the effects of globalization.</t>
  </si>
  <si>
    <t>Chúng tôi nghiên cứu tác động của toàn cầu hóa.</t>
  </si>
  <si>
    <t>tale</t>
  </si>
  <si>
    <t>He told a long tale.</t>
  </si>
  <si>
    <t>Anh ấy đã kể một câu chuyện dài.</t>
  </si>
  <si>
    <t>trick</t>
  </si>
  <si>
    <t>thủ thuật</t>
  </si>
  <si>
    <t>It is a clever trick.</t>
  </si>
  <si>
    <t>Đó là một thủ thuật thông minh.</t>
  </si>
  <si>
    <t>gently</t>
  </si>
  <si>
    <t>She placed it gently down.</t>
  </si>
  <si>
    <t>Cô ấy đặt nó xuống nhẹ nhàng.</t>
  </si>
  <si>
    <t>therapy</t>
  </si>
  <si>
    <t>She needs physical therapy daily.</t>
  </si>
  <si>
    <t>Cô ấy cần vật lý trị liệu hàng ngày.</t>
  </si>
  <si>
    <t>twelve</t>
  </si>
  <si>
    <t>mười hai</t>
  </si>
  <si>
    <t>They have twelve red pens.</t>
  </si>
  <si>
    <t>Họ có mười hai cây bút đỏ.</t>
  </si>
  <si>
    <t>toy</t>
  </si>
  <si>
    <t>The boy likes his toy.</t>
  </si>
  <si>
    <t>Cậu bé thích đồ chơi của mình.</t>
  </si>
  <si>
    <t>jail</t>
  </si>
  <si>
    <t>He was sent to jail.</t>
  </si>
  <si>
    <t>Anh ấy đã bị đưa vào tù.</t>
  </si>
  <si>
    <t>truck</t>
  </si>
  <si>
    <t>The truck is very heavy.</t>
  </si>
  <si>
    <t>Chiếc xe tải rất nặng.</t>
  </si>
  <si>
    <t>district</t>
  </si>
  <si>
    <t>The central business district.</t>
  </si>
  <si>
    <t>Quận kinh doanh trung tâm.</t>
  </si>
  <si>
    <t>grandfather</t>
  </si>
  <si>
    <t>My grandfather loves fishing.</t>
  </si>
  <si>
    <t>Ông tôi thích đi câu cá.</t>
  </si>
  <si>
    <t>desire</t>
  </si>
  <si>
    <t>khao khát</t>
  </si>
  <si>
    <t>A deep desire to learn.</t>
  </si>
  <si>
    <t>Một khao khát học hỏi sâu sắc.</t>
  </si>
  <si>
    <t>crazy</t>
  </si>
  <si>
    <t>điên rồ</t>
  </si>
  <si>
    <t>That is a crazy idea.</t>
  </si>
  <si>
    <t>Đó là một ý tưởng điên rồ.</t>
  </si>
  <si>
    <t>drawing</t>
  </si>
  <si>
    <t>bản vẽ</t>
  </si>
  <si>
    <t>A technical drawing design.</t>
  </si>
  <si>
    <t>Một bản vẽ thiết kế kỹ thuật.</t>
  </si>
  <si>
    <t>cooking</t>
  </si>
  <si>
    <t>việc nấu ăn</t>
  </si>
  <si>
    <t>Enjoy home cooking.</t>
  </si>
  <si>
    <t>Hãy thưởng thức việc nấu ăn tại nhà.</t>
  </si>
  <si>
    <t>deserve</t>
  </si>
  <si>
    <t>You deserve the prize.</t>
  </si>
  <si>
    <t>Bạn xứng đáng với giải thưởng đó.</t>
  </si>
  <si>
    <t>glance</t>
  </si>
  <si>
    <t>cái liếc</t>
  </si>
  <si>
    <t>She took a quick glance.</t>
  </si>
  <si>
    <t>Cô ấy đã liếc nhìn nhanh.</t>
  </si>
  <si>
    <t>tap</t>
  </si>
  <si>
    <t>chạm nhẹ</t>
  </si>
  <si>
    <t>Tap the screen to start.</t>
  </si>
  <si>
    <t>Chạm nhẹ vào màn hình để bắt đầu.</t>
  </si>
  <si>
    <t>drag</t>
  </si>
  <si>
    <t>Drag the file here.</t>
  </si>
  <si>
    <t>Hãy kéo tệp tin đến đây.</t>
  </si>
  <si>
    <t>educational</t>
  </si>
  <si>
    <t>mang tính giáo dục</t>
  </si>
  <si>
    <t>An educational school trip.</t>
  </si>
  <si>
    <t>Một chuyến đi học tập mang tính giáo dục.</t>
  </si>
  <si>
    <t>delay</t>
  </si>
  <si>
    <t>sự trì hoãn</t>
  </si>
  <si>
    <t>A long flight delay.</t>
  </si>
  <si>
    <t>Một chuyến bay bị trì hoãn dài.</t>
  </si>
  <si>
    <t>criticize</t>
  </si>
  <si>
    <t>Don't criticize my work.</t>
  </si>
  <si>
    <t>Đừng phê bình công việc của tôi.</t>
  </si>
  <si>
    <t>correctly</t>
  </si>
  <si>
    <t>Answer all questions correctly.</t>
  </si>
  <si>
    <t>Hãy trả lời tất cả các câu hỏi một cách đúng đắn.</t>
  </si>
  <si>
    <t>definition</t>
  </si>
  <si>
    <t>A clear term definition.</t>
  </si>
  <si>
    <t>Một định nghĩa thuật ngữ rõ ràng.</t>
  </si>
  <si>
    <t>domestic</t>
  </si>
  <si>
    <t>trong nước</t>
  </si>
  <si>
    <t>A domestic flight today.</t>
  </si>
  <si>
    <t>Một chuyến bay trong nước hôm nay.</t>
  </si>
  <si>
    <t>tape</t>
  </si>
  <si>
    <t>I need some clear tape.</t>
  </si>
  <si>
    <t>Tôi cần một ít băng dính trong.</t>
  </si>
  <si>
    <t>tendency</t>
  </si>
  <si>
    <t>She has a tendency to sing.</t>
  </si>
  <si>
    <t>Cô ấy có xu hướng ca hát.</t>
  </si>
  <si>
    <t>ghost</t>
  </si>
  <si>
    <t>Did you see a ghost?</t>
  </si>
  <si>
    <t>Bạn đã thấy ma phải không?</t>
  </si>
  <si>
    <t>detailed</t>
  </si>
  <si>
    <t>A detailed project plan.</t>
  </si>
  <si>
    <t>Một kế hoạch dự án chi tiết.</t>
  </si>
  <si>
    <t>crowd</t>
  </si>
  <si>
    <t>A large cheering crowd.</t>
  </si>
  <si>
    <t>Một đám đông lớn đang cổ vũ.</t>
  </si>
  <si>
    <t>clerk</t>
  </si>
  <si>
    <t>nhân viên văn phòng</t>
  </si>
  <si>
    <t>The clerk helps customers.</t>
  </si>
  <si>
    <t>Nhân viên văn phòng giúp khách hàng.</t>
  </si>
  <si>
    <t>equally</t>
  </si>
  <si>
    <t>một cách bình đẳng</t>
  </si>
  <si>
    <t>Distribute the money equally.</t>
  </si>
  <si>
    <t>Hãy chia tiền một cách bình đẳng.</t>
  </si>
  <si>
    <t>consistently</t>
  </si>
  <si>
    <t>một cách nhất quán</t>
  </si>
  <si>
    <t>She performs consistently well.</t>
  </si>
  <si>
    <t>Cô ấy thể hiện tốt một cách nhất quán.</t>
  </si>
  <si>
    <t>campus</t>
  </si>
  <si>
    <t>khuôn viên trường</t>
  </si>
  <si>
    <t>Walk around the campus.</t>
  </si>
  <si>
    <t>Đi bộ quanh khuôn viên trường.</t>
  </si>
  <si>
    <t>efficiently</t>
  </si>
  <si>
    <t>Work efficiently at school.</t>
  </si>
  <si>
    <t>Làm việc một cách hiệu quả ở trường.</t>
  </si>
  <si>
    <t>consult</t>
  </si>
  <si>
    <t>tham khảo ý kiến</t>
  </si>
  <si>
    <t>Consult your doctor.</t>
  </si>
  <si>
    <t>Hãy tham khảo ý kiến bác sĩ.</t>
  </si>
  <si>
    <t>presentation</t>
  </si>
  <si>
    <t>bài thuyết trình</t>
  </si>
  <si>
    <t>He gave a great presentation.</t>
  </si>
  <si>
    <t>Anh ấy đã có một bài thuyết trình tuyệt vời.</t>
  </si>
  <si>
    <t>substantially</t>
  </si>
  <si>
    <t>Prices changed very substantially.</t>
  </si>
  <si>
    <t>Giá cả đã thay đổi một cách đáng kể.</t>
  </si>
  <si>
    <t>span</t>
  </si>
  <si>
    <t>The project has a short span.</t>
  </si>
  <si>
    <t>Dự án có khoảng thời gian thực hiện ngắn.</t>
  </si>
  <si>
    <t>acceptable</t>
  </si>
  <si>
    <t>có thể chấp nhận</t>
  </si>
  <si>
    <t>This result is perfectly acceptable.</t>
  </si>
  <si>
    <t>Kết quả này hoàn toàn có thể chấp nhận được.</t>
  </si>
  <si>
    <t>mental</t>
  </si>
  <si>
    <t>thuộc tinh thần</t>
  </si>
  <si>
    <t>Health includes mental well-being.</t>
  </si>
  <si>
    <t>Sức khỏe bao gồm cả sự khỏe mạnh về tinh thần.</t>
  </si>
  <si>
    <t>historic</t>
  </si>
  <si>
    <t>có tính lịch sử</t>
  </si>
  <si>
    <t>It was a historic day.</t>
  </si>
  <si>
    <t>Đó là một ngày có tính lịch sử.</t>
  </si>
  <si>
    <t>celebrity</t>
  </si>
  <si>
    <t>người nổi tiếng</t>
  </si>
  <si>
    <t>She is a celebrity.</t>
  </si>
  <si>
    <t>Cô ấy là một người nổi tiếng.</t>
  </si>
  <si>
    <t>advertising</t>
  </si>
  <si>
    <t>ngành quảng cáo</t>
  </si>
  <si>
    <t>She works in advertising.</t>
  </si>
  <si>
    <t>Cô ấy làm việc trong ngành quảng cáo.</t>
  </si>
  <si>
    <t>convinced</t>
  </si>
  <si>
    <t>bị thuyết phục</t>
  </si>
  <si>
    <t>Be convinced of success.</t>
  </si>
  <si>
    <t>Hãy bị thuyết phục về sự thành công.</t>
  </si>
  <si>
    <t>stare</t>
  </si>
  <si>
    <t>Do not stare at people.</t>
  </si>
  <si>
    <t>Đừng nhìn chằm chằm vào mọi người.</t>
  </si>
  <si>
    <t>spiritual</t>
  </si>
  <si>
    <t>thuộc tâm linh</t>
  </si>
  <si>
    <t>She has deep spiritual beliefs.</t>
  </si>
  <si>
    <t>Cô ấy có niềm tin tâm linh sâu sắc.</t>
  </si>
  <si>
    <t>experienced</t>
  </si>
  <si>
    <t>có kinh nghiệm</t>
  </si>
  <si>
    <t>She is an experienced teacher.</t>
  </si>
  <si>
    <t>Cô ấy là một giáo viên có kinh nghiệm.</t>
  </si>
  <si>
    <t>infection</t>
  </si>
  <si>
    <t>sự nhiễm trùng</t>
  </si>
  <si>
    <t>She treated the bad infection.</t>
  </si>
  <si>
    <t>Cô ấy đã điều trị sự nhiễm trùng nặng.</t>
  </si>
  <si>
    <t>smoking</t>
  </si>
  <si>
    <t>việc hút thuốc</t>
  </si>
  <si>
    <t>Smoking is bad for health.</t>
  </si>
  <si>
    <t>Hút thuốc có hại cho sức khỏe.</t>
  </si>
  <si>
    <t>inspector</t>
  </si>
  <si>
    <t>người kiểm tra</t>
  </si>
  <si>
    <t>The inspector checked the machine.</t>
  </si>
  <si>
    <t>Người kiểm tra đã kiểm tra chiếc máy.</t>
  </si>
  <si>
    <t>unemployment</t>
  </si>
  <si>
    <t>sự thất nghiệp</t>
  </si>
  <si>
    <t>They fight against high unemployment.</t>
  </si>
  <si>
    <t>Họ chiến đấu chống lại sự thất nghiệp cao.</t>
  </si>
  <si>
    <t>visual</t>
  </si>
  <si>
    <t>thuộc thị giác</t>
  </si>
  <si>
    <t>They use a visual aid.</t>
  </si>
  <si>
    <t>Họ sử dụng một công cụ hỗ trợ thị giác.</t>
  </si>
  <si>
    <t>birthday</t>
  </si>
  <si>
    <t>ngày sinh nhật</t>
  </si>
  <si>
    <t>Today is my birthday.</t>
  </si>
  <si>
    <t>Hôm nay là ngày sinh nhật của tôi.</t>
  </si>
  <si>
    <t>adventure</t>
  </si>
  <si>
    <t>cuộc phiêu lưu</t>
  </si>
  <si>
    <t>We had a wild adventure.</t>
  </si>
  <si>
    <t>Chúng tôi đã có một cuộc phiêu lưu hoang dã.</t>
  </si>
  <si>
    <t>military</t>
  </si>
  <si>
    <t>thuộc quân sự</t>
  </si>
  <si>
    <t>He has a military career.</t>
  </si>
  <si>
    <t>Anh ấy có một sự nghiệp quân sự.</t>
  </si>
  <si>
    <t>immigrant</t>
  </si>
  <si>
    <t>người nhập cư</t>
  </si>
  <si>
    <t>He is a new immigrant.</t>
  </si>
  <si>
    <t>Anh ấy là một người nhập cư mới.</t>
  </si>
  <si>
    <t>companion</t>
  </si>
  <si>
    <t>He is my companion.</t>
  </si>
  <si>
    <t>Anh ấy là bạn đồng hành của tôi.</t>
  </si>
  <si>
    <t>integrated</t>
  </si>
  <si>
    <t>được tích hợp</t>
  </si>
  <si>
    <t>It is an integrated circuit.</t>
  </si>
  <si>
    <t>Đó là một mạch được tích hợp.</t>
  </si>
  <si>
    <t>intellectual</t>
  </si>
  <si>
    <t>thuộc trí tuệ</t>
  </si>
  <si>
    <t>It is an intellectual challenge.</t>
  </si>
  <si>
    <t>Đó là một thử thách về trí tuệ.</t>
  </si>
  <si>
    <t>shaped</t>
  </si>
  <si>
    <t>được tạo hình</t>
  </si>
  <si>
    <t>It is a heart-shaped cookie.</t>
  </si>
  <si>
    <t>Đó là một chiếc bánh quy được tạo hình trái tim.</t>
  </si>
  <si>
    <t>announcement</t>
  </si>
  <si>
    <t>lời thông báo</t>
  </si>
  <si>
    <t>Read the official announcement.</t>
  </si>
  <si>
    <t>Hãy đọc lời thông báo chính thức.</t>
  </si>
  <si>
    <t>atmosphere</t>
  </si>
  <si>
    <t>The atmosphere is very tense.</t>
  </si>
  <si>
    <t>Bầu không khí rất căng thẳng.</t>
  </si>
  <si>
    <t>cleaner</t>
  </si>
  <si>
    <t>người dọn dẹp</t>
  </si>
  <si>
    <t>The cleaner is working.</t>
  </si>
  <si>
    <t>Người dọn dẹp đang làm việc.</t>
  </si>
  <si>
    <t>washing</t>
  </si>
  <si>
    <t>việc giặt giũ</t>
  </si>
  <si>
    <t>The washing is finished.</t>
  </si>
  <si>
    <t>Việc giặt giũ đã xong.</t>
  </si>
  <si>
    <t>strain</t>
  </si>
  <si>
    <t>The work is a strain.</t>
  </si>
  <si>
    <t>Công việc này gây ra sự căng thẳng.</t>
  </si>
  <si>
    <t>institutional</t>
  </si>
  <si>
    <t>thuộc tổ chức</t>
  </si>
  <si>
    <t>They made some institutional changes.</t>
  </si>
  <si>
    <t>Họ đã thực hiện một vài thay đổi về tổ chức.</t>
  </si>
  <si>
    <t>horror</t>
  </si>
  <si>
    <t>sự kinh hoàng</t>
  </si>
  <si>
    <t>They watched in total horror.</t>
  </si>
  <si>
    <t>Họ đã xem trong sự kinh hoàng tột độ.</t>
  </si>
  <si>
    <t>essay</t>
  </si>
  <si>
    <t>bài tiểu luận</t>
  </si>
  <si>
    <t>Write an essay about nature.</t>
  </si>
  <si>
    <t>Hãy viết một bài tiểu luận về tự nhiên.</t>
  </si>
  <si>
    <t>bug</t>
  </si>
  <si>
    <t>lỗi máy tính</t>
  </si>
  <si>
    <t>Fix the software bug.</t>
  </si>
  <si>
    <t>Hãy sửa lỗi phần mềm đó.</t>
  </si>
  <si>
    <t>ownership</t>
  </si>
  <si>
    <t>He claimed ownership of it.</t>
  </si>
  <si>
    <t>Anh ấy đã tuyên bố quyền sở hữu nó.</t>
  </si>
  <si>
    <t>instantly</t>
  </si>
  <si>
    <t>He reacted instantly to it.</t>
  </si>
  <si>
    <t>Anh ấy đã phản ứng ngay lập tức.</t>
  </si>
  <si>
    <t>cap</t>
  </si>
  <si>
    <t>mũ lưỡi trai</t>
  </si>
  <si>
    <t>He wears a red cap.</t>
  </si>
  <si>
    <t>Anh ấy đội mũ lưỡi trai màu đỏ.</t>
  </si>
  <si>
    <t>certainty</t>
  </si>
  <si>
    <t>sự chắc chắn</t>
  </si>
  <si>
    <t>I need more certainty.</t>
  </si>
  <si>
    <t>Tôi cần sự chắc chắn hơn.</t>
  </si>
  <si>
    <t>guidance</t>
  </si>
  <si>
    <t>I need professional guidance.</t>
  </si>
  <si>
    <t>Tôi cần sự hướng dẫn chuyên môn.</t>
  </si>
  <si>
    <t>intended</t>
  </si>
  <si>
    <t>được dự định</t>
  </si>
  <si>
    <t>It is the intended result.</t>
  </si>
  <si>
    <t>Đó là kết quả đã được dự định.</t>
  </si>
  <si>
    <t>meanwhile</t>
  </si>
  <si>
    <t>trong khi đó</t>
  </si>
  <si>
    <t>Meanwhile, I will cook dinner.</t>
  </si>
  <si>
    <t>Trong khi đó, tôi sẽ nấu bữa tối.</t>
  </si>
  <si>
    <t>compromise</t>
  </si>
  <si>
    <t>Reach a fair compromise.</t>
  </si>
  <si>
    <t>Đạt đến sự thỏa hiệp công bằng.</t>
  </si>
  <si>
    <t>insight</t>
  </si>
  <si>
    <t>sự sáng suốt</t>
  </si>
  <si>
    <t>She has deep technical insight.</t>
  </si>
  <si>
    <t>Cô ấy có sự sáng suốt về kỹ thuật sâu sắc.</t>
  </si>
  <si>
    <t>identification</t>
  </si>
  <si>
    <t>sự nhận diện</t>
  </si>
  <si>
    <t>Show me your identification card.</t>
  </si>
  <si>
    <t>Hãy cho tôi xem thẻ nhận diện của bạn.</t>
  </si>
  <si>
    <t>fighting</t>
  </si>
  <si>
    <t>sự chiến đấu</t>
  </si>
  <si>
    <t>Stop the fighting right now.</t>
  </si>
  <si>
    <t>Hãy dừng việc chiến đấu ngay bây giờ.</t>
  </si>
  <si>
    <t>swimming</t>
  </si>
  <si>
    <t>việc bơi lội</t>
  </si>
  <si>
    <t>Swimming is good exercise.</t>
  </si>
  <si>
    <t>Bơi lội là một bài tập rất tốt.</t>
  </si>
  <si>
    <t>builder</t>
  </si>
  <si>
    <t>thợ xây dựng</t>
  </si>
  <si>
    <t>The builder finished work.</t>
  </si>
  <si>
    <t>Người thợ xây đã xong việc.</t>
  </si>
  <si>
    <t>consultation</t>
  </si>
  <si>
    <t>The consultation was useful.</t>
  </si>
  <si>
    <t>Sự tham khảo ý kiến rất hữu ích.</t>
  </si>
  <si>
    <t>situated</t>
  </si>
  <si>
    <t>được đặt tại</t>
  </si>
  <si>
    <t>The house is situated here.</t>
  </si>
  <si>
    <t>Ngôi nhà được đặt tại đây.</t>
  </si>
  <si>
    <t>intervention</t>
  </si>
  <si>
    <t>sự can thiệp</t>
  </si>
  <si>
    <t>The intervention was timely.</t>
  </si>
  <si>
    <t>Sự can thiệp rất kịp thời.</t>
  </si>
  <si>
    <t>set-up</t>
  </si>
  <si>
    <t>The technical set-up is ready.</t>
  </si>
  <si>
    <t>Sự thiết lập kỹ thuật đã sẵn sàng.</t>
  </si>
  <si>
    <t>shortage</t>
  </si>
  <si>
    <t>There is a food shortage.</t>
  </si>
  <si>
    <t>Có sự thiếu hụt thực phẩm.</t>
  </si>
  <si>
    <t>associated</t>
  </si>
  <si>
    <t>These issues are closely associated.</t>
  </si>
  <si>
    <t>Những vấn đề này có liên quan chặt chẽ.</t>
  </si>
  <si>
    <t>urban</t>
  </si>
  <si>
    <t>thuộc đô thị</t>
  </si>
  <si>
    <t>They prefer the urban life.</t>
  </si>
  <si>
    <t>Họ thích cuộc sống đô thị.</t>
  </si>
  <si>
    <t>impress</t>
  </si>
  <si>
    <t>gây ấn tượng</t>
  </si>
  <si>
    <t>Try to impress the boss.</t>
  </si>
  <si>
    <t>Hãy cố gắng gây ấn tượng với sếp.</t>
  </si>
  <si>
    <t>equality</t>
  </si>
  <si>
    <t>sự bình đẳng</t>
  </si>
  <si>
    <t>We fight for gender equality.</t>
  </si>
  <si>
    <t>Chúng tôi đấu tranh vì bình đẳng giới.</t>
  </si>
  <si>
    <t>awareness</t>
  </si>
  <si>
    <t>We raise awareness of issues.</t>
  </si>
  <si>
    <t>Chúng tôi nâng cao nhận thức về các vấn đề.</t>
  </si>
  <si>
    <t>approval</t>
  </si>
  <si>
    <t>sự phê duyệt</t>
  </si>
  <si>
    <t>We wait for official approval.</t>
  </si>
  <si>
    <t>Chúng tôi chờ đợi sự phê duyệt chính thức.</t>
  </si>
  <si>
    <t>collaboration</t>
  </si>
  <si>
    <t>sự cộng tác</t>
  </si>
  <si>
    <t>Great collaboration leads to success.</t>
  </si>
  <si>
    <t>Sự cộng tác tốt dẫn đến thành công.</t>
  </si>
  <si>
    <t>bonus</t>
  </si>
  <si>
    <t>He received a yearly bonus.</t>
  </si>
  <si>
    <t>Anh ấy nhận được tiền thưởng năm.</t>
  </si>
  <si>
    <t>consciousness</t>
  </si>
  <si>
    <t>sự tỉnh táo</t>
  </si>
  <si>
    <t>He regained his consciousness.</t>
  </si>
  <si>
    <t>Anh ấy đã lấy lại sự tỉnh táo.</t>
  </si>
  <si>
    <t>abuse</t>
  </si>
  <si>
    <t>He reports the power abuse.</t>
  </si>
  <si>
    <t>Anh ấy báo cáo việc lạm dụng quyền lực.</t>
  </si>
  <si>
    <t>singing</t>
  </si>
  <si>
    <t>việc ca hát</t>
  </si>
  <si>
    <t>I love her singing voice.</t>
  </si>
  <si>
    <t>Tôi yêu giọng hát của cô ấy.</t>
  </si>
  <si>
    <t>confirmation</t>
  </si>
  <si>
    <t>sự xác nhận</t>
  </si>
  <si>
    <t>I need a confirmation.</t>
  </si>
  <si>
    <t>Tôi cần sự xác nhận.</t>
  </si>
  <si>
    <t>impressed</t>
  </si>
  <si>
    <t>bị ấn tượng</t>
  </si>
  <si>
    <t>I was impressed by her.</t>
  </si>
  <si>
    <t>Tôi đã bị ấn tượng bởi cô ấy.</t>
  </si>
  <si>
    <t>exposure</t>
  </si>
  <si>
    <t>sự tiếp xúc</t>
  </si>
  <si>
    <t>Limit your exposure to sun.</t>
  </si>
  <si>
    <t>Hãy giới hạn sự tiếp xúc với ánh mặt trời.</t>
  </si>
  <si>
    <t>browser</t>
  </si>
  <si>
    <t>trình duyệt</t>
  </si>
  <si>
    <t>Open the web browser.</t>
  </si>
  <si>
    <t>Hãy mở trình duyệt web.</t>
  </si>
  <si>
    <t>complexity</t>
  </si>
  <si>
    <t>sự phức tạp</t>
  </si>
  <si>
    <t>The complexity is high.</t>
  </si>
  <si>
    <t>Sự phức tạp này rất cao.</t>
  </si>
  <si>
    <t>evaluation</t>
  </si>
  <si>
    <t>The evaluation is positive.</t>
  </si>
  <si>
    <t>Sự đánh giá rất tích cực.</t>
  </si>
  <si>
    <t>assessment</t>
  </si>
  <si>
    <t>The final assessment is due.</t>
  </si>
  <si>
    <t>Sự đánh giá cuối cùng đã đến hạn.</t>
  </si>
  <si>
    <t>inquiry</t>
  </si>
  <si>
    <t>sự hỏi thăm</t>
  </si>
  <si>
    <t>They made a formal inquiry.</t>
  </si>
  <si>
    <t>Họ đã thực hiện một sự hỏi thăm chính thức.</t>
  </si>
  <si>
    <t>unusual</t>
  </si>
  <si>
    <t>khác thường</t>
  </si>
  <si>
    <t>This is an unusual sound.</t>
  </si>
  <si>
    <t>Đây là một âm thanh khác thường.</t>
  </si>
  <si>
    <t>unlike</t>
  </si>
  <si>
    <t>không giống</t>
  </si>
  <si>
    <t>Unlike you, I like fish.</t>
  </si>
  <si>
    <t>Không giống bạn, tôi thích cá.</t>
  </si>
  <si>
    <t>integration</t>
  </si>
  <si>
    <t>sự tích hợp</t>
  </si>
  <si>
    <t>We study system integration.</t>
  </si>
  <si>
    <t>Chúng tôi nghiên cứu sự tích hợp hệ thống.</t>
  </si>
  <si>
    <t>specialized</t>
  </si>
  <si>
    <t>We use specialized equipment.</t>
  </si>
  <si>
    <t>Chúng tôi sử dụng thiết bị chuyên dụng ở đây.</t>
  </si>
  <si>
    <t>demonstrate</t>
  </si>
  <si>
    <t>Demonstrate the new system.</t>
  </si>
  <si>
    <t>Hãy chứng minh hệ thống mới.</t>
  </si>
  <si>
    <t>clinic</t>
  </si>
  <si>
    <t>Go to the clinic.</t>
  </si>
  <si>
    <t>Hãy đi đến phòng khám.</t>
  </si>
  <si>
    <t>abroad</t>
  </si>
  <si>
    <t>He is working abroad.</t>
  </si>
  <si>
    <t>Anh ấy đang làm việc ở nước ngoài.</t>
  </si>
  <si>
    <t>wealth</t>
  </si>
  <si>
    <t>sự giàu có</t>
  </si>
  <si>
    <t>He used his huge wealth.</t>
  </si>
  <si>
    <t>Anh ấy đã sử dụng khối tài sản khổng lồ của mình.</t>
  </si>
  <si>
    <t>hopefully</t>
  </si>
  <si>
    <t>hy vọng là</t>
  </si>
  <si>
    <t>Hopefully, it will not rain.</t>
  </si>
  <si>
    <t>Hy vọng là trời sẽ không mưa.</t>
  </si>
  <si>
    <t>appreciate</t>
  </si>
  <si>
    <t>trân trọng</t>
  </si>
  <si>
    <t>I appreciate your kind help.</t>
  </si>
  <si>
    <t>Tôi trân trọng sự giúp đỡ của bạn.</t>
  </si>
  <si>
    <t>harm</t>
  </si>
  <si>
    <t>sự tổn hại</t>
  </si>
  <si>
    <t>It caused no real harm.</t>
  </si>
  <si>
    <t>Nó không gây ra sự tổn hại thực sự nào.</t>
  </si>
  <si>
    <t>unlikely</t>
  </si>
  <si>
    <t>không chắc</t>
  </si>
  <si>
    <t>It is unlikely to rain.</t>
  </si>
  <si>
    <t>Không chắc là trời sẽ mưa.</t>
  </si>
  <si>
    <t>consequently</t>
  </si>
  <si>
    <t>hậu quả là</t>
  </si>
  <si>
    <t>It rained; consequently, I got wet.</t>
  </si>
  <si>
    <t>Trời mưa; hậu quả là tôi bị ướt.</t>
  </si>
  <si>
    <t>sometime</t>
  </si>
  <si>
    <t>Let us meet sometime soon.</t>
  </si>
  <si>
    <t>Hãy gặp nhau vào lúc nào đó sớm.</t>
  </si>
  <si>
    <t>conservation</t>
  </si>
  <si>
    <t>sự bảo tồn</t>
  </si>
  <si>
    <t>Nature conservation is vital.</t>
  </si>
  <si>
    <t>Sự bảo tồn thiên nhiên là thiết yếu.</t>
  </si>
  <si>
    <t>personally</t>
  </si>
  <si>
    <t>về cá nhân</t>
  </si>
  <si>
    <t>Personally, I disagree with you.</t>
  </si>
  <si>
    <t>Về cá nhân, tôi không đồng ý với bạn.</t>
  </si>
  <si>
    <t>adjust</t>
  </si>
  <si>
    <t>Please adjust your seat.</t>
  </si>
  <si>
    <t>Vui lòng điều chỉnh ghế của bạn.</t>
  </si>
  <si>
    <t>clause</t>
  </si>
  <si>
    <t>Read the contract clause.</t>
  </si>
  <si>
    <t>Hãy đọc điều khoản hợp đồng.</t>
  </si>
  <si>
    <t>fuel</t>
  </si>
  <si>
    <t>Refill the fuel tank.</t>
  </si>
  <si>
    <t>Hãy nạp lại bình nhiên liệu.</t>
  </si>
  <si>
    <t>secondly</t>
  </si>
  <si>
    <t>thứ hai là</t>
  </si>
  <si>
    <t>Secondly, we need more budget.</t>
  </si>
  <si>
    <t>Thứ hai là, chúng ta cần thêm ngân sách.</t>
  </si>
  <si>
    <t>celebration</t>
  </si>
  <si>
    <t>lễ kỷ niệm</t>
  </si>
  <si>
    <t>The celebration was fun.</t>
  </si>
  <si>
    <t>Buổi lễ kỷ niệm rất vui.</t>
  </si>
  <si>
    <t>expansion</t>
  </si>
  <si>
    <t>The expansion was very fast.</t>
  </si>
  <si>
    <t>Sự mở rộng diễn ra rất nhanh.</t>
  </si>
  <si>
    <t>installation</t>
  </si>
  <si>
    <t>The installation is finished.</t>
  </si>
  <si>
    <t>Sự cài đặt đã hoàn thành.</t>
  </si>
  <si>
    <t>passenger</t>
  </si>
  <si>
    <t>The passenger sat down quietly.</t>
  </si>
  <si>
    <t>Hành khách ngồi xuống một cách lặng lẽ.</t>
  </si>
  <si>
    <t>wage</t>
  </si>
  <si>
    <t>They pay a high wage.</t>
  </si>
  <si>
    <t>Họ trả mức tiền lương cao.</t>
  </si>
  <si>
    <t>practical</t>
  </si>
  <si>
    <t>thiết thực</t>
  </si>
  <si>
    <t>This is a practical solution.</t>
  </si>
  <si>
    <t>Đây là một giải pháp thiết thực.</t>
  </si>
  <si>
    <t>shelter</t>
  </si>
  <si>
    <t>nơi trú ẩn</t>
  </si>
  <si>
    <t>We need a temporary shelter.</t>
  </si>
  <si>
    <t>Chúng tôi cần một nơi trú ẩn tạm thời.</t>
  </si>
  <si>
    <t>syndrome</t>
  </si>
  <si>
    <t>hội chứng</t>
  </si>
  <si>
    <t>A chronic syndrome affects him.</t>
  </si>
  <si>
    <t>Một hội chứng mãn tính ảnh hưởng đến anh ấy.</t>
  </si>
  <si>
    <t>brick</t>
  </si>
  <si>
    <t>viên gạch</t>
  </si>
  <si>
    <t>Build a wall with bricks.</t>
  </si>
  <si>
    <t>Xây tường bằng những viên gạch.</t>
  </si>
  <si>
    <t>calculate</t>
  </si>
  <si>
    <t>Calculate the total cost.</t>
  </si>
  <si>
    <t>Hãy tính toán tổng chi phí.</t>
  </si>
  <si>
    <t>interact</t>
  </si>
  <si>
    <t>tương tác</t>
  </si>
  <si>
    <t>Children interact with each other.</t>
  </si>
  <si>
    <t>Trẻ em tương tác với nhau.</t>
  </si>
  <si>
    <t>cite</t>
  </si>
  <si>
    <t>Cite the source now.</t>
  </si>
  <si>
    <t>Hãy trích dẫn nguồn ngay.</t>
  </si>
  <si>
    <t>chase</t>
  </si>
  <si>
    <t>Dogs chase the cats.</t>
  </si>
  <si>
    <t>Những chú chó đuổi theo mèo.</t>
  </si>
  <si>
    <t>download</t>
  </si>
  <si>
    <t>tải xuống</t>
  </si>
  <si>
    <t>Download the new file.</t>
  </si>
  <si>
    <t>Hãy tải xuống tệp mới.</t>
  </si>
  <si>
    <t>upper</t>
  </si>
  <si>
    <t>He lives on the upper floor.</t>
  </si>
  <si>
    <t>Anh ấy sống ở tầng trên.</t>
  </si>
  <si>
    <t>contemporary</t>
  </si>
  <si>
    <t>đương đại</t>
  </si>
  <si>
    <t>He studies contemporary art.</t>
  </si>
  <si>
    <t>Anh ấy học nghệ thuật đương đại.</t>
  </si>
  <si>
    <t>ultimately</t>
  </si>
  <si>
    <t>He ultimately finished the work.</t>
  </si>
  <si>
    <t>Anh ấy cuối cùng đã hoàn thành công việc.</t>
  </si>
  <si>
    <t>bear</t>
  </si>
  <si>
    <t>I cannot bear this noise.</t>
  </si>
  <si>
    <t>Tôi không thể chịu đựng tiếng ồn này.</t>
  </si>
  <si>
    <t>info</t>
  </si>
  <si>
    <t>I need more info.</t>
  </si>
  <si>
    <t>Tôi cần thêm thông tin.</t>
  </si>
  <si>
    <t>prefer</t>
  </si>
  <si>
    <t>thích hơn</t>
  </si>
  <si>
    <t>I prefer tea over coffee.</t>
  </si>
  <si>
    <t>Tôi thích trà hơn cà phê.</t>
  </si>
  <si>
    <t>genuinely</t>
  </si>
  <si>
    <t>thật lòng</t>
  </si>
  <si>
    <t>I was genuinely surprised.</t>
  </si>
  <si>
    <t>Tôi đã thật lòng ngạc nhiên.</t>
  </si>
  <si>
    <t>shame</t>
  </si>
  <si>
    <t>sự xấu hổ</t>
  </si>
  <si>
    <t>It is a shame to lie.</t>
  </si>
  <si>
    <t>Nói dối là một sự xấu hổ.</t>
  </si>
  <si>
    <t>comprehensive</t>
  </si>
  <si>
    <t>toàn diện</t>
  </si>
  <si>
    <t>It is comprehensive research.</t>
  </si>
  <si>
    <t>Đó là một nghiên cứu toàn diện.</t>
  </si>
  <si>
    <t>kilometre</t>
  </si>
  <si>
    <t>ki-lô-mét</t>
  </si>
  <si>
    <t>It is one kilometre away.</t>
  </si>
  <si>
    <t>Nó cách xa một ki-lô-mét.</t>
  </si>
  <si>
    <t>length</t>
  </si>
  <si>
    <t>Measure the length of it.</t>
  </si>
  <si>
    <t>Hãy đo chiều dài của nó.</t>
  </si>
  <si>
    <t>happiness</t>
  </si>
  <si>
    <t>Money cannot buy real happiness.</t>
  </si>
  <si>
    <t>Tiền không thể mua được hạnh phúc thực sự.</t>
  </si>
  <si>
    <t>february</t>
  </si>
  <si>
    <t>tháng hai</t>
  </si>
  <si>
    <t>My birthday is in February.</t>
  </si>
  <si>
    <t>Sinh nhật tôi vào tháng hai.</t>
  </si>
  <si>
    <t>emerge</t>
  </si>
  <si>
    <t>New facts emerge from the report.</t>
  </si>
  <si>
    <t>Các sự thật mới xuất hiện từ báo cáo.</t>
  </si>
  <si>
    <t>constitution</t>
  </si>
  <si>
    <t>Read the new constitution.</t>
  </si>
  <si>
    <t>Hãy đọc bản hiến pháp mới.</t>
  </si>
  <si>
    <t>boundary</t>
  </si>
  <si>
    <t>Respect the personal boundary.</t>
  </si>
  <si>
    <t>Hãy tôn trọng ranh giới cá nhân.</t>
  </si>
  <si>
    <t>certificate</t>
  </si>
  <si>
    <t>chứng chỉ</t>
  </si>
  <si>
    <t>She has a certificate.</t>
  </si>
  <si>
    <t>Cô ấy có một chứng chỉ.</t>
  </si>
  <si>
    <t>golden</t>
  </si>
  <si>
    <t>bằng vàng</t>
  </si>
  <si>
    <t>She has a golden heart.</t>
  </si>
  <si>
    <t>Cô ấy có một trái tim vàng.</t>
  </si>
  <si>
    <t>personality</t>
  </si>
  <si>
    <t>She has a great personality.</t>
  </si>
  <si>
    <t>Cô ấy có một tính cách tuyệt vời.</t>
  </si>
  <si>
    <t>philosophy</t>
  </si>
  <si>
    <t>She studies modern philosophy.</t>
  </si>
  <si>
    <t>Cô ấy đang học triết học hiện đại.</t>
  </si>
  <si>
    <t>manner</t>
  </si>
  <si>
    <t>cách thức</t>
  </si>
  <si>
    <t>Speak in a polite manner.</t>
  </si>
  <si>
    <t>Hãy nói chuyện một cách lịch sự.</t>
  </si>
  <si>
    <t>bound</t>
  </si>
  <si>
    <t>Success is bound to come.</t>
  </si>
  <si>
    <t>Thành công chắc chắn sẽ đến.</t>
  </si>
  <si>
    <t>exact</t>
  </si>
  <si>
    <t>Tell me the exact time.</t>
  </si>
  <si>
    <t>Hãy cho tôi biết thời gian chính xác.</t>
  </si>
  <si>
    <t>accurate</t>
  </si>
  <si>
    <t>That is an accurate report.</t>
  </si>
  <si>
    <t>Đó là một báo cáo chính xác.</t>
  </si>
  <si>
    <t>exhibition</t>
  </si>
  <si>
    <t>The art exhibition is great.</t>
  </si>
  <si>
    <t>Cuộc triển lãm nghệ thuật rất tuyệt.</t>
  </si>
  <si>
    <t>coalition</t>
  </si>
  <si>
    <t>The coalition won power.</t>
  </si>
  <si>
    <t>Liên minh đó giành quyền lực.</t>
  </si>
  <si>
    <t>phase</t>
  </si>
  <si>
    <t>The first phase is done.</t>
  </si>
  <si>
    <t>Giai đoạn đầu tiên đã xong.</t>
  </si>
  <si>
    <t>flow</t>
  </si>
  <si>
    <t>The flow is very strong.</t>
  </si>
  <si>
    <t>Dòng chảy rất mạnh.</t>
  </si>
  <si>
    <t>hardware</t>
  </si>
  <si>
    <t>phần cứng</t>
  </si>
  <si>
    <t>The hardware is powerful.</t>
  </si>
  <si>
    <t>Phần cứng đó rất mạnh mẽ.</t>
  </si>
  <si>
    <t>interface</t>
  </si>
  <si>
    <t>giao diện</t>
  </si>
  <si>
    <t>The interface is very simple.</t>
  </si>
  <si>
    <t>Giao diện rất đơn giản.</t>
  </si>
  <si>
    <t>princess</t>
  </si>
  <si>
    <t>công chúa</t>
  </si>
  <si>
    <t>The princess lived in a castle.</t>
  </si>
  <si>
    <t>Công chúa sống trong một tòa lâu đài.</t>
  </si>
  <si>
    <t>viewer</t>
  </si>
  <si>
    <t>người xem</t>
  </si>
  <si>
    <t>The viewer likes this show.</t>
  </si>
  <si>
    <t>Người xem thích chương trình này.</t>
  </si>
  <si>
    <t>wine</t>
  </si>
  <si>
    <t>They drink red wine daily.</t>
  </si>
  <si>
    <t>Họ uống rượu vang đỏ hằng ngày.</t>
  </si>
  <si>
    <t>identical</t>
  </si>
  <si>
    <t>They look exactly identical.</t>
  </si>
  <si>
    <t>Họ trông giống hệt nhau.</t>
  </si>
  <si>
    <t>occupy</t>
  </si>
  <si>
    <t>chiếm giữ</t>
  </si>
  <si>
    <t>They occupy the main office.</t>
  </si>
  <si>
    <t>Họ chiếm giữ văn phòng chính.</t>
  </si>
  <si>
    <t>via</t>
  </si>
  <si>
    <t>They sent it via email.</t>
  </si>
  <si>
    <t>Họ đã gửi nó thông qua email.</t>
  </si>
  <si>
    <t>net</t>
  </si>
  <si>
    <t>They use a fishing net.</t>
  </si>
  <si>
    <t>Họ sử dụng một chiếc lưới đánh cá.</t>
  </si>
  <si>
    <t>compensation</t>
  </si>
  <si>
    <t>sự đền bù</t>
  </si>
  <si>
    <t>They want full compensation.</t>
  </si>
  <si>
    <t>Họ muốn sự đền bù đầy đủ.</t>
  </si>
  <si>
    <t>appropriate</t>
  </si>
  <si>
    <t>This is an appropriate choice.</t>
  </si>
  <si>
    <t>Đây là một sự lựa chọn thích hợp.</t>
  </si>
  <si>
    <t>ultimate</t>
  </si>
  <si>
    <t>This is our ultimate goal.</t>
  </si>
  <si>
    <t>Đây là mục tiêu cuối cùng của chúng ta.</t>
  </si>
  <si>
    <t>painting</t>
  </si>
  <si>
    <t>This painting is beautiful.</t>
  </si>
  <si>
    <t>Bức tranh này rất đẹp.</t>
  </si>
  <si>
    <t>bathroom</t>
  </si>
  <si>
    <t>Where is the bathroom, please?</t>
  </si>
  <si>
    <t>Phòng tắm ở đâu vậy ạ?</t>
  </si>
  <si>
    <t>apparently</t>
  </si>
  <si>
    <t>Apparently, he is not coming.</t>
  </si>
  <si>
    <t>Hình như anh ấy không đến.</t>
  </si>
  <si>
    <t>construct</t>
  </si>
  <si>
    <t>Construct the new bridge.</t>
  </si>
  <si>
    <t>Hãy xây dựng cây cầu mới.</t>
  </si>
  <si>
    <t>associate</t>
  </si>
  <si>
    <t>Do not associate with him.</t>
  </si>
  <si>
    <t>Đừng liên kết với anh ta.</t>
  </si>
  <si>
    <t>stranger</t>
  </si>
  <si>
    <t>Do not talk to strangers.</t>
  </si>
  <si>
    <t>Đừng nói chuyện với người lạ.</t>
  </si>
  <si>
    <t>clue</t>
  </si>
  <si>
    <t>Find a small clue.</t>
  </si>
  <si>
    <t>Hãy tìm một manh mối nhỏ.</t>
  </si>
  <si>
    <t>marketing</t>
  </si>
  <si>
    <t>tiếp thị</t>
  </si>
  <si>
    <t>Focus on your marketing strategy.</t>
  </si>
  <si>
    <t>Hãy tập trung vào chiến lược tiếp thị.</t>
  </si>
  <si>
    <t>master</t>
  </si>
  <si>
    <t>bậc thầy</t>
  </si>
  <si>
    <t>He is a master chef.</t>
  </si>
  <si>
    <t>Anh ấy là một đầu bếp bậc thầy.</t>
  </si>
  <si>
    <t>superior</t>
  </si>
  <si>
    <t>He is my superior officer.</t>
  </si>
  <si>
    <t>Ông ấy là sĩ quan cấp trên của tôi.</t>
  </si>
  <si>
    <t>opposed</t>
  </si>
  <si>
    <t>He is opposed to change.</t>
  </si>
  <si>
    <t>Anh ấy phản đối sự thay đổi.</t>
  </si>
  <si>
    <t>breathing</t>
  </si>
  <si>
    <t>việc thở</t>
  </si>
  <si>
    <t>Her breathing is normal.</t>
  </si>
  <si>
    <t>Việc thở của cô ấy bình thường.</t>
  </si>
  <si>
    <t>pleased</t>
  </si>
  <si>
    <t>hài lòng</t>
  </si>
  <si>
    <t>I am pleased with you.</t>
  </si>
  <si>
    <t>Tôi hài lòng với bạn.</t>
  </si>
  <si>
    <t>fifteen</t>
  </si>
  <si>
    <t>mười lăm</t>
  </si>
  <si>
    <t>I have fifteen new books.</t>
  </si>
  <si>
    <t>Tôi có mười lăm cuốn sách mới.</t>
  </si>
  <si>
    <t>episode</t>
  </si>
  <si>
    <t>tập phim</t>
  </si>
  <si>
    <t>I missed the first episode.</t>
  </si>
  <si>
    <t>Tôi đã bỏ lỡ tập phim đầu tiên.</t>
  </si>
  <si>
    <t>broadly</t>
  </si>
  <si>
    <t>It is broadly accepted.</t>
  </si>
  <si>
    <t>Nó được chấp nhận rộng rãi.</t>
  </si>
  <si>
    <t>mostly</t>
  </si>
  <si>
    <t>It is mostly finished.</t>
  </si>
  <si>
    <t>Nó phần lớn đã hoàn thành.</t>
  </si>
  <si>
    <t>widely</t>
  </si>
  <si>
    <t>It is widely known now.</t>
  </si>
  <si>
    <t>Nó được biết đến rộng rãi.</t>
  </si>
  <si>
    <t>failed</t>
  </si>
  <si>
    <t>It was a failed project.</t>
  </si>
  <si>
    <t>Đó là một dự án thất bại.</t>
  </si>
  <si>
    <t>faith</t>
  </si>
  <si>
    <t>Keep your faith in yourself.</t>
  </si>
  <si>
    <t>Hãy giữ niềm tin vào bản thân.</t>
  </si>
  <si>
    <t>perspective</t>
  </si>
  <si>
    <t>góc nhìn</t>
  </si>
  <si>
    <t>Look from another perspective.</t>
  </si>
  <si>
    <t>Hãy nhìn từ một góc nhìn khác.</t>
  </si>
  <si>
    <t>oppose</t>
  </si>
  <si>
    <t>Many people oppose the plan.</t>
  </si>
  <si>
    <t>Nhiều người phản đối kế hoạch này.</t>
  </si>
  <si>
    <t>centimetre</t>
  </si>
  <si>
    <t>xentimét</t>
  </si>
  <si>
    <t>Measure in centimetres.</t>
  </si>
  <si>
    <t>Hãy đo bằng đơn vị xentimét.</t>
  </si>
  <si>
    <t>april</t>
  </si>
  <si>
    <t>tháng tư</t>
  </si>
  <si>
    <t>My birthday is in April.</t>
  </si>
  <si>
    <t>Sinh nhật của tôi vào tháng Tư.</t>
  </si>
  <si>
    <t>feedback</t>
  </si>
  <si>
    <t>Please give me your feedback.</t>
  </si>
  <si>
    <t>Vui lòng cho tôi phản hồi của bạn.</t>
  </si>
  <si>
    <t>update</t>
  </si>
  <si>
    <t>cập nhật</t>
  </si>
  <si>
    <t>Please update the data daily.</t>
  </si>
  <si>
    <t>Hãy cập nhật dữ liệu hàng ngày.</t>
  </si>
  <si>
    <t>sentiment</t>
  </si>
  <si>
    <t>Public sentiment is shifting.</t>
  </si>
  <si>
    <t>Tình cảm của công chúng đang thay đổi.</t>
  </si>
  <si>
    <t>capability</t>
  </si>
  <si>
    <t>She has great capability.</t>
  </si>
  <si>
    <t>Cô ấy có khả năng tuyệt vời.</t>
  </si>
  <si>
    <t>shade</t>
  </si>
  <si>
    <t>Sit in the shade, please.</t>
  </si>
  <si>
    <t>Hãy ngồi trong bóng râm.</t>
  </si>
  <si>
    <t>transform</t>
  </si>
  <si>
    <t>biến đổi</t>
  </si>
  <si>
    <t>Technology can transform our life.</t>
  </si>
  <si>
    <t>Công nghệ có thể biến đổi cuộc sống của chúng ta.</t>
  </si>
  <si>
    <t>contractor</t>
  </si>
  <si>
    <t>nhà thầu</t>
  </si>
  <si>
    <t>The contractor builds houses.</t>
  </si>
  <si>
    <t>Nhà thầu xây dựng các ngôi nhà.</t>
  </si>
  <si>
    <t>illustrate</t>
  </si>
  <si>
    <t>minh họa</t>
  </si>
  <si>
    <t>The graph illustrates the trend.</t>
  </si>
  <si>
    <t>Đồ thị minh họa xu hướng.</t>
  </si>
  <si>
    <t>ending</t>
  </si>
  <si>
    <t>đoạn kết</t>
  </si>
  <si>
    <t>The movie has a sad ending.</t>
  </si>
  <si>
    <t>Bộ phim có một đoạn kết buồn.</t>
  </si>
  <si>
    <t>continuous</t>
  </si>
  <si>
    <t>The noise is continuous.</t>
  </si>
  <si>
    <t>Tiếng ồn này là liên tục.</t>
  </si>
  <si>
    <t>permit</t>
  </si>
  <si>
    <t>The rules do not permit this.</t>
  </si>
  <si>
    <t>Các quy tắc không cho phép điều này.</t>
  </si>
  <si>
    <t>seminar</t>
  </si>
  <si>
    <t>hội thảo</t>
  </si>
  <si>
    <t>The seminar begins at ten.</t>
  </si>
  <si>
    <t>Hội thảo bắt đầu lúc mười giờ.</t>
  </si>
  <si>
    <t>marriage</t>
  </si>
  <si>
    <t>hôn nhân</t>
  </si>
  <si>
    <t>Their marriage is happy.</t>
  </si>
  <si>
    <t>Cuộc hôn nhân của họ rất hạnh phúc.</t>
  </si>
  <si>
    <t>indication</t>
  </si>
  <si>
    <t>There is no clear indication.</t>
  </si>
  <si>
    <t>Không có dấu hiệu rõ ràng nào.</t>
  </si>
  <si>
    <t>accuse</t>
  </si>
  <si>
    <t>buộc tội</t>
  </si>
  <si>
    <t>They accuse him of theft.</t>
  </si>
  <si>
    <t>Họ buộc tội anh ta ăn trộm.</t>
  </si>
  <si>
    <t>expose</t>
  </si>
  <si>
    <t>They expose the dark truth.</t>
  </si>
  <si>
    <t>Họ phơi bày sự thật đen tối.</t>
  </si>
  <si>
    <t>vast</t>
  </si>
  <si>
    <t>rộng lớn</t>
  </si>
  <si>
    <t>They own a vast land.</t>
  </si>
  <si>
    <t>Họ sở hữu một vùng đất rộng lớn.</t>
  </si>
  <si>
    <t>peak</t>
  </si>
  <si>
    <t>They reached the mountain peak.</t>
  </si>
  <si>
    <t>Họ đã đến được đỉnh núi.</t>
  </si>
  <si>
    <t>platform</t>
  </si>
  <si>
    <t>They use a new platform.</t>
  </si>
  <si>
    <t>Họ sử dụng một nền tảng mới.</t>
  </si>
  <si>
    <t>nuclear</t>
  </si>
  <si>
    <t>They use nuclear energy.</t>
  </si>
  <si>
    <t>Họ sử dụng năng lượng hạt nhân.</t>
  </si>
  <si>
    <t>participate</t>
  </si>
  <si>
    <t>They want to participate today.</t>
  </si>
  <si>
    <t>Họ muốn tham gia hôm nay.</t>
  </si>
  <si>
    <t>warn</t>
  </si>
  <si>
    <t>cảnh báo</t>
  </si>
  <si>
    <t>They warned me about it.</t>
  </si>
  <si>
    <t>Họ đã cảnh báo tôi về điều đó.</t>
  </si>
  <si>
    <t>sphere</t>
  </si>
  <si>
    <t>This is out of my sphere.</t>
  </si>
  <si>
    <t>Điều này nằm ngoài lĩnh vực của tôi.</t>
  </si>
  <si>
    <t>belong</t>
  </si>
  <si>
    <t>This pen belongs to me.</t>
  </si>
  <si>
    <t>Cái bút này thuộc về tôi.</t>
  </si>
  <si>
    <t>museum</t>
  </si>
  <si>
    <t>Visit the local museum.</t>
  </si>
  <si>
    <t>Hãy thăm bảo tàng địa phương.</t>
  </si>
  <si>
    <t>compound</t>
  </si>
  <si>
    <t>hợp chất</t>
  </si>
  <si>
    <t>Water is a compound.</t>
  </si>
  <si>
    <t>Nước là một loại hợp chất.</t>
  </si>
  <si>
    <t>consume</t>
  </si>
  <si>
    <t>We consume less energy.</t>
  </si>
  <si>
    <t>Chúng tôi tiêu thụ ít năng lượng.</t>
  </si>
  <si>
    <t>obtain</t>
  </si>
  <si>
    <t>We hope to obtain results.</t>
  </si>
  <si>
    <t>Chúng tôi hy vọng đạt được kết quả.</t>
  </si>
  <si>
    <t>sustainable</t>
  </si>
  <si>
    <t>bền vững</t>
  </si>
  <si>
    <t>We need a sustainable future.</t>
  </si>
  <si>
    <t>Chúng tôi cần một tương lai bền vững.</t>
  </si>
  <si>
    <t>beach</t>
  </si>
  <si>
    <t>We walk on the beach.</t>
  </si>
  <si>
    <t>Chúng tôi đi bộ trên bãi biển.</t>
  </si>
  <si>
    <t>genre</t>
  </si>
  <si>
    <t>What is your favorite genre?</t>
  </si>
  <si>
    <t>Thể loại yêu thích của bạn là gì?</t>
  </si>
  <si>
    <t>confront</t>
  </si>
  <si>
    <t>đối mặt</t>
  </si>
  <si>
    <t>Confront your problems.</t>
  </si>
  <si>
    <t>Hãy đối mặt với vấn đề của bạn.</t>
  </si>
  <si>
    <t>stake</t>
  </si>
  <si>
    <t>cổ phần</t>
  </si>
  <si>
    <t>He has a large stake.</t>
  </si>
  <si>
    <t>Anh ấy có một cổ phần lớn.</t>
  </si>
  <si>
    <t>truly</t>
  </si>
  <si>
    <t>I am truly sorry.</t>
  </si>
  <si>
    <t>Tôi thực sự xin lỗi.</t>
  </si>
  <si>
    <t>apple</t>
  </si>
  <si>
    <t>quả táo</t>
  </si>
  <si>
    <t>I ate an apple today.</t>
  </si>
  <si>
    <t>Tôi đã ăn một quả táo hôm nay.</t>
  </si>
  <si>
    <t>knee</t>
  </si>
  <si>
    <t>I hurt my left knee.</t>
  </si>
  <si>
    <t>Tôi bị đau đầu gối trái.</t>
  </si>
  <si>
    <t>forever</t>
  </si>
  <si>
    <t>I will love you forever.</t>
  </si>
  <si>
    <t>Tôi sẽ yêu bạn mãi mãi.</t>
  </si>
  <si>
    <t>taxi</t>
  </si>
  <si>
    <t>I will take a taxi.</t>
  </si>
  <si>
    <t>Tôi sẽ bắt một chiếc xe taxi.</t>
  </si>
  <si>
    <t>mission</t>
  </si>
  <si>
    <t>It is a difficult mission.</t>
  </si>
  <si>
    <t>Đó là một sứ mệnh khó khăn.</t>
  </si>
  <si>
    <t>collective</t>
  </si>
  <si>
    <t>It is a collective effort.</t>
  </si>
  <si>
    <t>Đó là nỗ lực tập thể.</t>
  </si>
  <si>
    <t>mainly</t>
  </si>
  <si>
    <t>It is mainly about work.</t>
  </si>
  <si>
    <t>Nó chủ yếu là về công việc.</t>
  </si>
  <si>
    <t>plate</t>
  </si>
  <si>
    <t>cái đĩa</t>
  </si>
  <si>
    <t>Put it on the plate.</t>
  </si>
  <si>
    <t>Hãy đặt nó trên đĩa.</t>
  </si>
  <si>
    <t>seize</t>
  </si>
  <si>
    <t>Seize the opportunity now.</t>
  </si>
  <si>
    <t>Hãy nắm bắt cơ hội ngay bây giờ.</t>
  </si>
  <si>
    <t>emotion</t>
  </si>
  <si>
    <t>She cannot control her emotion.</t>
  </si>
  <si>
    <t>Cô ấy không thể kiểm soát cảm xúc của mình.</t>
  </si>
  <si>
    <t>mobile</t>
  </si>
  <si>
    <t>She has a mobile phone.</t>
  </si>
  <si>
    <t>Cô ấy có một chiếc điện thoại di động.</t>
  </si>
  <si>
    <t>shower</t>
  </si>
  <si>
    <t>vòi sen</t>
  </si>
  <si>
    <t>Take a shower after work.</t>
  </si>
  <si>
    <t>Hãy tắm vòi sen sau giờ làm việc.</t>
  </si>
  <si>
    <t>yours</t>
  </si>
  <si>
    <t>The book is truly yours.</t>
  </si>
  <si>
    <t>Quyển sách thực sự là của bạn.</t>
  </si>
  <si>
    <t>castle</t>
  </si>
  <si>
    <t>The castle is old.</t>
  </si>
  <si>
    <t>Tòa lâu đài này rất cũ.</t>
  </si>
  <si>
    <t>ceremony</t>
  </si>
  <si>
    <t>buổi lễ</t>
  </si>
  <si>
    <t>The ceremony is long.</t>
  </si>
  <si>
    <t>Buổi lễ này rất dài.</t>
  </si>
  <si>
    <t>commander</t>
  </si>
  <si>
    <t>The commander gives orders.</t>
  </si>
  <si>
    <t>Chỉ huy đưa ra các mệnh lệnh.</t>
  </si>
  <si>
    <t>commissioner</t>
  </si>
  <si>
    <t>The commissioner leads the meeting.</t>
  </si>
  <si>
    <t>Ủy viên điều hành cuộc họp.</t>
  </si>
  <si>
    <t>entrance</t>
  </si>
  <si>
    <t>The entrance is at the back.</t>
  </si>
  <si>
    <t>Lối vào ở phía sau.</t>
  </si>
  <si>
    <t>pace</t>
  </si>
  <si>
    <t>The pace is quite fast.</t>
  </si>
  <si>
    <t>Nhịp độ khá nhanh.</t>
  </si>
  <si>
    <t>fixed</t>
  </si>
  <si>
    <t>cố định</t>
  </si>
  <si>
    <t>The price is now fixed.</t>
  </si>
  <si>
    <t>Mức giá bây giờ đã cố định.</t>
  </si>
  <si>
    <t>stable</t>
  </si>
  <si>
    <t>The price is very stable.</t>
  </si>
  <si>
    <t>Giá cả rất ổn định.</t>
  </si>
  <si>
    <t>shareholder</t>
  </si>
  <si>
    <t>cổ đông</t>
  </si>
  <si>
    <t>The shareholder meeting is Monday.</t>
  </si>
  <si>
    <t>Cuộc họp cổ đông vào thứ Hai.</t>
  </si>
  <si>
    <t>attract</t>
  </si>
  <si>
    <t>thu hút</t>
  </si>
  <si>
    <t>The show will attract many.</t>
  </si>
  <si>
    <t>Chương trình sẽ thu hút nhiều người.</t>
  </si>
  <si>
    <t>violent</t>
  </si>
  <si>
    <t>The storm was very violent.</t>
  </si>
  <si>
    <t>grain</t>
  </si>
  <si>
    <t>They grow grain on farms.</t>
  </si>
  <si>
    <t>Họ trồng ngũ cốc trên các nông trại.</t>
  </si>
  <si>
    <t>innovative</t>
  </si>
  <si>
    <t>đổi mới</t>
  </si>
  <si>
    <t>They have an innovative design.</t>
  </si>
  <si>
    <t>Họ có một thiết kế đổi mới.</t>
  </si>
  <si>
    <t>hunt</t>
  </si>
  <si>
    <t>săn bắn</t>
  </si>
  <si>
    <t>They hunt animals for food.</t>
  </si>
  <si>
    <t>Họ săn bắn động vật để làm thực phẩm.</t>
  </si>
  <si>
    <t>apart</t>
  </si>
  <si>
    <t>xa nhau</t>
  </si>
  <si>
    <t>They live quite far apart.</t>
  </si>
  <si>
    <t>Họ sống khá xa nhau.</t>
  </si>
  <si>
    <t>photograph</t>
  </si>
  <si>
    <t>This is a nice photograph.</t>
  </si>
  <si>
    <t>Đây là một bức ảnh đẹp.</t>
  </si>
  <si>
    <t>neighbourhood</t>
  </si>
  <si>
    <t>khu phố</t>
  </si>
  <si>
    <t>This is a quiet neighbourhood.</t>
  </si>
  <si>
    <t>Đây là một khu phố yên tĩnh.</t>
  </si>
  <si>
    <t>valuable</t>
  </si>
  <si>
    <t>This is a valuable lesson.</t>
  </si>
  <si>
    <t>Đây là một bài học quý giá.</t>
  </si>
  <si>
    <t>concrete</t>
  </si>
  <si>
    <t>bê tông</t>
  </si>
  <si>
    <t>Use concrete for building.</t>
  </si>
  <si>
    <t>Dùng bê tông để xây dựng.</t>
  </si>
  <si>
    <t>vacation</t>
  </si>
  <si>
    <t>We enjoy our summer vacation.</t>
  </si>
  <si>
    <t>Chúng tôi tận hưởng kỳ nghỉ hè của mình.</t>
  </si>
  <si>
    <t>sustain</t>
  </si>
  <si>
    <t>We must sustain the growth.</t>
  </si>
  <si>
    <t>Chúng ta phải duy trì sự tăng trưởng.</t>
  </si>
  <si>
    <t>airport</t>
  </si>
  <si>
    <t>We went to the airport.</t>
  </si>
  <si>
    <t>Chúng tôi đã đi đến sân bay.</t>
  </si>
  <si>
    <t>composition</t>
  </si>
  <si>
    <t>Write a short composition.</t>
  </si>
  <si>
    <t>Hãy viết một bài văn ngắn.</t>
  </si>
  <si>
    <t>cancel</t>
  </si>
  <si>
    <t>Cancel the meeting now.</t>
  </si>
  <si>
    <t>Hãy hủy bỏ cuộc họp ngay đi.</t>
  </si>
  <si>
    <t>carbon</t>
  </si>
  <si>
    <t>Carbon is a chemical.</t>
  </si>
  <si>
    <t>Cacbon là một chất hóa học.</t>
  </si>
  <si>
    <t>mail</t>
  </si>
  <si>
    <t>Did you check your mail?</t>
  </si>
  <si>
    <t>Bạn đã kiểm tra thư của mình chưa?</t>
  </si>
  <si>
    <t>impose</t>
  </si>
  <si>
    <t>áp đặt</t>
  </si>
  <si>
    <t>Do not impose your views.</t>
  </si>
  <si>
    <t>Đừng áp đặt quan điểm của bạn.</t>
  </si>
  <si>
    <t>steal</t>
  </si>
  <si>
    <t>ăn cắp</t>
  </si>
  <si>
    <t>Do not steal the money.</t>
  </si>
  <si>
    <t>Đừng ăn cắp số tiền đó.</t>
  </si>
  <si>
    <t>innocent</t>
  </si>
  <si>
    <t>vô tội</t>
  </si>
  <si>
    <t>He is truly an innocent man.</t>
  </si>
  <si>
    <t>Anh ấy thực sự là một người vô tội.</t>
  </si>
  <si>
    <t>guilty</t>
  </si>
  <si>
    <t>có tội</t>
  </si>
  <si>
    <t>He was found not guilty.</t>
  </si>
  <si>
    <t>Anh ấy đã được tuyên bố không có tội.</t>
  </si>
  <si>
    <t>barely</t>
  </si>
  <si>
    <t>vừa đủ</t>
  </si>
  <si>
    <t>I can barely hear you.</t>
  </si>
  <si>
    <t>Tôi vừa đủ nghe bạn nói.</t>
  </si>
  <si>
    <t>shocked</t>
  </si>
  <si>
    <t>bị sốc</t>
  </si>
  <si>
    <t>I was shocked by the news.</t>
  </si>
  <si>
    <t>Tôi đã bị sốc bởi tin tức đó.</t>
  </si>
  <si>
    <t>map</t>
  </si>
  <si>
    <t>Look at the city map.</t>
  </si>
  <si>
    <t>Hãy nhìn vào bản đồ thành phố.</t>
  </si>
  <si>
    <t>assistant</t>
  </si>
  <si>
    <t>My assistant will call you.</t>
  </si>
  <si>
    <t>Trợ lý của tôi sẽ gọi cho bạn.</t>
  </si>
  <si>
    <t>indicator</t>
  </si>
  <si>
    <t>chỉ số</t>
  </si>
  <si>
    <t>Price is a key indicator.</t>
  </si>
  <si>
    <t>Giá cả là một chỉ số chính.</t>
  </si>
  <si>
    <t>harmful</t>
  </si>
  <si>
    <t>có hại</t>
  </si>
  <si>
    <t>Smoking is harmful to health.</t>
  </si>
  <si>
    <t>theirs</t>
  </si>
  <si>
    <t>That house is surely theirs.</t>
  </si>
  <si>
    <t>Ngôi nhà đó chắc chắn là của họ.</t>
  </si>
  <si>
    <t>sensible</t>
  </si>
  <si>
    <t>That is a sensible decision.</t>
  </si>
  <si>
    <t>Đó là một quyết định hợp lý.</t>
  </si>
  <si>
    <t>intense</t>
  </si>
  <si>
    <t>The competition is very intense.</t>
  </si>
  <si>
    <t>Cuộc thi rất dữ dội.</t>
  </si>
  <si>
    <t>headquarters</t>
  </si>
  <si>
    <t>The headquarters is in the city.</t>
  </si>
  <si>
    <t>Trụ sở nằm ở thành phố.</t>
  </si>
  <si>
    <t>collapse</t>
  </si>
  <si>
    <t>đổ sụp</t>
  </si>
  <si>
    <t>The roof may collapse.</t>
  </si>
  <si>
    <t>Mái nhà có thể đổ sụp.</t>
  </si>
  <si>
    <t>vi-rút</t>
  </si>
  <si>
    <t>The virus spreads very fast.</t>
  </si>
  <si>
    <t>Vi-rút lan truyền rất nhanh.</t>
  </si>
  <si>
    <t>ancient</t>
  </si>
  <si>
    <t>cổ xưa</t>
  </si>
  <si>
    <t>They found an ancient temple.</t>
  </si>
  <si>
    <t>Họ đã tìm thấy một ngôi đền cổ xưa.</t>
  </si>
  <si>
    <t>happily</t>
  </si>
  <si>
    <t>They lived happily ever after.</t>
  </si>
  <si>
    <t>Họ đã sống vui vẻ mãi mãi.</t>
  </si>
  <si>
    <t>subsequently</t>
  </si>
  <si>
    <t>They subsequently left the room.</t>
  </si>
  <si>
    <t>Họ sau đó đã rời khỏi căn phòng.</t>
  </si>
  <si>
    <t>medicine</t>
  </si>
  <si>
    <t>He studied medicine for years.</t>
  </si>
  <si>
    <t>Anh ấy đã học y học nhiều năm.</t>
  </si>
  <si>
    <t>frame</t>
  </si>
  <si>
    <t>The picture needs a frame.</t>
  </si>
  <si>
    <t>Bức ảnh cần một cái khung.</t>
  </si>
  <si>
    <t>abandon</t>
  </si>
  <si>
    <t>They abandon the old house.</t>
  </si>
  <si>
    <t>Họ từ bỏ ngôi nhà cũ.</t>
  </si>
  <si>
    <t>chamber</t>
  </si>
  <si>
    <t>buồng</t>
  </si>
  <si>
    <t>They entered the chamber.</t>
  </si>
  <si>
    <t>Họ đã bước vào buồng.</t>
  </si>
  <si>
    <t>meat</t>
  </si>
  <si>
    <t>I do not eat meat.</t>
  </si>
  <si>
    <t>Tôi không ăn thịt.</t>
  </si>
  <si>
    <t>tooth</t>
  </si>
  <si>
    <t>I have a bad tooth.</t>
  </si>
  <si>
    <t>Tôi có một cái răng sâu.</t>
  </si>
  <si>
    <t>pound</t>
  </si>
  <si>
    <t>bảng</t>
  </si>
  <si>
    <t>It costs ten pounds now.</t>
  </si>
  <si>
    <t>Nó có giá mười bảng.</t>
  </si>
  <si>
    <t>lock</t>
  </si>
  <si>
    <t>khóa</t>
  </si>
  <si>
    <t>Lock the door before leaving.</t>
  </si>
  <si>
    <t>Hãy khóa cửa trước khi rời đi.</t>
  </si>
  <si>
    <t>calendar</t>
  </si>
  <si>
    <t>Mark the date on the calendar.</t>
  </si>
  <si>
    <t>Đánh dấu ngày trên lịch.</t>
  </si>
  <si>
    <t>mix</t>
  </si>
  <si>
    <t>Mix the flour and water.</t>
  </si>
  <si>
    <t>Hãy trộn bột và nước.</t>
  </si>
  <si>
    <t>gate</t>
  </si>
  <si>
    <t>Open the gate for me.</t>
  </si>
  <si>
    <t>Hãy mở cổng cho tôi.</t>
  </si>
  <si>
    <t>translate</t>
  </si>
  <si>
    <t>Please translate this for me.</t>
  </si>
  <si>
    <t>Làm ơn dịch cái này cho tôi.</t>
  </si>
  <si>
    <t>tongue</t>
  </si>
  <si>
    <t>She bit her own tongue.</t>
  </si>
  <si>
    <t>Cô ấy đã cắn vào lưỡi của chính mình.</t>
  </si>
  <si>
    <t>inch</t>
  </si>
  <si>
    <t>The book is one inch thick.</t>
  </si>
  <si>
    <t>Cuốn sách dày một inch.</t>
  </si>
  <si>
    <t>steel</t>
  </si>
  <si>
    <t>The bridge is made of steel.</t>
  </si>
  <si>
    <t>Cây cầu được làm bằng thép.</t>
  </si>
  <si>
    <t>block</t>
  </si>
  <si>
    <t>chặn</t>
  </si>
  <si>
    <t>They block the road now.</t>
  </si>
  <si>
    <t>Họ đang chặn con đường.</t>
  </si>
  <si>
    <t>spin</t>
  </si>
  <si>
    <t>Watch the wheel spin fast.</t>
  </si>
  <si>
    <t>Hãy nhìn chiếc bánh xe xoay nhanh.</t>
  </si>
  <si>
    <t>tower</t>
  </si>
  <si>
    <t>We saw the high tower.</t>
  </si>
  <si>
    <t>Chúng tôi đã thấy tòa tháp cao.</t>
  </si>
  <si>
    <t>forest</t>
  </si>
  <si>
    <t>We walked in the forest.</t>
  </si>
  <si>
    <t>Chúng tôi đã đi bộ trong rừng.</t>
  </si>
  <si>
    <t>mountain</t>
  </si>
  <si>
    <t>We climbed a steep mountain.</t>
  </si>
  <si>
    <t>Chúng tôi đã leo một ngọn núi dốc.</t>
  </si>
  <si>
    <t>layer</t>
  </si>
  <si>
    <t>Add a layer of paint.</t>
  </si>
  <si>
    <t>Hãy thêm một lớp sơn.</t>
  </si>
  <si>
    <t>fat</t>
  </si>
  <si>
    <t>béo</t>
  </si>
  <si>
    <t>Do not eat too much fat.</t>
  </si>
  <si>
    <t>Đừng ăn quá nhiều chất béo.</t>
  </si>
  <si>
    <t>vegetable</t>
  </si>
  <si>
    <t>Eat fresh vegetables daily.</t>
  </si>
  <si>
    <t>Hãy ăn rau tươi hằng ngày.</t>
  </si>
  <si>
    <t>male</t>
  </si>
  <si>
    <t>He is a male student.</t>
  </si>
  <si>
    <t>Anh ấy là một sinh viên nam.</t>
  </si>
  <si>
    <t>hungry</t>
  </si>
  <si>
    <t>I am very hungry now.</t>
  </si>
  <si>
    <t>Tôi rất đói.</t>
  </si>
  <si>
    <t>metre</t>
  </si>
  <si>
    <t>It is ten metres long.</t>
  </si>
  <si>
    <t>Nó dài mười mét.</t>
  </si>
  <si>
    <t>angle</t>
  </si>
  <si>
    <t>Look at this sharp angle.</t>
  </si>
  <si>
    <t>Hãy nhìn vào góc nhọn này.</t>
  </si>
  <si>
    <t>uncle</t>
  </si>
  <si>
    <t>My uncle lives near here.</t>
  </si>
  <si>
    <t>Chú của tôi sống gần đây.</t>
  </si>
  <si>
    <t>wet</t>
  </si>
  <si>
    <t>ướt</t>
  </si>
  <si>
    <t>The floor is very wet.</t>
  </si>
  <si>
    <t>Sàn nhà rất ướt.</t>
  </si>
  <si>
    <t>flower</t>
  </si>
  <si>
    <t>The flower smells very good.</t>
  </si>
  <si>
    <t>Bông hoa có mùi rất thơm.</t>
  </si>
  <si>
    <t>silver</t>
  </si>
  <si>
    <t>The ring is pure silver.</t>
  </si>
  <si>
    <t>Chiếc nhẫn này là bạc nguyên chất.</t>
  </si>
  <si>
    <t>soil</t>
  </si>
  <si>
    <t>The soil is very rich.</t>
  </si>
  <si>
    <t>Đất rất màu mỡ.</t>
  </si>
  <si>
    <t>load</t>
  </si>
  <si>
    <t>tải</t>
  </si>
  <si>
    <t>The truck has a heavy load.</t>
  </si>
  <si>
    <t>Xe tải có tải trọng lớn.</t>
  </si>
  <si>
    <t>wind</t>
  </si>
  <si>
    <t>The wind is blowing hard.</t>
  </si>
  <si>
    <t>Gió đang thổi rất mạnh.</t>
  </si>
  <si>
    <t>paint</t>
  </si>
  <si>
    <t>They paint the wall white.</t>
  </si>
  <si>
    <t>Họ sơn bức tường màu trắng.</t>
  </si>
  <si>
    <t>yard</t>
  </si>
  <si>
    <t>sân</t>
  </si>
  <si>
    <t>They play in the yard.</t>
  </si>
  <si>
    <t>Họ chơi ở trong sân.</t>
  </si>
  <si>
    <t>cloth</t>
  </si>
  <si>
    <t>Use a soft cloth.</t>
  </si>
  <si>
    <t>Hãy dùng một mảnh vải mềm.</t>
  </si>
  <si>
    <t>mom</t>
  </si>
  <si>
    <t>Mom is cooking food now.</t>
  </si>
  <si>
    <t>Mẹ đang nấu ăn.</t>
  </si>
  <si>
    <t>shelf</t>
  </si>
  <si>
    <t>kệ</t>
  </si>
  <si>
    <t>Put the book on the shelf.</t>
  </si>
  <si>
    <t>Hãy đặt cuốn sách lên kệ.</t>
  </si>
  <si>
    <t>badly</t>
  </si>
  <si>
    <t>tệ</t>
  </si>
  <si>
    <t>She was hurt very badly.</t>
  </si>
  <si>
    <t>Cô ấy bị thương rất nặng.</t>
  </si>
  <si>
    <t>butter</t>
  </si>
  <si>
    <t>Spread butter on the bread.</t>
  </si>
  <si>
    <t>Hãy phết bơ lên bánh mì.</t>
  </si>
  <si>
    <t>wood</t>
  </si>
  <si>
    <t>The box is made of wood.</t>
  </si>
  <si>
    <t>Cái hộp được làm bằng gỗ.</t>
  </si>
  <si>
    <t>disaster</t>
  </si>
  <si>
    <t>A major natural disaster.</t>
  </si>
  <si>
    <t>Một thảm họa thiên nhiên lớn.</t>
  </si>
  <si>
    <t>debt</t>
  </si>
  <si>
    <t>nợ</t>
  </si>
  <si>
    <t>Pay off all debt.</t>
  </si>
  <si>
    <t>Hãy trả hết tất cả nợ.</t>
  </si>
  <si>
    <t>covered</t>
  </si>
  <si>
    <t>được che phủ</t>
  </si>
  <si>
    <t>The ground is covered.</t>
  </si>
  <si>
    <t>Mặt đất đã bị che phủ.</t>
  </si>
  <si>
    <t>tail</t>
  </si>
  <si>
    <t>The cat has a long tail.</t>
  </si>
  <si>
    <t>Con mèo có một cái đuôi dài.</t>
  </si>
  <si>
    <t>dramatic</t>
  </si>
  <si>
    <t>A dramatic life change.</t>
  </si>
  <si>
    <t>Một sự thay đổi cuộc sống ấn tượng.</t>
  </si>
  <si>
    <t>gesture</t>
  </si>
  <si>
    <t>He made a kind gesture.</t>
  </si>
  <si>
    <t>Anh ấy đã thực hiện một cử chỉ tử tế.</t>
  </si>
  <si>
    <t>depth</t>
  </si>
  <si>
    <t>độ sâu</t>
  </si>
  <si>
    <t>Measure the water depth.</t>
  </si>
  <si>
    <t>Hãy đo độ sâu của nước.</t>
  </si>
  <si>
    <t>crew</t>
  </si>
  <si>
    <t>phi hành đoàn</t>
  </si>
  <si>
    <t>The ship crew is ready.</t>
  </si>
  <si>
    <t>Phi hành đoàn của con tàu đã sẵn sàng.</t>
  </si>
  <si>
    <t>discovery</t>
  </si>
  <si>
    <t>sự khám phá</t>
  </si>
  <si>
    <t>A great scientific discovery.</t>
  </si>
  <si>
    <t>Một sự khám phá khoa học lớn.</t>
  </si>
  <si>
    <t>designer</t>
  </si>
  <si>
    <t>nhà thiết kế</t>
  </si>
  <si>
    <t>A famous fashion designer.</t>
  </si>
  <si>
    <t>Một nhà thiết kế thời trang nổi tiếng.</t>
  </si>
  <si>
    <t>driving</t>
  </si>
  <si>
    <t>việc lái xe</t>
  </si>
  <si>
    <t>Driving is very fun.</t>
  </si>
  <si>
    <t>Việc lái xe rất vui.</t>
  </si>
  <si>
    <t>temporary</t>
  </si>
  <si>
    <t>This is a temporary solution.</t>
  </si>
  <si>
    <t>Đây là một giải pháp tạm thời.</t>
  </si>
  <si>
    <t>core</t>
  </si>
  <si>
    <t>cốt lõi</t>
  </si>
  <si>
    <t>The core of the issue.</t>
  </si>
  <si>
    <t>Cốt lõi của vấn đề.</t>
  </si>
  <si>
    <t>criticism</t>
  </si>
  <si>
    <t>sự phê bình</t>
  </si>
  <si>
    <t>Accept constructive criticism.</t>
  </si>
  <si>
    <t>Hãy chấp nhận sự phê bình mang tính xây dựng.</t>
  </si>
  <si>
    <t>differ</t>
  </si>
  <si>
    <t>Opinions differ greatly today.</t>
  </si>
  <si>
    <t>Các ý kiến khác biệt rất nhiều.</t>
  </si>
  <si>
    <t>controversial</t>
  </si>
  <si>
    <t>gây tranh cãi</t>
  </si>
  <si>
    <t>A controversial new policy.</t>
  </si>
  <si>
    <t>Một chính sách mới gây tranh cãi.</t>
  </si>
  <si>
    <t>transition</t>
  </si>
  <si>
    <t>The transition was very smooth.</t>
  </si>
  <si>
    <t>Sự chuyển đổi rất trôi chảy.</t>
  </si>
  <si>
    <t>trading</t>
  </si>
  <si>
    <t>việc buôn bán</t>
  </si>
  <si>
    <t>Trading is their main job.</t>
  </si>
  <si>
    <t>Việc buôn bán là công việc chính của họ.</t>
  </si>
  <si>
    <t>desk</t>
  </si>
  <si>
    <t>bàn làm việc</t>
  </si>
  <si>
    <t>Clean the office desk.</t>
  </si>
  <si>
    <t>Hãy dọn dẹp bàn làm việc.</t>
  </si>
  <si>
    <t>edit</t>
  </si>
  <si>
    <t>Edit the new document.</t>
  </si>
  <si>
    <t>Hãy chỉnh sửa tài liệu mới.</t>
  </si>
  <si>
    <t>trail</t>
  </si>
  <si>
    <t>đường mòn</t>
  </si>
  <si>
    <t>They followed the narrow trail.</t>
  </si>
  <si>
    <t>Họ đã đi theo con đường mòn hẹp.</t>
  </si>
  <si>
    <t>translation</t>
  </si>
  <si>
    <t>bản dịch</t>
  </si>
  <si>
    <t>The translation is very accurate.</t>
  </si>
  <si>
    <t>Bản dịch rất chính xác.</t>
  </si>
  <si>
    <t>gentleman</t>
  </si>
  <si>
    <t>The gentleman opened the door.</t>
  </si>
  <si>
    <t>Quý ông đó đã mở cửa.</t>
  </si>
  <si>
    <t>tourism</t>
  </si>
  <si>
    <t>Tourism helps the local economy.</t>
  </si>
  <si>
    <t>Du lịch giúp nền kinh tế địa phương.</t>
  </si>
  <si>
    <t>talented</t>
  </si>
  <si>
    <t>có tài</t>
  </si>
  <si>
    <t>He is a talented artist.</t>
  </si>
  <si>
    <t>Anh ấy là một nghệ sĩ có tài.</t>
  </si>
  <si>
    <t>tag</t>
  </si>
  <si>
    <t>Please add a tag to this.</t>
  </si>
  <si>
    <t>Vui lòng thêm một cái thẻ vào đây.</t>
  </si>
  <si>
    <t>tube</t>
  </si>
  <si>
    <t>The tube is very long.</t>
  </si>
  <si>
    <t>Cái ống rất dài.</t>
  </si>
  <si>
    <t>diet</t>
  </si>
  <si>
    <t>chế độ ăn</t>
  </si>
  <si>
    <t>Follow a healthy diet.</t>
  </si>
  <si>
    <t>Hãy tuân theo một chế độ ăn lành mạnh.</t>
  </si>
  <si>
    <t>creative</t>
  </si>
  <si>
    <t>A very creative solution.</t>
  </si>
  <si>
    <t>Một giải pháp rất sáng tạo.</t>
  </si>
  <si>
    <t>technological</t>
  </si>
  <si>
    <t>thuộc công nghệ</t>
  </si>
  <si>
    <t>They focus on technological progress.</t>
  </si>
  <si>
    <t>Họ tập trung vào sự tiến bộ công nghệ.</t>
  </si>
  <si>
    <t>cooperation</t>
  </si>
  <si>
    <t>Need your full cooperation.</t>
  </si>
  <si>
    <t>Cần sự hợp tác đầy đủ của bạn.</t>
  </si>
  <si>
    <t>distribute</t>
  </si>
  <si>
    <t>phân phối</t>
  </si>
  <si>
    <t>Distribute the report copies.</t>
  </si>
  <si>
    <t>Hãy phân phối các bản sao báo cáo.</t>
  </si>
  <si>
    <t>definite</t>
  </si>
  <si>
    <t>A definite future plan.</t>
  </si>
  <si>
    <t>Một kế hoạch tương lai rõ ràng.</t>
  </si>
  <si>
    <t>tank</t>
  </si>
  <si>
    <t>bể chứa</t>
  </si>
  <si>
    <t>The water tank is full.</t>
  </si>
  <si>
    <t>Bể chứa nước đã đầy.</t>
  </si>
  <si>
    <t>dressed</t>
  </si>
  <si>
    <t>được mặc quần áo</t>
  </si>
  <si>
    <t>Be well dressed today.</t>
  </si>
  <si>
    <t>Hôm nay hãy mặc quần áo chỉnh tề.</t>
  </si>
  <si>
    <t>determined</t>
  </si>
  <si>
    <t>Be determined to win.</t>
  </si>
  <si>
    <t>Hãy quyết tâm giành chiến thắng.</t>
  </si>
  <si>
    <t>creation</t>
  </si>
  <si>
    <t>sự tạo ra</t>
  </si>
  <si>
    <t>The creation of art.</t>
  </si>
  <si>
    <t>Sự tạo ra các tác phẩm nghệ thuật.</t>
  </si>
  <si>
    <t>inevitable</t>
  </si>
  <si>
    <t>không thể tránh khỏi</t>
  </si>
  <si>
    <t>Change is an inevitable fact.</t>
  </si>
  <si>
    <t>Thay đổi là một sự thật không thể tránh khỏi.</t>
  </si>
  <si>
    <t>summit</t>
  </si>
  <si>
    <t>hội nghị thượng đỉnh</t>
  </si>
  <si>
    <t>The summit is held today.</t>
  </si>
  <si>
    <t>Hội nghị thượng đỉnh được tổ chức hôm nay.</t>
  </si>
  <si>
    <t>agenda</t>
  </si>
  <si>
    <t>chương trình nghị sự</t>
  </si>
  <si>
    <t>What is on the agenda?</t>
  </si>
  <si>
    <t>Chương trình nghị sự có gì vậy?</t>
  </si>
  <si>
    <t>constitutional</t>
  </si>
  <si>
    <t>thuộc về hiến pháp</t>
  </si>
  <si>
    <t>It is a constitutional right.</t>
  </si>
  <si>
    <t>Đó là một quyền hiến pháp.</t>
  </si>
  <si>
    <t>differently</t>
  </si>
  <si>
    <t>một cách khác biệt</t>
  </si>
  <si>
    <t>Think quite differently now.</t>
  </si>
  <si>
    <t>Hãy suy nghĩ một cách khác biệt.</t>
  </si>
  <si>
    <t>peer</t>
  </si>
  <si>
    <t>bạn đồng trang lứa</t>
  </si>
  <si>
    <t>Treat your peers with respect.</t>
  </si>
  <si>
    <t>Hãy đối xử với bạn bè đồng trang lứa bằng sự tôn trọng.</t>
  </si>
  <si>
    <t>specification</t>
  </si>
  <si>
    <t>thông số kỹ thuật</t>
  </si>
  <si>
    <t>Follow the technical specification.</t>
  </si>
  <si>
    <t>Hãy làm theo thông số kỹ thuật.</t>
  </si>
  <si>
    <t>gym</t>
  </si>
  <si>
    <t>phòng tập thể dục</t>
  </si>
  <si>
    <t>I go to the gym daily.</t>
  </si>
  <si>
    <t>Tôi đến phòng tập thể dục hàng ngày.</t>
  </si>
  <si>
    <t>solely</t>
  </si>
  <si>
    <t>một cách duy nhất</t>
  </si>
  <si>
    <t>It is solely his decision.</t>
  </si>
  <si>
    <t>Đó là quyết định của riêng anh ấy.</t>
  </si>
  <si>
    <t>naturally</t>
  </si>
  <si>
    <t>một cách tự nhiên</t>
  </si>
  <si>
    <t>She spoke very naturally.</t>
  </si>
  <si>
    <t>Cô ấy đã nói chuyện rất tự nhiên.</t>
  </si>
  <si>
    <t>influential</t>
  </si>
  <si>
    <t>có tầm ảnh hưởng</t>
  </si>
  <si>
    <t>He is an influential leader.</t>
  </si>
  <si>
    <t>Anh ấy là một nhà lãnh đạo có tầm ảnh hưởng.</t>
  </si>
  <si>
    <t>sadly</t>
  </si>
  <si>
    <t>một cách buồn bã</t>
  </si>
  <si>
    <t>He sadly left the room.</t>
  </si>
  <si>
    <t>Anh ấy đã rời căn phòng một cách buồn bã.</t>
  </si>
  <si>
    <t>roughly</t>
  </si>
  <si>
    <t>một cách thô ráp</t>
  </si>
  <si>
    <t>He spoke roughly to them.</t>
  </si>
  <si>
    <t>Anh ấy đã nói một cách thô ráp với họ.</t>
  </si>
  <si>
    <t>steadily</t>
  </si>
  <si>
    <t>một cách đều đặn</t>
  </si>
  <si>
    <t>Prices are rising quite steadily.</t>
  </si>
  <si>
    <t>Giá cả đang tăng một cách khá đều đặn.</t>
  </si>
  <si>
    <t>sharply</t>
  </si>
  <si>
    <t>một cách sắc bén</t>
  </si>
  <si>
    <t>Prices rose very sharply.</t>
  </si>
  <si>
    <t>Giá cả đã tăng rất mạnh.</t>
  </si>
  <si>
    <t>supportive</t>
  </si>
  <si>
    <t>mang tính hỗ trợ</t>
  </si>
  <si>
    <t>She is a supportive friend.</t>
  </si>
  <si>
    <t>Cô ấy là một người bạn luôn hỗ trợ.</t>
  </si>
  <si>
    <t>automatically</t>
  </si>
  <si>
    <t>một cách tự động</t>
  </si>
  <si>
    <t>The file saves automatically.</t>
  </si>
  <si>
    <t>Tệp này tự động lưu.</t>
  </si>
  <si>
    <t>volunteer</t>
  </si>
  <si>
    <t>tình nguyện viên</t>
  </si>
  <si>
    <t>The volunteer helped us today.</t>
  </si>
  <si>
    <t>Tình nguyện viên đã giúp chúng tôi hôm nay.</t>
  </si>
  <si>
    <t>operator</t>
  </si>
  <si>
    <t>người điều hành</t>
  </si>
  <si>
    <t>Ask the telephone operator.</t>
  </si>
  <si>
    <t>Hãy hỏi nhân viên tổng đài.</t>
  </si>
  <si>
    <t>royal</t>
  </si>
  <si>
    <t>thuộc hoàng gia</t>
  </si>
  <si>
    <t>He belongs to a royal family.</t>
  </si>
  <si>
    <t>Anh ấy thuộc về một gia đình hoàng gia.</t>
  </si>
  <si>
    <t>locate</t>
  </si>
  <si>
    <t>xác định vị trí</t>
  </si>
  <si>
    <t>Locate the file on the disk.</t>
  </si>
  <si>
    <t>Hãy xác định vị trí tệp trên đĩa.</t>
  </si>
  <si>
    <t>instructor</t>
  </si>
  <si>
    <t>The instructor is very kind.</t>
  </si>
  <si>
    <t>Người hướng dẫn rất tử tế.</t>
  </si>
  <si>
    <t>recruitment</t>
  </si>
  <si>
    <t>việc tuyển dụng</t>
  </si>
  <si>
    <t>The recruitment process is long.</t>
  </si>
  <si>
    <t>Quá trình tuyển dụng rất dài.</t>
  </si>
  <si>
    <t>reasonably</t>
  </si>
  <si>
    <t>một cách hợp lý</t>
  </si>
  <si>
    <t>The work was reasonably done.</t>
  </si>
  <si>
    <t>Công việc đã được hoàn thành một cách hợp lý.</t>
  </si>
  <si>
    <t>imagination</t>
  </si>
  <si>
    <t>trí tưởng tượng</t>
  </si>
  <si>
    <t>Use your imagination to draw.</t>
  </si>
  <si>
    <t>Hãy sử dụng trí tưởng tượng của bạn để vẽ.</t>
  </si>
  <si>
    <t>whenever</t>
  </si>
  <si>
    <t>bất cứ khi nào</t>
  </si>
  <si>
    <t>Call me whenever you want.</t>
  </si>
  <si>
    <t>Hãy gọi cho tôi bất cứ khi nào bạn muốn.</t>
  </si>
  <si>
    <t>seeker</t>
  </si>
  <si>
    <t>người tìm kiếm</t>
  </si>
  <si>
    <t>He is a knowledge seeker.</t>
  </si>
  <si>
    <t>Anh ấy là người tìm kiếm tri thức.</t>
  </si>
  <si>
    <t>survivor</t>
  </si>
  <si>
    <t>người sống sót</t>
  </si>
  <si>
    <t>He is a sole survivor.</t>
  </si>
  <si>
    <t>Anh ấy là người sống sót duy nhất.</t>
  </si>
  <si>
    <t>founder</t>
  </si>
  <si>
    <t>người sáng lập</t>
  </si>
  <si>
    <t>He is the company founder.</t>
  </si>
  <si>
    <t>Anh ấy là người sáng lập công ty.</t>
  </si>
  <si>
    <t>substitute</t>
  </si>
  <si>
    <t>người thay thế</t>
  </si>
  <si>
    <t>He is the new substitute.</t>
  </si>
  <si>
    <t>Anh ấy là người thay thế mới.</t>
  </si>
  <si>
    <t>qualified</t>
  </si>
  <si>
    <t>có đủ trình độ</t>
  </si>
  <si>
    <t>He is well qualified for it.</t>
  </si>
  <si>
    <t>Anh ấy có đủ trình độ cho công việc đó.</t>
  </si>
  <si>
    <t>fantasy</t>
  </si>
  <si>
    <t>sự tưởng tượng</t>
  </si>
  <si>
    <t>He writes about wild fantasy.</t>
  </si>
  <si>
    <t>Anh ấy viết về những sự tưởng tượng hoang dã.</t>
  </si>
  <si>
    <t>literally</t>
  </si>
  <si>
    <t>theo nghĩa đen</t>
  </si>
  <si>
    <t>It literally means nothing.</t>
  </si>
  <si>
    <t>Nó hoàn toàn không có ý nghĩa gì cả.</t>
  </si>
  <si>
    <t>revolution</t>
  </si>
  <si>
    <t>The industrial revolution changed the world.</t>
  </si>
  <si>
    <t>Cuộc cách mạng công nghiệp đã thay đổi thế giới.</t>
  </si>
  <si>
    <t>investigator</t>
  </si>
  <si>
    <t>người điều tra</t>
  </si>
  <si>
    <t>The investigator found clues.</t>
  </si>
  <si>
    <t>Người điều tra đã tìm thấy các manh mối.</t>
  </si>
  <si>
    <t>motion</t>
  </si>
  <si>
    <t>sự chuyển động</t>
  </si>
  <si>
    <t>The motion is very fast.</t>
  </si>
  <si>
    <t>Sự chuyển động rất nhanh.</t>
  </si>
  <si>
    <t>comparable</t>
  </si>
  <si>
    <t>có thể so sánh</t>
  </si>
  <si>
    <t>The results are comparable.</t>
  </si>
  <si>
    <t>Các kết quả có thể so sánh.</t>
  </si>
  <si>
    <t>spokesman</t>
  </si>
  <si>
    <t>phát ngôn viên</t>
  </si>
  <si>
    <t>The spokesman made a comment.</t>
  </si>
  <si>
    <t>Phát ngôn viên đã đưa ra bình luận.</t>
  </si>
  <si>
    <t>sporting</t>
  </si>
  <si>
    <t>thuộc thể thao</t>
  </si>
  <si>
    <t>The sporting event is today.</t>
  </si>
  <si>
    <t>Sự kiện thể thao diễn ra hôm nay.</t>
  </si>
  <si>
    <t>statistical</t>
  </si>
  <si>
    <t>thuộc thống kê</t>
  </si>
  <si>
    <t>The statistical data is here.</t>
  </si>
  <si>
    <t>Dữ liệu thống kê ở đây.</t>
  </si>
  <si>
    <t>supervisor</t>
  </si>
  <si>
    <t>người giám sát</t>
  </si>
  <si>
    <t>The supervisor is very helpful.</t>
  </si>
  <si>
    <t>Người giám sát rất nhiệt tình.</t>
  </si>
  <si>
    <t>communist</t>
  </si>
  <si>
    <t>người cộng sản</t>
  </si>
  <si>
    <t>They studied communist ideas.</t>
  </si>
  <si>
    <t>Họ đã nghiên cứu tư tưởng cộng sản.</t>
  </si>
  <si>
    <t>resort</t>
  </si>
  <si>
    <t>khu nghỉ dưỡng</t>
  </si>
  <si>
    <t>We stayed at a luxury resort.</t>
  </si>
  <si>
    <t>Chúng tôi đã ở tại một khu nghỉ dưỡng sang trọng.</t>
  </si>
  <si>
    <t>injure</t>
  </si>
  <si>
    <t>làm bị thương</t>
  </si>
  <si>
    <t>Did you injure your hand?</t>
  </si>
  <si>
    <t>Bạn có làm bị thương bàn tay của mình không?</t>
  </si>
  <si>
    <t>collector</t>
  </si>
  <si>
    <t>người sưu tầm</t>
  </si>
  <si>
    <t>He is a collector.</t>
  </si>
  <si>
    <t>Anh ấy là một người sưu tầm.</t>
  </si>
  <si>
    <t>composer</t>
  </si>
  <si>
    <t>nhà soạn nhạc</t>
  </si>
  <si>
    <t>He is a composer.</t>
  </si>
  <si>
    <t>Ông ấy là nhà soạn nhạc.</t>
  </si>
  <si>
    <t>politician</t>
  </si>
  <si>
    <t>chính trị gia</t>
  </si>
  <si>
    <t>He is a popular politician.</t>
  </si>
  <si>
    <t>Anh ấy là một chính trị gia nổi tiếng.</t>
  </si>
  <si>
    <t>nowhere</t>
  </si>
  <si>
    <t>không nơi nào</t>
  </si>
  <si>
    <t>He is nowhere to be found.</t>
  </si>
  <si>
    <t>Không thể tìm thấy anh ấy ở đâu cả.</t>
  </si>
  <si>
    <t>enthusiasm</t>
  </si>
  <si>
    <t>He showed great enthusiasm today.</t>
  </si>
  <si>
    <t>Hôm nay anh ấy đã thể hiện sự nhiệt tình lớn.</t>
  </si>
  <si>
    <t>camping</t>
  </si>
  <si>
    <t>I love camping outside.</t>
  </si>
  <si>
    <t>Tôi thích đi cắm trại ngoài trời.</t>
  </si>
  <si>
    <t>reflection</t>
  </si>
  <si>
    <t>sự phản chiếu</t>
  </si>
  <si>
    <t>I saw my reflection in glass.</t>
  </si>
  <si>
    <t>Tôi đã thấy hình ảnh phản chiếu của mình trong kính.</t>
  </si>
  <si>
    <t>plastic</t>
  </si>
  <si>
    <t>làm bằng nhựa</t>
  </si>
  <si>
    <t>It is a plastic bottle.</t>
  </si>
  <si>
    <t>Đó là một chiếc chai nhựa.</t>
  </si>
  <si>
    <t>ranking</t>
  </si>
  <si>
    <t>bảng xếp hạng</t>
  </si>
  <si>
    <t>Our team has a high ranking.</t>
  </si>
  <si>
    <t>Đội của chúng ta có thứ hạng cao.</t>
  </si>
  <si>
    <t>completion</t>
  </si>
  <si>
    <t>sự hoàn thành</t>
  </si>
  <si>
    <t>Reach the project completion.</t>
  </si>
  <si>
    <t>Đạt đến giai đoạn hoàn thành dự án.</t>
  </si>
  <si>
    <t>illustration</t>
  </si>
  <si>
    <t>hình minh họa</t>
  </si>
  <si>
    <t>See the illustration for detail.</t>
  </si>
  <si>
    <t>Hãy xem hình minh họa để biết chi tiết.</t>
  </si>
  <si>
    <t>grace</t>
  </si>
  <si>
    <t>sự duyên dáng</t>
  </si>
  <si>
    <t>She danced with great grace.</t>
  </si>
  <si>
    <t>Cô ấy nhảy với sự duyên dáng tuyệt vời.</t>
  </si>
  <si>
    <t>scared</t>
  </si>
  <si>
    <t>She was scared of the dark.</t>
  </si>
  <si>
    <t>Cô ấy sợ bóng tối.</t>
  </si>
  <si>
    <t>ours</t>
  </si>
  <si>
    <t>The blue book is ours.</t>
  </si>
  <si>
    <t>Cuốn sách màu xanh là của chúng tôi.</t>
  </si>
  <si>
    <t>formation</t>
  </si>
  <si>
    <t>sự hình thành</t>
  </si>
  <si>
    <t>The formation is very clear.</t>
  </si>
  <si>
    <t>Cấu trúc này rất rõ ràng.</t>
  </si>
  <si>
    <t>heating</t>
  </si>
  <si>
    <t>hệ thống sưởi</t>
  </si>
  <si>
    <t>The heating system is broken.</t>
  </si>
  <si>
    <t>Hệ thống sưởi bị hỏng.</t>
  </si>
  <si>
    <t>trainer</t>
  </si>
  <si>
    <t>The trainer is very helpful.</t>
  </si>
  <si>
    <t>Huấn luyện viên rất nhiệt tình.</t>
  </si>
  <si>
    <t>traveller</t>
  </si>
  <si>
    <t>người du lịch</t>
  </si>
  <si>
    <t>The traveller lost his bag.</t>
  </si>
  <si>
    <t>Người du lịch đã đánh mất túi của mình.</t>
  </si>
  <si>
    <t>electrical</t>
  </si>
  <si>
    <t>thuộc về điện</t>
  </si>
  <si>
    <t>There is an electrical problem.</t>
  </si>
  <si>
    <t>Có một vấn đề về hệ thống điện.</t>
  </si>
  <si>
    <t>republic</t>
  </si>
  <si>
    <t>nước cộng hòa</t>
  </si>
  <si>
    <t>They live in a free republic.</t>
  </si>
  <si>
    <t>Họ sống trong một nước cộng hòa tự do.</t>
  </si>
  <si>
    <t>advertisement</t>
  </si>
  <si>
    <t>This advertisement looks very professional.</t>
  </si>
  <si>
    <t>Bài quảng cáo này trông rất chuyên nghiệp.</t>
  </si>
  <si>
    <t>voting</t>
  </si>
  <si>
    <t>việc bỏ phiếu</t>
  </si>
  <si>
    <t>Voting will end at noon.</t>
  </si>
  <si>
    <t>Việc bỏ phiếu sẽ kết thúc vào buổi trưa.</t>
  </si>
  <si>
    <t>subscriber</t>
  </si>
  <si>
    <t>người đăng ký</t>
  </si>
  <si>
    <t>We have one new subscriber.</t>
  </si>
  <si>
    <t>Chúng tôi có một người đăng ký mới.</t>
  </si>
  <si>
    <t>adjustment</t>
  </si>
  <si>
    <t>sự điều chỉnh</t>
  </si>
  <si>
    <t>We need a small adjustment.</t>
  </si>
  <si>
    <t>Chúng ta cần một sự điều chỉnh nhỏ.</t>
  </si>
  <si>
    <t>commentary</t>
  </si>
  <si>
    <t>bài bình luận</t>
  </si>
  <si>
    <t>Write a good commentary.</t>
  </si>
  <si>
    <t>Hãy viết một bài bình luận hay.</t>
  </si>
  <si>
    <t>publisher</t>
  </si>
  <si>
    <t>nhà xuất bản</t>
  </si>
  <si>
    <t>Contact the publisher for details.</t>
  </si>
  <si>
    <t>Hãy liên hệ với nhà xuất bản để biết chi tiết.</t>
  </si>
  <si>
    <t>qualify</t>
  </si>
  <si>
    <t>đủ điều kiện</t>
  </si>
  <si>
    <t>Does she qualify for the job?</t>
  </si>
  <si>
    <t>Cô ấy có đủ điều kiện cho công việc đó không?</t>
  </si>
  <si>
    <t>hunting</t>
  </si>
  <si>
    <t>He enjoys hunting in autumn.</t>
  </si>
  <si>
    <t>Anh ấy thích săn bắn vào mùa thu.</t>
  </si>
  <si>
    <t>reliable</t>
  </si>
  <si>
    <t>He is a very reliable person.</t>
  </si>
  <si>
    <t>Anh ấy là một người rất đáng tin cậy.</t>
  </si>
  <si>
    <t>pursuit</t>
  </si>
  <si>
    <t>sự theo đuổi</t>
  </si>
  <si>
    <t>He is in pursuit of success.</t>
  </si>
  <si>
    <t>Anh ấy đang theo đuổi sự thành công.</t>
  </si>
  <si>
    <t>perception</t>
  </si>
  <si>
    <t>His perception of reality changed.</t>
  </si>
  <si>
    <t>Nhận thức của anh ấy về thực tế đã thay đổi.</t>
  </si>
  <si>
    <t>instant</t>
  </si>
  <si>
    <t>I want an instant reply.</t>
  </si>
  <si>
    <t>Tôi muốn một câu trả lời ngay lập tức.</t>
  </si>
  <si>
    <t>aside</t>
  </si>
  <si>
    <t>sang một bên</t>
  </si>
  <si>
    <t>Please put it aside now.</t>
  </si>
  <si>
    <t>Vui lòng đặt nó sang một bên.</t>
  </si>
  <si>
    <t>civilization</t>
  </si>
  <si>
    <t>nền văn minh</t>
  </si>
  <si>
    <t>Study ancient civilization.</t>
  </si>
  <si>
    <t>Nghiên cứu nền văn minh cổ đại.</t>
  </si>
  <si>
    <t>supplement</t>
  </si>
  <si>
    <t>phần bổ sung</t>
  </si>
  <si>
    <t>Take a vitamin supplement now.</t>
  </si>
  <si>
    <t>Hãy dùng viên bổ sung vitamin ngay.</t>
  </si>
  <si>
    <t>suite</t>
  </si>
  <si>
    <t>phòng căn hộ</t>
  </si>
  <si>
    <t>The hotel suite is nice.</t>
  </si>
  <si>
    <t>Phòng căn hộ khách sạn rất đẹp.</t>
  </si>
  <si>
    <t>proposed</t>
  </si>
  <si>
    <t>được đề xuất</t>
  </si>
  <si>
    <t>The proposed plan sounds good.</t>
  </si>
  <si>
    <t>Kế hoạch được đề xuất nghe có vẻ tốt.</t>
  </si>
  <si>
    <t>reporting</t>
  </si>
  <si>
    <t>việc báo cáo</t>
  </si>
  <si>
    <t>The reporting was very accurate today.</t>
  </si>
  <si>
    <t>Hôm nay việc báo cáo rất chính xác.</t>
  </si>
  <si>
    <t>invention</t>
  </si>
  <si>
    <t>sự phát minh</t>
  </si>
  <si>
    <t>The telephone is a great invention.</t>
  </si>
  <si>
    <t>Điện thoại là một phát minh tuyệt vời.</t>
  </si>
  <si>
    <t>remains</t>
  </si>
  <si>
    <t>They found ancient human remains today.</t>
  </si>
  <si>
    <t>Họ đã tìm thấy phần còn lại của con người cổ đại hôm nay.</t>
  </si>
  <si>
    <t>profitable</t>
  </si>
  <si>
    <t>có lợi nhuận</t>
  </si>
  <si>
    <t>This business is very profitable.</t>
  </si>
  <si>
    <t>Việc kinh doanh này rất có lợi nhuận.</t>
  </si>
  <si>
    <t>occasionally</t>
  </si>
  <si>
    <t>We occasionally go out together.</t>
  </si>
  <si>
    <t>Chúng tôi thỉnh thoảng đi chơi cùng nhau.</t>
  </si>
  <si>
    <t>acceptance</t>
  </si>
  <si>
    <t>sự chấp nhận</t>
  </si>
  <si>
    <t>We wait for the acceptance.</t>
  </si>
  <si>
    <t>Chúng tôi chờ đợi sự chấp nhận.</t>
  </si>
  <si>
    <t>participation</t>
  </si>
  <si>
    <t>Active participation is very key.</t>
  </si>
  <si>
    <t>Sự tham gia tích cực là yếu tố then chốt.</t>
  </si>
  <si>
    <t>selective</t>
  </si>
  <si>
    <t>có chọn lọc</t>
  </si>
  <si>
    <t>Be selective about your friends.</t>
  </si>
  <si>
    <t>Hãy có chọn lọc về bạn bè của bạn.</t>
  </si>
  <si>
    <t>permission</t>
  </si>
  <si>
    <t>sự cho phép</t>
  </si>
  <si>
    <t>Do you have her permission?</t>
  </si>
  <si>
    <t>Bạn có sự cho phép của cô ấy không?</t>
  </si>
  <si>
    <t>suspicion</t>
  </si>
  <si>
    <t>He acted in deep suspicion.</t>
  </si>
  <si>
    <t>Anh ấy đã hành động trong sự nghi ngờ sâu sắc.</t>
  </si>
  <si>
    <t>anger</t>
  </si>
  <si>
    <t>sự tức giận</t>
  </si>
  <si>
    <t>He controlled his sudden anger.</t>
  </si>
  <si>
    <t>Anh ấy đã kiểm soát cơn giận bất ngờ.</t>
  </si>
  <si>
    <t>retirement</t>
  </si>
  <si>
    <t>sự nghỉ hưu</t>
  </si>
  <si>
    <t>He enjoys his retirement very much.</t>
  </si>
  <si>
    <t>Anh ấy rất tận hưởng kỳ nghỉ hưu của mình.</t>
  </si>
  <si>
    <t>reward</t>
  </si>
  <si>
    <t>He got a big reward today.</t>
  </si>
  <si>
    <t>Hôm nay anh ấy đã nhận được một phần thưởng lớn.</t>
  </si>
  <si>
    <t>grip</t>
  </si>
  <si>
    <t>sự nắm chặt</t>
  </si>
  <si>
    <t>He has a firm grip.</t>
  </si>
  <si>
    <t>Anh ấy có cái nắm tay rất chắc chắn.</t>
  </si>
  <si>
    <t>passion</t>
  </si>
  <si>
    <t>niềm đam mê</t>
  </si>
  <si>
    <t>He has a real passion.</t>
  </si>
  <si>
    <t>Anh ấy có một niềm đam mê thực sự.</t>
  </si>
  <si>
    <t>competent</t>
  </si>
  <si>
    <t>có năng lực</t>
  </si>
  <si>
    <t>He is a competent worker.</t>
  </si>
  <si>
    <t>Anh ấy là nhân viên có năng lực.</t>
  </si>
  <si>
    <t>medium</t>
  </si>
  <si>
    <t>It is a common medium.</t>
  </si>
  <si>
    <t>Đó là một phương tiện truyền thông phổ biến.</t>
  </si>
  <si>
    <t>speculation</t>
  </si>
  <si>
    <t>sự suy đoán</t>
  </si>
  <si>
    <t>It is just pure speculation.</t>
  </si>
  <si>
    <t>Đó chỉ là sự suy đoán thuần túy.</t>
  </si>
  <si>
    <t>potentially</t>
  </si>
  <si>
    <t>It is potentially very dangerous.</t>
  </si>
  <si>
    <t>Nó có khả năng rất nguy hiểm.</t>
  </si>
  <si>
    <t>ingredient</t>
  </si>
  <si>
    <t>List every ingredient in cooking.</t>
  </si>
  <si>
    <t>Hãy liệt kê mọi nguyên liệu khi nấu ăn.</t>
  </si>
  <si>
    <t>satisfaction</t>
  </si>
  <si>
    <t>sự hài lòng</t>
  </si>
  <si>
    <t>She felt great satisfaction today now.</t>
  </si>
  <si>
    <t>Cô ấy cảm thấy rất hài lòng.</t>
  </si>
  <si>
    <t>humour</t>
  </si>
  <si>
    <t>sự hài hước</t>
  </si>
  <si>
    <t>She has a great humour.</t>
  </si>
  <si>
    <t>Cô ấy rất hài hước.</t>
  </si>
  <si>
    <t>charm</t>
  </si>
  <si>
    <t>sự quyến rũ</t>
  </si>
  <si>
    <t>She has natural charm.</t>
  </si>
  <si>
    <t>Cô ấy có sự quyến rũ tự nhiên.</t>
  </si>
  <si>
    <t>seventeen</t>
  </si>
  <si>
    <t>mười bảy</t>
  </si>
  <si>
    <t>She is seventeen years old.</t>
  </si>
  <si>
    <t>Cô ấy mười bảy tuổi.</t>
  </si>
  <si>
    <t>accused</t>
  </si>
  <si>
    <t>bị buộc tội</t>
  </si>
  <si>
    <t>The accused man remains silent.</t>
  </si>
  <si>
    <t>Người đàn ông bị buộc tội vẫn giữ im lặng.</t>
  </si>
  <si>
    <t>admission</t>
  </si>
  <si>
    <t>phí vào cửa</t>
  </si>
  <si>
    <t>The admission fee is free.</t>
  </si>
  <si>
    <t>Phí vào cửa được miễn phí.</t>
  </si>
  <si>
    <t>observation</t>
  </si>
  <si>
    <t>sự quan sát</t>
  </si>
  <si>
    <t>The bird requires close observation.</t>
  </si>
  <si>
    <t>Con chim cần sự quan sát kỹ lưỡng.</t>
  </si>
  <si>
    <t>chemist</t>
  </si>
  <si>
    <t>nhà hóa học</t>
  </si>
  <si>
    <t>The chemist studies science.</t>
  </si>
  <si>
    <t>Nhà hóa học nghiên cứu khoa học.</t>
  </si>
  <si>
    <t>closure</t>
  </si>
  <si>
    <t>The closure is permanent.</t>
  </si>
  <si>
    <t>Sự đóng cửa này là vĩnh viễn.</t>
  </si>
  <si>
    <t>acquisition</t>
  </si>
  <si>
    <t>sự mua lại</t>
  </si>
  <si>
    <t>The company announced the acquisition.</t>
  </si>
  <si>
    <t>Công ty đã công bố sự mua lại này.</t>
  </si>
  <si>
    <t>colourful</t>
  </si>
  <si>
    <t>đầy màu sắc</t>
  </si>
  <si>
    <t>The garden is colourful.</t>
  </si>
  <si>
    <t>Khu vườn rất đầy màu sắc.</t>
  </si>
  <si>
    <t>reform</t>
  </si>
  <si>
    <t>The government needs a new reform.</t>
  </si>
  <si>
    <t>Chính phủ cần một cuộc cải cách mới.</t>
  </si>
  <si>
    <t>inspection</t>
  </si>
  <si>
    <t>The inspection is next week.</t>
  </si>
  <si>
    <t>Sự kiểm tra sẽ diễn ra vào tuần tới.</t>
  </si>
  <si>
    <t>confusing</t>
  </si>
  <si>
    <t>gây bối rối</t>
  </si>
  <si>
    <t>The instructions are confusing.</t>
  </si>
  <si>
    <t>Các chỉ dẫn thật gây bối rối.</t>
  </si>
  <si>
    <t>measurement</t>
  </si>
  <si>
    <t>sự đo lường</t>
  </si>
  <si>
    <t>The measurement is very precise.</t>
  </si>
  <si>
    <t>Kết quả đo lường rất chính xác.</t>
  </si>
  <si>
    <t>visible</t>
  </si>
  <si>
    <t>The moon is very visible.</t>
  </si>
  <si>
    <t>Mặt trăng rất rõ ràng.</t>
  </si>
  <si>
    <t>negotiation</t>
  </si>
  <si>
    <t>sự đàm phán</t>
  </si>
  <si>
    <t>The negotiation was very long.</t>
  </si>
  <si>
    <t>Cuộc đàm phán đã kéo dài rất lâu.</t>
  </si>
  <si>
    <t>reception</t>
  </si>
  <si>
    <t>sự tiếp đón</t>
  </si>
  <si>
    <t>The reception was very warm today.</t>
  </si>
  <si>
    <t>Sự tiếp đón hôm nay rất nồng hậu.</t>
  </si>
  <si>
    <t>resistance</t>
  </si>
  <si>
    <t>sự kháng cự</t>
  </si>
  <si>
    <t>The resistance was very strong today.</t>
  </si>
  <si>
    <t>Sự kháng cự hôm nay rất mạnh mẽ.</t>
  </si>
  <si>
    <t>chaos</t>
  </si>
  <si>
    <t>sự hỗn loạn</t>
  </si>
  <si>
    <t>The room is chaos.</t>
  </si>
  <si>
    <t>Căn phòng thật sự hỗn loạn.</t>
  </si>
  <si>
    <t>transformation</t>
  </si>
  <si>
    <t>The transformation was quite clear.</t>
  </si>
  <si>
    <t>Sự biến đổi khá rõ ràng.</t>
  </si>
  <si>
    <t>harsh</t>
  </si>
  <si>
    <t>khắc nghiệt</t>
  </si>
  <si>
    <t>The winter was very harsh.</t>
  </si>
  <si>
    <t>sufficiently</t>
  </si>
  <si>
    <t>một cách đầy đủ</t>
  </si>
  <si>
    <t>The work was sufficiently done.</t>
  </si>
  <si>
    <t>Công việc đã được hoàn thành một cách đầy đủ.</t>
  </si>
  <si>
    <t>similarity</t>
  </si>
  <si>
    <t>There is a clear similarity.</t>
  </si>
  <si>
    <t>Có một sự tương tự rõ ràng.</t>
  </si>
  <si>
    <t>variation</t>
  </si>
  <si>
    <t>There is a small variation.</t>
  </si>
  <si>
    <t>Có một sự biến đổi nhỏ.</t>
  </si>
  <si>
    <t>engaged</t>
  </si>
  <si>
    <t>đã đính hôn</t>
  </si>
  <si>
    <t>They are engaged to marry.</t>
  </si>
  <si>
    <t>Họ đã đính hôn.</t>
  </si>
  <si>
    <t>sponsor</t>
  </si>
  <si>
    <t>nhà tài trợ</t>
  </si>
  <si>
    <t>They are our main sponsor.</t>
  </si>
  <si>
    <t>Họ là nhà tài trợ chính của chúng tôi.</t>
  </si>
  <si>
    <t>clash</t>
  </si>
  <si>
    <t>sự xung đột</t>
  </si>
  <si>
    <t>They had a clash.</t>
  </si>
  <si>
    <t>Họ đã có một sự xung đột.</t>
  </si>
  <si>
    <t>governance</t>
  </si>
  <si>
    <t>sự quản trị</t>
  </si>
  <si>
    <t>They improved the governance.</t>
  </si>
  <si>
    <t>Họ đã cải thiện công tác quản trị.</t>
  </si>
  <si>
    <t>ideology</t>
  </si>
  <si>
    <t>hệ tư tưởng</t>
  </si>
  <si>
    <t>They share the same ideology.</t>
  </si>
  <si>
    <t>Họ chia sẻ cùng một hệ tư tưởng.</t>
  </si>
  <si>
    <t>pure</t>
  </si>
  <si>
    <t>This water is pure and fresh.</t>
  </si>
  <si>
    <t>Nước này rất thuần khiết và tươi mát.</t>
  </si>
  <si>
    <t>persuade</t>
  </si>
  <si>
    <t>Try to persuade him today.</t>
  </si>
  <si>
    <t>Hãy thử thuyết phục anh ấy hôm nay.</t>
  </si>
  <si>
    <t>furniture</t>
  </si>
  <si>
    <t>We bought new office furniture.</t>
  </si>
  <si>
    <t>Chúng tôi đã mua đồ nội thất văn phòng mới.</t>
  </si>
  <si>
    <t>replacement</t>
  </si>
  <si>
    <t>We need a quick replacement now.</t>
  </si>
  <si>
    <t>Chúng ta cần một sự thay thế nhanh chóng.</t>
  </si>
  <si>
    <t>rapid</t>
  </si>
  <si>
    <t>We saw rapid growth last year.</t>
  </si>
  <si>
    <t>Chúng tôi đã thấy sự tăng trưởng nhanh chóng vào năm ngoái.</t>
  </si>
  <si>
    <t>evolution</t>
  </si>
  <si>
    <t>We study the human evolution.</t>
  </si>
  <si>
    <t>Chúng ta nghiên cứu sự tiến hóa của con người.</t>
  </si>
  <si>
    <t>gallery</t>
  </si>
  <si>
    <t>phòng tranh</t>
  </si>
  <si>
    <t>We visited an art gallery.</t>
  </si>
  <si>
    <t>Chúng tôi đã ghé thăm một phòng tranh nghệ thuật.</t>
  </si>
  <si>
    <t>fishing</t>
  </si>
  <si>
    <t>We went fishing last week.</t>
  </si>
  <si>
    <t>Chúng tôi đã đi câu cá tuần trước.</t>
  </si>
  <si>
    <t>casual</t>
  </si>
  <si>
    <t>Wear casual clothes today.</t>
  </si>
  <si>
    <t>Hôm nay hãy mặc quần áo thường ngày.</t>
  </si>
  <si>
    <t>occupation</t>
  </si>
  <si>
    <t>What is your main occupation?</t>
  </si>
  <si>
    <t>Nghề nghiệp chính của bạn là gì?</t>
  </si>
  <si>
    <t>assumption</t>
  </si>
  <si>
    <t>sự giả định</t>
  </si>
  <si>
    <t>Your assumption is quite wrong.</t>
  </si>
  <si>
    <t>Sự giả định của bạn khá sai lầm.</t>
  </si>
  <si>
    <t>complication</t>
  </si>
  <si>
    <t>biến chứng</t>
  </si>
  <si>
    <t>Avoid any health complication.</t>
  </si>
  <si>
    <t>Hãy tránh bất kỳ biến chứng sức khỏe nào.</t>
  </si>
  <si>
    <t>kit</t>
  </si>
  <si>
    <t>bộ dụng cụ</t>
  </si>
  <si>
    <t>Bring your first aid kit.</t>
  </si>
  <si>
    <t>Hãy mang theo bộ sơ cứu của bạn.</t>
  </si>
  <si>
    <t>favour</t>
  </si>
  <si>
    <t>Can you do me favour?</t>
  </si>
  <si>
    <t>Bạn có thể giúp tôi một việc được không?</t>
  </si>
  <si>
    <t>icon</t>
  </si>
  <si>
    <t>Click on the desktop icon.</t>
  </si>
  <si>
    <t>Hãy nhấp vào biểu tượng trên màn hình.</t>
  </si>
  <si>
    <t>coverage</t>
  </si>
  <si>
    <t>Get wide media coverage.</t>
  </si>
  <si>
    <t>Nhận được sự đưa tin rộng rãi trên truyền thông.</t>
  </si>
  <si>
    <t>offence</t>
  </si>
  <si>
    <t>He committed a minor offence.</t>
  </si>
  <si>
    <t>Anh ta đã phạm một vi phạm nhỏ.</t>
  </si>
  <si>
    <t>salary</t>
  </si>
  <si>
    <t>He gets a high monthly salary.</t>
  </si>
  <si>
    <t>Anh ấy nhận được mức lương hàng tháng cao.</t>
  </si>
  <si>
    <t>expertise</t>
  </si>
  <si>
    <t>He has great technical expertise.</t>
  </si>
  <si>
    <t>Anh ấy có chuyên môn kỹ thuật tuyệt vời.</t>
  </si>
  <si>
    <t>cabin</t>
  </si>
  <si>
    <t>khoang tàu</t>
  </si>
  <si>
    <t>He stayed in his cabin.</t>
  </si>
  <si>
    <t>Anh ấy đã ở trong khoang tàu của mình.</t>
  </si>
  <si>
    <t>sibling</t>
  </si>
  <si>
    <t>anh chị em</t>
  </si>
  <si>
    <t>I have two young siblings.</t>
  </si>
  <si>
    <t>Tôi có hai người anh chị em nhỏ.</t>
  </si>
  <si>
    <t>vital</t>
  </si>
  <si>
    <t>It is vital to listen.</t>
  </si>
  <si>
    <t>Rất quan trọng để lắng nghe.</t>
  </si>
  <si>
    <t>stimulate</t>
  </si>
  <si>
    <t>Music can stimulate the brain.</t>
  </si>
  <si>
    <t>Âm nhạc có thể kích thích não bộ.</t>
  </si>
  <si>
    <t>closet</t>
  </si>
  <si>
    <t>Put clothes in closet.</t>
  </si>
  <si>
    <t>Hãy để quần áo vào tủ.</t>
  </si>
  <si>
    <t>subscription</t>
  </si>
  <si>
    <t>Renew your subscription today now.</t>
  </si>
  <si>
    <t>Hãy gia hạn đăng ký của bạn ngay hôm nay.</t>
  </si>
  <si>
    <t>remarkable</t>
  </si>
  <si>
    <t>đáng chú ý</t>
  </si>
  <si>
    <t>She made a remarkable effort today.</t>
  </si>
  <si>
    <t>Hôm nay cô ấy đã nỗ lực đáng chú ý.</t>
  </si>
  <si>
    <t>psychology</t>
  </si>
  <si>
    <t>tâm lý học</t>
  </si>
  <si>
    <t>She studies child psychology daily.</t>
  </si>
  <si>
    <t>Cô ấy nghiên cứu tâm lý học trẻ em hàng ngày.</t>
  </si>
  <si>
    <t>anxiety</t>
  </si>
  <si>
    <t>sự lo lắng</t>
  </si>
  <si>
    <t>She suffers from severe anxiety.</t>
  </si>
  <si>
    <t>Cô ấy chịu đựng sự lo lắng nghiêm trọng.</t>
  </si>
  <si>
    <t>commerce</t>
  </si>
  <si>
    <t>Study commerce and trade.</t>
  </si>
  <si>
    <t>Học về thương mại và buôn bán.</t>
  </si>
  <si>
    <t>hypothesis</t>
  </si>
  <si>
    <t>giả thuyết</t>
  </si>
  <si>
    <t>Test your scientific hypothesis now.</t>
  </si>
  <si>
    <t>Hãy kiểm tra giả thuyết khoa học của bạn ngay.</t>
  </si>
  <si>
    <t>civilian</t>
  </si>
  <si>
    <t>The civilians left early.</t>
  </si>
  <si>
    <t>Những thường dân đã rời đi sớm.</t>
  </si>
  <si>
    <t>reputation</t>
  </si>
  <si>
    <t>The company has a good reputation.</t>
  </si>
  <si>
    <t>Công ty có một danh tiếng tốt.</t>
  </si>
  <si>
    <t>confrontation</t>
  </si>
  <si>
    <t>sự đối đầu</t>
  </si>
  <si>
    <t>The confrontation was tense.</t>
  </si>
  <si>
    <t>Sự đối đầu đó thật căng thẳng.</t>
  </si>
  <si>
    <t>resolution</t>
  </si>
  <si>
    <t>The council passed a new resolution.</t>
  </si>
  <si>
    <t>Hội đồng đã thông qua một nghị quyết mới.</t>
  </si>
  <si>
    <t>boom</t>
  </si>
  <si>
    <t>sự bùng nổ</t>
  </si>
  <si>
    <t>The economy is in a boom.</t>
  </si>
  <si>
    <t>Nền kinh tế đang trong giai đoạn bùng nổ.</t>
  </si>
  <si>
    <t>prospect</t>
  </si>
  <si>
    <t>The job has great prospects.</t>
  </si>
  <si>
    <t>Công việc này có triển vọng rất lớn.</t>
  </si>
  <si>
    <t>mass</t>
  </si>
  <si>
    <t>khối lượng</t>
  </si>
  <si>
    <t>The mass is very heavy.</t>
  </si>
  <si>
    <t>Khối lượng này rất lớn.</t>
  </si>
  <si>
    <t>plot</t>
  </si>
  <si>
    <t>cốt truyện</t>
  </si>
  <si>
    <t>The plot is very complex.</t>
  </si>
  <si>
    <t>Cốt truyện rất phức tạp.</t>
  </si>
  <si>
    <t>printing</t>
  </si>
  <si>
    <t>The printing process is very fast.</t>
  </si>
  <si>
    <t>Quy trình in ấn rất nhanh.</t>
  </si>
  <si>
    <t>reporter</t>
  </si>
  <si>
    <t>The reporter asked many good questions.</t>
  </si>
  <si>
    <t>Phóng viên đã đặt nhiều câu hỏi hay.</t>
  </si>
  <si>
    <t>married</t>
  </si>
  <si>
    <t>They are happily married now.</t>
  </si>
  <si>
    <t>Hiện họ đang có cuộc sống hôn nhân hạnh phúc.</t>
  </si>
  <si>
    <t>initiate</t>
  </si>
  <si>
    <t>khởi xướng</t>
  </si>
  <si>
    <t>They initiated the new project.</t>
  </si>
  <si>
    <t>Họ đã khởi xướng dự án mới.</t>
  </si>
  <si>
    <t>regulate</t>
  </si>
  <si>
    <t>They must regulate the market now.</t>
  </si>
  <si>
    <t>Họ phải điều chỉnh thị trường ngay bây giờ.</t>
  </si>
  <si>
    <t>murder</t>
  </si>
  <si>
    <t>vụ án mạng</t>
  </si>
  <si>
    <t>They solved the murder case.</t>
  </si>
  <si>
    <t>Họ đã giải quyết xong vụ án mạng đó.</t>
  </si>
  <si>
    <t>succession</t>
  </si>
  <si>
    <t>sự kế tiếp</t>
  </si>
  <si>
    <t>They were in quick succession.</t>
  </si>
  <si>
    <t>Chúng diễn ra liên tiếp nhanh chóng.</t>
  </si>
  <si>
    <t>recruit</t>
  </si>
  <si>
    <t>They will recruit new staff today.</t>
  </si>
  <si>
    <t>Họ sẽ tuyển dụng nhân viên mới hôm nay.</t>
  </si>
  <si>
    <t>residence</t>
  </si>
  <si>
    <t>nơi cư trú</t>
  </si>
  <si>
    <t>This is my official private residence.</t>
  </si>
  <si>
    <t>Đây là nơi cư trú riêng tư chính thức của tôi.</t>
  </si>
  <si>
    <t>framework</t>
  </si>
  <si>
    <t>khung sườn</t>
  </si>
  <si>
    <t>This is the project framework.</t>
  </si>
  <si>
    <t>Đây là khung sườn của dự án.</t>
  </si>
  <si>
    <t>constraint</t>
  </si>
  <si>
    <t>Time is a constraint.</t>
  </si>
  <si>
    <t>Thời gian là một sự hạn chế.</t>
  </si>
  <si>
    <t>resolve</t>
  </si>
  <si>
    <t>We must resolve this problem fast.</t>
  </si>
  <si>
    <t>Chúng ta phải giải quyết vấn đề này nhanh chóng.</t>
  </si>
  <si>
    <t>format</t>
  </si>
  <si>
    <t>định dạng</t>
  </si>
  <si>
    <t>Change the document file format.</t>
  </si>
  <si>
    <t>Hãy thay đổi định dạng tệp tài liệu.</t>
  </si>
  <si>
    <t>external</t>
  </si>
  <si>
    <t>Check the external hard drive.</t>
  </si>
  <si>
    <t>Hãy kiểm tra ổ cứng bên ngoài.</t>
  </si>
  <si>
    <t>classify</t>
  </si>
  <si>
    <t>Classify these documents now.</t>
  </si>
  <si>
    <t>Hãy phân loại các tài liệu này.</t>
  </si>
  <si>
    <t>privilege</t>
  </si>
  <si>
    <t>Education is a privilege for many.</t>
  </si>
  <si>
    <t>Giáo dục là một đặc quyền đối với nhiều người.</t>
  </si>
  <si>
    <t>gravity</t>
  </si>
  <si>
    <t>Gravity pulls objects to earth.</t>
  </si>
  <si>
    <t>Trọng lực kéo các vật về phía Trái đất.</t>
  </si>
  <si>
    <t>injured</t>
  </si>
  <si>
    <t>Help the injured man now.</t>
  </si>
  <si>
    <t>Hãy giúp đỡ người đàn ông bị thương ngay.</t>
  </si>
  <si>
    <t>conception</t>
  </si>
  <si>
    <t>Her conception is wrong.</t>
  </si>
  <si>
    <t>Quan niệm của cô ấy sai.</t>
  </si>
  <si>
    <t>characterize</t>
  </si>
  <si>
    <t>Humor characterizes his style.</t>
  </si>
  <si>
    <t>Sự hài hước đặc trưng cho phong cách của anh ấy.</t>
  </si>
  <si>
    <t>loan</t>
  </si>
  <si>
    <t>khoản vay</t>
  </si>
  <si>
    <t>I applied for a loan.</t>
  </si>
  <si>
    <t>Tôi đã nộp đơn vay một khoản.</t>
  </si>
  <si>
    <t>conceive</t>
  </si>
  <si>
    <t>hình dung</t>
  </si>
  <si>
    <t>I cannot conceive it.</t>
  </si>
  <si>
    <t>Tôi không thể hình dung nổi.</t>
  </si>
  <si>
    <t>programming</t>
  </si>
  <si>
    <t>lập trình</t>
  </si>
  <si>
    <t>I enjoy learning computer programming.</t>
  </si>
  <si>
    <t>Tôi thích học lập trình máy tính.</t>
  </si>
  <si>
    <t>assistance</t>
  </si>
  <si>
    <t>I need some technical assistance.</t>
  </si>
  <si>
    <t>Tôi cần một số sự hỗ trợ kỹ thuật.</t>
  </si>
  <si>
    <t>practise</t>
  </si>
  <si>
    <t>I practise my English daily.</t>
  </si>
  <si>
    <t>Tôi luyện tập tiếng Anh hàng ngày.</t>
  </si>
  <si>
    <t>isolated</t>
  </si>
  <si>
    <t>bị cô lập</t>
  </si>
  <si>
    <t>It is an isolated village.</t>
  </si>
  <si>
    <t>Đó là một ngôi làng bị cô lập.</t>
  </si>
  <si>
    <t>purely</t>
  </si>
  <si>
    <t>It was purely a lucky guess.</t>
  </si>
  <si>
    <t>Đó hoàn toàn là một sự đoán mò may mắn.</t>
  </si>
  <si>
    <t>pub</t>
  </si>
  <si>
    <t>Let us meet at the pub.</t>
  </si>
  <si>
    <t>Hãy gặp nhau ở quán rượu.</t>
  </si>
  <si>
    <t>routine</t>
  </si>
  <si>
    <t>My daily routine is simple now.</t>
  </si>
  <si>
    <t>Thói quen hàng ngày của tôi hiện rất đơn giản.</t>
  </si>
  <si>
    <t>photography</t>
  </si>
  <si>
    <t>nhiếp ảnh</t>
  </si>
  <si>
    <t>She enjoys photography very much.</t>
  </si>
  <si>
    <t>Cô ấy rất thích nhiếp ảnh.</t>
  </si>
  <si>
    <t>genius</t>
  </si>
  <si>
    <t>She is a math genius.</t>
  </si>
  <si>
    <t>Cô ấy là một thiên tài toán học.</t>
  </si>
  <si>
    <t>aggressive</t>
  </si>
  <si>
    <t>hung hăng</t>
  </si>
  <si>
    <t>The dog is very aggressive.</t>
  </si>
  <si>
    <t>Con chó đó rất hung hăng.</t>
  </si>
  <si>
    <t>output</t>
  </si>
  <si>
    <t>sản lượng</t>
  </si>
  <si>
    <t>The factory increased its output.</t>
  </si>
  <si>
    <t>Nhà máy đã tăng sản lượng.</t>
  </si>
  <si>
    <t>interior</t>
  </si>
  <si>
    <t>nội thất</t>
  </si>
  <si>
    <t>The interior is very clean.</t>
  </si>
  <si>
    <t>Phần nội thất rất sạch sẽ.</t>
  </si>
  <si>
    <t>proceeding</t>
  </si>
  <si>
    <t>The legal proceeding took weeks.</t>
  </si>
  <si>
    <t>Quá trình pháp lý đã kéo dài hàng tuần.</t>
  </si>
  <si>
    <t>railway</t>
  </si>
  <si>
    <t>The railway station is near here.</t>
  </si>
  <si>
    <t>Nhà ga đường sắt ở gần đây.</t>
  </si>
  <si>
    <t>bubble</t>
  </si>
  <si>
    <t>The soap makes bubbles.</t>
  </si>
  <si>
    <t>Xà phòng tạo ra bong bóng.</t>
  </si>
  <si>
    <t>timing</t>
  </si>
  <si>
    <t>The timing was quite perfect.</t>
  </si>
  <si>
    <t>Thời điểm đó khá hoàn hảo.</t>
  </si>
  <si>
    <t>spectacular</t>
  </si>
  <si>
    <t>ngoạn mục</t>
  </si>
  <si>
    <t>The view is very spectacular.</t>
  </si>
  <si>
    <t>Cảnh quan rất ngoạn mục.</t>
  </si>
  <si>
    <t>constitute</t>
  </si>
  <si>
    <t>cấu thành</t>
  </si>
  <si>
    <t>They constitute the group.</t>
  </si>
  <si>
    <t>Họ cấu thành nên nhóm này.</t>
  </si>
  <si>
    <t>combat</t>
  </si>
  <si>
    <t>They engage in combat.</t>
  </si>
  <si>
    <t>Họ tham gia vào chiến đấu.</t>
  </si>
  <si>
    <t>colony</t>
  </si>
  <si>
    <t>They established a colony.</t>
  </si>
  <si>
    <t>Họ đã thành lập một thuộc địa.</t>
  </si>
  <si>
    <t>exhibit</t>
  </si>
  <si>
    <t>They exhibit art every year.</t>
  </si>
  <si>
    <t>Họ trưng bày nghệ thuật hàng năm.</t>
  </si>
  <si>
    <t>cave</t>
  </si>
  <si>
    <t>hang động</t>
  </si>
  <si>
    <t>They explored the cave.</t>
  </si>
  <si>
    <t>Họ đã khám phá hang động.</t>
  </si>
  <si>
    <t>export</t>
  </si>
  <si>
    <t>They export rice every year.</t>
  </si>
  <si>
    <t>Họ xuất khẩu gạo hàng năm.</t>
  </si>
  <si>
    <t>simultaneously</t>
  </si>
  <si>
    <t>They spoke simultaneously to us.</t>
  </si>
  <si>
    <t>Họ đã nói đồng thời với chúng tôi.</t>
  </si>
  <si>
    <t>gay</t>
  </si>
  <si>
    <t>đồng tính</t>
  </si>
  <si>
    <t>They support the gay rights.</t>
  </si>
  <si>
    <t>Họ ủng hộ quyền của người đồng tính.</t>
  </si>
  <si>
    <t>restore</t>
  </si>
  <si>
    <t>khôi phục</t>
  </si>
  <si>
    <t>They will restore the old castle.</t>
  </si>
  <si>
    <t>Họ sẽ khôi phục tòa lâu đài cũ.</t>
  </si>
  <si>
    <t>humanity</t>
  </si>
  <si>
    <t>This benefits all of humanity.</t>
  </si>
  <si>
    <t>Điều này mang lại lợi ích cho toàn bộ nhân loại.</t>
  </si>
  <si>
    <t>everyday</t>
  </si>
  <si>
    <t>hàng ngày</t>
  </si>
  <si>
    <t>This is my everyday routine.</t>
  </si>
  <si>
    <t>Đây là thói quen hàng ngày của tôi.</t>
  </si>
  <si>
    <t>august</t>
  </si>
  <si>
    <t>tháng tám</t>
  </si>
  <si>
    <t>We travel in August annually.</t>
  </si>
  <si>
    <t>Chúng tôi đi du lịch vào tháng Tám hàng năm.</t>
  </si>
  <si>
    <t>punishment</t>
  </si>
  <si>
    <t>What is the correct punishment here?</t>
  </si>
  <si>
    <t>Hình phạt đúng đắn ở đây là gì?</t>
  </si>
  <si>
    <t>reverse</t>
  </si>
  <si>
    <t>You must reverse the current trend.</t>
  </si>
  <si>
    <t>Bạn phải đảo ngược xu hướng hiện tại.</t>
  </si>
  <si>
    <t>bye</t>
  </si>
  <si>
    <t>Bye, see you later.</t>
  </si>
  <si>
    <t>Tạm biệt, hẹn gặp lại sau.</t>
  </si>
  <si>
    <t>repair</t>
  </si>
  <si>
    <t>Can you repair my old bike?</t>
  </si>
  <si>
    <t>Bạn có thể sửa chữa chiếc xe đạp cũ của tôi không?</t>
  </si>
  <si>
    <t>spelling</t>
  </si>
  <si>
    <t>chính tả</t>
  </si>
  <si>
    <t>Check your spelling very carefully.</t>
  </si>
  <si>
    <t>Hãy kiểm tra chính tả của bạn thật cẩn thận.</t>
  </si>
  <si>
    <t>carpet</t>
  </si>
  <si>
    <t>tấm thảm</t>
  </si>
  <si>
    <t>Clean the red carpet.</t>
  </si>
  <si>
    <t>Hãy làm sạch tấm thảm đỏ.</t>
  </si>
  <si>
    <t>comply</t>
  </si>
  <si>
    <t>Comply with the rules.</t>
  </si>
  <si>
    <t>Hãy tuân thủ các quy định.</t>
  </si>
  <si>
    <t>encounter</t>
  </si>
  <si>
    <t>Did you encounter any problems?</t>
  </si>
  <si>
    <t>Bạn có gặp phải vấn đề gì không?</t>
  </si>
  <si>
    <t>interrupt</t>
  </si>
  <si>
    <t>ngắt lời</t>
  </si>
  <si>
    <t>Do not interrupt me now.</t>
  </si>
  <si>
    <t>Đừng ngắt lời tôi bây giờ.</t>
  </si>
  <si>
    <t>cheat</t>
  </si>
  <si>
    <t>Don't cheat in tests.</t>
  </si>
  <si>
    <t>Đừng gian lận trong các bài kiểm tra.</t>
  </si>
  <si>
    <t>youth</t>
  </si>
  <si>
    <t>tuổi trẻ</t>
  </si>
  <si>
    <t>Enjoy your youth today now.</t>
  </si>
  <si>
    <t>Hãy tận hưởng tuổi trẻ của bạn.</t>
  </si>
  <si>
    <t>contest</t>
  </si>
  <si>
    <t>Enter the music contest.</t>
  </si>
  <si>
    <t>Hãy tham gia cuộc thi âm nhạc.</t>
  </si>
  <si>
    <t>supermarket</t>
  </si>
  <si>
    <t>siêu thị</t>
  </si>
  <si>
    <t>Go to the supermarket now.</t>
  </si>
  <si>
    <t>Hãy đi đến siêu thị ngay.</t>
  </si>
  <si>
    <t>academy</t>
  </si>
  <si>
    <t>học viện</t>
  </si>
  <si>
    <t>He attends the military academy.</t>
  </si>
  <si>
    <t>Anh ấy theo học tại học viện quân sự.</t>
  </si>
  <si>
    <t>elsewhere</t>
  </si>
  <si>
    <t>He decided to look elsewhere.</t>
  </si>
  <si>
    <t>Anh ấy quyết định tìm ở nơi khác.</t>
  </si>
  <si>
    <t>brave</t>
  </si>
  <si>
    <t>He is a brave man.</t>
  </si>
  <si>
    <t>Anh ấy là một người dũng cảm.</t>
  </si>
  <si>
    <t>confess</t>
  </si>
  <si>
    <t>thú nhận</t>
  </si>
  <si>
    <t>He must confess truth.</t>
  </si>
  <si>
    <t>Anh ấy phải thú nhận sự thật.</t>
  </si>
  <si>
    <t>comic</t>
  </si>
  <si>
    <t>He tells comic stories.</t>
  </si>
  <si>
    <t>Anh ấy kể những câu chuyện hài hước.</t>
  </si>
  <si>
    <t>inflation</t>
  </si>
  <si>
    <t>High inflation hurts the economy.</t>
  </si>
  <si>
    <t>Lạm phát cao làm tổn thương nền kinh tế.</t>
  </si>
  <si>
    <t>partly</t>
  </si>
  <si>
    <t>I am partly to blame.</t>
  </si>
  <si>
    <t>Tôi một phần phải chịu trách nhiệm.</t>
  </si>
  <si>
    <t>satisfied</t>
  </si>
  <si>
    <t>I am satisfied with this result.</t>
  </si>
  <si>
    <t>Tôi hài lòng với kết quả này.</t>
  </si>
  <si>
    <t>spare</t>
  </si>
  <si>
    <t>I have a spare key.</t>
  </si>
  <si>
    <t>Tôi có một chìa khóa dự phòng.</t>
  </si>
  <si>
    <t>outline</t>
  </si>
  <si>
    <t>đề cương</t>
  </si>
  <si>
    <t>I wrote an outline today.</t>
  </si>
  <si>
    <t>Tôi đã viết một đề cương hôm nay.</t>
  </si>
  <si>
    <t>eleven</t>
  </si>
  <si>
    <t>mười một</t>
  </si>
  <si>
    <t>It is eleven o'clock now.</t>
  </si>
  <si>
    <t>Bây giờ là mười một giờ.</t>
  </si>
  <si>
    <t>goodbye</t>
  </si>
  <si>
    <t>It is time to say goodbye.</t>
  </si>
  <si>
    <t>Đã đến lúc phải nói tạm biệt.</t>
  </si>
  <si>
    <t>moving</t>
  </si>
  <si>
    <t>It was a moving story.</t>
  </si>
  <si>
    <t>Đó là một câu chuyện cảm động.</t>
  </si>
  <si>
    <t>joy</t>
  </si>
  <si>
    <t>Music brings me great joy.</t>
  </si>
  <si>
    <t>Âm nhạc mang lại cho tôi niềm vui lớn.</t>
  </si>
  <si>
    <t>retire</t>
  </si>
  <si>
    <t>My father will retire very soon.</t>
  </si>
  <si>
    <t>Cha tôi sẽ nghỉ hưu rất sớm.</t>
  </si>
  <si>
    <t>hobby</t>
  </si>
  <si>
    <t>My hobby is reading books.</t>
  </si>
  <si>
    <t>Sở thích của tôi là đọc sách.</t>
  </si>
  <si>
    <t>ceiling</t>
  </si>
  <si>
    <t>trần nhà</t>
  </si>
  <si>
    <t>Paint the ceiling white.</t>
  </si>
  <si>
    <t>Hãy sơn trần nhà màu trắng.</t>
  </si>
  <si>
    <t>attach</t>
  </si>
  <si>
    <t>Please attach the file here.</t>
  </si>
  <si>
    <t>Vui lòng đính kèm tệp ở đây.</t>
  </si>
  <si>
    <t>receipt</t>
  </si>
  <si>
    <t>biên lai</t>
  </si>
  <si>
    <t>Please keep your store receipt now.</t>
  </si>
  <si>
    <t>Hãy giữ lại biên lai cửa hàng của bạn.</t>
  </si>
  <si>
    <t>pause</t>
  </si>
  <si>
    <t>tạm dừng</t>
  </si>
  <si>
    <t>Please pause the video now.</t>
  </si>
  <si>
    <t>Vui lòng tạm dừng video bây giờ.</t>
  </si>
  <si>
    <t>forum</t>
  </si>
  <si>
    <t>diễn đàn</t>
  </si>
  <si>
    <t>Post it on the forum.</t>
  </si>
  <si>
    <t>Hãy đăng nó trên diễn đàn.</t>
  </si>
  <si>
    <t>suicide</t>
  </si>
  <si>
    <t>tự tử</t>
  </si>
  <si>
    <t>Prevent the suicide act now.</t>
  </si>
  <si>
    <t>Hãy ngăn chặn hành vi tự tử ngay.</t>
  </si>
  <si>
    <t>glove</t>
  </si>
  <si>
    <t>Put on your gloves now.</t>
  </si>
  <si>
    <t>Hãy đeo găng tay vào.</t>
  </si>
  <si>
    <t>rose</t>
  </si>
  <si>
    <t>hoa hồng</t>
  </si>
  <si>
    <t>She gave me a red rose.</t>
  </si>
  <si>
    <t>Cô ấy đã tặng tôi một bông hoa hồng đỏ.</t>
  </si>
  <si>
    <t>greet</t>
  </si>
  <si>
    <t>chào hỏi</t>
  </si>
  <si>
    <t>She greeted me warmly.</t>
  </si>
  <si>
    <t>Cô ấy đã chào hỏi tôi rất nồng nhiệt.</t>
  </si>
  <si>
    <t>extensive</t>
  </si>
  <si>
    <t>She has extensive knowledge now.</t>
  </si>
  <si>
    <t>Hiện cô ấy có kiến thức rất rộng rãi.</t>
  </si>
  <si>
    <t>qualification</t>
  </si>
  <si>
    <t>She has the right qualifications now.</t>
  </si>
  <si>
    <t>Hiện cô ấy đã có đủ bằng cấp phù hợp.</t>
  </si>
  <si>
    <t>pack</t>
  </si>
  <si>
    <t>đóng gói</t>
  </si>
  <si>
    <t>She helped pack the boxes.</t>
  </si>
  <si>
    <t>Cô ấy đã giúp đóng gói các hộp.</t>
  </si>
  <si>
    <t>lovely</t>
  </si>
  <si>
    <t>She is a lovely girl.</t>
  </si>
  <si>
    <t>Cô ấy là một cô gái đáng yêu.</t>
  </si>
  <si>
    <t>stunning</t>
  </si>
  <si>
    <t>She looks very stunning today.</t>
  </si>
  <si>
    <t>Hôm nay trông cô ấy rất lộng lẫy.</t>
  </si>
  <si>
    <t>similarly</t>
  </si>
  <si>
    <t>Similarly, we must act now.</t>
  </si>
  <si>
    <t>Tương tự, chúng ta phải hành động ngay.</t>
  </si>
  <si>
    <t>sexy</t>
  </si>
  <si>
    <t>That is a very sexy dress.</t>
  </si>
  <si>
    <t>Đó là một chiếc váy rất quyến rũ.</t>
  </si>
  <si>
    <t>silly</t>
  </si>
  <si>
    <t>That was a silly mistake.</t>
  </si>
  <si>
    <t>Đó là một sai lầm ngớ ngẩn.</t>
  </si>
  <si>
    <t>metal</t>
  </si>
  <si>
    <t>The box is made of metal.</t>
  </si>
  <si>
    <t>Cái hộp được làm bằng kim loại.</t>
  </si>
  <si>
    <t>massive</t>
  </si>
  <si>
    <t>The building is massive today.</t>
  </si>
  <si>
    <t>Tòa nhà hôm nay trông thật khổng lồ.</t>
  </si>
  <si>
    <t>clinical</t>
  </si>
  <si>
    <t>lâm sàng</t>
  </si>
  <si>
    <t>The clinical trial works.</t>
  </si>
  <si>
    <t>Thử nghiệm lâm sàng có hiệu quả.</t>
  </si>
  <si>
    <t>bullet</t>
  </si>
  <si>
    <t>The gun fired a bullet.</t>
  </si>
  <si>
    <t>Khẩu súng đã bắn một viên đạn.</t>
  </si>
  <si>
    <t>intensity</t>
  </si>
  <si>
    <t>cường độ</t>
  </si>
  <si>
    <t>The light has high intensity.</t>
  </si>
  <si>
    <t>Ánh sáng này có cường độ cao.</t>
  </si>
  <si>
    <t>parliament</t>
  </si>
  <si>
    <t>The parliament met today session.</t>
  </si>
  <si>
    <t>Quốc hội đã họp phiên hôm nay.</t>
  </si>
  <si>
    <t>probability</t>
  </si>
  <si>
    <t>The probability of rain is high.</t>
  </si>
  <si>
    <t>Xác suất có mưa là rất cao.</t>
  </si>
  <si>
    <t>rescue</t>
  </si>
  <si>
    <t>giải cứu</t>
  </si>
  <si>
    <t>They did rescue the lost dog.</t>
  </si>
  <si>
    <t>Họ đã thực sự giải cứu con chó bị lạc.</t>
  </si>
  <si>
    <t>integrate</t>
  </si>
  <si>
    <t>tích hợp</t>
  </si>
  <si>
    <t>They integrate the new system.</t>
  </si>
  <si>
    <t>Họ đã tích hợp hệ thống mới.</t>
  </si>
  <si>
    <t>wild</t>
  </si>
  <si>
    <t>They saw a wild animal.</t>
  </si>
  <si>
    <t>Họ đã thấy một con thú hoang dã.</t>
  </si>
  <si>
    <t>welfare</t>
  </si>
  <si>
    <t>They support the social welfare.</t>
  </si>
  <si>
    <t>Họ ủng hộ phúc lợi xã hội.</t>
  </si>
  <si>
    <t>league</t>
  </si>
  <si>
    <t>giải đấu</t>
  </si>
  <si>
    <t>They won the football league.</t>
  </si>
  <si>
    <t>Họ đã thắng giải đấu bóng đá.</t>
  </si>
  <si>
    <t>scenario</t>
  </si>
  <si>
    <t>This is the worst case scenario.</t>
  </si>
  <si>
    <t>Đây là kịch bản trong trường hợp xấu nhất.</t>
  </si>
  <si>
    <t>assess</t>
  </si>
  <si>
    <t>We assess the situation carefully.</t>
  </si>
  <si>
    <t>Chúng tôi đánh giá tình hình một cách cẩn thận.</t>
  </si>
  <si>
    <t>hurry</t>
  </si>
  <si>
    <t>We must hurry to work.</t>
  </si>
  <si>
    <t>Chúng ta phải vội vàng đến chỗ làm.</t>
  </si>
  <si>
    <t>overcome</t>
  </si>
  <si>
    <t>We must overcome our fear.</t>
  </si>
  <si>
    <t>Chúng ta phải vượt qua nỗi sợ hãi của mình.</t>
  </si>
  <si>
    <t>unite</t>
  </si>
  <si>
    <t>We must unite to win.</t>
  </si>
  <si>
    <t>Chúng ta phải đoàn kết để chiến thắng.</t>
  </si>
  <si>
    <t>relax</t>
  </si>
  <si>
    <t>thư giãn</t>
  </si>
  <si>
    <t>You need to relax today now.</t>
  </si>
  <si>
    <t>Bạn cần thư giãn ngay hôm nay.</t>
  </si>
  <si>
    <t>worried</t>
  </si>
  <si>
    <t>Are you worried about work?</t>
  </si>
  <si>
    <t>Bạn có lo lắng về công việc không?</t>
  </si>
  <si>
    <t>boil</t>
  </si>
  <si>
    <t>Boil the water first.</t>
  </si>
  <si>
    <t>Hãy đun sôi nước trước.</t>
  </si>
  <si>
    <t>considerably</t>
  </si>
  <si>
    <t>Costs increased considerably today.</t>
  </si>
  <si>
    <t>Hôm nay chi phí đã tăng lên đáng kể.</t>
  </si>
  <si>
    <t>remaining</t>
  </si>
  <si>
    <t>Eat the remaining food for lunch.</t>
  </si>
  <si>
    <t>Hãy ăn thức ăn còn lại cho bữa trưa.</t>
  </si>
  <si>
    <t>continent</t>
  </si>
  <si>
    <t>lục địa</t>
  </si>
  <si>
    <t>Europe is a continent.</t>
  </si>
  <si>
    <t>Châu Âu là một lục địa.</t>
  </si>
  <si>
    <t>furthermore</t>
  </si>
  <si>
    <t>Furthermore, the cost is low.</t>
  </si>
  <si>
    <t>Hơn nữa, chi phí rất thấp.</t>
  </si>
  <si>
    <t>coin</t>
  </si>
  <si>
    <t>đồng xu</t>
  </si>
  <si>
    <t>Give him a coin.</t>
  </si>
  <si>
    <t>Hãy đưa cho anh ấy một đồng xu.</t>
  </si>
  <si>
    <t>hook</t>
  </si>
  <si>
    <t>cái móc</t>
  </si>
  <si>
    <t>Hang it on the hook.</t>
  </si>
  <si>
    <t>Hãy treo nó lên cái móc.</t>
  </si>
  <si>
    <t>opponent</t>
  </si>
  <si>
    <t>đối thủ</t>
  </si>
  <si>
    <t>He defeated his main opponent.</t>
  </si>
  <si>
    <t>Anh ấy đã đánh bại đối thủ chính của mình.</t>
  </si>
  <si>
    <t>nod</t>
  </si>
  <si>
    <t>He gave a slight nod.</t>
  </si>
  <si>
    <t>Anh ấy khẽ gật đầu.</t>
  </si>
  <si>
    <t>stroke</t>
  </si>
  <si>
    <t>He had a light stroke.</t>
  </si>
  <si>
    <t>Anh ấy đã bị một cơn đột quỵ nhẹ.</t>
  </si>
  <si>
    <t>supreme</t>
  </si>
  <si>
    <t>tối cao</t>
  </si>
  <si>
    <t>He is the supreme leader.</t>
  </si>
  <si>
    <t>Ông ấy là nhà lãnh đạo tối cao.</t>
  </si>
  <si>
    <t>honey</t>
  </si>
  <si>
    <t>I put honey in tea.</t>
  </si>
  <si>
    <t>Tôi cho mật ong vào trà.</t>
  </si>
  <si>
    <t>magazine</t>
  </si>
  <si>
    <t>I read this fashion magazine.</t>
  </si>
  <si>
    <t>Tôi đọc tạp chí thời trang này.</t>
  </si>
  <si>
    <t>invitation</t>
  </si>
  <si>
    <t>I received an invitation today.</t>
  </si>
  <si>
    <t>Hôm nay tôi đã nhận được một lời mời.</t>
  </si>
  <si>
    <t>evident</t>
  </si>
  <si>
    <t>It is evident to all.</t>
  </si>
  <si>
    <t>Nó rõ ràng với tất cả mọi người.</t>
  </si>
  <si>
    <t>apparent</t>
  </si>
  <si>
    <t>It was apparent to everyone.</t>
  </si>
  <si>
    <t>Điều đó rõ ràng với mọi người.</t>
  </si>
  <si>
    <t>accompany</t>
  </si>
  <si>
    <t>đi cùng</t>
  </si>
  <si>
    <t>May I accompany you there?</t>
  </si>
  <si>
    <t>Tôi có thể đi cùng bạn tới đó không?</t>
  </si>
  <si>
    <t>moreover</t>
  </si>
  <si>
    <t>Moreover, it is very cheap.</t>
  </si>
  <si>
    <t>Hơn nữa, nó rất rẻ.</t>
  </si>
  <si>
    <t>throat</t>
  </si>
  <si>
    <t>My throat feels very sore.</t>
  </si>
  <si>
    <t>Cổ họng tôi cảm thấy rất đau.</t>
  </si>
  <si>
    <t>guilt</t>
  </si>
  <si>
    <t>She felt a lot of guilt.</t>
  </si>
  <si>
    <t>Cô ấy cảm thấy rất nhiều tội lỗi.</t>
  </si>
  <si>
    <t>striking</t>
  </si>
  <si>
    <t>She has a striking beauty.</t>
  </si>
  <si>
    <t>Cô ấy có một vẻ đẹp nổi bật.</t>
  </si>
  <si>
    <t>bath</t>
  </si>
  <si>
    <t>tắm bồn</t>
  </si>
  <si>
    <t>She takes a hot bath.</t>
  </si>
  <si>
    <t>Cô ấy tắm bồn nước nóng.</t>
  </si>
  <si>
    <t>absorb</t>
  </si>
  <si>
    <t>Sponges absorb water very well.</t>
  </si>
  <si>
    <t>Miếng bọt biển hấp thụ nước rất tốt.</t>
  </si>
  <si>
    <t>shocking</t>
  </si>
  <si>
    <t>gây sốc</t>
  </si>
  <si>
    <t>That behavior is quite shocking.</t>
  </si>
  <si>
    <t>Hành vi đó khá gây sốc.</t>
  </si>
  <si>
    <t>mine</t>
  </si>
  <si>
    <t>That book is truly mine.</t>
  </si>
  <si>
    <t>Quyển sách đó thực sự là của tôi.</t>
  </si>
  <si>
    <t>burst</t>
  </si>
  <si>
    <t>nổ tung</t>
  </si>
  <si>
    <t>The balloon burst loudly.</t>
  </si>
  <si>
    <t>Quả bóng nổ tung với tiếng lớn.</t>
  </si>
  <si>
    <t>subtle</t>
  </si>
  <si>
    <t>The change is very subtle.</t>
  </si>
  <si>
    <t>Sự thay đổi rất tinh tế.</t>
  </si>
  <si>
    <t>chef</t>
  </si>
  <si>
    <t>The chef cooks well.</t>
  </si>
  <si>
    <t>Đầu bếp nấu ăn rất ngon.</t>
  </si>
  <si>
    <t>headline</t>
  </si>
  <si>
    <t>The headline was very bold.</t>
  </si>
  <si>
    <t>Tiêu đề rất đậm.</t>
  </si>
  <si>
    <t>journalist</t>
  </si>
  <si>
    <t>nhà báo</t>
  </si>
  <si>
    <t>The journalist wrote the article.</t>
  </si>
  <si>
    <t>Nhà báo đã viết bài báo đó.</t>
  </si>
  <si>
    <t>scope</t>
  </si>
  <si>
    <t>The scope of work is clear.</t>
  </si>
  <si>
    <t>Phạm vi công việc rất rõ ràng.</t>
  </si>
  <si>
    <t>rough</t>
  </si>
  <si>
    <t>thô ráp</t>
  </si>
  <si>
    <t>The surface is very rough now.</t>
  </si>
  <si>
    <t>Bề mặt này hiện rất thô ráp.</t>
  </si>
  <si>
    <t>pump</t>
  </si>
  <si>
    <t>The water pump is working well.</t>
  </si>
  <si>
    <t>Máy bơm nước đang hoạt động tốt.</t>
  </si>
  <si>
    <t>wealthy</t>
  </si>
  <si>
    <t>They are a wealthy family.</t>
  </si>
  <si>
    <t>Họ là một gia đình giàu có.</t>
  </si>
  <si>
    <t>suburb</t>
  </si>
  <si>
    <t>They live in the suburb.</t>
  </si>
  <si>
    <t>Họ sống ở vùng ngoại ô.</t>
  </si>
  <si>
    <t>hunger</t>
  </si>
  <si>
    <t>cơn đói</t>
  </si>
  <si>
    <t>They suffered from severe hunger.</t>
  </si>
  <si>
    <t>Họ đã phải chịu đựng cơn đói dữ dội.</t>
  </si>
  <si>
    <t>fascinating</t>
  </si>
  <si>
    <t>hấp dẫn</t>
  </si>
  <si>
    <t>This book is very fascinating.</t>
  </si>
  <si>
    <t>Cuốn sách này rất hấp dẫn.</t>
  </si>
  <si>
    <t>zone</t>
  </si>
  <si>
    <t>This is a safe zone.</t>
  </si>
  <si>
    <t>Đây là một khu vực an toàn.</t>
  </si>
  <si>
    <t>restrict</t>
  </si>
  <si>
    <t>We must restrict access to files.</t>
  </si>
  <si>
    <t>Chúng ta phải hạn chế quyền truy cập các tệp.</t>
  </si>
  <si>
    <t>long-term</t>
  </si>
  <si>
    <t>dài hạn</t>
  </si>
  <si>
    <t>We need long-term goals now.</t>
  </si>
  <si>
    <t>Chúng ta cần các mục tiêu dài hạn.</t>
  </si>
  <si>
    <t>incorporate</t>
  </si>
  <si>
    <t>We should incorporate new ideas.</t>
  </si>
  <si>
    <t>Chúng ta nên kết hợp các ý tưởng mới.</t>
  </si>
  <si>
    <t>lucky</t>
  </si>
  <si>
    <t>You are very lucky today.</t>
  </si>
  <si>
    <t>Hôm nay bạn rất may mắn.</t>
  </si>
  <si>
    <t>retain</t>
  </si>
  <si>
    <t>You should retain your old books.</t>
  </si>
  <si>
    <t>Bạn nên giữ lại những cuốn sách cũ của mình.</t>
  </si>
  <si>
    <t>assist</t>
  </si>
  <si>
    <t>Can I assist you today?</t>
  </si>
  <si>
    <t>Hôm nay tôi có thể hỗ trợ bạn không?</t>
  </si>
  <si>
    <t>blame</t>
  </si>
  <si>
    <t>Do not blame me today.</t>
  </si>
  <si>
    <t>Hôm nay đừng đổ lỗi cho tôi.</t>
  </si>
  <si>
    <t>rush</t>
  </si>
  <si>
    <t>vội vã</t>
  </si>
  <si>
    <t>Do not rush to finish now.</t>
  </si>
  <si>
    <t>Đừng vội vã hoàn thành bây giờ.</t>
  </si>
  <si>
    <t>spill</t>
  </si>
  <si>
    <t>Do not spill the coffee.</t>
  </si>
  <si>
    <t>Đừng làm đổ cà phê.</t>
  </si>
  <si>
    <t>bike</t>
  </si>
  <si>
    <t>He rides a fast bike.</t>
  </si>
  <si>
    <t>Anh ấy lái một chiếc xe đạp nhanh.</t>
  </si>
  <si>
    <t>intent</t>
  </si>
  <si>
    <t>His intent was clearly good.</t>
  </si>
  <si>
    <t>Ý định của anh ấy rõ ràng là tốt.</t>
  </si>
  <si>
    <t>missing</t>
  </si>
  <si>
    <t>bị mất</t>
  </si>
  <si>
    <t>I have a missing book.</t>
  </si>
  <si>
    <t>Tôi có một cuốn sách bị mất.</t>
  </si>
  <si>
    <t>regardless</t>
  </si>
  <si>
    <t>bất kể</t>
  </si>
  <si>
    <t>I will go regardless of weather.</t>
  </si>
  <si>
    <t>Tôi sẽ đi bất kể thời tiết thế nào.</t>
  </si>
  <si>
    <t>approximately</t>
  </si>
  <si>
    <t>xấp xỉ</t>
  </si>
  <si>
    <t>It costs approximately ten dollars.</t>
  </si>
  <si>
    <t>Nó có giá xấp xỉ mười đô la.</t>
  </si>
  <si>
    <t>exit</t>
  </si>
  <si>
    <t>Look for the nearest exit.</t>
  </si>
  <si>
    <t>Hãy tìm lối ra gần nhất.</t>
  </si>
  <si>
    <t>clarify</t>
  </si>
  <si>
    <t>Please clarify your point.</t>
  </si>
  <si>
    <t>Vui lòng làm rõ quan điểm của bạn.</t>
  </si>
  <si>
    <t>submission</t>
  </si>
  <si>
    <t>bài nộp</t>
  </si>
  <si>
    <t>Send your submission by today.</t>
  </si>
  <si>
    <t>Hãy gửi bài nộp của bạn trước hôm nay.</t>
  </si>
  <si>
    <t>alongside</t>
  </si>
  <si>
    <t>kế bên</t>
  </si>
  <si>
    <t>She sat alongside her friend.</t>
  </si>
  <si>
    <t>Cô ấy đã ngồi kế bên bạn của mình.</t>
  </si>
  <si>
    <t>empire</t>
  </si>
  <si>
    <t>đế chế</t>
  </si>
  <si>
    <t>The empire fell years ago.</t>
  </si>
  <si>
    <t>Đế chế đã sụp đổ từ nhiều năm trước.</t>
  </si>
  <si>
    <t>festival</t>
  </si>
  <si>
    <t>The festival was very fun.</t>
  </si>
  <si>
    <t>Lễ hội đã rất vui.</t>
  </si>
  <si>
    <t>graph</t>
  </si>
  <si>
    <t>đồ thị</t>
  </si>
  <si>
    <t>The graph shows the data.</t>
  </si>
  <si>
    <t>Đồ thị hiển thị dữ liệu.</t>
  </si>
  <si>
    <t>passage</t>
  </si>
  <si>
    <t>The passage is very dark.</t>
  </si>
  <si>
    <t>Lối đi rất tối.</t>
  </si>
  <si>
    <t>retail</t>
  </si>
  <si>
    <t>The retail price is very low.</t>
  </si>
  <si>
    <t>Giá bán lẻ rất thấp.</t>
  </si>
  <si>
    <t>shrink</t>
  </si>
  <si>
    <t>The shirt will shrink now.</t>
  </si>
  <si>
    <t>Chiếc áo sơ mi sẽ co lại.</t>
  </si>
  <si>
    <t>awful</t>
  </si>
  <si>
    <t>The weather is just awful.</t>
  </si>
  <si>
    <t>Thời tiết thực sự rất tồi tệ.</t>
  </si>
  <si>
    <t>horrible</t>
  </si>
  <si>
    <t>The weather was truly horrible.</t>
  </si>
  <si>
    <t>fourth</t>
  </si>
  <si>
    <t>This is the fourth house.</t>
  </si>
  <si>
    <t>Đây là ngôi nhà thứ tư.</t>
  </si>
  <si>
    <t>phrase</t>
  </si>
  <si>
    <t>Use a new phrase now.</t>
  </si>
  <si>
    <t>Hãy sử dụng một cụm từ mới.</t>
  </si>
  <si>
    <t>heritage</t>
  </si>
  <si>
    <t>di sản</t>
  </si>
  <si>
    <t>We must protect our heritage.</t>
  </si>
  <si>
    <t>Chúng ta phải bảo vệ di sản của mình.</t>
  </si>
  <si>
    <t>afterwards</t>
  </si>
  <si>
    <t>We went home shortly afterwards.</t>
  </si>
  <si>
    <t>Chúng tôi về nhà ngay sau đó.</t>
  </si>
  <si>
    <t>collar</t>
  </si>
  <si>
    <t>Fix your shirt collar.</t>
  </si>
  <si>
    <t>Hãy chỉnh lại cổ áo sơ mi.</t>
  </si>
  <si>
    <t>weird</t>
  </si>
  <si>
    <t>He has a weird habit.</t>
  </si>
  <si>
    <t>Anh ấy có một thói quen kỳ lạ.</t>
  </si>
  <si>
    <t>buck</t>
  </si>
  <si>
    <t>It costs ten bucks.</t>
  </si>
  <si>
    <t>Nó có giá mười đô la.</t>
  </si>
  <si>
    <t>hint</t>
  </si>
  <si>
    <t>She gave a small hint.</t>
  </si>
  <si>
    <t>Cô ấy đã đưa ra một gợi ý nhỏ.</t>
  </si>
  <si>
    <t>ratio</t>
  </si>
  <si>
    <t>The ratio is two to one.</t>
  </si>
  <si>
    <t>Tỷ lệ là hai chia một.</t>
  </si>
  <si>
    <t>numerous</t>
  </si>
  <si>
    <t>There are numerous good options.</t>
  </si>
  <si>
    <t>Có rất nhiều lựa chọn tốt.</t>
  </si>
  <si>
    <t>highway</t>
  </si>
  <si>
    <t>xa lộ</t>
  </si>
  <si>
    <t>They drive on the highway.</t>
  </si>
  <si>
    <t>Họ lái xe trên xa lộ.</t>
  </si>
  <si>
    <t>cheer</t>
  </si>
  <si>
    <t>We cheer for them.</t>
  </si>
  <si>
    <t>Chúng tôi cổ vũ cho họ.</t>
  </si>
  <si>
    <t>plenty</t>
  </si>
  <si>
    <t>We have plenty of food.</t>
  </si>
  <si>
    <t>Chúng ta có nhiều thực phẩm.</t>
  </si>
  <si>
    <t>accommodation</t>
  </si>
  <si>
    <t>chỗ ở</t>
  </si>
  <si>
    <t>We need cheap accommodation today.</t>
  </si>
  <si>
    <t>Hôm nay chúng tôi cần chỗ ở giá rẻ.</t>
  </si>
  <si>
    <t>alcohol</t>
  </si>
  <si>
    <t>He does not drink alcohol.</t>
  </si>
  <si>
    <t>Anh ấy không uống rượu.</t>
  </si>
  <si>
    <t>blog</t>
  </si>
  <si>
    <t>I read your blog daily.</t>
  </si>
  <si>
    <t>Tôi đọc blog của bạn hàng ngày.</t>
  </si>
  <si>
    <t>salt</t>
  </si>
  <si>
    <t>Please add some salt to food.</t>
  </si>
  <si>
    <t>Vui lòng thêm một chút muối vào thức ăn.</t>
  </si>
  <si>
    <t>label</t>
  </si>
  <si>
    <t>nhãn</t>
  </si>
  <si>
    <t>Read the label before using.</t>
  </si>
  <si>
    <t>Hãy đọc nhãn trước khi sử dụng.</t>
  </si>
  <si>
    <t>swallow</t>
  </si>
  <si>
    <t>Swallow the pill very slowly.</t>
  </si>
  <si>
    <t>Hãy nuốt viên thuốc một cách thật chậm rãi.</t>
  </si>
  <si>
    <t>sweep</t>
  </si>
  <si>
    <t>Sweep the floor very clean.</t>
  </si>
  <si>
    <t>Hãy quét sàn thật sạch.</t>
  </si>
  <si>
    <t>wing</t>
  </si>
  <si>
    <t>The bird has strong wings.</t>
  </si>
  <si>
    <t>Con chim có đôi cánh khỏe mạnh.</t>
  </si>
  <si>
    <t>grid</t>
  </si>
  <si>
    <t>The data is in a grid.</t>
  </si>
  <si>
    <t>Dữ liệu nằm trong một lưới.</t>
  </si>
  <si>
    <t>super</t>
  </si>
  <si>
    <t>The movie was super good.</t>
  </si>
  <si>
    <t>Bộ phim này rất tuyệt.</t>
  </si>
  <si>
    <t>province</t>
  </si>
  <si>
    <t>They live in a large province.</t>
  </si>
  <si>
    <t>Họ sống ở một tỉnh lớn.</t>
  </si>
  <si>
    <t>row</t>
  </si>
  <si>
    <t>They sat in the front row.</t>
  </si>
  <si>
    <t>Họ đã ngồi ở hàng phía trước.</t>
  </si>
  <si>
    <t>strip</t>
  </si>
  <si>
    <t>tước</t>
  </si>
  <si>
    <t>They strip the old paint.</t>
  </si>
  <si>
    <t>Họ tước bỏ lớp sơn cũ.</t>
  </si>
  <si>
    <t>rare</t>
  </si>
  <si>
    <t>This is a very rare bird.</t>
  </si>
  <si>
    <t>Đây là một loài chim rất hiếm.</t>
  </si>
  <si>
    <t>cluster</t>
  </si>
  <si>
    <t>cụm</t>
  </si>
  <si>
    <t>A cluster of stars.</t>
  </si>
  <si>
    <t>Một cụm các vì sao.</t>
  </si>
  <si>
    <t>swear</t>
  </si>
  <si>
    <t>Do not swear to lies.</t>
  </si>
  <si>
    <t>Đừng thề thốt với những lời nói dối.</t>
  </si>
  <si>
    <t>milk</t>
  </si>
  <si>
    <t>Drink fresh milk daily now.</t>
  </si>
  <si>
    <t>Hãy uống sữa tươi hằng ngày.</t>
  </si>
  <si>
    <t>beer</t>
  </si>
  <si>
    <t>He drinks a cold beer.</t>
  </si>
  <si>
    <t>Anh ấy uống một ly bia lạnh.</t>
  </si>
  <si>
    <t>pocket</t>
  </si>
  <si>
    <t>He has coins in pocket.</t>
  </si>
  <si>
    <t>Anh ấy có tiền xu trong túi.</t>
  </si>
  <si>
    <t>jam</t>
  </si>
  <si>
    <t>I like strawberry jam.</t>
  </si>
  <si>
    <t>Tôi thích mứt dâu tây.</t>
  </si>
  <si>
    <t>gram</t>
  </si>
  <si>
    <t>It weighs only ten grams.</t>
  </si>
  <si>
    <t>Nó chỉ nặng mười gam.</t>
  </si>
  <si>
    <t>cheque</t>
  </si>
  <si>
    <t>séc</t>
  </si>
  <si>
    <t>Pay by a cheque.</t>
  </si>
  <si>
    <t>Hãy trả bằng séc.</t>
  </si>
  <si>
    <t>weigh</t>
  </si>
  <si>
    <t>cân</t>
  </si>
  <si>
    <t>Please weigh this box now.</t>
  </si>
  <si>
    <t>Vui lòng cân cái hộp này ngay bây giờ.</t>
  </si>
  <si>
    <t>lip</t>
  </si>
  <si>
    <t>She bit her lower lip.</t>
  </si>
  <si>
    <t>Cô ấy cắn môi dưới.</t>
  </si>
  <si>
    <t>skirt</t>
  </si>
  <si>
    <t>She wears a blue skirt.</t>
  </si>
  <si>
    <t>Cô ấy mặc một chiếc váy xanh.</t>
  </si>
  <si>
    <t>squeeze</t>
  </si>
  <si>
    <t>Squeeze the lemon for juice.</t>
  </si>
  <si>
    <t>Hãy vắt chanh để lấy nước cốt.</t>
  </si>
  <si>
    <t>aged</t>
  </si>
  <si>
    <t>The aged man walked slowly.</t>
  </si>
  <si>
    <t>Người đàn ông lớn tuổi bước đi chậm chạp.</t>
  </si>
  <si>
    <t>sand</t>
  </si>
  <si>
    <t>The beach has soft white sand.</t>
  </si>
  <si>
    <t>Bãi biển có cát trắng mềm.</t>
  </si>
  <si>
    <t>sheep</t>
  </si>
  <si>
    <t>cừu</t>
  </si>
  <si>
    <t>The sheep eat the grass.</t>
  </si>
  <si>
    <t>Những con cừu đang ăn cỏ.</t>
  </si>
  <si>
    <t>suck</t>
  </si>
  <si>
    <t>hút</t>
  </si>
  <si>
    <t>The vacuum will suck dust.</t>
  </si>
  <si>
    <t>Máy hút bụi sẽ hút sạch bụi.</t>
  </si>
  <si>
    <t>slight</t>
  </si>
  <si>
    <t>There is a slight problem.</t>
  </si>
  <si>
    <t>Có một vấn đề nhỏ.</t>
  </si>
  <si>
    <t>clip</t>
  </si>
  <si>
    <t>Use a metal clip.</t>
  </si>
  <si>
    <t>Hãy dùng một chiếc kẹp kim loại.</t>
  </si>
  <si>
    <t>knife</t>
  </si>
  <si>
    <t>Use a sharp kitchen knife.</t>
  </si>
  <si>
    <t>Hãy dùng một con dao bếp sắc.</t>
  </si>
  <si>
    <t>rice</t>
  </si>
  <si>
    <t>We eat rice every day now.</t>
  </si>
  <si>
    <t>Chúng tôi ăn cơm hàng ngày.</t>
  </si>
  <si>
    <t>ought</t>
  </si>
  <si>
    <t>You ought to be careful.</t>
  </si>
  <si>
    <t>Bạn nên cẩn thận.</t>
  </si>
  <si>
    <t>owe</t>
  </si>
  <si>
    <t>I owe you ten dollars.</t>
  </si>
  <si>
    <t>Tôi nợ bạn mười đô la.</t>
  </si>
  <si>
    <t>virtual</t>
  </si>
  <si>
    <t>ảo</t>
  </si>
  <si>
    <t>It is a virtual world.</t>
  </si>
  <si>
    <t>Đó là một thế giới ảo.</t>
  </si>
  <si>
    <t>lake</t>
  </si>
  <si>
    <t>They swim in the lake.</t>
  </si>
  <si>
    <t>Họ bơi trong hồ.</t>
  </si>
  <si>
    <t>whom</t>
  </si>
  <si>
    <t>Whom did you see today?</t>
  </si>
  <si>
    <t>Bạn đã thấy ai hôm nay?</t>
  </si>
  <si>
    <t>distribution</t>
  </si>
  <si>
    <t>Manage the product distribution.</t>
  </si>
  <si>
    <t>Hãy quản lý sự phân phối sản phẩm.</t>
  </si>
  <si>
    <t>dear</t>
  </si>
  <si>
    <t>thân mến</t>
  </si>
  <si>
    <t>My dear old friend.</t>
  </si>
  <si>
    <t>Người bạn cũ thân mến của tôi.</t>
  </si>
  <si>
    <t>convenience</t>
  </si>
  <si>
    <t>sự thuận tiện</t>
  </si>
  <si>
    <t>For your own convenience.</t>
  </si>
  <si>
    <t>Vì sự thuận tiện của riêng bạn.</t>
  </si>
  <si>
    <t>terror</t>
  </si>
  <si>
    <t>The war caused great terror.</t>
  </si>
  <si>
    <t>Chiến tranh đã gây ra sự kinh hoàng lớn.</t>
  </si>
  <si>
    <t>tactic</t>
  </si>
  <si>
    <t>His tactic was very effective.</t>
  </si>
  <si>
    <t>Chiến thuật của anh ấy rất hiệu quả.</t>
  </si>
  <si>
    <t>depression</t>
  </si>
  <si>
    <t>trầm cảm</t>
  </si>
  <si>
    <t>Treat clinical depression now.</t>
  </si>
  <si>
    <t>Hãy điều trị trầm cảm lâm sàng ngay.</t>
  </si>
  <si>
    <t>crash</t>
  </si>
  <si>
    <t>vụ va chạm</t>
  </si>
  <si>
    <t>A minor car crash.</t>
  </si>
  <si>
    <t>Một vụ va chạm xe hơi nhỏ.</t>
  </si>
  <si>
    <t>domain</t>
  </si>
  <si>
    <t>My area of domain.</t>
  </si>
  <si>
    <t>Lĩnh vực chuyên môn của tôi.</t>
  </si>
  <si>
    <t>dialogue</t>
  </si>
  <si>
    <t>cuộc đối thoại</t>
  </si>
  <si>
    <t>Start a constructive dialogue.</t>
  </si>
  <si>
    <t>Hãy bắt đầu một cuộc đối thoại mang tính xây dựng.</t>
  </si>
  <si>
    <t>terrorist</t>
  </si>
  <si>
    <t>kẻ khủng bố</t>
  </si>
  <si>
    <t>The police caught the terrorist.</t>
  </si>
  <si>
    <t>Cảnh sát đã bắt kẻ khủng bố.</t>
  </si>
  <si>
    <t>toilet</t>
  </si>
  <si>
    <t>The toilet is down there.</t>
  </si>
  <si>
    <t>Nhà vệ sinh ở dưới đằng kia.</t>
  </si>
  <si>
    <t>tune</t>
  </si>
  <si>
    <t>I like this nice tune.</t>
  </si>
  <si>
    <t>Tôi thích giai điệu hay này.</t>
  </si>
  <si>
    <t>trap</t>
  </si>
  <si>
    <t>cái bẫy</t>
  </si>
  <si>
    <t>He fell into the trap.</t>
  </si>
  <si>
    <t>Anh ấy đã rơi vào cái bẫy.</t>
  </si>
  <si>
    <t>t-shirt</t>
  </si>
  <si>
    <t>áo thun</t>
  </si>
  <si>
    <t>He wears a white t-shirt.</t>
  </si>
  <si>
    <t>Anh ấy mặc một chiếc áo thun trắng.</t>
  </si>
  <si>
    <t>geography</t>
  </si>
  <si>
    <t>She studies world geography.</t>
  </si>
  <si>
    <t>Cô ấy học môn địa lý thế giới.</t>
  </si>
  <si>
    <t>ton</t>
  </si>
  <si>
    <t>They shipped one ton today.</t>
  </si>
  <si>
    <t>Họ đã vận chuyển một tấn hôm nay.</t>
  </si>
  <si>
    <t>cow</t>
  </si>
  <si>
    <t>The cow is grazing.</t>
  </si>
  <si>
    <t>Con bò đang gặm cỏ.</t>
  </si>
  <si>
    <t>criminal</t>
  </si>
  <si>
    <t>Catch the dangerous criminal.</t>
  </si>
  <si>
    <t>Hãy bắt tên tội phạm nguy hiểm đó.</t>
  </si>
  <si>
    <t>distant</t>
  </si>
  <si>
    <t>A distant future goal.</t>
  </si>
  <si>
    <t>Một mục tiêu tương lai xa xôi.</t>
  </si>
  <si>
    <t>ease</t>
  </si>
  <si>
    <t>sự dễ dàng</t>
  </si>
  <si>
    <t>Do it with ease.</t>
  </si>
  <si>
    <t>Hãy làm việc đó với sự dễ dàng.</t>
  </si>
  <si>
    <t>destruction</t>
  </si>
  <si>
    <t>Prevent the environmental destruction.</t>
  </si>
  <si>
    <t>Hãy ngăn chặn sự phá hủy môi trường.</t>
  </si>
  <si>
    <t>cop</t>
  </si>
  <si>
    <t>The cop stopped him.</t>
  </si>
  <si>
    <t>Người cảnh sát đã dừng anh ta lại.</t>
  </si>
  <si>
    <t>quần vợt</t>
  </si>
  <si>
    <t>They play tennis every Sunday.</t>
  </si>
  <si>
    <t>Họ chơi quần vợt mỗi Chủ nhật.</t>
  </si>
  <si>
    <t>crop</t>
  </si>
  <si>
    <t>vụ mùa</t>
  </si>
  <si>
    <t>The corn crop failed.</t>
  </si>
  <si>
    <t>Vụ mùa ngô bị thất bại.</t>
  </si>
  <si>
    <t>dig</t>
  </si>
  <si>
    <t>Dig a deep hole.</t>
  </si>
  <si>
    <t>Hãy đào một cái hố sâu.</t>
  </si>
  <si>
    <t>teens</t>
  </si>
  <si>
    <t>tuổi thiếu niên</t>
  </si>
  <si>
    <t>She is in her early teens.</t>
  </si>
  <si>
    <t>Cô ấy đang ở độ tuổi thiếu niên.</t>
  </si>
  <si>
    <t>economics</t>
  </si>
  <si>
    <t>kinh tế học</t>
  </si>
  <si>
    <t>Study economics at school.</t>
  </si>
  <si>
    <t>Học kinh tế học tại trường.</t>
  </si>
  <si>
    <t>convert</t>
  </si>
  <si>
    <t>chuyển đổi</t>
  </si>
  <si>
    <t>Convert files to pdf.</t>
  </si>
  <si>
    <t>Hãy chuyển đổi các tệp sang pdf.</t>
  </si>
  <si>
    <t>desert</t>
  </si>
  <si>
    <t>A dry hot desert.</t>
  </si>
  <si>
    <t>Một sa mạc nóng khô.</t>
  </si>
  <si>
    <t>cream</t>
  </si>
  <si>
    <t>Add some fresh cream.</t>
  </si>
  <si>
    <t>Hãy thêm một chút kem tươi.</t>
  </si>
  <si>
    <t>dirty</t>
  </si>
  <si>
    <t>The floor is dirty.</t>
  </si>
  <si>
    <t>Sàn nhà bị bẩn.</t>
  </si>
  <si>
    <t>firmly</t>
  </si>
  <si>
    <t>Hold the rope very firmly.</t>
  </si>
  <si>
    <t>Hãy giữ sợi dây thật chắc chắn.</t>
  </si>
  <si>
    <t>worldwide</t>
  </si>
  <si>
    <t>trên toàn thế giới</t>
  </si>
  <si>
    <t>It is a worldwide problem.</t>
  </si>
  <si>
    <t>Đó là một vấn đề trên toàn thế giới.</t>
  </si>
  <si>
    <t>membership</t>
  </si>
  <si>
    <t>tư cách thành viên</t>
  </si>
  <si>
    <t>Renew your membership today please.</t>
  </si>
  <si>
    <t>Vui lòng gia hạn tư cách thành viên của bạn ngay hôm nay.</t>
  </si>
  <si>
    <t>symbolic</t>
  </si>
  <si>
    <t>có tính biểu tượng</t>
  </si>
  <si>
    <t>The gesture is very symbolic.</t>
  </si>
  <si>
    <t>Cử chỉ này rất mang tính biểu tượng.</t>
  </si>
  <si>
    <t>uncertainty</t>
  </si>
  <si>
    <t>sự không chắc chắn</t>
  </si>
  <si>
    <t>They face much uncertainty daily.</t>
  </si>
  <si>
    <t>Họ đối mặt với nhiều sự không chắc chắn hàng ngày.</t>
  </si>
  <si>
    <t>terrorism</t>
  </si>
  <si>
    <t>chủ nghĩa khủng bố</t>
  </si>
  <si>
    <t>We must fight against terrorism.</t>
  </si>
  <si>
    <t>Chúng ta phải đấu tranh chống lại chủ nghĩa khủng bố.</t>
  </si>
  <si>
    <t>winner</t>
  </si>
  <si>
    <t>người chiến thắng</t>
  </si>
  <si>
    <t>He is the final winner.</t>
  </si>
  <si>
    <t>Anh ấy là người chiến thắng cuối cùng.</t>
  </si>
  <si>
    <t>laptop</t>
  </si>
  <si>
    <t>máy tính xách tay</t>
  </si>
  <si>
    <t>I work on my laptop.</t>
  </si>
  <si>
    <t>Tôi làm việc trên máy tính xách tay của mình.</t>
  </si>
  <si>
    <t>congressional</t>
  </si>
  <si>
    <t>thuộc về quốc hội</t>
  </si>
  <si>
    <t>It is a congressional seat.</t>
  </si>
  <si>
    <t>Đó là một ghế quốc hội.</t>
  </si>
  <si>
    <t>surgeon</t>
  </si>
  <si>
    <t>bác sĩ phẫu thuật</t>
  </si>
  <si>
    <t>The surgeon is very skilled.</t>
  </si>
  <si>
    <t>Bác sĩ phẫu thuật này rất có kỹ năng.</t>
  </si>
  <si>
    <t>affordable</t>
  </si>
  <si>
    <t>giá cả phải chăng</t>
  </si>
  <si>
    <t>These shoes are quite affordable.</t>
  </si>
  <si>
    <t>Đôi giày này có giá cả khá phải chăng.</t>
  </si>
  <si>
    <t>vulnerable</t>
  </si>
  <si>
    <t>dễ bị tổn thương</t>
  </si>
  <si>
    <t>They are very vulnerable now.</t>
  </si>
  <si>
    <t>Hiện họ rất dễ bị tổn thương.</t>
  </si>
  <si>
    <t>interval</t>
  </si>
  <si>
    <t>Wait for a short interval.</t>
  </si>
  <si>
    <t>Hãy đợi trong một khoảng thời gian ngắn.</t>
  </si>
  <si>
    <t>inequality</t>
  </si>
  <si>
    <t>sự bất bình đẳng</t>
  </si>
  <si>
    <t>We fight against social inequality.</t>
  </si>
  <si>
    <t>Chúng ta chiến đấu chống lại sự bất bình đẳng xã hội.</t>
  </si>
  <si>
    <t>comparative</t>
  </si>
  <si>
    <t>có tính so sánh</t>
  </si>
  <si>
    <t>A comparative study helps.</t>
  </si>
  <si>
    <t>Một nghiên cứu so sánh sẽ có ích.</t>
  </si>
  <si>
    <t>twin</t>
  </si>
  <si>
    <t>anh em sinh đôi</t>
  </si>
  <si>
    <t>He has a twin brother.</t>
  </si>
  <si>
    <t>Anh ấy có một người anh em sinh đôi.</t>
  </si>
  <si>
    <t>physically</t>
  </si>
  <si>
    <t>về mặt thể chất</t>
  </si>
  <si>
    <t>He is physically very strong.</t>
  </si>
  <si>
    <t>Anh ấy về mặt thể chất rất khỏe.</t>
  </si>
  <si>
    <t>farming</t>
  </si>
  <si>
    <t>việc trồng trọt</t>
  </si>
  <si>
    <t>He loves modern farming now.</t>
  </si>
  <si>
    <t>Hiện anh ấy thích việc trồng trọt hiện đại.</t>
  </si>
  <si>
    <t>uncomfortable</t>
  </si>
  <si>
    <t>không thoải mái</t>
  </si>
  <si>
    <t>The chair is very uncomfortable.</t>
  </si>
  <si>
    <t>Chiếc ghế này rất không thoải mái.</t>
  </si>
  <si>
    <t>accessible</t>
  </si>
  <si>
    <t>có thể tiếp cận</t>
  </si>
  <si>
    <t>The park is easily accessible.</t>
  </si>
  <si>
    <t>Công viên rất dễ dàng tiếp cận.</t>
  </si>
  <si>
    <t>broadband</t>
  </si>
  <si>
    <t>băng thông rộng</t>
  </si>
  <si>
    <t>We use fast broadband.</t>
  </si>
  <si>
    <t>Chúng tôi dùng băng thông rộng tốc độ cao.</t>
  </si>
  <si>
    <t>airline</t>
  </si>
  <si>
    <t>hãng hàng không</t>
  </si>
  <si>
    <t>Which airline do you prefer?</t>
  </si>
  <si>
    <t>Bạn thích hãng hàng không nào?</t>
  </si>
  <si>
    <t>incorrect</t>
  </si>
  <si>
    <t>không chính xác</t>
  </si>
  <si>
    <t>Your answer is totally incorrect.</t>
  </si>
  <si>
    <t>Câu trả lời của bạn hoàn toàn không chính xác.</t>
  </si>
  <si>
    <t>homework</t>
  </si>
  <si>
    <t>Do your homework before dinner.</t>
  </si>
  <si>
    <t>Hãy làm bài tập về nhà trước bữa tối.</t>
  </si>
  <si>
    <t>participant</t>
  </si>
  <si>
    <t>người tham gia</t>
  </si>
  <si>
    <t>Every participant got a prize.</t>
  </si>
  <si>
    <t>Mỗi người tham gia đều nhận được giải thưởng.</t>
  </si>
  <si>
    <t>broadcaster</t>
  </si>
  <si>
    <t>phát thanh viên</t>
  </si>
  <si>
    <t>He is a famous broadcaster.</t>
  </si>
  <si>
    <t>Ông ấy là một phát thanh viên nổi tiếng.</t>
  </si>
  <si>
    <t>successor</t>
  </si>
  <si>
    <t>người kế nhiệm</t>
  </si>
  <si>
    <t>He is the new successor.</t>
  </si>
  <si>
    <t>Anh ấy là người kế nhiệm mới.</t>
  </si>
  <si>
    <t>cartoon</t>
  </si>
  <si>
    <t>phim hoạt hình</t>
  </si>
  <si>
    <t>Kids watch cartoons daily.</t>
  </si>
  <si>
    <t>Trẻ em xem phim hoạt hình hàng ngày.</t>
  </si>
  <si>
    <t>inspiration</t>
  </si>
  <si>
    <t>nguồn cảm hứng</t>
  </si>
  <si>
    <t>She is a great inspiration.</t>
  </si>
  <si>
    <t>Cô ấy là một nguồn cảm hứng tuyệt vời.</t>
  </si>
  <si>
    <t>commentator</t>
  </si>
  <si>
    <t>bình luận viên</t>
  </si>
  <si>
    <t>The commentator speaks well.</t>
  </si>
  <si>
    <t>Bình luận viên nói rất hay.</t>
  </si>
  <si>
    <t>unknown</t>
  </si>
  <si>
    <t>không xác định</t>
  </si>
  <si>
    <t>The reason is still unknown.</t>
  </si>
  <si>
    <t>Lý do vẫn còn không xác định.</t>
  </si>
  <si>
    <t>solar</t>
  </si>
  <si>
    <t>thuộc mặt trời</t>
  </si>
  <si>
    <t>We use solar power now.</t>
  </si>
  <si>
    <t>Chúng tôi sử dụng năng lượng mặt trời.</t>
  </si>
  <si>
    <t>freely</t>
  </si>
  <si>
    <t>một cách tự do</t>
  </si>
  <si>
    <t>You can speak quite freely.</t>
  </si>
  <si>
    <t>Bạn có thể nói chuyện một cách khá tự do.</t>
  </si>
  <si>
    <t>congratulation</t>
  </si>
  <si>
    <t>lời chúc mừng</t>
  </si>
  <si>
    <t>Accept my warm congratulations.</t>
  </si>
  <si>
    <t>Hãy nhận lời chúc mừng chân thành của tôi.</t>
  </si>
  <si>
    <t>hazard</t>
  </si>
  <si>
    <t>mối nguy hiểm</t>
  </si>
  <si>
    <t>Fire is a major hazard.</t>
  </si>
  <si>
    <t>Hỏa hoạn là một mối nguy hiểm lớn.</t>
  </si>
  <si>
    <t>sketch</t>
  </si>
  <si>
    <t>bản phác thảo</t>
  </si>
  <si>
    <t>He drew a quick sketch.</t>
  </si>
  <si>
    <t>Anh ấy đã vẽ một bản phác thảo nhanh.</t>
  </si>
  <si>
    <t>musical</t>
  </si>
  <si>
    <t>thuộc âm nhạc</t>
  </si>
  <si>
    <t>He has great musical talent.</t>
  </si>
  <si>
    <t>Anh ấy có tài năng âm nhạc tuyệt vời.</t>
  </si>
  <si>
    <t>moral</t>
  </si>
  <si>
    <t>thuộc đạo đức</t>
  </si>
  <si>
    <t>He has strong moral values.</t>
  </si>
  <si>
    <t>Anh ấy có những giá trị đạo đức mạnh mẽ.</t>
  </si>
  <si>
    <t>integrity</t>
  </si>
  <si>
    <t>sự chính trực</t>
  </si>
  <si>
    <t>He is a man of integrity.</t>
  </si>
  <si>
    <t>Anh ấy là một người đàn ông có sự chính trực.</t>
  </si>
  <si>
    <t>photographer</t>
  </si>
  <si>
    <t>He is a professional photographer.</t>
  </si>
  <si>
    <t>Anh ấy là một nhiếp ảnh gia chuyên nghiệp.</t>
  </si>
  <si>
    <t>ideally</t>
  </si>
  <si>
    <t>lý tưởng nhất</t>
  </si>
  <si>
    <t>Ideally, arrive early tomorrow.</t>
  </si>
  <si>
    <t>Lý tưởng nhất, hãy đến sớm vào ngày mai.</t>
  </si>
  <si>
    <t>ethical</t>
  </si>
  <si>
    <t>It is an ethical decision.</t>
  </si>
  <si>
    <t>Đó là một quyết định thuộc đạo đức.</t>
  </si>
  <si>
    <t>prevention</t>
  </si>
  <si>
    <t>sự phòng ngừa</t>
  </si>
  <si>
    <t>Prevention is better than cure.</t>
  </si>
  <si>
    <t>Phòng bệnh hơn chữa bệnh.</t>
  </si>
  <si>
    <t>caution</t>
  </si>
  <si>
    <t>sự thận trọng</t>
  </si>
  <si>
    <t>Proceed with great caution.</t>
  </si>
  <si>
    <t>Hãy tiến hành công việc với sự thận trọng.</t>
  </si>
  <si>
    <t>consensus</t>
  </si>
  <si>
    <t>sự đồng thuận</t>
  </si>
  <si>
    <t>Reach a broad consensus.</t>
  </si>
  <si>
    <t>Hãy đạt đến một sự đồng thuận chung.</t>
  </si>
  <si>
    <t>analyst</t>
  </si>
  <si>
    <t>nhà phân tích</t>
  </si>
  <si>
    <t>The analyst predicts a rise.</t>
  </si>
  <si>
    <t>Nhà phân tích dự đoán sự tăng trưởng.</t>
  </si>
  <si>
    <t>servant</t>
  </si>
  <si>
    <t>người phục vụ</t>
  </si>
  <si>
    <t>The servant prepared the meal.</t>
  </si>
  <si>
    <t>Người phục vụ đã chuẩn bị bữa ăn.</t>
  </si>
  <si>
    <t>adoption</t>
  </si>
  <si>
    <t>sự nhận nuôi</t>
  </si>
  <si>
    <t>Adoption takes a long time.</t>
  </si>
  <si>
    <t>Việc nhận nuôi mất nhiều thời gian.</t>
  </si>
  <si>
    <t>attachment</t>
  </si>
  <si>
    <t>tệp đính kèm</t>
  </si>
  <si>
    <t>Check the attachment for details.</t>
  </si>
  <si>
    <t>Hãy kiểm tra tệp đính kèm để biết chi tiết.</t>
  </si>
  <si>
    <t>consistency</t>
  </si>
  <si>
    <t>sự nhất quán</t>
  </si>
  <si>
    <t>Consistency is very important.</t>
  </si>
  <si>
    <t>Sự nhất quán là rất quan trọng.</t>
  </si>
  <si>
    <t>classification</t>
  </si>
  <si>
    <t>sự phân loại</t>
  </si>
  <si>
    <t>Follow the correct classification.</t>
  </si>
  <si>
    <t>Hãy tuân theo sự phân loại đúng.</t>
  </si>
  <si>
    <t>circulation</t>
  </si>
  <si>
    <t>sự lưu thông</t>
  </si>
  <si>
    <t>Good blood circulation helps.</t>
  </si>
  <si>
    <t>Sự lưu thông máu tốt sẽ có ích.</t>
  </si>
  <si>
    <t>well-being</t>
  </si>
  <si>
    <t>sự hạnh phúc</t>
  </si>
  <si>
    <t>Health is vital for well-being.</t>
  </si>
  <si>
    <t>Sức khỏe rất quan trọng đối với sự hạnh phúc.</t>
  </si>
  <si>
    <t>coincidence</t>
  </si>
  <si>
    <t>sự trùng hợp</t>
  </si>
  <si>
    <t>It is a coincidence.</t>
  </si>
  <si>
    <t>Đó là một sự trùng hợp.</t>
  </si>
  <si>
    <t>contradiction</t>
  </si>
  <si>
    <t>sự mâu thuẫn</t>
  </si>
  <si>
    <t>It is a direct contradiction.</t>
  </si>
  <si>
    <t>Đó là một sự mâu thuẫn trực tiếp.</t>
  </si>
  <si>
    <t>holy</t>
  </si>
  <si>
    <t>It is a holy place.</t>
  </si>
  <si>
    <t>Đó là một địa điểm thiêng liêng.</t>
  </si>
  <si>
    <t>concession</t>
  </si>
  <si>
    <t>sự nhượng bộ</t>
  </si>
  <si>
    <t>Make a small concession.</t>
  </si>
  <si>
    <t>Hãy đưa ra một sự nhượng bộ nhỏ.</t>
  </si>
  <si>
    <t>slavery</t>
  </si>
  <si>
    <t>chế độ nô lệ</t>
  </si>
  <si>
    <t>Slavery is abolished here now.</t>
  </si>
  <si>
    <t>Chế độ nô lệ đã bị bãi bỏ ở đây.</t>
  </si>
  <si>
    <t>confession</t>
  </si>
  <si>
    <t>lời thú nhận</t>
  </si>
  <si>
    <t>The confession is true.</t>
  </si>
  <si>
    <t>Lời thú nhận đó là sự thật.</t>
  </si>
  <si>
    <t>killing</t>
  </si>
  <si>
    <t>sự giết chóc</t>
  </si>
  <si>
    <t>The killing stopped last week.</t>
  </si>
  <si>
    <t>Sự giết chóc đã dừng lại tuần trước.</t>
  </si>
  <si>
    <t>usage</t>
  </si>
  <si>
    <t>The usage is very easy.</t>
  </si>
  <si>
    <t>Cách sử dụng rất dễ dàng.</t>
  </si>
  <si>
    <t>interference</t>
  </si>
  <si>
    <t>They caused some unnecessary interference.</t>
  </si>
  <si>
    <t>Họ đã gây ra một vài sự can thiệp không cần thiết.</t>
  </si>
  <si>
    <t>poll</t>
  </si>
  <si>
    <t>cuộc thăm dò</t>
  </si>
  <si>
    <t>They did a quick poll.</t>
  </si>
  <si>
    <t>Họ đã thực hiện một cuộc thăm dò nhanh.</t>
  </si>
  <si>
    <t>poverty</t>
  </si>
  <si>
    <t>sự nghèo đói</t>
  </si>
  <si>
    <t>They fight against deep poverty.</t>
  </si>
  <si>
    <t>Họ chiến đấu chống lại sự nghèo đói cùng cực.</t>
  </si>
  <si>
    <t>conventional</t>
  </si>
  <si>
    <t>Use conventional methods.</t>
  </si>
  <si>
    <t>Hãy sử dụng các phương pháp truyền thống.</t>
  </si>
  <si>
    <t>negotiate</t>
  </si>
  <si>
    <t>thương lượng</t>
  </si>
  <si>
    <t>We must negotiate the price.</t>
  </si>
  <si>
    <t>Chúng ta phải thương lượng giá cả.</t>
  </si>
  <si>
    <t>compliance</t>
  </si>
  <si>
    <t>sự tuân thủ</t>
  </si>
  <si>
    <t>Ensure full compliance now.</t>
  </si>
  <si>
    <t>Hãy đảm bảo sự tuân thủ đầy đủ.</t>
  </si>
  <si>
    <t>motivation</t>
  </si>
  <si>
    <t>Find your true inner motivation.</t>
  </si>
  <si>
    <t>Hãy tìm sự thúc đẩy nội tại đích thực của bạn.</t>
  </si>
  <si>
    <t>warming</t>
  </si>
  <si>
    <t>sự nóng lên</t>
  </si>
  <si>
    <t>Global warming is a problem.</t>
  </si>
  <si>
    <t>Sự nóng lên toàn cầu là một vấn đề.</t>
  </si>
  <si>
    <t>boast</t>
  </si>
  <si>
    <t>khoe khoang</t>
  </si>
  <si>
    <t>He boasts about his car.</t>
  </si>
  <si>
    <t>Anh ấy khoe khoang về xe của mình.</t>
  </si>
  <si>
    <t>fiction</t>
  </si>
  <si>
    <t>I love reading science fiction.</t>
  </si>
  <si>
    <t>Tôi thích đọc tiểu thuyết khoa học viễn tưởng.</t>
  </si>
  <si>
    <t>compelling</t>
  </si>
  <si>
    <t>It is a compelling story.</t>
  </si>
  <si>
    <t>Đó là một câu chuyện thuyết phục.</t>
  </si>
  <si>
    <t>equivalent</t>
  </si>
  <si>
    <t>It is equivalent to that.</t>
  </si>
  <si>
    <t>Nó tương đương với cái đó.</t>
  </si>
  <si>
    <t>preparation</t>
  </si>
  <si>
    <t>sự chuẩn bị</t>
  </si>
  <si>
    <t>Preparation is key to success.</t>
  </si>
  <si>
    <t>Sự chuẩn bị là chìa khóa của sự thành công.</t>
  </si>
  <si>
    <t>novel</t>
  </si>
  <si>
    <t>She is writing a novel.</t>
  </si>
  <si>
    <t>Cô ấy đang viết một cuốn tiểu thuyết.</t>
  </si>
  <si>
    <t>infant</t>
  </si>
  <si>
    <t>trẻ sơ sinh</t>
  </si>
  <si>
    <t>The infant sleeps very well.</t>
  </si>
  <si>
    <t>Trẻ sơ sinh ngủ rất ngon.</t>
  </si>
  <si>
    <t>invasion</t>
  </si>
  <si>
    <t>The invasion caused great pain.</t>
  </si>
  <si>
    <t>Sự xâm lược đã gây ra nỗi đau lớn.</t>
  </si>
  <si>
    <t>abortion</t>
  </si>
  <si>
    <t>sự phá thai</t>
  </si>
  <si>
    <t>The law restricts abortion access.</t>
  </si>
  <si>
    <t>Luật pháp hạn chế quyền tiếp cận phá thai.</t>
  </si>
  <si>
    <t>simulation</t>
  </si>
  <si>
    <t>The simulation was very accurate.</t>
  </si>
  <si>
    <t>Sự mô phỏng đó rất chính xác.</t>
  </si>
  <si>
    <t>armed</t>
  </si>
  <si>
    <t>có vũ trang</t>
  </si>
  <si>
    <t>They are armed and dangerous.</t>
  </si>
  <si>
    <t>Họ được trang bị vũ trang và nguy hiểm.</t>
  </si>
  <si>
    <t>heaven</t>
  </si>
  <si>
    <t>They dream of heaven daily.</t>
  </si>
  <si>
    <t>Họ mơ về thiên đường hàng ngày.</t>
  </si>
  <si>
    <t>harassment</t>
  </si>
  <si>
    <t>sự quấy rối</t>
  </si>
  <si>
    <t>They have a harassment policy.</t>
  </si>
  <si>
    <t>Họ có một chính sách về sự quấy rối.</t>
  </si>
  <si>
    <t>charter</t>
  </si>
  <si>
    <t>hiến chương</t>
  </si>
  <si>
    <t>They signed the charter.</t>
  </si>
  <si>
    <t>Họ đã ký bản hiến chương.</t>
  </si>
  <si>
    <t>desperate</t>
  </si>
  <si>
    <t>tuyệt vọng</t>
  </si>
  <si>
    <t>A desperate rescue attempt.</t>
  </si>
  <si>
    <t>Một nỗ lực giải cứu tuyệt vọng.</t>
  </si>
  <si>
    <t>cautious</t>
  </si>
  <si>
    <t>Be cautious when driving.</t>
  </si>
  <si>
    <t>Hãy thận trọng khi lái xe.</t>
  </si>
  <si>
    <t>preference</t>
  </si>
  <si>
    <t>Do you have a preference?</t>
  </si>
  <si>
    <t>Bạn có sự ưu tiên nào không?</t>
  </si>
  <si>
    <t>van</t>
  </si>
  <si>
    <t>xe tải nhỏ</t>
  </si>
  <si>
    <t>He drives a white van.</t>
  </si>
  <si>
    <t>Anh ấy lái một chiếc xe tải nhỏ màu trắng.</t>
  </si>
  <si>
    <t>glory</t>
  </si>
  <si>
    <t>vinh quang</t>
  </si>
  <si>
    <t>He seeks fame and glory.</t>
  </si>
  <si>
    <t>Anh ấy tìm kiếm danh vọng và vinh quang.</t>
  </si>
  <si>
    <t>administrative</t>
  </si>
  <si>
    <t>He works in administrative tasks.</t>
  </si>
  <si>
    <t>Anh ấy làm các công việc hành chính.</t>
  </si>
  <si>
    <t>stimulus</t>
  </si>
  <si>
    <t>It is a new stimulus.</t>
  </si>
  <si>
    <t>Đó là một yếu tố kích thích mới.</t>
  </si>
  <si>
    <t>phenomenon</t>
  </si>
  <si>
    <t>It is a rare natural phenomenon.</t>
  </si>
  <si>
    <t>Đó là một hiện tượng tự nhiên hiếm gặp.</t>
  </si>
  <si>
    <t>parking</t>
  </si>
  <si>
    <t>việc đỗ xe</t>
  </si>
  <si>
    <t>Parking is not allowed here.</t>
  </si>
  <si>
    <t>Việc đỗ xe không được cho phép ở đây.</t>
  </si>
  <si>
    <t>extraordinary</t>
  </si>
  <si>
    <t>phi thường</t>
  </si>
  <si>
    <t>She did an extraordinary job.</t>
  </si>
  <si>
    <t>Cô ấy đã làm một công việc phi thường.</t>
  </si>
  <si>
    <t>witness</t>
  </si>
  <si>
    <t>nhân chứng</t>
  </si>
  <si>
    <t>She is the key witness.</t>
  </si>
  <si>
    <t>Cô ấy là nhân chứng quan trọng.</t>
  </si>
  <si>
    <t>bombing</t>
  </si>
  <si>
    <t>vụ ném bom</t>
  </si>
  <si>
    <t>The city survived the bombing.</t>
  </si>
  <si>
    <t>Thành phố đã sống sót sau vụ ném bom.</t>
  </si>
  <si>
    <t>collision</t>
  </si>
  <si>
    <t>sự va chạm</t>
  </si>
  <si>
    <t>The collision was hard.</t>
  </si>
  <si>
    <t>Sự va chạm thật mạnh mẽ.</t>
  </si>
  <si>
    <t>historian</t>
  </si>
  <si>
    <t>nhà sử học</t>
  </si>
  <si>
    <t>The historian wrote a book.</t>
  </si>
  <si>
    <t>Nhà sử học đã viết một cuốn sách.</t>
  </si>
  <si>
    <t>magic</t>
  </si>
  <si>
    <t>phép thuật</t>
  </si>
  <si>
    <t>The magic is truly amazing.</t>
  </si>
  <si>
    <t>Phép thuật thực sự rất tuyệt vời.</t>
  </si>
  <si>
    <t>tide</t>
  </si>
  <si>
    <t>The tide is rising now.</t>
  </si>
  <si>
    <t>irony</t>
  </si>
  <si>
    <t>sự mỉa mai</t>
  </si>
  <si>
    <t>There is some irony here.</t>
  </si>
  <si>
    <t>Có một chút sự mỉa mai tại đây.</t>
  </si>
  <si>
    <t>enthusiastic</t>
  </si>
  <si>
    <t>They are enthusiastic about it.</t>
  </si>
  <si>
    <t>Họ rất nhiệt tình về điều đó.</t>
  </si>
  <si>
    <t>breed</t>
  </si>
  <si>
    <t>nhân giống</t>
  </si>
  <si>
    <t>They breed rare dogs.</t>
  </si>
  <si>
    <t>Họ nhân giống những chú chó hiếm.</t>
  </si>
  <si>
    <t>valley</t>
  </si>
  <si>
    <t>They live in the valley.</t>
  </si>
  <si>
    <t>Họ sống trong thung lũng.</t>
  </si>
  <si>
    <t>inclusion</t>
  </si>
  <si>
    <t>sự bao gồm</t>
  </si>
  <si>
    <t>They support the social inclusion.</t>
  </si>
  <si>
    <t>Họ ủng hộ sự bao gồm xã hội.</t>
  </si>
  <si>
    <t>attraction</t>
  </si>
  <si>
    <t>sự thu hút</t>
  </si>
  <si>
    <t>This is the main attraction.</t>
  </si>
  <si>
    <t>Đây là sự thu hút chính.</t>
  </si>
  <si>
    <t>maintenance</t>
  </si>
  <si>
    <t>sự bảo trì</t>
  </si>
  <si>
    <t>We need regular maintenance today.</t>
  </si>
  <si>
    <t>Chúng ta cần sự bảo trì thường xuyên hôm nay.</t>
  </si>
  <si>
    <t>stance</t>
  </si>
  <si>
    <t>What is your stance here?</t>
  </si>
  <si>
    <t>Lập trường của bạn ở đây là gì?</t>
  </si>
  <si>
    <t>adapt</t>
  </si>
  <si>
    <t>thích nghi</t>
  </si>
  <si>
    <t>You must adapt to changes.</t>
  </si>
  <si>
    <t>Bạn phải thích nghi với những thay đổi.</t>
  </si>
  <si>
    <t>justify</t>
  </si>
  <si>
    <t>Can you justify your actions?</t>
  </si>
  <si>
    <t>Bạn có thể biện minh cho hành động của mình không?</t>
  </si>
  <si>
    <t>compile</t>
  </si>
  <si>
    <t>biên soạn</t>
  </si>
  <si>
    <t>Compile the report now.</t>
  </si>
  <si>
    <t>Hãy biên soạn báo cáo ngay đi.</t>
  </si>
  <si>
    <t>compute</t>
  </si>
  <si>
    <t>Compute the final value.</t>
  </si>
  <si>
    <t>Hãy tính toán giá trị cuối cùng.</t>
  </si>
  <si>
    <t>burden</t>
  </si>
  <si>
    <t>Debt is a heavy burden.</t>
  </si>
  <si>
    <t>Nợ nần là một gánh nặng.</t>
  </si>
  <si>
    <t>interfere</t>
  </si>
  <si>
    <t>Do not interfere with them.</t>
  </si>
  <si>
    <t>Đừng can thiệp vào họ.</t>
  </si>
  <si>
    <t>planet</t>
  </si>
  <si>
    <t>Earth is a small planet.</t>
  </si>
  <si>
    <t>Trái Đất là một hành tinh nhỏ.</t>
  </si>
  <si>
    <t>frozen</t>
  </si>
  <si>
    <t>Eat the frozen food now.</t>
  </si>
  <si>
    <t>Hãy ăn thức ăn đã đóng băng ngay.</t>
  </si>
  <si>
    <t>isolation</t>
  </si>
  <si>
    <t>He felt in total isolation.</t>
  </si>
  <si>
    <t>Anh ấy cảm thấy hoàn toàn bị cô lập.</t>
  </si>
  <si>
    <t>concede</t>
  </si>
  <si>
    <t>He had to concede.</t>
  </si>
  <si>
    <t>Anh ấy đã phải thừa nhận.</t>
  </si>
  <si>
    <t>spy</t>
  </si>
  <si>
    <t>điệp viên</t>
  </si>
  <si>
    <t>He is a secret spy.</t>
  </si>
  <si>
    <t>Anh ấy là một điệp viên bí mật.</t>
  </si>
  <si>
    <t>permanently</t>
  </si>
  <si>
    <t>He left the town permanently.</t>
  </si>
  <si>
    <t>Anh ấy đã rời thị trấn vĩnh viễn.</t>
  </si>
  <si>
    <t>baseball</t>
  </si>
  <si>
    <t>bóng chày</t>
  </si>
  <si>
    <t>He plays baseball every week.</t>
  </si>
  <si>
    <t>Anh ấy chơi bóng chày hàng tuần.</t>
  </si>
  <si>
    <t>whereas</t>
  </si>
  <si>
    <t>He runs, whereas I walk.</t>
  </si>
  <si>
    <t>Anh ấy chạy, trong khi tôi đi bộ.</t>
  </si>
  <si>
    <t>mood</t>
  </si>
  <si>
    <t>I am in good mood.</t>
  </si>
  <si>
    <t>Tôi đang có tâm trạng tốt.</t>
  </si>
  <si>
    <t>weekly</t>
  </si>
  <si>
    <t>hàng tuần</t>
  </si>
  <si>
    <t>I read a weekly paper.</t>
  </si>
  <si>
    <t>Tôi đọc một tờ báo hàng tuần.</t>
  </si>
  <si>
    <t>intermediate</t>
  </si>
  <si>
    <t>trung cấp</t>
  </si>
  <si>
    <t>I study intermediate English now.</t>
  </si>
  <si>
    <t>Tôi đang học tiếng Anh trình độ trung cấp.</t>
  </si>
  <si>
    <t>nevertheless</t>
  </si>
  <si>
    <t>It was cold; nevertheless, we went.</t>
  </si>
  <si>
    <t>Trời rất lạnh; tuy nhiên, chúng tôi vẫn đi.</t>
  </si>
  <si>
    <t>legislation</t>
  </si>
  <si>
    <t>New legislation passed yesterday.</t>
  </si>
  <si>
    <t>Luật mới đã được thông qua hôm qua.</t>
  </si>
  <si>
    <t>flexible</t>
  </si>
  <si>
    <t>linh hoạt</t>
  </si>
  <si>
    <t>Please be flexible with time.</t>
  </si>
  <si>
    <t>Vui lòng linh hoạt với thời gian.</t>
  </si>
  <si>
    <t>whilst</t>
  </si>
  <si>
    <t>Read whilst I am busy.</t>
  </si>
  <si>
    <t>Hãy đọc trong khi tôi bận rộn.</t>
  </si>
  <si>
    <t>conscience</t>
  </si>
  <si>
    <t>She has a clear conscience.</t>
  </si>
  <si>
    <t>Cô ấy có một lương tâm trong sạch.</t>
  </si>
  <si>
    <t>instruct</t>
  </si>
  <si>
    <t>She instructed me to wait.</t>
  </si>
  <si>
    <t>Cô ấy đã hướng dẫn tôi đợi.</t>
  </si>
  <si>
    <t>urge</t>
  </si>
  <si>
    <t>She urged me to go.</t>
  </si>
  <si>
    <t>Cô ấy đã thúc giục tôi đi.</t>
  </si>
  <si>
    <t>calculation</t>
  </si>
  <si>
    <t>phép tính</t>
  </si>
  <si>
    <t>The calculation is correct.</t>
  </si>
  <si>
    <t>Phép tính đó hoàn toàn đúng.</t>
  </si>
  <si>
    <t>colonial</t>
  </si>
  <si>
    <t>The colonial time passed.</t>
  </si>
  <si>
    <t>Thời kỳ thuộc địa đã qua.</t>
  </si>
  <si>
    <t>incidence</t>
  </si>
  <si>
    <t>tỷ lệ mắc</t>
  </si>
  <si>
    <t>The incidence of disease fell.</t>
  </si>
  <si>
    <t>Tỷ lệ mắc bệnh đã giảm.</t>
  </si>
  <si>
    <t>lecture</t>
  </si>
  <si>
    <t>The lecture is very interesting.</t>
  </si>
  <si>
    <t>Bài giảng rất thú vị.</t>
  </si>
  <si>
    <t>surge</t>
  </si>
  <si>
    <t>dâng trào</t>
  </si>
  <si>
    <t>The power will surge now.</t>
  </si>
  <si>
    <t>Năng lượng sẽ dâng trào bây giờ.</t>
  </si>
  <si>
    <t>ninety</t>
  </si>
  <si>
    <t>chín mươi</t>
  </si>
  <si>
    <t>The price is ninety dollars.</t>
  </si>
  <si>
    <t>Giá là chín mươi đô la.</t>
  </si>
  <si>
    <t>seemingly</t>
  </si>
  <si>
    <t>có vẻ như</t>
  </si>
  <si>
    <t>The task is seemingly easy.</t>
  </si>
  <si>
    <t>Nhiệm vụ này có vẻ dễ dàng.</t>
  </si>
  <si>
    <t>transaction</t>
  </si>
  <si>
    <t>The transaction was very fast.</t>
  </si>
  <si>
    <t>Giao dịch rất nhanh chóng.</t>
  </si>
  <si>
    <t>interactive</t>
  </si>
  <si>
    <t>The website is very interactive.</t>
  </si>
  <si>
    <t>Trang web rất có tính tương tác.</t>
  </si>
  <si>
    <t>assign</t>
  </si>
  <si>
    <t>They assign tasks to everyone.</t>
  </si>
  <si>
    <t>Họ phân công nhiệm vụ cho mọi người.</t>
  </si>
  <si>
    <t>consent</t>
  </si>
  <si>
    <t>They gave their consent.</t>
  </si>
  <si>
    <t>Họ đã đưa ra sự đồng ý.</t>
  </si>
  <si>
    <t>invent</t>
  </si>
  <si>
    <t>They invented a new machine.</t>
  </si>
  <si>
    <t>Họ đã phát minh một chiếc máy mới.</t>
  </si>
  <si>
    <t>intensive</t>
  </si>
  <si>
    <t>They need intensive English study.</t>
  </si>
  <si>
    <t>Họ cần học tiếng Anh chuyên sâu.</t>
  </si>
  <si>
    <t>specialize</t>
  </si>
  <si>
    <t>chuyên về</t>
  </si>
  <si>
    <t>They specialize in law now.</t>
  </si>
  <si>
    <t>Họ chuyên về luật bây giờ.</t>
  </si>
  <si>
    <t>uniform</t>
  </si>
  <si>
    <t>They wear a blue uniform.</t>
  </si>
  <si>
    <t>Họ mặc một bộ đồng phục xanh.</t>
  </si>
  <si>
    <t>inevitably</t>
  </si>
  <si>
    <t>They will inevitably win today.</t>
  </si>
  <si>
    <t>Họ chắc chắn sẽ thắng hôm nay.</t>
  </si>
  <si>
    <t>trigger</t>
  </si>
  <si>
    <t>kích hoạt</t>
  </si>
  <si>
    <t>This action triggered the alarm.</t>
  </si>
  <si>
    <t>Hành động này đã kích hoạt chuông báo.</t>
  </si>
  <si>
    <t>exclusive</t>
  </si>
  <si>
    <t>độc quyền</t>
  </si>
  <si>
    <t>This is an exclusive interview.</t>
  </si>
  <si>
    <t>Đây là một cuộc phỏng vấn độc quyền.</t>
  </si>
  <si>
    <t>heal</t>
  </si>
  <si>
    <t>chữa lành</t>
  </si>
  <si>
    <t>Time will heal the wound.</t>
  </si>
  <si>
    <t>Thời gian sẽ chữa lành vết thương.</t>
  </si>
  <si>
    <t>advertise</t>
  </si>
  <si>
    <t>We advertise our new products.</t>
  </si>
  <si>
    <t>Chúng tôi quảng cáo các sản phẩm mới.</t>
  </si>
  <si>
    <t>perceive</t>
  </si>
  <si>
    <t>We perceive colors very differently.</t>
  </si>
  <si>
    <t>Chúng ta nhận thức màu sắc rất khác nhau.</t>
  </si>
  <si>
    <t>origin</t>
  </si>
  <si>
    <t>What is the origin of this?</t>
  </si>
  <si>
    <t>Nguồn gốc của cái này là gì?</t>
  </si>
  <si>
    <t>gorgeous</t>
  </si>
  <si>
    <t>tuyệt đẹp</t>
  </si>
  <si>
    <t>You look absolutely gorgeous.</t>
  </si>
  <si>
    <t>Bạn trông tuyệt đẹp.</t>
  </si>
  <si>
    <t>leaf</t>
  </si>
  <si>
    <t>chiếc lá</t>
  </si>
  <si>
    <t>A green leaf fell down.</t>
  </si>
  <si>
    <t>Một chiếc lá xanh rơi xuống.</t>
  </si>
  <si>
    <t>willing</t>
  </si>
  <si>
    <t>sẵn lòng</t>
  </si>
  <si>
    <t>Are you willing to help?</t>
  </si>
  <si>
    <t>Bạn có sẵn lòng giúp đỡ không?</t>
  </si>
  <si>
    <t>besides</t>
  </si>
  <si>
    <t>Besides him, nobody knew it.</t>
  </si>
  <si>
    <t>Ngoài anh ấy ra, không ai biết điều đó.</t>
  </si>
  <si>
    <t>spouse</t>
  </si>
  <si>
    <t>Bring your spouse to party.</t>
  </si>
  <si>
    <t>Hãy mang vợ hoặc chồng của bạn đến bữa tiệc.</t>
  </si>
  <si>
    <t>lend</t>
  </si>
  <si>
    <t>Can you lend me money?</t>
  </si>
  <si>
    <t>Bạn có thể cho tôi mượn tiền không?</t>
  </si>
  <si>
    <t>catalogue</t>
  </si>
  <si>
    <t>Check the product catalogue.</t>
  </si>
  <si>
    <t>Hãy kiểm tra danh mục sản phẩm.</t>
  </si>
  <si>
    <t>assignment</t>
  </si>
  <si>
    <t>Complete your assignment by tomorrow.</t>
  </si>
  <si>
    <t>Hãy hoàn thành nhiệm vụ của bạn trước ngày mai.</t>
  </si>
  <si>
    <t>exclude</t>
  </si>
  <si>
    <t>Do not exclude anyone here.</t>
  </si>
  <si>
    <t>Đừng loại trừ bất kỳ ai ở đây.</t>
  </si>
  <si>
    <t>spoil</t>
  </si>
  <si>
    <t>Do not spoil the fun.</t>
  </si>
  <si>
    <t>Đừng làm hỏng cuộc vui.</t>
  </si>
  <si>
    <t>educate</t>
  </si>
  <si>
    <t>Educate all the children.</t>
  </si>
  <si>
    <t>Hãy giáo dục tất cả trẻ em.</t>
  </si>
  <si>
    <t>continually</t>
  </si>
  <si>
    <t>He continually asks questions.</t>
  </si>
  <si>
    <t>Anh ấy liên tục đặt câu hỏi.</t>
  </si>
  <si>
    <t>sexuality</t>
  </si>
  <si>
    <t>tính dục</t>
  </si>
  <si>
    <t>He explored his own sexuality.</t>
  </si>
  <si>
    <t>Anh ấy đã khám phá tính dục của chính mình.</t>
  </si>
  <si>
    <t>lifestyle</t>
  </si>
  <si>
    <t>lối sống</t>
  </si>
  <si>
    <t>He has a healthy lifestyle.</t>
  </si>
  <si>
    <t>Anh ấy có một lối sống lành mạnh.</t>
  </si>
  <si>
    <t>pilot</t>
  </si>
  <si>
    <t>He is a skilled pilot.</t>
  </si>
  <si>
    <t>Anh ấy là một phi công lành nghề.</t>
  </si>
  <si>
    <t>steam</t>
  </si>
  <si>
    <t>I see steam from pot.</t>
  </si>
  <si>
    <t>Tôi thấy hơi nước bốc lên từ nồi.</t>
  </si>
  <si>
    <t>evolve</t>
  </si>
  <si>
    <t>tiến hóa</t>
  </si>
  <si>
    <t>Ideas evolve over many years.</t>
  </si>
  <si>
    <t>Các ý tưởng tiến hóa qua nhiều năm.</t>
  </si>
  <si>
    <t>sensation</t>
  </si>
  <si>
    <t>It caused a sudden sensation.</t>
  </si>
  <si>
    <t>Nó gây ra một cảm giác đột ngột.</t>
  </si>
  <si>
    <t>universal</t>
  </si>
  <si>
    <t>It is a universal rule.</t>
  </si>
  <si>
    <t>Đó là một quy tắc phổ biến.</t>
  </si>
  <si>
    <t>peaceful</t>
  </si>
  <si>
    <t>yên bình</t>
  </si>
  <si>
    <t>It is a very peaceful place.</t>
  </si>
  <si>
    <t>Đây là một nơi rất yên bình.</t>
  </si>
  <si>
    <t>obligation</t>
  </si>
  <si>
    <t>It is your legal obligation.</t>
  </si>
  <si>
    <t>Đó là nghĩa vụ pháp lý của bạn.</t>
  </si>
  <si>
    <t>collaborate</t>
  </si>
  <si>
    <t>cộng tác</t>
  </si>
  <si>
    <t>Let us collaborate now.</t>
  </si>
  <si>
    <t>Hãy cộng tác cùng nhau nhé.</t>
  </si>
  <si>
    <t>flying</t>
  </si>
  <si>
    <t>đang bay</t>
  </si>
  <si>
    <t>Look at the flying bird.</t>
  </si>
  <si>
    <t>Hãy nhìn con chim đang bay.</t>
  </si>
  <si>
    <t>menu</t>
  </si>
  <si>
    <t>Look at the lunch menu.</t>
  </si>
  <si>
    <t>Hãy nhìn vào thực đơn bữa trưa.</t>
  </si>
  <si>
    <t>monitor</t>
  </si>
  <si>
    <t>theo dõi</t>
  </si>
  <si>
    <t>Monitor the progress closely now.</t>
  </si>
  <si>
    <t>Hãy theo dõi tiến độ chặt chẽ bây giờ.</t>
  </si>
  <si>
    <t>keyboard</t>
  </si>
  <si>
    <t>bàn phím</t>
  </si>
  <si>
    <t>My keyboard is very fast.</t>
  </si>
  <si>
    <t>Bàn phím của tôi rất nhanh.</t>
  </si>
  <si>
    <t>surrender</t>
  </si>
  <si>
    <t>đầu hàng</t>
  </si>
  <si>
    <t>Never surrender your dream now.</t>
  </si>
  <si>
    <t>Đừng bao giờ từ bỏ ước mơ của bạn.</t>
  </si>
  <si>
    <t>trace</t>
  </si>
  <si>
    <t>truy vết</t>
  </si>
  <si>
    <t>Police try to trace him.</t>
  </si>
  <si>
    <t>Cảnh sát đang cố gắng truy vết anh ta.</t>
  </si>
  <si>
    <t>competence</t>
  </si>
  <si>
    <t>She has great competence.</t>
  </si>
  <si>
    <t>Cô ấy có năng lực tuyệt vời.</t>
  </si>
  <si>
    <t>eighteen</t>
  </si>
  <si>
    <t>mười tám</t>
  </si>
  <si>
    <t>She is eighteen years old.</t>
  </si>
  <si>
    <t>Cô ấy mười tám tuổi.</t>
  </si>
  <si>
    <t>forty</t>
  </si>
  <si>
    <t>bốn mươi</t>
  </si>
  <si>
    <t>She is forty years old.</t>
  </si>
  <si>
    <t>Cô ấy bốn mươi tuổi.</t>
  </si>
  <si>
    <t>grammar</t>
  </si>
  <si>
    <t>She is studying English grammar.</t>
  </si>
  <si>
    <t>Cô ấy đang học ngữ pháp tiếng Anh.</t>
  </si>
  <si>
    <t>charming</t>
  </si>
  <si>
    <t>She is very charming.</t>
  </si>
  <si>
    <t>Cô ấy rất quyến rũ.</t>
  </si>
  <si>
    <t>tournament</t>
  </si>
  <si>
    <t>She won the tennis tournament.</t>
  </si>
  <si>
    <t>Cô ấy đã thắng giải đấu quần vợt.</t>
  </si>
  <si>
    <t>exceed</t>
  </si>
  <si>
    <t>Speed should not exceed this.</t>
  </si>
  <si>
    <t>Tốc độ không nên vượt quá mức này.</t>
  </si>
  <si>
    <t>supervise</t>
  </si>
  <si>
    <t>giám sát</t>
  </si>
  <si>
    <t>Supervise the workers very well.</t>
  </si>
  <si>
    <t>Hãy giám sát những công nhân thật kỹ.</t>
  </si>
  <si>
    <t>coastal</t>
  </si>
  <si>
    <t>ven biển</t>
  </si>
  <si>
    <t>The coastal area is nice.</t>
  </si>
  <si>
    <t>Khu vực ven biển rất đẹp.</t>
  </si>
  <si>
    <t>suspicious</t>
  </si>
  <si>
    <t>The man is very suspicious.</t>
  </si>
  <si>
    <t>Người đàn ông đó rất đáng ngờ.</t>
  </si>
  <si>
    <t>entertain</t>
  </si>
  <si>
    <t>The show will entertain guests.</t>
  </si>
  <si>
    <t>Chương trình sẽ giải trí cho khách mời.</t>
  </si>
  <si>
    <t>stem</t>
  </si>
  <si>
    <t>The stem is very green.</t>
  </si>
  <si>
    <t>Thân cây rất xanh.</t>
  </si>
  <si>
    <t>straightforward</t>
  </si>
  <si>
    <t>The task is very straightforward.</t>
  </si>
  <si>
    <t>Nhiệm vụ này rất đơn giản.</t>
  </si>
  <si>
    <t>troop</t>
  </si>
  <si>
    <t>The troop moved very fast.</t>
  </si>
  <si>
    <t>Đội quân đã di chuyển rất nhanh.</t>
  </si>
  <si>
    <t>greenhouse</t>
  </si>
  <si>
    <t>nhà kính</t>
  </si>
  <si>
    <t>They grow plants in greenhouses.</t>
  </si>
  <si>
    <t>Họ trồng cây trong các nhà kính.</t>
  </si>
  <si>
    <t>intimate</t>
  </si>
  <si>
    <t>thân mật</t>
  </si>
  <si>
    <t>They had an intimate talk.</t>
  </si>
  <si>
    <t>Họ đã có một cuộc trò chuyện thân mật.</t>
  </si>
  <si>
    <t>mixed</t>
  </si>
  <si>
    <t>They have mixed feelings now.</t>
  </si>
  <si>
    <t>Họ có những cảm xúc lẫn lộn.</t>
  </si>
  <si>
    <t>inspect</t>
  </si>
  <si>
    <t>They inspect the food quality.</t>
  </si>
  <si>
    <t>Họ đang kiểm tra chất lượng thực phẩm.</t>
  </si>
  <si>
    <t>minority</t>
  </si>
  <si>
    <t>thiểu số</t>
  </si>
  <si>
    <t>They represent a small minority.</t>
  </si>
  <si>
    <t>Họ đại diện cho một nhóm thiểu số.</t>
  </si>
  <si>
    <t>suspend</t>
  </si>
  <si>
    <t>đình chỉ</t>
  </si>
  <si>
    <t>They suspend the game now.</t>
  </si>
  <si>
    <t>Họ đang đình chỉ trò chơi.</t>
  </si>
  <si>
    <t>temple</t>
  </si>
  <si>
    <t>ngôi đền</t>
  </si>
  <si>
    <t>They visited the old temple.</t>
  </si>
  <si>
    <t>Họ đã thăm ngôi đền cổ.</t>
  </si>
  <si>
    <t>urgent</t>
  </si>
  <si>
    <t>This is an urgent matter.</t>
  </si>
  <si>
    <t>Đây là một vấn đề khẩn cấp.</t>
  </si>
  <si>
    <t>weakness</t>
  </si>
  <si>
    <t>This is his major weakness.</t>
  </si>
  <si>
    <t>Đây là điểm yếu chính của anh ấy.</t>
  </si>
  <si>
    <t>upgrade</t>
  </si>
  <si>
    <t>nâng cấp</t>
  </si>
  <si>
    <t>We need to upgrade software.</t>
  </si>
  <si>
    <t>Chúng ta cần nâng cấp phần mềm.</t>
  </si>
  <si>
    <t>friendship</t>
  </si>
  <si>
    <t>We value our long friendship.</t>
  </si>
  <si>
    <t>Chúng tôi coi trọng tình bạn lâu dài của mình.</t>
  </si>
  <si>
    <t>luck</t>
  </si>
  <si>
    <t>I wish you good luck.</t>
  </si>
  <si>
    <t>Tôi chúc bạn gặp nhiều may mắn.</t>
  </si>
  <si>
    <t>attorney</t>
  </si>
  <si>
    <t>Call your attorney right now.</t>
  </si>
  <si>
    <t>Hãy gọi luật sư của bạn ngay bây giờ.</t>
  </si>
  <si>
    <t>predict</t>
  </si>
  <si>
    <t>Can you predict the future?</t>
  </si>
  <si>
    <t>Bạn có thể dự đoán tương lai không?</t>
  </si>
  <si>
    <t>confine</t>
  </si>
  <si>
    <t>Confine your talk now.</t>
  </si>
  <si>
    <t>Hãy hạn chế bài nói của bạn.</t>
  </si>
  <si>
    <t>bet</t>
  </si>
  <si>
    <t>Do not bet any money.</t>
  </si>
  <si>
    <t>Đừng cá cược bất kỳ số tiền nào.</t>
  </si>
  <si>
    <t>anxious</t>
  </si>
  <si>
    <t>He feels anxious about exams.</t>
  </si>
  <si>
    <t>Anh ấy cảm thấy lo lắng về các bài thi.</t>
  </si>
  <si>
    <t>thirteen</t>
  </si>
  <si>
    <t>mười ba</t>
  </si>
  <si>
    <t>He is only thirteen now.</t>
  </si>
  <si>
    <t>Anh ấy mới chỉ mười ba tuổi.</t>
  </si>
  <si>
    <t>fifth</t>
  </si>
  <si>
    <t>He is the fifth person.</t>
  </si>
  <si>
    <t>Anh ấy là người thứ năm.</t>
  </si>
  <si>
    <t>grateful</t>
  </si>
  <si>
    <t>I am grateful for help.</t>
  </si>
  <si>
    <t>Tôi rất biết ơn sự giúp đỡ này.</t>
  </si>
  <si>
    <t>assure</t>
  </si>
  <si>
    <t>I assure you it works.</t>
  </si>
  <si>
    <t>Tôi đảm bảo với bạn là nó hoạt động.</t>
  </si>
  <si>
    <t>juice</t>
  </si>
  <si>
    <t>I drink orange juice daily.</t>
  </si>
  <si>
    <t>Tôi uống nước cam hằng ngày.</t>
  </si>
  <si>
    <t>grasp</t>
  </si>
  <si>
    <t>I grasp the main idea.</t>
  </si>
  <si>
    <t>Tôi nắm bắt được ý chính.</t>
  </si>
  <si>
    <t>literature</t>
  </si>
  <si>
    <t>I love reading classic literature.</t>
  </si>
  <si>
    <t>Tôi thích đọc văn học cổ điển.</t>
  </si>
  <si>
    <t>pleasant</t>
  </si>
  <si>
    <t>It is a pleasant day.</t>
  </si>
  <si>
    <t>Đó là một ngày dễ chịu.</t>
  </si>
  <si>
    <t>virtually</t>
  </si>
  <si>
    <t>It is virtually impossible now.</t>
  </si>
  <si>
    <t>Hiện tại điều đó gần như không thể.</t>
  </si>
  <si>
    <t>painful</t>
  </si>
  <si>
    <t>It was a painful experience.</t>
  </si>
  <si>
    <t>Đó là một trải nghiệm đau đớn.</t>
  </si>
  <si>
    <t>mount</t>
  </si>
  <si>
    <t>leo lên</t>
  </si>
  <si>
    <t>Mount the camera safely now.</t>
  </si>
  <si>
    <t>Hãy lắp máy ảnh một cách an toàn.</t>
  </si>
  <si>
    <t>arrest</t>
  </si>
  <si>
    <t>Police arrest the thief now.</t>
  </si>
  <si>
    <t>Cảnh sát bắt giữ kẻ trộm ngay bây giờ.</t>
  </si>
  <si>
    <t>outstanding</t>
  </si>
  <si>
    <t>She made an outstanding speech.</t>
  </si>
  <si>
    <t>Cô ấy đã có một bài phát biểu nổi bật.</t>
  </si>
  <si>
    <t>accounting</t>
  </si>
  <si>
    <t>She studies accounting at school.</t>
  </si>
  <si>
    <t>Cô ấy học kế toán tại trường.</t>
  </si>
  <si>
    <t>thread</t>
  </si>
  <si>
    <t>sợi chỉ</t>
  </si>
  <si>
    <t>She used a red thread.</t>
  </si>
  <si>
    <t>Cô ấy đã dùng một sợi chỉ đỏ.</t>
  </si>
  <si>
    <t>journal</t>
  </si>
  <si>
    <t>She writes in her journal.</t>
  </si>
  <si>
    <t>Cô ấy viết vào nhật ký của mình.</t>
  </si>
  <si>
    <t>summarize</t>
  </si>
  <si>
    <t>Summarize the story very briefly.</t>
  </si>
  <si>
    <t>Hãy tóm tắt câu chuyện thật ngắn gọn.</t>
  </si>
  <si>
    <t>tragedy</t>
  </si>
  <si>
    <t>The accident was a tragedy.</t>
  </si>
  <si>
    <t>Vụ tai nạn là một bi kịch.</t>
  </si>
  <si>
    <t>aircraft</t>
  </si>
  <si>
    <t>The aircraft landed on time.</t>
  </si>
  <si>
    <t>Chiếc máy bay đã hạ cánh đúng giờ.</t>
  </si>
  <si>
    <t>invisible</t>
  </si>
  <si>
    <t>vô hình</t>
  </si>
  <si>
    <t>The gas is totally invisible.</t>
  </si>
  <si>
    <t>Chất khí đó hoàn toàn vô hình.</t>
  </si>
  <si>
    <t>personnel</t>
  </si>
  <si>
    <t>The personnel are very busy.</t>
  </si>
  <si>
    <t>Nhân sự đang rất bận rộn.</t>
  </si>
  <si>
    <t>comprise</t>
  </si>
  <si>
    <t>The team comprises experts.</t>
  </si>
  <si>
    <t>Đội ngũ bao gồm các chuyên gia.</t>
  </si>
  <si>
    <t>pipe</t>
  </si>
  <si>
    <t>The water pipe is broken.</t>
  </si>
  <si>
    <t>Ống dẫn nước bị hỏng.</t>
  </si>
  <si>
    <t>treasure</t>
  </si>
  <si>
    <t>kho báu</t>
  </si>
  <si>
    <t>They found a hidden treasure.</t>
  </si>
  <si>
    <t>Họ đã tìm thấy một kho báu ẩn giấu.</t>
  </si>
  <si>
    <t>automatic</t>
  </si>
  <si>
    <t>This is an automatic door.</t>
  </si>
  <si>
    <t>Đây là một cánh cửa tự động.</t>
  </si>
  <si>
    <t>asset</t>
  </si>
  <si>
    <t>Time is a valuable asset.</t>
  </si>
  <si>
    <t>Thời gian là một tài sản quý giá.</t>
  </si>
  <si>
    <t>variable</t>
  </si>
  <si>
    <t>biến số</t>
  </si>
  <si>
    <t>We must check this variable.</t>
  </si>
  <si>
    <t>Chúng ta phải kiểm tra biến số này.</t>
  </si>
  <si>
    <t>eliminate</t>
  </si>
  <si>
    <t>We must eliminate the errors.</t>
  </si>
  <si>
    <t>Chúng ta phải loại bỏ các lỗi sai.</t>
  </si>
  <si>
    <t>preserve</t>
  </si>
  <si>
    <t>bảo tồn</t>
  </si>
  <si>
    <t>We must preserve our history.</t>
  </si>
  <si>
    <t>Chúng ta phải bảo tồn lịch sử của mình.</t>
  </si>
  <si>
    <t>compensate</t>
  </si>
  <si>
    <t>đền bù</t>
  </si>
  <si>
    <t>Compensate for the loss.</t>
  </si>
  <si>
    <t>Hãy đền bù cho sự mất mát.</t>
  </si>
  <si>
    <t>bucket</t>
  </si>
  <si>
    <t>Fill the bucket with water.</t>
  </si>
  <si>
    <t>Đổ đầy nước vào cái xô.</t>
  </si>
  <si>
    <t>cheerful</t>
  </si>
  <si>
    <t>He is a cheerful person.</t>
  </si>
  <si>
    <t>Anh ấy là một người vui vẻ.</t>
  </si>
  <si>
    <t>merely</t>
  </si>
  <si>
    <t>chỉ là</t>
  </si>
  <si>
    <t>He is merely a child.</t>
  </si>
  <si>
    <t>Nó chỉ là một đứa trẻ.</t>
  </si>
  <si>
    <t>notion</t>
  </si>
  <si>
    <t>I have no such notion.</t>
  </si>
  <si>
    <t>Tôi không có ý niệm đó.</t>
  </si>
  <si>
    <t>versus</t>
  </si>
  <si>
    <t>It is man versus nature.</t>
  </si>
  <si>
    <t>Đó là cuộc đối đầu giữa con người và thiên nhiên.</t>
  </si>
  <si>
    <t>skip</t>
  </si>
  <si>
    <t>bỏ qua</t>
  </si>
  <si>
    <t>Please skip the boring part.</t>
  </si>
  <si>
    <t>Vui lòng bỏ qua phần nhàm chán.</t>
  </si>
  <si>
    <t>ugly</t>
  </si>
  <si>
    <t>That is an ugly hat.</t>
  </si>
  <si>
    <t>Đó là một cái mũ xấu xí.</t>
  </si>
  <si>
    <t>adequate</t>
  </si>
  <si>
    <t>The food is quite adequate.</t>
  </si>
  <si>
    <t>Thức ăn khá đầy đủ.</t>
  </si>
  <si>
    <t>graphic</t>
  </si>
  <si>
    <t>đồ họa</t>
  </si>
  <si>
    <t>The graphic design is nice.</t>
  </si>
  <si>
    <t>Thiết kế đồ họa đó rất đẹp.</t>
  </si>
  <si>
    <t>harvest</t>
  </si>
  <si>
    <t>The harvest was very good.</t>
  </si>
  <si>
    <t>Vụ mùa rất tốt.</t>
  </si>
  <si>
    <t>immense</t>
  </si>
  <si>
    <t>bao la</t>
  </si>
  <si>
    <t>The ocean is very immense.</t>
  </si>
  <si>
    <t>Đại dương rất bao la.</t>
  </si>
  <si>
    <t>valid</t>
  </si>
  <si>
    <t>hợp lệ</t>
  </si>
  <si>
    <t>The ticket is still valid.</t>
  </si>
  <si>
    <t>Chiếc vé vẫn còn hợp lệ.</t>
  </si>
  <si>
    <t>tyre</t>
  </si>
  <si>
    <t>The tyre is flat now.</t>
  </si>
  <si>
    <t>Lốp xe bị xẹp bây giờ.</t>
  </si>
  <si>
    <t>advocate</t>
  </si>
  <si>
    <t>They advocate for human rights.</t>
  </si>
  <si>
    <t>Họ ủng hộ quyền con người.</t>
  </si>
  <si>
    <t>conspiracy</t>
  </si>
  <si>
    <t>They formed a conspiracy.</t>
  </si>
  <si>
    <t>Họ đã lập một âm mưu.</t>
  </si>
  <si>
    <t>isolate</t>
  </si>
  <si>
    <t>cô lập</t>
  </si>
  <si>
    <t>They isolate the infected patients.</t>
  </si>
  <si>
    <t>Họ cô lập các bệnh nhân bị lây nhiễm.</t>
  </si>
  <si>
    <t>pitch</t>
  </si>
  <si>
    <t>sân cỏ</t>
  </si>
  <si>
    <t>They run on the pitch.</t>
  </si>
  <si>
    <t>Họ chạy trên sân cỏ.</t>
  </si>
  <si>
    <t>fancy</t>
  </si>
  <si>
    <t>They went to fancy party.</t>
  </si>
  <si>
    <t>Họ đã đi đến một buổi tiệc xa hoa.</t>
  </si>
  <si>
    <t>fundamental</t>
  </si>
  <si>
    <t>This is a fundamental rule.</t>
  </si>
  <si>
    <t>Đây là một quy tắc cơ bản.</t>
  </si>
  <si>
    <t>mechanism</t>
  </si>
  <si>
    <t>Understand the mechanism of it.</t>
  </si>
  <si>
    <t>Hãy hiểu cơ chế của nó.</t>
  </si>
  <si>
    <t>tremendous</t>
  </si>
  <si>
    <t>We have a tremendous task.</t>
  </si>
  <si>
    <t>Chúng ta có một nhiệm vụ to lớn.</t>
  </si>
  <si>
    <t>universe</t>
  </si>
  <si>
    <t>We study the vast universe.</t>
  </si>
  <si>
    <t>Chúng ta nghiên cứu vũ trụ rộng lớn.</t>
  </si>
  <si>
    <t>arrival</t>
  </si>
  <si>
    <t>sự đến</t>
  </si>
  <si>
    <t>We wait for her arrival.</t>
  </si>
  <si>
    <t>Chúng tôi chờ đợi sự đến của cô ấy.</t>
  </si>
  <si>
    <t>hesitate</t>
  </si>
  <si>
    <t>Do not hesitate to ask.</t>
  </si>
  <si>
    <t>Đừng do dự khi hỏi.</t>
  </si>
  <si>
    <t>odd</t>
  </si>
  <si>
    <t>He has an odd habit.</t>
  </si>
  <si>
    <t>troubled</t>
  </si>
  <si>
    <t>lo âu</t>
  </si>
  <si>
    <t>He looks a bit troubled.</t>
  </si>
  <si>
    <t>Anh ấy trông có vẻ hơi lo âu.</t>
  </si>
  <si>
    <t>venture</t>
  </si>
  <si>
    <t>It is a risky venture.</t>
  </si>
  <si>
    <t>Đó là một dự án đầy rủi ro.</t>
  </si>
  <si>
    <t>behave</t>
  </si>
  <si>
    <t>Please behave yourself right now.</t>
  </si>
  <si>
    <t>Vui lòng cư xử đúng mực ngay bây giờ.</t>
  </si>
  <si>
    <t>frightened</t>
  </si>
  <si>
    <t>bị sợ</t>
  </si>
  <si>
    <t>The cat was very frightened.</t>
  </si>
  <si>
    <t>Con mèo đã rất sợ hãi.</t>
  </si>
  <si>
    <t>explosion</t>
  </si>
  <si>
    <t>vụ nổ</t>
  </si>
  <si>
    <t>The explosion was very loud.</t>
  </si>
  <si>
    <t>Vụ nổ rất lớn.</t>
  </si>
  <si>
    <t>flag</t>
  </si>
  <si>
    <t>lá cờ</t>
  </si>
  <si>
    <t>The flag flies very high.</t>
  </si>
  <si>
    <t>Lá cờ bay rất cao.</t>
  </si>
  <si>
    <t>cease</t>
  </si>
  <si>
    <t>The rain will cease.</t>
  </si>
  <si>
    <t>Cơn mưa sẽ ngừng thôi.</t>
  </si>
  <si>
    <t>joint</t>
  </si>
  <si>
    <t>They made a joint decision.</t>
  </si>
  <si>
    <t>Họ đã đưa ra một quyết định chung.</t>
  </si>
  <si>
    <t>They released a new album.</t>
  </si>
  <si>
    <t>Họ đã phát hành một album mới.</t>
  </si>
  <si>
    <t>grave</t>
  </si>
  <si>
    <t>mồ mả</t>
  </si>
  <si>
    <t>They visited the grave site.</t>
  </si>
  <si>
    <t>Họ đã thăm khu mộ.</t>
  </si>
  <si>
    <t>generic</t>
  </si>
  <si>
    <t>Use a generic product name.</t>
  </si>
  <si>
    <t>Hãy sử dụng tên sản phẩm chung.</t>
  </si>
  <si>
    <t>brush</t>
  </si>
  <si>
    <t>chải</t>
  </si>
  <si>
    <t>Brush your hair now.</t>
  </si>
  <si>
    <t>Hãy chải tóc của bạn đi.</t>
  </si>
  <si>
    <t>insert</t>
  </si>
  <si>
    <t>chèn</t>
  </si>
  <si>
    <t>Please insert the memory card.</t>
  </si>
  <si>
    <t>Làm ơn hãy chèn thẻ nhớ.</t>
  </si>
  <si>
    <t>upset</t>
  </si>
  <si>
    <t>She is upset about news.</t>
  </si>
  <si>
    <t>Cô ấy buồn về tin tức.</t>
  </si>
  <si>
    <t>twist</t>
  </si>
  <si>
    <t>She likes to twist wire.</t>
  </si>
  <si>
    <t>Cô ấy thích xoắn dây thép.</t>
  </si>
  <si>
    <t>hip</t>
  </si>
  <si>
    <t>hông</t>
  </si>
  <si>
    <t>She put hands on hips.</t>
  </si>
  <si>
    <t>Cô ấy đã chống hai tay vào hông.</t>
  </si>
  <si>
    <t>faculty</t>
  </si>
  <si>
    <t>khoa</t>
  </si>
  <si>
    <t>She teaches in the faculty.</t>
  </si>
  <si>
    <t>Cô ấy giảng dạy trong khoa.</t>
  </si>
  <si>
    <t>shed</t>
  </si>
  <si>
    <t>The dog will shed fur.</t>
  </si>
  <si>
    <t>Con chó sẽ rụng lông.</t>
  </si>
  <si>
    <t>yellow</t>
  </si>
  <si>
    <t>The flower is bright yellow.</t>
  </si>
  <si>
    <t>Bông hoa có màu vàng tươi.</t>
  </si>
  <si>
    <t>gross</t>
  </si>
  <si>
    <t>The gross income is high.</t>
  </si>
  <si>
    <t>Tổng thu nhập rất cao.</t>
  </si>
  <si>
    <t>loose</t>
  </si>
  <si>
    <t>The knot is too loose.</t>
  </si>
  <si>
    <t>Cái nút thắt quá lỏng.</t>
  </si>
  <si>
    <t>underground</t>
  </si>
  <si>
    <t>They built an underground pipe.</t>
  </si>
  <si>
    <t>Họ đã xây dựng một đường ống ngầm.</t>
  </si>
  <si>
    <t>battery</t>
  </si>
  <si>
    <t>My phone battery is dead.</t>
  </si>
  <si>
    <t>Pin điện thoại của tôi đã hết.</t>
  </si>
  <si>
    <t>trash</t>
  </si>
  <si>
    <t>Please take out the trash.</t>
  </si>
  <si>
    <t>Làm ơn mang rác đi đổ.</t>
  </si>
  <si>
    <t>slot</t>
  </si>
  <si>
    <t>khe</t>
  </si>
  <si>
    <t>Put the coin in slot.</t>
  </si>
  <si>
    <t>Hãy bỏ đồng xu vào khe.</t>
  </si>
  <si>
    <t>kiss</t>
  </si>
  <si>
    <t>hôn</t>
  </si>
  <si>
    <t>She kissed her child goodbye.</t>
  </si>
  <si>
    <t>Cô ấy hôn tạm biệt con mình.</t>
  </si>
  <si>
    <t>candy</t>
  </si>
  <si>
    <t>The boy loves candy.</t>
  </si>
  <si>
    <t>Cậu bé rất thích kẹo.</t>
  </si>
  <si>
    <t>steep</t>
  </si>
  <si>
    <t>The hill is very steep.</t>
  </si>
  <si>
    <t>Ngọn đồi rất dốc.</t>
  </si>
  <si>
    <t>slope</t>
  </si>
  <si>
    <t>The road has a slope.</t>
  </si>
  <si>
    <t>Con đường có một độ dốc.</t>
  </si>
  <si>
    <t>spectrum</t>
  </si>
  <si>
    <t>phổ</t>
  </si>
  <si>
    <t>The spectrum of light here.</t>
  </si>
  <si>
    <t>Phổ của ánh sáng ở đây.</t>
  </si>
  <si>
    <t>squad</t>
  </si>
  <si>
    <t>The squad is very strong.</t>
  </si>
  <si>
    <t>Đội rất mạnh.</t>
  </si>
  <si>
    <t>narrow</t>
  </si>
  <si>
    <t>The street is very narrow.</t>
  </si>
  <si>
    <t>Con đường rất hẹp.</t>
  </si>
  <si>
    <t>fabric</t>
  </si>
  <si>
    <t>This fabric is very soft.</t>
  </si>
  <si>
    <t>Loại vải này rất mềm.</t>
  </si>
  <si>
    <t>ministry</t>
  </si>
  <si>
    <t>She works at the ministry.</t>
  </si>
  <si>
    <t>Cô ấy làm việc tại bộ.</t>
  </si>
  <si>
    <t>custom</t>
  </si>
  <si>
    <t>A traditional local custom.</t>
  </si>
  <si>
    <t>Một phong tục địa phương truyền thống.</t>
  </si>
  <si>
    <t>dude</t>
  </si>
  <si>
    <t>anh bạn</t>
  </si>
  <si>
    <t>Hey dude, come here.</t>
  </si>
  <si>
    <t>Này anh bạn, lại đây.</t>
  </si>
  <si>
    <t>taxpayer</t>
  </si>
  <si>
    <t>người đóng thuế</t>
  </si>
  <si>
    <t>Taxpayers deserve better services.</t>
  </si>
  <si>
    <t>Người đóng thuế xứng đáng nhận dịch vụ tốt hơn.</t>
  </si>
  <si>
    <t>disappointed</t>
  </si>
  <si>
    <t>bị thất vọng</t>
  </si>
  <si>
    <t>Be disappointed with results.</t>
  </si>
  <si>
    <t>Hãy thất vọng với kết quả.</t>
  </si>
  <si>
    <t>edition</t>
  </si>
  <si>
    <t>The latest book edition.</t>
  </si>
  <si>
    <t>Phiên bản sách mới nhất.</t>
  </si>
  <si>
    <t>counter</t>
  </si>
  <si>
    <t>quầy</t>
  </si>
  <si>
    <t>Wait at the counter.</t>
  </si>
  <si>
    <t>Đợi tại quầy.</t>
  </si>
  <si>
    <t>golf</t>
  </si>
  <si>
    <t>gôn</t>
  </si>
  <si>
    <t>He plays golf every Sunday.</t>
  </si>
  <si>
    <t>Anh ấy chơi gôn vào mỗi chủ nhật.</t>
  </si>
  <si>
    <t>divorce</t>
  </si>
  <si>
    <t>sự ly hôn</t>
  </si>
  <si>
    <t>A painful marriage divorce.</t>
  </si>
  <si>
    <t>Một vụ ly hôn đau đớn.</t>
  </si>
  <si>
    <t>decline</t>
  </si>
  <si>
    <t>Decline the kind offer.</t>
  </si>
  <si>
    <t>Hãy từ chối lời đề nghị tử tế.</t>
  </si>
  <si>
    <t>cousin</t>
  </si>
  <si>
    <t>anh chị em họ</t>
  </si>
  <si>
    <t>Visit my older cousin.</t>
  </si>
  <si>
    <t>Thăm anh/chị họ của tôi.</t>
  </si>
  <si>
    <t>educated</t>
  </si>
  <si>
    <t>có học thức</t>
  </si>
  <si>
    <t>A well educated person.</t>
  </si>
  <si>
    <t>Một người có học thức tốt.</t>
  </si>
  <si>
    <t>decrease</t>
  </si>
  <si>
    <t>Decrease the total price.</t>
  </si>
  <si>
    <t>Hãy giảm tổng giá.</t>
  </si>
  <si>
    <t>tent</t>
  </si>
  <si>
    <t>We slept in a large tent.</t>
  </si>
  <si>
    <t>Chúng tôi đã ngủ trong một cái lều lớn.</t>
  </si>
  <si>
    <t>database</t>
  </si>
  <si>
    <t>cơ sở dữ liệu</t>
  </si>
  <si>
    <t>Update the company database.</t>
  </si>
  <si>
    <t>Hãy cập nhật cơ sở dữ liệu công ty.</t>
  </si>
  <si>
    <t>dish</t>
  </si>
  <si>
    <t>A delicious main dish.</t>
  </si>
  <si>
    <t>Một món ăn chính ngon.</t>
  </si>
  <si>
    <t>defeat</t>
  </si>
  <si>
    <t>Accept the bitter defeat.</t>
  </si>
  <si>
    <t>Hãy chấp nhận sự thất bại cay đắng.</t>
  </si>
  <si>
    <t>synthesis</t>
  </si>
  <si>
    <t>The synthesis of ideas is important.</t>
  </si>
  <si>
    <t>Việc tổng hợp các ý tưởng là rất quan trọng.</t>
  </si>
  <si>
    <t>terribly</t>
  </si>
  <si>
    <t>rất nhiều</t>
  </si>
  <si>
    <t>I am terribly sorry today.</t>
  </si>
  <si>
    <t>Tôi rất xin lỗi ngày hôm nay.</t>
  </si>
  <si>
    <t>toe</t>
  </si>
  <si>
    <t>ngón chân</t>
  </si>
  <si>
    <t>I hurt my big toe.</t>
  </si>
  <si>
    <t>Tôi đã làm đau ngón chân cái của mình.</t>
  </si>
  <si>
    <t>tissue</t>
  </si>
  <si>
    <t>I need some soft tissue.</t>
  </si>
  <si>
    <t>Tôi cần một ít khăn giấy mềm.</t>
  </si>
  <si>
    <t>efficiency</t>
  </si>
  <si>
    <t>Increase the work efficiency.</t>
  </si>
  <si>
    <t>Hãy tăng hiệu suất công việc.</t>
  </si>
  <si>
    <t>craft</t>
  </si>
  <si>
    <t>Learn a new craft.</t>
  </si>
  <si>
    <t>Hãy học một nghề thủ công mới.</t>
  </si>
  <si>
    <t>thesis</t>
  </si>
  <si>
    <t>She is writing her thesis.</t>
  </si>
  <si>
    <t>Cô ấy đang viết luận văn của mình.</t>
  </si>
  <si>
    <t>globe</t>
  </si>
  <si>
    <t>địa cầu</t>
  </si>
  <si>
    <t>She traveled around the globe.</t>
  </si>
  <si>
    <t>Cô ấy đã đi du lịch vòng quanh địa cầu.</t>
  </si>
  <si>
    <t>cycle</t>
  </si>
  <si>
    <t>A repeating daily cycle.</t>
  </si>
  <si>
    <t>Một chu kỳ hàng ngày lặp lại.</t>
  </si>
  <si>
    <t>disk</t>
  </si>
  <si>
    <t>Format the hard disk.</t>
  </si>
  <si>
    <t>Hãy định dạng đĩa cứng.</t>
  </si>
  <si>
    <t>disc</t>
  </si>
  <si>
    <t>Save to the disc.</t>
  </si>
  <si>
    <t>Hãy lưu vào đĩa.</t>
  </si>
  <si>
    <t>teenage</t>
  </si>
  <si>
    <t>They face teenage problems daily.</t>
  </si>
  <si>
    <t>Họ đối mặt với các vấn đề tuổi thiếu niên hàng ngày.</t>
  </si>
  <si>
    <t>demonstration</t>
  </si>
  <si>
    <t>sự chứng minh</t>
  </si>
  <si>
    <t>A clear product demonstration.</t>
  </si>
  <si>
    <t>Một sự chứng minh sản phẩm rõ ràng.</t>
  </si>
  <si>
    <t>courage</t>
  </si>
  <si>
    <t>lòng can đảm</t>
  </si>
  <si>
    <t>Have the courage to act.</t>
  </si>
  <si>
    <t>Hãy có lòng can đảm để hành động.</t>
  </si>
  <si>
    <t>diversity</t>
  </si>
  <si>
    <t>Encourage workplace diversity.</t>
  </si>
  <si>
    <t>Hãy khuyến khích sự đa dạng tại nơi làm việc.</t>
  </si>
  <si>
    <t>theft</t>
  </si>
  <si>
    <t>vụ trộm</t>
  </si>
  <si>
    <t>They reported the theft today.</t>
  </si>
  <si>
    <t>Họ đã báo cáo vụ trộm hôm nay.</t>
  </si>
  <si>
    <t>discipline</t>
  </si>
  <si>
    <t>Maintain strict office discipline.</t>
  </si>
  <si>
    <t>Hãy duy trì kỷ luật văn phòng nghiêm ngặt.</t>
  </si>
  <si>
    <t>curious</t>
  </si>
  <si>
    <t>tò mò</t>
  </si>
  <si>
    <t>A curious young student.</t>
  </si>
  <si>
    <t>Một sinh viên trẻ tò mò.</t>
  </si>
  <si>
    <t>dust</t>
  </si>
  <si>
    <t>Wipe off the dust.</t>
  </si>
  <si>
    <t>Hãy lau sạch bụi.</t>
  </si>
  <si>
    <t>nursing</t>
  </si>
  <si>
    <t>công việc điều dưỡng</t>
  </si>
  <si>
    <t>She studied nursing for years.</t>
  </si>
  <si>
    <t>Cô ấy đã học điều dưỡng nhiều năm.</t>
  </si>
  <si>
    <t>experimental</t>
  </si>
  <si>
    <t>mang tính thí nghiệm</t>
  </si>
  <si>
    <t>This is an experimental model.</t>
  </si>
  <si>
    <t>Đây là một mô hình mang tính thí nghiệm.</t>
  </si>
  <si>
    <t>remarkably</t>
  </si>
  <si>
    <t>một cách đáng chú ý</t>
  </si>
  <si>
    <t>He performed remarkably well today now.</t>
  </si>
  <si>
    <t>Hôm nay anh ấy đã thể hiện rất đáng chú ý.</t>
  </si>
  <si>
    <t>glimpse</t>
  </si>
  <si>
    <t>cái nhìn thoáng qua</t>
  </si>
  <si>
    <t>I caught a brief glimpse.</t>
  </si>
  <si>
    <t>Tôi đã có một cái nhìn thoáng qua.</t>
  </si>
  <si>
    <t>desperately</t>
  </si>
  <si>
    <t>một cách tuyệt vọng</t>
  </si>
  <si>
    <t>Need help desperately now.</t>
  </si>
  <si>
    <t>Hiện đang rất cần sự giúp đỡ.</t>
  </si>
  <si>
    <t>cognitive</t>
  </si>
  <si>
    <t>thuộc về nhận thức</t>
  </si>
  <si>
    <t>Cognitive skills are important.</t>
  </si>
  <si>
    <t>Các kỹ năng nhận thức rất quan trọng.</t>
  </si>
  <si>
    <t>grocery</t>
  </si>
  <si>
    <t>cửa hàng thực phẩm</t>
  </si>
  <si>
    <t>I bought food at grocery.</t>
  </si>
  <si>
    <t>Tôi đã mua thực phẩm tại cửa hàng.</t>
  </si>
  <si>
    <t>precisely</t>
  </si>
  <si>
    <t>một cách chính xác</t>
  </si>
  <si>
    <t>That is precisely what happened.</t>
  </si>
  <si>
    <t>entertaining</t>
  </si>
  <si>
    <t>mang tính giải trí</t>
  </si>
  <si>
    <t>The film was very entertaining.</t>
  </si>
  <si>
    <t>Bộ phim rất mang tính giải trí.</t>
  </si>
  <si>
    <t>respectively</t>
  </si>
  <si>
    <t>một cách tương ứng</t>
  </si>
  <si>
    <t>Tom and Ann won gold respectively.</t>
  </si>
  <si>
    <t>Tom và Ann đã thắng vàng một cách tương ứng.</t>
  </si>
  <si>
    <t>ideological</t>
  </si>
  <si>
    <t>thuộc về tư tưởng</t>
  </si>
  <si>
    <t>It is an ideological conflict.</t>
  </si>
  <si>
    <t>Đó là một cuộc xung đột tư tưởng.</t>
  </si>
  <si>
    <t>civic</t>
  </si>
  <si>
    <t>thuộc về công dân</t>
  </si>
  <si>
    <t>Perform your civic duty.</t>
  </si>
  <si>
    <t>Hãy thực hiện nghĩa vụ công dân.</t>
  </si>
  <si>
    <t>hierarchy</t>
  </si>
  <si>
    <t>hệ thống phân cấp</t>
  </si>
  <si>
    <t>The company has a hierarchy.</t>
  </si>
  <si>
    <t>Công ty đó có một hệ thống phân cấp.</t>
  </si>
  <si>
    <t>regulator</t>
  </si>
  <si>
    <t>cơ quan điều tiết</t>
  </si>
  <si>
    <t>The regulator inspected the bank today.</t>
  </si>
  <si>
    <t>Cơ quan điều tiết đã kiểm tra ngân hàng hôm nay.</t>
  </si>
  <si>
    <t>regulatory</t>
  </si>
  <si>
    <t>có tính điều tiết</t>
  </si>
  <si>
    <t>We need a new regulatory framework.</t>
  </si>
  <si>
    <t>Chúng ta cần một khung điều tiết mới.</t>
  </si>
  <si>
    <t>lab</t>
  </si>
  <si>
    <t>phòng thí nghiệm</t>
  </si>
  <si>
    <t>He works in the lab.</t>
  </si>
  <si>
    <t>Anh ấy làm việc trong phòng thí nghiệm.</t>
  </si>
  <si>
    <t>informal</t>
  </si>
  <si>
    <t>không chính thức</t>
  </si>
  <si>
    <t>It was an informal chat.</t>
  </si>
  <si>
    <t>Đó là một cuộc trò chuyện không chính thức.</t>
  </si>
  <si>
    <t>sailing</t>
  </si>
  <si>
    <t>việc chèo thuyền</t>
  </si>
  <si>
    <t>Sailing is a fun hobby now.</t>
  </si>
  <si>
    <t>Việc chèo thuyền là một sở thích vui vẻ.</t>
  </si>
  <si>
    <t>skiing</t>
  </si>
  <si>
    <t>việc trượt tuyết</t>
  </si>
  <si>
    <t>Skiing is a fun sport.</t>
  </si>
  <si>
    <t>Trượt tuyết là một môn thể thao vui.</t>
  </si>
  <si>
    <t>socialist</t>
  </si>
  <si>
    <t>xã hội chủ nghĩa</t>
  </si>
  <si>
    <t>They have a socialist view.</t>
  </si>
  <si>
    <t>Họ có một quan điểm xã hội chủ nghĩa.</t>
  </si>
  <si>
    <t>residential</t>
  </si>
  <si>
    <t>thuộc khu dân cư</t>
  </si>
  <si>
    <t>They live in a residential area.</t>
  </si>
  <si>
    <t>Họ sống trong một khu dân cư.</t>
  </si>
  <si>
    <t>capitalism</t>
  </si>
  <si>
    <t>chủ nghĩa tư bản</t>
  </si>
  <si>
    <t>They studied capitalism.</t>
  </si>
  <si>
    <t>Họ đã nghiên cứu chủ nghĩa tư bản.</t>
  </si>
  <si>
    <t>presidential</t>
  </si>
  <si>
    <t>thuộc tổng thống</t>
  </si>
  <si>
    <t>This is a presidential election.</t>
  </si>
  <si>
    <t>Đây là một cuộc bầu cử tổng thống.</t>
  </si>
  <si>
    <t>surgical</t>
  </si>
  <si>
    <t>thuộc phẫu thuật</t>
  </si>
  <si>
    <t>Use surgical tools very carefully.</t>
  </si>
  <si>
    <t>Hãy sử dụng các dụng cụ phẫu thuật rất cẩn thận.</t>
  </si>
  <si>
    <t>đồ uống pha chế</t>
  </si>
  <si>
    <t>Drink a fruit cocktail.</t>
  </si>
  <si>
    <t>Hãy uống một ly cocktail trái cây.</t>
  </si>
  <si>
    <t>habitat</t>
  </si>
  <si>
    <t>môi trường sống</t>
  </si>
  <si>
    <t>Forest is their natural habitat.</t>
  </si>
  <si>
    <t>Rừng là môi trường sống tự nhiên của chúng.</t>
  </si>
  <si>
    <t>protester</t>
  </si>
  <si>
    <t>người biểu tình</t>
  </si>
  <si>
    <t>The protesters marched through city streets.</t>
  </si>
  <si>
    <t>Những người biểu tình đã diễu hành qua các con phố.</t>
  </si>
  <si>
    <t>spokesperson</t>
  </si>
  <si>
    <t>người phát ngôn</t>
  </si>
  <si>
    <t>The spokesperson is very clear.</t>
  </si>
  <si>
    <t>Người phát ngôn rất rõ ràng.</t>
  </si>
  <si>
    <t>horizon</t>
  </si>
  <si>
    <t>The sun is on horizon.</t>
  </si>
  <si>
    <t>Mặt trời đang ở trên đường chân trời.</t>
  </si>
  <si>
    <t>racial</t>
  </si>
  <si>
    <t>thuộc chủng tộc</t>
  </si>
  <si>
    <t>They fought against all racial discrimination.</t>
  </si>
  <si>
    <t>Họ đã chiến đấu chống lại mọi sự phân biệt chủng tộc.</t>
  </si>
  <si>
    <t>rural</t>
  </si>
  <si>
    <t>thuộc nông thôn</t>
  </si>
  <si>
    <t>They live in a rural area.</t>
  </si>
  <si>
    <t>Họ sống ở một vùng nông thôn.</t>
  </si>
  <si>
    <t>citizenship</t>
  </si>
  <si>
    <t>quyền công dân</t>
  </si>
  <si>
    <t>Apply for the citizenship.</t>
  </si>
  <si>
    <t>Hãy nộp đơn xin quyền công dân.</t>
  </si>
  <si>
    <t>gaming</t>
  </si>
  <si>
    <t>việc chơi game</t>
  </si>
  <si>
    <t>He likes online gaming now.</t>
  </si>
  <si>
    <t>Anh ấy thích chơi game trực tuyến.</t>
  </si>
  <si>
    <t>constituency</t>
  </si>
  <si>
    <t>khu vực bầu cử</t>
  </si>
  <si>
    <t>He represents the constituency.</t>
  </si>
  <si>
    <t>Anh ấy đại diện khu vực bầu cử.</t>
  </si>
  <si>
    <t>manufacturing</t>
  </si>
  <si>
    <t>ngành sản xuất</t>
  </si>
  <si>
    <t>Manufacturing is a key industry.</t>
  </si>
  <si>
    <t>Sản xuất là một ngành công nghiệp then chốt.</t>
  </si>
  <si>
    <t>full-time</t>
  </si>
  <si>
    <t>toàn thời gian</t>
  </si>
  <si>
    <t>She has a full-time job.</t>
  </si>
  <si>
    <t>Cô ấy có một công việc toàn thời gian.</t>
  </si>
  <si>
    <t>instrumental</t>
  </si>
  <si>
    <t>có tính hỗ trợ</t>
  </si>
  <si>
    <t>She was instrumental in this.</t>
  </si>
  <si>
    <t>Cô ấy đã đóng vai trò hỗ trợ trong việc này.</t>
  </si>
  <si>
    <t>psychologist</t>
  </si>
  <si>
    <t>nhà tâm lý học</t>
  </si>
  <si>
    <t>The psychologist listened to him.</t>
  </si>
  <si>
    <t>Nhà tâm lý học đã lắng nghe anh ấy.</t>
  </si>
  <si>
    <t>veteran</t>
  </si>
  <si>
    <t>cựu chiến binh</t>
  </si>
  <si>
    <t>The veteran told his story.</t>
  </si>
  <si>
    <t>Cựu chiến binh đã kể câu chuyện của ông.</t>
  </si>
  <si>
    <t>emotionally</t>
  </si>
  <si>
    <t>về mặt cảm xúc</t>
  </si>
  <si>
    <t>They are emotionally very close.</t>
  </si>
  <si>
    <t>Họ rất gần gũi về mặt cảm xúc.</t>
  </si>
  <si>
    <t>intake</t>
  </si>
  <si>
    <t>lượng tiêu thụ</t>
  </si>
  <si>
    <t>Watch your daily food intake.</t>
  </si>
  <si>
    <t>Hãy theo dõi lượng tiêu thụ thực phẩm hàng ngày của bạn.</t>
  </si>
  <si>
    <t>protective</t>
  </si>
  <si>
    <t>có tính bảo vệ</t>
  </si>
  <si>
    <t>Wear your protective gear now.</t>
  </si>
  <si>
    <t>Hãy đeo thiết bị bảo vệ của bạn ngay.</t>
  </si>
  <si>
    <t>chronic</t>
  </si>
  <si>
    <t>mãn tính</t>
  </si>
  <si>
    <t>He has chronic pain.</t>
  </si>
  <si>
    <t>Anh ấy bị đau mãn tính.</t>
  </si>
  <si>
    <t>honesty</t>
  </si>
  <si>
    <t>sự trung thực</t>
  </si>
  <si>
    <t>Honesty is the best policy.</t>
  </si>
  <si>
    <t>Sự trung thực là chính sách tốt nhất.</t>
  </si>
  <si>
    <t>ironically</t>
  </si>
  <si>
    <t>trớ trêu thay</t>
  </si>
  <si>
    <t>Ironically, he arrived late today.</t>
  </si>
  <si>
    <t>Trớ trêu thay, anh ấy đã đến muộn hôm nay.</t>
  </si>
  <si>
    <t>ethnic</t>
  </si>
  <si>
    <t>thuộc dân tộc</t>
  </si>
  <si>
    <t>She studies ethnic groups here.</t>
  </si>
  <si>
    <t>Cô ấy nghiên cứu các nhóm dân tộc ở đây.</t>
  </si>
  <si>
    <t>publishing</t>
  </si>
  <si>
    <t>việc xuất bản</t>
  </si>
  <si>
    <t>She works in publishing now.</t>
  </si>
  <si>
    <t>Cô ấy hiện làm việc trong ngành xuất bản.</t>
  </si>
  <si>
    <t>inappropriate</t>
  </si>
  <si>
    <t>không phù hợp</t>
  </si>
  <si>
    <t>That joke is totally inappropriate.</t>
  </si>
  <si>
    <t>Trò đùa đó hoàn toàn không phù hợp.</t>
  </si>
  <si>
    <t>rental</t>
  </si>
  <si>
    <t>việc cho thuê</t>
  </si>
  <si>
    <t>The car rental is cheap today.</t>
  </si>
  <si>
    <t>Giá thuê xe hôm nay rất rẻ.</t>
  </si>
  <si>
    <t>jury</t>
  </si>
  <si>
    <t>bồi thẩm đoàn</t>
  </si>
  <si>
    <t>The jury reached a verdict.</t>
  </si>
  <si>
    <t>Bồi thẩm đoàn đã đưa ra phán quyết.</t>
  </si>
  <si>
    <t>policeman</t>
  </si>
  <si>
    <t>cảnh sát viên</t>
  </si>
  <si>
    <t>The policeman helped the lady.</t>
  </si>
  <si>
    <t>Viên cảnh sát đã giúp người phụ nữ.</t>
  </si>
  <si>
    <t>suburban</t>
  </si>
  <si>
    <t>thuộc ngoại ô</t>
  </si>
  <si>
    <t>The suburban area is quiet.</t>
  </si>
  <si>
    <t>Khu vực ngoại ô rất yên tĩnh.</t>
  </si>
  <si>
    <t>transmission</t>
  </si>
  <si>
    <t>sự truyền tải</t>
  </si>
  <si>
    <t>The transmission was very clear.</t>
  </si>
  <si>
    <t>Sự truyền tải rất rõ ràng.</t>
  </si>
  <si>
    <t>rally</t>
  </si>
  <si>
    <t>cuộc mít tinh</t>
  </si>
  <si>
    <t>They attended a political rally today.</t>
  </si>
  <si>
    <t>Họ đã tham dự một cuộc mít tinh chính trị hôm nay.</t>
  </si>
  <si>
    <t>solidarity</t>
  </si>
  <si>
    <t>We need more solidarity now.</t>
  </si>
  <si>
    <t>Chúng ta cần nhiều tình đoàn kết hơn.</t>
  </si>
  <si>
    <t>critic</t>
  </si>
  <si>
    <t>nhà phê bình</t>
  </si>
  <si>
    <t>A famous film critic.</t>
  </si>
  <si>
    <t>Một nhà phê bình phim nổi tiếng.</t>
  </si>
  <si>
    <t>bulk</t>
  </si>
  <si>
    <t>số lượng lớn</t>
  </si>
  <si>
    <t>Buy goods in bulk.</t>
  </si>
  <si>
    <t>Hãy mua hàng với số lượng lớn.</t>
  </si>
  <si>
    <t>fortunately</t>
  </si>
  <si>
    <t>may mắn thay</t>
  </si>
  <si>
    <t>Fortunately, the rain stopped now.</t>
  </si>
  <si>
    <t>May mắn thay, cơn mưa đã tạnh.</t>
  </si>
  <si>
    <t>manufacturer</t>
  </si>
  <si>
    <t>He is a big manufacturer.</t>
  </si>
  <si>
    <t>Ông ấy là một nhà sản xuất lớn.</t>
  </si>
  <si>
    <t>frequent</t>
  </si>
  <si>
    <t>He is a frequent visitor.</t>
  </si>
  <si>
    <t>Anh ấy là một vị khách thường xuyên.</t>
  </si>
  <si>
    <t>ambitious</t>
  </si>
  <si>
    <t>có tham vọng</t>
  </si>
  <si>
    <t>He is an ambitious student.</t>
  </si>
  <si>
    <t>Anh ấy là một học sinh có tham vọng.</t>
  </si>
  <si>
    <t>adviser</t>
  </si>
  <si>
    <t>người cố vấn</t>
  </si>
  <si>
    <t>He is my financial adviser.</t>
  </si>
  <si>
    <t>Anh ấy là người cố vấn tài chính của tôi.</t>
  </si>
  <si>
    <t>possession</t>
  </si>
  <si>
    <t>He lost all his possessions.</t>
  </si>
  <si>
    <t>Anh ấy đã mất hết các tài sản của mình.</t>
  </si>
  <si>
    <t>inability</t>
  </si>
  <si>
    <t>sự không thể</t>
  </si>
  <si>
    <t>His inability caused the failure.</t>
  </si>
  <si>
    <t>Sự không thể của anh ấy đã gây ra thất bại.</t>
  </si>
  <si>
    <t>fitness</t>
  </si>
  <si>
    <t>I care about my fitness.</t>
  </si>
  <si>
    <t>Tôi quan tâm đến sự khỏe mạnh của mình.</t>
  </si>
  <si>
    <t>realization</t>
  </si>
  <si>
    <t>It was a sudden realization today.</t>
  </si>
  <si>
    <t>Đó là một sự nhận thức bất ngờ hôm nay.</t>
  </si>
  <si>
    <t>workplace</t>
  </si>
  <si>
    <t>Keep your workplace very clean.</t>
  </si>
  <si>
    <t>Hãy giữ nơi làm việc của bạn thật sạch sẽ.</t>
  </si>
  <si>
    <t>patience</t>
  </si>
  <si>
    <t>sự kiên nhẫn</t>
  </si>
  <si>
    <t>Please have some patience now.</t>
  </si>
  <si>
    <t>Vui lòng có chút kiên nhẫn ngay bây giờ.</t>
  </si>
  <si>
    <t>grief</t>
  </si>
  <si>
    <t>nỗi đau buồn</t>
  </si>
  <si>
    <t>She felt deep personal grief.</t>
  </si>
  <si>
    <t>Cô ấy cảm thấy nỗi đau buồn cá nhân sâu sắc.</t>
  </si>
  <si>
    <t>actress</t>
  </si>
  <si>
    <t>She is a talented actress.</t>
  </si>
  <si>
    <t>Cô ấy là một nữ diễn viên tài năng.</t>
  </si>
  <si>
    <t>compassion</t>
  </si>
  <si>
    <t>Show some compassion today.</t>
  </si>
  <si>
    <t>Hãy thể hiện lòng trắc ẩn đi.</t>
  </si>
  <si>
    <t>equation</t>
  </si>
  <si>
    <t>Solve this simple math equation.</t>
  </si>
  <si>
    <t>Hãy giải phương trình toán học đơn giản này.</t>
  </si>
  <si>
    <t>accuracy</t>
  </si>
  <si>
    <t>độ chính xác</t>
  </si>
  <si>
    <t>The accuracy is very high.</t>
  </si>
  <si>
    <t>Độ chính xác rất cao.</t>
  </si>
  <si>
    <t>alarm</t>
  </si>
  <si>
    <t>còi báo động</t>
  </si>
  <si>
    <t>The alarm rang very loudly.</t>
  </si>
  <si>
    <t>Còi báo động đã reo rất to.</t>
  </si>
  <si>
    <t>recession</t>
  </si>
  <si>
    <t>sự suy thoái</t>
  </si>
  <si>
    <t>The economy is in deep recession.</t>
  </si>
  <si>
    <t>Nền kinh tế đang trong sự suy thoái sâu.</t>
  </si>
  <si>
    <t>publicity</t>
  </si>
  <si>
    <t>sự công khai</t>
  </si>
  <si>
    <t>The event received much publicity.</t>
  </si>
  <si>
    <t>Sự kiện này đã nhận được nhiều sự chú ý.</t>
  </si>
  <si>
    <t>contention</t>
  </si>
  <si>
    <t>sự tranh cãi</t>
  </si>
  <si>
    <t>The point of contention.</t>
  </si>
  <si>
    <t>Điểm gây tranh cãi.</t>
  </si>
  <si>
    <t>ongoing</t>
  </si>
  <si>
    <t>đang diễn ra</t>
  </si>
  <si>
    <t>The project is still ongoing.</t>
  </si>
  <si>
    <t>Dự án vẫn đang diễn ra.</t>
  </si>
  <si>
    <t>prosecutor</t>
  </si>
  <si>
    <t>công tố viên</t>
  </si>
  <si>
    <t>The prosecutor spoke to the jury.</t>
  </si>
  <si>
    <t>Công tố viên đã nói chuyện với bồi thẩm đoàn.</t>
  </si>
  <si>
    <t>refugee</t>
  </si>
  <si>
    <t>người tị nạn</t>
  </si>
  <si>
    <t>The refugee needs our help today.</t>
  </si>
  <si>
    <t>Người tị nạn cần sự giúp đỡ của chúng ta hôm nay.</t>
  </si>
  <si>
    <t>repeated</t>
  </si>
  <si>
    <t>được lặp lại</t>
  </si>
  <si>
    <t>The repeated noise was very annoying.</t>
  </si>
  <si>
    <t>Tiếng ồn lặp đi lặp lại rất khó chịu.</t>
  </si>
  <si>
    <t>encouraging</t>
  </si>
  <si>
    <t>đầy khích lệ</t>
  </si>
  <si>
    <t>The results are quite encouraging.</t>
  </si>
  <si>
    <t>Kết quả khá là đầy khích lệ.</t>
  </si>
  <si>
    <t>stadium</t>
  </si>
  <si>
    <t>The stadium is very big.</t>
  </si>
  <si>
    <t>Sân vận động rất lớn.</t>
  </si>
  <si>
    <t>inadequate</t>
  </si>
  <si>
    <t>không đầy đủ</t>
  </si>
  <si>
    <t>The supplies are completely inadequate.</t>
  </si>
  <si>
    <t>Các nguồn cung hoàn toàn không đầy đủ.</t>
  </si>
  <si>
    <t>liberal</t>
  </si>
  <si>
    <t>phóng khoáng</t>
  </si>
  <si>
    <t>They have liberal ideas today.</t>
  </si>
  <si>
    <t>Họ có những ý tưởng phóng khoáng.</t>
  </si>
  <si>
    <t>breakthrough</t>
  </si>
  <si>
    <t>bước đột phá</t>
  </si>
  <si>
    <t>They made a scientific breakthrough.</t>
  </si>
  <si>
    <t>Họ đã đạt được bước đột phá khoa học.</t>
  </si>
  <si>
    <t>hockey</t>
  </si>
  <si>
    <t>khúc côn cầu</t>
  </si>
  <si>
    <t>They play hockey in winter.</t>
  </si>
  <si>
    <t>Họ chơi khúc côn cầu vào mùa đông.</t>
  </si>
  <si>
    <t>psychological</t>
  </si>
  <si>
    <t>thuộc tâm lý</t>
  </si>
  <si>
    <t>This caused severe psychological stress.</t>
  </si>
  <si>
    <t>Việc này gây ra căng thẳng tâm lý nghiêm trọng.</t>
  </si>
  <si>
    <t>relevance</t>
  </si>
  <si>
    <t>This has no relevance here now.</t>
  </si>
  <si>
    <t>Việc này không có sự liên quan ở đây.</t>
  </si>
  <si>
    <t>emission</t>
  </si>
  <si>
    <t>sự phát thải</t>
  </si>
  <si>
    <t>We must reduce carbon emission.</t>
  </si>
  <si>
    <t>Chúng ta phải giảm lượng phát thải carbon.</t>
  </si>
  <si>
    <t>breakdown</t>
  </si>
  <si>
    <t>sự hỏng hóc</t>
  </si>
  <si>
    <t>Car breakdown caused delays.</t>
  </si>
  <si>
    <t>Sự hỏng hóc xe đã gây chậm trễ.</t>
  </si>
  <si>
    <t>cherry</t>
  </si>
  <si>
    <t>quả anh đào</t>
  </si>
  <si>
    <t>Eat a sweet cherry.</t>
  </si>
  <si>
    <t>Hãy ăn quả anh đào ngọt.</t>
  </si>
  <si>
    <t>hopeful</t>
  </si>
  <si>
    <t>đầy hy vọng</t>
  </si>
  <si>
    <t>He felt hopeful about future.</t>
  </si>
  <si>
    <t>Anh ấy cảm thấy đầy hy vọng về tương lai.</t>
  </si>
  <si>
    <t>promising</t>
  </si>
  <si>
    <t>đầy hứa hẹn</t>
  </si>
  <si>
    <t>He has a promising future career.</t>
  </si>
  <si>
    <t>Anh ấy có một sự nghiệp tương lai đầy hứa hẹn.</t>
  </si>
  <si>
    <t>supposedly</t>
  </si>
  <si>
    <t>được cho là</t>
  </si>
  <si>
    <t>He is supposedly very rich.</t>
  </si>
  <si>
    <t>Anh ấy được cho là rất giàu.</t>
  </si>
  <si>
    <t>supervision</t>
  </si>
  <si>
    <t>He is under my supervision.</t>
  </si>
  <si>
    <t>Anh ấy đang dưới sự giám sát của tôi.</t>
  </si>
  <si>
    <t>behalf</t>
  </si>
  <si>
    <t>He spoke on my behalf.</t>
  </si>
  <si>
    <t>Anh ấy đã nói thay mặt cho tôi.</t>
  </si>
  <si>
    <t>agriculture</t>
  </si>
  <si>
    <t>He studies modern agriculture now.</t>
  </si>
  <si>
    <t>Anh ấy học về nông nghiệp hiện đại.</t>
  </si>
  <si>
    <t>pride</t>
  </si>
  <si>
    <t>He takes pride in work.</t>
  </si>
  <si>
    <t>Anh ấy lấy làm tự hào về công việc của mình.</t>
  </si>
  <si>
    <t>sandwich</t>
  </si>
  <si>
    <t>bánh mì kẹp</t>
  </si>
  <si>
    <t>I ate a ham sandwich today.</t>
  </si>
  <si>
    <t>Tôi đã ăn một chiếc bánh mì kẹp giăm bông hôm nay.</t>
  </si>
  <si>
    <t>so-called</t>
  </si>
  <si>
    <t>được gọi là</t>
  </si>
  <si>
    <t>It is a so-called expert.</t>
  </si>
  <si>
    <t>Đó là người được gọi là chuyên gia.</t>
  </si>
  <si>
    <t>probable</t>
  </si>
  <si>
    <t>It is probable that he will come.</t>
  </si>
  <si>
    <t>Có khả năng anh ấy sẽ đến.</t>
  </si>
  <si>
    <t>surveillance</t>
  </si>
  <si>
    <t>Keep under constant surveillance now.</t>
  </si>
  <si>
    <t>Hãy giữ dưới sự giám sát liên tục.</t>
  </si>
  <si>
    <t>retired</t>
  </si>
  <si>
    <t>đã nghỉ hưu</t>
  </si>
  <si>
    <t>My retired uncle likes fishing now.</t>
  </si>
  <si>
    <t>Chú đã nghỉ hưu của tôi thích câu cá.</t>
  </si>
  <si>
    <t>soar</t>
  </si>
  <si>
    <t>bay vút lên</t>
  </si>
  <si>
    <t>The birds soar in sky.</t>
  </si>
  <si>
    <t>Những chú chim bay vút lên bầu trời.</t>
  </si>
  <si>
    <t>feeding</t>
  </si>
  <si>
    <t>việc cho ăn</t>
  </si>
  <si>
    <t>The feeding time is over.</t>
  </si>
  <si>
    <t>Thời gian cho ăn đã kết thúc.</t>
  </si>
  <si>
    <t>processor</t>
  </si>
  <si>
    <t>bộ vi xử lý</t>
  </si>
  <si>
    <t>The processor is very fast.</t>
  </si>
  <si>
    <t>Bộ vi xử lý này rất nhanh.</t>
  </si>
  <si>
    <t>popularity</t>
  </si>
  <si>
    <t>sự phổ biến</t>
  </si>
  <si>
    <t>The show gained great popularity.</t>
  </si>
  <si>
    <t>Chương trình đã đạt được sự phổ biến lớn.</t>
  </si>
  <si>
    <t>substitution</t>
  </si>
  <si>
    <t>The substitution was very quick.</t>
  </si>
  <si>
    <t>Sự thay thế đã rất nhanh chóng.</t>
  </si>
  <si>
    <t>suspension</t>
  </si>
  <si>
    <t>sự đình chỉ</t>
  </si>
  <si>
    <t>The suspension is for week.</t>
  </si>
  <si>
    <t>Sự đình chỉ kéo dài một tuần.</t>
  </si>
  <si>
    <t>casualty</t>
  </si>
  <si>
    <t>thương vong</t>
  </si>
  <si>
    <t>The war had casualties.</t>
  </si>
  <si>
    <t>Cuộc chiến gây ra nhiều thương vong.</t>
  </si>
  <si>
    <t>sixteen</t>
  </si>
  <si>
    <t>số mười sáu</t>
  </si>
  <si>
    <t>They are sixteen years old.</t>
  </si>
  <si>
    <t>Họ mười sáu tuổi.</t>
  </si>
  <si>
    <t>romance</t>
  </si>
  <si>
    <t>sự lãng mạn</t>
  </si>
  <si>
    <t>They enjoyed a bit of romance.</t>
  </si>
  <si>
    <t>Họ đã tận hưởng một chút sự lãng mạn.</t>
  </si>
  <si>
    <t>cemetery</t>
  </si>
  <si>
    <t>nghĩa trang</t>
  </si>
  <si>
    <t>They visit the cemetery.</t>
  </si>
  <si>
    <t>Họ ghé thăm nghĩa trang.</t>
  </si>
  <si>
    <t>sail</t>
  </si>
  <si>
    <t>chèo thuyền</t>
  </si>
  <si>
    <t>They will sail the boat tomorrow.</t>
  </si>
  <si>
    <t>Họ sẽ chèo thuyền vào ngày mai.</t>
  </si>
  <si>
    <t>injustice</t>
  </si>
  <si>
    <t>sự bất công</t>
  </si>
  <si>
    <t>We fight against all injustice.</t>
  </si>
  <si>
    <t>Chúng ta chiến đấu chống lại mọi sự bất công.</t>
  </si>
  <si>
    <t>sincere</t>
  </si>
  <si>
    <t>Accept my sincere apology now.</t>
  </si>
  <si>
    <t>attendance</t>
  </si>
  <si>
    <t>sự tham dự</t>
  </si>
  <si>
    <t>Attendance is mandatory for everyone.</t>
  </si>
  <si>
    <t>Sự tham dự là bắt buộc đối với mọi người.</t>
  </si>
  <si>
    <t>excess</t>
  </si>
  <si>
    <t>sự dư thừa</t>
  </si>
  <si>
    <t>Avoid any excess of sugar.</t>
  </si>
  <si>
    <t>Hãy tránh bất kỳ sự dư thừa đường nào.</t>
  </si>
  <si>
    <t>conquer</t>
  </si>
  <si>
    <t>Conquer your own fears.</t>
  </si>
  <si>
    <t>Hãy chinh phục nỗi sợ của chính mình.</t>
  </si>
  <si>
    <t>scare</t>
  </si>
  <si>
    <t>làm sợ hãi</t>
  </si>
  <si>
    <t>Do not scare the small children.</t>
  </si>
  <si>
    <t>Đừng làm sợ hãi những đứa trẻ nhỏ.</t>
  </si>
  <si>
    <t>frankly</t>
  </si>
  <si>
    <t>thẳng thắn</t>
  </si>
  <si>
    <t>Frankly, I do not know.</t>
  </si>
  <si>
    <t>Thẳng thắn mà nói, tôi không biết.</t>
  </si>
  <si>
    <t>refusal</t>
  </si>
  <si>
    <t>sự từ chối</t>
  </si>
  <si>
    <t>He faced a flat refusal today.</t>
  </si>
  <si>
    <t>Anh ấy đã đối mặt với một sự từ chối thẳng thừng hôm nay.</t>
  </si>
  <si>
    <t>entrepreneur</t>
  </si>
  <si>
    <t>He is a successful entrepreneur.</t>
  </si>
  <si>
    <t>Anh ấy là một doanh nhân thành đạt.</t>
  </si>
  <si>
    <t>runner</t>
  </si>
  <si>
    <t>người chạy</t>
  </si>
  <si>
    <t>He is a very fast runner.</t>
  </si>
  <si>
    <t>Anh ấy là một người chạy rất nhanh.</t>
  </si>
  <si>
    <t>capitalist</t>
  </si>
  <si>
    <t>nhà tư bản</t>
  </si>
  <si>
    <t>He is a wealthy capitalist.</t>
  </si>
  <si>
    <t>Ông ấy là một nhà tư bản giàu có.</t>
  </si>
  <si>
    <t>random</t>
  </si>
  <si>
    <t>ngẫu nhiên</t>
  </si>
  <si>
    <t>He made a random lucky choice.</t>
  </si>
  <si>
    <t>Anh ấy đã đưa ra một lựa chọn may mắn ngẫu nhiên.</t>
  </si>
  <si>
    <t>overseas</t>
  </si>
  <si>
    <t>He travels overseas every year.</t>
  </si>
  <si>
    <t>Anh ấy đi nước ngoài hàng năm.</t>
  </si>
  <si>
    <t>reservation</t>
  </si>
  <si>
    <t>sự đặt chỗ</t>
  </si>
  <si>
    <t>I have a dinner reservation today.</t>
  </si>
  <si>
    <t>Tôi có một lịch đặt chỗ ăn tối hôm nay.</t>
  </si>
  <si>
    <t>laughter</t>
  </si>
  <si>
    <t>I hear laughter in class.</t>
  </si>
  <si>
    <t>Tôi nghe tiếng cười trong lớp học.</t>
  </si>
  <si>
    <t>salad</t>
  </si>
  <si>
    <t>món sa-lát</t>
  </si>
  <si>
    <t>I made a fresh vegetable salad.</t>
  </si>
  <si>
    <t>Tôi đã làm một món sa-lát rau tươi.</t>
  </si>
  <si>
    <t>violation</t>
  </si>
  <si>
    <t>sự vi phạm</t>
  </si>
  <si>
    <t>It is a clear violation.</t>
  </si>
  <si>
    <t>Đó là một sự vi phạm rõ ràng.</t>
  </si>
  <si>
    <t>necessarily</t>
  </si>
  <si>
    <t>nhất thiết</t>
  </si>
  <si>
    <t>It is not necessarily true.</t>
  </si>
  <si>
    <t>Nó không nhất thiết phải đúng.</t>
  </si>
  <si>
    <t>breach</t>
  </si>
  <si>
    <t>It was a security breach.</t>
  </si>
  <si>
    <t>Đó là một sự vi phạm an ninh.</t>
  </si>
  <si>
    <t>limitation</t>
  </si>
  <si>
    <t>Know your own daily limitation.</t>
  </si>
  <si>
    <t>Hãy biết giới hạn hàng ngày của bản thân.</t>
  </si>
  <si>
    <t>seal</t>
  </si>
  <si>
    <t>niêm phong</t>
  </si>
  <si>
    <t>Please seal the envelope shut now.</t>
  </si>
  <si>
    <t>Làm ơn niêm phong phong bì lại.</t>
  </si>
  <si>
    <t>pollution</t>
  </si>
  <si>
    <t>sự ô nhiễm</t>
  </si>
  <si>
    <t>Pollution is a big problem.</t>
  </si>
  <si>
    <t>Sự ô nhiễm là một vấn đề lớn.</t>
  </si>
  <si>
    <t>frustration</t>
  </si>
  <si>
    <t>sự bực bội</t>
  </si>
  <si>
    <t>She expressed her deep frustration.</t>
  </si>
  <si>
    <t>Cô ấy bày tỏ sự bực bội sâu sắc của mình.</t>
  </si>
  <si>
    <t>slim</t>
  </si>
  <si>
    <t>mảnh khảnh</t>
  </si>
  <si>
    <t>She has a slim build.</t>
  </si>
  <si>
    <t>Cô ấy có dáng người mảnh khảnh.</t>
  </si>
  <si>
    <t>exceptional</t>
  </si>
  <si>
    <t>She has an exceptional talent.</t>
  </si>
  <si>
    <t>Cô ấy có một tài năng phi thường.</t>
  </si>
  <si>
    <t>passing</t>
  </si>
  <si>
    <t>thoáng qua</t>
  </si>
  <si>
    <t>She made a passing comment.</t>
  </si>
  <si>
    <t>Cô ấy đã đưa ra một bình luận thoáng qua.</t>
  </si>
  <si>
    <t>exploration</t>
  </si>
  <si>
    <t>sự thăm dò</t>
  </si>
  <si>
    <t>Space exploration is very important.</t>
  </si>
  <si>
    <t>Sự thăm dò vũ trụ rất quan trọng.</t>
  </si>
  <si>
    <t>clarity</t>
  </si>
  <si>
    <t>sự rõ ràng</t>
  </si>
  <si>
    <t>Speak with more clarity.</t>
  </si>
  <si>
    <t>Hãy nói với sự rõ ràng hơn.</t>
  </si>
  <si>
    <t>assembly</t>
  </si>
  <si>
    <t>sự lắp ráp</t>
  </si>
  <si>
    <t>The assembly takes two hours.</t>
  </si>
  <si>
    <t>Sự lắp ráp mất hai giờ.</t>
  </si>
  <si>
    <t>bell</t>
  </si>
  <si>
    <t>cái chuông</t>
  </si>
  <si>
    <t>The bell rang at noon.</t>
  </si>
  <si>
    <t>Cái chuông đã reo vào buổi trưa.</t>
  </si>
  <si>
    <t>ruling</t>
  </si>
  <si>
    <t>phán quyết</t>
  </si>
  <si>
    <t>The court gave a fair ruling.</t>
  </si>
  <si>
    <t>Tòa án đã đưa ra một phán quyết công bằng.</t>
  </si>
  <si>
    <t>screening</t>
  </si>
  <si>
    <t>việc chiếu</t>
  </si>
  <si>
    <t>The film screening starts at seven.</t>
  </si>
  <si>
    <t>Việc chiếu phim bắt đầu lúc bảy giờ.</t>
  </si>
  <si>
    <t>landscape</t>
  </si>
  <si>
    <t>The landscape is very beautiful.</t>
  </si>
  <si>
    <t>Phong cảnh rất đẹp.</t>
  </si>
  <si>
    <t>stun</t>
  </si>
  <si>
    <t>làm choáng</t>
  </si>
  <si>
    <t>The loud noise can stun.</t>
  </si>
  <si>
    <t>Âm thanh lớn có thể làm choáng.</t>
  </si>
  <si>
    <t>mayor</t>
  </si>
  <si>
    <t>thị trưởng</t>
  </si>
  <si>
    <t>The mayor spoke in public.</t>
  </si>
  <si>
    <t>Thị trưởng đã phát biểu trước công chúng.</t>
  </si>
  <si>
    <t>prosecution</t>
  </si>
  <si>
    <t>sự truy tố</t>
  </si>
  <si>
    <t>The prosecution presented strong evidence.</t>
  </si>
  <si>
    <t>Bên truy tố đã đưa ra bằng chứng mạnh mẽ.</t>
  </si>
  <si>
    <t>rejection</t>
  </si>
  <si>
    <t>The rejection hurt his feelings today.</t>
  </si>
  <si>
    <t>Sự từ chối đã làm tổn thương cảm xúc của anh ấy.</t>
  </si>
  <si>
    <t>removal</t>
  </si>
  <si>
    <t>sự loại bỏ</t>
  </si>
  <si>
    <t>The removal is necessary today now.</t>
  </si>
  <si>
    <t>Sự loại bỏ là cần thiết.</t>
  </si>
  <si>
    <t>revision</t>
  </si>
  <si>
    <t>sự sửa đổi</t>
  </si>
  <si>
    <t>The revision process is necessary now.</t>
  </si>
  <si>
    <t>Quá trình sửa đổi là cần thiết bây giờ.</t>
  </si>
  <si>
    <t>projection</t>
  </si>
  <si>
    <t>sự dự đoán</t>
  </si>
  <si>
    <t>The sales projection is positive.</t>
  </si>
  <si>
    <t>Dự đoán doanh số bán hàng rất tích cực.</t>
  </si>
  <si>
    <t>harmony</t>
  </si>
  <si>
    <t>They live in perfect harmony.</t>
  </si>
  <si>
    <t>Họ sống trong sự hòa hợp hoàn hảo.</t>
  </si>
  <si>
    <t>fulfil</t>
  </si>
  <si>
    <t>They will fulfil the goal.</t>
  </si>
  <si>
    <t>Họ sẽ hoàn thành mục tiêu.</t>
  </si>
  <si>
    <t>sponsorship</t>
  </si>
  <si>
    <t>sự tài trợ</t>
  </si>
  <si>
    <t>We need a new sponsorship.</t>
  </si>
  <si>
    <t>Chúng tôi cần một sự tài trợ mới.</t>
  </si>
  <si>
    <t>accomplish</t>
  </si>
  <si>
    <t>We will accomplish our goals.</t>
  </si>
  <si>
    <t>Chúng tôi sẽ hoàn thành các mục tiêu của mình.</t>
  </si>
  <si>
    <t>mask</t>
  </si>
  <si>
    <t>Wear a mask for safety.</t>
  </si>
  <si>
    <t>Hãy đeo khẩu trang để đảm bảo an toàn.</t>
  </si>
  <si>
    <t>circulate</t>
  </si>
  <si>
    <t>Blood circulates the body.</t>
  </si>
  <si>
    <t>Máu lưu thông khắp cơ thể.</t>
  </si>
  <si>
    <t>stall</t>
  </si>
  <si>
    <t>gian hàng</t>
  </si>
  <si>
    <t>Buy food at the stall.</t>
  </si>
  <si>
    <t>Hãy mua thức ăn tại gian hàng.</t>
  </si>
  <si>
    <t>compel</t>
  </si>
  <si>
    <t>buộc phải</t>
  </si>
  <si>
    <t>Circumstances compel him to.</t>
  </si>
  <si>
    <t>Hoàn cảnh buộc anh ấy phải làm.</t>
  </si>
  <si>
    <t>congratulate</t>
  </si>
  <si>
    <t>Congratulate him on success.</t>
  </si>
  <si>
    <t>Hãy chúc mừng anh ấy vì thành công.</t>
  </si>
  <si>
    <t>insect</t>
  </si>
  <si>
    <t>Do not touch the insect.</t>
  </si>
  <si>
    <t>Đừng chạm vào con côn trùng đó.</t>
  </si>
  <si>
    <t>carrot</t>
  </si>
  <si>
    <t>củ cà rốt</t>
  </si>
  <si>
    <t>Eat a fresh carrot.</t>
  </si>
  <si>
    <t>Hãy ăn một củ cà rốt tươi.</t>
  </si>
  <si>
    <t>protocol</t>
  </si>
  <si>
    <t>giao thức</t>
  </si>
  <si>
    <t>Follow the standard network protocol.</t>
  </si>
  <si>
    <t>Hãy tuân theo giao thức mạng tiêu chuẩn.</t>
  </si>
  <si>
    <t>indirect</t>
  </si>
  <si>
    <t>He gave an indirect answer.</t>
  </si>
  <si>
    <t>Anh ấy đã đưa ra một câu trả lời gián tiếp.</t>
  </si>
  <si>
    <t>humble</t>
  </si>
  <si>
    <t>He is a humble person.</t>
  </si>
  <si>
    <t>Anh ấy là một người khiêm tốn.</t>
  </si>
  <si>
    <t>chap</t>
  </si>
  <si>
    <t>anh chàng</t>
  </si>
  <si>
    <t>He is a nice chap.</t>
  </si>
  <si>
    <t>Anh ấy là một anh chàng tốt.</t>
  </si>
  <si>
    <t>immune</t>
  </si>
  <si>
    <t>miễn dịch</t>
  </si>
  <si>
    <t>He is immune to disease.</t>
  </si>
  <si>
    <t>Anh ấy miễn dịch với căn bệnh.</t>
  </si>
  <si>
    <t>penalty</t>
  </si>
  <si>
    <t>He received a severe penalty.</t>
  </si>
  <si>
    <t>Anh ta đã nhận một hình phạt nặng.</t>
  </si>
  <si>
    <t>belt</t>
  </si>
  <si>
    <t>He wears a brown belt.</t>
  </si>
  <si>
    <t>Anh ấy đeo một chiếc thắt lưng nâu.</t>
  </si>
  <si>
    <t>productivity</t>
  </si>
  <si>
    <t>năng suất</t>
  </si>
  <si>
    <t>Higher effort leads to better productivity.</t>
  </si>
  <si>
    <t>Nỗ lực cao hơn dẫn đến năng suất tốt hơn.</t>
  </si>
  <si>
    <t>admire</t>
  </si>
  <si>
    <t>I admire your hard work.</t>
  </si>
  <si>
    <t>Tôi ngưỡng mộ sự chăm chỉ của bạn.</t>
  </si>
  <si>
    <t>precise</t>
  </si>
  <si>
    <t>I need a precise answer.</t>
  </si>
  <si>
    <t>Tôi cần một câu trả lời chính xác.</t>
  </si>
  <si>
    <t>sheer</t>
  </si>
  <si>
    <t>It was a sheer accident.</t>
  </si>
  <si>
    <t>Đó hoàn toàn là một tai nạn.</t>
  </si>
  <si>
    <t>accurately</t>
  </si>
  <si>
    <t>Measure the distance more accurately.</t>
  </si>
  <si>
    <t>Hãy đo khoảng cách chính xác hơn.</t>
  </si>
  <si>
    <t>sovereignty</t>
  </si>
  <si>
    <t>Protect the national sovereignty now.</t>
  </si>
  <si>
    <t>Hãy bảo vệ chủ quyền quốc gia.</t>
  </si>
  <si>
    <t>jeans</t>
  </si>
  <si>
    <t>She bought new blue jeans.</t>
  </si>
  <si>
    <t>Cô ấy đã mua quần jean mới.</t>
  </si>
  <si>
    <t>shy</t>
  </si>
  <si>
    <t>She is a shy student.</t>
  </si>
  <si>
    <t>Cô ấy là một học sinh nhút nhát.</t>
  </si>
  <si>
    <t>sympathetic</t>
  </si>
  <si>
    <t>She is a sympathetic person.</t>
  </si>
  <si>
    <t>Cô ấy là một người thông cảm.</t>
  </si>
  <si>
    <t>lover</t>
  </si>
  <si>
    <t>She is my true lover.</t>
  </si>
  <si>
    <t>Cô ấy là người yêu đích thực của tôi.</t>
  </si>
  <si>
    <t>nineteen</t>
  </si>
  <si>
    <t>mười chín</t>
  </si>
  <si>
    <t>She is nineteen years old.</t>
  </si>
  <si>
    <t>Cô ấy mười chín tuổi.</t>
  </si>
  <si>
    <t>quotation</t>
  </si>
  <si>
    <t>She used a famous long quotation.</t>
  </si>
  <si>
    <t>Cô ấy đã sử dụng một trích dẫn dài nổi tiếng.</t>
  </si>
  <si>
    <t>licence</t>
  </si>
  <si>
    <t>Show me your driving licence.</t>
  </si>
  <si>
    <t>Hãy cho tôi xem giấy phép lái xe của bạn.</t>
  </si>
  <si>
    <t>superb</t>
  </si>
  <si>
    <t>The food is very superb.</t>
  </si>
  <si>
    <t>Thức ăn rất tuyệt vời.</t>
  </si>
  <si>
    <t>parallel</t>
  </si>
  <si>
    <t>The lines are now parallel.</t>
  </si>
  <si>
    <t>Các đường kẻ bây giờ song song với nhau.</t>
  </si>
  <si>
    <t>moon</t>
  </si>
  <si>
    <t>mặt trăng</t>
  </si>
  <si>
    <t>The moon is bright tonight.</t>
  </si>
  <si>
    <t>Mặt trăng rất sáng tối nay.</t>
  </si>
  <si>
    <t>mouse</t>
  </si>
  <si>
    <t>con chuột</t>
  </si>
  <si>
    <t>The mouse runs very fast.</t>
  </si>
  <si>
    <t>Con chuột chạy rất nhanh.</t>
  </si>
  <si>
    <t>rhythm</t>
  </si>
  <si>
    <t>The music has a good rhythm.</t>
  </si>
  <si>
    <t>Âm nhạc có một nhịp điệu tốt.</t>
  </si>
  <si>
    <t>referee</t>
  </si>
  <si>
    <t>The referee stopped the match today.</t>
  </si>
  <si>
    <t>Trọng tài đã dừng trận đấu.</t>
  </si>
  <si>
    <t>statue</t>
  </si>
  <si>
    <t>The statue is very old.</t>
  </si>
  <si>
    <t>Bức tượng rất cũ.</t>
  </si>
  <si>
    <t>entitle</t>
  </si>
  <si>
    <t>cho quyền</t>
  </si>
  <si>
    <t>The ticket entitles you entry.</t>
  </si>
  <si>
    <t>Tấm vé cho bạn quyền vào cửa.</t>
  </si>
  <si>
    <t>rail</t>
  </si>
  <si>
    <t>The train jumped off the rail.</t>
  </si>
  <si>
    <t>Con tàu đã văng ra khỏi đường ray.</t>
  </si>
  <si>
    <t>infect</t>
  </si>
  <si>
    <t>The virus can infect people.</t>
  </si>
  <si>
    <t>Vi-rút có thể lây nhiễm cho mọi người.</t>
  </si>
  <si>
    <t>tunnel</t>
  </si>
  <si>
    <t>They built a long tunnel.</t>
  </si>
  <si>
    <t>Họ đã xây dựng một đường hầm dài.</t>
  </si>
  <si>
    <t>contend</t>
  </si>
  <si>
    <t>tranh đấu</t>
  </si>
  <si>
    <t>They contend for power.</t>
  </si>
  <si>
    <t>Họ tranh đấu vì quyền lực.</t>
  </si>
  <si>
    <t>execute</t>
  </si>
  <si>
    <t>They execute the plan well.</t>
  </si>
  <si>
    <t>Họ thực hiện kế hoạch rất tốt.</t>
  </si>
  <si>
    <t>exploit</t>
  </si>
  <si>
    <t>They exploit the natural resources.</t>
  </si>
  <si>
    <t>Họ khai thác các tài nguyên thiên nhiên.</t>
  </si>
  <si>
    <t>gathering</t>
  </si>
  <si>
    <t>sự tụ họp</t>
  </si>
  <si>
    <t>They had a small gathering.</t>
  </si>
  <si>
    <t>Họ đã có một sự tụ họp nhỏ.</t>
  </si>
  <si>
    <t>homeless</t>
  </si>
  <si>
    <t>vô gia cư</t>
  </si>
  <si>
    <t>They help the homeless people.</t>
  </si>
  <si>
    <t>Họ giúp đỡ những người vô gia cư.</t>
  </si>
  <si>
    <t>intervene</t>
  </si>
  <si>
    <t>They intervened in the fight.</t>
  </si>
  <si>
    <t>Họ đã can thiệp vào cuộc đánh nhau.</t>
  </si>
  <si>
    <t>march</t>
  </si>
  <si>
    <t>diễu hành</t>
  </si>
  <si>
    <t>They march in the street.</t>
  </si>
  <si>
    <t>Họ diễu hành trên đường phố.</t>
  </si>
  <si>
    <t>rope</t>
  </si>
  <si>
    <t>They used a strong thick rope.</t>
  </si>
  <si>
    <t>Họ đã sử dụng một sợi dây thừng dày chắc.</t>
  </si>
  <si>
    <t>formula</t>
  </si>
  <si>
    <t>This is a complex formula.</t>
  </si>
  <si>
    <t>Đây là một công thức phức tạp.</t>
  </si>
  <si>
    <t>minimum</t>
  </si>
  <si>
    <t>tối thiểu</t>
  </si>
  <si>
    <t>This is the minimum requirement.</t>
  </si>
  <si>
    <t>Đây là yêu cầu tối thiểu.</t>
  </si>
  <si>
    <t>norm</t>
  </si>
  <si>
    <t>This is the social norm.</t>
  </si>
  <si>
    <t>Đây là quy chuẩn xã hội.</t>
  </si>
  <si>
    <t>recipe</t>
  </si>
  <si>
    <t>This recipe is very easy today.</t>
  </si>
  <si>
    <t>Công thức này hôm nay rất dễ.</t>
  </si>
  <si>
    <t>problematic</t>
  </si>
  <si>
    <t>có vấn đề</t>
  </si>
  <si>
    <t>This situation is highly problematic.</t>
  </si>
  <si>
    <t>Tình huống này rất có vấn đề.</t>
  </si>
  <si>
    <t>consecutive</t>
  </si>
  <si>
    <t>liên tiếp</t>
  </si>
  <si>
    <t>Three consecutive days work.</t>
  </si>
  <si>
    <t>Ba ngày làm việc liên tiếp.</t>
  </si>
  <si>
    <t>successive</t>
  </si>
  <si>
    <t>Three successive days of rain.</t>
  </si>
  <si>
    <t>Ba ngày liên tiếp có mưa.</t>
  </si>
  <si>
    <t>integral</t>
  </si>
  <si>
    <t>Water is integral to life.</t>
  </si>
  <si>
    <t>freeze</t>
  </si>
  <si>
    <t>Water will freeze at zero.</t>
  </si>
  <si>
    <t>Nước sẽ đóng băng ở độ không.</t>
  </si>
  <si>
    <t>productive</t>
  </si>
  <si>
    <t>We had a very productive meeting.</t>
  </si>
  <si>
    <t>Chúng ta đã có một cuộc họp rất năng suất.</t>
  </si>
  <si>
    <t>indoor</t>
  </si>
  <si>
    <t>trong nhà</t>
  </si>
  <si>
    <t>We have an indoor pool.</t>
  </si>
  <si>
    <t>Chúng ta có một bể bơi trong nhà.</t>
  </si>
  <si>
    <t>whoever</t>
  </si>
  <si>
    <t>Whoever wants can join now.</t>
  </si>
  <si>
    <t>Bất kỳ ai muốn đều có thể tham gia.</t>
  </si>
  <si>
    <t>resist</t>
  </si>
  <si>
    <t>You cannot resist the temptation now.</t>
  </si>
  <si>
    <t>Bạn không thể chống lại sự cám dỗ.</t>
  </si>
  <si>
    <t>fabulous</t>
  </si>
  <si>
    <t>You look fabulous today, dear.</t>
  </si>
  <si>
    <t>Bạn trông thật tuyệt vời hôm nay.</t>
  </si>
  <si>
    <t>additionally</t>
  </si>
  <si>
    <t>Additionally, please bring your ID.</t>
  </si>
  <si>
    <t>Ngoài ra, vui lòng mang theo giấy tờ tùy thân.</t>
  </si>
  <si>
    <t>configuration</t>
  </si>
  <si>
    <t>cấu hình</t>
  </si>
  <si>
    <t>Change the system configuration.</t>
  </si>
  <si>
    <t>Hãy thay đổi cấu hình hệ thống.</t>
  </si>
  <si>
    <t>frequency</t>
  </si>
  <si>
    <t>tần suất</t>
  </si>
  <si>
    <t>Check the frequency of events.</t>
  </si>
  <si>
    <t>Hãy kiểm tra tần suất của các sự kiện.</t>
  </si>
  <si>
    <t>contemplate</t>
  </si>
  <si>
    <t>suy ngẫm</t>
  </si>
  <si>
    <t>Contemplate the future now.</t>
  </si>
  <si>
    <t>Hãy suy ngẫm về tương lai.</t>
  </si>
  <si>
    <t>conceal</t>
  </si>
  <si>
    <t>Do not conceal facts.</t>
  </si>
  <si>
    <t>Đừng che giấu sự thật.</t>
  </si>
  <si>
    <t>insult</t>
  </si>
  <si>
    <t>xúc phạm</t>
  </si>
  <si>
    <t>Do not insult your friends.</t>
  </si>
  <si>
    <t>Đừng xúc phạm bạn bè của bạn.</t>
  </si>
  <si>
    <t>slam</t>
  </si>
  <si>
    <t>đóng sầm</t>
  </si>
  <si>
    <t>Do not slam the door.</t>
  </si>
  <si>
    <t>Đừng đóng sầm cửa.</t>
  </si>
  <si>
    <t>speculate</t>
  </si>
  <si>
    <t>Do not speculate about this.</t>
  </si>
  <si>
    <t>Đừng suy đoán về điều này.</t>
  </si>
  <si>
    <t>entity</t>
  </si>
  <si>
    <t>thực thể</t>
  </si>
  <si>
    <t>Each is a separate entity.</t>
  </si>
  <si>
    <t>Mỗi cái là một thực thể riêng biệt.</t>
  </si>
  <si>
    <t>balanced</t>
  </si>
  <si>
    <t>Eat a balanced diet daily.</t>
  </si>
  <si>
    <t>Hãy ăn một chế độ ăn cân bằng hàng ngày.</t>
  </si>
  <si>
    <t>protein</t>
  </si>
  <si>
    <t>Eggs are rich in healthy protein.</t>
  </si>
  <si>
    <t>Trứng rất giàu chất đạm lành mạnh.</t>
  </si>
  <si>
    <t>password</t>
  </si>
  <si>
    <t>mật khẩu</t>
  </si>
  <si>
    <t>Enter your secret password now.</t>
  </si>
  <si>
    <t>Hãy nhập mật khẩu bí mật của bạn.</t>
  </si>
  <si>
    <t>firstly</t>
  </si>
  <si>
    <t>Firstly, we need more time.</t>
  </si>
  <si>
    <t>Đầu tiên, chúng ta cần nhiều thời gian hơn.</t>
  </si>
  <si>
    <t>shrug</t>
  </si>
  <si>
    <t>nhún vai</t>
  </si>
  <si>
    <t>He did only shrug shoulders.</t>
  </si>
  <si>
    <t>Anh ấy chỉ nhún vai.</t>
  </si>
  <si>
    <t>remark</t>
  </si>
  <si>
    <t>nhận xét</t>
  </si>
  <si>
    <t>He did remark on my clothes.</t>
  </si>
  <si>
    <t>Anh ấy đã nhận xét về quần áo của tôi.</t>
  </si>
  <si>
    <t>thumb</t>
  </si>
  <si>
    <t>He hurt his left thumb.</t>
  </si>
  <si>
    <t>Anh ấy đã làm đau ngón cái bên trái.</t>
  </si>
  <si>
    <t>eighty</t>
  </si>
  <si>
    <t>tám mươi</t>
  </si>
  <si>
    <t>He is eighty years old.</t>
  </si>
  <si>
    <t>Ông ấy tám mươi tuổi.</t>
  </si>
  <si>
    <t>buddy</t>
  </si>
  <si>
    <t>He is my best buddy.</t>
  </si>
  <si>
    <t>Anh ấy là bạn thân của tôi.</t>
  </si>
  <si>
    <t>sole</t>
  </si>
  <si>
    <t>He is the sole owner.</t>
  </si>
  <si>
    <t>Ông ấy là người chủ duy nhất.</t>
  </si>
  <si>
    <t>folk</t>
  </si>
  <si>
    <t>dân gian</t>
  </si>
  <si>
    <t>He likes listening to folk.</t>
  </si>
  <si>
    <t>Anh ấy thích nghe nhạc dân gian.</t>
  </si>
  <si>
    <t>racing</t>
  </si>
  <si>
    <t>He likes watching the car racing.</t>
  </si>
  <si>
    <t>Anh ấy thích xem đua xe.</t>
  </si>
  <si>
    <t>seldom</t>
  </si>
  <si>
    <t>He seldom visits his hometown.</t>
  </si>
  <si>
    <t>Anh ấy hiếm khi về thăm quê.</t>
  </si>
  <si>
    <t>script</t>
  </si>
  <si>
    <t>He wrote the movie script today.</t>
  </si>
  <si>
    <t>Anh ấy đã viết kịch bản phim hôm nay.</t>
  </si>
  <si>
    <t>goodness</t>
  </si>
  <si>
    <t>lòng tốt</t>
  </si>
  <si>
    <t>I believe in her goodness.</t>
  </si>
  <si>
    <t>Tôi tin vào lòng tốt của cô ấy.</t>
  </si>
  <si>
    <t>thoroughly</t>
  </si>
  <si>
    <t>I cleaned the room thoroughly.</t>
  </si>
  <si>
    <t>Tôi đã dọn dẹp căn phòng kỹ lưỡng.</t>
  </si>
  <si>
    <t>regret</t>
  </si>
  <si>
    <t>hối tiếc</t>
  </si>
  <si>
    <t>I do regret saying that today.</t>
  </si>
  <si>
    <t>Tôi thực sự hối tiếc vì đã nói điều đó.</t>
  </si>
  <si>
    <t>reminder</t>
  </si>
  <si>
    <t>lời nhắc</t>
  </si>
  <si>
    <t>I got a reminder today now.</t>
  </si>
  <si>
    <t>Tôi đã nhận được một lời nhắc.</t>
  </si>
  <si>
    <t>pet</t>
  </si>
  <si>
    <t>I love my small pet.</t>
  </si>
  <si>
    <t>Tôi yêu thú cưng nhỏ của mình.</t>
  </si>
  <si>
    <t>reckon</t>
  </si>
  <si>
    <t>I reckon he will come today.</t>
  </si>
  <si>
    <t>Tôi cho rằng anh ấy sẽ đến hôm nay.</t>
  </si>
  <si>
    <t>audio</t>
  </si>
  <si>
    <t>I recorded the audio now.</t>
  </si>
  <si>
    <t>Tôi đã ghi âm.</t>
  </si>
  <si>
    <t>flash</t>
  </si>
  <si>
    <t>ánh chớp</t>
  </si>
  <si>
    <t>I saw a quick flash.</t>
  </si>
  <si>
    <t>Tôi đã thấy một ánh chớp nhanh.</t>
  </si>
  <si>
    <t>undertake</t>
  </si>
  <si>
    <t>đảm nhận</t>
  </si>
  <si>
    <t>I will undertake this job.</t>
  </si>
  <si>
    <t>Tôi sẽ đảm nhận công việc này.</t>
  </si>
  <si>
    <t>compulsory</t>
  </si>
  <si>
    <t>It is a compulsory subject.</t>
  </si>
  <si>
    <t>Đó là một môn học bắt buộc.</t>
  </si>
  <si>
    <t>plain</t>
  </si>
  <si>
    <t>It is a plain design.</t>
  </si>
  <si>
    <t>Đó là một thiết kế đơn giản.</t>
  </si>
  <si>
    <t>risky</t>
  </si>
  <si>
    <t>mạo hiểm</t>
  </si>
  <si>
    <t>It is a very risky plan.</t>
  </si>
  <si>
    <t>Đó là một kế hoạch rất mạo hiểm.</t>
  </si>
  <si>
    <t>romantic</t>
  </si>
  <si>
    <t>lãng mạn</t>
  </si>
  <si>
    <t>It was a very romantic dinner.</t>
  </si>
  <si>
    <t>Đó là một bữa tối rất lãng mạn.</t>
  </si>
  <si>
    <t>illusion</t>
  </si>
  <si>
    <t>ảo tưởng</t>
  </si>
  <si>
    <t>It was just an illusion.</t>
  </si>
  <si>
    <t>Nó chỉ là một ảo tưởng.</t>
  </si>
  <si>
    <t>spine</t>
  </si>
  <si>
    <t>cột sống</t>
  </si>
  <si>
    <t>Keep your spine very straight.</t>
  </si>
  <si>
    <t>Hãy giữ cột sống của bạn thật thẳng.</t>
  </si>
  <si>
    <t>swap</t>
  </si>
  <si>
    <t>Let us swap the books.</t>
  </si>
  <si>
    <t>Hãy trao đổi những cuốn sách.</t>
  </si>
  <si>
    <t>nowadays</t>
  </si>
  <si>
    <t>ngày nay</t>
  </si>
  <si>
    <t>Nowadays, everyone uses computers.</t>
  </si>
  <si>
    <t>Ngày nay, mọi người đều sử dụng máy tính.</t>
  </si>
  <si>
    <t>commodity</t>
  </si>
  <si>
    <t>Oil is a commodity.</t>
  </si>
  <si>
    <t>Dầu mỏ là một loại hàng hóa.</t>
  </si>
  <si>
    <t>sauce</t>
  </si>
  <si>
    <t>nước xốt</t>
  </si>
  <si>
    <t>Please pour the sauce over meat.</t>
  </si>
  <si>
    <t>Hãy đổ nước xốt lên thịt.</t>
  </si>
  <si>
    <t>whisper</t>
  </si>
  <si>
    <t>Please whisper in the library.</t>
  </si>
  <si>
    <t>Hãy thì thầm trong thư viện.</t>
  </si>
  <si>
    <t>enforce</t>
  </si>
  <si>
    <t>Police must enforce the law.</t>
  </si>
  <si>
    <t>Cảnh sát phải thi hành pháp luật.</t>
  </si>
  <si>
    <t>paragraph</t>
  </si>
  <si>
    <t>Read this short paragraph now.</t>
  </si>
  <si>
    <t>Hãy đọc đoạn văn ngắn này.</t>
  </si>
  <si>
    <t>relaxed</t>
  </si>
  <si>
    <t>She seems very relaxed today now.</t>
  </si>
  <si>
    <t>Cô ấy có vẻ rất thư giãn hôm nay.</t>
  </si>
  <si>
    <t>heel</t>
  </si>
  <si>
    <t>She wore high heel shoes.</t>
  </si>
  <si>
    <t>Cô ấy đã đi giày cao gót.</t>
  </si>
  <si>
    <t>beside</t>
  </si>
  <si>
    <t>Sit beside me right now.</t>
  </si>
  <si>
    <t>Hãy ngồi bên cạnh tôi.</t>
  </si>
  <si>
    <t>instinct</t>
  </si>
  <si>
    <t>Survival is a basic instinct.</t>
  </si>
  <si>
    <t>Sự sinh tồn là một bản năng cơ bản.</t>
  </si>
  <si>
    <t>ridiculous</t>
  </si>
  <si>
    <t>nực cười</t>
  </si>
  <si>
    <t>That is a very ridiculous idea.</t>
  </si>
  <si>
    <t>Đó là một ý tưởng rất nực cười.</t>
  </si>
  <si>
    <t>asleep</t>
  </si>
  <si>
    <t>đang ngủ</t>
  </si>
  <si>
    <t>The baby is fast asleep.</t>
  </si>
  <si>
    <t>Đứa bé đang ngủ say.</t>
  </si>
  <si>
    <t>canal</t>
  </si>
  <si>
    <t>The boat uses the canal.</t>
  </si>
  <si>
    <t>Con thuyền dùng kênh đào.</t>
  </si>
  <si>
    <t>hostile</t>
  </si>
  <si>
    <t>thù địch</t>
  </si>
  <si>
    <t>The environment was very hostile.</t>
  </si>
  <si>
    <t>Môi trường rất thù địch.</t>
  </si>
  <si>
    <t>insufficient</t>
  </si>
  <si>
    <t>không đủ</t>
  </si>
  <si>
    <t>The evidence is totally insufficient.</t>
  </si>
  <si>
    <t>Bằng chứng hoàn toàn không đủ.</t>
  </si>
  <si>
    <t>flavour</t>
  </si>
  <si>
    <t>The ice cream has flavour.</t>
  </si>
  <si>
    <t>Kem có hương vị.</t>
  </si>
  <si>
    <t>injection</t>
  </si>
  <si>
    <t>mũi tiêm</t>
  </si>
  <si>
    <t>The injection was not painful.</t>
  </si>
  <si>
    <t>Mũi tiêm không gây đau đớn.</t>
  </si>
  <si>
    <t>pupil</t>
  </si>
  <si>
    <t>The pupil asked a smart question.</t>
  </si>
  <si>
    <t>Học sinh đó đã đặt một câu hỏi thông minh.</t>
  </si>
  <si>
    <t>sailor</t>
  </si>
  <si>
    <t>thủy thủ</t>
  </si>
  <si>
    <t>The sailor works on the ship.</t>
  </si>
  <si>
    <t>Thủy thủ làm việc trên con tàu.</t>
  </si>
  <si>
    <t>zero</t>
  </si>
  <si>
    <t>The score is now zero.</t>
  </si>
  <si>
    <t>Điểm số bây giờ là số không.</t>
  </si>
  <si>
    <t>spectator</t>
  </si>
  <si>
    <t>The spectator cheered very loudly.</t>
  </si>
  <si>
    <t>Khán giả đã cổ vũ rất lớn.</t>
  </si>
  <si>
    <t>venue</t>
  </si>
  <si>
    <t>The venue is very big.</t>
  </si>
  <si>
    <t>Địa điểm rất lớn.</t>
  </si>
  <si>
    <t>wire</t>
  </si>
  <si>
    <t>The wire is very long.</t>
  </si>
  <si>
    <t>Sợi dây điện rất dài.</t>
  </si>
  <si>
    <t>bow</t>
  </si>
  <si>
    <t>They bow to greet.</t>
  </si>
  <si>
    <t>Họ cúi chào để chào hỏi.</t>
  </si>
  <si>
    <t>fence</t>
  </si>
  <si>
    <t>They built a wooden fence.</t>
  </si>
  <si>
    <t>Họ đã xây một hàng rào bằng gỗ.</t>
  </si>
  <si>
    <t>license</t>
  </si>
  <si>
    <t>cấp phép</t>
  </si>
  <si>
    <t>They license the new software.</t>
  </si>
  <si>
    <t>Họ cấp phép cho phần mềm mới.</t>
  </si>
  <si>
    <t>alter</t>
  </si>
  <si>
    <t>They must alter the plan.</t>
  </si>
  <si>
    <t>Họ phải thay đổi kế hoạch.</t>
  </si>
  <si>
    <t>readily</t>
  </si>
  <si>
    <t>They readily accepted our new offer.</t>
  </si>
  <si>
    <t>Họ đã sẵn lòng chấp nhận lời đề nghị mới của chúng tôi.</t>
  </si>
  <si>
    <t>casino</t>
  </si>
  <si>
    <t>sòng bạc</t>
  </si>
  <si>
    <t>They visited the casino.</t>
  </si>
  <si>
    <t>Họ đã ghé thăm sòng bạc.</t>
  </si>
  <si>
    <t>appoint</t>
  </si>
  <si>
    <t>They will appoint a leader.</t>
  </si>
  <si>
    <t>Họ sẽ bổ nhiệm một người lãnh đạo.</t>
  </si>
  <si>
    <t>elect</t>
  </si>
  <si>
    <t>bầu chọn</t>
  </si>
  <si>
    <t>They will elect a new leader.</t>
  </si>
  <si>
    <t>Họ sẽ bầu chọn một lãnh đạo mới.</t>
  </si>
  <si>
    <t>relieve</t>
  </si>
  <si>
    <t>This medicine will relieve your pain.</t>
  </si>
  <si>
    <t>Thuốc này sẽ giảm bớt nỗi đau của bạn.</t>
  </si>
  <si>
    <t>soap</t>
  </si>
  <si>
    <t>Use the soap to wash.</t>
  </si>
  <si>
    <t>Hãy dùng xà phòng để rửa.</t>
  </si>
  <si>
    <t>surplus</t>
  </si>
  <si>
    <t>thặng dư</t>
  </si>
  <si>
    <t>We have a large surplus.</t>
  </si>
  <si>
    <t>Chúng tôi có một sự thặng dư lớn.</t>
  </si>
  <si>
    <t>strive</t>
  </si>
  <si>
    <t>We strive for the best.</t>
  </si>
  <si>
    <t>Chúng tôi phấn đấu vì những điều tốt nhất.</t>
  </si>
  <si>
    <t>queue</t>
  </si>
  <si>
    <t>We waited in a long queue.</t>
  </si>
  <si>
    <t>Chúng tôi đã chờ đợi trong một hàng đợi dài.</t>
  </si>
  <si>
    <t>resume</t>
  </si>
  <si>
    <t>We will resume work tomorrow.</t>
  </si>
  <si>
    <t>Chúng ta sẽ tiếp tục công việc vào ngày mai.</t>
  </si>
  <si>
    <t>draft</t>
  </si>
  <si>
    <t>bản nháp</t>
  </si>
  <si>
    <t>Write a first draft.</t>
  </si>
  <si>
    <t>Viết một bản nháp đầu tiên.</t>
  </si>
  <si>
    <t>reasoning</t>
  </si>
  <si>
    <t>Your reasoning is very sound.</t>
  </si>
  <si>
    <t>Lập luận của bạn rất vững chắc.</t>
  </si>
  <si>
    <t>pronounce</t>
  </si>
  <si>
    <t>Can you pronounce this word clearly?</t>
  </si>
  <si>
    <t>Bạn có thể phát âm từ này rõ ràng không?</t>
  </si>
  <si>
    <t>log</t>
  </si>
  <si>
    <t>Check the server error log.</t>
  </si>
  <si>
    <t>Hãy kiểm tra nhật ký lỗi máy chủ.</t>
  </si>
  <si>
    <t>conserve</t>
  </si>
  <si>
    <t>Conserve the natural energy.</t>
  </si>
  <si>
    <t>Hãy bảo tồn năng lượng tự nhiên.</t>
  </si>
  <si>
    <t>consolidate</t>
  </si>
  <si>
    <t>Consolidate your own power.</t>
  </si>
  <si>
    <t>Hãy củng cố quyền lực của chính bạn.</t>
  </si>
  <si>
    <t>spam</t>
  </si>
  <si>
    <t>thư rác</t>
  </si>
  <si>
    <t>Delete all the spam now.</t>
  </si>
  <si>
    <t>Hãy xóa tất cả thư rác bây giờ.</t>
  </si>
  <si>
    <t>idiot</t>
  </si>
  <si>
    <t>kẻ ngốc</t>
  </si>
  <si>
    <t>Do not be an idiot.</t>
  </si>
  <si>
    <t>Đừng làm kẻ ngốc.</t>
  </si>
  <si>
    <t>stumble</t>
  </si>
  <si>
    <t>vấp ngã</t>
  </si>
  <si>
    <t>Do not stumble on rock.</t>
  </si>
  <si>
    <t>Đừng vấp ngã vào đá.</t>
  </si>
  <si>
    <t>careless</t>
  </si>
  <si>
    <t>bất cẩn</t>
  </si>
  <si>
    <t>Don't be so careless.</t>
  </si>
  <si>
    <t>Đừng quá bất cẩn như vậy.</t>
  </si>
  <si>
    <t>cereal</t>
  </si>
  <si>
    <t>Eat cereal for breakfast.</t>
  </si>
  <si>
    <t>Hãy ăn ngũ cốc cho bữa sáng.</t>
  </si>
  <si>
    <t>fate</t>
  </si>
  <si>
    <t>He accepts his own fate.</t>
  </si>
  <si>
    <t>Anh ấy chấp nhận số phận của chính mình.</t>
  </si>
  <si>
    <t>rival</t>
  </si>
  <si>
    <t>He beat his main business rival.</t>
  </si>
  <si>
    <t>Anh ấy đã đánh bại đối thủ kinh doanh chính của mình.</t>
  </si>
  <si>
    <t>spite</t>
  </si>
  <si>
    <t>sự ác ý</t>
  </si>
  <si>
    <t>He did it in spite.</t>
  </si>
  <si>
    <t>Anh ấy đã làm điều đó vì sự ác ý.</t>
  </si>
  <si>
    <t>fortune</t>
  </si>
  <si>
    <t>He has a good fortune.</t>
  </si>
  <si>
    <t>Anh ấy gặp vận may tốt.</t>
  </si>
  <si>
    <t>musician</t>
  </si>
  <si>
    <t>nhạc sĩ</t>
  </si>
  <si>
    <t>He is a famous musician.</t>
  </si>
  <si>
    <t>Anh ấy là một nhạc sĩ nổi tiếng.</t>
  </si>
  <si>
    <t>lord</t>
  </si>
  <si>
    <t>chúa tể</t>
  </si>
  <si>
    <t>He is a powerful lord.</t>
  </si>
  <si>
    <t>Ông ấy là một chúa tể quyền năng.</t>
  </si>
  <si>
    <t>resign</t>
  </si>
  <si>
    <t>He will resign from office today.</t>
  </si>
  <si>
    <t>Anh ấy sẽ từ chức hôm nay.</t>
  </si>
  <si>
    <t>orange</t>
  </si>
  <si>
    <t>quả cam</t>
  </si>
  <si>
    <t>I ate a sweet orange.</t>
  </si>
  <si>
    <t>Tôi đã ăn một quả cam ngọt.</t>
  </si>
  <si>
    <t>bump</t>
  </si>
  <si>
    <t>I bumped into the door.</t>
  </si>
  <si>
    <t>Tôi đã va vào cánh cửa.</t>
  </si>
  <si>
    <t>sake</t>
  </si>
  <si>
    <t>I did it for your sake.</t>
  </si>
  <si>
    <t>Tôi đã làm điều đó vì lợi ích của bạn.</t>
  </si>
  <si>
    <t>supper</t>
  </si>
  <si>
    <t>I eat supper very late.</t>
  </si>
  <si>
    <t>Tôi ăn bữa tối rất muộn.</t>
  </si>
  <si>
    <t>enquiry</t>
  </si>
  <si>
    <t>I have a simple enquiry.</t>
  </si>
  <si>
    <t>Tôi có một câu hỏi đơn giản.</t>
  </si>
  <si>
    <t>lately</t>
  </si>
  <si>
    <t>I have been busy lately.</t>
  </si>
  <si>
    <t>Gần đây tôi khá bận rộn.</t>
  </si>
  <si>
    <t>rumour</t>
  </si>
  <si>
    <t>tin đồn</t>
  </si>
  <si>
    <t>I heard a strange rumour today.</t>
  </si>
  <si>
    <t>Tôi đã nghe một tin đồn lạ hôm nay.</t>
  </si>
  <si>
    <t>rid</t>
  </si>
  <si>
    <t>I want to rid my house.</t>
  </si>
  <si>
    <t>Tôi muốn dọn dẹp nhà cửa.</t>
  </si>
  <si>
    <t>sin</t>
  </si>
  <si>
    <t>It is a sin to steal.</t>
  </si>
  <si>
    <t>Ăn cắp là một tội lỗi.</t>
  </si>
  <si>
    <t>ironic</t>
  </si>
  <si>
    <t>It is an ironic situation.</t>
  </si>
  <si>
    <t>Đó là một tình huống mỉa mai.</t>
  </si>
  <si>
    <t>forgive</t>
  </si>
  <si>
    <t>It is hard to forgive.</t>
  </si>
  <si>
    <t>Thật khó để tha thứ.</t>
  </si>
  <si>
    <t>practically</t>
  </si>
  <si>
    <t>It is practically impossible now.</t>
  </si>
  <si>
    <t>Việc này thực tế là không thể vào lúc này.</t>
  </si>
  <si>
    <t>candle</t>
  </si>
  <si>
    <t>cây nến</t>
  </si>
  <si>
    <t>Light the birthday candle.</t>
  </si>
  <si>
    <t>Hãy thắp nến sinh nhật.</t>
  </si>
  <si>
    <t>revise</t>
  </si>
  <si>
    <t>Please revise your paper before submit.</t>
  </si>
  <si>
    <t>Làm ơn sửa đổi bài làm của bạn trước khi nộp.</t>
  </si>
  <si>
    <t>pot</t>
  </si>
  <si>
    <t>Put the pot on stove.</t>
  </si>
  <si>
    <t>Đặt cái nồi lên bếp.</t>
  </si>
  <si>
    <t>wooden</t>
  </si>
  <si>
    <t>bằng gỗ</t>
  </si>
  <si>
    <t>She bought a wooden chair.</t>
  </si>
  <si>
    <t>Cô ấy đã mua một cái ghế bằng gỗ.</t>
  </si>
  <si>
    <t>cling</t>
  </si>
  <si>
    <t>bám vào</t>
  </si>
  <si>
    <t>She clings to him.</t>
  </si>
  <si>
    <t>Cô ấy bám lấy anh ấy.</t>
  </si>
  <si>
    <t>sigh</t>
  </si>
  <si>
    <t>thở dài</t>
  </si>
  <si>
    <t>She did sigh with relief.</t>
  </si>
  <si>
    <t>Cô ấy đã thở dài nhẹ nhõm.</t>
  </si>
  <si>
    <t>prominent</t>
  </si>
  <si>
    <t>She is a prominent local leader.</t>
  </si>
  <si>
    <t>Cô ấy là một nhà lãnh đạo địa phương nổi bật.</t>
  </si>
  <si>
    <t>inherit</t>
  </si>
  <si>
    <t>She will inherit the house.</t>
  </si>
  <si>
    <t>Cô ấy sẽ thừa kế ngôi nhà.</t>
  </si>
  <si>
    <t>scary</t>
  </si>
  <si>
    <t>That was a very scary movie.</t>
  </si>
  <si>
    <t>Đó là một bộ phim rất đáng sợ.</t>
  </si>
  <si>
    <t>cattle</t>
  </si>
  <si>
    <t>The cattle graze grass.</t>
  </si>
  <si>
    <t>Đàn gia súc đang gặm cỏ.</t>
  </si>
  <si>
    <t>choir</t>
  </si>
  <si>
    <t>ca đoàn</t>
  </si>
  <si>
    <t>The choir sings well.</t>
  </si>
  <si>
    <t>Ca đoàn hát rất hay.</t>
  </si>
  <si>
    <t>cliff</t>
  </si>
  <si>
    <t>The cliff is high.</t>
  </si>
  <si>
    <t>Vách đá này rất cao.</t>
  </si>
  <si>
    <t>varied</t>
  </si>
  <si>
    <t>The diet is very varied.</t>
  </si>
  <si>
    <t>Chế độ ăn uống rất đa dạng.</t>
  </si>
  <si>
    <t>stabilize</t>
  </si>
  <si>
    <t>The economy will stabilize soon.</t>
  </si>
  <si>
    <t>Nền kinh tế sẽ sớm ổn định.</t>
  </si>
  <si>
    <t>commence</t>
  </si>
  <si>
    <t>The event will commence.</t>
  </si>
  <si>
    <t>Sự kiện sẽ bắt đầu.</t>
  </si>
  <si>
    <t>subsidy</t>
  </si>
  <si>
    <t>The government gave a subsidy.</t>
  </si>
  <si>
    <t>Chính phủ đã cấp một khoản trợ cấp.</t>
  </si>
  <si>
    <t>organ</t>
  </si>
  <si>
    <t>The heart is an organ.</t>
  </si>
  <si>
    <t>Trái tim là một cơ quan.</t>
  </si>
  <si>
    <t>excessive</t>
  </si>
  <si>
    <t>The price is too excessive.</t>
  </si>
  <si>
    <t>Mức giá này quá cao.</t>
  </si>
  <si>
    <t>ruin</t>
  </si>
  <si>
    <t>The rain will ruin the picnic.</t>
  </si>
  <si>
    <t>Cơn mưa sẽ làm hỏng buổi dã ngoại.</t>
  </si>
  <si>
    <t>rocket</t>
  </si>
  <si>
    <t>The rocket went up very fast.</t>
  </si>
  <si>
    <t>Tên lửa đã bay lên rất nhanh.</t>
  </si>
  <si>
    <t>solicitor</t>
  </si>
  <si>
    <t>The solicitor handles the case.</t>
  </si>
  <si>
    <t>Luật sư giải quyết vụ việc.</t>
  </si>
  <si>
    <t>expenditure</t>
  </si>
  <si>
    <t>The total expenditure is high.</t>
  </si>
  <si>
    <t>brutal</t>
  </si>
  <si>
    <t>tàn bạo</t>
  </si>
  <si>
    <t>The war was brutal.</t>
  </si>
  <si>
    <t>Cuộc chiến đó thật tàn bạo.</t>
  </si>
  <si>
    <t>complement</t>
  </si>
  <si>
    <t>The wine complements food.</t>
  </si>
  <si>
    <t>Rượu vang làm tăng hương vị cho đồ ăn.</t>
  </si>
  <si>
    <t>newly</t>
  </si>
  <si>
    <t>They are newly married.</t>
  </si>
  <si>
    <t>Họ mới kết hôn gần đây.</t>
  </si>
  <si>
    <t>barrier</t>
  </si>
  <si>
    <t>rào cản</t>
  </si>
  <si>
    <t>They built a huge barrier.</t>
  </si>
  <si>
    <t>Họ đã xây dựng một rào cản lớn.</t>
  </si>
  <si>
    <t>progressive</t>
  </si>
  <si>
    <t>They hold very progressive views.</t>
  </si>
  <si>
    <t>Họ giữ những quan điểm rất tiến bộ.</t>
  </si>
  <si>
    <t>sacrifice</t>
  </si>
  <si>
    <t>hy sinh</t>
  </si>
  <si>
    <t>They must sacrifice for the team.</t>
  </si>
  <si>
    <t>Họ phải hy sinh vì đội.</t>
  </si>
  <si>
    <t>mixture</t>
  </si>
  <si>
    <t>This is a good mixture.</t>
  </si>
  <si>
    <t>Đây là một hỗn hợp tốt.</t>
  </si>
  <si>
    <t>straw</t>
  </si>
  <si>
    <t>Use a straw for drink.</t>
  </si>
  <si>
    <t>Hãy dùng ống hút để uống.</t>
  </si>
  <si>
    <t>anticipate</t>
  </si>
  <si>
    <t>We anticipate a busy week.</t>
  </si>
  <si>
    <t>Chúng tôi dự đoán một tuần bận rộn.</t>
  </si>
  <si>
    <t>reinforce</t>
  </si>
  <si>
    <t>We must reinforce our weak position.</t>
  </si>
  <si>
    <t>Chúng ta phải củng cố vị trí yếu của mình.</t>
  </si>
  <si>
    <t>parameter</t>
  </si>
  <si>
    <t>tham số</t>
  </si>
  <si>
    <t>We must set the parameter.</t>
  </si>
  <si>
    <t>Chúng ta phải thiết lập tham số.</t>
  </si>
  <si>
    <t>realistic</t>
  </si>
  <si>
    <t>We need a more realistic goal.</t>
  </si>
  <si>
    <t>Chúng ta cần một mục tiêu thực tế hơn.</t>
  </si>
  <si>
    <t>basketball</t>
  </si>
  <si>
    <t>bóng rổ</t>
  </si>
  <si>
    <t>We play basketball for fun.</t>
  </si>
  <si>
    <t>Chúng tôi chơi bóng rổ cho vui.</t>
  </si>
  <si>
    <t>forecast</t>
  </si>
  <si>
    <t>Check the weather forecast today.</t>
  </si>
  <si>
    <t>Hãy kiểm tra dự báo thời tiết hôm nay.</t>
  </si>
  <si>
    <t>snap</t>
  </si>
  <si>
    <t>bẻ gãy</t>
  </si>
  <si>
    <t>Do not snap the stick.</t>
  </si>
  <si>
    <t>Đừng bẻ gãy cái gậy.</t>
  </si>
  <si>
    <t>suppress</t>
  </si>
  <si>
    <t>đàn áp</t>
  </si>
  <si>
    <t>Do not suppress your feelings.</t>
  </si>
  <si>
    <t>Đừng kìm nén cảm xúc của bạn.</t>
  </si>
  <si>
    <t>pretend</t>
  </si>
  <si>
    <t>giả vờ</t>
  </si>
  <si>
    <t>Don't pretend you don't know.</t>
  </si>
  <si>
    <t>Đừng giả vờ là bạn không biết.</t>
  </si>
  <si>
    <t>solo</t>
  </si>
  <si>
    <t>He did a solo performance.</t>
  </si>
  <si>
    <t>Anh ấy đã có một buổi biểu diễn đơn ca.</t>
  </si>
  <si>
    <t>painter</t>
  </si>
  <si>
    <t>He is a great painter.</t>
  </si>
  <si>
    <t>Anh ấy là một họa sĩ vĩ đại.</t>
  </si>
  <si>
    <t>evil</t>
  </si>
  <si>
    <t>xấu xa</t>
  </si>
  <si>
    <t>He is not an evil man.</t>
  </si>
  <si>
    <t>Anh ấy không phải là người xấu xa.</t>
  </si>
  <si>
    <t>inmate</t>
  </si>
  <si>
    <t>bạn tù</t>
  </si>
  <si>
    <t>He talked to an inmate.</t>
  </si>
  <si>
    <t>Anh ấy đã nói chuyện với một bạn tù.</t>
  </si>
  <si>
    <t>grandparent</t>
  </si>
  <si>
    <t>ông bà</t>
  </si>
  <si>
    <t>I love my grandparents dearly.</t>
  </si>
  <si>
    <t>Tôi rất yêu quý ông bà của mình.</t>
  </si>
  <si>
    <t>rude</t>
  </si>
  <si>
    <t>It was very rude to yell.</t>
  </si>
  <si>
    <t>Thật là rất thô lỗ khi hét lên.</t>
  </si>
  <si>
    <t>fetch</t>
  </si>
  <si>
    <t>tìm về</t>
  </si>
  <si>
    <t>Please fetch me some water.</t>
  </si>
  <si>
    <t>Vui lòng lấy cho tôi ít nước.</t>
  </si>
  <si>
    <t>mode</t>
  </si>
  <si>
    <t>Set to silent mode now.</t>
  </si>
  <si>
    <t>Hãy cài đặt sang chế độ im lặng ngay.</t>
  </si>
  <si>
    <t>bride</t>
  </si>
  <si>
    <t>The bride looks beautiful.</t>
  </si>
  <si>
    <t>Cô dâu trông thật xinh đẹp.</t>
  </si>
  <si>
    <t>fade</t>
  </si>
  <si>
    <t>mờ dần</t>
  </si>
  <si>
    <t>The colors began to fade.</t>
  </si>
  <si>
    <t>Các màu sắc bắt đầu mờ dần.</t>
  </si>
  <si>
    <t>flood</t>
  </si>
  <si>
    <t>The flood destroyed the house.</t>
  </si>
  <si>
    <t>Trận lũ lụt đã phá hủy ngôi nhà.</t>
  </si>
  <si>
    <t>maximum</t>
  </si>
  <si>
    <t>The maximum speed is fast.</t>
  </si>
  <si>
    <t>Tốc độ tối đa rất nhanh.</t>
  </si>
  <si>
    <t>regime</t>
  </si>
  <si>
    <t>The old regime fell down today.</t>
  </si>
  <si>
    <t>Chế độ cũ đã sụp đổ hôm nay.</t>
  </si>
  <si>
    <t>receiver</t>
  </si>
  <si>
    <t>bộ thu</t>
  </si>
  <si>
    <t>The phone receiver was very heavy.</t>
  </si>
  <si>
    <t>Bộ thu điện thoại rất nặng.</t>
  </si>
  <si>
    <t>physician</t>
  </si>
  <si>
    <t>The physician prescribed some medicine.</t>
  </si>
  <si>
    <t>Bác sĩ đã kê đơn thuốc.</t>
  </si>
  <si>
    <t>condemn</t>
  </si>
  <si>
    <t>lên án</t>
  </si>
  <si>
    <t>They condemn the war.</t>
  </si>
  <si>
    <t>Họ lên án cuộc chiến đó.</t>
  </si>
  <si>
    <t>grind</t>
  </si>
  <si>
    <t>nghiền</t>
  </si>
  <si>
    <t>They grind coffee beans daily.</t>
  </si>
  <si>
    <t>Họ nghiền hạt cà phê hàng ngày.</t>
  </si>
  <si>
    <t>remote</t>
  </si>
  <si>
    <t>They live in a remote area.</t>
  </si>
  <si>
    <t>Họ sống ở một vùng xa xôi.</t>
  </si>
  <si>
    <t>possess</t>
  </si>
  <si>
    <t>They possess great talent now.</t>
  </si>
  <si>
    <t>Họ sở hữu tài năng lớn.</t>
  </si>
  <si>
    <t>smash</t>
  </si>
  <si>
    <t>They smash the old wall.</t>
  </si>
  <si>
    <t>Họ đập vỡ bức tường cũ.</t>
  </si>
  <si>
    <t>graphics</t>
  </si>
  <si>
    <t>This game has great graphics.</t>
  </si>
  <si>
    <t>Trò chơi này có đồ họa tuyệt vời.</t>
  </si>
  <si>
    <t>pose</t>
  </si>
  <si>
    <t>đặt ra</t>
  </si>
  <si>
    <t>This poses a big risk.</t>
  </si>
  <si>
    <t>Điều này đặt ra một rủi ro lớn.</t>
  </si>
  <si>
    <t>puzzle</t>
  </si>
  <si>
    <t>This puzzle is very hard today.</t>
  </si>
  <si>
    <t>Câu đố này hôm nay rất khó.</t>
  </si>
  <si>
    <t>rubber</t>
  </si>
  <si>
    <t>This tire is made of rubber.</t>
  </si>
  <si>
    <t>Cái lốp này được làm bằng cao su.</t>
  </si>
  <si>
    <t>spark</t>
  </si>
  <si>
    <t>This will spark new ideas.</t>
  </si>
  <si>
    <t>Điều này sẽ khơi gợi những ý tưởng mới.</t>
  </si>
  <si>
    <t>enjoyable</t>
  </si>
  <si>
    <t>We had an enjoyable evening.</t>
  </si>
  <si>
    <t>Chúng tôi đã có một buổi tối thú vị.</t>
  </si>
  <si>
    <t>nearby</t>
  </si>
  <si>
    <t>gần đó</t>
  </si>
  <si>
    <t>We live in nearby town.</t>
  </si>
  <si>
    <t>Chúng tôi sống ở thị trấn gần đó.</t>
  </si>
  <si>
    <t>sweater</t>
  </si>
  <si>
    <t>Wear a warm sweater now.</t>
  </si>
  <si>
    <t>Hãy mặc một chiếc áo len ấm ngay.</t>
  </si>
  <si>
    <t>slave</t>
  </si>
  <si>
    <t>nô lệ</t>
  </si>
  <si>
    <t>He was once a slave.</t>
  </si>
  <si>
    <t>Anh ấy đã từng là một nô lệ.</t>
  </si>
  <si>
    <t>mirror</t>
  </si>
  <si>
    <t>Look in the mirror now.</t>
  </si>
  <si>
    <t>Hãy nhìn vào gương đi.</t>
  </si>
  <si>
    <t>stir</t>
  </si>
  <si>
    <t>khuấy</t>
  </si>
  <si>
    <t>Stir the coffee very well.</t>
  </si>
  <si>
    <t>Hãy khuấy cà phê thật kỹ.</t>
  </si>
  <si>
    <t>multiple</t>
  </si>
  <si>
    <t>There are multiple choices now.</t>
  </si>
  <si>
    <t>Có nhiều sự lựa chọn bây giờ.</t>
  </si>
  <si>
    <t>confer</t>
  </si>
  <si>
    <t>They confer about plans.</t>
  </si>
  <si>
    <t>Họ hội ý về các kế hoạch.</t>
  </si>
  <si>
    <t>logic</t>
  </si>
  <si>
    <t>Use logic to solve problems.</t>
  </si>
  <si>
    <t>Hãy sử dụng logic để giải quyết vấn đề.</t>
  </si>
  <si>
    <t>chunk</t>
  </si>
  <si>
    <t>khúc</t>
  </si>
  <si>
    <t>A chunk of wood.</t>
  </si>
  <si>
    <t>Một khúc gỗ.</t>
  </si>
  <si>
    <t>chop</t>
  </si>
  <si>
    <t>Chop the meat now.</t>
  </si>
  <si>
    <t>Hãy chặt miếng thịt đi.</t>
  </si>
  <si>
    <t>portion</t>
  </si>
  <si>
    <t>Give me a small portion.</t>
  </si>
  <si>
    <t>Cho tôi một phần nhỏ thôi.</t>
  </si>
  <si>
    <t>gut</t>
  </si>
  <si>
    <t>He had a gut feeling.</t>
  </si>
  <si>
    <t>Anh ấy đã có một linh cảm.</t>
  </si>
  <si>
    <t>mad</t>
  </si>
  <si>
    <t>điên</t>
  </si>
  <si>
    <t>He is mad at me.</t>
  </si>
  <si>
    <t>Anh ấy đang giận tôi.</t>
  </si>
  <si>
    <t>pants</t>
  </si>
  <si>
    <t>I bought new pants today.</t>
  </si>
  <si>
    <t>Tôi đã mua quần mới hôm nay.</t>
  </si>
  <si>
    <t>math</t>
  </si>
  <si>
    <t>toán</t>
  </si>
  <si>
    <t>I like doing math problems.</t>
  </si>
  <si>
    <t>Tôi thích làm các bài toán.</t>
  </si>
  <si>
    <t>maths</t>
  </si>
  <si>
    <t>Maths is my favorite subject.</t>
  </si>
  <si>
    <t>Toán là môn học yêu thích của tôi.</t>
  </si>
  <si>
    <t>garage</t>
  </si>
  <si>
    <t>Park the car in garage.</t>
  </si>
  <si>
    <t>Hãy đỗ xe trong gara.</t>
  </si>
  <si>
    <t>scan</t>
  </si>
  <si>
    <t>Please scan this paper document now.</t>
  </si>
  <si>
    <t>Làm ơn quét tài liệu giấy này ngay.</t>
  </si>
  <si>
    <t>spray</t>
  </si>
  <si>
    <t>phun</t>
  </si>
  <si>
    <t>Spray the flowers with water.</t>
  </si>
  <si>
    <t>Hãy phun nước cho những bông hoa.</t>
  </si>
  <si>
    <t>punish</t>
  </si>
  <si>
    <t>phạt</t>
  </si>
  <si>
    <t>Teachers should not punish students unfairly.</t>
  </si>
  <si>
    <t>Giáo viên không nên phạt học sinh một cách bất công.</t>
  </si>
  <si>
    <t>stiff</t>
  </si>
  <si>
    <t>The material is very stiff.</t>
  </si>
  <si>
    <t>Vật liệu rất cứng.</t>
  </si>
  <si>
    <t>harbour</t>
  </si>
  <si>
    <t>The ship entered the harbour.</t>
  </si>
  <si>
    <t>sword</t>
  </si>
  <si>
    <t>kiếm</t>
  </si>
  <si>
    <t>The sword is very sharp.</t>
  </si>
  <si>
    <t>Thanh kiếm rất sắc.</t>
  </si>
  <si>
    <t>hollow</t>
  </si>
  <si>
    <t>rỗng</t>
  </si>
  <si>
    <t>The tree trunk is hollow.</t>
  </si>
  <si>
    <t>Thân cây đó rỗng.</t>
  </si>
  <si>
    <t>shallow</t>
  </si>
  <si>
    <t>The water is quite shallow.</t>
  </si>
  <si>
    <t>Nước khá nông.</t>
  </si>
  <si>
    <t>sue</t>
  </si>
  <si>
    <t>They will sue the company.</t>
  </si>
  <si>
    <t>Họ sẽ kiện công ty.</t>
  </si>
  <si>
    <t>spoon</t>
  </si>
  <si>
    <t>Use a spoon for soup.</t>
  </si>
  <si>
    <t>Hãy dùng một cái thìa cho món súp.</t>
  </si>
  <si>
    <t>scratch</t>
  </si>
  <si>
    <t>Do not scratch the wooden table.</t>
  </si>
  <si>
    <t>Đừng cào mặt bàn gỗ.</t>
  </si>
  <si>
    <t>lean</t>
  </si>
  <si>
    <t>tựa</t>
  </si>
  <si>
    <t>Don't lean against the wall.</t>
  </si>
  <si>
    <t>Đừng tựa vào tường.</t>
  </si>
  <si>
    <t>filter</t>
  </si>
  <si>
    <t>lọc</t>
  </si>
  <si>
    <t>Filter the water before drink.</t>
  </si>
  <si>
    <t>Hãy lọc nước trước khi uống.</t>
  </si>
  <si>
    <t>punch</t>
  </si>
  <si>
    <t>He did punch the heavy bag.</t>
  </si>
  <si>
    <t>Anh ấy đã đấm vào bao cát nặng.</t>
  </si>
  <si>
    <t>slap</t>
  </si>
  <si>
    <t>tát</t>
  </si>
  <si>
    <t>He did slap his face.</t>
  </si>
  <si>
    <t>Anh ấy đã tát vào mặt mình.</t>
  </si>
  <si>
    <t>mate</t>
  </si>
  <si>
    <t>He is my best mate.</t>
  </si>
  <si>
    <t>shave</t>
  </si>
  <si>
    <t>cạo</t>
  </si>
  <si>
    <t>He needs to shave daily.</t>
  </si>
  <si>
    <t>Anh ấy cần cạo râu hàng ngày.</t>
  </si>
  <si>
    <t>sock</t>
  </si>
  <si>
    <t>I lost my red sock.</t>
  </si>
  <si>
    <t>Tôi bị mất chiếc tất đỏ.</t>
  </si>
  <si>
    <t>minor</t>
  </si>
  <si>
    <t>It is a minor problem.</t>
  </si>
  <si>
    <t>Đó là một vấn đề nhỏ.</t>
  </si>
  <si>
    <t>sore</t>
  </si>
  <si>
    <t>My leg is very sore.</t>
  </si>
  <si>
    <t>Chân tôi rất đau.</t>
  </si>
  <si>
    <t>fold</t>
  </si>
  <si>
    <t>Please fold the paper now.</t>
  </si>
  <si>
    <t>Vui lòng gấp tờ giấy ngay.</t>
  </si>
  <si>
    <t>pour</t>
  </si>
  <si>
    <t>Please pour me some tea.</t>
  </si>
  <si>
    <t>Vui lòng rót cho tôi ít trà.</t>
  </si>
  <si>
    <t>rub</t>
  </si>
  <si>
    <t>Please rub your hands together now.</t>
  </si>
  <si>
    <t>Làm ơn xoa hai bàn tay của bạn vào nhau ngay.</t>
  </si>
  <si>
    <t>rubbish</t>
  </si>
  <si>
    <t>Please throw the rubbish away now.</t>
  </si>
  <si>
    <t>Làm ơn vứt rác đi ngay.</t>
  </si>
  <si>
    <t>stamp</t>
  </si>
  <si>
    <t>Put a stamp on envelope.</t>
  </si>
  <si>
    <t>Hãy dán một con tem lên phong bì.</t>
  </si>
  <si>
    <t>scream</t>
  </si>
  <si>
    <t>She did scream very loudly today.</t>
  </si>
  <si>
    <t>Cô ấy đã hét rất to hôm nay.</t>
  </si>
  <si>
    <t>prohibit</t>
  </si>
  <si>
    <t>Smoking is prohibit in this area.</t>
  </si>
  <si>
    <t>Hút thuốc bị cấm trong khu vực này.</t>
  </si>
  <si>
    <t>steer</t>
  </si>
  <si>
    <t>lái</t>
  </si>
  <si>
    <t>Steer the car with care.</t>
  </si>
  <si>
    <t>Hãy lái chiếc xe một cách cẩn thận.</t>
  </si>
  <si>
    <t>slice</t>
  </si>
  <si>
    <t>lát</t>
  </si>
  <si>
    <t>Take a slice of bread.</t>
  </si>
  <si>
    <t>Hãy lấy một lát bánh mì.</t>
  </si>
  <si>
    <t>bounce</t>
  </si>
  <si>
    <t>The ball bounces high.</t>
  </si>
  <si>
    <t>Quả bóng nảy rất cao.</t>
  </si>
  <si>
    <t>bite</t>
  </si>
  <si>
    <t>cắn</t>
  </si>
  <si>
    <t>The dog will not bite.</t>
  </si>
  <si>
    <t>Con chó sẽ không cắn.</t>
  </si>
  <si>
    <t>ink</t>
  </si>
  <si>
    <t>The pen is out of ink.</t>
  </si>
  <si>
    <t>Chiếc bút đã hết mực.</t>
  </si>
  <si>
    <t>snake</t>
  </si>
  <si>
    <t>rắn</t>
  </si>
  <si>
    <t>The snake is very long.</t>
  </si>
  <si>
    <t>Con rắn rất dài.</t>
  </si>
  <si>
    <t>soup</t>
  </si>
  <si>
    <t>The soup tastes very good.</t>
  </si>
  <si>
    <t>Món súp có vị rất ngon.</t>
  </si>
  <si>
    <t>ban</t>
  </si>
  <si>
    <t>They ban smoking in here.</t>
  </si>
  <si>
    <t>Họ cấm hút thuốc ở trong đây.</t>
  </si>
  <si>
    <t>fake</t>
  </si>
  <si>
    <t>giả</t>
  </si>
  <si>
    <t>This is a fake bag.</t>
  </si>
  <si>
    <t>Đây là một chiếc túi giả.</t>
  </si>
  <si>
    <t>raw</t>
  </si>
  <si>
    <t>We need more raw material now.</t>
  </si>
  <si>
    <t>Chúng ta cần thêm nguyên liệu thô bây giờ.</t>
  </si>
  <si>
    <t>withdraw</t>
  </si>
  <si>
    <t>rút</t>
  </si>
  <si>
    <t>Withdraw cash from the bank.</t>
  </si>
  <si>
    <t>Hãy rút tiền mặt từ ngân hàng.</t>
  </si>
  <si>
    <t>wrap</t>
  </si>
  <si>
    <t>Wrap the gift carefully now.</t>
  </si>
  <si>
    <t>Hãy gói món quà thật cẩn thận bây giờ.</t>
  </si>
  <si>
    <t>muscle</t>
  </si>
  <si>
    <t>cơ</t>
  </si>
  <si>
    <t>Build your muscle daily now.</t>
  </si>
  <si>
    <t>Hãy tập cơ bắp hàng ngày ngay.</t>
  </si>
  <si>
    <t>loud</t>
  </si>
  <si>
    <t>Do not speak so loud.</t>
  </si>
  <si>
    <t>Đừng nói quá to.</t>
  </si>
  <si>
    <t>aunt</t>
  </si>
  <si>
    <t>dì</t>
  </si>
  <si>
    <t>My aunt lives in London.</t>
  </si>
  <si>
    <t>Dì của tôi sống ở Luân Đôn.</t>
  </si>
  <si>
    <t>pop</t>
  </si>
  <si>
    <t>nổ</t>
  </si>
  <si>
    <t>The balloon will pop soon.</t>
  </si>
  <si>
    <t>Quả bóng sẽ nổ sớm thôi.</t>
  </si>
  <si>
    <t>embrace</t>
  </si>
  <si>
    <t>They embrace each other warmly.</t>
  </si>
  <si>
    <t>Họ ôm nhau nồng nhiệt.</t>
  </si>
  <si>
    <t>margin</t>
  </si>
  <si>
    <t>lề</t>
  </si>
  <si>
    <t>Write in the wide margin.</t>
  </si>
  <si>
    <t>Hãy viết vào phần lề rộng.</t>
  </si>
  <si>
    <t>yep</t>
  </si>
  <si>
    <t>Yep, I will do it.</t>
  </si>
  <si>
    <t>Ừ, tôi sẽ làm việc đó.</t>
  </si>
  <si>
    <t>discount</t>
  </si>
  <si>
    <t>Get a big discount.</t>
  </si>
  <si>
    <t>Nhận được một khoản giảm giá lớn.</t>
  </si>
  <si>
    <t>effectiveness</t>
  </si>
  <si>
    <t>sự hiệu quả</t>
  </si>
  <si>
    <t>Check the program effectiveness.</t>
  </si>
  <si>
    <t>Kiểm tra sự hiệu quả của chương trình.</t>
  </si>
  <si>
    <t>cope</t>
  </si>
  <si>
    <t>đương đầu</t>
  </si>
  <si>
    <t>Cope with new stress.</t>
  </si>
  <si>
    <t>Đương đầu với những căng thẳng mới.</t>
  </si>
  <si>
    <t>detective</t>
  </si>
  <si>
    <t>A private detective agency.</t>
  </si>
  <si>
    <t>Một văn phòng thám tử tư.</t>
  </si>
  <si>
    <t>diverse</t>
  </si>
  <si>
    <t>A very diverse team.</t>
  </si>
  <si>
    <t>Một đội ngũ rất đa dạng.</t>
  </si>
  <si>
    <t>dramatically</t>
  </si>
  <si>
    <t>một cách ấn tượng</t>
  </si>
  <si>
    <t>Prices increased dramatically now.</t>
  </si>
  <si>
    <t>Giá đã tăng một cách ấn tượng bây giờ.</t>
  </si>
  <si>
    <t>disabled</t>
  </si>
  <si>
    <t>bị khuyết tật</t>
  </si>
  <si>
    <t>A disabled parking spot.</t>
  </si>
  <si>
    <t>Một chỗ đỗ xe cho người khuyết tật.</t>
  </si>
  <si>
    <t>delighted</t>
  </si>
  <si>
    <t>vui sướng</t>
  </si>
  <si>
    <t>Be delighted to help.</t>
  </si>
  <si>
    <t>Rất vui được giúp đỡ.</t>
  </si>
  <si>
    <t>textbook</t>
  </si>
  <si>
    <t>I bought a new textbook.</t>
  </si>
  <si>
    <t>Tôi đã mua một cuốn sách giáo khoa mới.</t>
  </si>
  <si>
    <t>departure</t>
  </si>
  <si>
    <t>sự khởi hành</t>
  </si>
  <si>
    <t>Prepare for sudden departure.</t>
  </si>
  <si>
    <t>Chuẩn bị cho sự khởi hành đột ngột.</t>
  </si>
  <si>
    <t>convey</t>
  </si>
  <si>
    <t>Convey a clear message.</t>
  </si>
  <si>
    <t>Truyền đạt một thông điệp rõ ràng.</t>
  </si>
  <si>
    <t>tackle</t>
  </si>
  <si>
    <t>We must tackle this problem.</t>
  </si>
  <si>
    <t>Chúng ta phải giải quyết vấn đề này.</t>
  </si>
  <si>
    <t>dynamic</t>
  </si>
  <si>
    <t>A very dynamic person.</t>
  </si>
  <si>
    <t>Một người rất năng động.</t>
  </si>
  <si>
    <t>terrific</t>
  </si>
  <si>
    <t>You did a terrific job.</t>
  </si>
  <si>
    <t>trailer</t>
  </si>
  <si>
    <t>xe kéo</t>
  </si>
  <si>
    <t>They pulled a large trailer.</t>
  </si>
  <si>
    <t>Họ đã kéo một chiếc xe kéo lớn.</t>
  </si>
  <si>
    <t>threshold</t>
  </si>
  <si>
    <t>ngưỡng</t>
  </si>
  <si>
    <t>We are at the threshold.</t>
  </si>
  <si>
    <t>Chúng ta đang ở ngưỡng cửa.</t>
  </si>
  <si>
    <t>dancing</t>
  </si>
  <si>
    <t>việc nhảy múa</t>
  </si>
  <si>
    <t>Enjoy the evening dancing.</t>
  </si>
  <si>
    <t>Tận hưởng việc nhảy múa vào buổi tối.</t>
  </si>
  <si>
    <t>distinct</t>
  </si>
  <si>
    <t>A distinct clear voice.</t>
  </si>
  <si>
    <t>Một giọng nói khác biệt và rõ ràng.</t>
  </si>
  <si>
    <t>devil</t>
  </si>
  <si>
    <t>The devil is hidden.</t>
  </si>
  <si>
    <t>Ác quỷ bị ẩn giấu.</t>
  </si>
  <si>
    <t>corruption</t>
  </si>
  <si>
    <t>sự tham nhũng</t>
  </si>
  <si>
    <t>Fight against corruption.</t>
  </si>
  <si>
    <t>Đấu tranh chống lại sự tham nhũng.</t>
  </si>
  <si>
    <t>deposit</t>
  </si>
  <si>
    <t>tiền đặt cọc</t>
  </si>
  <si>
    <t>Pay the initial deposit.</t>
  </si>
  <si>
    <t>Trả tiền đặt cọc ban đầu.</t>
  </si>
  <si>
    <t>distinguish</t>
  </si>
  <si>
    <t>Distinguish right from wrong.</t>
  </si>
  <si>
    <t>Phân biệt đúng sai.</t>
  </si>
  <si>
    <t>dvd</t>
  </si>
  <si>
    <t>đĩa dvd</t>
  </si>
  <si>
    <t>Watch a new dvd.</t>
  </si>
  <si>
    <t>Xem một đĩa DVD mới.</t>
  </si>
  <si>
    <t>diamond</t>
  </si>
  <si>
    <t>kim cương</t>
  </si>
  <si>
    <t>A large bright diamond.</t>
  </si>
  <si>
    <t>Một viên kim cương lớn và sáng.</t>
  </si>
  <si>
    <t>divorced</t>
  </si>
  <si>
    <t>đã ly hôn</t>
  </si>
  <si>
    <t>He is now divorced.</t>
  </si>
  <si>
    <t>Anh ấy bây giờ đã ly hôn.</t>
  </si>
  <si>
    <t>darkness</t>
  </si>
  <si>
    <t>Walk in the darkness.</t>
  </si>
  <si>
    <t>Đi bộ trong bóng tối.</t>
  </si>
  <si>
    <t>determination</t>
  </si>
  <si>
    <t>sự quyết tâm</t>
  </si>
  <si>
    <t>Show great personal determination.</t>
  </si>
  <si>
    <t>Thể hiện sự quyết tâm cá nhân lớn.</t>
  </si>
  <si>
    <t>dominate</t>
  </si>
  <si>
    <t>thống trị</t>
  </si>
  <si>
    <t>Dominate the entire market.</t>
  </si>
  <si>
    <t>Thống trị toàn bộ thị trường.</t>
  </si>
  <si>
    <t>corn</t>
  </si>
  <si>
    <t>ngô</t>
  </si>
  <si>
    <t>Grow corn on farms.</t>
  </si>
  <si>
    <t>Trồng ngô trên các trang trại.</t>
  </si>
  <si>
    <t>dismiss</t>
  </si>
  <si>
    <t>sa thải</t>
  </si>
  <si>
    <t>Dismiss the lazy worker.</t>
  </si>
  <si>
    <t>Sa thải nhân viên lười biếng.</t>
  </si>
  <si>
    <t>delicious</t>
  </si>
  <si>
    <t>A delicious home meal.</t>
  </si>
  <si>
    <t>Một bữa ăn nhà làm ngon tuyệt.</t>
  </si>
  <si>
    <t>unacceptable</t>
  </si>
  <si>
    <t>không thể chấp nhận</t>
  </si>
  <si>
    <t>This is an unacceptable behavior.</t>
  </si>
  <si>
    <t>Đây là hành vi không thể chấp nhận.</t>
  </si>
  <si>
    <t>ignorance</t>
  </si>
  <si>
    <t>Ignorance is no excuse here.</t>
  </si>
  <si>
    <t>Sự thiếu hiểu biết không phải là lý do tại đây.</t>
  </si>
  <si>
    <t>operational</t>
  </si>
  <si>
    <t>sẵn sàng hoạt động</t>
  </si>
  <si>
    <t>The system is now operational.</t>
  </si>
  <si>
    <t>Hệ thống bây giờ đã sẵn sàng hoạt động.</t>
  </si>
  <si>
    <t>bureaucracy</t>
  </si>
  <si>
    <t>bộ máy quan liêu</t>
  </si>
  <si>
    <t>Avoid the complex bureaucracy.</t>
  </si>
  <si>
    <t>Hãy tránh bộ máy quan liêu phức tạp.</t>
  </si>
  <si>
    <t>laboratory</t>
  </si>
  <si>
    <t>She entered the science laboratory.</t>
  </si>
  <si>
    <t>Cô ấy bước vào phòng thí nghiệm khoa học.</t>
  </si>
  <si>
    <t>jet</t>
  </si>
  <si>
    <t>The jet took off quickly.</t>
  </si>
  <si>
    <t>Máy bay phản lực cất cánh nhanh chóng.</t>
  </si>
  <si>
    <t>contempt</t>
  </si>
  <si>
    <t>sự khinh thường</t>
  </si>
  <si>
    <t>He feels total contempt.</t>
  </si>
  <si>
    <t>Anh ấy cảm thấy sự khinh thường.</t>
  </si>
  <si>
    <t>contender</t>
  </si>
  <si>
    <t>người tranh đấu</t>
  </si>
  <si>
    <t>He is a strong contender.</t>
  </si>
  <si>
    <t>Anh ấy là một ứng cử viên mạnh.</t>
  </si>
  <si>
    <t>unhappy</t>
  </si>
  <si>
    <t>không hạnh phúc</t>
  </si>
  <si>
    <t>She looks very unhappy today.</t>
  </si>
  <si>
    <t>Cô ấy trông rất không hạnh phúc hôm nay.</t>
  </si>
  <si>
    <t>unfair</t>
  </si>
  <si>
    <t>không công bằng</t>
  </si>
  <si>
    <t>The rule is very unfair.</t>
  </si>
  <si>
    <t>Quy tắc đó rất không công bằng.</t>
  </si>
  <si>
    <t>cater</t>
  </si>
  <si>
    <t>phục vụ ăn uống</t>
  </si>
  <si>
    <t>They cater for parties.</t>
  </si>
  <si>
    <t>Họ phục vụ ăn uống cho các bữa tiệc.</t>
  </si>
  <si>
    <t>unnecessary</t>
  </si>
  <si>
    <t>không cần thiết</t>
  </si>
  <si>
    <t>This is an unnecessary expense.</t>
  </si>
  <si>
    <t>Đây là một khoản chi tiêu không cần thiết.</t>
  </si>
  <si>
    <t>irrelevant</t>
  </si>
  <si>
    <t>không liên quan</t>
  </si>
  <si>
    <t>Your comment is totally irrelevant.</t>
  </si>
  <si>
    <t>Bình luận của bạn hoàn toàn không liên quan.</t>
  </si>
  <si>
    <t>pension</t>
  </si>
  <si>
    <t>tiền lương hưu</t>
  </si>
  <si>
    <t>He lives on his pension.</t>
  </si>
  <si>
    <t>Ông ấy sống dựa vào tiền lương hưu.</t>
  </si>
  <si>
    <t>leisure</t>
  </si>
  <si>
    <t>Read books in your leisure.</t>
  </si>
  <si>
    <t>Hãy đọc sách trong thời gian rảnh.</t>
  </si>
  <si>
    <t>observer</t>
  </si>
  <si>
    <t>người quan sát</t>
  </si>
  <si>
    <t>The observer wrote a report.</t>
  </si>
  <si>
    <t>Người quan sát đã viết một bản báo cáo.</t>
  </si>
  <si>
    <t>administrator</t>
  </si>
  <si>
    <t>người quản lý</t>
  </si>
  <si>
    <t>Ask the system administrator now.</t>
  </si>
  <si>
    <t>Hãy hỏi người quản lý hệ thống ngay.</t>
  </si>
  <si>
    <t>nerve</t>
  </si>
  <si>
    <t>dây thần kinh</t>
  </si>
  <si>
    <t>Damage to a facial nerve.</t>
  </si>
  <si>
    <t>Tổn thương một dây thần kinh mặt.</t>
  </si>
  <si>
    <t>wander</t>
  </si>
  <si>
    <t>He wandered in the park.</t>
  </si>
  <si>
    <t>Anh ấy đã đi lang thang trong công viên.</t>
  </si>
  <si>
    <t>testimony</t>
  </si>
  <si>
    <t>lời làm chứng</t>
  </si>
  <si>
    <t>Her testimony was very clear.</t>
  </si>
  <si>
    <t>Lời làm chứng của cô ấy rất rõ ràng.</t>
  </si>
  <si>
    <t>activist</t>
  </si>
  <si>
    <t>nhà hoạt động</t>
  </si>
  <si>
    <t>She is a social activist.</t>
  </si>
  <si>
    <t>Cô ấy là một nhà hoạt động xã hội.</t>
  </si>
  <si>
    <t>tolerance</t>
  </si>
  <si>
    <t>sự khoan dung</t>
  </si>
  <si>
    <t>They have zero tolerance now.</t>
  </si>
  <si>
    <t>Họ không có sự khoan dung nào bây giờ.</t>
  </si>
  <si>
    <t>facilitate</t>
  </si>
  <si>
    <t>tạo điều kiện</t>
  </si>
  <si>
    <t>This will facilitate our work.</t>
  </si>
  <si>
    <t>Điều này sẽ tạo điều kiện cho công việc của chúng ta.</t>
  </si>
  <si>
    <t>insider</t>
  </si>
  <si>
    <t>người nội bộ</t>
  </si>
  <si>
    <t>An insider gave the secret.</t>
  </si>
  <si>
    <t>Một người nội bộ đã tiết lộ bí mật.</t>
  </si>
  <si>
    <t>fame</t>
  </si>
  <si>
    <t>sự nổi tiếng</t>
  </si>
  <si>
    <t>He does not seek fame.</t>
  </si>
  <si>
    <t>Anh ấy không tìm kiếm sự nổi tiếng.</t>
  </si>
  <si>
    <t>awkward</t>
  </si>
  <si>
    <t>ngượng ngùng</t>
  </si>
  <si>
    <t>He felt very awkward today.</t>
  </si>
  <si>
    <t>Anh ấy cảm thấy rất ngượng ngùng hôm nay.</t>
  </si>
  <si>
    <t>occasional</t>
  </si>
  <si>
    <t>He makes occasional mistakes.</t>
  </si>
  <si>
    <t>Anh ấy thỉnh thoảng mắc lỗi.</t>
  </si>
  <si>
    <t>hatred</t>
  </si>
  <si>
    <t>lòng căm thù</t>
  </si>
  <si>
    <t>His heart was full of hatred.</t>
  </si>
  <si>
    <t>Trái tim anh ấy đầy lòng căm thù.</t>
  </si>
  <si>
    <t>execution</t>
  </si>
  <si>
    <t>sự thực hiện</t>
  </si>
  <si>
    <t>The execution was perfect today.</t>
  </si>
  <si>
    <t>Sự thực hiện hôm nay đã hoàn hảo.</t>
  </si>
  <si>
    <t>placement</t>
  </si>
  <si>
    <t>việc sắp xếp</t>
  </si>
  <si>
    <t>The placement was done well.</t>
  </si>
  <si>
    <t>Việc sắp xếp đã được thực hiện tốt.</t>
  </si>
  <si>
    <t>therapist</t>
  </si>
  <si>
    <t>nhà trị liệu</t>
  </si>
  <si>
    <t>The therapist gave good advice.</t>
  </si>
  <si>
    <t>Nhà trị liệu đã đưa ra lời khuyên tốt.</t>
  </si>
  <si>
    <t>anniversary</t>
  </si>
  <si>
    <t>ngày kỷ niệm</t>
  </si>
  <si>
    <t>Today is our wedding anniversary.</t>
  </si>
  <si>
    <t>Hôm nay là ngày kỷ niệm ngày cưới của chúng tôi.</t>
  </si>
  <si>
    <t>economist</t>
  </si>
  <si>
    <t>nhà kinh tế</t>
  </si>
  <si>
    <t>A famous chief economist.</t>
  </si>
  <si>
    <t>Một nhà kinh tế trưởng nổi tiếng.</t>
  </si>
  <si>
    <t>disorder</t>
  </si>
  <si>
    <t>sự rối loạn</t>
  </si>
  <si>
    <t>A social public disorder.</t>
  </si>
  <si>
    <t>Một sự rối loạn xã hội công khai.</t>
  </si>
  <si>
    <t>whisky</t>
  </si>
  <si>
    <t>He drinks a small whisky.</t>
  </si>
  <si>
    <t>Anh ấy uống một chút rượu whisky.</t>
  </si>
  <si>
    <t>imprisonment</t>
  </si>
  <si>
    <t>sự giam giữ</t>
  </si>
  <si>
    <t>He faces a long imprisonment.</t>
  </si>
  <si>
    <t>Anh ấy đối mặt với một bản án tù dài.</t>
  </si>
  <si>
    <t>imaginary</t>
  </si>
  <si>
    <t>He has an imaginary friend.</t>
  </si>
  <si>
    <t>Anh ấy có một người bạn tưởng tượng.</t>
  </si>
  <si>
    <t>legend</t>
  </si>
  <si>
    <t>huyền thoại</t>
  </si>
  <si>
    <t>He is a sports legend.</t>
  </si>
  <si>
    <t>Anh ấy là một huyền thoại thể thao.</t>
  </si>
  <si>
    <t>unemployed</t>
  </si>
  <si>
    <t>He is unemployed for months.</t>
  </si>
  <si>
    <t>Anh ấy thất nghiệp được nhiều tháng.</t>
  </si>
  <si>
    <t>appreciation</t>
  </si>
  <si>
    <t>sự cảm kích</t>
  </si>
  <si>
    <t>He showed his deep appreciation.</t>
  </si>
  <si>
    <t>Anh ấy đã thể hiện sự cảm kích sâu sắc.</t>
  </si>
  <si>
    <t>unity</t>
  </si>
  <si>
    <t>Our strength is our unity.</t>
  </si>
  <si>
    <t>Sức mạnh của chúng ta là sự đoàn kết.</t>
  </si>
  <si>
    <t>trauma</t>
  </si>
  <si>
    <t>She suffers from severe trauma.</t>
  </si>
  <si>
    <t>Cô ấy chịu đựng chấn thương nghiêm trọng.</t>
  </si>
  <si>
    <t>enforcement</t>
  </si>
  <si>
    <t>sự thi hành</t>
  </si>
  <si>
    <t>Strict enforcement is required here.</t>
  </si>
  <si>
    <t>Việc thi hành nghiêm ngặt là cần thiết ở đây.</t>
  </si>
  <si>
    <t>bench</t>
  </si>
  <si>
    <t>cái ghế dài</t>
  </si>
  <si>
    <t>They sat on the bench.</t>
  </si>
  <si>
    <t>Họ đã ngồi trên cái ghế dài.</t>
  </si>
  <si>
    <t>systematic</t>
  </si>
  <si>
    <t>có hệ thống</t>
  </si>
  <si>
    <t>We need a systematic approach.</t>
  </si>
  <si>
    <t>Chúng ta cần một cách tiếp cận có hệ thống.</t>
  </si>
  <si>
    <t>mess</t>
  </si>
  <si>
    <t>sự bừa bộn</t>
  </si>
  <si>
    <t>Clean up the big mess.</t>
  </si>
  <si>
    <t>Hãy dọn sạch sự bừa bộn đó.</t>
  </si>
  <si>
    <t>extract</t>
  </si>
  <si>
    <t>trích xuất</t>
  </si>
  <si>
    <t>Extract data from the file.</t>
  </si>
  <si>
    <t>Hãy trích xuất dữ liệu từ tệp tin.</t>
  </si>
  <si>
    <t>outlook</t>
  </si>
  <si>
    <t>He has a positive outlook.</t>
  </si>
  <si>
    <t>Anh ấy có một triển vọng tích cực.</t>
  </si>
  <si>
    <t>prediction</t>
  </si>
  <si>
    <t>Her prediction was correct today.</t>
  </si>
  <si>
    <t>Sự dự đoán của cô ấy đã đúng hôm nay.</t>
  </si>
  <si>
    <t>width</t>
  </si>
  <si>
    <t>Measure the width of it.</t>
  </si>
  <si>
    <t>Hãy đo chiều rộng của nó.</t>
  </si>
  <si>
    <t>passionate</t>
  </si>
  <si>
    <t>đầy đam mê</t>
  </si>
  <si>
    <t>She is a passionate teacher.</t>
  </si>
  <si>
    <t>Cô ấy là một giáo viên đầy đam mê.</t>
  </si>
  <si>
    <t>elegant</t>
  </si>
  <si>
    <t>She wore an elegant dress.</t>
  </si>
  <si>
    <t>Cô ấy mặc một chiếc váy thanh lịch.</t>
  </si>
  <si>
    <t>ward</t>
  </si>
  <si>
    <t>phòng bệnh</t>
  </si>
  <si>
    <t>She works in the ward.</t>
  </si>
  <si>
    <t>Cô ấy làm việc trong phòng bệnh.</t>
  </si>
  <si>
    <t>wise</t>
  </si>
  <si>
    <t>khôn ngoan</t>
  </si>
  <si>
    <t>That is a wise decision.</t>
  </si>
  <si>
    <t>Đó là một quyết định khôn ngoan.</t>
  </si>
  <si>
    <t>transparent</t>
  </si>
  <si>
    <t>The glass is very transparent.</t>
  </si>
  <si>
    <t>Tấm kính rất trong suốt.</t>
  </si>
  <si>
    <t>intact</t>
  </si>
  <si>
    <t>nguyên vẹn</t>
  </si>
  <si>
    <t>The package arrived perfectly intact.</t>
  </si>
  <si>
    <t>Gói hàng đã đến một cách nguyên vẹn hoàn hảo.</t>
  </si>
  <si>
    <t>imagery</t>
  </si>
  <si>
    <t>hình tượng</t>
  </si>
  <si>
    <t>The poem uses vivid imagery.</t>
  </si>
  <si>
    <t>Bài thơ sử dụng hình tượng sinh động.</t>
  </si>
  <si>
    <t>intensify</t>
  </si>
  <si>
    <t>The rain intensified last night.</t>
  </si>
  <si>
    <t>Cơn mưa đã tăng cường vào đêm qua.</t>
  </si>
  <si>
    <t>hopeless</t>
  </si>
  <si>
    <t>The situation seemed truly hopeless.</t>
  </si>
  <si>
    <t>Tình hình có vẻ thực sự tuyệt vọng.</t>
  </si>
  <si>
    <t>kingdom</t>
  </si>
  <si>
    <t>vương quốc</t>
  </si>
  <si>
    <t>They live in a kingdom.</t>
  </si>
  <si>
    <t>Họ sống trong một vương quốc.</t>
  </si>
  <si>
    <t>halfway</t>
  </si>
  <si>
    <t>They stopped halfway there.</t>
  </si>
  <si>
    <t>Họ đã dừng lại giữa chừng ở đó.</t>
  </si>
  <si>
    <t>pizza</t>
  </si>
  <si>
    <t>bánh pizza</t>
  </si>
  <si>
    <t>We ordered a large pizza.</t>
  </si>
  <si>
    <t>Chúng tôi đã đặt một chiếc pizza lớn.</t>
  </si>
  <si>
    <t>dependent</t>
  </si>
  <si>
    <t>Be dependent on others.</t>
  </si>
  <si>
    <t>Bị phụ thuộc vào người khác.</t>
  </si>
  <si>
    <t>matching</t>
  </si>
  <si>
    <t>tương ứng</t>
  </si>
  <si>
    <t>Find the matching colors now.</t>
  </si>
  <si>
    <t>Hãy tìm các màu tương ứng bây giờ.</t>
  </si>
  <si>
    <t>homeland</t>
  </si>
  <si>
    <t>He returned to his homeland.</t>
  </si>
  <si>
    <t>Anh ấy đã trở về quê hương của mình.</t>
  </si>
  <si>
    <t>altogether</t>
  </si>
  <si>
    <t>It is not altogether true.</t>
  </si>
  <si>
    <t>Nó không hoàn toàn đúng.</t>
  </si>
  <si>
    <t>unfortunate</t>
  </si>
  <si>
    <t>không may</t>
  </si>
  <si>
    <t>It was an unfortunate error.</t>
  </si>
  <si>
    <t>Đó là một sai lầm không may.</t>
  </si>
  <si>
    <t>coincide</t>
  </si>
  <si>
    <t>trùng hợp</t>
  </si>
  <si>
    <t>Our plans coincide today.</t>
  </si>
  <si>
    <t>Kế hoạch của chúng ta trùng hợp.</t>
  </si>
  <si>
    <t>tighten</t>
  </si>
  <si>
    <t>thắt chặt</t>
  </si>
  <si>
    <t>Please tighten the screws now.</t>
  </si>
  <si>
    <t>Làm ơn thắt chặt các ốc vít bây giờ.</t>
  </si>
  <si>
    <t>pregnant</t>
  </si>
  <si>
    <t>mang thai</t>
  </si>
  <si>
    <t>She is pregnant right now.</t>
  </si>
  <si>
    <t>Cô ấy đang mang thai ngay bây giờ.</t>
  </si>
  <si>
    <t>pale</t>
  </si>
  <si>
    <t>nhợt nhạt</t>
  </si>
  <si>
    <t>She looks very pale today.</t>
  </si>
  <si>
    <t>Cô ấy trông rất nhợt nhạt hôm nay.</t>
  </si>
  <si>
    <t>architecture</t>
  </si>
  <si>
    <t>She loves the local architecture.</t>
  </si>
  <si>
    <t>Cô ấy yêu thích kiến trúc địa phương.</t>
  </si>
  <si>
    <t>lane</t>
  </si>
  <si>
    <t>làn đường</t>
  </si>
  <si>
    <t>Stay in your own lane.</t>
  </si>
  <si>
    <t>Hãy đi đúng làn đường của bạn.</t>
  </si>
  <si>
    <t>indoors</t>
  </si>
  <si>
    <t>Stay indoors when it rains.</t>
  </si>
  <si>
    <t>Hãy ở trong nhà khi trời mưa.</t>
  </si>
  <si>
    <t>vi-ta-min</t>
  </si>
  <si>
    <t>Take your vitamin daily now.</t>
  </si>
  <si>
    <t>Hãy uống vi-ta-min của bạn hàng ngày.</t>
  </si>
  <si>
    <t>gig</t>
  </si>
  <si>
    <t>The band has a gig.</t>
  </si>
  <si>
    <t>Ban nhạc có một buổi diễn.</t>
  </si>
  <si>
    <t>congregation</t>
  </si>
  <si>
    <t>giáo đoàn</t>
  </si>
  <si>
    <t>The congregation prayed together.</t>
  </si>
  <si>
    <t>Giáo đoàn đã cầu nguyện cùng nhau.</t>
  </si>
  <si>
    <t>elevator</t>
  </si>
  <si>
    <t>thang máy</t>
  </si>
  <si>
    <t>The elevator is out of order.</t>
  </si>
  <si>
    <t>Thang máy đang bị hỏng.</t>
  </si>
  <si>
    <t>gang</t>
  </si>
  <si>
    <t>The gang moved away fast.</t>
  </si>
  <si>
    <t>Băng nhóm đã di chuyển đi nhanh.</t>
  </si>
  <si>
    <t>upwards</t>
  </si>
  <si>
    <t>hướng lên</t>
  </si>
  <si>
    <t>The prices are moving upwards.</t>
  </si>
  <si>
    <t>Giá cả đang tăng lên.</t>
  </si>
  <si>
    <t>bias</t>
  </si>
  <si>
    <t>định kiến</t>
  </si>
  <si>
    <t>The report shows clear bias.</t>
  </si>
  <si>
    <t>Báo cáo cho thấy định kiến rõ ràng.</t>
  </si>
  <si>
    <t>jazz</t>
  </si>
  <si>
    <t>They are listening to jazz.</t>
  </si>
  <si>
    <t>Họ đang nghe nhạc jazz.</t>
  </si>
  <si>
    <t>alliance</t>
  </si>
  <si>
    <t>They formed a strong alliance.</t>
  </si>
  <si>
    <t>Họ đã thành lập một liên minh mạnh mẽ.</t>
  </si>
  <si>
    <t>footage</t>
  </si>
  <si>
    <t>đoạn phim</t>
  </si>
  <si>
    <t>They have the security footage.</t>
  </si>
  <si>
    <t>Họ có đoạn phim an ninh.</t>
  </si>
  <si>
    <t>workshop</t>
  </si>
  <si>
    <t>Attend the morning workshop now.</t>
  </si>
  <si>
    <t>Hãy tham dự hội thảo buổi sáng ngay.</t>
  </si>
  <si>
    <t>bang</t>
  </si>
  <si>
    <t>đập mạnh</t>
  </si>
  <si>
    <t>Don't bang the door shut.</t>
  </si>
  <si>
    <t>Đừng đập mạnh cánh cửa đóng lại.</t>
  </si>
  <si>
    <t>cookie</t>
  </si>
  <si>
    <t>bánh quy</t>
  </si>
  <si>
    <t>Eat a chocolate cookie.</t>
  </si>
  <si>
    <t>Ăn một cái bánh quy sô cô la.</t>
  </si>
  <si>
    <t>lap</t>
  </si>
  <si>
    <t>vòng đua</t>
  </si>
  <si>
    <t>He finished the final lap.</t>
  </si>
  <si>
    <t>Anh ấy đã hoàn thành vòng đua cuối cùng.</t>
  </si>
  <si>
    <t>interim</t>
  </si>
  <si>
    <t>He is an interim manager.</t>
  </si>
  <si>
    <t>Anh ấy là một quản lý tạm thời.</t>
  </si>
  <si>
    <t>trousers</t>
  </si>
  <si>
    <t>quần dài</t>
  </si>
  <si>
    <t>He wears blue trousers today.</t>
  </si>
  <si>
    <t>Anh ấy mặc quần dài màu xanh hôm nay.</t>
  </si>
  <si>
    <t>awake</t>
  </si>
  <si>
    <t>I am still wide awake.</t>
  </si>
  <si>
    <t>Tôi vẫn hoàn toàn tỉnh táo.</t>
  </si>
  <si>
    <t>widespread</t>
  </si>
  <si>
    <t>It is a widespread problem.</t>
  </si>
  <si>
    <t>Đó là một vấn đề phổ biến.</t>
  </si>
  <si>
    <t>partially</t>
  </si>
  <si>
    <t>It is partially done now.</t>
  </si>
  <si>
    <t>Nó đã được thực hiện một phần.</t>
  </si>
  <si>
    <t>verify</t>
  </si>
  <si>
    <t>xác minh</t>
  </si>
  <si>
    <t>Please verify your account today.</t>
  </si>
  <si>
    <t>Làm ơn xác minh tài khoản của bạn hôm nay.</t>
  </si>
  <si>
    <t>elderly</t>
  </si>
  <si>
    <t>cao tuổi</t>
  </si>
  <si>
    <t>She helps the elderly people.</t>
  </si>
  <si>
    <t>Cô ấy giúp đỡ những người cao tuổi.</t>
  </si>
  <si>
    <t>fourteen</t>
  </si>
  <si>
    <t>mười bốn</t>
  </si>
  <si>
    <t>She is fourteen years old.</t>
  </si>
  <si>
    <t>Cô ấy mười bốn tuổi.</t>
  </si>
  <si>
    <t>keen</t>
  </si>
  <si>
    <t>She is keen on learning.</t>
  </si>
  <si>
    <t>Cô ấy rất hăng hái học tập.</t>
  </si>
  <si>
    <t>mystery</t>
  </si>
  <si>
    <t>sự bí ẩn</t>
  </si>
  <si>
    <t>Solve the mystery today now.</t>
  </si>
  <si>
    <t>Hãy giải quyết sự bí ẩn đó ngay.</t>
  </si>
  <si>
    <t>annually</t>
  </si>
  <si>
    <t>The event happens annually here.</t>
  </si>
  <si>
    <t>Sự kiện xảy ra hàng năm ở đây.</t>
  </si>
  <si>
    <t>offering</t>
  </si>
  <si>
    <t>vật phẩm</t>
  </si>
  <si>
    <t>The offering was very generous.</t>
  </si>
  <si>
    <t>Vật phẩm cúng dường rất hào phóng.</t>
  </si>
  <si>
    <t>utility</t>
  </si>
  <si>
    <t>tiện ích</t>
  </si>
  <si>
    <t>The utility is very high.</t>
  </si>
  <si>
    <t>Tiện ích rất cao.</t>
  </si>
  <si>
    <t>bend</t>
  </si>
  <si>
    <t>They bend the metal rod.</t>
  </si>
  <si>
    <t>Họ uốn cong thanh kim loại.</t>
  </si>
  <si>
    <t>trillion</t>
  </si>
  <si>
    <t>They have a trillion dollars.</t>
  </si>
  <si>
    <t>Họ có một nghìn tỷ đô la.</t>
  </si>
  <si>
    <t>invade</t>
  </si>
  <si>
    <t>xâm lược</t>
  </si>
  <si>
    <t>They invaded the small country.</t>
  </si>
  <si>
    <t>Họ đã xâm lược đất nước nhỏ đó.</t>
  </si>
  <si>
    <t>luxury</t>
  </si>
  <si>
    <t>sự xa xỉ</t>
  </si>
  <si>
    <t>They live in luxury now.</t>
  </si>
  <si>
    <t>Họ sống trong sự xa xỉ bây giờ.</t>
  </si>
  <si>
    <t>manufacture</t>
  </si>
  <si>
    <t>They manufacture electronic goods now.</t>
  </si>
  <si>
    <t>Họ đang sản xuất hàng điện tử.</t>
  </si>
  <si>
    <t>undergo</t>
  </si>
  <si>
    <t>They must undergo more training.</t>
  </si>
  <si>
    <t>Họ phải trải qua việc đào tạo thêm.</t>
  </si>
  <si>
    <t>obstacle</t>
  </si>
  <si>
    <t>They overcame every obstacle.</t>
  </si>
  <si>
    <t>Họ đã vượt qua mọi trở ngại.</t>
  </si>
  <si>
    <t>treaty</t>
  </si>
  <si>
    <t>They signed the peace treaty.</t>
  </si>
  <si>
    <t>Họ đã ký hiệp ước hòa bình.</t>
  </si>
  <si>
    <t>bid</t>
  </si>
  <si>
    <t>đấu thầu</t>
  </si>
  <si>
    <t>They won the construction bid.</t>
  </si>
  <si>
    <t>Họ đã thắng gói thầu xây dựng.</t>
  </si>
  <si>
    <t>tricky</t>
  </si>
  <si>
    <t>This is a tricky question.</t>
  </si>
  <si>
    <t>Đây là một câu hỏi phức tạp.</t>
  </si>
  <si>
    <t>heater</t>
  </si>
  <si>
    <t>máy sưởi</t>
  </si>
  <si>
    <t>Turn on the heater now.</t>
  </si>
  <si>
    <t>Hãy bật máy sưởi lên.</t>
  </si>
  <si>
    <t>equip</t>
  </si>
  <si>
    <t>We must equip our office.</t>
  </si>
  <si>
    <t>Chúng ta phải trang bị cho văn phòng mình.</t>
  </si>
  <si>
    <t>utilize</t>
  </si>
  <si>
    <t>We must utilize our resources.</t>
  </si>
  <si>
    <t>Chúng ta phải tận dụng các nguồn lực của mình.</t>
  </si>
  <si>
    <t>thorough</t>
  </si>
  <si>
    <t>We need a thorough check.</t>
  </si>
  <si>
    <t>Chúng ta cần một sự kiểm tra kỹ lưỡng.</t>
  </si>
  <si>
    <t>infer</t>
  </si>
  <si>
    <t>What can you infer here?</t>
  </si>
  <si>
    <t>Bạn có thể suy luận điều gì tại đây?</t>
  </si>
  <si>
    <t>fool</t>
  </si>
  <si>
    <t>Do not act like fool.</t>
  </si>
  <si>
    <t>Đừng hành động như kẻ ngốc.</t>
  </si>
  <si>
    <t>pole</t>
  </si>
  <si>
    <t>cái cột</t>
  </si>
  <si>
    <t>He climbed the high pole.</t>
  </si>
  <si>
    <t>Anh ấy đã leo lên cái cột cao.</t>
  </si>
  <si>
    <t>fever</t>
  </si>
  <si>
    <t>cơn sốt</t>
  </si>
  <si>
    <t>He has a high fever.</t>
  </si>
  <si>
    <t>Anh ấy bị một cơn sốt cao.</t>
  </si>
  <si>
    <t>ethic</t>
  </si>
  <si>
    <t>He has a strong work ethic.</t>
  </si>
  <si>
    <t>Anh ấy có đạo đức làm việc tốt.</t>
  </si>
  <si>
    <t>handful</t>
  </si>
  <si>
    <t>một nắm</t>
  </si>
  <si>
    <t>He took a handful of nuts.</t>
  </si>
  <si>
    <t>Anh ấy đã lấy một nắm hạt.</t>
  </si>
  <si>
    <t>accidentally</t>
  </si>
  <si>
    <t>I accidentally deleted the file.</t>
  </si>
  <si>
    <t>Tôi đã tình cờ xóa tệp đó.</t>
  </si>
  <si>
    <t>frustrated</t>
  </si>
  <si>
    <t>bực bội</t>
  </si>
  <si>
    <t>I feel frustrated with this.</t>
  </si>
  <si>
    <t>Tôi cảm thấy bực bội với điều này.</t>
  </si>
  <si>
    <t>headache</t>
  </si>
  <si>
    <t>I have a bad headache.</t>
  </si>
  <si>
    <t>Tôi bị đau đầu dữ dội.</t>
  </si>
  <si>
    <t>pen</t>
  </si>
  <si>
    <t>cây bút</t>
  </si>
  <si>
    <t>I lost my blue pen.</t>
  </si>
  <si>
    <t>Tôi đã làm mất cây bút xanh của mình.</t>
  </si>
  <si>
    <t>apologize</t>
  </si>
  <si>
    <t>I must apologize for this.</t>
  </si>
  <si>
    <t>Tôi phải xin lỗi vì điều này.</t>
  </si>
  <si>
    <t>frightening</t>
  </si>
  <si>
    <t>It was a frightening experience.</t>
  </si>
  <si>
    <t>Đó là một trải nghiệm đáng sợ.</t>
  </si>
  <si>
    <t>tragic</t>
  </si>
  <si>
    <t>bi thảm</t>
  </si>
  <si>
    <t>It was a tragic event.</t>
  </si>
  <si>
    <t>Đó là một sự kiện bi thảm.</t>
  </si>
  <si>
    <t>unexpected</t>
  </si>
  <si>
    <t>It was an unexpected visit.</t>
  </si>
  <si>
    <t>Đó là một chuyến thăm bất ngờ.</t>
  </si>
  <si>
    <t>upstairs</t>
  </si>
  <si>
    <t>lên lầu</t>
  </si>
  <si>
    <t>Please go upstairs right now.</t>
  </si>
  <si>
    <t>Làm ơn đi lên lầu ngay bây giờ.</t>
  </si>
  <si>
    <t>intriguing</t>
  </si>
  <si>
    <t>That is an intriguing question.</t>
  </si>
  <si>
    <t>Đó là một câu hỏi hấp dẫn.</t>
  </si>
  <si>
    <t>boiler</t>
  </si>
  <si>
    <t>nồi hơi</t>
  </si>
  <si>
    <t>The boiler is heating water.</t>
  </si>
  <si>
    <t>Nồi hơi đang đun nước.</t>
  </si>
  <si>
    <t>fridge</t>
  </si>
  <si>
    <t>The fridge is empty now.</t>
  </si>
  <si>
    <t>Tủ lạnh đang trống rỗng.</t>
  </si>
  <si>
    <t>insertion</t>
  </si>
  <si>
    <t>sự chèn</t>
  </si>
  <si>
    <t>The insertion was very easy.</t>
  </si>
  <si>
    <t>Việc chèn rất dễ dàng.</t>
  </si>
  <si>
    <t>latter</t>
  </si>
  <si>
    <t>The latter option is better.</t>
  </si>
  <si>
    <t>Lựa chọn sau tốt hơn.</t>
  </si>
  <si>
    <t>autumn</t>
  </si>
  <si>
    <t>The leaves fall in autumn.</t>
  </si>
  <si>
    <t>Những chiếc lá rơi vào mùa thu.</t>
  </si>
  <si>
    <t>landing</t>
  </si>
  <si>
    <t>bãi đáp</t>
  </si>
  <si>
    <t>The plane made a landing.</t>
  </si>
  <si>
    <t>Máy bay đã hạ cánh.</t>
  </si>
  <si>
    <t>secular</t>
  </si>
  <si>
    <t>thế tục</t>
  </si>
  <si>
    <t>The school has a secular approach.</t>
  </si>
  <si>
    <t>Trường học có phương pháp tiếp cận thế tục.</t>
  </si>
  <si>
    <t>tuition</t>
  </si>
  <si>
    <t>The tuition fee is high.</t>
  </si>
  <si>
    <t>Học phí rất cao.</t>
  </si>
  <si>
    <t>waiter</t>
  </si>
  <si>
    <t>bồi bàn</t>
  </si>
  <si>
    <t>The waiter brought the food.</t>
  </si>
  <si>
    <t>Bồi bàn đã mang thức ăn đến.</t>
  </si>
  <si>
    <t>administer</t>
  </si>
  <si>
    <t>They administer the local school.</t>
  </si>
  <si>
    <t>Họ quản lý trường học địa phương.</t>
  </si>
  <si>
    <t>praise</t>
  </si>
  <si>
    <t>ca ngợi</t>
  </si>
  <si>
    <t>They praise his hard work.</t>
  </si>
  <si>
    <t>Họ ca ngợi sự chăm chỉ của anh ấy.</t>
  </si>
  <si>
    <t>warehouse</t>
  </si>
  <si>
    <t>nhà kho</t>
  </si>
  <si>
    <t>They stored it in warehouse.</t>
  </si>
  <si>
    <t>Họ đã lưu trữ nó trong nhà kho.</t>
  </si>
  <si>
    <t>physics</t>
  </si>
  <si>
    <t>He loves studying physics now.</t>
  </si>
  <si>
    <t>Anh ấy thích học vật lý bây giờ.</t>
  </si>
  <si>
    <t>lifetime</t>
  </si>
  <si>
    <t>It happens once in lifetime.</t>
  </si>
  <si>
    <t>Nó xảy ra một lần trong đời.</t>
  </si>
  <si>
    <t>legacy</t>
  </si>
  <si>
    <t>It is a lasting legacy.</t>
  </si>
  <si>
    <t>Đó là một di sản lâu bền.</t>
  </si>
  <si>
    <t>inherent</t>
  </si>
  <si>
    <t>vốn có</t>
  </si>
  <si>
    <t>Risk is inherent in business.</t>
  </si>
  <si>
    <t>Rủi ro là vốn có trong kinh doanh.</t>
  </si>
  <si>
    <t>native</t>
  </si>
  <si>
    <t>bản xứ</t>
  </si>
  <si>
    <t>She is a native speaker.</t>
  </si>
  <si>
    <t>Cô ấy là người bản xứ.</t>
  </si>
  <si>
    <t>induce</t>
  </si>
  <si>
    <t>Stress can induce deep sleep.</t>
  </si>
  <si>
    <t>Căng thẳng có thể gây ra giấc ngủ sâu.</t>
  </si>
  <si>
    <t>fare</t>
  </si>
  <si>
    <t>giá vé</t>
  </si>
  <si>
    <t>The bus fare is low.</t>
  </si>
  <si>
    <t>Giá vé xe buýt thấp.</t>
  </si>
  <si>
    <t>beneficial</t>
  </si>
  <si>
    <t>The rain is very beneficial.</t>
  </si>
  <si>
    <t>Cơn mưa rất có lợi.</t>
  </si>
  <si>
    <t>pit</t>
  </si>
  <si>
    <t>cái hố</t>
  </si>
  <si>
    <t>They dug a deep pit.</t>
  </si>
  <si>
    <t>Họ đã đào một cái hố sâu.</t>
  </si>
  <si>
    <t>useless</t>
  </si>
  <si>
    <t>vô ích</t>
  </si>
  <si>
    <t>This item is completely useless.</t>
  </si>
  <si>
    <t>Mặt hàng này hoàn toàn vô ích.</t>
  </si>
  <si>
    <t>underlying</t>
  </si>
  <si>
    <t>We found the underlying cause.</t>
  </si>
  <si>
    <t>Chúng tôi đã tìm thấy nguyên nhân cơ bản.</t>
  </si>
  <si>
    <t>terminal</t>
  </si>
  <si>
    <t>We waited at the terminal.</t>
  </si>
  <si>
    <t>Chúng tôi đã đợi tại nhà ga.</t>
  </si>
  <si>
    <t>leak</t>
  </si>
  <si>
    <t>rò rỉ</t>
  </si>
  <si>
    <t>The pipe started to leak.</t>
  </si>
  <si>
    <t>Đường ống bắt đầu bị rò rỉ.</t>
  </si>
  <si>
    <t>liberty</t>
  </si>
  <si>
    <t>They fought for their liberty.</t>
  </si>
  <si>
    <t>Họ đã chiến đấu vì sự tự do của mình.</t>
  </si>
  <si>
    <t>pile</t>
  </si>
  <si>
    <t>đống</t>
  </si>
  <si>
    <t>He made a high pile.</t>
  </si>
  <si>
    <t>Anh ấy đã tạo ra một đống cao.</t>
  </si>
  <si>
    <t>inject</t>
  </si>
  <si>
    <t>The doctor will inject medicine.</t>
  </si>
  <si>
    <t>Bác sĩ sẽ tiêm thuốc.</t>
  </si>
  <si>
    <t>chuck</t>
  </si>
  <si>
    <t>Chuck the ball here.</t>
  </si>
  <si>
    <t>Hãy ném quả bóng vào đây.</t>
  </si>
  <si>
    <t>horn</t>
  </si>
  <si>
    <t>còi</t>
  </si>
  <si>
    <t>The car sounded its horn.</t>
  </si>
  <si>
    <t>Chiếc xe đã bấm còi.</t>
  </si>
  <si>
    <t>float</t>
  </si>
  <si>
    <t>The wood will float easily.</t>
  </si>
  <si>
    <t>Gỗ sẽ nổi dễ dàng.</t>
  </si>
  <si>
    <t>lamp</t>
  </si>
  <si>
    <t>Turn on the desk lamp.</t>
  </si>
  <si>
    <t>Hãy bật đèn bàn lên.</t>
  </si>
  <si>
    <t>wipe</t>
  </si>
  <si>
    <t>Wipe the table clean now.</t>
  </si>
  <si>
    <t>Hãy lau sạch cái bàn ngay.</t>
  </si>
  <si>
    <t>grandma</t>
  </si>
  <si>
    <t>Grandma baked a delicious cake.</t>
  </si>
  <si>
    <t>Bà đã nướng một chiếc bánh ngon.</t>
  </si>
  <si>
    <t>mummy</t>
  </si>
  <si>
    <t>Mummy gives me sweet candy.</t>
  </si>
  <si>
    <t>Mẹ cho tôi kẹo ngọt.</t>
  </si>
  <si>
    <t>explode</t>
  </si>
  <si>
    <t>The bomb might explode soon.</t>
  </si>
  <si>
    <t>Quả bom có thể sẽ nổ sớm.</t>
  </si>
  <si>
    <t>downtown</t>
  </si>
  <si>
    <t>ở trung tâm</t>
  </si>
  <si>
    <t>Go downtown to shop.</t>
  </si>
  <si>
    <t>Đi tới trung tâm để mua sắm.</t>
  </si>
  <si>
    <t>dimension</t>
  </si>
  <si>
    <t>The box dimension size.</t>
  </si>
  <si>
    <t>Kích thước của chiếc hộp.</t>
  </si>
  <si>
    <t>cute</t>
  </si>
  <si>
    <t>A very cute puppy.</t>
  </si>
  <si>
    <t>Một chú cún rất dễ thương.</t>
  </si>
  <si>
    <t>dominant</t>
  </si>
  <si>
    <t>A dominant market position.</t>
  </si>
  <si>
    <t>Một vị thế thống trị thị trường.</t>
  </si>
  <si>
    <t>creature</t>
  </si>
  <si>
    <t>A strange living creature.</t>
  </si>
  <si>
    <t>Một sinh vật sống kỳ lạ.</t>
  </si>
  <si>
    <t>destination</t>
  </si>
  <si>
    <t>điểm đến</t>
  </si>
  <si>
    <t>Reach the final destination.</t>
  </si>
  <si>
    <t>Đến điểm đến cuối cùng.</t>
  </si>
  <si>
    <t>disability</t>
  </si>
  <si>
    <t>sự khuyết tật</t>
  </si>
  <si>
    <t>Support a physical disability.</t>
  </si>
  <si>
    <t>Hỗ trợ người khuyết tật về thể chất.</t>
  </si>
  <si>
    <t>currency</t>
  </si>
  <si>
    <t>Change your local currency.</t>
  </si>
  <si>
    <t>Đổi tiền tệ địa phương của bạn.</t>
  </si>
  <si>
    <t>dozen</t>
  </si>
  <si>
    <t>Buy a dozen eggs.</t>
  </si>
  <si>
    <t>Mua một tá trứng.</t>
  </si>
  <si>
    <t>distinction</t>
  </si>
  <si>
    <t>No clear distinction found.</t>
  </si>
  <si>
    <t>Không có sự khác biệt rõ ràng nào được tìm thấy.</t>
  </si>
  <si>
    <t>dip</t>
  </si>
  <si>
    <t>nhúng</t>
  </si>
  <si>
    <t>Dip bread into sauce.</t>
  </si>
  <si>
    <t>Nhúng bánh mì vào nước sốt.</t>
  </si>
  <si>
    <t>crack</t>
  </si>
  <si>
    <t>nứt</t>
  </si>
  <si>
    <t>The glass will crack.</t>
  </si>
  <si>
    <t>Cái kính sẽ bị nứt.</t>
  </si>
  <si>
    <t>delight</t>
  </si>
  <si>
    <t>sự vui sướng</t>
  </si>
  <si>
    <t>Fill with pure delight.</t>
  </si>
  <si>
    <t>Lấp đầy với sự vui sướng thuần khiết.</t>
  </si>
  <si>
    <t>dot</t>
  </si>
  <si>
    <t>dấu chấm</t>
  </si>
  <si>
    <t>Put a small dot.</t>
  </si>
  <si>
    <t>Đặt một dấu chấm nhỏ.</t>
  </si>
  <si>
    <t>theoretical</t>
  </si>
  <si>
    <t>thuộc lý thuyết</t>
  </si>
  <si>
    <t>It is just a theoretical study.</t>
  </si>
  <si>
    <t>Đó chỉ là một nghiên cứu thuộc lý thuyết.</t>
  </si>
  <si>
    <t>dispute</t>
  </si>
  <si>
    <t>cuộc tranh chấp</t>
  </si>
  <si>
    <t>Resolve the legal dispute.</t>
  </si>
  <si>
    <t>Giải quyết cuộc tranh chấp pháp lý.</t>
  </si>
  <si>
    <t>tenant</t>
  </si>
  <si>
    <t>người thuê nhà</t>
  </si>
  <si>
    <t>The tenant pays rent monthly.</t>
  </si>
  <si>
    <t>Người thuê nhà trả tiền thuê hàng tháng.</t>
  </si>
  <si>
    <t>conversion</t>
  </si>
  <si>
    <t>Data conversion is complete.</t>
  </si>
  <si>
    <t>Việc chuyển đổi dữ liệu đã hoàn tất.</t>
  </si>
  <si>
    <t>derive</t>
  </si>
  <si>
    <t>bắt nguồn</t>
  </si>
  <si>
    <t>Derive joy from work.</t>
  </si>
  <si>
    <t>Bắt nguồn sự vui vẻ từ công việc.</t>
  </si>
  <si>
    <t>tobacco</t>
  </si>
  <si>
    <t>He stopped using tobacco now.</t>
  </si>
  <si>
    <t>Anh ấy đã ngừng sử dụng thuốc lá bây giờ.</t>
  </si>
  <si>
    <t>trait</t>
  </si>
  <si>
    <t>Honesty is a good trait.</t>
  </si>
  <si>
    <t>Trung thực là một đặc điểm tốt.</t>
  </si>
  <si>
    <t>earnings</t>
  </si>
  <si>
    <t>Increase total company earnings.</t>
  </si>
  <si>
    <t>Tăng tổng thu nhập công ty.</t>
  </si>
  <si>
    <t>tomato</t>
  </si>
  <si>
    <t>cà chua</t>
  </si>
  <si>
    <t>She sliced a fresh tomato.</t>
  </si>
  <si>
    <t>Cô ấy đã thái một quả cà chua tươi.</t>
  </si>
  <si>
    <t>thief</t>
  </si>
  <si>
    <t>The thief ran away quickly.</t>
  </si>
  <si>
    <t>Kẻ trộm đã chạy đi nhanh chóng.</t>
  </si>
  <si>
    <t>crown</t>
  </si>
  <si>
    <t>vương miện</t>
  </si>
  <si>
    <t>The king wore a crown.</t>
  </si>
  <si>
    <t>Nhà vua đội một chiếc vương miện.</t>
  </si>
  <si>
    <t>drawer</t>
  </si>
  <si>
    <t>Open the desk drawer.</t>
  </si>
  <si>
    <t>Mở ngăn kéo bàn làm việc.</t>
  </si>
  <si>
    <t>dirt</t>
  </si>
  <si>
    <t>bụi bẩn</t>
  </si>
  <si>
    <t>Clean all the dirt.</t>
  </si>
  <si>
    <t>Dọn dẹp tất cả bụi bẩn.</t>
  </si>
  <si>
    <t>downstairs</t>
  </si>
  <si>
    <t>ở tầng dưới</t>
  </si>
  <si>
    <t>Go downstairs to eat.</t>
  </si>
  <si>
    <t>Đi xuống tầng dưới để ăn.</t>
  </si>
  <si>
    <t>detect</t>
  </si>
  <si>
    <t>Detect a software bug.</t>
  </si>
  <si>
    <t>Phát hiện một lỗi phần mềm.</t>
  </si>
  <si>
    <t>cotton</t>
  </si>
  <si>
    <t>A soft cotton shirt.</t>
  </si>
  <si>
    <t>Một chiếc áo sơ mi bằng bông mềm.</t>
  </si>
  <si>
    <t>disappointment</t>
  </si>
  <si>
    <t>sự thất vọng</t>
  </si>
  <si>
    <t>Hide your deep disappointment.</t>
  </si>
  <si>
    <t>Che giấu sự thất vọng sâu sắc của bạn.</t>
  </si>
  <si>
    <t>dancer</t>
  </si>
  <si>
    <t>vũ công</t>
  </si>
  <si>
    <t>A professional ballet dancer.</t>
  </si>
  <si>
    <t>Một vũ công ba lê chuyên nghiệp.</t>
  </si>
  <si>
    <t>formally</t>
  </si>
  <si>
    <t>một cách trang trọng</t>
  </si>
  <si>
    <t>He was introduced formally today.</t>
  </si>
  <si>
    <t>Anh ấy đã được giới thiệu một cách trang trọng hôm nay.</t>
  </si>
  <si>
    <t>lighting</t>
  </si>
  <si>
    <t>hệ thống chiếu sáng</t>
  </si>
  <si>
    <t>The lighting is very modern.</t>
  </si>
  <si>
    <t>Hệ thống chiếu sáng rất hiện đại.</t>
  </si>
  <si>
    <t>sculpture</t>
  </si>
  <si>
    <t>tác phẩm điêu khắc</t>
  </si>
  <si>
    <t>He made a beautiful stone sculpture.</t>
  </si>
  <si>
    <t>Anh ấy đã làm một tác phẩm điêu khắc đá đẹp.</t>
  </si>
  <si>
    <t>unbelievable</t>
  </si>
  <si>
    <t>The news is truly unbelievable.</t>
  </si>
  <si>
    <t>Tin tức thực sự không thể tin được.</t>
  </si>
  <si>
    <t>workforce</t>
  </si>
  <si>
    <t>lực lượng lao động</t>
  </si>
  <si>
    <t>They have a skilled workforce.</t>
  </si>
  <si>
    <t>Họ có một lực lượng lao động lành nghề.</t>
  </si>
  <si>
    <t>openly</t>
  </si>
  <si>
    <t>một cách công khai</t>
  </si>
  <si>
    <t>They spoke openly about it.</t>
  </si>
  <si>
    <t>Họ đã nói chuyện một cách công khai về điều đó.</t>
  </si>
  <si>
    <t>extensively</t>
  </si>
  <si>
    <t>một cách rộng rãi</t>
  </si>
  <si>
    <t>It is used quite extensively.</t>
  </si>
  <si>
    <t>Nó được sử dụng khá rộng rãi.</t>
  </si>
  <si>
    <t>mining</t>
  </si>
  <si>
    <t>việc khai thác mỏ</t>
  </si>
  <si>
    <t>Mining is a tough job.</t>
  </si>
  <si>
    <t>Việc khai thác mỏ là một công việc vất vả.</t>
  </si>
  <si>
    <t>spokeswoman</t>
  </si>
  <si>
    <t>nữ phát ngôn viên</t>
  </si>
  <si>
    <t>She is a great spokeswoman.</t>
  </si>
  <si>
    <t>Cô ấy là một nữ phát ngôn viên tuyệt vời.</t>
  </si>
  <si>
    <t>tactical</t>
  </si>
  <si>
    <t>thuộc chiến thuật</t>
  </si>
  <si>
    <t>They made a tactical error.</t>
  </si>
  <si>
    <t>Họ đã mắc một sai lầm về chiến thuật.</t>
  </si>
  <si>
    <t>revolutionary</t>
  </si>
  <si>
    <t>có tính cách mạng</t>
  </si>
  <si>
    <t>This is a revolutionary new idea.</t>
  </si>
  <si>
    <t>Đây là một ý tưởng mới có tính cách mạng.</t>
  </si>
  <si>
    <t>organizational</t>
  </si>
  <si>
    <t>thuộc về tổ chức</t>
  </si>
  <si>
    <t>He has good organizational skills.</t>
  </si>
  <si>
    <t>Anh ấy có kỹ năng tổ chức tốt.</t>
  </si>
  <si>
    <t>enthusiast</t>
  </si>
  <si>
    <t>người nhiệt tình</t>
  </si>
  <si>
    <t>She is a fitness enthusiast.</t>
  </si>
  <si>
    <t>Cô ấy là một người đam mê thể dục.</t>
  </si>
  <si>
    <t>foreigner</t>
  </si>
  <si>
    <t>She met a friendly foreigner.</t>
  </si>
  <si>
    <t>Cô ấy đã gặp một người nước ngoài thân thiện.</t>
  </si>
  <si>
    <t>nicely</t>
  </si>
  <si>
    <t>một cách tốt đẹp</t>
  </si>
  <si>
    <t>The room is nicely decorated.</t>
  </si>
  <si>
    <t>Căn phòng được trang trí rất đẹp.</t>
  </si>
  <si>
    <t>practitioner</t>
  </si>
  <si>
    <t>người hành nghề</t>
  </si>
  <si>
    <t>He is a medical practitioner.</t>
  </si>
  <si>
    <t>Ông ấy là một bác sĩ hành nghề.</t>
  </si>
  <si>
    <t>impatient</t>
  </si>
  <si>
    <t>thiếu kiên nhẫn</t>
  </si>
  <si>
    <t>She is an impatient person.</t>
  </si>
  <si>
    <t>Cô ấy là một người thiếu kiên nhẫn.</t>
  </si>
  <si>
    <t>narrative</t>
  </si>
  <si>
    <t>bài tường thuật</t>
  </si>
  <si>
    <t>The narrative is very long.</t>
  </si>
  <si>
    <t>Bài tường thuật rất dài.</t>
  </si>
  <si>
    <t>sanction</t>
  </si>
  <si>
    <t>lệnh trừng phạt</t>
  </si>
  <si>
    <t>They imposed a new economic sanction.</t>
  </si>
  <si>
    <t>Họ đã áp đặt một lệnh trừng phạt kinh tế mới.</t>
  </si>
  <si>
    <t>calculator</t>
  </si>
  <si>
    <t>máy tính bỏ túi</t>
  </si>
  <si>
    <t>Use a calculator now.</t>
  </si>
  <si>
    <t>Hãy dùng máy tính bỏ túi.</t>
  </si>
  <si>
    <t>butcher</t>
  </si>
  <si>
    <t>người bán thịt</t>
  </si>
  <si>
    <t>Buy meat from the butcher.</t>
  </si>
  <si>
    <t>Mua thịt từ người bán thịt.</t>
  </si>
  <si>
    <t>wherever</t>
  </si>
  <si>
    <t>Go wherever you want now.</t>
  </si>
  <si>
    <t>Đi bất cứ nơi nào bạn muốn.</t>
  </si>
  <si>
    <t>animation</t>
  </si>
  <si>
    <t>He loves this animation movie.</t>
  </si>
  <si>
    <t>Anh ấy yêu thích bộ phim hoạt hình này.</t>
  </si>
  <si>
    <t>prayer</t>
  </si>
  <si>
    <t>He said a short prayer.</t>
  </si>
  <si>
    <t>Anh ấy đã đọc một lời cầu nguyện ngắn.</t>
  </si>
  <si>
    <t>parliamentary</t>
  </si>
  <si>
    <t>thuộc quốc hội</t>
  </si>
  <si>
    <t>It is a parliamentary system.</t>
  </si>
  <si>
    <t>Đó là một hệ thống quốc hội.</t>
  </si>
  <si>
    <t>humanitarian</t>
  </si>
  <si>
    <t>người nhân đạo</t>
  </si>
  <si>
    <t>She is a great humanitarian.</t>
  </si>
  <si>
    <t>Cô ấy là một người nhân đạo tuyệt vời.</t>
  </si>
  <si>
    <t>elite</t>
  </si>
  <si>
    <t>tầng lớp ưu tú</t>
  </si>
  <si>
    <t>The social elite attended the party.</t>
  </si>
  <si>
    <t>Tầng lớp ưu tú đã dự buổi tiệc.</t>
  </si>
  <si>
    <t>adaptation</t>
  </si>
  <si>
    <t>sự thích nghi</t>
  </si>
  <si>
    <t>Adaptation is key to survival.</t>
  </si>
  <si>
    <t>Sự thích nghi là chìa khóa để tồn tại.</t>
  </si>
  <si>
    <t>anyhow</t>
  </si>
  <si>
    <t>Anyhow, we must leave now.</t>
  </si>
  <si>
    <t>Dù sao đi nữa, chúng ta phải đi ngay.</t>
  </si>
  <si>
    <t>sublist</t>
  </si>
  <si>
    <t>danh sách con</t>
  </si>
  <si>
    <t>Check the sublist for details.</t>
  </si>
  <si>
    <t>Hãy kiểm tra danh sách con để biết chi tiết.</t>
  </si>
  <si>
    <t>grin</t>
  </si>
  <si>
    <t>cười toe toét</t>
  </si>
  <si>
    <t>He grinned at the news.</t>
  </si>
  <si>
    <t>Anh ấy cười toe toét trước tin đó.</t>
  </si>
  <si>
    <t>organizer</t>
  </si>
  <si>
    <t>người tổ chức</t>
  </si>
  <si>
    <t>He is the event organizer.</t>
  </si>
  <si>
    <t>Anh ấy là người tổ chức sự kiện.</t>
  </si>
  <si>
    <t>journalism</t>
  </si>
  <si>
    <t>ngành báo chí</t>
  </si>
  <si>
    <t>He studied journalism at school.</t>
  </si>
  <si>
    <t>Anh ấy đã học ngành báo chí ở trường.</t>
  </si>
  <si>
    <t>forth</t>
  </si>
  <si>
    <t>He went back and forth.</t>
  </si>
  <si>
    <t>Anh ấy đã đi tới đi lui.</t>
  </si>
  <si>
    <t>rape</t>
  </si>
  <si>
    <t>vụ cưỡng hiếp</t>
  </si>
  <si>
    <t>Police reported a serious rape case.</t>
  </si>
  <si>
    <t>Cảnh sát đã báo cáo một vụ cưỡng hiếp nghiêm trọng.</t>
  </si>
  <si>
    <t>proceeds</t>
  </si>
  <si>
    <t>tiền thu được</t>
  </si>
  <si>
    <t>Proceeds go to charity work.</t>
  </si>
  <si>
    <t>Tiền thu được dành cho công việc từ thiện.</t>
  </si>
  <si>
    <t>literary</t>
  </si>
  <si>
    <t>thuộc văn học</t>
  </si>
  <si>
    <t>She studies literary works daily.</t>
  </si>
  <si>
    <t>Cô ấy nghiên cứu các tác phẩm văn học hàng ngày.</t>
  </si>
  <si>
    <t>make-up</t>
  </si>
  <si>
    <t>đồ trang điểm</t>
  </si>
  <si>
    <t>She wears light make-up daily.</t>
  </si>
  <si>
    <t>Cô ấy trang điểm nhẹ hàng ngày.</t>
  </si>
  <si>
    <t>athlete</t>
  </si>
  <si>
    <t>The athlete won the race.</t>
  </si>
  <si>
    <t>Vận động viên đó đã thắng cuộc đua.</t>
  </si>
  <si>
    <t>burial</t>
  </si>
  <si>
    <t>việc chôn cất</t>
  </si>
  <si>
    <t>The burial is tomorrow.</t>
  </si>
  <si>
    <t>Lễ chôn cất vào ngày mai.</t>
  </si>
  <si>
    <t>settler</t>
  </si>
  <si>
    <t>người định cư</t>
  </si>
  <si>
    <t>The early settler built homes.</t>
  </si>
  <si>
    <t>Người định cư sớm đã xây dựng nhà cửa.</t>
  </si>
  <si>
    <t>transit</t>
  </si>
  <si>
    <t>The goods are in transit.</t>
  </si>
  <si>
    <t>Hàng hóa đang trong quá trình vận chuyển.</t>
  </si>
  <si>
    <t>orientation</t>
  </si>
  <si>
    <t>sự định hướng</t>
  </si>
  <si>
    <t>The orientation session starts soon.</t>
  </si>
  <si>
    <t>Buổi định hướng bắt đầu sớm thôi.</t>
  </si>
  <si>
    <t>raid</t>
  </si>
  <si>
    <t>cuộc đột kích</t>
  </si>
  <si>
    <t>The police made a night raid.</t>
  </si>
  <si>
    <t>Cảnh sát đã thực hiện một cuộc đột kích ban đêm.</t>
  </si>
  <si>
    <t>riot</t>
  </si>
  <si>
    <t>cuộc bạo loạn</t>
  </si>
  <si>
    <t>The riot started very suddenly today.</t>
  </si>
  <si>
    <t>Cuộc bạo loạn đã bắt đầu rất đột ngột hôm nay.</t>
  </si>
  <si>
    <t>quest</t>
  </si>
  <si>
    <t>cuộc tìm kiếm</t>
  </si>
  <si>
    <t>They are on a quest today.</t>
  </si>
  <si>
    <t>Họ đang trong một cuộc tìm kiếm hôm nay.</t>
  </si>
  <si>
    <t>panic</t>
  </si>
  <si>
    <t>sự hoảng loạn</t>
  </si>
  <si>
    <t>They felt a sudden panic.</t>
  </si>
  <si>
    <t>Họ cảm thấy một sự hoảng loạn bất ngờ.</t>
  </si>
  <si>
    <t>indulge</t>
  </si>
  <si>
    <t>chiều chuộng</t>
  </si>
  <si>
    <t>Do not indulge your children.</t>
  </si>
  <si>
    <t>Đừng chiều chuộng con cái của bạn.</t>
  </si>
  <si>
    <t>annoyed</t>
  </si>
  <si>
    <t>bị làm phiền</t>
  </si>
  <si>
    <t>He felt annoyed by noise.</t>
  </si>
  <si>
    <t>Anh ấy cảm thấy bị làm phiền bởi tiếng ồn.</t>
  </si>
  <si>
    <t>palm</t>
  </si>
  <si>
    <t>He held it in palm.</t>
  </si>
  <si>
    <t>Anh ấy giữ nó trong lòng bàn tay.</t>
  </si>
  <si>
    <t>rage</t>
  </si>
  <si>
    <t>cơn thịnh nộ</t>
  </si>
  <si>
    <t>He was filled with sudden rage.</t>
  </si>
  <si>
    <t>Anh ấy đã tràn đầy cơn thịnh nộ bất ngờ.</t>
  </si>
  <si>
    <t>thereby</t>
  </si>
  <si>
    <t>bằng cách đó</t>
  </si>
  <si>
    <t>He won, thereby winning money.</t>
  </si>
  <si>
    <t>Anh ấy thắng, nhờ đó giành được tiền.</t>
  </si>
  <si>
    <t>remainder</t>
  </si>
  <si>
    <t>I will pay the remainder later.</t>
  </si>
  <si>
    <t>Tôi sẽ trả phần còn lại sau.</t>
  </si>
  <si>
    <t>pregnancy</t>
  </si>
  <si>
    <t>She is in her pregnancy.</t>
  </si>
  <si>
    <t>Cô ấy đang trong thời kỳ mang thai.</t>
  </si>
  <si>
    <t>reportedly</t>
  </si>
  <si>
    <t>theo báo cáo</t>
  </si>
  <si>
    <t>The company is reportedly failing now.</t>
  </si>
  <si>
    <t>Công ty theo báo cáo là đang thất bại.</t>
  </si>
  <si>
    <t>firefighter</t>
  </si>
  <si>
    <t>lính cứu hỏa</t>
  </si>
  <si>
    <t>The firefighter saved the girl.</t>
  </si>
  <si>
    <t>Người lính cứu hỏa đã cứu cô bé.</t>
  </si>
  <si>
    <t>premium</t>
  </si>
  <si>
    <t>phí bảo hiểm</t>
  </si>
  <si>
    <t>The premium is due today.</t>
  </si>
  <si>
    <t>Phí bảo hiểm đến hạn hôm nay.</t>
  </si>
  <si>
    <t>reconstruction</t>
  </si>
  <si>
    <t>sự tái thiết</t>
  </si>
  <si>
    <t>The reconstruction takes much time now.</t>
  </si>
  <si>
    <t>Sự tái thiết mất nhiều thời gian hiện nay.</t>
  </si>
  <si>
    <t>spotlight</t>
  </si>
  <si>
    <t>đèn sân khấu</t>
  </si>
  <si>
    <t>The spotlight is on her.</t>
  </si>
  <si>
    <t>Đèn sân khấu đang chiếu vào cô ấy.</t>
  </si>
  <si>
    <t>functional</t>
  </si>
  <si>
    <t>có chức năng</t>
  </si>
  <si>
    <t>The system is fully functional.</t>
  </si>
  <si>
    <t>Hệ thống hoàn toàn hoạt động tốt.</t>
  </si>
  <si>
    <t>franchise</t>
  </si>
  <si>
    <t>nhượng quyền</t>
  </si>
  <si>
    <t>They bought a new franchise.</t>
  </si>
  <si>
    <t>Họ đã mua một thương hiệu nhượng quyền mới.</t>
  </si>
  <si>
    <t>rebuild</t>
  </si>
  <si>
    <t>xây dựng lại</t>
  </si>
  <si>
    <t>They had to rebuild the house.</t>
  </si>
  <si>
    <t>Họ đã phải xây dựng lại ngôi nhà.</t>
  </si>
  <si>
    <t>probe</t>
  </si>
  <si>
    <t>They launched a deep space probe.</t>
  </si>
  <si>
    <t>Họ đã phóng một tàu thăm dò vũ trụ.</t>
  </si>
  <si>
    <t>rugby</t>
  </si>
  <si>
    <t>bóng bầu dục</t>
  </si>
  <si>
    <t>They play rugby every Sunday now.</t>
  </si>
  <si>
    <t>Họ chơi bóng bầu dục mỗi Chủ nhật.</t>
  </si>
  <si>
    <t>revive</t>
  </si>
  <si>
    <t>làm sống lại</t>
  </si>
  <si>
    <t>They want to revive the market.</t>
  </si>
  <si>
    <t>Họ muốn làm sống lại thị trường.</t>
  </si>
  <si>
    <t>sacred</t>
  </si>
  <si>
    <t>This is a very sacred place.</t>
  </si>
  <si>
    <t>Đây là một nơi rất thiêng liêng.</t>
  </si>
  <si>
    <t>flexibility</t>
  </si>
  <si>
    <t>We need more flexibility now.</t>
  </si>
  <si>
    <t>Chúng ta cần nhiều sự linh hoạt hơn bây giờ.</t>
  </si>
  <si>
    <t>fairness</t>
  </si>
  <si>
    <t>sự công bằng</t>
  </si>
  <si>
    <t>We strive for total fairness.</t>
  </si>
  <si>
    <t>Chúng tôi phấn đấu vì sự công bằng tuyệt đối.</t>
  </si>
  <si>
    <t>helmet</t>
  </si>
  <si>
    <t>mũ bảo hiểm</t>
  </si>
  <si>
    <t>Always wear your safety helmet.</t>
  </si>
  <si>
    <t>Luôn đội mũ bảo hiểm an toàn của bạn.</t>
  </si>
  <si>
    <t>validity</t>
  </si>
  <si>
    <t>tính hợp lệ</t>
  </si>
  <si>
    <t>Check the validity of data.</t>
  </si>
  <si>
    <t>Kiểm tra tính hợp lệ của dữ liệu.</t>
  </si>
  <si>
    <t>objection</t>
  </si>
  <si>
    <t>Does anyone have an objection?</t>
  </si>
  <si>
    <t>Có ai có sự phản đối nào không?</t>
  </si>
  <si>
    <t>restraint</t>
  </si>
  <si>
    <t>sự kiềm chế</t>
  </si>
  <si>
    <t>He showed great restraint today.</t>
  </si>
  <si>
    <t>Anh ấy đã thể hiện sự kiềm chế lớn hôm nay.</t>
  </si>
  <si>
    <t>willingness</t>
  </si>
  <si>
    <t>sự sẵn lòng</t>
  </si>
  <si>
    <t>He showed great willingness today.</t>
  </si>
  <si>
    <t>Anh ấy đã thể hiện sự sẵn lòng lớn hôm nay.</t>
  </si>
  <si>
    <t>backwards</t>
  </si>
  <si>
    <t>về phía sau</t>
  </si>
  <si>
    <t>He stepped backwards very slowly.</t>
  </si>
  <si>
    <t>Anh ấy bước lùi về phía sau rất chậm.</t>
  </si>
  <si>
    <t>fashionable</t>
  </si>
  <si>
    <t>thời thượng</t>
  </si>
  <si>
    <t>He wears fashionable clothes now.</t>
  </si>
  <si>
    <t>Anh ấy mặc quần áo thời thượng bây giờ.</t>
  </si>
  <si>
    <t>inclined</t>
  </si>
  <si>
    <t>I am inclined to agree.</t>
  </si>
  <si>
    <t>Tôi có xu hướng đồng ý.</t>
  </si>
  <si>
    <t>proposition</t>
  </si>
  <si>
    <t>lời đề nghị</t>
  </si>
  <si>
    <t>It is a very good business proposition.</t>
  </si>
  <si>
    <t>Đó là một lời đề nghị kinh doanh rất tốt.</t>
  </si>
  <si>
    <t>apology</t>
  </si>
  <si>
    <t>Please accept my humble apology.</t>
  </si>
  <si>
    <t>Hãy chấp nhận lời xin lỗi khiêm tốn của tôi.</t>
  </si>
  <si>
    <t>questionnaire</t>
  </si>
  <si>
    <t>bản câu hỏi</t>
  </si>
  <si>
    <t>Please fill out this long questionnaire.</t>
  </si>
  <si>
    <t>Làm ơn điền vào bản câu hỏi dài này.</t>
  </si>
  <si>
    <t>encouragement</t>
  </si>
  <si>
    <t>She needs some encouragement now.</t>
  </si>
  <si>
    <t>Cô ấy cần sự khích lệ lúc này.</t>
  </si>
  <si>
    <t>rebel</t>
  </si>
  <si>
    <t>kẻ nổi loạn</t>
  </si>
  <si>
    <t>The rebel fought for his rights.</t>
  </si>
  <si>
    <t>Kẻ nổi loạn đã chiến đấu cho quyền lợi của mình.</t>
  </si>
  <si>
    <t>restoration</t>
  </si>
  <si>
    <t>sự phục hồi</t>
  </si>
  <si>
    <t>The restoration of art is slow.</t>
  </si>
  <si>
    <t>Sự phục hồi nghệ thuật rất chậm.</t>
  </si>
  <si>
    <t>rifle</t>
  </si>
  <si>
    <t>súng trường</t>
  </si>
  <si>
    <t>The soldier held his long rifle.</t>
  </si>
  <si>
    <t>Người lính đã cầm khẩu súng trường dài của mình.</t>
  </si>
  <si>
    <t>overwhelming</t>
  </si>
  <si>
    <t>choáng ngợp</t>
  </si>
  <si>
    <t>The support was truly overwhelming.</t>
  </si>
  <si>
    <t>Sự ủng hộ thực sự rất choáng ngợp.</t>
  </si>
  <si>
    <t>withdrawal</t>
  </si>
  <si>
    <t>sự rút tiền</t>
  </si>
  <si>
    <t>The withdrawal is successful now.</t>
  </si>
  <si>
    <t>Sự rút tiền đã thành công bây giờ.</t>
  </si>
  <si>
    <t>fraud</t>
  </si>
  <si>
    <t>sự gian lận</t>
  </si>
  <si>
    <t>They detected a bank fraud.</t>
  </si>
  <si>
    <t>Họ đã phát hiện một vụ gian lận ngân hàng.</t>
  </si>
  <si>
    <t>ski</t>
  </si>
  <si>
    <t>They love to ski often.</t>
  </si>
  <si>
    <t>Họ thường xuyên đi trượt tuyết.</t>
  </si>
  <si>
    <t>hostility</t>
  </si>
  <si>
    <t>sự thù địch</t>
  </si>
  <si>
    <t>They showed open hostility today.</t>
  </si>
  <si>
    <t>Hôm nay họ đã thể hiện sự thù địch công khai.</t>
  </si>
  <si>
    <t>excellence</t>
  </si>
  <si>
    <t>sự xuất sắc</t>
  </si>
  <si>
    <t>We aim for pure excellence.</t>
  </si>
  <si>
    <t>Chúng ta hướng tới sự xuất sắc tuyệt đối.</t>
  </si>
  <si>
    <t>prompt</t>
  </si>
  <si>
    <t>We need a prompt response today.</t>
  </si>
  <si>
    <t>Hôm nay chúng ta cần một phản hồi nhanh chóng.</t>
  </si>
  <si>
    <t>listener</t>
  </si>
  <si>
    <t>người nghe</t>
  </si>
  <si>
    <t>Be a good active listener.</t>
  </si>
  <si>
    <t>Hãy là một người biết lắng nghe chủ động.</t>
  </si>
  <si>
    <t>backup</t>
  </si>
  <si>
    <t>bản sao lưu</t>
  </si>
  <si>
    <t>Did you create a backup?</t>
  </si>
  <si>
    <t>Bạn đã tạo bản sao lưu chưa?</t>
  </si>
  <si>
    <t>drain</t>
  </si>
  <si>
    <t>Drain the water out.</t>
  </si>
  <si>
    <t>Hãy thoát nước ra ngoài.</t>
  </si>
  <si>
    <t>wound</t>
  </si>
  <si>
    <t>He has a small wound.</t>
  </si>
  <si>
    <t>Anh ấy có một vết thương nhỏ.</t>
  </si>
  <si>
    <t>revenge</t>
  </si>
  <si>
    <t>sự trả thù</t>
  </si>
  <si>
    <t>He wanted revenge for the harm.</t>
  </si>
  <si>
    <t>Anh ấy muốn trả thù cho tổn hại đó.</t>
  </si>
  <si>
    <t>resignation</t>
  </si>
  <si>
    <t>sự từ chức</t>
  </si>
  <si>
    <t>His resignation was a big surprise.</t>
  </si>
  <si>
    <t>Sự từ chức của anh ấy là một bất ngờ lớn.</t>
  </si>
  <si>
    <t>outdoor</t>
  </si>
  <si>
    <t>I like outdoor activities now.</t>
  </si>
  <si>
    <t>Hiện tại tôi thích các hoạt động ngoài trời.</t>
  </si>
  <si>
    <t>high-profile</t>
  </si>
  <si>
    <t>được chú ý</t>
  </si>
  <si>
    <t>It is a high-profile case.</t>
  </si>
  <si>
    <t>Đó là một vụ việc được chú ý cao.</t>
  </si>
  <si>
    <t>fatal</t>
  </si>
  <si>
    <t>chết người</t>
  </si>
  <si>
    <t>It was a fatal mistake.</t>
  </si>
  <si>
    <t>Đó là một sai lầm chết người.</t>
  </si>
  <si>
    <t>monthly</t>
  </si>
  <si>
    <t>hằng tháng</t>
  </si>
  <si>
    <t>Pay the monthly fee now.</t>
  </si>
  <si>
    <t>Hãy thanh toán phí hằng tháng ngay bây giờ.</t>
  </si>
  <si>
    <t>nutrition</t>
  </si>
  <si>
    <t>Proper nutrition is important.</t>
  </si>
  <si>
    <t>Dinh dưỡng đúng cách rất quan trọng.</t>
  </si>
  <si>
    <t>recipient</t>
  </si>
  <si>
    <t>người nhận</t>
  </si>
  <si>
    <t>She is the recipient of awards.</t>
  </si>
  <si>
    <t>Cô ấy là người nhận các giải thưởng.</t>
  </si>
  <si>
    <t>angel</t>
  </si>
  <si>
    <t>thiên thần</t>
  </si>
  <si>
    <t>She sings like an angel.</t>
  </si>
  <si>
    <t>Cô ấy hát như một thiên thần.</t>
  </si>
  <si>
    <t>reluctant</t>
  </si>
  <si>
    <t>She was reluctant to help today.</t>
  </si>
  <si>
    <t>Hôm nay cô ấy đã miễn cưỡng giúp đỡ.</t>
  </si>
  <si>
    <t>electronics</t>
  </si>
  <si>
    <t>đồ điện tử</t>
  </si>
  <si>
    <t>She works in electronics industry.</t>
  </si>
  <si>
    <t>Cô ấy làm trong ngành công nghiệp đồ điện tử.</t>
  </si>
  <si>
    <t>embarrassing</t>
  </si>
  <si>
    <t>gây xấu hổ</t>
  </si>
  <si>
    <t>That was an embarrassing mistake.</t>
  </si>
  <si>
    <t>Đó là một sai lầm gây xấu hổ.</t>
  </si>
  <si>
    <t>scattered</t>
  </si>
  <si>
    <t>bị rải rác</t>
  </si>
  <si>
    <t>The books were scattered everywhere now.</t>
  </si>
  <si>
    <t>Những cuốn sách hiện đang nằm rải rác khắp nơi.</t>
  </si>
  <si>
    <t>reliability</t>
  </si>
  <si>
    <t>độ tin cậy</t>
  </si>
  <si>
    <t>The car has high reliability today.</t>
  </si>
  <si>
    <t>Chiếc xe này hiện có độ tin cậy cao.</t>
  </si>
  <si>
    <t>imminent</t>
  </si>
  <si>
    <t>sắp xảy ra</t>
  </si>
  <si>
    <t>The danger is imminent now.</t>
  </si>
  <si>
    <t>Mối nguy hiểm hiện đang sắp xảy ra.</t>
  </si>
  <si>
    <t>helicopter</t>
  </si>
  <si>
    <t>trực thăng</t>
  </si>
  <si>
    <t>The helicopter flew over us.</t>
  </si>
  <si>
    <t>Chiếc trực thăng đã bay qua chúng tôi.</t>
  </si>
  <si>
    <t>provincial</t>
  </si>
  <si>
    <t>cấp tỉnh</t>
  </si>
  <si>
    <t>The provincial government meets today.</t>
  </si>
  <si>
    <t>Chính quyền cấp tỉnh họp hôm nay.</t>
  </si>
  <si>
    <t>reproduction</t>
  </si>
  <si>
    <t>sự tái tạo</t>
  </si>
  <si>
    <t>The reproduction is very accurate today.</t>
  </si>
  <si>
    <t>Sự tái tạo hôm nay rất chính xác.</t>
  </si>
  <si>
    <t>spectacle</t>
  </si>
  <si>
    <t>The show was a spectacle.</t>
  </si>
  <si>
    <t>Buổi diễn là một cảnh tượng ngoạn mục.</t>
  </si>
  <si>
    <t>weaken</t>
  </si>
  <si>
    <t>The storm did weaken trees.</t>
  </si>
  <si>
    <t>Cơn bão đã làm yếu đi các cái cây.</t>
  </si>
  <si>
    <t>pray</t>
  </si>
  <si>
    <t>They pray for peace daily.</t>
  </si>
  <si>
    <t>Họ cầu nguyện cho hòa bình hàng ngày.</t>
  </si>
  <si>
    <t>transmit</t>
  </si>
  <si>
    <t>truyền tải</t>
  </si>
  <si>
    <t>They transmit data via web.</t>
  </si>
  <si>
    <t>Họ truyền tải dữ liệu qua mạng.</t>
  </si>
  <si>
    <t>attribute</t>
  </si>
  <si>
    <t>thuộc tính</t>
  </si>
  <si>
    <t>This is a useful attribute.</t>
  </si>
  <si>
    <t>Đây là một thuộc tính hữu ích.</t>
  </si>
  <si>
    <t>heighten</t>
  </si>
  <si>
    <t>This will heighten the tension.</t>
  </si>
  <si>
    <t>Điều này sẽ làm tăng cường sự căng thẳng.</t>
  </si>
  <si>
    <t>foster</t>
  </si>
  <si>
    <t>We foster a safe environment.</t>
  </si>
  <si>
    <t>Chúng tôi nuôi dưỡng một môi trường an toàn.</t>
  </si>
  <si>
    <t>pathway</t>
  </si>
  <si>
    <t>We walked on the pathway.</t>
  </si>
  <si>
    <t>Chúng tôi đã đi bộ trên lối đi.</t>
  </si>
  <si>
    <t>stereotype</t>
  </si>
  <si>
    <t>Avoid any common stereotype now.</t>
  </si>
  <si>
    <t>Hãy tránh mọi định kiến phổ biến hiện nay.</t>
  </si>
  <si>
    <t>availability</t>
  </si>
  <si>
    <t>sự sẵn có</t>
  </si>
  <si>
    <t>Check the availability of rooms.</t>
  </si>
  <si>
    <t>Hãy kiểm tra sự sẵn có của các phòng.</t>
  </si>
  <si>
    <t>provoke</t>
  </si>
  <si>
    <t>kích động</t>
  </si>
  <si>
    <t>Do not provoke the wild animal.</t>
  </si>
  <si>
    <t>Đừng kích động con vật hoang dã đó.</t>
  </si>
  <si>
    <t>fluid</t>
  </si>
  <si>
    <t>Drink a lot of fluid.</t>
  </si>
  <si>
    <t>Hãy uống nhiều chất lỏng.</t>
  </si>
  <si>
    <t>carve</t>
  </si>
  <si>
    <t>chạm khắc</t>
  </si>
  <si>
    <t>He carves wood pieces.</t>
  </si>
  <si>
    <t>Anh ấy chạm khắc những miếng gỗ.</t>
  </si>
  <si>
    <t>obsession</t>
  </si>
  <si>
    <t>sự ám ảnh</t>
  </si>
  <si>
    <t>He has an obsession with cars.</t>
  </si>
  <si>
    <t>Anh ấy bị ám ảnh với xe hơi.</t>
  </si>
  <si>
    <t>shiny</t>
  </si>
  <si>
    <t>sáng bóng</t>
  </si>
  <si>
    <t>Her shoes are very shiny.</t>
  </si>
  <si>
    <t>Đôi giày của cô ấy rất sáng bóng.</t>
  </si>
  <si>
    <t>amazed</t>
  </si>
  <si>
    <t>kinh ngạc</t>
  </si>
  <si>
    <t>I am amazed by results.</t>
  </si>
  <si>
    <t>Tôi kinh ngạc bởi kết quả đạt được.</t>
  </si>
  <si>
    <t>utterly</t>
  </si>
  <si>
    <t>I am utterly exhausted now.</t>
  </si>
  <si>
    <t>Bây giờ tôi hoàn toàn kiệt sức.</t>
  </si>
  <si>
    <t>potato</t>
  </si>
  <si>
    <t>khoai tây</t>
  </si>
  <si>
    <t>I peeled a big potato.</t>
  </si>
  <si>
    <t>Tôi đã gọt vỏ một củ khoai tây lớn.</t>
  </si>
  <si>
    <t>advert</t>
  </si>
  <si>
    <t>I saw an advert today.</t>
  </si>
  <si>
    <t>Hôm nay tôi đã thấy một quảng cáo.</t>
  </si>
  <si>
    <t>fundamentally</t>
  </si>
  <si>
    <t>It is fundamentally very right.</t>
  </si>
  <si>
    <t>Nó về cơ bản là rất đúng.</t>
  </si>
  <si>
    <t>exclusively</t>
  </si>
  <si>
    <t>It is used exclusively here.</t>
  </si>
  <si>
    <t>Nó được sử dụng độc quyền ở đây.</t>
  </si>
  <si>
    <t>accomplishment</t>
  </si>
  <si>
    <t>thành tựu</t>
  </si>
  <si>
    <t>It was a great accomplishment.</t>
  </si>
  <si>
    <t>Đó là một thành tựu to lớn.</t>
  </si>
  <si>
    <t>serial</t>
  </si>
  <si>
    <t>It was a serial process.</t>
  </si>
  <si>
    <t>Đó là một quy trình liên tiếp.</t>
  </si>
  <si>
    <t>formerly</t>
  </si>
  <si>
    <t>It was formerly a school.</t>
  </si>
  <si>
    <t>Nơi đây trước đây là một trường học.</t>
  </si>
  <si>
    <t>nonetheless</t>
  </si>
  <si>
    <t>It was late; nonetheless, he worked.</t>
  </si>
  <si>
    <t>Trời đã muộn; tuy nhiên, anh ấy vẫn làm việc.</t>
  </si>
  <si>
    <t>liquid</t>
  </si>
  <si>
    <t>Pour the liquid into cups.</t>
  </si>
  <si>
    <t>Hãy rót chất lỏng vào các cốc.</t>
  </si>
  <si>
    <t>corresponding</t>
  </si>
  <si>
    <t>See the corresponding files.</t>
  </si>
  <si>
    <t>Xem các tệp tin tương ứng.</t>
  </si>
  <si>
    <t>endure</t>
  </si>
  <si>
    <t>She had to endure the pain.</t>
  </si>
  <si>
    <t>Cô ấy phải chịu đựng nỗi đau.</t>
  </si>
  <si>
    <t>ambition</t>
  </si>
  <si>
    <t>tham vọng</t>
  </si>
  <si>
    <t>She has a great ambition.</t>
  </si>
  <si>
    <t>Cô ấy có một tham vọng lớn.</t>
  </si>
  <si>
    <t>sceptical</t>
  </si>
  <si>
    <t>hoài nghi</t>
  </si>
  <si>
    <t>She is sceptical about his plan.</t>
  </si>
  <si>
    <t>Cô ấy hoài nghi về kế hoạch của anh ấy.</t>
  </si>
  <si>
    <t>piano</t>
  </si>
  <si>
    <t>She plays the piano well.</t>
  </si>
  <si>
    <t>Cô ấy chơi đàn piano giỏi.</t>
  </si>
  <si>
    <t>jewellery</t>
  </si>
  <si>
    <t>trang sức</t>
  </si>
  <si>
    <t>She wears expensive jewellery.</t>
  </si>
  <si>
    <t>Cô ấy đeo trang sức đắt tiền.</t>
  </si>
  <si>
    <t>alert</t>
  </si>
  <si>
    <t>cảnh giác</t>
  </si>
  <si>
    <t>Stay alert at all times.</t>
  </si>
  <si>
    <t>Hãy luôn cảnh giác mọi lúc.</t>
  </si>
  <si>
    <t>viewpoint</t>
  </si>
  <si>
    <t>That is an interesting viewpoint.</t>
  </si>
  <si>
    <t>Đó là một quan điểm thú vị.</t>
  </si>
  <si>
    <t>turnover</t>
  </si>
  <si>
    <t>The annual turnover is high.</t>
  </si>
  <si>
    <t>Doanh thu hàng năm rất cao.</t>
  </si>
  <si>
    <t>rat</t>
  </si>
  <si>
    <t>The big rat ran away quickly.</t>
  </si>
  <si>
    <t>Con chuột lớn đã chạy trốn nhanh chóng.</t>
  </si>
  <si>
    <t>outer</t>
  </si>
  <si>
    <t>The outer layer is thin.</t>
  </si>
  <si>
    <t>Lớp bên ngoài rất mỏng.</t>
  </si>
  <si>
    <t>hers</t>
  </si>
  <si>
    <t>của cô ấy</t>
  </si>
  <si>
    <t>The pen is hers now.</t>
  </si>
  <si>
    <t>Chiếc bút đó hiện là của cô ấy.</t>
  </si>
  <si>
    <t>premier</t>
  </si>
  <si>
    <t>The premier spoke today morning.</t>
  </si>
  <si>
    <t>Thủ tướng đã phát biểu sáng nay.</t>
  </si>
  <si>
    <t>robot</t>
  </si>
  <si>
    <t>người máy</t>
  </si>
  <si>
    <t>The robot can walk very fast.</t>
  </si>
  <si>
    <t>Người máy có thể đi lại rất nhanh.</t>
  </si>
  <si>
    <t>slogan</t>
  </si>
  <si>
    <t>The slogan is very catchy.</t>
  </si>
  <si>
    <t>Khẩu hiệu đó rất bắt tai.</t>
  </si>
  <si>
    <t>vein</t>
  </si>
  <si>
    <t>tĩnh mạch</t>
  </si>
  <si>
    <t>The vein is very visible.</t>
  </si>
  <si>
    <t>Tĩnh mạch rất dễ thấy.</t>
  </si>
  <si>
    <t>appropriately</t>
  </si>
  <si>
    <t>They acted very appropriately there.</t>
  </si>
  <si>
    <t>Họ đã hành động rất thích hợp ở đó.</t>
  </si>
  <si>
    <t>voluntary</t>
  </si>
  <si>
    <t>tự nguyện</t>
  </si>
  <si>
    <t>They do some voluntary work.</t>
  </si>
  <si>
    <t>Họ làm một vài công việc tự nguyện.</t>
  </si>
  <si>
    <t>incur</t>
  </si>
  <si>
    <t>gánh chịu</t>
  </si>
  <si>
    <t>They incurred a heavy loss.</t>
  </si>
  <si>
    <t>Họ đã gánh chịu một khoản tổn thất nặng nề.</t>
  </si>
  <si>
    <t>neutral</t>
  </si>
  <si>
    <t>They remained neutral during war.</t>
  </si>
  <si>
    <t>Họ giữ thái độ trung lập trong chiến tranh.</t>
  </si>
  <si>
    <t>palace</t>
  </si>
  <si>
    <t>They visited the grand palace.</t>
  </si>
  <si>
    <t>Họ đã thăm cung điện nguy nga.</t>
  </si>
  <si>
    <t>respective</t>
  </si>
  <si>
    <t>They went to their respective homes.</t>
  </si>
  <si>
    <t>Họ đã về nhà tương ứng của mình.</t>
  </si>
  <si>
    <t>remedy</t>
  </si>
  <si>
    <t>This is the only effective remedy.</t>
  </si>
  <si>
    <t>Đây là biện pháp hiệu quả duy nhất.</t>
  </si>
  <si>
    <t>scandal</t>
  </si>
  <si>
    <t>vụ bê bối</t>
  </si>
  <si>
    <t>This scandal ruined his career today.</t>
  </si>
  <si>
    <t>Vụ bê bối này đã phá hủy sự nghiệp của anh ấy hôm nay.</t>
  </si>
  <si>
    <t>favourable</t>
  </si>
  <si>
    <t>We have a favourable wind.</t>
  </si>
  <si>
    <t>Chúng ta đang có cơn gió thuận lợi.</t>
  </si>
  <si>
    <t>prospective</t>
  </si>
  <si>
    <t>We met with prospective new clients.</t>
  </si>
  <si>
    <t>Chúng tôi đã gặp các khách hàng mới tiềm năng.</t>
  </si>
  <si>
    <t>rear</t>
  </si>
  <si>
    <t>Check the rear of the car.</t>
  </si>
  <si>
    <t>Hãy kiểm tra phía sau chiếc xe.</t>
  </si>
  <si>
    <t>sausage</t>
  </si>
  <si>
    <t>xúc xích</t>
  </si>
  <si>
    <t>He ate a grilled pork sausage.</t>
  </si>
  <si>
    <t>Anh ấy đã ăn một chiếc xúc xích heo nướng.</t>
  </si>
  <si>
    <t>allegation</t>
  </si>
  <si>
    <t>cáo buộc</t>
  </si>
  <si>
    <t>He denies every single allegation.</t>
  </si>
  <si>
    <t>Anh ấy phủ nhận mọi cáo buộc.</t>
  </si>
  <si>
    <t>likewise</t>
  </si>
  <si>
    <t>He did likewise today too.</t>
  </si>
  <si>
    <t>Hôm nay anh ấy cũng đã làm tương tự.</t>
  </si>
  <si>
    <t>visa</t>
  </si>
  <si>
    <t>thị thực</t>
  </si>
  <si>
    <t>He got his new visa.</t>
  </si>
  <si>
    <t>Anh ấy đã nhận được thị thực mới.</t>
  </si>
  <si>
    <t>gambling</t>
  </si>
  <si>
    <t>đánh bạc</t>
  </si>
  <si>
    <t>He hates the gambling game.</t>
  </si>
  <si>
    <t>Anh ấy ghét trò đánh bạc.</t>
  </si>
  <si>
    <t>junior</t>
  </si>
  <si>
    <t>He is a junior staff member.</t>
  </si>
  <si>
    <t>Anh ấy là nhân viên cấp dưới.</t>
  </si>
  <si>
    <t>optimistic</t>
  </si>
  <si>
    <t>lạc quan</t>
  </si>
  <si>
    <t>He is optimistic about success.</t>
  </si>
  <si>
    <t>Anh ấy lạc quan về sự thành công.</t>
  </si>
  <si>
    <t>presently</t>
  </si>
  <si>
    <t>hiện nay</t>
  </si>
  <si>
    <t>He is presently working hard.</t>
  </si>
  <si>
    <t>Hiện nay anh ấy đang làm việc chăm chỉ.</t>
  </si>
  <si>
    <t>poster</t>
  </si>
  <si>
    <t>He put up the poster.</t>
  </si>
  <si>
    <t>Anh ấy đã dán tấm áp phích.</t>
  </si>
  <si>
    <t>humorous</t>
  </si>
  <si>
    <t>He told a humorous story.</t>
  </si>
  <si>
    <t>Anh ấy đã kể một câu chuyện hài hước.</t>
  </si>
  <si>
    <t>scholarship</t>
  </si>
  <si>
    <t>He won a full university scholarship.</t>
  </si>
  <si>
    <t>Anh ấy đã giành được một suất học bổng đại học toàn phần.</t>
  </si>
  <si>
    <t>offensive</t>
  </si>
  <si>
    <t>His language was very offensive.</t>
  </si>
  <si>
    <t>Ngôn ngữ của anh ta rất phản cảm.</t>
  </si>
  <si>
    <t>mortgage</t>
  </si>
  <si>
    <t>thế chấp</t>
  </si>
  <si>
    <t>I paid off my mortgage.</t>
  </si>
  <si>
    <t>Tôi đã trả xong khoản nợ thế chấp của mình.</t>
  </si>
  <si>
    <t>cái ghim</t>
  </si>
  <si>
    <t>I used a small pin.</t>
  </si>
  <si>
    <t>Tôi đã dùng một cái ghim nhỏ.</t>
  </si>
  <si>
    <t>relaxing</t>
  </si>
  <si>
    <t>Music is very relaxing for me.</t>
  </si>
  <si>
    <t>Âm nhạc rất thư giãn đối với tôi.</t>
  </si>
  <si>
    <t>passport</t>
  </si>
  <si>
    <t>Please show me your passport.</t>
  </si>
  <si>
    <t>Vui lòng cho tôi xem hộ chiếu của bạn.</t>
  </si>
  <si>
    <t>envelope</t>
  </si>
  <si>
    <t>Put the letter in envelope.</t>
  </si>
  <si>
    <t>Hãy đặt lá thư vào phong bì.</t>
  </si>
  <si>
    <t>relieved</t>
  </si>
  <si>
    <t>nhẹ nhõm</t>
  </si>
  <si>
    <t>She felt relieved after the news.</t>
  </si>
  <si>
    <t>Cô ấy cảm thấy nhẹ nhõm sau khi nghe tin.</t>
  </si>
  <si>
    <t>mathematics</t>
  </si>
  <si>
    <t>môn toán</t>
  </si>
  <si>
    <t>She studies mathematics at school.</t>
  </si>
  <si>
    <t>Cô ấy học môn toán ở trường.</t>
  </si>
  <si>
    <t>absent</t>
  </si>
  <si>
    <t>She was absent from work.</t>
  </si>
  <si>
    <t>Cô ấy đã vắng mặt tại nơi làm việc.</t>
  </si>
  <si>
    <t>pink</t>
  </si>
  <si>
    <t>She wears a pink dress.</t>
  </si>
  <si>
    <t>Cô ấy mặc một chiếc váy màu hồng.</t>
  </si>
  <si>
    <t>enquire</t>
  </si>
  <si>
    <t>She will enquire about prices.</t>
  </si>
  <si>
    <t>Cô ấy sẽ hỏi thăm về giá cả.</t>
  </si>
  <si>
    <t>oversee</t>
  </si>
  <si>
    <t>She will oversee the project.</t>
  </si>
  <si>
    <t>Cô ấy sẽ giám sát dự án.</t>
  </si>
  <si>
    <t>essence</t>
  </si>
  <si>
    <t>That is the essence of life.</t>
  </si>
  <si>
    <t>Đó là bản chất của cuộc sống.</t>
  </si>
  <si>
    <t>annoying</t>
  </si>
  <si>
    <t>khó chịu</t>
  </si>
  <si>
    <t>That sound is very annoying.</t>
  </si>
  <si>
    <t>Âm thanh đó rất khó chịu.</t>
  </si>
  <si>
    <t>vanish</t>
  </si>
  <si>
    <t>The bird did suddenly vanish.</t>
  </si>
  <si>
    <t>Con chim đã đột nhiên biến mất.</t>
  </si>
  <si>
    <t>oven</t>
  </si>
  <si>
    <t>lò nướng</t>
  </si>
  <si>
    <t>The cake is in the oven.</t>
  </si>
  <si>
    <t>Chiếc bánh đang ở trong lò nướng.</t>
  </si>
  <si>
    <t>lens</t>
  </si>
  <si>
    <t>The camera lens is clean.</t>
  </si>
  <si>
    <t>Ống kính máy ảnh rất sạch.</t>
  </si>
  <si>
    <t>stark</t>
  </si>
  <si>
    <t>trơ trọi</t>
  </si>
  <si>
    <t>The desert is very stark.</t>
  </si>
  <si>
    <t>Sa mạc rất trơ trọi.</t>
  </si>
  <si>
    <t>pulse</t>
  </si>
  <si>
    <t>nhịp tim</t>
  </si>
  <si>
    <t>The doctor checked his pulse.</t>
  </si>
  <si>
    <t>Bác sĩ đã kiểm tra nhịp tim của anh ấy.</t>
  </si>
  <si>
    <t>flame</t>
  </si>
  <si>
    <t>The flame is burning bright.</t>
  </si>
  <si>
    <t>Ngọn lửa đang cháy sáng rực.</t>
  </si>
  <si>
    <t>appealing</t>
  </si>
  <si>
    <t>lôi cuốn</t>
  </si>
  <si>
    <t>The idea is very appealing.</t>
  </si>
  <si>
    <t>Ý tưởng đó rất lôi cuốn.</t>
  </si>
  <si>
    <t>hilarious</t>
  </si>
  <si>
    <t>The movie was truly hilarious.</t>
  </si>
  <si>
    <t>Bộ phim đó thực sự rất hài hước.</t>
  </si>
  <si>
    <t>pan</t>
  </si>
  <si>
    <t>cái chảo</t>
  </si>
  <si>
    <t>The pan is very hot.</t>
  </si>
  <si>
    <t>Cái chảo rất nóng.</t>
  </si>
  <si>
    <t>elaborate</t>
  </si>
  <si>
    <t>The plan is too elaborate.</t>
  </si>
  <si>
    <t>Kế hoạch quá phức tạp.</t>
  </si>
  <si>
    <t>cargo</t>
  </si>
  <si>
    <t>The ship carries cargo.</t>
  </si>
  <si>
    <t>Con tàu chở hàng hóa.</t>
  </si>
  <si>
    <t>render</t>
  </si>
  <si>
    <t>kết xuất</t>
  </si>
  <si>
    <t>The software can render images fast.</t>
  </si>
  <si>
    <t>Phần mềm có thể kết xuất hình ảnh nhanh chóng.</t>
  </si>
  <si>
    <t>halt</t>
  </si>
  <si>
    <t>The train came to halt.</t>
  </si>
  <si>
    <t>Con tàu đã dừng lại.</t>
  </si>
  <si>
    <t>merge</t>
  </si>
  <si>
    <t>sáp nhập</t>
  </si>
  <si>
    <t>The two companies will merge.</t>
  </si>
  <si>
    <t>Hai công ty sẽ sáp nhập.</t>
  </si>
  <si>
    <t>buffer</t>
  </si>
  <si>
    <t>vùng đệm</t>
  </si>
  <si>
    <t>The video is buffering.</t>
  </si>
  <si>
    <t>Video đang chạy vùng đệm.</t>
  </si>
  <si>
    <t>funeral</t>
  </si>
  <si>
    <t>They attended the sad funeral.</t>
  </si>
  <si>
    <t>Họ đã tham dự đám tang buồn.</t>
  </si>
  <si>
    <t>imprison</t>
  </si>
  <si>
    <t>giam giữ</t>
  </si>
  <si>
    <t>They imprisoned the criminal today.</t>
  </si>
  <si>
    <t>Họ đã giam giữ tên tội phạm hôm nay.</t>
  </si>
  <si>
    <t>invoke</t>
  </si>
  <si>
    <t>viện dẫn</t>
  </si>
  <si>
    <t>They invoked the new law.</t>
  </si>
  <si>
    <t>Họ đã viện dẫn đạo luật mới.</t>
  </si>
  <si>
    <t>saint</t>
  </si>
  <si>
    <t>vị thánh</t>
  </si>
  <si>
    <t>They pray to the local saint.</t>
  </si>
  <si>
    <t>Họ cầu nguyện vị thánh địa phương.</t>
  </si>
  <si>
    <t>radical</t>
  </si>
  <si>
    <t>They proposed some very radical changes.</t>
  </si>
  <si>
    <t>Họ đã đề xuất một vài thay đổi rất triệt để.</t>
  </si>
  <si>
    <t>artificial</t>
  </si>
  <si>
    <t>They use artificial light here.</t>
  </si>
  <si>
    <t>Họ sử dụng ánh sáng nhân tạo ở đây.</t>
  </si>
  <si>
    <t>herb</t>
  </si>
  <si>
    <t>thảo mộc</t>
  </si>
  <si>
    <t>They use fresh garden herbs.</t>
  </si>
  <si>
    <t>Họ sử dụng các loại thảo mộc tươi trong vườn.</t>
  </si>
  <si>
    <t>handy</t>
  </si>
  <si>
    <t>This tool is very handy.</t>
  </si>
  <si>
    <t>Công cụ này rất tiện lợi.</t>
  </si>
  <si>
    <t>mutual</t>
  </si>
  <si>
    <t>We have a mutual understanding.</t>
  </si>
  <si>
    <t>Chúng ta có sự hiểu biết lẫn nhau.</t>
  </si>
  <si>
    <t>simulate</t>
  </si>
  <si>
    <t>mô phỏng</t>
  </si>
  <si>
    <t>We simulate the real world.</t>
  </si>
  <si>
    <t>Chúng tôi mô phỏng thế giới thực.</t>
  </si>
  <si>
    <t>bat</t>
  </si>
  <si>
    <t>con dơi</t>
  </si>
  <si>
    <t>A bat flew at night.</t>
  </si>
  <si>
    <t>Một con dơi đã bay vào ban đêm.</t>
  </si>
  <si>
    <t>fraction</t>
  </si>
  <si>
    <t>phân số</t>
  </si>
  <si>
    <t>Calculate this simple math fraction.</t>
  </si>
  <si>
    <t>Hãy tính phân số toán học đơn giản này.</t>
  </si>
  <si>
    <t>reproduce</t>
  </si>
  <si>
    <t>tái tạo</t>
  </si>
  <si>
    <t>Can they reproduce the sound now?</t>
  </si>
  <si>
    <t>Bây giờ họ có thể tái tạo âm thanh không?</t>
  </si>
  <si>
    <t>violate</t>
  </si>
  <si>
    <t>Do not violate the rules.</t>
  </si>
  <si>
    <t>Đừng vi phạm các quy tắc.</t>
  </si>
  <si>
    <t>workout</t>
  </si>
  <si>
    <t>Do your daily workout now.</t>
  </si>
  <si>
    <t>Hãy thực hiện bài tập hằng ngày của bạn ngay bây giờ.</t>
  </si>
  <si>
    <t>fibre</t>
  </si>
  <si>
    <t>chất xơ</t>
  </si>
  <si>
    <t>Eat food with much fibre.</t>
  </si>
  <si>
    <t>Hãy ăn thực phẩm có nhiều chất xơ.</t>
  </si>
  <si>
    <t>explicit</t>
  </si>
  <si>
    <t>Give me an explicit answer.</t>
  </si>
  <si>
    <t>Hãy cho tôi một câu trả lời rõ ràng.</t>
  </si>
  <si>
    <t>beg</t>
  </si>
  <si>
    <t>cầu xin</t>
  </si>
  <si>
    <t>He began to beg help.</t>
  </si>
  <si>
    <t>Anh ấy bắt đầu cầu xin sự giúp đỡ.</t>
  </si>
  <si>
    <t>sack</t>
  </si>
  <si>
    <t>cái bao</t>
  </si>
  <si>
    <t>He carried a heavy grain sack.</t>
  </si>
  <si>
    <t>Anh ấy đã mang một cái bao đựng ngũ cốc nặng.</t>
  </si>
  <si>
    <t>engaging</t>
  </si>
  <si>
    <t>He gave an engaging presentation.</t>
  </si>
  <si>
    <t>Anh ấy đã có một bài thuyết trình hấp dẫn.</t>
  </si>
  <si>
    <t>vice</t>
  </si>
  <si>
    <t>thói hư</t>
  </si>
  <si>
    <t>He has many vices now.</t>
  </si>
  <si>
    <t>Anh ấy hiện có nhiều thói hư.</t>
  </si>
  <si>
    <t>regain</t>
  </si>
  <si>
    <t>He hopes to regain his strength.</t>
  </si>
  <si>
    <t>Anh ấy hy vọng lấy lại sức mạnh của mình.</t>
  </si>
  <si>
    <t>thoughtful</t>
  </si>
  <si>
    <t>chu đáo</t>
  </si>
  <si>
    <t>He is a thoughtful person.</t>
  </si>
  <si>
    <t>Anh ấy là một người chu đáo.</t>
  </si>
  <si>
    <t>polite</t>
  </si>
  <si>
    <t>He is always very polite.</t>
  </si>
  <si>
    <t>Anh ấy luôn rất lịch sự.</t>
  </si>
  <si>
    <t>overly</t>
  </si>
  <si>
    <t>He is overly excited today.</t>
  </si>
  <si>
    <t>Hôm nay anh ấy quá mức phấn khích.</t>
  </si>
  <si>
    <t>profound</t>
  </si>
  <si>
    <t>He made a profound impact here.</t>
  </si>
  <si>
    <t>Anh ấy đã tạo ra một tác động sâu sắc ở đây.</t>
  </si>
  <si>
    <t>query</t>
  </si>
  <si>
    <t>He sent a quick database query.</t>
  </si>
  <si>
    <t>Anh ấy đã gửi một câu hỏi cơ sở dữ liệu nhanh.</t>
  </si>
  <si>
    <t>plead</t>
  </si>
  <si>
    <t>He will plead not guilty.</t>
  </si>
  <si>
    <t>Anh ta sẽ biện hộ là không có tội.</t>
  </si>
  <si>
    <t>upcoming</t>
  </si>
  <si>
    <t>I await the upcoming event.</t>
  </si>
  <si>
    <t>Tôi chờ đợi sự kiện sắp tới.</t>
  </si>
  <si>
    <t>strawberry</t>
  </si>
  <si>
    <t>dâu tây</t>
  </si>
  <si>
    <t>I love a fresh strawberry.</t>
  </si>
  <si>
    <t>Tôi rất thích dâu tây tươi.</t>
  </si>
  <si>
    <t>steak</t>
  </si>
  <si>
    <t>I love a good steak.</t>
  </si>
  <si>
    <t>Tôi rất thích bít tết ngon.</t>
  </si>
  <si>
    <t>renew</t>
  </si>
  <si>
    <t>I must renew my passport today.</t>
  </si>
  <si>
    <t>Tôi phải gia hạn hộ chiếu của mình hôm nay.</t>
  </si>
  <si>
    <t>reassure</t>
  </si>
  <si>
    <t>trấn an</t>
  </si>
  <si>
    <t>I tried to reassure them today.</t>
  </si>
  <si>
    <t>Hôm nay tôi đã cố gắng trấn an họ.</t>
  </si>
  <si>
    <t>glorious</t>
  </si>
  <si>
    <t>vẻ vang</t>
  </si>
  <si>
    <t>It was a glorious victory.</t>
  </si>
  <si>
    <t>Đó là một chiến thắng vẻ vang.</t>
  </si>
  <si>
    <t>modify</t>
  </si>
  <si>
    <t>Modify the design slightly now.</t>
  </si>
  <si>
    <t>Hãy sửa đổi thiết kế một chút ngay bây giờ.</t>
  </si>
  <si>
    <t>retrieve</t>
  </si>
  <si>
    <t>Please retrieve the lost data now.</t>
  </si>
  <si>
    <t>Vui lòng lấy lại dữ liệu bị mất ngay bây giờ.</t>
  </si>
  <si>
    <t>basket</t>
  </si>
  <si>
    <t>cái giỏ</t>
  </si>
  <si>
    <t>Put eggs in the basket.</t>
  </si>
  <si>
    <t>Hãy đặt trứng vào cái giỏ.</t>
  </si>
  <si>
    <t>accordingly</t>
  </si>
  <si>
    <t>Read and act accordingly now.</t>
  </si>
  <si>
    <t>Hãy đọc và hành động phù hợp ngay bây giờ.</t>
  </si>
  <si>
    <t>wisdom</t>
  </si>
  <si>
    <t>She has great daily wisdom.</t>
  </si>
  <si>
    <t>Cô ấy có trí tuệ tuyệt vời hàng ngày.</t>
  </si>
  <si>
    <t>purse</t>
  </si>
  <si>
    <t>ví tiền</t>
  </si>
  <si>
    <t>She lost her small leather purse.</t>
  </si>
  <si>
    <t>Cô ấy đã làm mất chiếc ví da nhỏ.</t>
  </si>
  <si>
    <t>needle</t>
  </si>
  <si>
    <t>She uses a sharp needle.</t>
  </si>
  <si>
    <t>Cô ấy dùng một cây kim sắc.</t>
  </si>
  <si>
    <t>purple</t>
  </si>
  <si>
    <t>She wore a beautiful purple dress.</t>
  </si>
  <si>
    <t>Cô ấy đã mặc một chiếc váy màu tím tuyệt đẹp.</t>
  </si>
  <si>
    <t>bargain</t>
  </si>
  <si>
    <t>món hời</t>
  </si>
  <si>
    <t>That car is a bargain.</t>
  </si>
  <si>
    <t>Chiếc xe đó là một món hời.</t>
  </si>
  <si>
    <t>accountant</t>
  </si>
  <si>
    <t>The accountant checked the books.</t>
  </si>
  <si>
    <t>Người kế toán đã kiểm tra sổ sách.</t>
  </si>
  <si>
    <t>retreat</t>
  </si>
  <si>
    <t>The army had to retreat today.</t>
  </si>
  <si>
    <t>Hôm nay quân đội đã phải rút lui.</t>
  </si>
  <si>
    <t>rotation</t>
  </si>
  <si>
    <t>sự xoay</t>
  </si>
  <si>
    <t>The earth has a slow rotation.</t>
  </si>
  <si>
    <t>Trái đất có một sự xoay chậm.</t>
  </si>
  <si>
    <t>portray</t>
  </si>
  <si>
    <t>The film portrays his life.</t>
  </si>
  <si>
    <t>Bộ phim miêu tả cuộc đời anh ấy.</t>
  </si>
  <si>
    <t>fleet</t>
  </si>
  <si>
    <t>đội tàu</t>
  </si>
  <si>
    <t>The fleet sailed today safely.</t>
  </si>
  <si>
    <t>Đội tàu đã ra khơi an toàn hôm nay.</t>
  </si>
  <si>
    <t>fundraising</t>
  </si>
  <si>
    <t>gây quỹ</t>
  </si>
  <si>
    <t>The fundraising was a success.</t>
  </si>
  <si>
    <t>Sự kiện gây quỹ đã thành công.</t>
  </si>
  <si>
    <t>shatter</t>
  </si>
  <si>
    <t>đập tan</t>
  </si>
  <si>
    <t>The glass will shatter easily.</t>
  </si>
  <si>
    <t>Cái ly sẽ dễ dàng vỡ tan.</t>
  </si>
  <si>
    <t>motor</t>
  </si>
  <si>
    <t>The motor runs very smoothly.</t>
  </si>
  <si>
    <t>Động cơ chạy rất mượt mà.</t>
  </si>
  <si>
    <t>worrying</t>
  </si>
  <si>
    <t>đáng lo</t>
  </si>
  <si>
    <t>The news is very worrying.</t>
  </si>
  <si>
    <t>Tin tức này rất đáng lo.</t>
  </si>
  <si>
    <t>robbery</t>
  </si>
  <si>
    <t>vụ cướp</t>
  </si>
  <si>
    <t>The police investigated the bank robbery.</t>
  </si>
  <si>
    <t>Cảnh sát đã điều tra vụ cướp ngân hàng.</t>
  </si>
  <si>
    <t>satellite</t>
  </si>
  <si>
    <t>The satellite orbits the earth now.</t>
  </si>
  <si>
    <t>Vệ tinh hiện đang quay quanh trái đất.</t>
  </si>
  <si>
    <t>scholar</t>
  </si>
  <si>
    <t>học giả</t>
  </si>
  <si>
    <t>The scholar wrote many famous books.</t>
  </si>
  <si>
    <t>Học giả đó đã viết nhiều cuốn sách nổi tiếng.</t>
  </si>
  <si>
    <t>specimen</t>
  </si>
  <si>
    <t>mẫu vật</t>
  </si>
  <si>
    <t>The specimen is very old.</t>
  </si>
  <si>
    <t>Mẫu vật này rất cũ.</t>
  </si>
  <si>
    <t>canvas</t>
  </si>
  <si>
    <t>vải bạt</t>
  </si>
  <si>
    <t>The tent uses canvas.</t>
  </si>
  <si>
    <t>Cái lều sử dụng vải bạt.</t>
  </si>
  <si>
    <t>toxic</t>
  </si>
  <si>
    <t>độc hại</t>
  </si>
  <si>
    <t>The waste is very toxic.</t>
  </si>
  <si>
    <t>Chất thải rất độc hại.</t>
  </si>
  <si>
    <t>indigenous</t>
  </si>
  <si>
    <t>bản địa</t>
  </si>
  <si>
    <t>They protect the indigenous people.</t>
  </si>
  <si>
    <t>Họ bảo vệ người dân bản địa.</t>
  </si>
  <si>
    <t>hostage</t>
  </si>
  <si>
    <t>They took ten hostages away.</t>
  </si>
  <si>
    <t>Họ đã bắt đi mười con tin.</t>
  </si>
  <si>
    <t>occurrence</t>
  </si>
  <si>
    <t>This is a common occurrence.</t>
  </si>
  <si>
    <t>Đây là một sự việc phổ biến.</t>
  </si>
  <si>
    <t>viable</t>
  </si>
  <si>
    <t>khả thi</t>
  </si>
  <si>
    <t>This is a viable plan.</t>
  </si>
  <si>
    <t>Đây là một kế hoạch khả thi.</t>
  </si>
  <si>
    <t>ritual</t>
  </si>
  <si>
    <t>This is an ancient religious ritual.</t>
  </si>
  <si>
    <t>Đây là một nghi lễ tôn giáo cổ xưa.</t>
  </si>
  <si>
    <t>precious</t>
  </si>
  <si>
    <t>Time is very precious now.</t>
  </si>
  <si>
    <t>Hiện tại thời gian rất quý giá.</t>
  </si>
  <si>
    <t>pencil</t>
  </si>
  <si>
    <t>Use a pencil to write.</t>
  </si>
  <si>
    <t>Hãy dùng bút chì để viết.</t>
  </si>
  <si>
    <t>await</t>
  </si>
  <si>
    <t>chờ đợi</t>
  </si>
  <si>
    <t>We await your reply now.</t>
  </si>
  <si>
    <t>Chúng tôi chờ đợi câu trả lời của bạn ngay bây giờ.</t>
  </si>
  <si>
    <t>accommodate</t>
  </si>
  <si>
    <t>We can accommodate your request.</t>
  </si>
  <si>
    <t>Chúng tôi có thể đáp ứng yêu cầu của bạn.</t>
  </si>
  <si>
    <t>allocate</t>
  </si>
  <si>
    <t>phân bổ</t>
  </si>
  <si>
    <t>We must allocate funds wisely.</t>
  </si>
  <si>
    <t>Chúng ta phải phân bổ quỹ một cách khôn ngoan.</t>
  </si>
  <si>
    <t>fortunate</t>
  </si>
  <si>
    <t>You are very fortunate today.</t>
  </si>
  <si>
    <t>lonely</t>
  </si>
  <si>
    <t>cô đơn</t>
  </si>
  <si>
    <t>Do not feel so lonely.</t>
  </si>
  <si>
    <t>Đừng cảm thấy cô đơn như vậy.</t>
  </si>
  <si>
    <t>frighten</t>
  </si>
  <si>
    <t>làm sợ</t>
  </si>
  <si>
    <t>Do not frighten the child.</t>
  </si>
  <si>
    <t>Đừng làm đứa trẻ sợ hãi.</t>
  </si>
  <si>
    <t>overlook</t>
  </si>
  <si>
    <t>Do not overlook this detail.</t>
  </si>
  <si>
    <t>Đừng bỏ qua chi tiết này.</t>
  </si>
  <si>
    <t>inhibit</t>
  </si>
  <si>
    <t>ức chế</t>
  </si>
  <si>
    <t>Drugs can inhibit cell growth.</t>
  </si>
  <si>
    <t>Thuốc có thể ức chế sự phát triển của tế bào.</t>
  </si>
  <si>
    <t>packet</t>
  </si>
  <si>
    <t>Give me a small packet.</t>
  </si>
  <si>
    <t>Hãy đưa cho tôi một bao bì nhỏ.</t>
  </si>
  <si>
    <t>embarrassed</t>
  </si>
  <si>
    <t>I felt embarrassed by him.</t>
  </si>
  <si>
    <t>Tôi cảm thấy xấu hổ vì anh ấy.</t>
  </si>
  <si>
    <t>endorse</t>
  </si>
  <si>
    <t>I fully endorse this plan.</t>
  </si>
  <si>
    <t>Tôi hoàn toàn ủng hộ kế hoạch này.</t>
  </si>
  <si>
    <t>haunt</t>
  </si>
  <si>
    <t>ám ảnh</t>
  </si>
  <si>
    <t>Memories haunt him every night.</t>
  </si>
  <si>
    <t>Những ký ức ám ảnh anh ấy mỗi đêm.</t>
  </si>
  <si>
    <t>rational</t>
  </si>
  <si>
    <t>Please make a very rational decision.</t>
  </si>
  <si>
    <t>Hãy đưa ra một quyết định rất hợp lý.</t>
  </si>
  <si>
    <t>poetry</t>
  </si>
  <si>
    <t>thơ ca</t>
  </si>
  <si>
    <t>She loves reading old poetry.</t>
  </si>
  <si>
    <t>Cô ấy thích đọc thơ ca cũ.</t>
  </si>
  <si>
    <t>weed</t>
  </si>
  <si>
    <t>cỏ dại</t>
  </si>
  <si>
    <t>She pulled out the weed.</t>
  </si>
  <si>
    <t>Cô ấy đã nhổ cỏ dại.</t>
  </si>
  <si>
    <t>bicycle</t>
  </si>
  <si>
    <t>She rides her bicycle daily.</t>
  </si>
  <si>
    <t>Cô ấy đạp xe hằng ngày.</t>
  </si>
  <si>
    <t>logical</t>
  </si>
  <si>
    <t>That is a logical conclusion.</t>
  </si>
  <si>
    <t>Đó là một kết luận hợp lý.</t>
  </si>
  <si>
    <t>approximate</t>
  </si>
  <si>
    <t>The approximate cost is high.</t>
  </si>
  <si>
    <t>Chi phí xấp xỉ là rất cao.</t>
  </si>
  <si>
    <t>carriage</t>
  </si>
  <si>
    <t>toa xe</t>
  </si>
  <si>
    <t>The carriage is heavy.</t>
  </si>
  <si>
    <t>Toa xe này rất nặng.</t>
  </si>
  <si>
    <t>inhabitant</t>
  </si>
  <si>
    <t>The city has many inhabitants.</t>
  </si>
  <si>
    <t>Thành phố có nhiều cư dân.</t>
  </si>
  <si>
    <t>fierce</t>
  </si>
  <si>
    <t>The competition is very fierce.</t>
  </si>
  <si>
    <t>Sự cạnh tranh rất dữ dội.</t>
  </si>
  <si>
    <t>layout</t>
  </si>
  <si>
    <t>bố cục</t>
  </si>
  <si>
    <t>The layout looks very professional.</t>
  </si>
  <si>
    <t>Bố cục trông rất chuyên nghiệp.</t>
  </si>
  <si>
    <t>odds</t>
  </si>
  <si>
    <t>The odds are in our favor.</t>
  </si>
  <si>
    <t>Cơ hội đang đứng về phía chúng ta.</t>
  </si>
  <si>
    <t>radiation</t>
  </si>
  <si>
    <t>The radiation levels are very low.</t>
  </si>
  <si>
    <t>Các mức độ bức xạ rất thấp.</t>
  </si>
  <si>
    <t>skull</t>
  </si>
  <si>
    <t>hộp sọ</t>
  </si>
  <si>
    <t>The skull was found today.</t>
  </si>
  <si>
    <t>Hộp sọ đã được tìm thấy hôm nay.</t>
  </si>
  <si>
    <t>tribe</t>
  </si>
  <si>
    <t>bộ lạc</t>
  </si>
  <si>
    <t>The tribe lives in forest.</t>
  </si>
  <si>
    <t>Bộ lạc sống trong rừng.</t>
  </si>
  <si>
    <t>reside</t>
  </si>
  <si>
    <t>They reside in a small house.</t>
  </si>
  <si>
    <t>Họ cư trú trong một ngôi nhà nhỏ.</t>
  </si>
  <si>
    <t>elementary</t>
  </si>
  <si>
    <t>This is an elementary lesson.</t>
  </si>
  <si>
    <t>Đây là một bài học cơ bản.</t>
  </si>
  <si>
    <t>inflict</t>
  </si>
  <si>
    <t>War inflicts great human suffering.</t>
  </si>
  <si>
    <t>Chiến tranh gây ra sự đau khổ lớn cho con người.</t>
  </si>
  <si>
    <t>endless</t>
  </si>
  <si>
    <t>vô tận</t>
  </si>
  <si>
    <t>We had an endless discussion.</t>
  </si>
  <si>
    <t>Chúng tôi đã có một cuộc thảo luận vô tận.</t>
  </si>
  <si>
    <t>fry</t>
  </si>
  <si>
    <t>Fry the eggs for breakfast.</t>
  </si>
  <si>
    <t>Hãy chiên trứng cho bữa sáng.</t>
  </si>
  <si>
    <t>vague</t>
  </si>
  <si>
    <t>His answer is very vague.</t>
  </si>
  <si>
    <t>Câu trả lời của anh ấy rất mơ hồ.</t>
  </si>
  <si>
    <t>umbrella</t>
  </si>
  <si>
    <t>cái ô</t>
  </si>
  <si>
    <t>I need an umbrella today.</t>
  </si>
  <si>
    <t>Hôm nay tôi cần một cái ô.</t>
  </si>
  <si>
    <t>bake</t>
  </si>
  <si>
    <t>I will bake a cake.</t>
  </si>
  <si>
    <t>Tôi sẽ nướng một cái bánh.</t>
  </si>
  <si>
    <t>explosive</t>
  </si>
  <si>
    <t>dễ nổ</t>
  </si>
  <si>
    <t>Keep this explosive material safe.</t>
  </si>
  <si>
    <t>Hãy giữ vật liệu dễ nổ này an toàn.</t>
  </si>
  <si>
    <t>thiếc</t>
  </si>
  <si>
    <t>The box is made of tin.</t>
  </si>
  <si>
    <t>Cái hộp được làm bằng thiếc.</t>
  </si>
  <si>
    <t>lion</t>
  </si>
  <si>
    <t>sư tử</t>
  </si>
  <si>
    <t>The lion is a predator.</t>
  </si>
  <si>
    <t>Sư tử là một loài thú săn mồi.</t>
  </si>
  <si>
    <t>noisy</t>
  </si>
  <si>
    <t>The street is very noisy.</t>
  </si>
  <si>
    <t>Con phố rất ồn ào.</t>
  </si>
  <si>
    <t>resemble</t>
  </si>
  <si>
    <t>You resemble your mother very much.</t>
  </si>
  <si>
    <t>Bạn giống mẹ mình rất nhiều.</t>
  </si>
  <si>
    <t>auto</t>
  </si>
  <si>
    <t>He drives his auto daily.</t>
  </si>
  <si>
    <t>Anh ấy lái ô tô của mình hàng ngày.</t>
  </si>
  <si>
    <t>toss</t>
  </si>
  <si>
    <t>tung</t>
  </si>
  <si>
    <t>He tossed the coin up.</t>
  </si>
  <si>
    <t>Anh ấy đã tung đồng xu lên.</t>
  </si>
  <si>
    <t>gasoline</t>
  </si>
  <si>
    <t>I need to buy gasoline.</t>
  </si>
  <si>
    <t>Tôi cần mua xăng.</t>
  </si>
  <si>
    <t>pointed</t>
  </si>
  <si>
    <t>It has a pointed end.</t>
  </si>
  <si>
    <t>Nó có một đầu nhọn.</t>
  </si>
  <si>
    <t>lobby</t>
  </si>
  <si>
    <t>Meet in the hotel lobby.</t>
  </si>
  <si>
    <t>Hãy gặp nhau ở sảnh khách sạn.</t>
  </si>
  <si>
    <t>rotate</t>
  </si>
  <si>
    <t>Please rotate the wheel slowly now.</t>
  </si>
  <si>
    <t>Làm ơn xoay bánh xe một cách chậm rãi.</t>
  </si>
  <si>
    <t>sew</t>
  </si>
  <si>
    <t>She can sew a dress.</t>
  </si>
  <si>
    <t>Cô ấy có thể khâu một chiếc váy.</t>
  </si>
  <si>
    <t>lung</t>
  </si>
  <si>
    <t>Smoking hurts your lung health.</t>
  </si>
  <si>
    <t>Hút thuốc gây hại cho sức khỏe phổi của bạn.</t>
  </si>
  <si>
    <t>soak</t>
  </si>
  <si>
    <t>Soak the beans in water.</t>
  </si>
  <si>
    <t>Hãy ngâm đậu trong nước.</t>
  </si>
  <si>
    <t>acid</t>
  </si>
  <si>
    <t>The acid burned the surface.</t>
  </si>
  <si>
    <t>Axit đã làm bỏng bề mặt đó.</t>
  </si>
  <si>
    <t>sticky</t>
  </si>
  <si>
    <t>The candy is very sticky.</t>
  </si>
  <si>
    <t>Viên kẹo rất dính.</t>
  </si>
  <si>
    <t>leap</t>
  </si>
  <si>
    <t>The cat will leap high.</t>
  </si>
  <si>
    <t>Con mèo sẽ nhảy lên cao.</t>
  </si>
  <si>
    <t>warrant</t>
  </si>
  <si>
    <t>The judge signed the warrant.</t>
  </si>
  <si>
    <t>Thẩm phán đã ký lệnh đó.</t>
  </si>
  <si>
    <t>bitter</t>
  </si>
  <si>
    <t>The medicine is very bitter.</t>
  </si>
  <si>
    <t>Thuốc rất đắng.</t>
  </si>
  <si>
    <t>spider</t>
  </si>
  <si>
    <t>nhện</t>
  </si>
  <si>
    <t>The spider weaves a web.</t>
  </si>
  <si>
    <t>Con nhện dệt một cái mạng.</t>
  </si>
  <si>
    <t>slash</t>
  </si>
  <si>
    <t>cắt giảm</t>
  </si>
  <si>
    <t>They slash the high prices.</t>
  </si>
  <si>
    <t>Họ cắt giảm giá cao.</t>
  </si>
  <si>
    <t>rob</t>
  </si>
  <si>
    <t>They will rob the local bank.</t>
  </si>
  <si>
    <t>Họ sẽ cướp ngân hàng địa phương.</t>
  </si>
  <si>
    <t>array</t>
  </si>
  <si>
    <t>mảng</t>
  </si>
  <si>
    <t>We found an array here.</t>
  </si>
  <si>
    <t>Chúng tôi đã tìm thấy một mảng ở đây.</t>
  </si>
  <si>
    <t>ray</t>
  </si>
  <si>
    <t>tia</t>
  </si>
  <si>
    <t>A ray of light shone in.</t>
  </si>
  <si>
    <t>Một tia sáng đã chiếu vào.</t>
  </si>
  <si>
    <t>delete</t>
  </si>
  <si>
    <t>Delete the old files.</t>
  </si>
  <si>
    <t>Hãy xóa các tệp cũ.</t>
  </si>
  <si>
    <t>grandpa</t>
  </si>
  <si>
    <t>Grandpa told us a story.</t>
  </si>
  <si>
    <t>Ông đã kể cho chúng tôi một câu chuyện.</t>
  </si>
  <si>
    <t>stab</t>
  </si>
  <si>
    <t>He tried to stab him.</t>
  </si>
  <si>
    <t>Anh ấy đã cố đâm anh ấy.</t>
  </si>
  <si>
    <t>rod</t>
  </si>
  <si>
    <t>He used a long fishing rod.</t>
  </si>
  <si>
    <t>Anh ấy đã sử dụng một cái cần câu dài.</t>
  </si>
  <si>
    <t>starve</t>
  </si>
  <si>
    <t>Many people starve without food.</t>
  </si>
  <si>
    <t>Nhiều người bị đói khi không có thực phẩm.</t>
  </si>
  <si>
    <t>strand</t>
  </si>
  <si>
    <t>Pick up a strand hair.</t>
  </si>
  <si>
    <t>Hãy nhặt một sợi tóc lên.</t>
  </si>
  <si>
    <t>screw</t>
  </si>
  <si>
    <t>Please screw the part on tight.</t>
  </si>
  <si>
    <t>Làm ơn vặn chặt phần đó vào.</t>
  </si>
  <si>
    <t>silk</t>
  </si>
  <si>
    <t>She wears a silk dress.</t>
  </si>
  <si>
    <t>Cô ấy mặc một chiếc váy lụa.</t>
  </si>
  <si>
    <t>garbage</t>
  </si>
  <si>
    <t>Take out the garbage now.</t>
  </si>
  <si>
    <t>Hãy mang rác ra ngoài ngay bây giờ.</t>
  </si>
  <si>
    <t>elephant</t>
  </si>
  <si>
    <t>The elephant is very large.</t>
  </si>
  <si>
    <t>Con voi rất to lớn.</t>
  </si>
  <si>
    <t>spicy</t>
  </si>
  <si>
    <t>The food is very spicy.</t>
  </si>
  <si>
    <t>Thức ăn rất cay.</t>
  </si>
  <si>
    <t>boiling</t>
  </si>
  <si>
    <t>The soup is boiling hot.</t>
  </si>
  <si>
    <t>Món súp đang sôi nóng.</t>
  </si>
  <si>
    <t>vessel</t>
  </si>
  <si>
    <t>The vessel is very large.</t>
  </si>
  <si>
    <t>Con tàu rất lớn.</t>
  </si>
  <si>
    <t>oxygen</t>
  </si>
  <si>
    <t>We need oxygen to live.</t>
  </si>
  <si>
    <t>Chúng ta cần oxy để sống.</t>
  </si>
  <si>
    <t>wow</t>
  </si>
  <si>
    <t>Wow, that is amazing now!</t>
  </si>
  <si>
    <t>Wow, cái đó thật tuyệt vời!</t>
  </si>
  <si>
    <t>rip</t>
  </si>
  <si>
    <t>Did you rip your new shirt?</t>
  </si>
  <si>
    <t>Bạn đã xé chiếc áo sơ mi mới của mình phải không?</t>
  </si>
  <si>
    <t>blind</t>
  </si>
  <si>
    <t>mù</t>
  </si>
  <si>
    <t>He is blind but happy.</t>
  </si>
  <si>
    <t>Anh ấy mù nhưng hạnh phúc.</t>
  </si>
  <si>
    <t>shove</t>
  </si>
  <si>
    <t>xô</t>
  </si>
  <si>
    <t>He tried to shove me.</t>
  </si>
  <si>
    <t>Anh ấy đã cố xô tôi.</t>
  </si>
  <si>
    <t>mommy</t>
  </si>
  <si>
    <t>Mommy loves me very much.</t>
  </si>
  <si>
    <t>Mẹ yêu con rất nhiều.</t>
  </si>
  <si>
    <t>leather</t>
  </si>
  <si>
    <t>She wears a leather jacket.</t>
  </si>
  <si>
    <t>Cô ấy mặc một chiếc áo khoác da.</t>
  </si>
  <si>
    <t>creativity</t>
  </si>
  <si>
    <t>sự sáng tạo</t>
  </si>
  <si>
    <t>Encourage employee creativity.</t>
  </si>
  <si>
    <t>Hãy khuyến khích sự sáng tạo của nhân viên.</t>
  </si>
  <si>
    <t>directory</t>
  </si>
  <si>
    <t>thư mục</t>
  </si>
  <si>
    <t>Search the phone directory.</t>
  </si>
  <si>
    <t>Tìm kiếm trong thư mục điện thoại.</t>
  </si>
  <si>
    <t>desktop</t>
  </si>
  <si>
    <t>máy tính để bàn</t>
  </si>
  <si>
    <t>A fast desktop computer.</t>
  </si>
  <si>
    <t>Một máy tính để bàn nhanh.</t>
  </si>
  <si>
    <t>documentary</t>
  </si>
  <si>
    <t>phim tài liệu</t>
  </si>
  <si>
    <t>Watch a nature documentary.</t>
  </si>
  <si>
    <t>Xem một bộ phim tài liệu về thiên nhiên.</t>
  </si>
  <si>
    <t>conviction</t>
  </si>
  <si>
    <t>tiền án</t>
  </si>
  <si>
    <t>Have a criminal conviction.</t>
  </si>
  <si>
    <t>Có một tiền án hình sự.</t>
  </si>
  <si>
    <t>curtain</t>
  </si>
  <si>
    <t>rèm cửa</t>
  </si>
  <si>
    <t>Close the heavy curtain.</t>
  </si>
  <si>
    <t>Đóng tấm rèm cửa nặng.</t>
  </si>
  <si>
    <t>convincing</t>
  </si>
  <si>
    <t>Give a convincing argument.</t>
  </si>
  <si>
    <t>Đưa ra một lập luận thuyết phục.</t>
  </si>
  <si>
    <t>dislike</t>
  </si>
  <si>
    <t>không thích</t>
  </si>
  <si>
    <t>I dislike the taste.</t>
  </si>
  <si>
    <t>Tôi không thích hương vị này.</t>
  </si>
  <si>
    <t>dull</t>
  </si>
  <si>
    <t>A very dull story.</t>
  </si>
  <si>
    <t>Một câu chuyện rất nhàm chán.</t>
  </si>
  <si>
    <t>tolerate</t>
  </si>
  <si>
    <t>I cannot tolerate this noise.</t>
  </si>
  <si>
    <t>Tôi không thể chịu đựng được tiếng ồn này.</t>
  </si>
  <si>
    <t>thrilled</t>
  </si>
  <si>
    <t>I was thrilled to win.</t>
  </si>
  <si>
    <t>Tôi đã rất vui sướng khi chiến thắng.</t>
  </si>
  <si>
    <t>tile</t>
  </si>
  <si>
    <t>gạch lát</t>
  </si>
  <si>
    <t>They bought some floor tile.</t>
  </si>
  <si>
    <t>Họ đã mua một ít gạch lát sàn.</t>
  </si>
  <si>
    <t>delicate</t>
  </si>
  <si>
    <t>A very delicate task.</t>
  </si>
  <si>
    <t>Một nhiệm vụ rất tinh tế.</t>
  </si>
  <si>
    <t>tender</t>
  </si>
  <si>
    <t>The meat is very tender.</t>
  </si>
  <si>
    <t>Miếng thịt rất mềm mại.</t>
  </si>
  <si>
    <t>crowded</t>
  </si>
  <si>
    <t>A crowded shopping mall.</t>
  </si>
  <si>
    <t>Một trung tâm mua sắm đông đúc.</t>
  </si>
  <si>
    <t>dictionary</t>
  </si>
  <si>
    <t>Use an online dictionary.</t>
  </si>
  <si>
    <t>Sử dụng từ điển trực tuyến.</t>
  </si>
  <si>
    <t>correction</t>
  </si>
  <si>
    <t>Make a small correction.</t>
  </si>
  <si>
    <t>Thực hiện một sự sửa chữa nhỏ.</t>
  </si>
  <si>
    <t>depart</t>
  </si>
  <si>
    <t>The train will depart.</t>
  </si>
  <si>
    <t>Con tàu sẽ khởi hành.</t>
  </si>
  <si>
    <t>dive</t>
  </si>
  <si>
    <t>Dive into the sea.</t>
  </si>
  <si>
    <t>Hãy lặn xuống biển.</t>
  </si>
  <si>
    <t>disadvantage</t>
  </si>
  <si>
    <t>A major business disadvantage.</t>
  </si>
  <si>
    <t>Một bất lợi lớn trong kinh doanh.</t>
  </si>
  <si>
    <t>drunk</t>
  </si>
  <si>
    <t>He is very drunk.</t>
  </si>
  <si>
    <t>Anh ấy đang rất say.</t>
  </si>
  <si>
    <t>dare</t>
  </si>
  <si>
    <t>dám</t>
  </si>
  <si>
    <t>I dare to ask.</t>
  </si>
  <si>
    <t>Tôi dám hỏi.</t>
  </si>
  <si>
    <t>defensive</t>
  </si>
  <si>
    <t>mang tính phòng thủ</t>
  </si>
  <si>
    <t>A defensive playing style.</t>
  </si>
  <si>
    <t>Một phong cách chơi mang tính phòng thủ.</t>
  </si>
  <si>
    <t>disturb</t>
  </si>
  <si>
    <t>Do not disturb now.</t>
  </si>
  <si>
    <t>Đừng làm phiền bây giờ.</t>
  </si>
  <si>
    <t>texture</t>
  </si>
  <si>
    <t>The fabric has soft texture.</t>
  </si>
  <si>
    <t>Loại vải này có kết cấu mềm.</t>
  </si>
  <si>
    <t>copper</t>
  </si>
  <si>
    <t>Copper is a metal.</t>
  </si>
  <si>
    <t>Đồng là một loại kim loại.</t>
  </si>
  <si>
    <t>dealer</t>
  </si>
  <si>
    <t>người kinh doanh</t>
  </si>
  <si>
    <t>A car sales dealer.</t>
  </si>
  <si>
    <t>Một người kinh doanh bán xe.</t>
  </si>
  <si>
    <t>devote</t>
  </si>
  <si>
    <t>Devote time to family.</t>
  </si>
  <si>
    <t>Hãy cống hiến thời gian cho gia đình.</t>
  </si>
  <si>
    <t>dumb</t>
  </si>
  <si>
    <t>A dumb mistake made.</t>
  </si>
  <si>
    <t>Một sai lầm ngớ ngẩn đã mắc phải.</t>
  </si>
  <si>
    <t>magical</t>
  </si>
  <si>
    <t>mang tính phép thuật</t>
  </si>
  <si>
    <t>It was a magical night.</t>
  </si>
  <si>
    <t>Đó là một đêm đầy phép thuật.</t>
  </si>
  <si>
    <t>vulnerability</t>
  </si>
  <si>
    <t>sự dễ bị tổn thương</t>
  </si>
  <si>
    <t>They know their own vulnerability.</t>
  </si>
  <si>
    <t>Họ biết sự dễ bị tổn thương của chính mình.</t>
  </si>
  <si>
    <t>align</t>
  </si>
  <si>
    <t>sắp xếp thẳng hàng</t>
  </si>
  <si>
    <t>Align the text to left.</t>
  </si>
  <si>
    <t>Hãy sắp xếp văn bản thẳng hàng bên trái.</t>
  </si>
  <si>
    <t>allowance</t>
  </si>
  <si>
    <t>khoản tiền trợ cấp</t>
  </si>
  <si>
    <t>I receive a monthly allowance.</t>
  </si>
  <si>
    <t>Tôi nhận được một khoản trợ cấp hàng tháng.</t>
  </si>
  <si>
    <t>undergraduate</t>
  </si>
  <si>
    <t>sinh viên đại học</t>
  </si>
  <si>
    <t>He is an undergraduate student.</t>
  </si>
  <si>
    <t>Anh ấy là một sinh viên đại học.</t>
  </si>
  <si>
    <t>mall</t>
  </si>
  <si>
    <t>trung tâm mua sắm</t>
  </si>
  <si>
    <t>Let us visit the mall.</t>
  </si>
  <si>
    <t>Hãy ghé thăm trung tâm mua sắm.</t>
  </si>
  <si>
    <t>wildlife</t>
  </si>
  <si>
    <t>động vật hoang dã</t>
  </si>
  <si>
    <t>Protect the local wildlife now.</t>
  </si>
  <si>
    <t>Hãy bảo vệ động vật hoang dã địa phương ngay bây giờ.</t>
  </si>
  <si>
    <t>explicitly</t>
  </si>
  <si>
    <t>He stated it explicitly today.</t>
  </si>
  <si>
    <t>Hôm nay anh ấy đã nêu điều đó một cách rõ ràng.</t>
  </si>
  <si>
    <t>artistic</t>
  </si>
  <si>
    <t>thuộc nghệ thuật</t>
  </si>
  <si>
    <t>She has an artistic talent.</t>
  </si>
  <si>
    <t>Cô ấy có tài năng về nghệ thuật.</t>
  </si>
  <si>
    <t>machinery</t>
  </si>
  <si>
    <t>hệ thống máy móc</t>
  </si>
  <si>
    <t>The factory uses new machinery.</t>
  </si>
  <si>
    <t>Nhà máy sử dụng hệ thống máy móc mới.</t>
  </si>
  <si>
    <t>methodology</t>
  </si>
  <si>
    <t>phương pháp luận</t>
  </si>
  <si>
    <t>The methodology is very clear.</t>
  </si>
  <si>
    <t>Phương pháp luận rất rõ ràng.</t>
  </si>
  <si>
    <t>accountable</t>
  </si>
  <si>
    <t>You are accountable for this.</t>
  </si>
  <si>
    <t>Bạn phải chịu trách nhiệm cho việc này.</t>
  </si>
  <si>
    <t>parental</t>
  </si>
  <si>
    <t>thuộc về cha mẹ</t>
  </si>
  <si>
    <t>He provides parental guidance daily.</t>
  </si>
  <si>
    <t>Anh ấy cung cấp sự hướng dẫn của cha mẹ hàng ngày.</t>
  </si>
  <si>
    <t>vocal</t>
  </si>
  <si>
    <t>thuộc giọng nói</t>
  </si>
  <si>
    <t>She has a vocal talent.</t>
  </si>
  <si>
    <t>Cô ấy có một tài năng về giọng hát.</t>
  </si>
  <si>
    <t>tropical</t>
  </si>
  <si>
    <t>thuộc nhiệt đới</t>
  </si>
  <si>
    <t>They love the tropical climate.</t>
  </si>
  <si>
    <t>Họ yêu khí hậu nhiệt đới.</t>
  </si>
  <si>
    <t>vertical</t>
  </si>
  <si>
    <t>theo chiều dọc</t>
  </si>
  <si>
    <t>Draw a vertical line here.</t>
  </si>
  <si>
    <t>Hãy vẽ một đường theo chiều dọc ở đây.</t>
  </si>
  <si>
    <t>loyalty</t>
  </si>
  <si>
    <t>sự trung thành</t>
  </si>
  <si>
    <t>She showed great loyalty today.</t>
  </si>
  <si>
    <t>Hôm nay cô ấy đã thể hiện sự trung thành tuyệt vời.</t>
  </si>
  <si>
    <t>portfolio</t>
  </si>
  <si>
    <t>hồ sơ năng lực</t>
  </si>
  <si>
    <t>She showed her design portfolio.</t>
  </si>
  <si>
    <t>Cô ấy đã cho xem hồ sơ năng lực thiết kế của mình.</t>
  </si>
  <si>
    <t>offender</t>
  </si>
  <si>
    <t>người phạm tội</t>
  </si>
  <si>
    <t>The offender was caught quickly.</t>
  </si>
  <si>
    <t>Người phạm tội đã bị bắt nhanh chóng.</t>
  </si>
  <si>
    <t>predictable</t>
  </si>
  <si>
    <t>có thể dự đoán</t>
  </si>
  <si>
    <t>The result is quite predictable.</t>
  </si>
  <si>
    <t>Kết quả khá có thể dự đoán được.</t>
  </si>
  <si>
    <t>loudly</t>
  </si>
  <si>
    <t>một cách ồn ào</t>
  </si>
  <si>
    <t>They talked very loudly there.</t>
  </si>
  <si>
    <t>Họ đã nói chuyện rất ồn ào ở đó.</t>
  </si>
  <si>
    <t>deliberately</t>
  </si>
  <si>
    <t>một cách cố ý</t>
  </si>
  <si>
    <t>He did it deliberately.</t>
  </si>
  <si>
    <t>Anh ấy đã làm việc đó một cách cố ý.</t>
  </si>
  <si>
    <t>unpleasant</t>
  </si>
  <si>
    <t>không dễ chịu</t>
  </si>
  <si>
    <t>I had an unpleasant dream.</t>
  </si>
  <si>
    <t>Tôi đã có một giấc mơ không dễ chịu.</t>
  </si>
  <si>
    <t>toast</t>
  </si>
  <si>
    <t>bánh mì nướng</t>
  </si>
  <si>
    <t>She eats toast for breakfast.</t>
  </si>
  <si>
    <t>Cô ấy ăn bánh mì nướng cho bữa sáng.</t>
  </si>
  <si>
    <t>part-time</t>
  </si>
  <si>
    <t>bán thời gian</t>
  </si>
  <si>
    <t>She has a part-time job.</t>
  </si>
  <si>
    <t>Cô ấy có một công việc bán thời gian.</t>
  </si>
  <si>
    <t>portrait</t>
  </si>
  <si>
    <t>bức chân dung</t>
  </si>
  <si>
    <t>She painted my portrait today.</t>
  </si>
  <si>
    <t>Hôm nay cô ấy đã vẽ bức chân dung của tôi.</t>
  </si>
  <si>
    <t>outfit</t>
  </si>
  <si>
    <t>bộ trang phục</t>
  </si>
  <si>
    <t>She wears a nice outfit.</t>
  </si>
  <si>
    <t>Cô ấy mặc một bộ trang phục đẹp.</t>
  </si>
  <si>
    <t>applicant</t>
  </si>
  <si>
    <t>người nộp đơn</t>
  </si>
  <si>
    <t>The applicant has much experience.</t>
  </si>
  <si>
    <t>Người nộp đơn có nhiều kinh nghiệm.</t>
  </si>
  <si>
    <t>patent</t>
  </si>
  <si>
    <t>They filed a new patent.</t>
  </si>
  <si>
    <t>Họ đã nộp bằng sáng chế mới.</t>
  </si>
  <si>
    <t>prejudice</t>
  </si>
  <si>
    <t>He has a strong prejudice.</t>
  </si>
  <si>
    <t>Anh ấy có định kiến mạnh mẽ.</t>
  </si>
  <si>
    <t>aggression</t>
  </si>
  <si>
    <t>sự hung hăng</t>
  </si>
  <si>
    <t>He shows too much aggression.</t>
  </si>
  <si>
    <t>Anh ấy thể hiện quá nhiều sự hung hăng.</t>
  </si>
  <si>
    <t>offend</t>
  </si>
  <si>
    <t>gây xúc phạm</t>
  </si>
  <si>
    <t>I did not mean to offend.</t>
  </si>
  <si>
    <t>Tôi không có ý gây xúc phạm.</t>
  </si>
  <si>
    <t>pity</t>
  </si>
  <si>
    <t>sự đáng tiếc</t>
  </si>
  <si>
    <t>It is a great pity.</t>
  </si>
  <si>
    <t>Đó là một sự đáng tiếc lớn.</t>
  </si>
  <si>
    <t>obesity</t>
  </si>
  <si>
    <t>bệnh béo phì</t>
  </si>
  <si>
    <t>Obesity is a health risk.</t>
  </si>
  <si>
    <t>Bệnh béo phì là một rủi ro sức khỏe.</t>
  </si>
  <si>
    <t>audit</t>
  </si>
  <si>
    <t>sự kiểm toán</t>
  </si>
  <si>
    <t>The annual audit starts today.</t>
  </si>
  <si>
    <t>Sự kiểm toán hàng năm bắt đầu hôm nay.</t>
  </si>
  <si>
    <t>architect</t>
  </si>
  <si>
    <t>kiến trúc sư</t>
  </si>
  <si>
    <t>The architect designed the house.</t>
  </si>
  <si>
    <t>Kiến trúc sư đã thiết kế ngôi nhà.</t>
  </si>
  <si>
    <t>electoral</t>
  </si>
  <si>
    <t>thuộc bầu cử</t>
  </si>
  <si>
    <t>The electoral process was transparent.</t>
  </si>
  <si>
    <t>Quy trình bầu cử đã rất minh bạch.</t>
  </si>
  <si>
    <t>mechanical</t>
  </si>
  <si>
    <t>thuộc cơ khí</t>
  </si>
  <si>
    <t>The mechanical parts are clean.</t>
  </si>
  <si>
    <t>Các bộ phận cơ khí đều sạch.</t>
  </si>
  <si>
    <t>flaw</t>
  </si>
  <si>
    <t>The plan has a flaw.</t>
  </si>
  <si>
    <t>Kế hoạch này có một khiếm khuyết.</t>
  </si>
  <si>
    <t>precision</t>
  </si>
  <si>
    <t>sự chính xác</t>
  </si>
  <si>
    <t>The work requires great precision.</t>
  </si>
  <si>
    <t>Công việc đòi hỏi sự chính xác cao.</t>
  </si>
  <si>
    <t>marker</t>
  </si>
  <si>
    <t>bút đánh dấu</t>
  </si>
  <si>
    <t>Use a red marker pen.</t>
  </si>
  <si>
    <t>Hãy dùng một chiếc bút đánh dấu màu đỏ.</t>
  </si>
  <si>
    <t>judgement</t>
  </si>
  <si>
    <t>Use your own judgement today.</t>
  </si>
  <si>
    <t>Hôm nay hãy sử dụng sự phán đoán của riêng bạn.</t>
  </si>
  <si>
    <t>exploitation</t>
  </si>
  <si>
    <t>We fight against the exploitation.</t>
  </si>
  <si>
    <t>Chúng ta đấu tranh chống lại sự khai thác.</t>
  </si>
  <si>
    <t>transparency</t>
  </si>
  <si>
    <t>sự minh bạch</t>
  </si>
  <si>
    <t>We need more transparency now.</t>
  </si>
  <si>
    <t>Bây giờ chúng ta cần sự minh bạch hơn.</t>
  </si>
  <si>
    <t>myth</t>
  </si>
  <si>
    <t>It is a common myth.</t>
  </si>
  <si>
    <t>Đó là một huyền thoại phổ biến.</t>
  </si>
  <si>
    <t>triumph</t>
  </si>
  <si>
    <t>It was a great triumph.</t>
  </si>
  <si>
    <t>Đó là một chiến thắng to lớn.</t>
  </si>
  <si>
    <t>vacuum</t>
  </si>
  <si>
    <t>máy hút bụi</t>
  </si>
  <si>
    <t>She uses a new vacuum.</t>
  </si>
  <si>
    <t>Cô ấy sử dụng một chiếc máy hút bụi mới.</t>
  </si>
  <si>
    <t>frustrating</t>
  </si>
  <si>
    <t>gây bực bội</t>
  </si>
  <si>
    <t>That is a frustrating task.</t>
  </si>
  <si>
    <t>Đó là một nhiệm vụ gây bực bội.</t>
  </si>
  <si>
    <t>assault</t>
  </si>
  <si>
    <t>sự tấn công</t>
  </si>
  <si>
    <t>The assault was very violent.</t>
  </si>
  <si>
    <t>Sự tấn công rất dữ dội.</t>
  </si>
  <si>
    <t>judgment</t>
  </si>
  <si>
    <t>sự phán xét</t>
  </si>
  <si>
    <t>The final judgment is fair.</t>
  </si>
  <si>
    <t>Sự phán xét cuối cùng là công bằng.</t>
  </si>
  <si>
    <t>merger</t>
  </si>
  <si>
    <t>The merger was very successful.</t>
  </si>
  <si>
    <t>Sự sáp nhập rất thành công.</t>
  </si>
  <si>
    <t>mineral</t>
  </si>
  <si>
    <t>khoáng chất</t>
  </si>
  <si>
    <t>The water contains rich mineral.</t>
  </si>
  <si>
    <t>Nước chứa nhiều khoáng chất.</t>
  </si>
  <si>
    <t>exclusion</t>
  </si>
  <si>
    <t>They protest the exclusion now.</t>
  </si>
  <si>
    <t>Họ phản đối sự loại trừ ngay bây giờ.</t>
  </si>
  <si>
    <t>warfare</t>
  </si>
  <si>
    <t>They studied modern warfare today.</t>
  </si>
  <si>
    <t>Hôm nay họ đã nghiên cứu về chiến tranh hiện đại.</t>
  </si>
  <si>
    <t>undermine</t>
  </si>
  <si>
    <t>làm suy yếu</t>
  </si>
  <si>
    <t>They try to undermine him.</t>
  </si>
  <si>
    <t>Họ cố gắng làm suy yếu anh ta.</t>
  </si>
  <si>
    <t>blend</t>
  </si>
  <si>
    <t>sự pha trộn</t>
  </si>
  <si>
    <t>This is a blend coffee.</t>
  </si>
  <si>
    <t>Đây là cà phê pha trộn.</t>
  </si>
  <si>
    <t>notable</t>
  </si>
  <si>
    <t>A notable change occurred today.</t>
  </si>
  <si>
    <t>Một thay đổi đáng chú ý đã xảy ra hôm nay.</t>
  </si>
  <si>
    <t>assert</t>
  </si>
  <si>
    <t>He did assert his rights.</t>
  </si>
  <si>
    <t>Anh ấy đã khẳng định quyền của mình.</t>
  </si>
  <si>
    <t>assurance</t>
  </si>
  <si>
    <t>He gave his firm assurance.</t>
  </si>
  <si>
    <t>Anh ấy đưa ra sự đảm bảo chắc chắn.</t>
  </si>
  <si>
    <t>wardrobe</t>
  </si>
  <si>
    <t>He keeps it in wardrobe.</t>
  </si>
  <si>
    <t>Anh ấy giữ nó trong tủ quần áo.</t>
  </si>
  <si>
    <t>meaningful</t>
  </si>
  <si>
    <t>có ý nghĩa</t>
  </si>
  <si>
    <t>It is a meaningful gift.</t>
  </si>
  <si>
    <t>Đó là một món quà có ý nghĩa.</t>
  </si>
  <si>
    <t>pill</t>
  </si>
  <si>
    <t>viên thuốc</t>
  </si>
  <si>
    <t>Take one pill each day.</t>
  </si>
  <si>
    <t>Uống một viên thuốc mỗi ngày.</t>
  </si>
  <si>
    <t>warrior</t>
  </si>
  <si>
    <t>chiến binh</t>
  </si>
  <si>
    <t>The warrior fought very bravely.</t>
  </si>
  <si>
    <t>Chiến binh đã chiến đấu rất dũng cảm.</t>
  </si>
  <si>
    <t>genocide</t>
  </si>
  <si>
    <t>diệt chủng</t>
  </si>
  <si>
    <t>They documented the genocide.</t>
  </si>
  <si>
    <t>Họ đã ghi lại vụ diệt chủng.</t>
  </si>
  <si>
    <t>abstract</t>
  </si>
  <si>
    <t>This is an abstract painting.</t>
  </si>
  <si>
    <t>Đây là một bức tranh trừu tượng.</t>
  </si>
  <si>
    <t>amendment</t>
  </si>
  <si>
    <t>We approved the constitutional amendment.</t>
  </si>
  <si>
    <t>Chúng tôi đã phê duyệt sự sửa đổi hiến pháp.</t>
  </si>
  <si>
    <t>preservation</t>
  </si>
  <si>
    <t>We work on forest preservation.</t>
  </si>
  <si>
    <t>Chúng tôi làm việc về bảo tồn rừng.</t>
  </si>
  <si>
    <t>activate</t>
  </si>
  <si>
    <t>Click here to activate account.</t>
  </si>
  <si>
    <t>Nhấp vào đây để kích hoạt tài khoản.</t>
  </si>
  <si>
    <t>annoy</t>
  </si>
  <si>
    <t>Do not annoy me today.</t>
  </si>
  <si>
    <t>Hôm nay đừng làm phiền tôi.</t>
  </si>
  <si>
    <t>prescription</t>
  </si>
  <si>
    <t>đơn thuốc</t>
  </si>
  <si>
    <t>Fill this prescription today, please.</t>
  </si>
  <si>
    <t>Vui lòng mua thuốc theo đơn này hôm nay.</t>
  </si>
  <si>
    <t>testify</t>
  </si>
  <si>
    <t>làm chứng</t>
  </si>
  <si>
    <t>He agreed to testify today.</t>
  </si>
  <si>
    <t>Anh ấy đồng ý làm chứng hôm nay.</t>
  </si>
  <si>
    <t>addiction</t>
  </si>
  <si>
    <t>sự nghiện</t>
  </si>
  <si>
    <t>He fights his phone addiction.</t>
  </si>
  <si>
    <t>Anh ấy đang chiến đấu với chứng nghiện điện thoại.</t>
  </si>
  <si>
    <t>backing</t>
  </si>
  <si>
    <t>He has strong financial backing.</t>
  </si>
  <si>
    <t>Anh ấy có sự hỗ trợ tài chính mạnh mẽ.</t>
  </si>
  <si>
    <t>ally</t>
  </si>
  <si>
    <t>He is a close ally.</t>
  </si>
  <si>
    <t>Anh ấy là một người đồng minh thân cận.</t>
  </si>
  <si>
    <t>worthy</t>
  </si>
  <si>
    <t>He is worthy of praise.</t>
  </si>
  <si>
    <t>Anh ấy xứng đáng được khen ngợi.</t>
  </si>
  <si>
    <t>banana</t>
  </si>
  <si>
    <t>quả chuối</t>
  </si>
  <si>
    <t>I like eating a banana.</t>
  </si>
  <si>
    <t>Tôi thích ăn một quả chuối.</t>
  </si>
  <si>
    <t>plug</t>
  </si>
  <si>
    <t>phích cắm</t>
  </si>
  <si>
    <t>Insert the plug now, please.</t>
  </si>
  <si>
    <t>Vui lòng cắm phích cắm ngay bây giờ.</t>
  </si>
  <si>
    <t>undoubtedly</t>
  </si>
  <si>
    <t>It is undoubtedly true now.</t>
  </si>
  <si>
    <t>Hiện tại điều đó chắc chắn là đúng.</t>
  </si>
  <si>
    <t>wholly</t>
  </si>
  <si>
    <t>It is wholly wrong now.</t>
  </si>
  <si>
    <t>Bây giờ điều đó hoàn toàn sai.</t>
  </si>
  <si>
    <t>bin</t>
  </si>
  <si>
    <t>thùng rác</t>
  </si>
  <si>
    <t>Put it in the bin.</t>
  </si>
  <si>
    <t>Hãy đặt nó vào thùng rác.</t>
  </si>
  <si>
    <t>listing</t>
  </si>
  <si>
    <t>Read the product listing now.</t>
  </si>
  <si>
    <t>Hãy đọc danh sách sản phẩm ngay bây giờ.</t>
  </si>
  <si>
    <t>hail</t>
  </si>
  <si>
    <t>The fans hailed the hero.</t>
  </si>
  <si>
    <t>Người hâm mộ đã chào mừng vị anh hùng.</t>
  </si>
  <si>
    <t>originate</t>
  </si>
  <si>
    <t>The story originated in France.</t>
  </si>
  <si>
    <t>Câu chuyện bắt nguồn từ Pháp.</t>
  </si>
  <si>
    <t>flee</t>
  </si>
  <si>
    <t>They try to flee away.</t>
  </si>
  <si>
    <t>Họ đang cố gắng chạy trốn.</t>
  </si>
  <si>
    <t>nail</t>
  </si>
  <si>
    <t>móng tay</t>
  </si>
  <si>
    <t>Cut your long nail now.</t>
  </si>
  <si>
    <t>Bây giờ hãy cắt móng tay dài của bạn đi.</t>
  </si>
  <si>
    <t>partial</t>
  </si>
  <si>
    <t>thiên vị</t>
  </si>
  <si>
    <t>Don't be a partial judge.</t>
  </si>
  <si>
    <t>Đừng là một thẩm phán thiên vị.</t>
  </si>
  <si>
    <t>passive</t>
  </si>
  <si>
    <t>thụ động</t>
  </si>
  <si>
    <t>Don't be a passive observer.</t>
  </si>
  <si>
    <t>Đừng là một người quan sát thụ động.</t>
  </si>
  <si>
    <t>moderate</t>
  </si>
  <si>
    <t>Eat a moderate amount daily.</t>
  </si>
  <si>
    <t>Hãy ăn một lượng vừa phải hằng ngày.</t>
  </si>
  <si>
    <t>verbal</t>
  </si>
  <si>
    <t>bằng lời</t>
  </si>
  <si>
    <t>He gave a verbal report.</t>
  </si>
  <si>
    <t>Anh ấy đã đưa ra một báo cáo bằng lời.</t>
  </si>
  <si>
    <t>old-fashioned</t>
  </si>
  <si>
    <t>lỗi thời</t>
  </si>
  <si>
    <t>He has an old-fashioned view.</t>
  </si>
  <si>
    <t>Anh ấy có một quan điểm lỗi thời.</t>
  </si>
  <si>
    <t>unconscious</t>
  </si>
  <si>
    <t>bất tỉnh</t>
  </si>
  <si>
    <t>He was lying there unconscious.</t>
  </si>
  <si>
    <t>Anh ấy đang nằm đó bất tỉnh.</t>
  </si>
  <si>
    <t>basement</t>
  </si>
  <si>
    <t>tầng hầm</t>
  </si>
  <si>
    <t>He went to the basement.</t>
  </si>
  <si>
    <t>Anh ấy đã đi xuống tầng hầm.</t>
  </si>
  <si>
    <t>tidy</t>
  </si>
  <si>
    <t>gọn gàng</t>
  </si>
  <si>
    <t>Her room is always tidy.</t>
  </si>
  <si>
    <t>Phòng của cô ấy luôn gọn gàng.</t>
  </si>
  <si>
    <t>bleed</t>
  </si>
  <si>
    <t>chảy máu</t>
  </si>
  <si>
    <t>His finger began to bleed.</t>
  </si>
  <si>
    <t>Ngón tay anh ấy bắt đầu chảy máu.</t>
  </si>
  <si>
    <t>accumulate</t>
  </si>
  <si>
    <t>I accumulate points for rewards.</t>
  </si>
  <si>
    <t>Tôi tích lũy điểm để nhận phần thưởng.</t>
  </si>
  <si>
    <t>authorize</t>
  </si>
  <si>
    <t>ủy quyền</t>
  </si>
  <si>
    <t>I authorize you to sign.</t>
  </si>
  <si>
    <t>Tôi ủy quyền cho bạn ký tên.</t>
  </si>
  <si>
    <t>underneath</t>
  </si>
  <si>
    <t>bên dưới</t>
  </si>
  <si>
    <t>I looked underneath the car.</t>
  </si>
  <si>
    <t>Tôi đã nhìn xuống bên dưới chiếc xe.</t>
  </si>
  <si>
    <t>pie</t>
  </si>
  <si>
    <t>bánh pie</t>
  </si>
  <si>
    <t>I made a hot pie.</t>
  </si>
  <si>
    <t>Tôi đã làm một chiếc bánh pie nóng.</t>
  </si>
  <si>
    <t>patch</t>
  </si>
  <si>
    <t>miếng vá</t>
  </si>
  <si>
    <t>I need a patch here.</t>
  </si>
  <si>
    <t>Tôi cần một miếng vá ở đây.</t>
  </si>
  <si>
    <t>presume</t>
  </si>
  <si>
    <t>I presume you are ready.</t>
  </si>
  <si>
    <t>Tôi cho rằng bạn đã sẵn sàng.</t>
  </si>
  <si>
    <t>blanket</t>
  </si>
  <si>
    <t>cái chăn</t>
  </si>
  <si>
    <t>I use a warm blanket.</t>
  </si>
  <si>
    <t>Tôi dùng một cái chăn ấm.</t>
  </si>
  <si>
    <t>predominantly</t>
  </si>
  <si>
    <t>It is predominantly used here.</t>
  </si>
  <si>
    <t>Nó phần lớn được sử dụng ở đây.</t>
  </si>
  <si>
    <t>neat</t>
  </si>
  <si>
    <t>Keep your desk very neat.</t>
  </si>
  <si>
    <t>Hãy giữ bàn làm việc thật gọn gàng.</t>
  </si>
  <si>
    <t>motivate</t>
  </si>
  <si>
    <t>Motivate your team to work.</t>
  </si>
  <si>
    <t>Hãy thúc đẩy nhóm của bạn làm việc.</t>
  </si>
  <si>
    <t>nomination</t>
  </si>
  <si>
    <t>sự đề cử</t>
  </si>
  <si>
    <t>She accepted the nomination.</t>
  </si>
  <si>
    <t>Cô ấy đã chấp nhận sự đề cử.</t>
  </si>
  <si>
    <t>handbag</t>
  </si>
  <si>
    <t>She bought a new handbag.</t>
  </si>
  <si>
    <t>Cô ấy đã mua một chiếc túi xách mới.</t>
  </si>
  <si>
    <t>virtue</t>
  </si>
  <si>
    <t>đức hạnh</t>
  </si>
  <si>
    <t>She has great personal virtue.</t>
  </si>
  <si>
    <t>Cô ấy có đức hạnh cá nhân tuyệt vời.</t>
  </si>
  <si>
    <t>tray</t>
  </si>
  <si>
    <t>cái khay</t>
  </si>
  <si>
    <t>She holds a metal tray.</t>
  </si>
  <si>
    <t>Cô ấy cầm một cái khay kim loại.</t>
  </si>
  <si>
    <t>affection</t>
  </si>
  <si>
    <t>She shows great affection there.</t>
  </si>
  <si>
    <t>Cô ấy thể hiện tình cảm lớn ở đó.</t>
  </si>
  <si>
    <t>biology</t>
  </si>
  <si>
    <t>sinh học</t>
  </si>
  <si>
    <t>She studies biology at school.</t>
  </si>
  <si>
    <t>Cô ấy học môn sinh học tại trường.</t>
  </si>
  <si>
    <t>towel</t>
  </si>
  <si>
    <t>She used a clean towel.</t>
  </si>
  <si>
    <t>Cô ấy đã dùng một chiếc khăn tắm sạch.</t>
  </si>
  <si>
    <t>migration</t>
  </si>
  <si>
    <t>The bird migration is natural.</t>
  </si>
  <si>
    <t>Sự di cư của chim là tự nhiên.</t>
  </si>
  <si>
    <t>accelerate</t>
  </si>
  <si>
    <t>tăng tốc</t>
  </si>
  <si>
    <t>The car began to accelerate.</t>
  </si>
  <si>
    <t>Chiếc xe bắt đầu tăng tốc.</t>
  </si>
  <si>
    <t>vibrant</t>
  </si>
  <si>
    <t>sôi động</t>
  </si>
  <si>
    <t>The city is very vibrant.</t>
  </si>
  <si>
    <t>Thành phố rất sôi động.</t>
  </si>
  <si>
    <t>yield</t>
  </si>
  <si>
    <t>mang lại</t>
  </si>
  <si>
    <t>The field yields much crops.</t>
  </si>
  <si>
    <t>Cánh đồng mang lại nhiều mùa màng.</t>
  </si>
  <si>
    <t>melt</t>
  </si>
  <si>
    <t>The ice will melt soon.</t>
  </si>
  <si>
    <t>Đá sẽ sớm tan chảy.</t>
  </si>
  <si>
    <t>temporarily</t>
  </si>
  <si>
    <t>The road is temporarily closed.</t>
  </si>
  <si>
    <t>Con đường đang bị đóng cửa tạm thời.</t>
  </si>
  <si>
    <t>magnificent</t>
  </si>
  <si>
    <t>tráng lệ</t>
  </si>
  <si>
    <t>The view is truly magnificent.</t>
  </si>
  <si>
    <t>Khung cảnh thực sự tráng lệ.</t>
  </si>
  <si>
    <t>likelihood</t>
  </si>
  <si>
    <t>There is a high likelihood.</t>
  </si>
  <si>
    <t>Có một khả năng cao.</t>
  </si>
  <si>
    <t>allege</t>
  </si>
  <si>
    <t>They allege he is guilty.</t>
  </si>
  <si>
    <t>Họ cho rằng anh ta có tội.</t>
  </si>
  <si>
    <t>legitimate</t>
  </si>
  <si>
    <t>They have a legitimate reason.</t>
  </si>
  <si>
    <t>Họ có một lý do hợp pháp.</t>
  </si>
  <si>
    <t>banner</t>
  </si>
  <si>
    <t>băng rôn</t>
  </si>
  <si>
    <t>They held a big banner.</t>
  </si>
  <si>
    <t>Họ đã cầm một băng rôn lớn.</t>
  </si>
  <si>
    <t>beneath</t>
  </si>
  <si>
    <t>They hid beneath the tree.</t>
  </si>
  <si>
    <t>Họ đã trốn bên dưới cái cây.</t>
  </si>
  <si>
    <t>outlet</t>
  </si>
  <si>
    <t>They opened a new outlet.</t>
  </si>
  <si>
    <t>Họ đã mở một cửa hàng mới.</t>
  </si>
  <si>
    <t>loop</t>
  </si>
  <si>
    <t>vòng lặp</t>
  </si>
  <si>
    <t>Use a loop for coding.</t>
  </si>
  <si>
    <t>Hãy sử dụng một vòng lặp để viết mã.</t>
  </si>
  <si>
    <t>eager</t>
  </si>
  <si>
    <t>háo hức</t>
  </si>
  <si>
    <t>Be eager to start.</t>
  </si>
  <si>
    <t>Hãy háo hức để bắt đầu.</t>
  </si>
  <si>
    <t>cooperate</t>
  </si>
  <si>
    <t>Cooperate on this project.</t>
  </si>
  <si>
    <t>Hãy hợp tác trong dự án này.</t>
  </si>
  <si>
    <t>neglect</t>
  </si>
  <si>
    <t>Do not neglect your health.</t>
  </si>
  <si>
    <t>Đừng phớt lờ sức khỏe của bạn.</t>
  </si>
  <si>
    <t>fork</t>
  </si>
  <si>
    <t>cái nĩa</t>
  </si>
  <si>
    <t>Eat with a clean fork.</t>
  </si>
  <si>
    <t>Hãy ăn bằng một chiếc nĩa sạch.</t>
  </si>
  <si>
    <t>bean</t>
  </si>
  <si>
    <t>hạt đậu</t>
  </si>
  <si>
    <t>I bought some fresh beans.</t>
  </si>
  <si>
    <t>Tôi đã mua một ít hạt đậu tươi.</t>
  </si>
  <si>
    <t>fragment</t>
  </si>
  <si>
    <t>Pick up the glass fragment.</t>
  </si>
  <si>
    <t>Hãy nhặt mảnh vỡ thủy tinh lên.</t>
  </si>
  <si>
    <t>pad</t>
  </si>
  <si>
    <t>tấm đệm</t>
  </si>
  <si>
    <t>She sits on a pad.</t>
  </si>
  <si>
    <t>Cô ấy ngồi trên một tấm đệm.</t>
  </si>
  <si>
    <t>furious</t>
  </si>
  <si>
    <t>giận dữ</t>
  </si>
  <si>
    <t>She was very furious today.</t>
  </si>
  <si>
    <t>Hôm nay cô ấy đã rất giận dữ.</t>
  </si>
  <si>
    <t>poem</t>
  </si>
  <si>
    <t>bài thơ</t>
  </si>
  <si>
    <t>She wrote a short poem.</t>
  </si>
  <si>
    <t>Cô ấy đã viết một bài thơ ngắn.</t>
  </si>
  <si>
    <t>arrow</t>
  </si>
  <si>
    <t>The arrow points to right.</t>
  </si>
  <si>
    <t>Mũi tên chỉ về bên phải.</t>
  </si>
  <si>
    <t>bass</t>
  </si>
  <si>
    <t>âm trầm</t>
  </si>
  <si>
    <t>The bass is very loud.</t>
  </si>
  <si>
    <t>Âm trầm rất to.</t>
  </si>
  <si>
    <t>pig</t>
  </si>
  <si>
    <t>con lợn</t>
  </si>
  <si>
    <t>The pig is very big.</t>
  </si>
  <si>
    <t>Con lợn rất lớn.</t>
  </si>
  <si>
    <t>overnight</t>
  </si>
  <si>
    <t>qua đêm</t>
  </si>
  <si>
    <t>They stayed there overnight yesterday.</t>
  </si>
  <si>
    <t>Hôm qua họ đã ở lại đó qua đêm.</t>
  </si>
  <si>
    <t>mill</t>
  </si>
  <si>
    <t>They work at the mill.</t>
  </si>
  <si>
    <t>Họ làm việc tại nhà máy.</t>
  </si>
  <si>
    <t>assemble</t>
  </si>
  <si>
    <t>We assemble the machine now.</t>
  </si>
  <si>
    <t>Chúng tôi đang lắp ráp cỗ máy ngay bây giờ.</t>
  </si>
  <si>
    <t>motive</t>
  </si>
  <si>
    <t>What is the hidden motive?</t>
  </si>
  <si>
    <t>Động cơ ẩn giấu đó là gì?</t>
  </si>
  <si>
    <t>dispose</t>
  </si>
  <si>
    <t>Dispose of toxic waste.</t>
  </si>
  <si>
    <t>Hãy vứt bỏ rác thải độc hại.</t>
  </si>
  <si>
    <t>wrist</t>
  </si>
  <si>
    <t>He hurt his left wrist.</t>
  </si>
  <si>
    <t>Anh ấy làm đau cổ tay trái.</t>
  </si>
  <si>
    <t>persistent</t>
  </si>
  <si>
    <t>bền bỉ</t>
  </si>
  <si>
    <t>He is very persistent today.</t>
  </si>
  <si>
    <t>Hôm nay anh ấy rất bền bỉ.</t>
  </si>
  <si>
    <t>mere</t>
  </si>
  <si>
    <t>It is a mere mistake.</t>
  </si>
  <si>
    <t>Đó chỉ là một sai lầm đơn thuần.</t>
  </si>
  <si>
    <t>amusing</t>
  </si>
  <si>
    <t>That was an amusing story.</t>
  </si>
  <si>
    <t>Đó là một câu chuyện thú vị.</t>
  </si>
  <si>
    <t>aide</t>
  </si>
  <si>
    <t>The aide prepared the notes.</t>
  </si>
  <si>
    <t>Người trợ lý đã chuẩn bị các ghi chú.</t>
  </si>
  <si>
    <t>ambassador</t>
  </si>
  <si>
    <t>The ambassador spoke to reporters.</t>
  </si>
  <si>
    <t>Vị đại sứ đã nói chuyện với các phóng viên.</t>
  </si>
  <si>
    <t>adequately</t>
  </si>
  <si>
    <t>The house is adequately heated.</t>
  </si>
  <si>
    <t>Ngôi nhà được sưởi ấm đầy đủ.</t>
  </si>
  <si>
    <t>wheat</t>
  </si>
  <si>
    <t>They grow much wheat daily.</t>
  </si>
  <si>
    <t>Họ trồng nhiều lúa mì hàng ngày.</t>
  </si>
  <si>
    <t>organic</t>
  </si>
  <si>
    <t>They sell organic food only.</t>
  </si>
  <si>
    <t>Họ chỉ bán thực phẩm hữu cơ.</t>
  </si>
  <si>
    <t>peculiar</t>
  </si>
  <si>
    <t>It has a peculiar smell.</t>
  </si>
  <si>
    <t>Nó có một mùi kỳ lạ.</t>
  </si>
  <si>
    <t>bizarre</t>
  </si>
  <si>
    <t>It was a bizarre incident.</t>
  </si>
  <si>
    <t>Đó là một sự cố kỳ lạ.</t>
  </si>
  <si>
    <t>presumably</t>
  </si>
  <si>
    <t>Presumably, they will come soon.</t>
  </si>
  <si>
    <t>Có lẽ họ sẽ sớm đến.</t>
  </si>
  <si>
    <t>accent</t>
  </si>
  <si>
    <t>giọng</t>
  </si>
  <si>
    <t>She has a soft accent.</t>
  </si>
  <si>
    <t>Cô ấy có giọng nói nhẹ nhàng.</t>
  </si>
  <si>
    <t>fond</t>
  </si>
  <si>
    <t>She is fond of music.</t>
  </si>
  <si>
    <t>Cô ấy rất thích âm nhạc.</t>
  </si>
  <si>
    <t>medication</t>
  </si>
  <si>
    <t>Take your daily medication now.</t>
  </si>
  <si>
    <t>Hãy uống thuốc hằng ngày của bạn bây giờ.</t>
  </si>
  <si>
    <t>absurd</t>
  </si>
  <si>
    <t>That is an absurd idea.</t>
  </si>
  <si>
    <t>Đó là một ý tưởng vô lý.</t>
  </si>
  <si>
    <t>blank</t>
  </si>
  <si>
    <t>The page is completely blank.</t>
  </si>
  <si>
    <t>Trang giấy hoàn toàn trống.</t>
  </si>
  <si>
    <t>preliminary</t>
  </si>
  <si>
    <t>sơ bộ</t>
  </si>
  <si>
    <t>These are just preliminary results.</t>
  </si>
  <si>
    <t>Đây chỉ là các kết quả sơ bộ.</t>
  </si>
  <si>
    <t>pepper</t>
  </si>
  <si>
    <t>tiêu</t>
  </si>
  <si>
    <t>Add some salt and pepper.</t>
  </si>
  <si>
    <t>Hãy thêm một chút muối và tiêu.</t>
  </si>
  <si>
    <t>amid</t>
  </si>
  <si>
    <t>He stood amid the crowd.</t>
  </si>
  <si>
    <t>Anh ấy đứng giữa đám đông.</t>
  </si>
  <si>
    <t>whip</t>
  </si>
  <si>
    <t>He whipped the fast horse.</t>
  </si>
  <si>
    <t>Anh ấy đã đánh con ngựa nhanh.</t>
  </si>
  <si>
    <t>thirsty</t>
  </si>
  <si>
    <t>khát</t>
  </si>
  <si>
    <t>I am feeling very thirsty.</t>
  </si>
  <si>
    <t>Tôi đang cảm thấy rất khát.</t>
  </si>
  <si>
    <t>petrol</t>
  </si>
  <si>
    <t>The car needs more petrol.</t>
  </si>
  <si>
    <t>Chiếc xe cần thêm xăng.</t>
  </si>
  <si>
    <t>bare</t>
  </si>
  <si>
    <t>trần</t>
  </si>
  <si>
    <t>The floor is quite bare.</t>
  </si>
  <si>
    <t>Sàn nhà khá là trống trải.</t>
  </si>
  <si>
    <t>flesh</t>
  </si>
  <si>
    <t>The fruit has soft flesh.</t>
  </si>
  <si>
    <t>Loại trái cây có phần thịt mềm.</t>
  </si>
  <si>
    <t>logo</t>
  </si>
  <si>
    <t>The logo looks very cool.</t>
  </si>
  <si>
    <t>Cái logo trông rất ngầu.</t>
  </si>
  <si>
    <t>bind</t>
  </si>
  <si>
    <t>They bind the papers together.</t>
  </si>
  <si>
    <t>Họ buộc các tờ giấy lại với nhau.</t>
  </si>
  <si>
    <t>They sailed across the bay.</t>
  </si>
  <si>
    <t>Họ đã đi thuyền băng qua vịnh.</t>
  </si>
  <si>
    <t>powder</t>
  </si>
  <si>
    <t>Add some powder to mix.</t>
  </si>
  <si>
    <t>Thêm ít bột để trộn.</t>
  </si>
  <si>
    <t>flu</t>
  </si>
  <si>
    <t>cúm</t>
  </si>
  <si>
    <t>I have a bad flu.</t>
  </si>
  <si>
    <t>Tôi bị một trận cúm nặng.</t>
  </si>
  <si>
    <t>nut</t>
  </si>
  <si>
    <t>I like to eat nuts.</t>
  </si>
  <si>
    <t>Tôi thích ăn các loại hạt.</t>
  </si>
  <si>
    <t>litre</t>
  </si>
  <si>
    <t>I need one litre oil.</t>
  </si>
  <si>
    <t>Tôi cần một lít dầu.</t>
  </si>
  <si>
    <t>weave</t>
  </si>
  <si>
    <t>She knows how to weave.</t>
  </si>
  <si>
    <t>Cô ấy biết cách dệt.</t>
  </si>
  <si>
    <t>tonne</t>
  </si>
  <si>
    <t>The truck carries ten tonnes.</t>
  </si>
  <si>
    <t>Chiếc xe tải chở mười tấn.</t>
  </si>
  <si>
    <t>mild</t>
  </si>
  <si>
    <t>The weather is very mild.</t>
  </si>
  <si>
    <t>Thời tiết rất ôn hòa.</t>
  </si>
  <si>
    <t>bloke</t>
  </si>
  <si>
    <t>gã</t>
  </si>
  <si>
    <t>He is a nice bloke.</t>
  </si>
  <si>
    <t>Anh ấy là một gã tốt bụng.</t>
  </si>
  <si>
    <t>penny</t>
  </si>
  <si>
    <t>It costs one single penny.</t>
  </si>
  <si>
    <t>Nó có giá một xu.</t>
  </si>
  <si>
    <t>discrimination</t>
  </si>
  <si>
    <t>sự phân biệt đối xử</t>
  </si>
  <si>
    <t>Fight against social discrimination.</t>
  </si>
  <si>
    <t>Đấu tranh chống lại sự phân biệt đối xử xã hội.</t>
  </si>
  <si>
    <t>deck</t>
  </si>
  <si>
    <t>sàn tàu</t>
  </si>
  <si>
    <t>Stand on the deck.</t>
  </si>
  <si>
    <t>Hãy đứng trên sàn tàu.</t>
  </si>
  <si>
    <t>dump</t>
  </si>
  <si>
    <t>Dump all the trash.</t>
  </si>
  <si>
    <t>Hãy vứt bỏ tất cả rác.</t>
  </si>
  <si>
    <t>disagree</t>
  </si>
  <si>
    <t>không đồng ý</t>
  </si>
  <si>
    <t>I strongly disagree now.</t>
  </si>
  <si>
    <t>Bây giờ tôi hoàn toàn không đồng ý.</t>
  </si>
  <si>
    <t>editorial</t>
  </si>
  <si>
    <t>bài xã luận</t>
  </si>
  <si>
    <t>Write a long editorial.</t>
  </si>
  <si>
    <t>Hãy viết một bài xã luận dài.</t>
  </si>
  <si>
    <t>dose</t>
  </si>
  <si>
    <t>Take the daily dose.</t>
  </si>
  <si>
    <t>Hãy uống liều lượng hàng ngày.</t>
  </si>
  <si>
    <t>coordinate</t>
  </si>
  <si>
    <t>phối hợp</t>
  </si>
  <si>
    <t>Coordinate the group work.</t>
  </si>
  <si>
    <t>Hãy phối hợp công việc nhóm.</t>
  </si>
  <si>
    <t>dedicated</t>
  </si>
  <si>
    <t>tận tâm</t>
  </si>
  <si>
    <t>A dedicated team member.</t>
  </si>
  <si>
    <t>Một thành viên nhóm tận tâm.</t>
  </si>
  <si>
    <t>disturbing</t>
  </si>
  <si>
    <t>gây lo ngại</t>
  </si>
  <si>
    <t>A very disturbing report.</t>
  </si>
  <si>
    <t>Một báo cáo rất gây lo ngại.</t>
  </si>
  <si>
    <t>decent</t>
  </si>
  <si>
    <t>A decent job offer.</t>
  </si>
  <si>
    <t>Một lời mời làm việc tử tế.</t>
  </si>
  <si>
    <t>disagreement</t>
  </si>
  <si>
    <t>sự bất đồng</t>
  </si>
  <si>
    <t>Avoid a public disagreement.</t>
  </si>
  <si>
    <t>Hãy tránh một sự bất đồng công khai.</t>
  </si>
  <si>
    <t>corridor</t>
  </si>
  <si>
    <t>Walk down the corridor.</t>
  </si>
  <si>
    <t>Đi dọc hành lang.</t>
  </si>
  <si>
    <t>depressed</t>
  </si>
  <si>
    <t>Feel very depressed today.</t>
  </si>
  <si>
    <t>Hôm nay cảm thấy rất buồn bã.</t>
  </si>
  <si>
    <t>diary</t>
  </si>
  <si>
    <t>Write in my diary.</t>
  </si>
  <si>
    <t>Hãy viết vào nhật ký của tôi.</t>
  </si>
  <si>
    <t>drum</t>
  </si>
  <si>
    <t>Play the big drum.</t>
  </si>
  <si>
    <t>Chơi cái trống lớn.</t>
  </si>
  <si>
    <t>daddy</t>
  </si>
  <si>
    <t>Love you, daddy.</t>
  </si>
  <si>
    <t>Con yêu bố.</t>
  </si>
  <si>
    <t>documentation</t>
  </si>
  <si>
    <t>tài liệu hướng dẫn</t>
  </si>
  <si>
    <t>Read the system documentation.</t>
  </si>
  <si>
    <t>Hãy đọc tài liệu hướng dẫn hệ thống.</t>
  </si>
  <si>
    <t>cooperative</t>
  </si>
  <si>
    <t>có tính hợp tác</t>
  </si>
  <si>
    <t>Be a cooperative team.</t>
  </si>
  <si>
    <t>Hãy là một đội ngũ có tính hợp tác.</t>
  </si>
  <si>
    <t>toll</t>
  </si>
  <si>
    <t>phí cầu đường</t>
  </si>
  <si>
    <t>We paid the road toll.</t>
  </si>
  <si>
    <t>Chúng tôi đã trả phí cầu đường.</t>
  </si>
  <si>
    <t>thankfully</t>
  </si>
  <si>
    <t>Thankfully, we arrived on time.</t>
  </si>
  <si>
    <t>May mắn thay, chúng tôi đã đến đúng giờ.</t>
  </si>
  <si>
    <t>torture</t>
  </si>
  <si>
    <t>sự tra tấn</t>
  </si>
  <si>
    <t>The war is a torture.</t>
  </si>
  <si>
    <t>Chiến tranh là một sự tra tấn.</t>
  </si>
  <si>
    <t>deed</t>
  </si>
  <si>
    <t>A good daily deed.</t>
  </si>
  <si>
    <t>Một hành động tốt hàng ngày.</t>
  </si>
  <si>
    <t>tenure</t>
  </si>
  <si>
    <t>nhiệm kỳ</t>
  </si>
  <si>
    <t>His tenure ended last month.</t>
  </si>
  <si>
    <t>Nhiệm kỳ của ông ấy kết thúc tháng trước.</t>
  </si>
  <si>
    <t>curve</t>
  </si>
  <si>
    <t>Follow the road curve.</t>
  </si>
  <si>
    <t>Hãy đi theo đường cong của con đường.</t>
  </si>
  <si>
    <t>drift</t>
  </si>
  <si>
    <t>trôi dạt</t>
  </si>
  <si>
    <t>Boats drift at sea.</t>
  </si>
  <si>
    <t>Những chiếc thuyền trôi dạt trên biển.</t>
  </si>
  <si>
    <t>deputy</t>
  </si>
  <si>
    <t>Meet the deputy director.</t>
  </si>
  <si>
    <t>Hãy gặp phó giám đốc.</t>
  </si>
  <si>
    <t>disappoint</t>
  </si>
  <si>
    <t>làm thất vọng</t>
  </si>
  <si>
    <t>Don't disappoint the team.</t>
  </si>
  <si>
    <t>Đừng làm nhóm thất vọng.</t>
  </si>
  <si>
    <t>defender</t>
  </si>
  <si>
    <t>người bảo vệ</t>
  </si>
  <si>
    <t>A defender of rights.</t>
  </si>
  <si>
    <t>Một người bảo vệ các quyền lợi.</t>
  </si>
  <si>
    <t>cottage</t>
  </si>
  <si>
    <t>nhà tranh</t>
  </si>
  <si>
    <t>A small country cottage.</t>
  </si>
  <si>
    <t>Một ngôi nhà tranh nhỏ ở nông thôn.</t>
  </si>
  <si>
    <t>duck</t>
  </si>
  <si>
    <t>vịt</t>
  </si>
  <si>
    <t>The duck is swimming.</t>
  </si>
  <si>
    <t>Con vịt đang bơi.</t>
  </si>
  <si>
    <t>donor</t>
  </si>
  <si>
    <t>người quyên góp</t>
  </si>
  <si>
    <t>A generous blood donor.</t>
  </si>
  <si>
    <t>Một người quyên góp máu hào phóng.</t>
  </si>
  <si>
    <t>cure</t>
  </si>
  <si>
    <t>cách chữa trị</t>
  </si>
  <si>
    <t>Find a cure for diseases.</t>
  </si>
  <si>
    <t>Tìm một cách chữa trị cho các bệnh.</t>
  </si>
  <si>
    <t>detection</t>
  </si>
  <si>
    <t>sự phát hiện</t>
  </si>
  <si>
    <t>Early disease detection is key.</t>
  </si>
  <si>
    <t>Sự phát hiện bệnh sớm là chìa khóa.</t>
  </si>
  <si>
    <t>referendum</t>
  </si>
  <si>
    <t>cuộc trưng cầu dân ý</t>
  </si>
  <si>
    <t>They held a national referendum today.</t>
  </si>
  <si>
    <t>Họ đã tổ chức một cuộc trưng cầu dân ý quốc gia hôm nay.</t>
  </si>
  <si>
    <t>pioneer</t>
  </si>
  <si>
    <t>người tiên phong</t>
  </si>
  <si>
    <t>He was a true pioneer.</t>
  </si>
  <si>
    <t>Ông ấy là một người tiên phong thực sự.</t>
  </si>
  <si>
    <t>mainstream</t>
  </si>
  <si>
    <t>xu hướng chủ đạo</t>
  </si>
  <si>
    <t>It is now the mainstream.</t>
  </si>
  <si>
    <t>Nó hiện là xu hướng chủ đạo.</t>
  </si>
  <si>
    <t>adolescent</t>
  </si>
  <si>
    <t>The project helps many adolescents.</t>
  </si>
  <si>
    <t>Dự án giúp đỡ nhiều thanh thiếu niên.</t>
  </si>
  <si>
    <t>turnout</t>
  </si>
  <si>
    <t>số người tham dự</t>
  </si>
  <si>
    <t>The turnout was quite high.</t>
  </si>
  <si>
    <t>Số người tham dự khá cao.</t>
  </si>
  <si>
    <t>niche</t>
  </si>
  <si>
    <t>thị trường ngách</t>
  </si>
  <si>
    <t>They found a profitable niche.</t>
  </si>
  <si>
    <t>Họ đã tìm thấy một thị trường ngách có lợi nhuận.</t>
  </si>
  <si>
    <t>patron</t>
  </si>
  <si>
    <t>khách hàng quen</t>
  </si>
  <si>
    <t>He is a loyal patron.</t>
  </si>
  <si>
    <t>Anh ấy là một khách hàng quen trung thành.</t>
  </si>
  <si>
    <t>philosophical</t>
  </si>
  <si>
    <t>thuộc triết học</t>
  </si>
  <si>
    <t>He raised a philosophical question.</t>
  </si>
  <si>
    <t>Anh ấy đã nêu ra một câu hỏi triết học.</t>
  </si>
  <si>
    <t>rhetoric</t>
  </si>
  <si>
    <t>thuật hùng biện</t>
  </si>
  <si>
    <t>He uses very strong political rhetoric.</t>
  </si>
  <si>
    <t>Anh ấy sử dụng thuật hùng biện chính trị rất mạnh.</t>
  </si>
  <si>
    <t>presidency</t>
  </si>
  <si>
    <t>chức tổng thống</t>
  </si>
  <si>
    <t>He won the presidency today.</t>
  </si>
  <si>
    <t>Ông ấy đã giành được chức tổng thống hôm nay.</t>
  </si>
  <si>
    <t>whatsoever</t>
  </si>
  <si>
    <t>bất cứ chút nào</t>
  </si>
  <si>
    <t>I have no doubt whatsoever.</t>
  </si>
  <si>
    <t>Tôi không có nghi ngờ bất cứ chút nào.</t>
  </si>
  <si>
    <t>mobility</t>
  </si>
  <si>
    <t>tính linh động</t>
  </si>
  <si>
    <t>Improve your physical mobility today.</t>
  </si>
  <si>
    <t>Hãy cải thiện tính linh động thể chất của bạn hôm nay.</t>
  </si>
  <si>
    <t>legislative</t>
  </si>
  <si>
    <t>thuộc lập pháp</t>
  </si>
  <si>
    <t>It is a legislative power.</t>
  </si>
  <si>
    <t>Đó là một quyền lập pháp.</t>
  </si>
  <si>
    <t>prosperity</t>
  </si>
  <si>
    <t>Peace brings growth and prosperity.</t>
  </si>
  <si>
    <t>Hòa bình mang lại sự tăng trưởng và thịnh vượng.</t>
  </si>
  <si>
    <t>extremist</t>
  </si>
  <si>
    <t>người cực đoan</t>
  </si>
  <si>
    <t>The group has an extremist.</t>
  </si>
  <si>
    <t>Nhóm đó có một người cực đoan.</t>
  </si>
  <si>
    <t>fixture</t>
  </si>
  <si>
    <t>đồ đạc cố định</t>
  </si>
  <si>
    <t>The light fixture is broken.</t>
  </si>
  <si>
    <t>Chiếc đèn cố định đã bị hỏng.</t>
  </si>
  <si>
    <t>nationwide</t>
  </si>
  <si>
    <t>trên toàn quốc</t>
  </si>
  <si>
    <t>The project is nationwide today.</t>
  </si>
  <si>
    <t>Dự án mang tính toàn quốc hôm nay.</t>
  </si>
  <si>
    <t>applicable</t>
  </si>
  <si>
    <t>có thể áp dụng</t>
  </si>
  <si>
    <t>These rules are applicable here.</t>
  </si>
  <si>
    <t>Các quy tắc này có thể áp dụng ở đây.</t>
  </si>
  <si>
    <t>expedition</t>
  </si>
  <si>
    <t>cuộc thám hiểm</t>
  </si>
  <si>
    <t>They plan an arctic expedition.</t>
  </si>
  <si>
    <t>Họ lên kế hoạch một cuộc thám hiểm Bắc Cực.</t>
  </si>
  <si>
    <t>evolutionary</t>
  </si>
  <si>
    <t>thuộc tiến hóa</t>
  </si>
  <si>
    <t>This is an evolutionary process.</t>
  </si>
  <si>
    <t>Đây là một quá trình tiến hóa.</t>
  </si>
  <si>
    <t>parade</t>
  </si>
  <si>
    <t>We watched the big parade.</t>
  </si>
  <si>
    <t>Chúng tôi đã xem cuộc diễu hành lớn.</t>
  </si>
  <si>
    <t>freeway</t>
  </si>
  <si>
    <t>đường cao tốc</t>
  </si>
  <si>
    <t>Drive fast on the freeway.</t>
  </si>
  <si>
    <t>Hãy lái xe nhanh trên đường cao tốc.</t>
  </si>
  <si>
    <t>philosopher</t>
  </si>
  <si>
    <t>nhà triết học</t>
  </si>
  <si>
    <t>He is a famous philosopher.</t>
  </si>
  <si>
    <t>Ông ấy là một nhà triết học nổi tiếng.</t>
  </si>
  <si>
    <t>non-profit</t>
  </si>
  <si>
    <t>phi lợi nhuận</t>
  </si>
  <si>
    <t>It is a non-profit organization.</t>
  </si>
  <si>
    <t>Đó là một tổ chức phi lợi nhuận.</t>
  </si>
  <si>
    <t>appetite</t>
  </si>
  <si>
    <t>sự ngon miệng</t>
  </si>
  <si>
    <t>The exercise increases my appetite.</t>
  </si>
  <si>
    <t>Việc tập thể dục làm tăng sự ngon miệng của tôi.</t>
  </si>
  <si>
    <t>patrol</t>
  </si>
  <si>
    <t>cuộc tuần tra</t>
  </si>
  <si>
    <t>The patrol finished its shift.</t>
  </si>
  <si>
    <t>Cuộc tuần tra đã kết thúc ca của mình.</t>
  </si>
  <si>
    <t>rebellion</t>
  </si>
  <si>
    <t>cuộc nổi loạn</t>
  </si>
  <si>
    <t>The rebellion failed very quickly today.</t>
  </si>
  <si>
    <t>Cuộc nổi loạn đã thất bại rất nhanh chóng hôm nay.</t>
  </si>
  <si>
    <t>indictment</t>
  </si>
  <si>
    <t>bản cáo trạng</t>
  </si>
  <si>
    <t>They filed a formal indictment.</t>
  </si>
  <si>
    <t>Họ đã nộp một bản cáo trạng chính thức.</t>
  </si>
  <si>
    <t>petition</t>
  </si>
  <si>
    <t>đơn kiến nghị</t>
  </si>
  <si>
    <t>They signed the official petition.</t>
  </si>
  <si>
    <t>Họ đã ký vào đơn kiến nghị chính thức.</t>
  </si>
  <si>
    <t>auction</t>
  </si>
  <si>
    <t>phiên đấu giá</t>
  </si>
  <si>
    <t>We bought it at auction.</t>
  </si>
  <si>
    <t>Chúng tôi đã mua nó tại phiên đấu giá.</t>
  </si>
  <si>
    <t>eligible</t>
  </si>
  <si>
    <t>Are you eligible for this job?</t>
  </si>
  <si>
    <t>Bạn có đủ điều kiện cho công việc này không?</t>
  </si>
  <si>
    <t>accusation</t>
  </si>
  <si>
    <t>lời buộc tội</t>
  </si>
  <si>
    <t>He denies the false accusation.</t>
  </si>
  <si>
    <t>Anh ấy phủ nhận lời buộc tội sai trái.</t>
  </si>
  <si>
    <t>film-maker</t>
  </si>
  <si>
    <t>nhà làm phim</t>
  </si>
  <si>
    <t>He is a famous film-maker.</t>
  </si>
  <si>
    <t>Anh ấy là một nhà làm phim nổi tiếng.</t>
  </si>
  <si>
    <t>plea</t>
  </si>
  <si>
    <t>lời khẩn cầu</t>
  </si>
  <si>
    <t>He made a final plea.</t>
  </si>
  <si>
    <t>Anh ấy đã đưa ra một lời khẩn cầu cuối cùng.</t>
  </si>
  <si>
    <t>overtime</t>
  </si>
  <si>
    <t>giờ làm thêm</t>
  </si>
  <si>
    <t>I worked much overtime today.</t>
  </si>
  <si>
    <t>Tôi đã làm thêm giờ rất nhiều hôm nay.</t>
  </si>
  <si>
    <t>blessing</t>
  </si>
  <si>
    <t>sự ban phước</t>
  </si>
  <si>
    <t>It is a real blessing.</t>
  </si>
  <si>
    <t>Đó là một sự ban phước thực sự.</t>
  </si>
  <si>
    <t>transcript</t>
  </si>
  <si>
    <t>bản sao chép</t>
  </si>
  <si>
    <t>Please read the meeting transcript.</t>
  </si>
  <si>
    <t>Vui lòng đọc bản sao chép cuộc họp.</t>
  </si>
  <si>
    <t>mature</t>
  </si>
  <si>
    <t>She is very mature now.</t>
  </si>
  <si>
    <t>Cô ấy rất trưởng thành rồi.</t>
  </si>
  <si>
    <t>balloon</t>
  </si>
  <si>
    <t>quả bóng bay</t>
  </si>
  <si>
    <t>The balloon floated away high.</t>
  </si>
  <si>
    <t>Quả bóng bay đã trôi đi rất cao.</t>
  </si>
  <si>
    <t>creator</t>
  </si>
  <si>
    <t>người tạo ra</t>
  </si>
  <si>
    <t>The creator of software.</t>
  </si>
  <si>
    <t>Người tạo ra phần mềm.</t>
  </si>
  <si>
    <t>emergence</t>
  </si>
  <si>
    <t>The emergence of the internet changed everything.</t>
  </si>
  <si>
    <t>Sự xuất hiện của internet đã thay đổi mọi thứ.</t>
  </si>
  <si>
    <t>outdoors</t>
  </si>
  <si>
    <t>ở ngoài trời</t>
  </si>
  <si>
    <t>The kids are playing outdoors.</t>
  </si>
  <si>
    <t>Lũ trẻ đang chơi ở ngoài trời.</t>
  </si>
  <si>
    <t>outbreak</t>
  </si>
  <si>
    <t>sự bùng phát</t>
  </si>
  <si>
    <t>The outbreak was very sudden.</t>
  </si>
  <si>
    <t>Sự bùng phát rất đột ngột.</t>
  </si>
  <si>
    <t>vet</t>
  </si>
  <si>
    <t>bác sĩ thú y</t>
  </si>
  <si>
    <t>The vet treated my cat.</t>
  </si>
  <si>
    <t>Bác sĩ thú y đã điều trị cho con mèo của tôi.</t>
  </si>
  <si>
    <t>abundance</t>
  </si>
  <si>
    <t>sự phong phú</t>
  </si>
  <si>
    <t>There is an abundance of food.</t>
  </si>
  <si>
    <t>Có sự phong phú về thực phẩm.</t>
  </si>
  <si>
    <t>worship</t>
  </si>
  <si>
    <t>sự thờ phụng</t>
  </si>
  <si>
    <t>They go to worship daily.</t>
  </si>
  <si>
    <t>Họ đi thờ phụng hằng ngày.</t>
  </si>
  <si>
    <t>tribal</t>
  </si>
  <si>
    <t>thuộc bộ lạc</t>
  </si>
  <si>
    <t>They keep their tribal customs.</t>
  </si>
  <si>
    <t>Họ giữ gìn các phong tục bộ lạc.</t>
  </si>
  <si>
    <t>propaganda</t>
  </si>
  <si>
    <t>tuyên truyền</t>
  </si>
  <si>
    <t>They spread fake political propaganda.</t>
  </si>
  <si>
    <t>Họ lan truyền sự tuyên truyền chính trị giả.</t>
  </si>
  <si>
    <t>pudding</t>
  </si>
  <si>
    <t>bánh pudding</t>
  </si>
  <si>
    <t>We had chocolate pudding today.</t>
  </si>
  <si>
    <t>Chúng tôi đã ăn bánh pudding sô-cô-la hôm nay.</t>
  </si>
  <si>
    <t>loyal</t>
  </si>
  <si>
    <t>trung thành</t>
  </si>
  <si>
    <t>He is a loyal friend.</t>
  </si>
  <si>
    <t>Anh ấy là một người bạn trung thành.</t>
  </si>
  <si>
    <t>pledge</t>
  </si>
  <si>
    <t>lời cam kết</t>
  </si>
  <si>
    <t>He kept his formal pledge.</t>
  </si>
  <si>
    <t>Anh ấy đã giữ lời cam kết chính thức của mình.</t>
  </si>
  <si>
    <t>embassy</t>
  </si>
  <si>
    <t>I went to the embassy today.</t>
  </si>
  <si>
    <t>Tôi đã đến đại sứ quán hôm nay.</t>
  </si>
  <si>
    <t>nightmare</t>
  </si>
  <si>
    <t>cơn ác mộng</t>
  </si>
  <si>
    <t>It was a total nightmare.</t>
  </si>
  <si>
    <t>Đó hoàn toàn là một cơn ác mộng.</t>
  </si>
  <si>
    <t>archive</t>
  </si>
  <si>
    <t>Search the digital archive now.</t>
  </si>
  <si>
    <t>Hãy tìm kiếm trong kho lưu trữ kỹ thuật số ngay.</t>
  </si>
  <si>
    <t>ankle</t>
  </si>
  <si>
    <t>mắt cá chân</t>
  </si>
  <si>
    <t>She hurt her left ankle.</t>
  </si>
  <si>
    <t>Cô ấy bị đau mắt cá chân trái.</t>
  </si>
  <si>
    <t>optimism</t>
  </si>
  <si>
    <t>She is full of optimism.</t>
  </si>
  <si>
    <t>Cô ấy đầy sự lạc quan.</t>
  </si>
  <si>
    <t>scrutiny</t>
  </si>
  <si>
    <t>The deal is under close scrutiny.</t>
  </si>
  <si>
    <t>Thỏa thuận đang dưới sự giám sát chặt chẽ.</t>
  </si>
  <si>
    <t>lyric</t>
  </si>
  <si>
    <t>lời bài hát</t>
  </si>
  <si>
    <t>The lyric is very sad.</t>
  </si>
  <si>
    <t>Lời bài hát rất buồn.</t>
  </si>
  <si>
    <t>revival</t>
  </si>
  <si>
    <t>The revival of trade is fast.</t>
  </si>
  <si>
    <t>Sự phục hồi thương mại rất nhanh.</t>
  </si>
  <si>
    <t>agricultural</t>
  </si>
  <si>
    <t>They use new agricultural tools.</t>
  </si>
  <si>
    <t>Họ sử dụng các công cụ nông nghiệp mới.</t>
  </si>
  <si>
    <t>tribute</t>
  </si>
  <si>
    <t>sự tôn vinh</t>
  </si>
  <si>
    <t>This is a small tribute.</t>
  </si>
  <si>
    <t>Đây là một sự tôn vinh nhỏ.</t>
  </si>
  <si>
    <t>alignment</t>
  </si>
  <si>
    <t>Check the alignment of wheels.</t>
  </si>
  <si>
    <t>Hãy kiểm tra sự sắp xếp của các bánh xe.</t>
  </si>
  <si>
    <t>accordance</t>
  </si>
  <si>
    <t>sự phù hợp</t>
  </si>
  <si>
    <t>Do it in accordance with rules.</t>
  </si>
  <si>
    <t>Hãy làm nó phù hợp với các quy tắc.</t>
  </si>
  <si>
    <t>lazy</t>
  </si>
  <si>
    <t>Do not be so lazy.</t>
  </si>
  <si>
    <t>Đừng lười biếng như vậy.</t>
  </si>
  <si>
    <t>merchant</t>
  </si>
  <si>
    <t>thương gia</t>
  </si>
  <si>
    <t>He is a wealthy merchant.</t>
  </si>
  <si>
    <t>Ông ấy là một thương gia giàu có.</t>
  </si>
  <si>
    <t>infamous</t>
  </si>
  <si>
    <t>khét tiếng</t>
  </si>
  <si>
    <t>He is an infamous criminal.</t>
  </si>
  <si>
    <t>Anh ấy là một tên tội phạm khét tiếng.</t>
  </si>
  <si>
    <t>medal</t>
  </si>
  <si>
    <t>huy chương</t>
  </si>
  <si>
    <t>He won a gold medal.</t>
  </si>
  <si>
    <t>Anh ấy đã thắng một huy chương vàng.</t>
  </si>
  <si>
    <t>folding</t>
  </si>
  <si>
    <t>có thể gấp</t>
  </si>
  <si>
    <t>I have a folding chair.</t>
  </si>
  <si>
    <t>Tôi có một chiếc ghế có thể gấp.</t>
  </si>
  <si>
    <t>oral</t>
  </si>
  <si>
    <t>It is an oral exam today.</t>
  </si>
  <si>
    <t>Hôm nay là một bài kiểm tra miệng.</t>
  </si>
  <si>
    <t>revelation</t>
  </si>
  <si>
    <t>sự tiết lộ</t>
  </si>
  <si>
    <t>It was a shocking revelation today.</t>
  </si>
  <si>
    <t>Đó là một sự tiết lộ gây sốc hôm nay.</t>
  </si>
  <si>
    <t>modification</t>
  </si>
  <si>
    <t>Make a small modification now.</t>
  </si>
  <si>
    <t>Hãy thực hiện một sửa đổi nhỏ bây giờ.</t>
  </si>
  <si>
    <t>maximize</t>
  </si>
  <si>
    <t>tối đa hóa</t>
  </si>
  <si>
    <t>Maximize your profit this year.</t>
  </si>
  <si>
    <t>Hãy tối đa hóa lợi nhuận của bạn năm nay.</t>
  </si>
  <si>
    <t>minimize</t>
  </si>
  <si>
    <t>giảm thiểu</t>
  </si>
  <si>
    <t>Minimize the risk right now.</t>
  </si>
  <si>
    <t>Hãy giảm thiểu rủi ro ngay bây giờ.</t>
  </si>
  <si>
    <t>allocation</t>
  </si>
  <si>
    <t>The allocation process is fair.</t>
  </si>
  <si>
    <t>Quá trình phân bổ rất công bằng.</t>
  </si>
  <si>
    <t>verdict</t>
  </si>
  <si>
    <t>The jury gave the verdict.</t>
  </si>
  <si>
    <t>arena</t>
  </si>
  <si>
    <t>đấu trường</t>
  </si>
  <si>
    <t>The team enters the arena.</t>
  </si>
  <si>
    <t>Đội bóng bước vào đấu trường.</t>
  </si>
  <si>
    <t>lad</t>
  </si>
  <si>
    <t>The young lad ran home.</t>
  </si>
  <si>
    <t>Chàng trai trẻ chạy về nhà.</t>
  </si>
  <si>
    <t>refuge</t>
  </si>
  <si>
    <t>They sought refuge from the storm.</t>
  </si>
  <si>
    <t>Họ đã tìm kiếm nơi trú ẩn khỏi cơn bão.</t>
  </si>
  <si>
    <t>marine</t>
  </si>
  <si>
    <t>thuộc biển</t>
  </si>
  <si>
    <t>They study marine life daily.</t>
  </si>
  <si>
    <t>Họ nghiên cứu sinh vật biển hằng ngày.</t>
  </si>
  <si>
    <t>empower</t>
  </si>
  <si>
    <t>trao quyền</t>
  </si>
  <si>
    <t>We empower employees to decide.</t>
  </si>
  <si>
    <t>Chúng tôi trao quyền cho nhân viên quyết định.</t>
  </si>
  <si>
    <t>unfold</t>
  </si>
  <si>
    <t>We watch events unfold today.</t>
  </si>
  <si>
    <t>Chúng tôi xem các sự kiện phát triển hôm nay.</t>
  </si>
  <si>
    <t>exaggerate</t>
  </si>
  <si>
    <t>Do not exaggerate the truth.</t>
  </si>
  <si>
    <t>Đừng phóng đại sự thật.</t>
  </si>
  <si>
    <t>renowned</t>
  </si>
  <si>
    <t>He is a renowned scientist today.</t>
  </si>
  <si>
    <t>Anh ấy là một nhà khoa học nổi tiếng hôm nay.</t>
  </si>
  <si>
    <t>prestigious</t>
  </si>
  <si>
    <t>có uy tín</t>
  </si>
  <si>
    <t>It is a prestigious university.</t>
  </si>
  <si>
    <t>Đó là một trường đại học có uy tín.</t>
  </si>
  <si>
    <t>post-war</t>
  </si>
  <si>
    <t>hậu chiến</t>
  </si>
  <si>
    <t>It was a post-war period.</t>
  </si>
  <si>
    <t>Đó là một giai đoạn hậu chiến.</t>
  </si>
  <si>
    <t>poison</t>
  </si>
  <si>
    <t>thuốc độc</t>
  </si>
  <si>
    <t>Keep the poison away now.</t>
  </si>
  <si>
    <t>Hãy để thuốc độc tránh xa.</t>
  </si>
  <si>
    <t>fasten</t>
  </si>
  <si>
    <t>Please fasten your seat belt.</t>
  </si>
  <si>
    <t>Vui lòng thắt chặt dây an toàn.</t>
  </si>
  <si>
    <t>notify</t>
  </si>
  <si>
    <t>Please notify the office staff.</t>
  </si>
  <si>
    <t>Vui lòng thông báo cho nhân viên văn phòng.</t>
  </si>
  <si>
    <t>embarrassment</t>
  </si>
  <si>
    <t>She hid her face in embarrassment.</t>
  </si>
  <si>
    <t>Cô ấy giấu mặt vì xấu hổ.</t>
  </si>
  <si>
    <t>modest</t>
  </si>
  <si>
    <t>She is very modest today.</t>
  </si>
  <si>
    <t>Cô ấy rất khiêm tốn hôm nay.</t>
  </si>
  <si>
    <t>obey</t>
  </si>
  <si>
    <t>tuân lệnh</t>
  </si>
  <si>
    <t>Soldiers must obey orders.</t>
  </si>
  <si>
    <t>Người lính phải tuân lệnh.</t>
  </si>
  <si>
    <t>epidemic</t>
  </si>
  <si>
    <t>dịch bệnh</t>
  </si>
  <si>
    <t>The epidemic spread very quickly.</t>
  </si>
  <si>
    <t>Dịch bệnh đã lây lan rất nhanh.</t>
  </si>
  <si>
    <t>reign</t>
  </si>
  <si>
    <t>triều đại</t>
  </si>
  <si>
    <t>The king had a long reign.</t>
  </si>
  <si>
    <t>Vị vua đã có một triều đại dài.</t>
  </si>
  <si>
    <t>escalate</t>
  </si>
  <si>
    <t>leo thang</t>
  </si>
  <si>
    <t>The problem will soon escalate.</t>
  </si>
  <si>
    <t>Vấn đề sẽ sớm leo thang.</t>
  </si>
  <si>
    <t>naked</t>
  </si>
  <si>
    <t>trần trụi</t>
  </si>
  <si>
    <t>The tree is looking naked.</t>
  </si>
  <si>
    <t>Cái cây trông trần trụi.</t>
  </si>
  <si>
    <t>pipeline</t>
  </si>
  <si>
    <t>đường ống</t>
  </si>
  <si>
    <t>They built a new pipeline.</t>
  </si>
  <si>
    <t>Họ đã xây một đường ống mới.</t>
  </si>
  <si>
    <t>fossil</t>
  </si>
  <si>
    <t>They found a rare fossil.</t>
  </si>
  <si>
    <t>Họ đã tìm thấy một hóa thạch hiếm.</t>
  </si>
  <si>
    <t>namely</t>
  </si>
  <si>
    <t>cụ thể là</t>
  </si>
  <si>
    <t>They have two goals, namely.</t>
  </si>
  <si>
    <t>Họ có hai mục tiêu, cụ thể là.</t>
  </si>
  <si>
    <t>quota</t>
  </si>
  <si>
    <t>hạn ngạch</t>
  </si>
  <si>
    <t>They met their sales quota today.</t>
  </si>
  <si>
    <t>Họ đã hoàn thành hạn ngạch doanh số hôm nay.</t>
  </si>
  <si>
    <t>noon</t>
  </si>
  <si>
    <t>We meet at high noon.</t>
  </si>
  <si>
    <t>Chúng ta gặp nhau vào giữa trưa.</t>
  </si>
  <si>
    <t>opera</t>
  </si>
  <si>
    <t>nhạc kịch</t>
  </si>
  <si>
    <t>We saw an opera performance.</t>
  </si>
  <si>
    <t>Chúng tôi đã xem một buổi biểu diễn nhạc kịch.</t>
  </si>
  <si>
    <t>beam</t>
  </si>
  <si>
    <t>A bright beam of light.</t>
  </si>
  <si>
    <t>Một tia sáng rực rỡ.</t>
  </si>
  <si>
    <t>villager</t>
  </si>
  <si>
    <t>dân làng</t>
  </si>
  <si>
    <t>Every villager helped the poor.</t>
  </si>
  <si>
    <t>Mỗi dân làng đã giúp đỡ người nghèo.</t>
  </si>
  <si>
    <t>badge</t>
  </si>
  <si>
    <t>He wears a metal badge.</t>
  </si>
  <si>
    <t>Anh ấy đeo một huy hiệu kim loại.</t>
  </si>
  <si>
    <t>betray</t>
  </si>
  <si>
    <t>He would never betray me.</t>
  </si>
  <si>
    <t>Anh ấy sẽ không bao giờ phản bội tôi.</t>
  </si>
  <si>
    <t>monster</t>
  </si>
  <si>
    <t>quái vật</t>
  </si>
  <si>
    <t>It is a big monster.</t>
  </si>
  <si>
    <t>Đó là một con quái vật lớn.</t>
  </si>
  <si>
    <t>worthwhile</t>
  </si>
  <si>
    <t>It is a worthwhile effort.</t>
  </si>
  <si>
    <t>Đó là một nỗ lực đáng giá.</t>
  </si>
  <si>
    <t>miracle</t>
  </si>
  <si>
    <t>phép màu</t>
  </si>
  <si>
    <t>It was a real miracle.</t>
  </si>
  <si>
    <t>Đó là một phép màu thực sự.</t>
  </si>
  <si>
    <t>dignity</t>
  </si>
  <si>
    <t>phẩm giá</t>
  </si>
  <si>
    <t>Maintain your own dignity.</t>
  </si>
  <si>
    <t>Duy trì phẩm giá của chính bạn.</t>
  </si>
  <si>
    <t>persist</t>
  </si>
  <si>
    <t>Please persist in your work.</t>
  </si>
  <si>
    <t>Hãy kiên trì trong công việc của bạn.</t>
  </si>
  <si>
    <t>precede</t>
  </si>
  <si>
    <t>The event will precede lunch.</t>
  </si>
  <si>
    <t>Sự kiện sẽ đi trước bữa trưa.</t>
  </si>
  <si>
    <t>timely</t>
  </si>
  <si>
    <t>The help was very timely.</t>
  </si>
  <si>
    <t>Sự giúp đỡ đó rất kịp thời.</t>
  </si>
  <si>
    <t>filthy</t>
  </si>
  <si>
    <t>The kitchen is very filthy.</t>
  </si>
  <si>
    <t>Căn bếp rất bẩn thỉu.</t>
  </si>
  <si>
    <t>lengthy</t>
  </si>
  <si>
    <t>The meeting was very lengthy.</t>
  </si>
  <si>
    <t>Cuộc họp rất dài dòng.</t>
  </si>
  <si>
    <t>eternal</t>
  </si>
  <si>
    <t>They promise eternal love today.</t>
  </si>
  <si>
    <t>Họ hứa hẹn tình yêu vĩnh cửu hôm nay.</t>
  </si>
  <si>
    <t>biological</t>
  </si>
  <si>
    <t>This is a biological process.</t>
  </si>
  <si>
    <t>Đây là một quá trình sinh học.</t>
  </si>
  <si>
    <t>authentic</t>
  </si>
  <si>
    <t>xác thực</t>
  </si>
  <si>
    <t>This is an authentic signature.</t>
  </si>
  <si>
    <t>Đây là một chữ ký xác thực.</t>
  </si>
  <si>
    <t>realm</t>
  </si>
  <si>
    <t>This is outside my own realm.</t>
  </si>
  <si>
    <t>Đây nằm ngoài lĩnh vực của riêng tôi.</t>
  </si>
  <si>
    <t>bacteria</t>
  </si>
  <si>
    <t>This soap kills many bacteria.</t>
  </si>
  <si>
    <t>Loại xà phòng này giết nhiều vi khuẩn.</t>
  </si>
  <si>
    <t>formulate</t>
  </si>
  <si>
    <t>We must formulate a plan.</t>
  </si>
  <si>
    <t>Chúng ta phải xây dựng một kế hoạch.</t>
  </si>
  <si>
    <t>noble</t>
  </si>
  <si>
    <t>He has a noble cause.</t>
  </si>
  <si>
    <t>Anh ấy có một mục tiêu cao quý.</t>
  </si>
  <si>
    <t>ego</t>
  </si>
  <si>
    <t>He has a very large ego.</t>
  </si>
  <si>
    <t>Anh ấy có cái tôi rất lớn.</t>
  </si>
  <si>
    <t>poet</t>
  </si>
  <si>
    <t>He is a famous poet.</t>
  </si>
  <si>
    <t>Ông ấy là một nhà thơ nổi tiếng.</t>
  </si>
  <si>
    <t>verse</t>
  </si>
  <si>
    <t>câu thơ</t>
  </si>
  <si>
    <t>He wrote a short verse.</t>
  </si>
  <si>
    <t>Anh ấy đã viết một câu thơ ngắn.</t>
  </si>
  <si>
    <t>midnight</t>
  </si>
  <si>
    <t>It is past midnight now.</t>
  </si>
  <si>
    <t>Bây giờ đã quá nửa đêm.</t>
  </si>
  <si>
    <t>feat</t>
  </si>
  <si>
    <t>kỳ công</t>
  </si>
  <si>
    <t>It was a great feat.</t>
  </si>
  <si>
    <t>Đó là một kỳ công lớn.</t>
  </si>
  <si>
    <t>vicious</t>
  </si>
  <si>
    <t>It was a vicious attack.</t>
  </si>
  <si>
    <t>Đó là một cuộc tấn công tàn bạo.</t>
  </si>
  <si>
    <t>enrol</t>
  </si>
  <si>
    <t>Please enrol in the course.</t>
  </si>
  <si>
    <t>Vui lòng đăng ký vào khóa học.</t>
  </si>
  <si>
    <t>refrigerator</t>
  </si>
  <si>
    <t>Put the food in the refrigerator.</t>
  </si>
  <si>
    <t>Hãy đặt thức ăn vào tủ lạnh.</t>
  </si>
  <si>
    <t>widow</t>
  </si>
  <si>
    <t>góa phụ</t>
  </si>
  <si>
    <t>She is a kind widow.</t>
  </si>
  <si>
    <t>Bà ấy là một góa phụ tử tế.</t>
  </si>
  <si>
    <t>lively</t>
  </si>
  <si>
    <t>She is a lively person.</t>
  </si>
  <si>
    <t>Cô ấy là một người sôi nổi.</t>
  </si>
  <si>
    <t>onion</t>
  </si>
  <si>
    <t>củ hành</t>
  </si>
  <si>
    <t>She is chopping an onion.</t>
  </si>
  <si>
    <t>Cô ấy đang thái một củ hành.</t>
  </si>
  <si>
    <t>morality</t>
  </si>
  <si>
    <t>Society needs high morality today.</t>
  </si>
  <si>
    <t>Xã hội cần đạo đức cao hôm nay.</t>
  </si>
  <si>
    <t>feather</t>
  </si>
  <si>
    <t>The bird has soft feather.</t>
  </si>
  <si>
    <t>Con chim có bộ lông vũ mềm mại.</t>
  </si>
  <si>
    <t>nursery</t>
  </si>
  <si>
    <t>nhà trẻ</t>
  </si>
  <si>
    <t>The child is at nursery.</t>
  </si>
  <si>
    <t>Đứa trẻ đang ở nhà trẻ.</t>
  </si>
  <si>
    <t>guerrilla</t>
  </si>
  <si>
    <t>du kích</t>
  </si>
  <si>
    <t>The guerrilla fought in forest.</t>
  </si>
  <si>
    <t>Lực lượng du kích đã chiến đấu trong rừng.</t>
  </si>
  <si>
    <t>bent</t>
  </si>
  <si>
    <t>bị cong</t>
  </si>
  <si>
    <t>The iron bar is bent.</t>
  </si>
  <si>
    <t>Thanh sắt bị cong.</t>
  </si>
  <si>
    <t>mechanic</t>
  </si>
  <si>
    <t>thợ máy</t>
  </si>
  <si>
    <t>The mechanic fixed the car.</t>
  </si>
  <si>
    <t>Thợ máy đã sửa chiếc xe.</t>
  </si>
  <si>
    <t>premise</t>
  </si>
  <si>
    <t>The premise is entirely wrong.</t>
  </si>
  <si>
    <t>Tiền đề hoàn toàn sai.</t>
  </si>
  <si>
    <t>neighbouring</t>
  </si>
  <si>
    <t>lân cận</t>
  </si>
  <si>
    <t>They live in neighbouring towns.</t>
  </si>
  <si>
    <t>Họ sống ở các thị trấn lân cận.</t>
  </si>
  <si>
    <t>anonymous</t>
  </si>
  <si>
    <t>ẩn danh</t>
  </si>
  <si>
    <t>They received an anonymous call.</t>
  </si>
  <si>
    <t>Họ đã nhận được một cuộc gọi ẩn danh.</t>
  </si>
  <si>
    <t>prosecute</t>
  </si>
  <si>
    <t>truy tố</t>
  </si>
  <si>
    <t>They will prosecute the criminals soon.</t>
  </si>
  <si>
    <t>Họ sẽ sớm truy tố những tên tội phạm.</t>
  </si>
  <si>
    <t>beef</t>
  </si>
  <si>
    <t>We cook beef for dinner.</t>
  </si>
  <si>
    <t>Chúng tôi nấu thịt bò cho bữa tối.</t>
  </si>
  <si>
    <t>recycle</t>
  </si>
  <si>
    <t>tái chế</t>
  </si>
  <si>
    <t>We must recycle paper and glass.</t>
  </si>
  <si>
    <t>Chúng ta phải tái chế giấy và thủy tinh.</t>
  </si>
  <si>
    <t>robust</t>
  </si>
  <si>
    <t>We need a more robust system.</t>
  </si>
  <si>
    <t>Chúng ta cần một hệ thống mạnh mẽ hơn.</t>
  </si>
  <si>
    <t>gallon</t>
  </si>
  <si>
    <t>Buy one gallon of milk.</t>
  </si>
  <si>
    <t>Hãy mua một gallon sữa.</t>
  </si>
  <si>
    <t>underwear</t>
  </si>
  <si>
    <t>He bought some new underwear.</t>
  </si>
  <si>
    <t>Anh ấy đã mua một ít đồ lót mới.</t>
  </si>
  <si>
    <t>recount</t>
  </si>
  <si>
    <t>He did recount his long story.</t>
  </si>
  <si>
    <t>Anh ấy đã kể lại câu chuyện dài của mình.</t>
  </si>
  <si>
    <t>motorcycle</t>
  </si>
  <si>
    <t>He rides a fast motorcycle.</t>
  </si>
  <si>
    <t>Anh ấy lái một chiếc xe máy nhanh.</t>
  </si>
  <si>
    <t>ashamed</t>
  </si>
  <si>
    <t>I am ashamed of that.</t>
  </si>
  <si>
    <t>Tôi cảm thấy xấu hổ về điều đó.</t>
  </si>
  <si>
    <t>flour</t>
  </si>
  <si>
    <t>bột mì</t>
  </si>
  <si>
    <t>I need some white flour.</t>
  </si>
  <si>
    <t>Tôi cần một ít bột mì trắng.</t>
  </si>
  <si>
    <t>notebook</t>
  </si>
  <si>
    <t>I write in my notebook.</t>
  </si>
  <si>
    <t>Tôi viết vào sổ tay của mình.</t>
  </si>
  <si>
    <t>whereby</t>
  </si>
  <si>
    <t>nhờ đó</t>
  </si>
  <si>
    <t>It is a plan whereby.</t>
  </si>
  <si>
    <t>Đó là một kế hoạch nhờ đó.</t>
  </si>
  <si>
    <t>endeavour</t>
  </si>
  <si>
    <t>It was a great team endeavour.</t>
  </si>
  <si>
    <t>Đó là một nỗ lực lớn của nhóm.</t>
  </si>
  <si>
    <t>prescribe</t>
  </si>
  <si>
    <t>kê đơn</t>
  </si>
  <si>
    <t>The doctor will prescribe medicine.</t>
  </si>
  <si>
    <t>Bác sĩ sẽ kê đơn thuốc.</t>
  </si>
  <si>
    <t>overwhelm</t>
  </si>
  <si>
    <t>áp đảo</t>
  </si>
  <si>
    <t>The emotions began to overwhelm.</t>
  </si>
  <si>
    <t>Cảm xúc bắt đầu áp đảo.</t>
  </si>
  <si>
    <t>pronounced</t>
  </si>
  <si>
    <t>There is a pronounced difference here.</t>
  </si>
  <si>
    <t>Có một sự khác biệt rõ rệt ở đây.</t>
  </si>
  <si>
    <t>anchor</t>
  </si>
  <si>
    <t>mỏ neo</t>
  </si>
  <si>
    <t>They dropped the anchor down.</t>
  </si>
  <si>
    <t>Họ đã thả mỏ neo xuống.</t>
  </si>
  <si>
    <t>alcoholic</t>
  </si>
  <si>
    <t>có cồn</t>
  </si>
  <si>
    <t>This drink is non-alcoholic.</t>
  </si>
  <si>
    <t>Đồ uống này không có cồn.</t>
  </si>
  <si>
    <t>jumper</t>
  </si>
  <si>
    <t>Wear a warm woollen jumper.</t>
  </si>
  <si>
    <t>Hãy mặc một chiếc áo len ấm.</t>
  </si>
  <si>
    <t>embed</t>
  </si>
  <si>
    <t>Embed the image into the file.</t>
  </si>
  <si>
    <t>Hãy nhúng hình ảnh vào tệp tin.</t>
  </si>
  <si>
    <t>fragile</t>
  </si>
  <si>
    <t>Handle this box with care.</t>
  </si>
  <si>
    <t>Hãy xử lý chiếc hộp này một cách cẩn thận.</t>
  </si>
  <si>
    <t>mysterious</t>
  </si>
  <si>
    <t>It is a mysterious case.</t>
  </si>
  <si>
    <t>Đó là một vụ án bí ẩn.</t>
  </si>
  <si>
    <t>exotic</t>
  </si>
  <si>
    <t>She likes eating exotic food.</t>
  </si>
  <si>
    <t>Cô ấy thích ăn đồ ăn kỳ lạ.</t>
  </si>
  <si>
    <t>blast</t>
  </si>
  <si>
    <t>The blast shook the ground.</t>
  </si>
  <si>
    <t>Vụ nổ làm rung chuyển mặt đất.</t>
  </si>
  <si>
    <t>hydrogen</t>
  </si>
  <si>
    <t>Water contains oxygen and hydrogen.</t>
  </si>
  <si>
    <t>Nước chứa oxy và hydro.</t>
  </si>
  <si>
    <t>multiply</t>
  </si>
  <si>
    <t>nhân</t>
  </si>
  <si>
    <t>Multiply the numbers by two.</t>
  </si>
  <si>
    <t>Hãy nhân các số đó với hai.</t>
  </si>
  <si>
    <t>kidney</t>
  </si>
  <si>
    <t>thận</t>
  </si>
  <si>
    <t>She has a healthy kidney.</t>
  </si>
  <si>
    <t>Cô ấy có quả thận khỏe mạnh.</t>
  </si>
  <si>
    <t>fur</t>
  </si>
  <si>
    <t>The dog has soft fur.</t>
  </si>
  <si>
    <t>Con chó có bộ lông mềm.</t>
  </si>
  <si>
    <t>blade</t>
  </si>
  <si>
    <t>The knife has sharp blade.</t>
  </si>
  <si>
    <t>Con dao có lưỡi sắc.</t>
  </si>
  <si>
    <t>postpone</t>
  </si>
  <si>
    <t>We must postpone the meeting.</t>
  </si>
  <si>
    <t>Chúng ta phải hoãn cuộc họp.</t>
  </si>
  <si>
    <t>garlic</t>
  </si>
  <si>
    <t>tỏi</t>
  </si>
  <si>
    <t>Add some garlic for taste.</t>
  </si>
  <si>
    <t>Hãy thêm một ít tỏi để lấy vị.</t>
  </si>
  <si>
    <t>yell</t>
  </si>
  <si>
    <t>Do not yell at me.</t>
  </si>
  <si>
    <t>Đừng hét vào mặt tôi.</t>
  </si>
  <si>
    <t>liver</t>
  </si>
  <si>
    <t>gan</t>
  </si>
  <si>
    <t>He has a healthy liver.</t>
  </si>
  <si>
    <t>Anh ấy có một lá gan khỏe mạnh.</t>
  </si>
  <si>
    <t>trophy</t>
  </si>
  <si>
    <t>cúp</t>
  </si>
  <si>
    <t>He won a gold trophy.</t>
  </si>
  <si>
    <t>Anh ấy đã thắng một chiếc cúp vàng.</t>
  </si>
  <si>
    <t>grandad</t>
  </si>
  <si>
    <t>I visit my grandad often.</t>
  </si>
  <si>
    <t>Tôi thường xuyên thăm ông của mình.</t>
  </si>
  <si>
    <t>frog</t>
  </si>
  <si>
    <t>ếch</t>
  </si>
  <si>
    <t>The frog jumped very high.</t>
  </si>
  <si>
    <t>Con ếch đã nhảy rất cao.</t>
  </si>
  <si>
    <t>hurricane</t>
  </si>
  <si>
    <t>The hurricane destroyed the town.</t>
  </si>
  <si>
    <t>Cơn bão đã phá hủy thị trấn.</t>
  </si>
  <si>
    <t>wool</t>
  </si>
  <si>
    <t>The sweater is made of wool.</t>
  </si>
  <si>
    <t>Chiếc áo len được làm bằng len.</t>
  </si>
  <si>
    <t>lump</t>
  </si>
  <si>
    <t>There is a sugar lump.</t>
  </si>
  <si>
    <t>Có một cục đường ở đó.</t>
  </si>
  <si>
    <t>vow</t>
  </si>
  <si>
    <t>They vowed to stay together.</t>
  </si>
  <si>
    <t>Họ đã thề sẽ ở bên nhau.</t>
  </si>
  <si>
    <t>momentum</t>
  </si>
  <si>
    <t>đà</t>
  </si>
  <si>
    <t>The project gained much momentum.</t>
  </si>
  <si>
    <t>Dự án đã đạt được nhiều đà phát triển.</t>
  </si>
  <si>
    <t>disappointing</t>
  </si>
  <si>
    <t>gây thất vọng</t>
  </si>
  <si>
    <t>A very disappointing result.</t>
  </si>
  <si>
    <t>Một kết quả rất gây thất vọng.</t>
  </si>
  <si>
    <t>declaration</t>
  </si>
  <si>
    <t>sự tuyên bố</t>
  </si>
  <si>
    <t>A public declaration made.</t>
  </si>
  <si>
    <t>Một sự tuyên bố công khai đã được thực hiện.</t>
  </si>
  <si>
    <t>correlation</t>
  </si>
  <si>
    <t>sự tương quan</t>
  </si>
  <si>
    <t>Show a clear correlation.</t>
  </si>
  <si>
    <t>Cho thấy một sự tương quan rõ ràng.</t>
  </si>
  <si>
    <t>deficit</t>
  </si>
  <si>
    <t>sự thâm hụt</t>
  </si>
  <si>
    <t>A huge budget deficit.</t>
  </si>
  <si>
    <t>Một sự thâm hụt ngân sách lớn.</t>
  </si>
  <si>
    <t>duration</t>
  </si>
  <si>
    <t>thời lượng</t>
  </si>
  <si>
    <t>The course duration time.</t>
  </si>
  <si>
    <t>Thời lượng của khóa học.</t>
  </si>
  <si>
    <t>disclose</t>
  </si>
  <si>
    <t>Disclose the secret info.</t>
  </si>
  <si>
    <t>Tiết lộ thông tin bí mật.</t>
  </si>
  <si>
    <t>disgusting</t>
  </si>
  <si>
    <t>ghê tởm</t>
  </si>
  <si>
    <t>A disgusting smell here.</t>
  </si>
  <si>
    <t>Một mùi ghê tởm ở đây.</t>
  </si>
  <si>
    <t>depict</t>
  </si>
  <si>
    <t>Depict a beautiful scene.</t>
  </si>
  <si>
    <t>Mô tả một cảnh đẹp.</t>
  </si>
  <si>
    <t>discourse</t>
  </si>
  <si>
    <t>bài diễn thuyết</t>
  </si>
  <si>
    <t>A formal academic discourse.</t>
  </si>
  <si>
    <t>Một bài diễn thuyết học thuật trang trọng.</t>
  </si>
  <si>
    <t>coordinator</t>
  </si>
  <si>
    <t>điều phối viên</t>
  </si>
  <si>
    <t>Contact the project coordinator.</t>
  </si>
  <si>
    <t>Liên hệ với điều phối viên dự án.</t>
  </si>
  <si>
    <t>theatrical</t>
  </si>
  <si>
    <t>thuộc sân khấu</t>
  </si>
  <si>
    <t>She enjoys a theatrical performance.</t>
  </si>
  <si>
    <t>Cô ấy thích một buổi biểu diễn sân khấu.</t>
  </si>
  <si>
    <t>donate</t>
  </si>
  <si>
    <t>They donate money to hospitals.</t>
  </si>
  <si>
    <t>Họ quyên góp tiền cho các bệnh viện.</t>
  </si>
  <si>
    <t>decorate</t>
  </si>
  <si>
    <t>Decorate the office wall.</t>
  </si>
  <si>
    <t>Trang trí bức tường văn phòng.</t>
  </si>
  <si>
    <t>terminate</t>
  </si>
  <si>
    <t>chấm dứt</t>
  </si>
  <si>
    <t>They decided to terminate it.</t>
  </si>
  <si>
    <t>Họ quyết định chấm dứt nó.</t>
  </si>
  <si>
    <t>diplomatic</t>
  </si>
  <si>
    <t>thuộc ngoại giao</t>
  </si>
  <si>
    <t>A delicate diplomatic effort.</t>
  </si>
  <si>
    <t>Một nỗ lực ngoại giao tinh tế.</t>
  </si>
  <si>
    <t>deploy</t>
  </si>
  <si>
    <t>Deploy a new strategy.</t>
  </si>
  <si>
    <t>Triển khai một chiến lược mới.</t>
  </si>
  <si>
    <t>curiosity</t>
  </si>
  <si>
    <t>sự tò mò</t>
  </si>
  <si>
    <t>Satisfy your natural curiosity.</t>
  </si>
  <si>
    <t>Thỏa mãn sự tò mò tự nhiên của bạn.</t>
  </si>
  <si>
    <t>discourage</t>
  </si>
  <si>
    <t>làm nản lòng</t>
  </si>
  <si>
    <t>Don't discourage new ideas.</t>
  </si>
  <si>
    <t>Đừng làm nản lòng các ý tưởng mới.</t>
  </si>
  <si>
    <t>donation</t>
  </si>
  <si>
    <t>Make a small donation.</t>
  </si>
  <si>
    <t>Thực hiện một sự quyên góp nhỏ.</t>
  </si>
  <si>
    <t>delegate</t>
  </si>
  <si>
    <t>Delegate work to staff.</t>
  </si>
  <si>
    <t>Ủy quyền công việc cho nhân viên.</t>
  </si>
  <si>
    <t>correspondence</t>
  </si>
  <si>
    <t>Check all the correspondence.</t>
  </si>
  <si>
    <t>Kiểm tra tất cả các thư từ.</t>
  </si>
  <si>
    <t>deployment</t>
  </si>
  <si>
    <t>The successful system deployment.</t>
  </si>
  <si>
    <t>Sự triển khai hệ thống thành công.</t>
  </si>
  <si>
    <t>cutting</t>
  </si>
  <si>
    <t>sự cắt bỏ</t>
  </si>
  <si>
    <t>The cutting of costs.</t>
  </si>
  <si>
    <t>Sự cắt bỏ các chi phí.</t>
  </si>
  <si>
    <t>distinctive</t>
  </si>
  <si>
    <t>A distinctive local style.</t>
  </si>
  <si>
    <t>Một phong cách địa phương đặc biệt.</t>
  </si>
  <si>
    <t>countryside</t>
  </si>
  <si>
    <t>vùng nông thôn</t>
  </si>
  <si>
    <t>Live in the countryside.</t>
  </si>
  <si>
    <t>Sống ở vùng nông thôn.</t>
  </si>
  <si>
    <t>dependence</t>
  </si>
  <si>
    <t>Reduce the oil dependence.</t>
  </si>
  <si>
    <t>Giảm sự phụ thuộc vào dầu mỏ.</t>
  </si>
  <si>
    <t>disclosure</t>
  </si>
  <si>
    <t>Full financial disclosure made.</t>
  </si>
  <si>
    <t>Sự tiết lộ tài chính đầy đủ đã được thực hiện.</t>
  </si>
  <si>
    <t>echo</t>
  </si>
  <si>
    <t>Hear the clear echo.</t>
  </si>
  <si>
    <t>Nghe thấy tiếng vang rõ ràng.</t>
  </si>
  <si>
    <t>diagnosis</t>
  </si>
  <si>
    <t>sự chẩn đoán</t>
  </si>
  <si>
    <t>A clear medical diagnosis.</t>
  </si>
  <si>
    <t>Một sự chẩn đoán y tế rõ ràng.</t>
  </si>
  <si>
    <t>dawn</t>
  </si>
  <si>
    <t>Wake up at dawn.</t>
  </si>
  <si>
    <t>Thức dậy vào lúc bình minh.</t>
  </si>
  <si>
    <t>artwork</t>
  </si>
  <si>
    <t>tác phẩm nghệ thuật</t>
  </si>
  <si>
    <t>This artwork is truly unique.</t>
  </si>
  <si>
    <t>Tác phẩm nghệ thuật này thực sự độc đáo.</t>
  </si>
  <si>
    <t>literacy</t>
  </si>
  <si>
    <t>trình độ biết chữ</t>
  </si>
  <si>
    <t>Improve literacy in the community.</t>
  </si>
  <si>
    <t>Cải thiện trình độ biết chữ trong cộng đồng.</t>
  </si>
  <si>
    <t>arguably</t>
  </si>
  <si>
    <t>có thể tranh luận</t>
  </si>
  <si>
    <t>It is arguably the best.</t>
  </si>
  <si>
    <t>Nó có thể tranh luận là tốt nhất.</t>
  </si>
  <si>
    <t>predecessor</t>
  </si>
  <si>
    <t>người tiền nhiệm</t>
  </si>
  <si>
    <t>He replaced his old predecessor.</t>
  </si>
  <si>
    <t>Anh ấy đã thay thế người tiền nhiệm cũ của mình.</t>
  </si>
  <si>
    <t>novelist</t>
  </si>
  <si>
    <t>tiểu thuyết gia</t>
  </si>
  <si>
    <t>He is a famous novelist.</t>
  </si>
  <si>
    <t>Anh ấy là một tiểu thuyết gia nổi tiếng.</t>
  </si>
  <si>
    <t>mentor</t>
  </si>
  <si>
    <t>He is my great mentor.</t>
  </si>
  <si>
    <t>Anh ấy là người hướng dẫn tuyệt vời của tôi.</t>
  </si>
  <si>
    <t>beneficiary</t>
  </si>
  <si>
    <t>người thụ hưởng</t>
  </si>
  <si>
    <t>He is the main beneficiary.</t>
  </si>
  <si>
    <t>Anh ấy là người thụ hưởng chính.</t>
  </si>
  <si>
    <t>flawed</t>
  </si>
  <si>
    <t>có khiếm khuyết</t>
  </si>
  <si>
    <t>The design is slightly flawed.</t>
  </si>
  <si>
    <t>Thiết kế hơi có khiếm khuyết.</t>
  </si>
  <si>
    <t>thrive</t>
  </si>
  <si>
    <t>phát triển mạnh</t>
  </si>
  <si>
    <t>The plants thrive in sun.</t>
  </si>
  <si>
    <t>Các loài cây phát triển mạnh dưới ánh mặt trời.</t>
  </si>
  <si>
    <t>architectural</t>
  </si>
  <si>
    <t>thuộc kiến trúc</t>
  </si>
  <si>
    <t>They study architectural designs now.</t>
  </si>
  <si>
    <t>Họ nghiên cứu các thiết kế thuộc kiến trúc.</t>
  </si>
  <si>
    <t>monument</t>
  </si>
  <si>
    <t>đài tưởng niệm</t>
  </si>
  <si>
    <t>The monument is very tall.</t>
  </si>
  <si>
    <t>Đài tưởng niệm rất cao.</t>
  </si>
  <si>
    <t>astonishing</t>
  </si>
  <si>
    <t>đáng kinh ngạc</t>
  </si>
  <si>
    <t>The results are truly astonishing.</t>
  </si>
  <si>
    <t>Các kết quả thực sự đáng kinh ngạc.</t>
  </si>
  <si>
    <t>memorial</t>
  </si>
  <si>
    <t>Visit the city memorial today.</t>
  </si>
  <si>
    <t>Hãy thăm đài tưởng niệm thành phố hôm nay.</t>
  </si>
  <si>
    <t>liable</t>
  </si>
  <si>
    <t>có trách nhiệm</t>
  </si>
  <si>
    <t>You are liable for damages.</t>
  </si>
  <si>
    <t>Bạn phải chịu trách nhiệm cho các thiệt hại.</t>
  </si>
  <si>
    <t>ambulance</t>
  </si>
  <si>
    <t>xe cứu thương</t>
  </si>
  <si>
    <t>Call an ambulance right now.</t>
  </si>
  <si>
    <t>Hãy gọi xe cứu thương ngay bây giờ.</t>
  </si>
  <si>
    <t>judicial</t>
  </si>
  <si>
    <t>thuộc tư pháp</t>
  </si>
  <si>
    <t>He works in the judicial system.</t>
  </si>
  <si>
    <t>Anh ấy làm việc trong hệ thống tư pháp.</t>
  </si>
  <si>
    <t>liberation</t>
  </si>
  <si>
    <t>sự giải phóng</t>
  </si>
  <si>
    <t>The day of national liberation.</t>
  </si>
  <si>
    <t>Ngày giải phóng dân tộc.</t>
  </si>
  <si>
    <t>navigation</t>
  </si>
  <si>
    <t>The navigation works very well.</t>
  </si>
  <si>
    <t>Sự định hướng hoạt động rất tốt.</t>
  </si>
  <si>
    <t>bail</t>
  </si>
  <si>
    <t>tiền bảo lãnh</t>
  </si>
  <si>
    <t>They paid the heavy bail.</t>
  </si>
  <si>
    <t>Họ đã trả số tiền bảo lãnh lớn.</t>
  </si>
  <si>
    <t>assertion</t>
  </si>
  <si>
    <t>sự khẳng định</t>
  </si>
  <si>
    <t>Your assertion is totally wrong.</t>
  </si>
  <si>
    <t>Sự khẳng định của bạn hoàn toàn sai.</t>
  </si>
  <si>
    <t>luckily</t>
  </si>
  <si>
    <t>Luckily, I found my key.</t>
  </si>
  <si>
    <t>May mắn thay, tôi đã tìm thấy chìa khóa.</t>
  </si>
  <si>
    <t>lesbian</t>
  </si>
  <si>
    <t>đồng tính nữ</t>
  </si>
  <si>
    <t>She is a lesbian woman.</t>
  </si>
  <si>
    <t>Cô ấy là một người phụ nữ đồng tính nữ.</t>
  </si>
  <si>
    <t>decoration</t>
  </si>
  <si>
    <t>Simple home decoration ideas.</t>
  </si>
  <si>
    <t>Các ý tưởng trang trí nhà cửa đơn giản.</t>
  </si>
  <si>
    <t>educator</t>
  </si>
  <si>
    <t>nhà giáo dục</t>
  </si>
  <si>
    <t>Talk to an educator.</t>
  </si>
  <si>
    <t>Nói chuyện với một nhà giáo dục.</t>
  </si>
  <si>
    <t>manipulation</t>
  </si>
  <si>
    <t>sự thao túng</t>
  </si>
  <si>
    <t>The data manipulation is wrong.</t>
  </si>
  <si>
    <t>Sự thao túng dữ liệu đó là sai.</t>
  </si>
  <si>
    <t>unprecedented</t>
  </si>
  <si>
    <t>chưa từng có</t>
  </si>
  <si>
    <t>The growth is truly unprecedented.</t>
  </si>
  <si>
    <t>Sự tăng trưởng thực sự chưa từng có.</t>
  </si>
  <si>
    <t>justification</t>
  </si>
  <si>
    <t>sự biện minh</t>
  </si>
  <si>
    <t>There is no justification for this.</t>
  </si>
  <si>
    <t>Không có sự biện minh nào cho việc này.</t>
  </si>
  <si>
    <t>distress</t>
  </si>
  <si>
    <t>sự đau buồn</t>
  </si>
  <si>
    <t>Express deep emotional distress.</t>
  </si>
  <si>
    <t>Thể hiện sự đau buồn cảm xúc sâu sắc.</t>
  </si>
  <si>
    <t>outsider</t>
  </si>
  <si>
    <t>người ngoài</t>
  </si>
  <si>
    <t>He felt like an outsider.</t>
  </si>
  <si>
    <t>Anh ấy cảm thấy như một người ngoài.</t>
  </si>
  <si>
    <t>wit</t>
  </si>
  <si>
    <t>sự hóm hỉnh</t>
  </si>
  <si>
    <t>He has a quick wit.</t>
  </si>
  <si>
    <t>Anh ấy có sự hóm hỉnh nhanh nhạy.</t>
  </si>
  <si>
    <t>analogy</t>
  </si>
  <si>
    <t>He uses a simple analogy.</t>
  </si>
  <si>
    <t>Anh ấy sử dụng một sự tương tự đơn giản.</t>
  </si>
  <si>
    <t>allegedly</t>
  </si>
  <si>
    <t>He was allegedly seen there.</t>
  </si>
  <si>
    <t>Anh ấy được cho là đã thấy ở đó.</t>
  </si>
  <si>
    <t>coordination</t>
  </si>
  <si>
    <t>sự phối hợp</t>
  </si>
  <si>
    <t>Improve team coordination.</t>
  </si>
  <si>
    <t>Cải thiện sự phối hợp của nhóm.</t>
  </si>
  <si>
    <t>legendary</t>
  </si>
  <si>
    <t>It is a legendary story.</t>
  </si>
  <si>
    <t>Đó là một câu chuyện huyền thoại.</t>
  </si>
  <si>
    <t>prevalence</t>
  </si>
  <si>
    <t>The prevalence is increasing fast.</t>
  </si>
  <si>
    <t>Sự phổ biến đang tăng nhanh.</t>
  </si>
  <si>
    <t>accumulation</t>
  </si>
  <si>
    <t>There is an accumulation of dust.</t>
  </si>
  <si>
    <t>Có sự tích lũy của bụi bẩn.</t>
  </si>
  <si>
    <t>mandate</t>
  </si>
  <si>
    <t>sự ủy nhiệm</t>
  </si>
  <si>
    <t>They have a clear mandate.</t>
  </si>
  <si>
    <t>Họ có một sự ủy nhiệm rõ ràng.</t>
  </si>
  <si>
    <t>accountability</t>
  </si>
  <si>
    <t>We demand full accountability here.</t>
  </si>
  <si>
    <t>Chúng tôi đòi hỏi trách nhiệm đầy đủ ở đây.</t>
  </si>
  <si>
    <t>prevail</t>
  </si>
  <si>
    <t>Justice will prevail in time.</t>
  </si>
  <si>
    <t>Công lý sẽ thịnh hành trong tương lai.</t>
  </si>
  <si>
    <t>marketplace</t>
  </si>
  <si>
    <t>The global marketplace is huge.</t>
  </si>
  <si>
    <t>Thị trường toàn cầu rất lớn.</t>
  </si>
  <si>
    <t>outrage</t>
  </si>
  <si>
    <t>sự phẫn nộ</t>
  </si>
  <si>
    <t>The news caused public outrage.</t>
  </si>
  <si>
    <t>Tin tức đã gây ra sự phẫn nộ của công chúng.</t>
  </si>
  <si>
    <t>alike</t>
  </si>
  <si>
    <t>They look very much alike.</t>
  </si>
  <si>
    <t>Họ trông rất giống nhau.</t>
  </si>
  <si>
    <t>large-scale</t>
  </si>
  <si>
    <t>quy mô lớn</t>
  </si>
  <si>
    <t>They plan a large-scale project.</t>
  </si>
  <si>
    <t>Họ lên kế hoạch cho một dự án quy mô lớn.</t>
  </si>
  <si>
    <t>benchmark</t>
  </si>
  <si>
    <t>điểm chuẩn</t>
  </si>
  <si>
    <t>We set a new benchmark.</t>
  </si>
  <si>
    <t>Chúng tôi thiết lập một điểm chuẩn mới.</t>
  </si>
  <si>
    <t>elbow</t>
  </si>
  <si>
    <t>He hit his elbow on the table.</t>
  </si>
  <si>
    <t>Anh ấy va khuỷu tay vào bàn.</t>
  </si>
  <si>
    <t>amateur</t>
  </si>
  <si>
    <t>He is an amateur photographer.</t>
  </si>
  <si>
    <t>Anh ấy là một nhiếp ảnh gia nghiệp dư.</t>
  </si>
  <si>
    <t>preach</t>
  </si>
  <si>
    <t>giảng đạo</t>
  </si>
  <si>
    <t>He likes to preach often.</t>
  </si>
  <si>
    <t>Ông ấy thích giảng đạo thường xuyên.</t>
  </si>
  <si>
    <t>ballot</t>
  </si>
  <si>
    <t>Mark your ballot very clearly.</t>
  </si>
  <si>
    <t>Hãy đánh dấu phiếu bầu của bạn thật rõ ràng.</t>
  </si>
  <si>
    <t>bless</t>
  </si>
  <si>
    <t>ban phước</t>
  </si>
  <si>
    <t>May god bless you now.</t>
  </si>
  <si>
    <t>Mong chúa ban phước cho bạn bây giờ.</t>
  </si>
  <si>
    <t>endorsement</t>
  </si>
  <si>
    <t>sự ủng hộ</t>
  </si>
  <si>
    <t>She received public endorsement today.</t>
  </si>
  <si>
    <t>Cô ấy đã nhận được sự ủng hộ công khai.</t>
  </si>
  <si>
    <t>barrel</t>
  </si>
  <si>
    <t>The barrel is full now.</t>
  </si>
  <si>
    <t>Cái thùng đã đầy bây giờ.</t>
  </si>
  <si>
    <t>laser</t>
  </si>
  <si>
    <t>tia laser</t>
  </si>
  <si>
    <t>The laser cuts the metal.</t>
  </si>
  <si>
    <t>Tia laser cắt kim loại.</t>
  </si>
  <si>
    <t>backdrop</t>
  </si>
  <si>
    <t>phông nền</t>
  </si>
  <si>
    <t>The mountains are a backdrop.</t>
  </si>
  <si>
    <t>Những ngọn núi là một phông nền.</t>
  </si>
  <si>
    <t>marvellous</t>
  </si>
  <si>
    <t>The news is truly marvellous.</t>
  </si>
  <si>
    <t>Tin tức này thực sự tuyệt vời.</t>
  </si>
  <si>
    <t>pirate</t>
  </si>
  <si>
    <t>cướp biển</t>
  </si>
  <si>
    <t>The pirate hid the gold.</t>
  </si>
  <si>
    <t>Tên cướp biển đã giấu vàng.</t>
  </si>
  <si>
    <t>youngster</t>
  </si>
  <si>
    <t>người trẻ</t>
  </si>
  <si>
    <t>The youngster runs very fast.</t>
  </si>
  <si>
    <t>Người trẻ đó chạy rất nhanh.</t>
  </si>
  <si>
    <t>autonomy</t>
  </si>
  <si>
    <t>sự tự chủ</t>
  </si>
  <si>
    <t>They demand complete political autonomy.</t>
  </si>
  <si>
    <t>Họ đòi hỏi sự tự chủ chính trị hoàn toàn.</t>
  </si>
  <si>
    <t>plunge</t>
  </si>
  <si>
    <t>lao xuống</t>
  </si>
  <si>
    <t>They plunge into the water.</t>
  </si>
  <si>
    <t>Họ lao xuống nước.</t>
  </si>
  <si>
    <t>trademark</t>
  </si>
  <si>
    <t>nhãn hiệu</t>
  </si>
  <si>
    <t>They registered the new trademark.</t>
  </si>
  <si>
    <t>Họ đã đăng ký nhãn hiệu mới.</t>
  </si>
  <si>
    <t>minimal</t>
  </si>
  <si>
    <t>Use a minimal amount today.</t>
  </si>
  <si>
    <t>Hãy dùng một lượng tối thiểu hôm nay.</t>
  </si>
  <si>
    <t>lounge</t>
  </si>
  <si>
    <t>Wait in the airport lounge.</t>
  </si>
  <si>
    <t>Hãy đợi ở phòng chờ sân bay.</t>
  </si>
  <si>
    <t>nonsense</t>
  </si>
  <si>
    <t>lời vô lý</t>
  </si>
  <si>
    <t>What you say is nonsense.</t>
  </si>
  <si>
    <t>Những gì bạn nói thật vô lý.</t>
  </si>
  <si>
    <t>fuss</t>
  </si>
  <si>
    <t>Do not make a fuss.</t>
  </si>
  <si>
    <t>Đừng làm ồn ào.</t>
  </si>
  <si>
    <t>acute</t>
  </si>
  <si>
    <t>cấp tính</t>
  </si>
  <si>
    <t>He feels acute back pain.</t>
  </si>
  <si>
    <t>Anh ấy cảm thấy đau lưng cấp tính.</t>
  </si>
  <si>
    <t>oblige</t>
  </si>
  <si>
    <t>I am obliged to stay.</t>
  </si>
  <si>
    <t>Tôi bị buộc phải ở lại.</t>
  </si>
  <si>
    <t>memorable</t>
  </si>
  <si>
    <t>đáng nhớ</t>
  </si>
  <si>
    <t>It was a memorable day.</t>
  </si>
  <si>
    <t>Đó là một ngày đáng nhớ.</t>
  </si>
  <si>
    <t>attain</t>
  </si>
  <si>
    <t>She hopes to attain goals.</t>
  </si>
  <si>
    <t>Cô ấy hy vọng đạt được các mục tiêu.</t>
  </si>
  <si>
    <t>bishop</t>
  </si>
  <si>
    <t>giám mục</t>
  </si>
  <si>
    <t>The bishop spoke to people.</t>
  </si>
  <si>
    <t>Vị giám mục đã nói chuyện với mọi người.</t>
  </si>
  <si>
    <t>faction</t>
  </si>
  <si>
    <t>phe phái</t>
  </si>
  <si>
    <t>The faction had a meeting.</t>
  </si>
  <si>
    <t>Phe phái đã có một cuộc họp.</t>
  </si>
  <si>
    <t>mob</t>
  </si>
  <si>
    <t>The mob gathered outside here.</t>
  </si>
  <si>
    <t>Đám đông tụ tập bên ngoài đây.</t>
  </si>
  <si>
    <t>orchestra</t>
  </si>
  <si>
    <t>dàn nhạc</t>
  </si>
  <si>
    <t>The orchestra played beautifully.</t>
  </si>
  <si>
    <t>Dàn nhạc đã chơi rất hay.</t>
  </si>
  <si>
    <t>nasty</t>
  </si>
  <si>
    <t>kinh tởm</t>
  </si>
  <si>
    <t>The smell is very nasty.</t>
  </si>
  <si>
    <t>Mùi đó rất kinh tởm.</t>
  </si>
  <si>
    <t>mainland</t>
  </si>
  <si>
    <t>They returned to the mainland.</t>
  </si>
  <si>
    <t>Họ đã quay trở lại đất liền.</t>
  </si>
  <si>
    <t>opt</t>
  </si>
  <si>
    <t>We opt for the best.</t>
  </si>
  <si>
    <t>Chúng tôi lựa chọn điều tốt nhất.</t>
  </si>
  <si>
    <t>mandatory</t>
  </si>
  <si>
    <t>Wearing masks is now mandatory.</t>
  </si>
  <si>
    <t>Đeo khẩu trang hiện là bắt buộc.</t>
  </si>
  <si>
    <t>adhere</t>
  </si>
  <si>
    <t>You must adhere to rules.</t>
  </si>
  <si>
    <t>Bạn phải tuân thủ các quy tắc.</t>
  </si>
  <si>
    <t>bee</t>
  </si>
  <si>
    <t>con ong</t>
  </si>
  <si>
    <t>A bee stung my hand.</t>
  </si>
  <si>
    <t>Một con ong đã chích tay tôi.</t>
  </si>
  <si>
    <t>forthcoming</t>
  </si>
  <si>
    <t>Attend the forthcoming meeting please.</t>
  </si>
  <si>
    <t>Hãy tham dự cuộc họp sắp tới.</t>
  </si>
  <si>
    <t>lesser</t>
  </si>
  <si>
    <t>nhỏ hơn</t>
  </si>
  <si>
    <t>Choose the lesser of two.</t>
  </si>
  <si>
    <t>Hãy chọn cái nhỏ hơn trong hai thứ.</t>
  </si>
  <si>
    <t>long-time</t>
  </si>
  <si>
    <t>lâu năm</t>
  </si>
  <si>
    <t>He is a long-time friend.</t>
  </si>
  <si>
    <t>Anh ấy là một người bạn lâu năm.</t>
  </si>
  <si>
    <t>biography</t>
  </si>
  <si>
    <t>tiểu sử</t>
  </si>
  <si>
    <t>I read her biography now.</t>
  </si>
  <si>
    <t>Tôi đọc tiểu sử của cô ấy bây giờ.</t>
  </si>
  <si>
    <t>landmark</t>
  </si>
  <si>
    <t>cột mốc</t>
  </si>
  <si>
    <t>It is a famous landmark.</t>
  </si>
  <si>
    <t>Đó là một cột mốc nổi tiếng.</t>
  </si>
  <si>
    <t>expire</t>
  </si>
  <si>
    <t>hết hạn</t>
  </si>
  <si>
    <t>My credit card will expire.</t>
  </si>
  <si>
    <t>Thẻ tín dụng của tôi sẽ hết hạn.</t>
  </si>
  <si>
    <t>freezer</t>
  </si>
  <si>
    <t>tủ đông</t>
  </si>
  <si>
    <t>Put the food in freezer.</t>
  </si>
  <si>
    <t>Hãy để thức ăn vào tủ đông.</t>
  </si>
  <si>
    <t>beloved</t>
  </si>
  <si>
    <t>yêu dấu</t>
  </si>
  <si>
    <t>She is my beloved wife.</t>
  </si>
  <si>
    <t>Cô ấy là người vợ yêu dấu của tôi.</t>
  </si>
  <si>
    <t>aftermath</t>
  </si>
  <si>
    <t>The aftermath was quite severe.</t>
  </si>
  <si>
    <t>Hậu quả khá nghiêm trọng.</t>
  </si>
  <si>
    <t>beast</t>
  </si>
  <si>
    <t>con thú</t>
  </si>
  <si>
    <t>The beast ran into woods.</t>
  </si>
  <si>
    <t>Con thú đã chạy vào rừng.</t>
  </si>
  <si>
    <t>acre</t>
  </si>
  <si>
    <t>mẫu anh</t>
  </si>
  <si>
    <t>The farm covers ten acres.</t>
  </si>
  <si>
    <t>Nông trại bao phủ mười mẫu Anh.</t>
  </si>
  <si>
    <t>lamb</t>
  </si>
  <si>
    <t>cừu non</t>
  </si>
  <si>
    <t>The lamb is eating grass.</t>
  </si>
  <si>
    <t>Con cừu non đang ăn cỏ.</t>
  </si>
  <si>
    <t>landlord</t>
  </si>
  <si>
    <t>The landlord fixed the door.</t>
  </si>
  <si>
    <t>Chủ nhà đã sửa cánh cửa.</t>
  </si>
  <si>
    <t>prey</t>
  </si>
  <si>
    <t>The lion caught its prey.</t>
  </si>
  <si>
    <t>Con sư tử đã bắt được con mồi.</t>
  </si>
  <si>
    <t>monkey</t>
  </si>
  <si>
    <t>con khỉ</t>
  </si>
  <si>
    <t>The monkey climbs the tree.</t>
  </si>
  <si>
    <t>merit</t>
  </si>
  <si>
    <t>The project has real merit.</t>
  </si>
  <si>
    <t>Dự án có giá trị thực sự.</t>
  </si>
  <si>
    <t>adverse</t>
  </si>
  <si>
    <t>The weather had adverse effects.</t>
  </si>
  <si>
    <t>Thời tiết đã gây ra những tác động bất lợi.</t>
  </si>
  <si>
    <t>notably</t>
  </si>
  <si>
    <t>The weather is notably cooler.</t>
  </si>
  <si>
    <t>Thời tiết mát mẻ hơn đáng kể.</t>
  </si>
  <si>
    <t>precedent</t>
  </si>
  <si>
    <t>There is no such precedent.</t>
  </si>
  <si>
    <t>Không có tiền lệ như vậy.</t>
  </si>
  <si>
    <t>amend</t>
  </si>
  <si>
    <t>They will amend the law.</t>
  </si>
  <si>
    <t>Họ sẽ sửa đổi đạo luật này.</t>
  </si>
  <si>
    <t>unveil</t>
  </si>
  <si>
    <t>They will unveil it soon.</t>
  </si>
  <si>
    <t>Họ sẽ tiết lộ nó sớm thôi.</t>
  </si>
  <si>
    <t>ancestor</t>
  </si>
  <si>
    <t>We honor our brave ancestors.</t>
  </si>
  <si>
    <t>Chúng tôi tôn vinh những người tổ tiên dũng cảm.</t>
  </si>
  <si>
    <t>uphold</t>
  </si>
  <si>
    <t>We must uphold our values.</t>
  </si>
  <si>
    <t>Chúng ta phải duy trì các giá trị của mình.</t>
  </si>
  <si>
    <t>widen</t>
  </si>
  <si>
    <t>Widen the road for cars.</t>
  </si>
  <si>
    <t>Hãy mở rộng con đường cho xe hơi.</t>
  </si>
  <si>
    <t>tempt</t>
  </si>
  <si>
    <t>Don't let them tempt you.</t>
  </si>
  <si>
    <t>Đừng để họ cám dỗ bạn.</t>
  </si>
  <si>
    <t>windy</t>
  </si>
  <si>
    <t>có gió</t>
  </si>
  <si>
    <t>It is very windy today.</t>
  </si>
  <si>
    <t>Hôm nay trời rất có gió.</t>
  </si>
  <si>
    <t>poisonous</t>
  </si>
  <si>
    <t>có độc</t>
  </si>
  <si>
    <t>That plant is very poisonous.</t>
  </si>
  <si>
    <t>Cái cây đó rất có độc.</t>
  </si>
  <si>
    <t>nest</t>
  </si>
  <si>
    <t>cái tổ</t>
  </si>
  <si>
    <t>The bird sits in its nest.</t>
  </si>
  <si>
    <t>Con chim đang ngồi trong tổ của nó.</t>
  </si>
  <si>
    <t>pond</t>
  </si>
  <si>
    <t>The fish swim in pond.</t>
  </si>
  <si>
    <t>Cá bơi trong cái ao.</t>
  </si>
  <si>
    <t>lorry</t>
  </si>
  <si>
    <t>The lorry carries heavy goods.</t>
  </si>
  <si>
    <t>Xe tải chở hàng hóa nặng.</t>
  </si>
  <si>
    <t>pastor</t>
  </si>
  <si>
    <t>The pastor gave a sermon.</t>
  </si>
  <si>
    <t>Mục sư đã giảng một bài thuyết giáo.</t>
  </si>
  <si>
    <t>junction</t>
  </si>
  <si>
    <t>ngã ba</t>
  </si>
  <si>
    <t>Turn right at the junction.</t>
  </si>
  <si>
    <t>Hãy rẽ phải tại ngã ba.</t>
  </si>
  <si>
    <t>ounce</t>
  </si>
  <si>
    <t>It weighs one single ounce.</t>
  </si>
  <si>
    <t>Nó nặng đúng một ounce.</t>
  </si>
  <si>
    <t>lemon</t>
  </si>
  <si>
    <t>chanh</t>
  </si>
  <si>
    <t>Squeeze a fresh lemon now.</t>
  </si>
  <si>
    <t>Hãy vắt một quả chanh tươi ngay.</t>
  </si>
  <si>
    <t>nominate</t>
  </si>
  <si>
    <t>đề cử</t>
  </si>
  <si>
    <t>They will nominate a leader.</t>
  </si>
  <si>
    <t>Họ sẽ đề cử một người lãnh đạo.</t>
  </si>
  <si>
    <t>lick</t>
  </si>
  <si>
    <t>The dog licks my hand.</t>
  </si>
  <si>
    <t>Con chó liếm tay tôi.</t>
  </si>
  <si>
    <t>beard</t>
  </si>
  <si>
    <t>He has a long beard.</t>
  </si>
  <si>
    <t>Anh ấy có một bộ râu dài.</t>
  </si>
  <si>
    <t>mud</t>
  </si>
  <si>
    <t>My shoes have much mud.</t>
  </si>
  <si>
    <t>Giày của tôi có nhiều bùn.</t>
  </si>
  <si>
    <t>limb</t>
  </si>
  <si>
    <t>chi</t>
  </si>
  <si>
    <t>She injured her lower limb.</t>
  </si>
  <si>
    <t>Cô ấy đã làm bị thương chi dưới.</t>
  </si>
  <si>
    <t>forbid</t>
  </si>
  <si>
    <t>The rules forbid it now.</t>
  </si>
  <si>
    <t>Các quy tắc cấm điều đó bây giờ.</t>
  </si>
  <si>
    <t>marginal</t>
  </si>
  <si>
    <t>There is a marginal change.</t>
  </si>
  <si>
    <t>Có một sự thay đổi nhỏ.</t>
  </si>
  <si>
    <t>granny</t>
  </si>
  <si>
    <t>Granny is making some tea.</t>
  </si>
  <si>
    <t>Bà đang pha trà.</t>
  </si>
  <si>
    <t>diagnose</t>
  </si>
  <si>
    <t>Diagnose the medical problem.</t>
  </si>
  <si>
    <t>Chẩn đoán vấn đề y tế.</t>
  </si>
  <si>
    <t>cruel</t>
  </si>
  <si>
    <t>A very cruel action.</t>
  </si>
  <si>
    <t>Một hành động rất tàn nhẫn.</t>
  </si>
  <si>
    <t>dissolve</t>
  </si>
  <si>
    <t>hòa tan</t>
  </si>
  <si>
    <t>Dissolve salt in water.</t>
  </si>
  <si>
    <t>Hòa tan muối trong nước.</t>
  </si>
  <si>
    <t>terrify</t>
  </si>
  <si>
    <t>làm khiếp sợ</t>
  </si>
  <si>
    <t>Spiders terrify my young sister.</t>
  </si>
  <si>
    <t>Nhện làm em gái tôi khiếp sợ.</t>
  </si>
  <si>
    <t>discharge</t>
  </si>
  <si>
    <t>cho ra viện</t>
  </si>
  <si>
    <t>Discharge from the hospital.</t>
  </si>
  <si>
    <t>Cho ra viện từ bệnh viện.</t>
  </si>
  <si>
    <t>costume</t>
  </si>
  <si>
    <t>Wear a traditional costume.</t>
  </si>
  <si>
    <t>Mặc một bộ trang phục truyền thống.</t>
  </si>
  <si>
    <t>default</t>
  </si>
  <si>
    <t>mặc định</t>
  </si>
  <si>
    <t>Use the default setting.</t>
  </si>
  <si>
    <t>Sử dụng thiết lập mặc định.</t>
  </si>
  <si>
    <t>curriculum</t>
  </si>
  <si>
    <t>chương trình học</t>
  </si>
  <si>
    <t>The new school curriculum.</t>
  </si>
  <si>
    <t>Chương trình học mới của trường.</t>
  </si>
  <si>
    <t>dominance</t>
  </si>
  <si>
    <t>sự thống trị</t>
  </si>
  <si>
    <t>Maintain market dominance now.</t>
  </si>
  <si>
    <t>Duy trì sự thống trị thị trường ngay.</t>
  </si>
  <si>
    <t>desirable</t>
  </si>
  <si>
    <t>đáng mơ ước</t>
  </si>
  <si>
    <t>A highly desirable property.</t>
  </si>
  <si>
    <t>Một tài sản rất đáng mơ ước.</t>
  </si>
  <si>
    <t>divine</t>
  </si>
  <si>
    <t>A truly divine music.</t>
  </si>
  <si>
    <t>Một bản nhạc thực sự thiêng liêng.</t>
  </si>
  <si>
    <t>denial</t>
  </si>
  <si>
    <t>sự phủ nhận</t>
  </si>
  <si>
    <t>A firm public denial.</t>
  </si>
  <si>
    <t>Một sự phủ nhận công khai kiên quyết.</t>
  </si>
  <si>
    <t>copyright</t>
  </si>
  <si>
    <t>bản quyền</t>
  </si>
  <si>
    <t>Protect the company copyright.</t>
  </si>
  <si>
    <t>Bảo vệ bản quyền công ty.</t>
  </si>
  <si>
    <t>dairy</t>
  </si>
  <si>
    <t>sản phẩm sữa</t>
  </si>
  <si>
    <t>Buy some fresh dairy.</t>
  </si>
  <si>
    <t>Mua một ít sản phẩm sữa tươi.</t>
  </si>
  <si>
    <t>diagram</t>
  </si>
  <si>
    <t>Draw a simple diagram.</t>
  </si>
  <si>
    <t>Vẽ một biểu đồ đơn giản.</t>
  </si>
  <si>
    <t>contributor</t>
  </si>
  <si>
    <t>người đóng góp</t>
  </si>
  <si>
    <t>Be a key contributor.</t>
  </si>
  <si>
    <t>Là một người đóng góp chính.</t>
  </si>
  <si>
    <t>disposal</t>
  </si>
  <si>
    <t>sự vứt bỏ</t>
  </si>
  <si>
    <t>Proper waste disposal methods.</t>
  </si>
  <si>
    <t>Các phương pháp vứt bỏ rác thải phù hợp.</t>
  </si>
  <si>
    <t>terrain</t>
  </si>
  <si>
    <t>The terrain is very rough.</t>
  </si>
  <si>
    <t>Địa hình rất gồ ghề.</t>
  </si>
  <si>
    <t>dentist</t>
  </si>
  <si>
    <t>Visit the local dentist.</t>
  </si>
  <si>
    <t>Thăm nha sĩ địa phương.</t>
  </si>
  <si>
    <t>diplomat</t>
  </si>
  <si>
    <t>nhà ngoại giao</t>
  </si>
  <si>
    <t>Meet the foreign diplomat.</t>
  </si>
  <si>
    <t>Gặp nhà ngoại giao nước ngoài.</t>
  </si>
  <si>
    <t>deadly</t>
  </si>
  <si>
    <t>A deadly new virus.</t>
  </si>
  <si>
    <t>Một loại vi-rút mới chết người.</t>
  </si>
  <si>
    <t>dual</t>
  </si>
  <si>
    <t>kép</t>
  </si>
  <si>
    <t>A dual purpose device.</t>
  </si>
  <si>
    <t>Một thiết bị mục đích kép.</t>
  </si>
  <si>
    <t>correspond</t>
  </si>
  <si>
    <t>Numbers correspond to colors.</t>
  </si>
  <si>
    <t>Các con số tương ứng với các màu sắc.</t>
  </si>
  <si>
    <t>descend</t>
  </si>
  <si>
    <t>Descend the stairs slowly.</t>
  </si>
  <si>
    <t>Đi xuống cầu thang một cách chậm rãi.</t>
  </si>
  <si>
    <t>disrupt</t>
  </si>
  <si>
    <t>gây gián đoạn</t>
  </si>
  <si>
    <t>Do not disrupt meetings.</t>
  </si>
  <si>
    <t>Đừng gây gián đoạn các cuộc họp.</t>
  </si>
  <si>
    <t>medieval</t>
  </si>
  <si>
    <t>thuộc thời trung cổ</t>
  </si>
  <si>
    <t>It is a medieval castle.</t>
  </si>
  <si>
    <t>Đó là một lâu đài thời trung cổ.</t>
  </si>
  <si>
    <t>marathon</t>
  </si>
  <si>
    <t>cuộc đua marathon</t>
  </si>
  <si>
    <t>He ran a full marathon.</t>
  </si>
  <si>
    <t>Anh ấy đã chạy một cuộc đua marathon.</t>
  </si>
  <si>
    <t>angrily</t>
  </si>
  <si>
    <t>một cách giận dữ</t>
  </si>
  <si>
    <t>She looked at him angrily.</t>
  </si>
  <si>
    <t>Cô ấy nhìn anh ta một cách giận dữ.</t>
  </si>
  <si>
    <t>nominee</t>
  </si>
  <si>
    <t>người được đề cử</t>
  </si>
  <si>
    <t>The nominee is very experienced.</t>
  </si>
  <si>
    <t>Người được đề cử rất giàu kinh nghiệm.</t>
  </si>
  <si>
    <t>predator</t>
  </si>
  <si>
    <t>động vật ăn thịt</t>
  </si>
  <si>
    <t>The predator hunts at night.</t>
  </si>
  <si>
    <t>Loài động vật ăn thịt săn mồi vào ban đêm.</t>
  </si>
  <si>
    <t>trustee</t>
  </si>
  <si>
    <t>ủy viên quản trị</t>
  </si>
  <si>
    <t>The trustee signed the paper.</t>
  </si>
  <si>
    <t>Ủy viên quản trị đã ký giấy tờ.</t>
  </si>
  <si>
    <t>psychiatric</t>
  </si>
  <si>
    <t>thuộc tâm thần</t>
  </si>
  <si>
    <t>He needs psychiatric help right now.</t>
  </si>
  <si>
    <t>Anh ấy cần sự giúp đỡ về tâm thần ngay bây giờ.</t>
  </si>
  <si>
    <t>privatization</t>
  </si>
  <si>
    <t>sự tư nhân hóa</t>
  </si>
  <si>
    <t>The privatization of the company succeeded.</t>
  </si>
  <si>
    <t>Sự tư nhân hóa công ty đã thành công.</t>
  </si>
  <si>
    <t>mathematical</t>
  </si>
  <si>
    <t>thuộc toán học</t>
  </si>
  <si>
    <t>Use a mathematical formula now.</t>
  </si>
  <si>
    <t>Hãy dùng một công thức toán học bây giờ.</t>
  </si>
  <si>
    <t>meantime</t>
  </si>
  <si>
    <t>thời gian giữa</t>
  </si>
  <si>
    <t>Work hard in the meantime.</t>
  </si>
  <si>
    <t>Hãy làm việc chăm chỉ trong thời gian đó.</t>
  </si>
  <si>
    <t>meditation</t>
  </si>
  <si>
    <t>sự thiền định</t>
  </si>
  <si>
    <t>Do meditation for calm mind.</t>
  </si>
  <si>
    <t>Hãy thiền để có tâm trí bình tĩnh.</t>
  </si>
  <si>
    <t>motorway</t>
  </si>
  <si>
    <t>Drive on the motorway today.</t>
  </si>
  <si>
    <t>Hãy lái xe trên đường cao tốc hôm nay.</t>
  </si>
  <si>
    <t>credibility</t>
  </si>
  <si>
    <t>Build your professional credibility.</t>
  </si>
  <si>
    <t>Xây dựng sự tín nhiệm chuyên nghiệp của bạn.</t>
  </si>
  <si>
    <t>battlefield</t>
  </si>
  <si>
    <t>chiến trường</t>
  </si>
  <si>
    <t>He died on the battlefield.</t>
  </si>
  <si>
    <t>Anh ấy đã hy sinh trên chiến trường.</t>
  </si>
  <si>
    <t>mercy</t>
  </si>
  <si>
    <t>lòng nhân từ</t>
  </si>
  <si>
    <t>Show some mercy to him.</t>
  </si>
  <si>
    <t>Hãy thể hiện lòng nhân từ với anh ta.</t>
  </si>
  <si>
    <t>misleading</t>
  </si>
  <si>
    <t>gây hiểu lầm</t>
  </si>
  <si>
    <t>That info is very misleading.</t>
  </si>
  <si>
    <t>Thông tin đó rất gây hiểu lầm.</t>
  </si>
  <si>
    <t>monopoly</t>
  </si>
  <si>
    <t>sự độc quyền</t>
  </si>
  <si>
    <t>They have a market monopoly.</t>
  </si>
  <si>
    <t>Họ có một sự độc quyền thị trường.</t>
  </si>
  <si>
    <t>municipal</t>
  </si>
  <si>
    <t>Work at the municipal office.</t>
  </si>
  <si>
    <t>Hãy làm việc tại văn phòng đô thị.</t>
  </si>
  <si>
    <t>pint</t>
  </si>
  <si>
    <t>đơn vị pint</t>
  </si>
  <si>
    <t>I drank a cold pint.</t>
  </si>
  <si>
    <t>Tôi đã uống một pint lạnh.</t>
  </si>
  <si>
    <t>memo</t>
  </si>
  <si>
    <t>bản ghi nhớ</t>
  </si>
  <si>
    <t>Read the short memo now.</t>
  </si>
  <si>
    <t>Hãy đọc bản ghi nhớ ngắn đó.</t>
  </si>
  <si>
    <t>lunchtime</t>
  </si>
  <si>
    <t>giờ ăn trưa</t>
  </si>
  <si>
    <t>See you at lunchtime today.</t>
  </si>
  <si>
    <t>Hẹn gặp bạn vào giờ ăn trưa hôm nay.</t>
  </si>
  <si>
    <t>rehabilitation</t>
  </si>
  <si>
    <t>The rehabilitation takes many months today.</t>
  </si>
  <si>
    <t>Sự phục hồi mất nhiều tháng hôm nay.</t>
  </si>
  <si>
    <t>misery</t>
  </si>
  <si>
    <t>sự khốn khổ</t>
  </si>
  <si>
    <t>They live in deep misery.</t>
  </si>
  <si>
    <t>Họ sống trong sự khốn khổ sâu sắc.</t>
  </si>
  <si>
    <t>timber</t>
  </si>
  <si>
    <t>gỗ xây dựng</t>
  </si>
  <si>
    <t>They used local timber today.</t>
  </si>
  <si>
    <t>Họ đã sử dụng gỗ địa phương hôm nay.</t>
  </si>
  <si>
    <t>pardon</t>
  </si>
  <si>
    <t>sự tha thứ</t>
  </si>
  <si>
    <t>He begged for a pardon.</t>
  </si>
  <si>
    <t>Anh ta đã cầu xin sự tha thứ.</t>
  </si>
  <si>
    <t>notorious</t>
  </si>
  <si>
    <t>He is a notorious criminal.</t>
  </si>
  <si>
    <t>Anh ta là một tội phạm khét tiếng.</t>
  </si>
  <si>
    <t>exile</t>
  </si>
  <si>
    <t>sự lưu đày</t>
  </si>
  <si>
    <t>He lived in long exile.</t>
  </si>
  <si>
    <t>Anh ấy đã sống trong sự lưu đày dài.</t>
  </si>
  <si>
    <t>linear</t>
  </si>
  <si>
    <t>tuyến tính</t>
  </si>
  <si>
    <t>The growth is quite linear.</t>
  </si>
  <si>
    <t>Sự tăng trưởng khá tuyến tính.</t>
  </si>
  <si>
    <t>magnetic</t>
  </si>
  <si>
    <t>có từ tính</t>
  </si>
  <si>
    <t>The material is very magnetic.</t>
  </si>
  <si>
    <t>Vật liệu này có từ tính mạnh.</t>
  </si>
  <si>
    <t>unify</t>
  </si>
  <si>
    <t>They try to unify teams.</t>
  </si>
  <si>
    <t>Họ cố gắng thống nhất các đội.</t>
  </si>
  <si>
    <t>metaphor</t>
  </si>
  <si>
    <t>phép ẩn dụ</t>
  </si>
  <si>
    <t>Use a metaphor for writing.</t>
  </si>
  <si>
    <t>Hãy dùng một phép ẩn dụ để viết.</t>
  </si>
  <si>
    <t>ladder</t>
  </si>
  <si>
    <t>cái thang</t>
  </si>
  <si>
    <t>Climb the ladder very carefully.</t>
  </si>
  <si>
    <t>Hãy leo thang thật cẩn thận.</t>
  </si>
  <si>
    <t>drown</t>
  </si>
  <si>
    <t>chết đuối</t>
  </si>
  <si>
    <t>Do not drown there.</t>
  </si>
  <si>
    <t>Đừng chết đuối ở đó.</t>
  </si>
  <si>
    <t>manipulate</t>
  </si>
  <si>
    <t>thao túng</t>
  </si>
  <si>
    <t>Do not manipulate the data.</t>
  </si>
  <si>
    <t>Đừng thao túng dữ liệu đó.</t>
  </si>
  <si>
    <t>punk</t>
  </si>
  <si>
    <t>nhạc punk</t>
  </si>
  <si>
    <t>He likes listening to loud punk.</t>
  </si>
  <si>
    <t>Anh ấy thích nghe nhạc punk ồn ào.</t>
  </si>
  <si>
    <t>millimetre</t>
  </si>
  <si>
    <t>mi-li-mét</t>
  </si>
  <si>
    <t>It is one millimetre thick.</t>
  </si>
  <si>
    <t>Nó dày một mi-li-mét.</t>
  </si>
  <si>
    <t>aspiration</t>
  </si>
  <si>
    <t>khát vọng</t>
  </si>
  <si>
    <t>She has high career aspiration.</t>
  </si>
  <si>
    <t>Cô ấy có khát vọng nghề nghiệp cao.</t>
  </si>
  <si>
    <t>ballet</t>
  </si>
  <si>
    <t>múa ba lê</t>
  </si>
  <si>
    <t>She performs ballet very well.</t>
  </si>
  <si>
    <t>Cô ấy biểu diễn múa ba lê rất tốt.</t>
  </si>
  <si>
    <t>melody</t>
  </si>
  <si>
    <t>The melody is very sweet.</t>
  </si>
  <si>
    <t>Giai điệu rất ngọt ngào.</t>
  </si>
  <si>
    <t>jurisdiction</t>
  </si>
  <si>
    <t>quyền hạn</t>
  </si>
  <si>
    <t>This is outside my jurisdiction.</t>
  </si>
  <si>
    <t>Việc này nằm ngoài quyền hạn của tôi.</t>
  </si>
  <si>
    <t>biscuit</t>
  </si>
  <si>
    <t>I ate a sweet biscuit.</t>
  </si>
  <si>
    <t>Tôi đã ăn một chiếc bánh quy ngọt.</t>
  </si>
  <si>
    <t>fortnight</t>
  </si>
  <si>
    <t>hai tuần</t>
  </si>
  <si>
    <t>I will leave a fortnight.</t>
  </si>
  <si>
    <t>Tôi sẽ rời đi trong hai tuần.</t>
  </si>
  <si>
    <t>parcel</t>
  </si>
  <si>
    <t>The parcel arrived this morning.</t>
  </si>
  <si>
    <t>Bưu kiện đã đến sáng nay.</t>
  </si>
  <si>
    <t>peasant</t>
  </si>
  <si>
    <t>The peasant works the field.</t>
  </si>
  <si>
    <t>Người nông dân làm việc trên cánh đồng.</t>
  </si>
  <si>
    <t>worm</t>
  </si>
  <si>
    <t>con giun</t>
  </si>
  <si>
    <t>The worm is in dirt.</t>
  </si>
  <si>
    <t>Con giun ở trong đất.</t>
  </si>
  <si>
    <t>proclaim</t>
  </si>
  <si>
    <t>They did proclaim the new law.</t>
  </si>
  <si>
    <t>Họ đã tuyên bố luật mới.</t>
  </si>
  <si>
    <t>elevate</t>
  </si>
  <si>
    <t>This will elevate our status.</t>
  </si>
  <si>
    <t>Điều này sẽ nâng cao vị thế của chúng ta.</t>
  </si>
  <si>
    <t>apparatus</t>
  </si>
  <si>
    <t>Use this scientific apparatus here.</t>
  </si>
  <si>
    <t>Hãy sử dụng thiết bị khoa học này ở đây.</t>
  </si>
  <si>
    <t>firework</t>
  </si>
  <si>
    <t>We watch the beautiful firework.</t>
  </si>
  <si>
    <t>Chúng tôi xem pháo hoa tuyệt đẹp.</t>
  </si>
  <si>
    <t>parish</t>
  </si>
  <si>
    <t>giáo xứ</t>
  </si>
  <si>
    <t>He serves his local parish.</t>
  </si>
  <si>
    <t>Anh ấy phục vụ giáo xứ địa phương.</t>
  </si>
  <si>
    <t>preside</t>
  </si>
  <si>
    <t>chủ trì</t>
  </si>
  <si>
    <t>She will preside the meeting.</t>
  </si>
  <si>
    <t>Cô ấy sẽ chủ trì cuộc họp.</t>
  </si>
  <si>
    <t>offspring</t>
  </si>
  <si>
    <t>con cái</t>
  </si>
  <si>
    <t>The bird feeds its offspring.</t>
  </si>
  <si>
    <t>Con chim mớm mồi cho con cái của nó.</t>
  </si>
  <si>
    <t>aesthetic</t>
  </si>
  <si>
    <t>thẩm mỹ</t>
  </si>
  <si>
    <t>The house has aesthetic appeal.</t>
  </si>
  <si>
    <t>Ngôi nhà có sức hấp dẫn về thẩm mỹ.</t>
  </si>
  <si>
    <t>missile</t>
  </si>
  <si>
    <t>The missile flew very high.</t>
  </si>
  <si>
    <t>Tên lửa đã bay rất cao.</t>
  </si>
  <si>
    <t>evoke</t>
  </si>
  <si>
    <t>gợi lên</t>
  </si>
  <si>
    <t>This song evokes good memories.</t>
  </si>
  <si>
    <t>Bài hát này gợi lên những kỷ niệm đẹp.</t>
  </si>
  <si>
    <t>messy</t>
  </si>
  <si>
    <t>bừa bộn</t>
  </si>
  <si>
    <t>Your room is very messy.</t>
  </si>
  <si>
    <t>Phòng của bạn rất bừa bộn.</t>
  </si>
  <si>
    <t>miserable</t>
  </si>
  <si>
    <t>He felt very miserable today.</t>
  </si>
  <si>
    <t>Anh ấy cảm thấy rất khổ sở hôm nay.</t>
  </si>
  <si>
    <t>lawn</t>
  </si>
  <si>
    <t>He mowed the green lawn.</t>
  </si>
  <si>
    <t>Anh ấy đã cắt bãi cỏ xanh.</t>
  </si>
  <si>
    <t>albeit</t>
  </si>
  <si>
    <t>It was difficult, albeit fun.</t>
  </si>
  <si>
    <t>Việc đó khó khăn, mặc dù rất vui.</t>
  </si>
  <si>
    <t>madam</t>
  </si>
  <si>
    <t>May I help you, Madam?</t>
  </si>
  <si>
    <t>Tôi có thể giúp gì cho bà không?</t>
  </si>
  <si>
    <t>wicked</t>
  </si>
  <si>
    <t>That is a wicked plan.</t>
  </si>
  <si>
    <t>Đó là một kế hoạch xấu xa.</t>
  </si>
  <si>
    <t>magnitude</t>
  </si>
  <si>
    <t>độ lớn</t>
  </si>
  <si>
    <t>The magnitude is quite large.</t>
  </si>
  <si>
    <t>Độ lớn khá là lớn.</t>
  </si>
  <si>
    <t>evacuate</t>
  </si>
  <si>
    <t>sơ tán</t>
  </si>
  <si>
    <t>They had to evacuate quickly.</t>
  </si>
  <si>
    <t>Họ phải sơ tán nhanh chóng.</t>
  </si>
  <si>
    <t>overturn</t>
  </si>
  <si>
    <t>They try to overturn rules.</t>
  </si>
  <si>
    <t>Họ cố gắng lật đổ các quy tắc.</t>
  </si>
  <si>
    <t>lottery</t>
  </si>
  <si>
    <t>xổ số</t>
  </si>
  <si>
    <t>He won the big lottery.</t>
  </si>
  <si>
    <t>Anh ấy đã thắng xổ số lớn.</t>
  </si>
  <si>
    <t>nope</t>
  </si>
  <si>
    <t>Nope, I don't know him.</t>
  </si>
  <si>
    <t>Không, tôi không biết anh ấy.</t>
  </si>
  <si>
    <t>beforehand</t>
  </si>
  <si>
    <t>Tell me the news beforehand.</t>
  </si>
  <si>
    <t>Hãy cho tôi biết tin tức trước.</t>
  </si>
  <si>
    <t>arbitrary</t>
  </si>
  <si>
    <t>That is an arbitrary decision.</t>
  </si>
  <si>
    <t>Đó là một quyết định tùy ý.</t>
  </si>
  <si>
    <t>radar</t>
  </si>
  <si>
    <t>ra-đa</t>
  </si>
  <si>
    <t>The radar detected a fast plane.</t>
  </si>
  <si>
    <t>Ra-đa đã phát hiện một chiếc máy bay nhanh.</t>
  </si>
  <si>
    <t>trio</t>
  </si>
  <si>
    <t>bộ ba</t>
  </si>
  <si>
    <t>The trio sang very well.</t>
  </si>
  <si>
    <t>Bộ ba đã hát rất hay.</t>
  </si>
  <si>
    <t>telly</t>
  </si>
  <si>
    <t>We watched a movie on telly.</t>
  </si>
  <si>
    <t>Chúng tôi đã xem một bộ phim trên ti vi.</t>
  </si>
  <si>
    <t>firearm</t>
  </si>
  <si>
    <t>He has a legal firearm.</t>
  </si>
  <si>
    <t>Anh ấy có một khẩu súng hợp pháp.</t>
  </si>
  <si>
    <t>midst</t>
  </si>
  <si>
    <t>He is in the midst.</t>
  </si>
  <si>
    <t>ash</t>
  </si>
  <si>
    <t>tro</t>
  </si>
  <si>
    <t>The fire left much ash.</t>
  </si>
  <si>
    <t>Ngọn lửa đã để lại nhiều tro.</t>
  </si>
  <si>
    <t>residue</t>
  </si>
  <si>
    <t>cặn</t>
  </si>
  <si>
    <t>There was residue in the cup.</t>
  </si>
  <si>
    <t>Có cặn trong chiếc cốc đó.</t>
  </si>
  <si>
    <t>forge</t>
  </si>
  <si>
    <t>rèn</t>
  </si>
  <si>
    <t>They forge steel every day.</t>
  </si>
  <si>
    <t>Họ rèn thép hàng ngày.</t>
  </si>
  <si>
    <t>distract</t>
  </si>
  <si>
    <t>làm xao nhãng</t>
  </si>
  <si>
    <t>Do not distract me.</t>
  </si>
  <si>
    <t>Đừng làm xao nhãng tôi.</t>
  </si>
  <si>
    <t>dedication</t>
  </si>
  <si>
    <t>sự tận tâm</t>
  </si>
  <si>
    <t>Show great personal dedication.</t>
  </si>
  <si>
    <t>Thể hiện sự tận tâm cá nhân lớn.</t>
  </si>
  <si>
    <t>courtesy</t>
  </si>
  <si>
    <t>sự lịch sự</t>
  </si>
  <si>
    <t>Show basic professional courtesy.</t>
  </si>
  <si>
    <t>Thể hiện sự lịch sự chuyên nghiệp cơ bản.</t>
  </si>
  <si>
    <t>devise</t>
  </si>
  <si>
    <t>đề ra</t>
  </si>
  <si>
    <t>Devise a new method.</t>
  </si>
  <si>
    <t>Đề ra một phương pháp mới.</t>
  </si>
  <si>
    <t>disruption</t>
  </si>
  <si>
    <t>sự gián đoạn</t>
  </si>
  <si>
    <t>Avoid any major disruption.</t>
  </si>
  <si>
    <t>Tránh bất kỳ sự gián đoạn lớn nào.</t>
  </si>
  <si>
    <t>deadline</t>
  </si>
  <si>
    <t>Meet the final deadline.</t>
  </si>
  <si>
    <t>Đáp ứng hạn chót cuối cùng.</t>
  </si>
  <si>
    <t>downwards</t>
  </si>
  <si>
    <t>hướng xuống</t>
  </si>
  <si>
    <t>Look downwards for items.</t>
  </si>
  <si>
    <t>Nhìn hướng xuống để tìm đồ.</t>
  </si>
  <si>
    <t>delegation</t>
  </si>
  <si>
    <t>phái đoàn</t>
  </si>
  <si>
    <t>Lead the business delegation.</t>
  </si>
  <si>
    <t>Dẫn đầu phái đoàn doanh nghiệp.</t>
  </si>
  <si>
    <t>counterpart</t>
  </si>
  <si>
    <t>Meet with my counterpart.</t>
  </si>
  <si>
    <t>Gặp gỡ đối tác của tôi.</t>
  </si>
  <si>
    <t>disastrous</t>
  </si>
  <si>
    <t>mang tính thảm họa</t>
  </si>
  <si>
    <t>A disastrous project failure.</t>
  </si>
  <si>
    <t>Một thất bại dự án mang tính thảm họa.</t>
  </si>
  <si>
    <t>dam</t>
  </si>
  <si>
    <t>The dam is large.</t>
  </si>
  <si>
    <t>Con đập rất lớn.</t>
  </si>
  <si>
    <t>ecological</t>
  </si>
  <si>
    <t>thuộc sinh thái</t>
  </si>
  <si>
    <t>An ecological balance act.</t>
  </si>
  <si>
    <t>Một hành động cân bằng thuộc sinh thái.</t>
  </si>
  <si>
    <t>counselling</t>
  </si>
  <si>
    <t>sự tư vấn</t>
  </si>
  <si>
    <t>Seek professional counselling.</t>
  </si>
  <si>
    <t>Tìm kiếm sự tư vấn chuyên nghiệp.</t>
  </si>
  <si>
    <t>displace</t>
  </si>
  <si>
    <t>di dời</t>
  </si>
  <si>
    <t>Displace the local people.</t>
  </si>
  <si>
    <t>Di dời người dân địa phương.</t>
  </si>
  <si>
    <t>deliberate</t>
  </si>
  <si>
    <t>A deliberate wrong choice.</t>
  </si>
  <si>
    <t>Một sự lựa chọn sai lầm cố ý.</t>
  </si>
  <si>
    <t>diminish</t>
  </si>
  <si>
    <t>Diminish the potential risk.</t>
  </si>
  <si>
    <t>Giảm bớt rủi ro tiềm ẩn.</t>
  </si>
  <si>
    <t>cushion</t>
  </si>
  <si>
    <t>gối đệm</t>
  </si>
  <si>
    <t>Sit on a soft cushion.</t>
  </si>
  <si>
    <t>Ngồi trên một cái gối đệm mềm.</t>
  </si>
  <si>
    <t>correspondent</t>
  </si>
  <si>
    <t>A foreign news correspondent.</t>
  </si>
  <si>
    <t>Một phóng viên tin tức nước ngoài.</t>
  </si>
  <si>
    <t>doctrine</t>
  </si>
  <si>
    <t>A strict religious doctrine.</t>
  </si>
  <si>
    <t>Một học thuyết tôn giáo nghiêm ngặt.</t>
  </si>
  <si>
    <t>density</t>
  </si>
  <si>
    <t>High population density area.</t>
  </si>
  <si>
    <t>Khu vực mật độ dân số cao.</t>
  </si>
  <si>
    <t>discretion</t>
  </si>
  <si>
    <t>Use your professional discretion.</t>
  </si>
  <si>
    <t>Sử dụng sự thận trọng chuyên nghiệp của bạn.</t>
  </si>
  <si>
    <t>deaf</t>
  </si>
  <si>
    <t>bị điếc</t>
  </si>
  <si>
    <t>He is partially deaf.</t>
  </si>
  <si>
    <t>Anh ấy bị điếc một phần.</t>
  </si>
  <si>
    <t>crystal</t>
  </si>
  <si>
    <t>pha lê</t>
  </si>
  <si>
    <t>A clear crystal glass.</t>
  </si>
  <si>
    <t>Một cái ly pha lê trong suốt.</t>
  </si>
  <si>
    <t>articulate</t>
  </si>
  <si>
    <t>có khả năng diễn đạt</t>
  </si>
  <si>
    <t>He is a very articulate speaker.</t>
  </si>
  <si>
    <t>Anh ấy là một người diễn đạt rất tốt.</t>
  </si>
  <si>
    <t>optical</t>
  </si>
  <si>
    <t>thuộc về thị giác</t>
  </si>
  <si>
    <t>He needs an optical lens.</t>
  </si>
  <si>
    <t>Anh ấy cần một thấu kính quang học.</t>
  </si>
  <si>
    <t>legislature</t>
  </si>
  <si>
    <t>cơ quan lập pháp</t>
  </si>
  <si>
    <t>The legislature discussed the bill.</t>
  </si>
  <si>
    <t>Cơ quan lập pháp đã thảo luận dự luật.</t>
  </si>
  <si>
    <t>mosque</t>
  </si>
  <si>
    <t>nhà thờ hồi giáo</t>
  </si>
  <si>
    <t>They pray at the mosque.</t>
  </si>
  <si>
    <t>Họ cầu nguyện tại nhà thờ hồi giáo.</t>
  </si>
  <si>
    <t>flourish</t>
  </si>
  <si>
    <t>The plants flourish this year.</t>
  </si>
  <si>
    <t>Các loại cây phát triển mạnh năm nay.</t>
  </si>
  <si>
    <t>naval</t>
  </si>
  <si>
    <t>thuộc hải quân</t>
  </si>
  <si>
    <t>He serves in naval base.</t>
  </si>
  <si>
    <t>Anh ấy phục vụ trong căn cứ hải quân.</t>
  </si>
  <si>
    <t>bacon</t>
  </si>
  <si>
    <t>thịt xông khói</t>
  </si>
  <si>
    <t>I eat bacon for breakfast.</t>
  </si>
  <si>
    <t>Tôi ăn thịt xông khói cho bữa sáng.</t>
  </si>
  <si>
    <t>outing</t>
  </si>
  <si>
    <t>chuyến đi chơi</t>
  </si>
  <si>
    <t>The outing was very fun.</t>
  </si>
  <si>
    <t>Chuyến đi chơi rất vui.</t>
  </si>
  <si>
    <t>lethal</t>
  </si>
  <si>
    <t>gây chết người</t>
  </si>
  <si>
    <t>The poison is very lethal.</t>
  </si>
  <si>
    <t>Chất độc rất gây chết người.</t>
  </si>
  <si>
    <t>massacre</t>
  </si>
  <si>
    <t>cuộc thảm sát</t>
  </si>
  <si>
    <t>It was a terrible massacre.</t>
  </si>
  <si>
    <t>Đó là một cuộc thảm sát kinh khủng.</t>
  </si>
  <si>
    <t>martial</t>
  </si>
  <si>
    <t>They study martial arts daily.</t>
  </si>
  <si>
    <t>Họ học võ thuật hằng ngày.</t>
  </si>
  <si>
    <t>motorist</t>
  </si>
  <si>
    <t>người lái xe</t>
  </si>
  <si>
    <t>Motorist must follow road signs.</t>
  </si>
  <si>
    <t>Người lái xe phải tuân thủ biển báo đường.</t>
  </si>
  <si>
    <t>naughty</t>
  </si>
  <si>
    <t>nghịch ngợm</t>
  </si>
  <si>
    <t>The boy is very naughty.</t>
  </si>
  <si>
    <t>Cậu bé đó rất nghịch ngợm.</t>
  </si>
  <si>
    <t>empirical</t>
  </si>
  <si>
    <t>thực nghiệm</t>
  </si>
  <si>
    <t>We need empirical evidence now.</t>
  </si>
  <si>
    <t>Chúng ta cần bằng chứng thực nghiệm ngay.</t>
  </si>
  <si>
    <t>decisive</t>
  </si>
  <si>
    <t>Take a decisive action.</t>
  </si>
  <si>
    <t>Thực hiện một hành động quyết đoán.</t>
  </si>
  <si>
    <t>militant</t>
  </si>
  <si>
    <t>hiếu chiến</t>
  </si>
  <si>
    <t>They have a militant view.</t>
  </si>
  <si>
    <t>Họ có một quan điểm hiếu chiến.</t>
  </si>
  <si>
    <t>asylum</t>
  </si>
  <si>
    <t>nơi tị nạn</t>
  </si>
  <si>
    <t>They seek political asylum now.</t>
  </si>
  <si>
    <t>Họ tìm kiếm nơi tị nạn chính trị bây giờ.</t>
  </si>
  <si>
    <t>assassination</t>
  </si>
  <si>
    <t>sự ám sát</t>
  </si>
  <si>
    <t>The assassination shocked the world.</t>
  </si>
  <si>
    <t>Vụ ám sát đã làm thế giới bàng hoàng.</t>
  </si>
  <si>
    <t>tsunami</t>
  </si>
  <si>
    <t>The tsunami caused much damage.</t>
  </si>
  <si>
    <t>Sóng thần đã gây ra nhiều thiệt hại.</t>
  </si>
  <si>
    <t>erupt</t>
  </si>
  <si>
    <t>The volcano began to erupt.</t>
  </si>
  <si>
    <t>Núi lửa bắt đầu phun trào.</t>
  </si>
  <si>
    <t>aspire</t>
  </si>
  <si>
    <t>They aspire to be leaders.</t>
  </si>
  <si>
    <t>Họ khao khát trở thành những người lãnh đạo.</t>
  </si>
  <si>
    <t>embody</t>
  </si>
  <si>
    <t>He embodies the team spirit.</t>
  </si>
  <si>
    <t>Anh ấy thể hiện tinh thần đồng đội.</t>
  </si>
  <si>
    <t>theology</t>
  </si>
  <si>
    <t>thần học</t>
  </si>
  <si>
    <t>He studied theology at school.</t>
  </si>
  <si>
    <t>Anh ấy đã học thần học ở trường.</t>
  </si>
  <si>
    <t>mobilize</t>
  </si>
  <si>
    <t>huy động</t>
  </si>
  <si>
    <t>Mobilize your resources right now.</t>
  </si>
  <si>
    <t>Hãy huy động các nguồn lực của bạn ngay bây giờ.</t>
  </si>
  <si>
    <t>manuscript</t>
  </si>
  <si>
    <t>She finished her first manuscript.</t>
  </si>
  <si>
    <t>Cô ấy đã hoàn thành bản thảo đầu tiên.</t>
  </si>
  <si>
    <t>line-up</t>
  </si>
  <si>
    <t>đội hình</t>
  </si>
  <si>
    <t>The line-up is very strong.</t>
  </si>
  <si>
    <t>Đội hình rất mạnh.</t>
  </si>
  <si>
    <t>magistrate</t>
  </si>
  <si>
    <t>quan tòa</t>
  </si>
  <si>
    <t>The magistrate signed the order.</t>
  </si>
  <si>
    <t>Quan tòa đã ký lệnh đó.</t>
  </si>
  <si>
    <t>lifelong</t>
  </si>
  <si>
    <t>suốt đời</t>
  </si>
  <si>
    <t>They are lifelong good friends.</t>
  </si>
  <si>
    <t>Họ là những người bạn tốt suốt đời.</t>
  </si>
  <si>
    <t>erect</t>
  </si>
  <si>
    <t>They will erect a building.</t>
  </si>
  <si>
    <t>Họ sẽ dựng lên một tòa nhà.</t>
  </si>
  <si>
    <t>photocopy</t>
  </si>
  <si>
    <t>Can I have a photocopy?</t>
  </si>
  <si>
    <t>Tôi có thể có một bản sao không?</t>
  </si>
  <si>
    <t>convict</t>
  </si>
  <si>
    <t>kết tội</t>
  </si>
  <si>
    <t>Convict the guilty person.</t>
  </si>
  <si>
    <t>Kết tội người có tội.</t>
  </si>
  <si>
    <t>newsletter</t>
  </si>
  <si>
    <t>bản tin</t>
  </si>
  <si>
    <t>I read the weekly newsletter.</t>
  </si>
  <si>
    <t>Tôi đọc bản tin hàng tuần.</t>
  </si>
  <si>
    <t>lawsuit</t>
  </si>
  <si>
    <t>She filed a lawsuit today.</t>
  </si>
  <si>
    <t>Cô ấy đã nộp một vụ kiện hôm nay.</t>
  </si>
  <si>
    <t>adjacent</t>
  </si>
  <si>
    <t>liền kề</t>
  </si>
  <si>
    <t>The room is adjacent here.</t>
  </si>
  <si>
    <t>Căn phòng nằm liền kề ở đây.</t>
  </si>
  <si>
    <t>long-standing</t>
  </si>
  <si>
    <t>lâu đời</t>
  </si>
  <si>
    <t>They have a long-standing friendship.</t>
  </si>
  <si>
    <t>Họ có một tình bạn lâu đời.</t>
  </si>
  <si>
    <t>linger</t>
  </si>
  <si>
    <t>nán lại</t>
  </si>
  <si>
    <t>They linger after the party.</t>
  </si>
  <si>
    <t>Họ nán lại sau bữa tiệc.</t>
  </si>
  <si>
    <t>duo</t>
  </si>
  <si>
    <t>bộ đôi</t>
  </si>
  <si>
    <t>A famous music duo.</t>
  </si>
  <si>
    <t>Một bộ đôi âm nhạc nổi tiếng.</t>
  </si>
  <si>
    <t>obsess</t>
  </si>
  <si>
    <t>Don't obsess over small details.</t>
  </si>
  <si>
    <t>Đừng quá ám ảnh về những chi tiết nhỏ.</t>
  </si>
  <si>
    <t>leaflet</t>
  </si>
  <si>
    <t>Read this informative leaflet.</t>
  </si>
  <si>
    <t>Hãy đọc tờ rơi đầy thông tin này.</t>
  </si>
  <si>
    <t>memoir</t>
  </si>
  <si>
    <t>hồi ký</t>
  </si>
  <si>
    <t>She wrote a long memoir.</t>
  </si>
  <si>
    <t>Cô ấy đã viết một cuốn hồi ký dài.</t>
  </si>
  <si>
    <t>miner</t>
  </si>
  <si>
    <t>thợ mỏ</t>
  </si>
  <si>
    <t>The miner works very hard.</t>
  </si>
  <si>
    <t>Thợ mỏ làm việc rất vất vả.</t>
  </si>
  <si>
    <t>Bạn có thể giới thiệu ngắn gọn về bản thân được không?</t>
  </si>
  <si>
    <t>Could you briefly introduce yourself?</t>
  </si>
  <si>
    <t>簡単に自己紹介をお願いできますか？</t>
  </si>
  <si>
    <t>Chào anh/chị, tôi tên là Đạt, sinh năm 2000, đến từ Ninh Bình, Việt Nam. Tôi tốt nghiệp ngành Công nghệ thông tin trường Đại học Bách Khoa Hà Nội và đã có vài năm kinh nghiệm làm việc ở cả vị trí văn phòng lẫn xưởng sản xuất. Hiện tại, tôi mong muốn tìm kiếm cơ hội mới để tiếp tục phát triển bản thân. Rất mong được anh/chị giúp đỡ.</t>
  </si>
  <si>
    <t>Hello, my name is Dat. I was born in 2000 and I am from Ninh Binh, Vietnam. I graduated from Hanoi University of Science and Technology with a major in Information Technology. I have a few years of working experience as both an office worker and a factory worker. Now, I am looking for a new opportunity to develop myself. I look forward to working with you.</t>
  </si>
  <si>
    <t>初めまして、ダットと申します。2000年生まれで、ベトナムのニンビン省の出身です。ハノイ工科大学で情報技術を専攻し、卒業しました。これまでオフィスワークや工場での現場作業など、数年間の実務経験があります。現在は自己成長のために新しい機会を探しています。どうぞよろしくお願いいたします。</t>
  </si>
  <si>
    <t>|</t>
  </si>
  <si>
    <t>Điểm mạnh lớn nhất của bạn là gì?</t>
  </si>
  <si>
    <t>What is your greatest strength?</t>
  </si>
  <si>
    <t>あなたの最大の強みは何ですか？</t>
  </si>
  <si>
    <t>Điểm mạnh lớn nhất của tôi là khả năng thích nghi nhanh với môi trường mới. Tôi có thể nhanh chóng hòa nhập và học hỏi cách làm việc một cách hiệu quả.</t>
  </si>
  <si>
    <t>My greatest strength is the ability to adapt quickly to a new environment. I can easily fit in and learn how to work effectively.</t>
  </si>
  <si>
    <t>私の最大の強みは、新しい環境に早く適応できることです。新しい職場でもすぐに馴染み、効率的な仕事のやり方を学ぶことができます。</t>
  </si>
  <si>
    <t>Điểm yếu lớn nhất của bạn là gì?</t>
  </si>
  <si>
    <t>What is your greatest weakness?</t>
  </si>
  <si>
    <t>あなたの最大の弱みは何ですか？</t>
  </si>
  <si>
    <t>Điểm yếu của tôi là đôi khi gặp khó khăn trong việc đưa ra quyết định khi có quá nhiều lựa chọn. Tuy nhiên, tôi đang rèn luyện cách phân tích ưu nhược điểm để quyết định nhanh và chính xác hơn.</t>
  </si>
  <si>
    <t>My weakness is that it is sometimes hard for me to make a decision when there are too many choices. However, I am practicing how to analyze the pros and cons to decide faster and more accurately.</t>
  </si>
  <si>
    <t>私の弱みは、選択肢が多すぎるときに決断するのが難しいことがある点です。しかし、今はメリットとデメリットを分析し、より早く正確に決定できるように努力しています。</t>
  </si>
  <si>
    <t>Tại sao bạn ứng tuyển vào vị trí này?</t>
  </si>
  <si>
    <t>Why did you apply for this position?</t>
  </si>
  <si>
    <t>なぜこのポジションに応募したのですか？</t>
  </si>
  <si>
    <t>Tôi ứng tuyển vào vị trí này vì tôi muốn vận dụng kiến thức của mình vào môi trường làm việc thực tế. Đặc biệt, tôi muốn có cơ hội sử dụng và phát triển khả năng ngoại ngữ của mình.</t>
  </si>
  <si>
    <t>I am applying for this position because I want to apply my knowledge in a practical working environment. Especially, I want to have the chance to use and improve my foreign language skills.</t>
  </si>
  <si>
    <t>自分の知識を実際の職場で生かしたいと思い、このポジションに応募しました。特に、語学力を活用し、さらに伸ばせる機会があると考えています。</t>
  </si>
  <si>
    <t>Tại sao bạn muốn làm việc tại công ty chúng tôi?</t>
  </si>
  <si>
    <t>Why do you want to work for our company?</t>
  </si>
  <si>
    <t>なぜ当社で働きたいのですか？</t>
  </si>
  <si>
    <t>Tôi muốn làm việc tại đây vì tôi tin rằng công ty sẽ mang lại cho tôi một môi trường phát triển tốt. Tôi cũng mong muốn được đóng góp sức mình cho sự phát triển của công ty.</t>
  </si>
  <si>
    <t>I want to work here because I believe the company will give me a good environment to grow. I also hope to contribute my efforts to the company's development.</t>
  </si>
  <si>
    <t>御社が私に良い成長環境を与えてくれると信じているため、御社で働きたいと思っております。また、御社の発展にも貢献したいと考えています。</t>
  </si>
  <si>
    <t>Bạn hiểu thế nào về quy tắc Ho-Ren-So?</t>
  </si>
  <si>
    <t>What do you know about the Ho-Ren-So rule?</t>
  </si>
  <si>
    <t>「報・連・相」について、どのように理解していますか？</t>
  </si>
  <si>
    <t>Ho-Ren-So là nguyên tắc quan trọng trong làm việc nhóm, viết tắt của Báo cáo, Liên lạc và Bàn bạc. Việc áp dụng quy tắc này giúp mọi người nắm bắt thông tin kịp thời, phối hợp nhịp nhàng và giải quyết vấn đề hiệu quả hơn.</t>
  </si>
  <si>
    <t>Ho-Ren-So is an important rule in teamwork, standing for Report, Communicate, and Consult. Applying this rule helps everyone update information in time, coordinate smoothly, and solve problems more effectively.</t>
  </si>
  <si>
    <t>「報・連・相」はチームワークにおける重要な原則で、報告・連絡・相談のことです。このルールを適用することで、全員がタイムリーに情報を把握し、スムーズに連携して効果的に問題を解決できます。</t>
  </si>
  <si>
    <t>Điều gì tạo động lực cho bạn trong công việc?</t>
  </si>
  <si>
    <t>What motivates you at work?</t>
  </si>
  <si>
    <t>仕事において、何があなたのモチベーションになっていますか？</t>
  </si>
  <si>
    <t>Động lực lớn nhất của tôi là nhìn thấy bản thân tiến bộ và hoàn thiện hơn từng ngày. Mỗi một kỹ năng mới học được đều giúp tôi làm việc hiệu quả hơn.</t>
  </si>
  <si>
    <t>My biggest motivation is seeing myself improve and get better every day. Every new skill I learn helps me work more effectively.</t>
  </si>
  <si>
    <t>私の最大のモチベーションは、自分が毎日進歩し、成長していると実感することです。新しいスキルを学ぶたびに、より効率的に働けるようになります。</t>
  </si>
  <si>
    <t>Bạn thích làm việc độc lập hay làm việc nhóm hơn?</t>
  </si>
  <si>
    <t>Do you prefer working independently or in a team?</t>
  </si>
  <si>
    <t>個人で働くのと、チームで働くのでは、どちらが好きですか？</t>
  </si>
  <si>
    <t>Tôi có thể làm tốt cả hai. Làm việc độc lập giúp tôi tập trung sâu vào chuyên môn, còn làm việc nhóm giúp tôi học hỏi từ đồng nghiệp và đạt kết quả chung tốt hơn.</t>
  </si>
  <si>
    <t>I can do well in both. Working independently helps me focus deeply on my tasks, while teamwork helps me learn from coworkers and achieve better results together.</t>
  </si>
  <si>
    <t>私は両方とも得意です。個人作業では専門的な仕事に集中でき、チームワークでは同僚から学び、より良い結果を出すことができます。</t>
  </si>
  <si>
    <t>Bạn sắp xếp thứ tự ưu tiên trong công việc như thế nào?</t>
  </si>
  <si>
    <t>How do you prioritize your work?</t>
  </si>
  <si>
    <t>仕事の優先順位を、どのように決めていますか？</t>
  </si>
  <si>
    <t>Tôi thường ưu tiên các công việc quan trọng và khẩn cấp lên trước. Sau đó, tôi sẽ lên danh sách để giải quyết các công việc còn lại theo thứ tự thời hạn.</t>
  </si>
  <si>
    <t>I usually prioritize important and urgent tasks first. Then, I make a list to handle the remaining tasks according to their deadlines.</t>
  </si>
  <si>
    <t>私は通常、重要かつ緊急な仕事を優先します。その後、締め切りに合わせて残りのタスクを処理するためのリストを作成します。</t>
  </si>
  <si>
    <t>Bạn sẽ xử lý ra sao khi nhận được một nhiệm vụ hoàn toàn mới?</t>
  </si>
  <si>
    <t>How do you handle a completely new task?</t>
  </si>
  <si>
    <t>全く新しい業務を任された場合、どのように対応しますか？</t>
  </si>
  <si>
    <t>Khi nhận nhiệm vụ mới, tôi sẽ tìm hiểu kỹ yêu cầu trước. Nếu có điểm chưa rõ, tôi sẽ hỏi ngay cấp trên hoặc đồng nghiệp để đảm bảo đi đúng hướng.</t>
  </si>
  <si>
    <t>When receiving a new task, I will study the requirements carefully first. If anything is unclear, I will ask my boss or coworkers to make sure I am on the right track.</t>
  </si>
  <si>
    <t>新しい仕事を受けた時は、まず要件をよく確認します。もし分からない点があれば、すぐに上司や同僚に質問し、正しい方向に進めるようにします。</t>
  </si>
  <si>
    <t>Hãy kể về một lần bạn mắc lỗi trong công việc và cách bạn khắc phục nó.</t>
  </si>
  <si>
    <t>Could you tell me about a mistake you made at work and how you fixed it?</t>
  </si>
  <si>
    <t>仕事でミスをした経験と、それをどのように解決したか教えてください。</t>
  </si>
  <si>
    <t>Trước đây, tôi từng bị trễ hạn nộp báo cáo tuần do chưa sắp xếp công việc hợp lý. Nhận ra điều đó, tôi đã chủ động báo cáo với cấp trên về sự chậm trễ, xin lỗi và nhanh chóng hoàn thành ngay trong ngày hôm đó. Từ đó, tôi luôn lên kế hoạch chi tiết từ đầu tuần để đảm bảo hoàn thành mọi công việc đúng hạn.</t>
  </si>
  <si>
    <t>In the past, I was late in submitting my weekly report because I did not arrange my work well. Realizing that, I proactively reported the delay to my boss, apologized, and quickly finished it on that day. Since then, I always make a detailed plan at the beginning of the week to ensure all tasks are completed on time.</t>
  </si>
  <si>
    <t>以前、スケジュール管理がうまくできず、週報の提出期限に遅れてしまったことがあります。それに気づき、すぐに上司に遅れることを報告して謝罪し、その日のうちに急いで完成させました。それ以来、すべての仕事を期限内に終えられるよう、週の初めに詳細な計画を立てるようにしています。</t>
  </si>
  <si>
    <t>Bạn quản lý áp lực và căng thẳng trong công việc như thế nào?</t>
  </si>
  <si>
    <t>How do you manage work pressure and stress?</t>
  </si>
  <si>
    <t>仕事のプレッシャーやストレスを、どのように管理していますか？</t>
  </si>
  <si>
    <t>Khi gặp áp lực, tôi thường hít thở sâu và chia nhỏ công việc để giải quyết từng phần. Ngoài giờ làm, tôi thích nghe nhạc và xem phim để thư giãn và lấy lại năng lượng.</t>
  </si>
  <si>
    <t>When facing pressure, I often take deep breaths and break down tasks to solve them one by one. After work, I like listening to music and watching movies to relax and recharge my energy.</t>
  </si>
  <si>
    <t>プレッシャーを感じる時は、深呼吸をしてタスクを細かく分け、一つずつ解決するようにしています。仕事の後は、音楽を聴いたり映画を見たりしてリラックスし、エネルギーを回復させます。</t>
  </si>
  <si>
    <t>Bạn có quan điểm như thế nào về việc làm thêm giờ?</t>
  </si>
  <si>
    <t>What is your opinion on working overtime?</t>
  </si>
  <si>
    <t>残業について、どのように考えていますか？</t>
  </si>
  <si>
    <t>Tôi luôn cố gắng hoàn thành công việc trong giờ hành chính. Tuy nhiên, nếu dự án đang gấp hoặc công ty có yêu cầu, tôi sẵn sàng làm thêm giờ để đảm bảo tiến độ.</t>
  </si>
  <si>
    <t>I always try to finish my work during office hours. However, if the project is urgent or the company requires it, I am willing to work overtime to ensure the schedule.</t>
  </si>
  <si>
    <t>私は常に勤務時間内に仕事を終えるよう努めています。しかし、プロジェクトが急ぎの場合や会社からの要請があれば、スケジュールを守るために残業も対応いたします。</t>
  </si>
  <si>
    <t>Bạn sẽ làm gì khi phải làm việc với một khách hàng khó tính?</t>
  </si>
  <si>
    <t>How do you deal with difficult customers?</t>
  </si>
  <si>
    <t>難しいお客様には、どのように対応しますか？</t>
  </si>
  <si>
    <t>Tôi sẽ bình tĩnh lắng nghe để hiểu rõ mong muốn của khách hàng. Sau đó, tôi sẽ kiên nhẫn giải thích và đưa ra giải pháp phù hợp nhất để làm hài lòng họ.</t>
  </si>
  <si>
    <t>I will stay calm and listen to understand the customer's needs clearly. Then, I will patiently explain and offer the most suitable solution to satisfy them.</t>
  </si>
  <si>
    <t>まずは落ち着いてお客様の話を聞き、その要望を正確に理解します。その後、丁寧に説明し、お客様に満足していただける最適な解決策を提案します。</t>
  </si>
  <si>
    <t>Bạn giải quyết mâu thuẫn với đồng nghiệp như thế nào?</t>
  </si>
  <si>
    <t>How do you resolve conflicts with coworkers?</t>
  </si>
  <si>
    <t>同僚と意見が対立した場合、どのように解決しますか？</t>
  </si>
  <si>
    <t>Tôi sẽ chủ động nói chuyện riêng với họ một cách cởi mở và tôn trọng. Cả hai sẽ cùng tìm hiểu nguyên nhân và đưa ra hướng giải quyết vì mục tiêu chung của công việc.</t>
  </si>
  <si>
    <t>I will proactively talk to them privately in an open and respectful way. We will find out the reasons together and come up with a solution for the common goal of the work.</t>
  </si>
  <si>
    <t>私は自ら積極的に、かつ敬意を持って同僚と個人的に話し合います。お互いに原因を見つけ、仕事の共通目標のために解決策を考えます。</t>
  </si>
  <si>
    <t>Bạn sẽ làm gì nếu bất đồng quan điểm với cấp trên?</t>
  </si>
  <si>
    <t>What would you do if you disagree with your boss?</t>
  </si>
  <si>
    <t>上司と意見が合わない場合、どのように対応しますか？</t>
  </si>
  <si>
    <t>Tôi sẽ trình bày ý kiến cá nhân của mình một cách khéo léo và có số liệu chứng minh. Tuy nhiên, nếu cấp trên đã phân tích và đưa ra quyết định cuối cùng, tôi sẽ tuân thủ và thực hiện tốt nhất có thể.</t>
  </si>
  <si>
    <t>I will present my personal opinion tactfully with data to prove it. However, if my boss has analyzed and made the final decision, I will follow it and do my best.</t>
  </si>
  <si>
    <t>自分の意見をデータなどの根拠とともに丁寧に説明します。しかし、上司が分析し最終決定を下した場合は、それに従いベストを尽くして実行します。</t>
  </si>
  <si>
    <t>Bạn sẽ làm gì khi được giao một công việc không đúng sở trường?</t>
  </si>
  <si>
    <t>What would you do if you are assigned a task outside your skills?</t>
  </si>
  <si>
    <t>自分のスキル以外の仕事を任された場合、どう対応しますか？</t>
  </si>
  <si>
    <t>Tôi coi đó là cơ hội để học hỏi và mở rộng kỹ năng của mình. Tôi sẽ cố gắng nghiên cứu và tìm sự trợ giúp từ người có kinh nghiệm để hoàn thành tốt nhiệm vụ đó.</t>
  </si>
  <si>
    <t>I consider it an opportunity to learn and expand my skills. I will try to research and seek help from experienced people to complete the task well.</t>
  </si>
  <si>
    <t>それを新しいことを学び、スキルを広げる良い機会だと捉えます。調査を行い、経験者の助けを借りながら、その業務をしっかりやり遂げるよう努力します。</t>
  </si>
  <si>
    <t>Bạn đã từng làm việc trong môi trường đa văn hóa chưa?</t>
  </si>
  <si>
    <t>Have you ever worked in a multicultural environment?</t>
  </si>
  <si>
    <t>多文化な環境で働いた経験はありますか？</t>
  </si>
  <si>
    <t>Thực tế thì tôi chưa có nhiều cơ hội làm việc trong môi trường đa văn hóa. Tuy nhiên, tôi là người dễ thích nghi, luôn cởi mở và tôn trọng sự khác biệt văn hóa. Tôi rất mong có cơ hội được học hỏi và làm việc cùng các đồng nghiệp quốc tế.</t>
  </si>
  <si>
    <t>Actually, I haven't had many opportunities to work in a multicultural environment. However, I am adaptable, always open-minded, and respect cultural differences. I really hope to have the chance to learn and work with international colleagues.</t>
  </si>
  <si>
    <t>実は、多文化環境で働く機会はまだあまりありませんでした。しかし、私は適応力があり、常にオープンな姿勢で文化の違いを尊重しています。国際的な同僚と一緒に働き、学ぶ機会があればと強く思っています。</t>
  </si>
  <si>
    <t>Theo bạn, tố chất nào là quan trọng nhất đối với một nhân viên?</t>
  </si>
  <si>
    <t>In your opinion, what is the most important quality for an employee?</t>
  </si>
  <si>
    <t>社員にとって、最も重要な資質は何だと思いますか？</t>
  </si>
  <si>
    <t>Theo tôi, tinh thần trách nhiệm và thái độ học hỏi là quan trọng nhất. Nhờ có trách nhiệm, nhân viên sẽ luôn nỗ lực hoàn thành công việc, và thái độ học hỏi giúp họ ngày càng tiến bộ.</t>
  </si>
  <si>
    <t>In my opinion, a sense of responsibility and a learning attitude are the most important. With responsibility, employees will always try to complete their work, and a learning attitude helps them improve continuously.</t>
  </si>
  <si>
    <t>私は、責任感と学ぶ姿勢が最も重要だと考えています。責任感があれば最後まで仕事をやり遂げることができますし、学ぶ姿勢があれば常に成長し続けることができます。</t>
  </si>
  <si>
    <t>Nếu thấy quy trình làm việc chưa tốt, bạn sẽ đề xuất cải tiến như thế nào?</t>
  </si>
  <si>
    <t>If a work process is not good, how would you propose to improve it?</t>
  </si>
  <si>
    <t>業務プロセスを改善したい場合、どのように提案しますか？</t>
  </si>
  <si>
    <t>Trước tiên, tôi sẽ quan sát và ghi chép lại những điểm chưa hợp lý hoặc gây lãng phí thời gian. Sau đó, tôi sẽ nghiên cứu giải pháp, thảo luận ý kiến với đồng nghiệp, rồi lập một bản đề xuất cụ thể trình lên cấp trên xem xét và quyết định.</t>
  </si>
  <si>
    <t>First, I will observe and note down any unreasonable or time-wasting points. Then, I will research solutions, discuss ideas with coworkers, and prepare a specific proposal for my boss to consider and decide.</t>
  </si>
  <si>
    <t>まず、観察を行い、不合理な点や時間の無駄になっている点などを記録します。その後、解決策を調査し、同僚と意見を話し合った上で、具体的な提案書を作成して上司に提出し、検討していただきます。</t>
  </si>
  <si>
    <t>Lý do bạn muốn nghỉ công việc hiện tại là gì?</t>
  </si>
  <si>
    <t>Why do you want to leave your current job?</t>
  </si>
  <si>
    <t>現在の仕事を退職したい理由を教えてください。</t>
  </si>
  <si>
    <t>Tôi rất biết ơn môi trường hiện tại, nhưng tôi muốn tìm kiếm một cơ hội mới mang tính thử thách hơn. Tôi hy vọng có thể đóng góp năng lực của mình cho một môi trường phát triển như công ty bạn.</t>
  </si>
  <si>
    <t>I am very grateful for my current workplace, but I want to look for a new and more challenging opportunity. I hope to contribute my abilities to a growing environment like your company.</t>
  </si>
  <si>
    <t>現在の職場にはとても感謝していますが、より挑戦的な新しい機会を探したいと考えています。御社のような成長環境で自分の能力を活かし、貢献したいです。</t>
  </si>
  <si>
    <t>Mục tiêu nghề nghiệp của bạn trong 3 đến 5 năm tới là gì?</t>
  </si>
  <si>
    <t>What are your career goals for the next 3 to 5 years?</t>
  </si>
  <si>
    <t>3年から5年後のキャリア目標は何ですか？</t>
  </si>
  <si>
    <t>Mục tiêu của tôi là tích lũy thêm kiến thức chuyên môn và nâng cao kỹ năng lãnh đạo. Trong 3 đến 5 năm tới, tôi phấn đấu trở thành một người quản lý giỏi để dẫn dắt đội nhóm mang lại giá trị cho công ty.</t>
  </si>
  <si>
    <t>My goal is to accumulate more professional knowledge and improve my leadership skills. In the next 3 to 5 years, I strive to become a good manager to lead a team and bring value to the company.</t>
  </si>
  <si>
    <t>私の目標は、専門知識をさらに深め、リーダーシップスキルを高めることです。3〜5年後には優秀なマネージャーとなり、チームを率いて会社に価値をもたらす存在になりたいです。</t>
  </si>
  <si>
    <t>Bạn dự định sẽ làm việc tại công ty chúng tôi trong bao lâu?</t>
  </si>
  <si>
    <t>How long do you plan to work for our company?</t>
  </si>
  <si>
    <t>当社でどのくらいの期間、働きたいと考えていますか？</t>
  </si>
  <si>
    <t>Tôi luôn tìm kiếm một nơi có thể đồng hành lâu dài. Nếu công ty mang lại một môi trường phát triển tốt và tôi có thể đóng góp giá trị của mình, tôi rất sẵn sàng gắn bó nhiều năm với công ty.</t>
  </si>
  <si>
    <t>I am always looking for a place to work long-term. If the company provides a good environment to grow and I can contribute my value, I am very willing to stay for many years.</t>
  </si>
  <si>
    <t>私は常に長く働ける場所を探しています。もし御社が良い成長環境を提供してくださり、私も価値を提供できるのであれば、何年も長く働き続けたいと考えています。</t>
  </si>
  <si>
    <t>Mức lương mong muốn của bạn là bao nhiêu?</t>
  </si>
  <si>
    <t>What is your expected salary?</t>
  </si>
  <si>
    <t>希望する給与はいくらですか？</t>
  </si>
  <si>
    <t>Trước tiên, tôi đồng ý với mức lương theo quy định chung của công ty cho vị trí này. Tuy nhiên, tôi mong rằng mức lương sẽ được xem xét tăng lên dựa vào năng lực và sự cống hiến của tôi khi gắn bó lâu dài.</t>
  </si>
  <si>
    <t>First, I agree with the company's general salary policy for this position. However, I hope the salary will be reviewed and increased based on my ability and dedication when I work here long-term.</t>
  </si>
  <si>
    <t>まずは、このポジションに対する御社の給与規定に従います。しかし、長く働く中で、私の能力や貢献度に応じて昇給を検討していただければ幸いです。</t>
  </si>
  <si>
    <t>Cuối cùng, bạn có câu hỏi nào dành cho chúng tôi không?</t>
  </si>
  <si>
    <t>Finally, do you have any questions for us?</t>
  </si>
  <si>
    <t>最後に、何か質問はありますか？</t>
  </si>
  <si>
    <t>Xin cảm ơn. Tôi muốn hỏi công ty có những chính sách đào tạo hoặc chương trình hỗ trợ nào để giúp nhân viên mới nhanh chóng làm quen với công việc không ạ?</t>
  </si>
  <si>
    <t>Thank you. I would like to ask if the company has any training policies or support programs to help new employees get used to the work quickly?</t>
  </si>
  <si>
    <t>ありがとうございます。新入社員が早く仕事に慣れるための研修制度やサポートプログラムがありましたら、教えていただけますでしょうか。</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</si>
</sst>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3" numFmtId="0" xfId="0" applyAlignment="1" applyFont="1">
      <alignment readingOrder="0" vertical="bottom"/>
    </xf>
    <xf borderId="0" fillId="0" fontId="2" numFmtId="0" xfId="0" applyAlignment="1" applyFont="1">
      <alignment horizontal="left" readingOrder="0" vertical="bottom"/>
    </xf>
    <xf borderId="0" fillId="0" fontId="1" numFmtId="0" xfId="0" applyAlignment="1" applyFont="1">
      <alignment horizontal="left" readingOrder="0"/>
    </xf>
    <xf borderId="0" fillId="0" fontId="1" numFmtId="0" xfId="0" applyAlignment="1" applyFont="1">
      <alignment horizontal="center" readingOrder="0"/>
    </xf>
    <xf borderId="0" fillId="0" fontId="1" numFmtId="0" xfId="0" applyFont="1"/>
    <xf borderId="0" fillId="0" fontId="1"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row>
    <row r="2">
      <c r="A2" s="1" t="s">
        <v>2</v>
      </c>
      <c r="B2" s="1" t="s">
        <v>3</v>
      </c>
    </row>
    <row r="3">
      <c r="A3" s="1" t="s">
        <v>4</v>
      </c>
      <c r="B3" s="1" t="s">
        <v>5</v>
      </c>
    </row>
    <row r="4">
      <c r="A4" s="1" t="s">
        <v>6</v>
      </c>
      <c r="B4" s="1" t="s">
        <v>7</v>
      </c>
    </row>
    <row r="5">
      <c r="A5" s="1" t="s">
        <v>8</v>
      </c>
      <c r="B5" s="1"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v>1.0</v>
      </c>
      <c r="B1" s="5" t="s">
        <v>10</v>
      </c>
      <c r="C1" s="5" t="s">
        <v>10</v>
      </c>
      <c r="D1" s="5" t="s">
        <v>10</v>
      </c>
      <c r="E1" s="6" t="s">
        <v>11</v>
      </c>
      <c r="F1" s="6" t="s">
        <v>12</v>
      </c>
      <c r="G1" s="3" t="str">
        <f>IFERROR(__xludf.DUMMYFUNCTION("REGEXREPLACE(
D1,
""([一-龯々]+)\[([^\]]+)\]"",
""&lt;ruby&gt;$1&lt;rt&gt;$2&lt;/rt&gt;&lt;/ruby&gt;""
)&amp;""&lt;br&gt;&lt;div class=""""audio""""&gt;[sound:""&amp;C1&amp;"".mp3]&lt;/div&gt;"""),"あの&lt;br&gt;&lt;div class=""audio""&gt;[sound:あの.mp3]&lt;/div&gt;")</f>
        <v>あの&lt;br&gt;&lt;div class="audio"&gt;[sound:あの.mp3]&lt;/div&gt;</v>
      </c>
      <c r="H1" s="3" t="str">
        <f t="shared" ref="H1:H7000" si="1">"("&amp;E1&amp;"): "&amp;F1</f>
        <v>(adj): kia</v>
      </c>
      <c r="I1" s="6" t="s">
        <v>13</v>
      </c>
      <c r="J1" s="6" t="s">
        <v>14</v>
      </c>
      <c r="K1" s="7">
        <f t="shared" ref="K1:K7000" si="2">rand()</f>
        <v>0.152292708</v>
      </c>
    </row>
    <row r="2">
      <c r="A2" s="4">
        <v>2.0</v>
      </c>
      <c r="B2" s="5" t="s">
        <v>15</v>
      </c>
      <c r="C2" s="5" t="s">
        <v>15</v>
      </c>
      <c r="D2" s="5" t="s">
        <v>15</v>
      </c>
      <c r="E2" s="6" t="s">
        <v>11</v>
      </c>
      <c r="F2" s="6" t="s">
        <v>16</v>
      </c>
      <c r="G2" s="3" t="str">
        <f>IFERROR(__xludf.DUMMYFUNCTION("REGEXREPLACE(
D2,
""([一-龯々]+)\[([^\]]+)\]"",
""&lt;ruby&gt;$1&lt;rt&gt;$2&lt;/rt&gt;&lt;/ruby&gt;""
)&amp;""&lt;br&gt;&lt;div class=""""audio""""&gt;[sound:""&amp;C2&amp;"".mp3]&lt;/div&gt;"""),"その&lt;br&gt;&lt;div class=""audio""&gt;[sound:その.mp3]&lt;/div&gt;")</f>
        <v>その&lt;br&gt;&lt;div class="audio"&gt;[sound:その.mp3]&lt;/div&gt;</v>
      </c>
      <c r="H2" s="3" t="str">
        <f t="shared" si="1"/>
        <v>(adj): đó</v>
      </c>
      <c r="I2" s="6" t="s">
        <v>17</v>
      </c>
      <c r="J2" s="6" t="s">
        <v>18</v>
      </c>
      <c r="K2" s="7">
        <f t="shared" si="2"/>
        <v>0.8999126727</v>
      </c>
    </row>
    <row r="3">
      <c r="A3" s="4">
        <v>3.0</v>
      </c>
      <c r="B3" s="5" t="s">
        <v>19</v>
      </c>
      <c r="C3" s="5" t="s">
        <v>19</v>
      </c>
      <c r="D3" s="5" t="s">
        <v>19</v>
      </c>
      <c r="E3" s="6" t="s">
        <v>11</v>
      </c>
      <c r="F3" s="6" t="s">
        <v>20</v>
      </c>
      <c r="G3" s="3" t="str">
        <f>IFERROR(__xludf.DUMMYFUNCTION("REGEXREPLACE(
D3,
""([一-龯々]+)\[([^\]]+)\]"",
""&lt;ruby&gt;$1&lt;rt&gt;$2&lt;/rt&gt;&lt;/ruby&gt;""
)&amp;""&lt;br&gt;&lt;div class=""""audio""""&gt;[sound:""&amp;C3&amp;"".mp3]&lt;/div&gt;"""),"ない&lt;br&gt;&lt;div class=""audio""&gt;[sound:ない.mp3]&lt;/div&gt;")</f>
        <v>ない&lt;br&gt;&lt;div class="audio"&gt;[sound:ない.mp3]&lt;/div&gt;</v>
      </c>
      <c r="H3" s="3" t="str">
        <f t="shared" si="1"/>
        <v>(adj): không</v>
      </c>
      <c r="I3" s="6" t="s">
        <v>21</v>
      </c>
      <c r="J3" s="6" t="s">
        <v>22</v>
      </c>
      <c r="K3" s="7">
        <f t="shared" si="2"/>
        <v>0.414320262</v>
      </c>
    </row>
    <row r="4">
      <c r="A4" s="4">
        <v>4.0</v>
      </c>
      <c r="B4" s="5" t="s">
        <v>23</v>
      </c>
      <c r="C4" s="5" t="s">
        <v>23</v>
      </c>
      <c r="D4" s="5" t="s">
        <v>23</v>
      </c>
      <c r="E4" s="6" t="s">
        <v>24</v>
      </c>
      <c r="F4" s="6" t="s">
        <v>25</v>
      </c>
      <c r="G4" s="3" t="str">
        <f>IFERROR(__xludf.DUMMYFUNCTION("REGEXREPLACE(
D4,
""([一-龯々]+)\[([^\]]+)\]"",
""&lt;ruby&gt;$1&lt;rt&gt;$2&lt;/rt&gt;&lt;/ruby&gt;""
)&amp;""&lt;br&gt;&lt;div class=""""audio""""&gt;[sound:""&amp;C4&amp;"".mp3]&lt;/div&gt;"""),"あげる&lt;br&gt;&lt;div class=""audio""&gt;[sound:あげる.mp3]&lt;/div&gt;")</f>
        <v>あげる&lt;br&gt;&lt;div class="audio"&gt;[sound:あげる.mp3]&lt;/div&gt;</v>
      </c>
      <c r="H4" s="3" t="str">
        <f t="shared" si="1"/>
        <v>(v): tặng</v>
      </c>
      <c r="I4" s="6" t="s">
        <v>26</v>
      </c>
      <c r="J4" s="6" t="s">
        <v>27</v>
      </c>
      <c r="K4" s="7">
        <f t="shared" si="2"/>
        <v>0.4600878051</v>
      </c>
    </row>
    <row r="5">
      <c r="A5" s="4">
        <v>5.0</v>
      </c>
      <c r="B5" s="5" t="s">
        <v>28</v>
      </c>
      <c r="C5" s="5" t="s">
        <v>28</v>
      </c>
      <c r="D5" s="5" t="s">
        <v>28</v>
      </c>
      <c r="E5" s="6" t="s">
        <v>24</v>
      </c>
      <c r="F5" s="6" t="s">
        <v>29</v>
      </c>
      <c r="G5" s="3" t="str">
        <f>IFERROR(__xludf.DUMMYFUNCTION("REGEXREPLACE(
D5,
""([一-龯々]+)\[([^\]]+)\]"",
""&lt;ruby&gt;$1&lt;rt&gt;$2&lt;/rt&gt;&lt;/ruby&gt;""
)&amp;""&lt;br&gt;&lt;div class=""""audio""""&gt;[sound:""&amp;C5&amp;"".mp3]&lt;/div&gt;"""),"なる&lt;br&gt;&lt;div class=""audio""&gt;[sound:なる.mp3]&lt;/div&gt;")</f>
        <v>なる&lt;br&gt;&lt;div class="audio"&gt;[sound:なる.mp3]&lt;/div&gt;</v>
      </c>
      <c r="H5" s="3" t="str">
        <f t="shared" si="1"/>
        <v>(v): trở thành</v>
      </c>
      <c r="I5" s="6" t="s">
        <v>30</v>
      </c>
      <c r="J5" s="6" t="s">
        <v>31</v>
      </c>
      <c r="K5" s="7">
        <f t="shared" si="2"/>
        <v>0.7556041142</v>
      </c>
    </row>
    <row r="6">
      <c r="A6" s="4">
        <v>6.0</v>
      </c>
      <c r="B6" s="5" t="s">
        <v>32</v>
      </c>
      <c r="C6" s="5" t="s">
        <v>32</v>
      </c>
      <c r="D6" s="5" t="s">
        <v>32</v>
      </c>
      <c r="E6" s="6" t="s">
        <v>33</v>
      </c>
      <c r="F6" s="6" t="s">
        <v>34</v>
      </c>
      <c r="G6" s="3" t="str">
        <f>IFERROR(__xludf.DUMMYFUNCTION("REGEXREPLACE(
D6,
""([一-龯々]+)\[([^\]]+)\]"",
""&lt;ruby&gt;$1&lt;rt&gt;$2&lt;/rt&gt;&lt;/ruby&gt;""
)&amp;""&lt;br&gt;&lt;div class=""""audio""""&gt;[sound:""&amp;C6&amp;"".mp3]&lt;/div&gt;"""),"はい&lt;br&gt;&lt;div class=""audio""&gt;[sound:はい.mp3]&lt;/div&gt;")</f>
        <v>はい&lt;br&gt;&lt;div class="audio"&gt;[sound:はい.mp3]&lt;/div&gt;</v>
      </c>
      <c r="H6" s="3" t="str">
        <f t="shared" si="1"/>
        <v>(int): vâng</v>
      </c>
      <c r="I6" s="6" t="s">
        <v>35</v>
      </c>
      <c r="J6" s="6" t="s">
        <v>36</v>
      </c>
      <c r="K6" s="7">
        <f t="shared" si="2"/>
        <v>0.5326272558</v>
      </c>
    </row>
    <row r="7">
      <c r="A7" s="4">
        <v>7.0</v>
      </c>
      <c r="B7" s="5" t="s">
        <v>37</v>
      </c>
      <c r="C7" s="5" t="s">
        <v>37</v>
      </c>
      <c r="D7" s="5" t="s">
        <v>37</v>
      </c>
      <c r="E7" s="6" t="s">
        <v>11</v>
      </c>
      <c r="F7" s="6" t="s">
        <v>38</v>
      </c>
      <c r="G7" s="3" t="str">
        <f>IFERROR(__xludf.DUMMYFUNCTION("REGEXREPLACE(
D7,
""([一-龯々]+)\[([^\]]+)\]"",
""&lt;ruby&gt;$1&lt;rt&gt;$2&lt;/rt&gt;&lt;/ruby&gt;""
)&amp;""&lt;br&gt;&lt;div class=""""audio""""&gt;[sound:""&amp;C7&amp;"".mp3]&lt;/div&gt;"""),"この&lt;br&gt;&lt;div class=""audio""&gt;[sound:この.mp3]&lt;/div&gt;")</f>
        <v>この&lt;br&gt;&lt;div class="audio"&gt;[sound:この.mp3]&lt;/div&gt;</v>
      </c>
      <c r="H7" s="3" t="str">
        <f t="shared" si="1"/>
        <v>(adj): này</v>
      </c>
      <c r="I7" s="6" t="s">
        <v>39</v>
      </c>
      <c r="J7" s="6" t="s">
        <v>40</v>
      </c>
      <c r="K7" s="7">
        <f t="shared" si="2"/>
        <v>0.05958804919</v>
      </c>
    </row>
    <row r="8">
      <c r="A8" s="4">
        <v>8.0</v>
      </c>
      <c r="B8" s="5" t="s">
        <v>41</v>
      </c>
      <c r="C8" s="5" t="s">
        <v>42</v>
      </c>
      <c r="D8" s="5" t="s">
        <v>43</v>
      </c>
      <c r="E8" s="6" t="s">
        <v>44</v>
      </c>
      <c r="F8" s="6" t="s">
        <v>45</v>
      </c>
      <c r="G8" s="3" t="str">
        <f>IFERROR(__xludf.DUMMYFUNCTION("REGEXREPLACE(
D8,
""([一-龯々]+)\[([^\]]+)\]"",
""&lt;ruby&gt;$1&lt;rt&gt;$2&lt;/rt&gt;&lt;/ruby&gt;""
)&amp;""&lt;br&gt;&lt;div class=""""audio""""&gt;[sound:""&amp;C8&amp;"".mp3]&lt;/div&gt;"""),"&lt;ruby&gt;私&lt;rt&gt;わたし&lt;/rt&gt;&lt;/ruby&gt;&lt;br&gt;&lt;div class=""audio""&gt;[sound:わたし.mp3]&lt;/div&gt;")</f>
        <v>&lt;ruby&gt;私&lt;rt&gt;わたし&lt;/rt&gt;&lt;/ruby&gt;&lt;br&gt;&lt;div class="audio"&gt;[sound:わたし.mp3]&lt;/div&gt;</v>
      </c>
      <c r="H8" s="3" t="str">
        <f t="shared" si="1"/>
        <v>(pron): tôi</v>
      </c>
      <c r="I8" s="6" t="s">
        <v>46</v>
      </c>
      <c r="J8" s="6" t="s">
        <v>47</v>
      </c>
      <c r="K8" s="7">
        <f t="shared" si="2"/>
        <v>0.05214555573</v>
      </c>
    </row>
    <row r="9">
      <c r="A9" s="4">
        <v>9.0</v>
      </c>
      <c r="B9" s="5" t="s">
        <v>48</v>
      </c>
      <c r="C9" s="5" t="s">
        <v>48</v>
      </c>
      <c r="D9" s="5" t="s">
        <v>48</v>
      </c>
      <c r="E9" s="6" t="s">
        <v>33</v>
      </c>
      <c r="F9" s="6" t="s">
        <v>49</v>
      </c>
      <c r="G9" s="3" t="str">
        <f>IFERROR(__xludf.DUMMYFUNCTION("REGEXREPLACE(
D9,
""([一-龯々]+)\[([^\]]+)\]"",
""&lt;ruby&gt;$1&lt;rt&gt;$2&lt;/rt&gt;&lt;/ruby&gt;""
)&amp;""&lt;br&gt;&lt;div class=""""audio""""&gt;[sound:""&amp;C9&amp;"".mp3]&lt;/div&gt;"""),"うん&lt;br&gt;&lt;div class=""audio""&gt;[sound:うん.mp3]&lt;/div&gt;")</f>
        <v>うん&lt;br&gt;&lt;div class="audio"&gt;[sound:うん.mp3]&lt;/div&gt;</v>
      </c>
      <c r="H9" s="3" t="str">
        <f t="shared" si="1"/>
        <v>(int): ừ</v>
      </c>
      <c r="I9" s="6" t="s">
        <v>50</v>
      </c>
      <c r="J9" s="6" t="s">
        <v>51</v>
      </c>
      <c r="K9" s="7">
        <f t="shared" si="2"/>
        <v>0.9888756023</v>
      </c>
    </row>
    <row r="10">
      <c r="A10" s="4">
        <v>10.0</v>
      </c>
      <c r="B10" s="5" t="s">
        <v>52</v>
      </c>
      <c r="C10" s="5" t="s">
        <v>52</v>
      </c>
      <c r="D10" s="5" t="s">
        <v>52</v>
      </c>
      <c r="E10" s="6" t="s">
        <v>33</v>
      </c>
      <c r="F10" s="6" t="s">
        <v>34</v>
      </c>
      <c r="G10" s="3" t="str">
        <f>IFERROR(__xludf.DUMMYFUNCTION("REGEXREPLACE(
D10,
""([一-龯々]+)\[([^\]]+)\]"",
""&lt;ruby&gt;$1&lt;rt&gt;$2&lt;/rt&gt;&lt;/ruby&gt;""
)&amp;""&lt;br&gt;&lt;div class=""""audio""""&gt;[sound:""&amp;C10&amp;"".mp3]&lt;/div&gt;"""),"ええ&lt;br&gt;&lt;div class=""audio""&gt;[sound:ええ.mp3]&lt;/div&gt;")</f>
        <v>ええ&lt;br&gt;&lt;div class="audio"&gt;[sound:ええ.mp3]&lt;/div&gt;</v>
      </c>
      <c r="H10" s="3" t="str">
        <f t="shared" si="1"/>
        <v>(int): vâng</v>
      </c>
      <c r="I10" s="6" t="s">
        <v>53</v>
      </c>
      <c r="J10" s="6" t="s">
        <v>54</v>
      </c>
      <c r="K10" s="7">
        <f t="shared" si="2"/>
        <v>0.09040747176</v>
      </c>
    </row>
    <row r="11">
      <c r="A11" s="4">
        <v>11.0</v>
      </c>
      <c r="B11" s="5" t="s">
        <v>55</v>
      </c>
      <c r="C11" s="5" t="s">
        <v>56</v>
      </c>
      <c r="D11" s="5" t="s">
        <v>57</v>
      </c>
      <c r="E11" s="6" t="s">
        <v>58</v>
      </c>
      <c r="F11" s="6" t="s">
        <v>59</v>
      </c>
      <c r="G11" s="3" t="str">
        <f>IFERROR(__xludf.DUMMYFUNCTION("REGEXREPLACE(
D11,
""([一-龯々]+)\[([^\]]+)\]"",
""&lt;ruby&gt;$1&lt;rt&gt;$2&lt;/rt&gt;&lt;/ruby&gt;""
)&amp;""&lt;br&gt;&lt;div class=""""audio""""&gt;[sound:""&amp;C11&amp;"".mp3]&lt;/div&gt;"""),"&lt;ruby&gt;一&lt;rt&gt;いち&lt;/rt&gt;&lt;/ruby&gt;&lt;br&gt;&lt;div class=""audio""&gt;[sound:いち.mp3]&lt;/div&gt;")</f>
        <v>&lt;ruby&gt;一&lt;rt&gt;いち&lt;/rt&gt;&lt;/ruby&gt;&lt;br&gt;&lt;div class="audio"&gt;[sound:いち.mp3]&lt;/div&gt;</v>
      </c>
      <c r="H11" s="3" t="str">
        <f t="shared" si="1"/>
        <v>(num): một</v>
      </c>
      <c r="I11" s="6" t="s">
        <v>60</v>
      </c>
      <c r="J11" s="6" t="s">
        <v>61</v>
      </c>
      <c r="K11" s="7">
        <f t="shared" si="2"/>
        <v>0.9456990239</v>
      </c>
    </row>
    <row r="12">
      <c r="A12" s="4">
        <v>12.0</v>
      </c>
      <c r="B12" s="5" t="s">
        <v>62</v>
      </c>
      <c r="C12" s="5" t="s">
        <v>62</v>
      </c>
      <c r="D12" s="5" t="s">
        <v>62</v>
      </c>
      <c r="E12" s="6" t="s">
        <v>63</v>
      </c>
      <c r="F12" s="6" t="s">
        <v>64</v>
      </c>
      <c r="G12" s="3" t="str">
        <f>IFERROR(__xludf.DUMMYFUNCTION("REGEXREPLACE(
D12,
""([一-龯々]+)\[([^\]]+)\]"",
""&lt;ruby&gt;$1&lt;rt&gt;$2&lt;/rt&gt;&lt;/ruby&gt;""
)&amp;""&lt;br&gt;&lt;div class=""""audio""""&gt;[sound:""&amp;C12&amp;"".mp3]&lt;/div&gt;"""),"と&lt;br&gt;&lt;div class=""audio""&gt;[sound:と.mp3]&lt;/div&gt;")</f>
        <v>と&lt;br&gt;&lt;div class="audio"&gt;[sound:と.mp3]&lt;/div&gt;</v>
      </c>
      <c r="H12" s="3" t="str">
        <f t="shared" si="1"/>
        <v>(prep): với</v>
      </c>
      <c r="I12" s="6" t="s">
        <v>65</v>
      </c>
      <c r="J12" s="6" t="s">
        <v>66</v>
      </c>
      <c r="K12" s="7">
        <f t="shared" si="2"/>
        <v>0.1138856224</v>
      </c>
    </row>
    <row r="13">
      <c r="A13" s="4">
        <v>13.0</v>
      </c>
      <c r="B13" s="5" t="s">
        <v>67</v>
      </c>
      <c r="C13" s="5" t="s">
        <v>67</v>
      </c>
      <c r="D13" s="5" t="s">
        <v>67</v>
      </c>
      <c r="E13" s="6" t="s">
        <v>24</v>
      </c>
      <c r="F13" s="6" t="s">
        <v>68</v>
      </c>
      <c r="G13" s="3" t="str">
        <f>IFERROR(__xludf.DUMMYFUNCTION("REGEXREPLACE(
D13,
""([一-龯々]+)\[([^\]]+)\]"",
""&lt;ruby&gt;$1&lt;rt&gt;$2&lt;/rt&gt;&lt;/ruby&gt;""
)&amp;""&lt;br&gt;&lt;div class=""""audio""""&gt;[sound:""&amp;C13&amp;"".mp3]&lt;/div&gt;"""),"する&lt;br&gt;&lt;div class=""audio""&gt;[sound:する.mp3]&lt;/div&gt;")</f>
        <v>する&lt;br&gt;&lt;div class="audio"&gt;[sound:する.mp3]&lt;/div&gt;</v>
      </c>
      <c r="H13" s="3" t="str">
        <f t="shared" si="1"/>
        <v>(v): làm</v>
      </c>
      <c r="I13" s="6" t="s">
        <v>69</v>
      </c>
      <c r="J13" s="6" t="s">
        <v>70</v>
      </c>
      <c r="K13" s="7">
        <f t="shared" si="2"/>
        <v>0.2423934074</v>
      </c>
    </row>
    <row r="14">
      <c r="A14" s="4">
        <v>14.0</v>
      </c>
      <c r="B14" s="5" t="s">
        <v>71</v>
      </c>
      <c r="C14" s="5" t="s">
        <v>72</v>
      </c>
      <c r="D14" s="5" t="s">
        <v>73</v>
      </c>
      <c r="E14" s="6" t="s">
        <v>74</v>
      </c>
      <c r="F14" s="6" t="s">
        <v>75</v>
      </c>
      <c r="G14" s="3" t="str">
        <f>IFERROR(__xludf.DUMMYFUNCTION("REGEXREPLACE(
D14,
""([一-龯々]+)\[([^\]]+)\]"",
""&lt;ruby&gt;$1&lt;rt&gt;$2&lt;/rt&gt;&lt;/ruby&gt;""
)&amp;""&lt;br&gt;&lt;div class=""""audio""""&gt;[sound:""&amp;C14&amp;"".mp3]&lt;/div&gt;"""),"&lt;ruby&gt;人&lt;rt&gt;ひと&lt;/rt&gt;&lt;/ruby&gt;&lt;br&gt;&lt;div class=""audio""&gt;[sound:ひと.mp3]&lt;/div&gt;")</f>
        <v>&lt;ruby&gt;人&lt;rt&gt;ひと&lt;/rt&gt;&lt;/ruby&gt;&lt;br&gt;&lt;div class="audio"&gt;[sound:ひと.mp3]&lt;/div&gt;</v>
      </c>
      <c r="H14" s="3" t="str">
        <f t="shared" si="1"/>
        <v>(n): người</v>
      </c>
      <c r="I14" s="6" t="s">
        <v>76</v>
      </c>
      <c r="J14" s="6" t="s">
        <v>77</v>
      </c>
      <c r="K14" s="7">
        <f t="shared" si="2"/>
        <v>0.1233938853</v>
      </c>
    </row>
    <row r="15">
      <c r="A15" s="4">
        <v>15.0</v>
      </c>
      <c r="B15" s="5" t="s">
        <v>78</v>
      </c>
      <c r="C15" s="5" t="s">
        <v>79</v>
      </c>
      <c r="D15" s="5" t="s">
        <v>80</v>
      </c>
      <c r="E15" s="6" t="s">
        <v>74</v>
      </c>
      <c r="F15" s="6" t="s">
        <v>81</v>
      </c>
      <c r="G15" s="3" t="str">
        <f>IFERROR(__xludf.DUMMYFUNCTION("REGEXREPLACE(
D15,
""([一-龯々]+)\[([^\]]+)\]"",
""&lt;ruby&gt;$1&lt;rt&gt;$2&lt;/rt&gt;&lt;/ruby&gt;""
)&amp;""&lt;br&gt;&lt;div class=""""audio""""&gt;[sound:""&amp;C15&amp;"".mp3]&lt;/div&gt;"""),"&lt;ruby&gt;年&lt;rt&gt;とし&lt;/rt&gt;&lt;/ruby&gt;&lt;br&gt;&lt;div class=""audio""&gt;[sound:とし.mp3]&lt;/div&gt;")</f>
        <v>&lt;ruby&gt;年&lt;rt&gt;とし&lt;/rt&gt;&lt;/ruby&gt;&lt;br&gt;&lt;div class="audio"&gt;[sound:とし.mp3]&lt;/div&gt;</v>
      </c>
      <c r="H15" s="3" t="str">
        <f t="shared" si="1"/>
        <v>(n): năm</v>
      </c>
      <c r="I15" s="6" t="s">
        <v>82</v>
      </c>
      <c r="J15" s="6" t="s">
        <v>83</v>
      </c>
      <c r="K15" s="7">
        <f t="shared" si="2"/>
        <v>0.9721552693</v>
      </c>
    </row>
    <row r="16">
      <c r="A16" s="4">
        <v>16.0</v>
      </c>
      <c r="B16" s="5" t="s">
        <v>84</v>
      </c>
      <c r="C16" s="5" t="s">
        <v>84</v>
      </c>
      <c r="D16" s="5" t="s">
        <v>84</v>
      </c>
      <c r="E16" s="6" t="s">
        <v>85</v>
      </c>
      <c r="F16" s="6" t="s">
        <v>86</v>
      </c>
      <c r="G16" s="3" t="str">
        <f>IFERROR(__xludf.DUMMYFUNCTION("REGEXREPLACE(
D16,
""([一-龯々]+)\[([^\]]+)\]"",
""&lt;ruby&gt;$1&lt;rt&gt;$2&lt;/rt&gt;&lt;/ruby&gt;""
)&amp;""&lt;br&gt;&lt;div class=""""audio""""&gt;[sound:""&amp;C16&amp;"".mp3]&lt;/div&gt;"""),"いつも&lt;br&gt;&lt;div class=""audio""&gt;[sound:いつも.mp3]&lt;/div&gt;")</f>
        <v>いつも&lt;br&gt;&lt;div class="audio"&gt;[sound:いつも.mp3]&lt;/div&gt;</v>
      </c>
      <c r="H16" s="3" t="str">
        <f t="shared" si="1"/>
        <v>(adv): luôn luôn</v>
      </c>
      <c r="I16" s="6" t="s">
        <v>87</v>
      </c>
      <c r="J16" s="6" t="s">
        <v>88</v>
      </c>
      <c r="K16" s="7">
        <f t="shared" si="2"/>
        <v>0.7704934245</v>
      </c>
    </row>
    <row r="17">
      <c r="A17" s="4">
        <v>17.0</v>
      </c>
      <c r="B17" s="5" t="s">
        <v>89</v>
      </c>
      <c r="C17" s="5" t="s">
        <v>89</v>
      </c>
      <c r="D17" s="5" t="s">
        <v>89</v>
      </c>
      <c r="E17" s="6" t="s">
        <v>90</v>
      </c>
      <c r="F17" s="6" t="s">
        <v>91</v>
      </c>
      <c r="G17" s="3" t="str">
        <f>IFERROR(__xludf.DUMMYFUNCTION("REGEXREPLACE(
D17,
""([一-龯々]+)\[([^\]]+)\]"",
""&lt;ruby&gt;$1&lt;rt&gt;$2&lt;/rt&gt;&lt;/ruby&gt;""
)&amp;""&lt;br&gt;&lt;div class=""""audio""""&gt;[sound:""&amp;C17&amp;"".mp3]&lt;/div&gt;"""),"でも&lt;br&gt;&lt;div class=""audio""&gt;[sound:でも.mp3]&lt;/div&gt;")</f>
        <v>でも&lt;br&gt;&lt;div class="audio"&gt;[sound:でも.mp3]&lt;/div&gt;</v>
      </c>
      <c r="H17" s="3" t="str">
        <f t="shared" si="1"/>
        <v>(conj): nhưng</v>
      </c>
      <c r="I17" s="6" t="s">
        <v>92</v>
      </c>
      <c r="J17" s="6" t="s">
        <v>93</v>
      </c>
      <c r="K17" s="7">
        <f t="shared" si="2"/>
        <v>0.4482220824</v>
      </c>
    </row>
    <row r="18">
      <c r="A18" s="4">
        <v>18.0</v>
      </c>
      <c r="B18" s="5" t="s">
        <v>94</v>
      </c>
      <c r="C18" s="5" t="s">
        <v>94</v>
      </c>
      <c r="D18" s="5" t="s">
        <v>94</v>
      </c>
      <c r="E18" s="6" t="s">
        <v>24</v>
      </c>
      <c r="F18" s="6" t="s">
        <v>95</v>
      </c>
      <c r="G18" s="3" t="str">
        <f>IFERROR(__xludf.DUMMYFUNCTION("REGEXREPLACE(
D18,
""([一-龯々]+)\[([^\]]+)\]"",
""&lt;ruby&gt;$1&lt;rt&gt;$2&lt;/rt&gt;&lt;/ruby&gt;""
)&amp;""&lt;br&gt;&lt;div class=""""audio""""&gt;[sound:""&amp;C18&amp;"".mp3]&lt;/div&gt;"""),"できる&lt;br&gt;&lt;div class=""audio""&gt;[sound:できる.mp3]&lt;/div&gt;")</f>
        <v>できる&lt;br&gt;&lt;div class="audio"&gt;[sound:できる.mp3]&lt;/div&gt;</v>
      </c>
      <c r="H18" s="3" t="str">
        <f t="shared" si="1"/>
        <v>(v): có thể</v>
      </c>
      <c r="I18" s="6" t="s">
        <v>96</v>
      </c>
      <c r="J18" s="6" t="s">
        <v>97</v>
      </c>
      <c r="K18" s="7">
        <f t="shared" si="2"/>
        <v>0.5348289644</v>
      </c>
    </row>
    <row r="19">
      <c r="A19" s="4">
        <v>19.0</v>
      </c>
      <c r="B19" s="5" t="s">
        <v>98</v>
      </c>
      <c r="C19" s="5" t="s">
        <v>98</v>
      </c>
      <c r="D19" s="5" t="s">
        <v>98</v>
      </c>
      <c r="E19" s="6" t="s">
        <v>33</v>
      </c>
      <c r="F19" s="6" t="s">
        <v>99</v>
      </c>
      <c r="G19" s="3" t="str">
        <f>IFERROR(__xludf.DUMMYFUNCTION("REGEXREPLACE(
D19,
""([一-龯々]+)\[([^\]]+)\]"",
""&lt;ruby&gt;$1&lt;rt&gt;$2&lt;/rt&gt;&lt;/ruby&gt;""
)&amp;""&lt;br&gt;&lt;div class=""""audio""""&gt;[sound:""&amp;C19&amp;"".mp3]&lt;/div&gt;"""),"ありがとう&lt;br&gt;&lt;div class=""audio""&gt;[sound:ありがとう.mp3]&lt;/div&gt;")</f>
        <v>ありがとう&lt;br&gt;&lt;div class="audio"&gt;[sound:ありがとう.mp3]&lt;/div&gt;</v>
      </c>
      <c r="H19" s="3" t="str">
        <f t="shared" si="1"/>
        <v>(int): cảm ơn</v>
      </c>
      <c r="I19" s="6" t="s">
        <v>100</v>
      </c>
      <c r="J19" s="6" t="s">
        <v>101</v>
      </c>
      <c r="K19" s="7">
        <f t="shared" si="2"/>
        <v>0.99048692</v>
      </c>
    </row>
    <row r="20">
      <c r="A20" s="4">
        <v>20.0</v>
      </c>
      <c r="B20" s="5" t="s">
        <v>102</v>
      </c>
      <c r="C20" s="5" t="s">
        <v>102</v>
      </c>
      <c r="D20" s="5" t="s">
        <v>102</v>
      </c>
      <c r="E20" s="6" t="s">
        <v>85</v>
      </c>
      <c r="F20" s="6" t="s">
        <v>103</v>
      </c>
      <c r="G20" s="3" t="str">
        <f>IFERROR(__xludf.DUMMYFUNCTION("REGEXREPLACE(
D20,
""([一-龯々]+)\[([^\]]+)\]"",
""&lt;ruby&gt;$1&lt;rt&gt;$2&lt;/rt&gt;&lt;/ruby&gt;""
)&amp;""&lt;br&gt;&lt;div class=""""audio""""&gt;[sound:""&amp;C20&amp;"".mp3]&lt;/div&gt;"""),"ちょっと&lt;br&gt;&lt;div class=""audio""&gt;[sound:ちょっと.mp3]&lt;/div&gt;")</f>
        <v>ちょっと&lt;br&gt;&lt;div class="audio"&gt;[sound:ちょっと.mp3]&lt;/div&gt;</v>
      </c>
      <c r="H20" s="3" t="str">
        <f t="shared" si="1"/>
        <v>(adv): một chút</v>
      </c>
      <c r="I20" s="6" t="s">
        <v>104</v>
      </c>
      <c r="J20" s="6" t="s">
        <v>105</v>
      </c>
      <c r="K20" s="7">
        <f t="shared" si="2"/>
        <v>0.534364453</v>
      </c>
    </row>
    <row r="21">
      <c r="A21" s="4">
        <v>21.0</v>
      </c>
      <c r="B21" s="5" t="s">
        <v>106</v>
      </c>
      <c r="C21" s="5" t="s">
        <v>107</v>
      </c>
      <c r="D21" s="5" t="s">
        <v>108</v>
      </c>
      <c r="E21" s="6" t="s">
        <v>74</v>
      </c>
      <c r="F21" s="6" t="s">
        <v>109</v>
      </c>
      <c r="G21" s="3" t="str">
        <f>IFERROR(__xludf.DUMMYFUNCTION("REGEXREPLACE(
D21,
""([一-龯々]+)\[([^\]]+)\]"",
""&lt;ruby&gt;$1&lt;rt&gt;$2&lt;/rt&gt;&lt;/ruby&gt;""
)&amp;""&lt;br&gt;&lt;div class=""""audio""""&gt;[sound:""&amp;C21&amp;"".mp3]&lt;/div&gt;"""),"&lt;ruby&gt;問題&lt;rt&gt;もんだい&lt;/rt&gt;&lt;/ruby&gt;&lt;br&gt;&lt;div class=""audio""&gt;[sound:もんだい.mp3]&lt;/div&gt;")</f>
        <v>&lt;ruby&gt;問題&lt;rt&gt;もんだい&lt;/rt&gt;&lt;/ruby&gt;&lt;br&gt;&lt;div class="audio"&gt;[sound:もんだい.mp3]&lt;/div&gt;</v>
      </c>
      <c r="H21" s="3" t="str">
        <f t="shared" si="1"/>
        <v>(n): vấn đề</v>
      </c>
      <c r="I21" s="6" t="s">
        <v>110</v>
      </c>
      <c r="J21" s="6" t="s">
        <v>111</v>
      </c>
      <c r="K21" s="7">
        <f t="shared" si="2"/>
        <v>0.857654368</v>
      </c>
    </row>
    <row r="22">
      <c r="A22" s="4">
        <v>22.0</v>
      </c>
      <c r="B22" s="5" t="s">
        <v>112</v>
      </c>
      <c r="C22" s="5" t="s">
        <v>112</v>
      </c>
      <c r="D22" s="5" t="s">
        <v>112</v>
      </c>
      <c r="E22" s="6" t="s">
        <v>24</v>
      </c>
      <c r="F22" s="6" t="s">
        <v>113</v>
      </c>
      <c r="G22" s="3" t="str">
        <f>IFERROR(__xludf.DUMMYFUNCTION("REGEXREPLACE(
D22,
""([一-龯々]+)\[([^\]]+)\]"",
""&lt;ruby&gt;$1&lt;rt&gt;$2&lt;/rt&gt;&lt;/ruby&gt;""
)&amp;""&lt;br&gt;&lt;div class=""""audio""""&gt;[sound:""&amp;C22&amp;"".mp3]&lt;/div&gt;"""),"くれる&lt;br&gt;&lt;div class=""audio""&gt;[sound:くれる.mp3]&lt;/div&gt;")</f>
        <v>くれる&lt;br&gt;&lt;div class="audio"&gt;[sound:くれる.mp3]&lt;/div&gt;</v>
      </c>
      <c r="H22" s="3" t="str">
        <f t="shared" si="1"/>
        <v>(v): cho</v>
      </c>
      <c r="I22" s="6" t="s">
        <v>114</v>
      </c>
      <c r="J22" s="6" t="s">
        <v>115</v>
      </c>
      <c r="K22" s="7">
        <f t="shared" si="2"/>
        <v>0.422159085</v>
      </c>
    </row>
    <row r="23">
      <c r="A23" s="4">
        <v>23.0</v>
      </c>
      <c r="B23" s="5" t="s">
        <v>116</v>
      </c>
      <c r="C23" s="5" t="s">
        <v>116</v>
      </c>
      <c r="D23" s="5" t="s">
        <v>116</v>
      </c>
      <c r="E23" s="6" t="s">
        <v>44</v>
      </c>
      <c r="F23" s="6" t="s">
        <v>16</v>
      </c>
      <c r="G23" s="3" t="str">
        <f>IFERROR(__xludf.DUMMYFUNCTION("REGEXREPLACE(
D23,
""([一-龯々]+)\[([^\]]+)\]"",
""&lt;ruby&gt;$1&lt;rt&gt;$2&lt;/rt&gt;&lt;/ruby&gt;""
)&amp;""&lt;br&gt;&lt;div class=""""audio""""&gt;[sound:""&amp;C23&amp;"".mp3]&lt;/div&gt;"""),"それ&lt;br&gt;&lt;div class=""audio""&gt;[sound:それ.mp3]&lt;/div&gt;")</f>
        <v>それ&lt;br&gt;&lt;div class="audio"&gt;[sound:それ.mp3]&lt;/div&gt;</v>
      </c>
      <c r="H23" s="3" t="str">
        <f t="shared" si="1"/>
        <v>(pron): đó</v>
      </c>
      <c r="I23" s="6" t="s">
        <v>117</v>
      </c>
      <c r="J23" s="6" t="s">
        <v>118</v>
      </c>
      <c r="K23" s="7">
        <f t="shared" si="2"/>
        <v>0.7786724779</v>
      </c>
    </row>
    <row r="24">
      <c r="A24" s="4">
        <v>24.0</v>
      </c>
      <c r="B24" s="5" t="s">
        <v>119</v>
      </c>
      <c r="C24" s="5" t="s">
        <v>120</v>
      </c>
      <c r="D24" s="5" t="s">
        <v>121</v>
      </c>
      <c r="E24" s="6" t="s">
        <v>74</v>
      </c>
      <c r="F24" s="6" t="s">
        <v>122</v>
      </c>
      <c r="G24" s="3" t="str">
        <f>IFERROR(__xludf.DUMMYFUNCTION("REGEXREPLACE(
D24,
""([一-龯々]+)\[([^\]]+)\]"",
""&lt;ruby&gt;$1&lt;rt&gt;$2&lt;/rt&gt;&lt;/ruby&gt;""
)&amp;""&lt;br&gt;&lt;div class=""""audio""""&gt;[sound:""&amp;C24&amp;"".mp3]&lt;/div&gt;"""),"&lt;ruby&gt;今&lt;rt&gt;いま&lt;/rt&gt;&lt;/ruby&gt;&lt;br&gt;&lt;div class=""audio""&gt;[sound:いま.mp3]&lt;/div&gt;")</f>
        <v>&lt;ruby&gt;今&lt;rt&gt;いま&lt;/rt&gt;&lt;/ruby&gt;&lt;br&gt;&lt;div class="audio"&gt;[sound:いま.mp3]&lt;/div&gt;</v>
      </c>
      <c r="H24" s="3" t="str">
        <f t="shared" si="1"/>
        <v>(n): bây giờ</v>
      </c>
      <c r="I24" s="6" t="s">
        <v>123</v>
      </c>
      <c r="J24" s="6" t="s">
        <v>124</v>
      </c>
      <c r="K24" s="7">
        <f t="shared" si="2"/>
        <v>0.07248977449</v>
      </c>
    </row>
    <row r="25">
      <c r="A25" s="4">
        <v>25.0</v>
      </c>
      <c r="B25" s="5" t="s">
        <v>125</v>
      </c>
      <c r="C25" s="5" t="s">
        <v>126</v>
      </c>
      <c r="D25" s="5" t="s">
        <v>127</v>
      </c>
      <c r="E25" s="6" t="s">
        <v>74</v>
      </c>
      <c r="F25" s="6" t="s">
        <v>128</v>
      </c>
      <c r="G25" s="3" t="str">
        <f>IFERROR(__xludf.DUMMYFUNCTION("REGEXREPLACE(
D25,
""([一-龯々]+)\[([^\]]+)\]"",
""&lt;ruby&gt;$1&lt;rt&gt;$2&lt;/rt&gt;&lt;/ruby&gt;""
)&amp;""&lt;br&gt;&lt;div class=""""audio""""&gt;[sound:""&amp;C25&amp;"".mp3]&lt;/div&gt;"""),"&lt;ruby&gt;中&lt;rt&gt;なか&lt;/rt&gt;&lt;/ruby&gt;&lt;br&gt;&lt;div class=""audio""&gt;[sound:なか.mp3]&lt;/div&gt;")</f>
        <v>&lt;ruby&gt;中&lt;rt&gt;なか&lt;/rt&gt;&lt;/ruby&gt;&lt;br&gt;&lt;div class="audio"&gt;[sound:なか.mp3]&lt;/div&gt;</v>
      </c>
      <c r="H25" s="3" t="str">
        <f t="shared" si="1"/>
        <v>(n): bên trong</v>
      </c>
      <c r="I25" s="6" t="s">
        <v>129</v>
      </c>
      <c r="J25" s="6" t="s">
        <v>130</v>
      </c>
      <c r="K25" s="7">
        <f t="shared" si="2"/>
        <v>0.5607845591</v>
      </c>
    </row>
    <row r="26">
      <c r="A26" s="4">
        <v>26.0</v>
      </c>
      <c r="B26" s="5" t="s">
        <v>131</v>
      </c>
      <c r="C26" s="5" t="s">
        <v>132</v>
      </c>
      <c r="D26" s="5" t="s">
        <v>133</v>
      </c>
      <c r="E26" s="6" t="s">
        <v>24</v>
      </c>
      <c r="F26" s="6" t="s">
        <v>134</v>
      </c>
      <c r="G26" s="3" t="str">
        <f>IFERROR(__xludf.DUMMYFUNCTION("REGEXREPLACE(
D26,
""([一-龯々]+)\[([^\]]+)\]"",
""&lt;ruby&gt;$1&lt;rt&gt;$2&lt;/rt&gt;&lt;/ruby&gt;""
)&amp;""&lt;br&gt;&lt;div class=""""audio""""&gt;[sound:""&amp;C26&amp;"".mp3]&lt;/div&gt;"""),"&lt;ruby&gt;思&lt;rt&gt;おも&lt;/rt&gt;&lt;/ruby&gt;う&lt;br&gt;&lt;div class=""audio""&gt;[sound:おもう.mp3]&lt;/div&gt;")</f>
        <v>&lt;ruby&gt;思&lt;rt&gt;おも&lt;/rt&gt;&lt;/ruby&gt;う&lt;br&gt;&lt;div class="audio"&gt;[sound:おもう.mp3]&lt;/div&gt;</v>
      </c>
      <c r="H26" s="3" t="str">
        <f t="shared" si="1"/>
        <v>(v): nghĩ</v>
      </c>
      <c r="I26" s="6" t="s">
        <v>135</v>
      </c>
      <c r="J26" s="6" t="s">
        <v>136</v>
      </c>
      <c r="K26" s="7">
        <f t="shared" si="2"/>
        <v>0.6775406908</v>
      </c>
    </row>
    <row r="27">
      <c r="A27" s="4">
        <v>27.0</v>
      </c>
      <c r="B27" s="5" t="s">
        <v>137</v>
      </c>
      <c r="C27" s="5" t="s">
        <v>138</v>
      </c>
      <c r="D27" s="5" t="s">
        <v>139</v>
      </c>
      <c r="E27" s="6" t="s">
        <v>24</v>
      </c>
      <c r="F27" s="6" t="s">
        <v>140</v>
      </c>
      <c r="G27" s="3" t="str">
        <f>IFERROR(__xludf.DUMMYFUNCTION("REGEXREPLACE(
D27,
""([一-龯々]+)\[([^\]]+)\]"",
""&lt;ruby&gt;$1&lt;rt&gt;$2&lt;/rt&gt;&lt;/ruby&gt;""
)&amp;""&lt;br&gt;&lt;div class=""""audio""""&gt;[sound:""&amp;C27&amp;"".mp3]&lt;/div&gt;"""),"&lt;ruby&gt;行&lt;rt&gt;い&lt;/rt&gt;&lt;/ruby&gt;く&lt;br&gt;&lt;div class=""audio""&gt;[sound:いく.mp3]&lt;/div&gt;")</f>
        <v>&lt;ruby&gt;行&lt;rt&gt;い&lt;/rt&gt;&lt;/ruby&gt;く&lt;br&gt;&lt;div class="audio"&gt;[sound:いく.mp3]&lt;/div&gt;</v>
      </c>
      <c r="H27" s="3" t="str">
        <f t="shared" si="1"/>
        <v>(v): đi</v>
      </c>
      <c r="I27" s="6" t="s">
        <v>141</v>
      </c>
      <c r="J27" s="6" t="s">
        <v>142</v>
      </c>
      <c r="K27" s="7">
        <f t="shared" si="2"/>
        <v>0.8277050546</v>
      </c>
    </row>
    <row r="28">
      <c r="A28" s="4">
        <v>28.0</v>
      </c>
      <c r="B28" s="5" t="s">
        <v>143</v>
      </c>
      <c r="C28" s="5" t="s">
        <v>143</v>
      </c>
      <c r="D28" s="5" t="s">
        <v>143</v>
      </c>
      <c r="E28" s="6" t="s">
        <v>44</v>
      </c>
      <c r="F28" s="6" t="s">
        <v>144</v>
      </c>
      <c r="G28" s="3" t="str">
        <f>IFERROR(__xludf.DUMMYFUNCTION("REGEXREPLACE(
D28,
""([一-龯々]+)\[([^\]]+)\]"",
""&lt;ruby&gt;$1&lt;rt&gt;$2&lt;/rt&gt;&lt;/ruby&gt;""
)&amp;""&lt;br&gt;&lt;div class=""""audio""""&gt;[sound:""&amp;C28&amp;"".mp3]&lt;/div&gt;"""),"ここ&lt;br&gt;&lt;div class=""audio""&gt;[sound:ここ.mp3]&lt;/div&gt;")</f>
        <v>ここ&lt;br&gt;&lt;div class="audio"&gt;[sound:ここ.mp3]&lt;/div&gt;</v>
      </c>
      <c r="H28" s="3" t="str">
        <f t="shared" si="1"/>
        <v>(pron): đây</v>
      </c>
      <c r="I28" s="6" t="s">
        <v>145</v>
      </c>
      <c r="J28" s="6" t="s">
        <v>146</v>
      </c>
      <c r="K28" s="7">
        <f t="shared" si="2"/>
        <v>0.34342917</v>
      </c>
    </row>
    <row r="29">
      <c r="A29" s="4">
        <v>29.0</v>
      </c>
      <c r="B29" s="5" t="s">
        <v>147</v>
      </c>
      <c r="C29" s="5" t="s">
        <v>147</v>
      </c>
      <c r="D29" s="5" t="s">
        <v>147</v>
      </c>
      <c r="E29" s="6" t="s">
        <v>44</v>
      </c>
      <c r="F29" s="6" t="s">
        <v>148</v>
      </c>
      <c r="G29" s="3" t="str">
        <f>IFERROR(__xludf.DUMMYFUNCTION("REGEXREPLACE(
D29,
""([一-龯々]+)\[([^\]]+)\]"",
""&lt;ruby&gt;$1&lt;rt&gt;$2&lt;/rt&gt;&lt;/ruby&gt;""
)&amp;""&lt;br&gt;&lt;div class=""""audio""""&gt;[sound:""&amp;C29&amp;"".mp3]&lt;/div&gt;"""),"これ&lt;br&gt;&lt;div class=""audio""&gt;[sound:これ.mp3]&lt;/div&gt;")</f>
        <v>これ&lt;br&gt;&lt;div class="audio"&gt;[sound:これ.mp3]&lt;/div&gt;</v>
      </c>
      <c r="H29" s="3" t="str">
        <f t="shared" si="1"/>
        <v>(pron): cái này</v>
      </c>
      <c r="I29" s="6" t="s">
        <v>149</v>
      </c>
      <c r="J29" s="6" t="s">
        <v>150</v>
      </c>
      <c r="K29" s="7">
        <f t="shared" si="2"/>
        <v>0.9578306226</v>
      </c>
    </row>
    <row r="30">
      <c r="A30" s="4">
        <v>30.0</v>
      </c>
      <c r="B30" s="5" t="s">
        <v>151</v>
      </c>
      <c r="C30" s="5" t="s">
        <v>151</v>
      </c>
      <c r="D30" s="5" t="s">
        <v>151</v>
      </c>
      <c r="E30" s="6" t="s">
        <v>24</v>
      </c>
      <c r="F30" s="6" t="s">
        <v>152</v>
      </c>
      <c r="G30" s="3" t="str">
        <f>IFERROR(__xludf.DUMMYFUNCTION("REGEXREPLACE(
D30,
""([一-龯々]+)\[([^\]]+)\]"",
""&lt;ruby&gt;$1&lt;rt&gt;$2&lt;/rt&gt;&lt;/ruby&gt;""
)&amp;""&lt;br&gt;&lt;div class=""""audio""""&gt;[sound:""&amp;C30&amp;"".mp3]&lt;/div&gt;"""),"かかる&lt;br&gt;&lt;div class=""audio""&gt;[sound:かかる.mp3]&lt;/div&gt;")</f>
        <v>かかる&lt;br&gt;&lt;div class="audio"&gt;[sound:かかる.mp3]&lt;/div&gt;</v>
      </c>
      <c r="H30" s="3" t="str">
        <f t="shared" si="1"/>
        <v>(v): tốn</v>
      </c>
      <c r="I30" s="6" t="s">
        <v>153</v>
      </c>
      <c r="J30" s="6" t="s">
        <v>154</v>
      </c>
      <c r="K30" s="7">
        <f t="shared" si="2"/>
        <v>0.9990264553</v>
      </c>
    </row>
    <row r="31">
      <c r="A31" s="4">
        <v>31.0</v>
      </c>
      <c r="B31" s="5" t="s">
        <v>155</v>
      </c>
      <c r="C31" s="5" t="s">
        <v>156</v>
      </c>
      <c r="D31" s="5" t="s">
        <v>157</v>
      </c>
      <c r="E31" s="6" t="s">
        <v>58</v>
      </c>
      <c r="F31" s="6" t="s">
        <v>158</v>
      </c>
      <c r="G31" s="3" t="str">
        <f>IFERROR(__xludf.DUMMYFUNCTION("REGEXREPLACE(
D31,
""([一-龯々]+)\[([^\]]+)\]"",
""&lt;ruby&gt;$1&lt;rt&gt;$2&lt;/rt&gt;&lt;/ruby&gt;""
)&amp;""&lt;br&gt;&lt;div class=""""audio""""&gt;[sound:""&amp;C31&amp;"".mp3]&lt;/div&gt;"""),"&lt;ruby&gt;二&lt;rt&gt;に&lt;/rt&gt;&lt;/ruby&gt;&lt;br&gt;&lt;div class=""audio""&gt;[sound:に.mp3]&lt;/div&gt;")</f>
        <v>&lt;ruby&gt;二&lt;rt&gt;に&lt;/rt&gt;&lt;/ruby&gt;&lt;br&gt;&lt;div class="audio"&gt;[sound:に.mp3]&lt;/div&gt;</v>
      </c>
      <c r="H31" s="3" t="str">
        <f t="shared" si="1"/>
        <v>(num): hai</v>
      </c>
      <c r="I31" s="6" t="s">
        <v>159</v>
      </c>
      <c r="J31" s="6" t="s">
        <v>160</v>
      </c>
      <c r="K31" s="7">
        <f t="shared" si="2"/>
        <v>0.5898716996</v>
      </c>
    </row>
    <row r="32">
      <c r="A32" s="4">
        <v>32.0</v>
      </c>
      <c r="B32" s="5" t="s">
        <v>161</v>
      </c>
      <c r="C32" s="5" t="s">
        <v>161</v>
      </c>
      <c r="D32" s="5" t="s">
        <v>161</v>
      </c>
      <c r="E32" s="6" t="s">
        <v>85</v>
      </c>
      <c r="F32" s="6" t="s">
        <v>162</v>
      </c>
      <c r="G32" s="3" t="str">
        <f>IFERROR(__xludf.DUMMYFUNCTION("REGEXREPLACE(
D32,
""([一-龯々]+)\[([^\]]+)\]"",
""&lt;ruby&gt;$1&lt;rt&gt;$2&lt;/rt&gt;&lt;/ruby&gt;""
)&amp;""&lt;br&gt;&lt;div class=""""audio""""&gt;[sound:""&amp;C32&amp;"".mp3]&lt;/div&gt;"""),"もう&lt;br&gt;&lt;div class=""audio""&gt;[sound:もう.mp3]&lt;/div&gt;")</f>
        <v>もう&lt;br&gt;&lt;div class="audio"&gt;[sound:もう.mp3]&lt;/div&gt;</v>
      </c>
      <c r="H32" s="3" t="str">
        <f t="shared" si="1"/>
        <v>(adv): đã</v>
      </c>
      <c r="I32" s="6" t="s">
        <v>163</v>
      </c>
      <c r="J32" s="6" t="s">
        <v>164</v>
      </c>
      <c r="K32" s="7">
        <f t="shared" si="2"/>
        <v>0.1989957266</v>
      </c>
    </row>
    <row r="33">
      <c r="A33" s="4">
        <v>33.0</v>
      </c>
      <c r="B33" s="5" t="s">
        <v>165</v>
      </c>
      <c r="C33" s="5" t="s">
        <v>165</v>
      </c>
      <c r="D33" s="5" t="s">
        <v>165</v>
      </c>
      <c r="E33" s="6" t="s">
        <v>85</v>
      </c>
      <c r="F33" s="6" t="s">
        <v>166</v>
      </c>
      <c r="G33" s="3" t="str">
        <f>IFERROR(__xludf.DUMMYFUNCTION("REGEXREPLACE(
D33,
""([一-龯々]+)\[([^\]]+)\]"",
""&lt;ruby&gt;$1&lt;rt&gt;$2&lt;/rt&gt;&lt;/ruby&gt;""
)&amp;""&lt;br&gt;&lt;div class=""""audio""""&gt;[sound:""&amp;C33&amp;"".mp3]&lt;/div&gt;"""),"そう&lt;br&gt;&lt;div class=""audio""&gt;[sound:そう.mp3]&lt;/div&gt;")</f>
        <v>そう&lt;br&gt;&lt;div class="audio"&gt;[sound:そう.mp3]&lt;/div&gt;</v>
      </c>
      <c r="H33" s="3" t="str">
        <f t="shared" si="1"/>
        <v>(adv): vậy</v>
      </c>
      <c r="I33" s="6" t="s">
        <v>167</v>
      </c>
      <c r="J33" s="6" t="s">
        <v>168</v>
      </c>
      <c r="K33" s="7">
        <f t="shared" si="2"/>
        <v>0.6857758472</v>
      </c>
    </row>
    <row r="34">
      <c r="A34" s="4">
        <v>34.0</v>
      </c>
      <c r="B34" s="5" t="s">
        <v>169</v>
      </c>
      <c r="C34" s="5" t="s">
        <v>170</v>
      </c>
      <c r="D34" s="5" t="s">
        <v>171</v>
      </c>
      <c r="E34" s="6" t="s">
        <v>24</v>
      </c>
      <c r="F34" s="6" t="s">
        <v>172</v>
      </c>
      <c r="G34" s="3" t="str">
        <f>IFERROR(__xludf.DUMMYFUNCTION("REGEXREPLACE(
D34,
""([一-龯々]+)\[([^\]]+)\]"",
""&lt;ruby&gt;$1&lt;rt&gt;$2&lt;/rt&gt;&lt;/ruby&gt;""
)&amp;""&lt;br&gt;&lt;div class=""""audio""""&gt;[sound:""&amp;C34&amp;"".mp3]&lt;/div&gt;"""),"&lt;ruby&gt;見&lt;rt&gt;み&lt;/rt&gt;&lt;/ruby&gt;る&lt;br&gt;&lt;div class=""audio""&gt;[sound:みる.mp3]&lt;/div&gt;")</f>
        <v>&lt;ruby&gt;見&lt;rt&gt;み&lt;/rt&gt;&lt;/ruby&gt;る&lt;br&gt;&lt;div class="audio"&gt;[sound:みる.mp3]&lt;/div&gt;</v>
      </c>
      <c r="H34" s="3" t="str">
        <f t="shared" si="1"/>
        <v>(v): xem</v>
      </c>
      <c r="I34" s="6" t="s">
        <v>173</v>
      </c>
      <c r="J34" s="6" t="s">
        <v>174</v>
      </c>
      <c r="K34" s="7">
        <f t="shared" si="2"/>
        <v>0.3279644195</v>
      </c>
    </row>
    <row r="35">
      <c r="A35" s="4">
        <v>35.0</v>
      </c>
      <c r="B35" s="5" t="s">
        <v>175</v>
      </c>
      <c r="C35" s="5" t="s">
        <v>176</v>
      </c>
      <c r="D35" s="5" t="s">
        <v>177</v>
      </c>
      <c r="E35" s="6" t="s">
        <v>24</v>
      </c>
      <c r="F35" s="6" t="s">
        <v>178</v>
      </c>
      <c r="G35" s="3" t="str">
        <f>IFERROR(__xludf.DUMMYFUNCTION("REGEXREPLACE(
D35,
""([一-龯々]+)\[([^\]]+)\]"",
""&lt;ruby&gt;$1&lt;rt&gt;$2&lt;/rt&gt;&lt;/ruby&gt;""
)&amp;""&lt;br&gt;&lt;div class=""""audio""""&gt;[sound:""&amp;C35&amp;"".mp3]&lt;/div&gt;"""),"&lt;ruby&gt;知&lt;rt&gt;し&lt;/rt&gt;&lt;/ruby&gt;る&lt;br&gt;&lt;div class=""audio""&gt;[sound:しる.mp3]&lt;/div&gt;")</f>
        <v>&lt;ruby&gt;知&lt;rt&gt;し&lt;/rt&gt;&lt;/ruby&gt;る&lt;br&gt;&lt;div class="audio"&gt;[sound:しる.mp3]&lt;/div&gt;</v>
      </c>
      <c r="H35" s="3" t="str">
        <f t="shared" si="1"/>
        <v>(v): biết</v>
      </c>
      <c r="I35" s="6" t="s">
        <v>179</v>
      </c>
      <c r="J35" s="6" t="s">
        <v>180</v>
      </c>
      <c r="K35" s="7">
        <f t="shared" si="2"/>
        <v>0.5853824826</v>
      </c>
    </row>
    <row r="36">
      <c r="A36" s="4">
        <v>36.0</v>
      </c>
      <c r="B36" s="5" t="s">
        <v>181</v>
      </c>
      <c r="C36" s="5" t="s">
        <v>182</v>
      </c>
      <c r="D36" s="5" t="s">
        <v>183</v>
      </c>
      <c r="E36" s="6" t="s">
        <v>24</v>
      </c>
      <c r="F36" s="6" t="s">
        <v>184</v>
      </c>
      <c r="G36" s="3" t="str">
        <f>IFERROR(__xludf.DUMMYFUNCTION("REGEXREPLACE(
D36,
""([一-龯々]+)\[([^\]]+)\]"",
""&lt;ruby&gt;$1&lt;rt&gt;$2&lt;/rt&gt;&lt;/ruby&gt;""
)&amp;""&lt;br&gt;&lt;div class=""""audio""""&gt;[sound:""&amp;C36&amp;"".mp3]&lt;/div&gt;"""),"&lt;ruby&gt;言&lt;rt&gt;い&lt;/rt&gt;&lt;/ruby&gt;う&lt;br&gt;&lt;div class=""audio""&gt;[sound:いう.mp3]&lt;/div&gt;")</f>
        <v>&lt;ruby&gt;言&lt;rt&gt;い&lt;/rt&gt;&lt;/ruby&gt;う&lt;br&gt;&lt;div class="audio"&gt;[sound:いう.mp3]&lt;/div&gt;</v>
      </c>
      <c r="H36" s="3" t="str">
        <f t="shared" si="1"/>
        <v>(v): nói</v>
      </c>
      <c r="I36" s="6" t="s">
        <v>185</v>
      </c>
      <c r="J36" s="6" t="s">
        <v>186</v>
      </c>
      <c r="K36" s="7">
        <f t="shared" si="2"/>
        <v>0.488157587</v>
      </c>
    </row>
    <row r="37">
      <c r="A37" s="4">
        <v>37.0</v>
      </c>
      <c r="B37" s="5" t="s">
        <v>187</v>
      </c>
      <c r="C37" s="5" t="s">
        <v>188</v>
      </c>
      <c r="D37" s="5" t="s">
        <v>189</v>
      </c>
      <c r="E37" s="6" t="s">
        <v>74</v>
      </c>
      <c r="F37" s="6" t="s">
        <v>190</v>
      </c>
      <c r="G37" s="3" t="str">
        <f>IFERROR(__xludf.DUMMYFUNCTION("REGEXREPLACE(
D37,
""([一-龯々]+)\[([^\]]+)\]"",
""&lt;ruby&gt;$1&lt;rt&gt;$2&lt;/rt&gt;&lt;/ruby&gt;""
)&amp;""&lt;br&gt;&lt;div class=""""audio""""&gt;[sound:""&amp;C37&amp;"".mp3]&lt;/div&gt;"""),"&lt;ruby&gt;口&lt;rt&gt;くち&lt;/rt&gt;&lt;/ruby&gt;&lt;br&gt;&lt;div class=""audio""&gt;[sound:くち.mp3]&lt;/div&gt;")</f>
        <v>&lt;ruby&gt;口&lt;rt&gt;くち&lt;/rt&gt;&lt;/ruby&gt;&lt;br&gt;&lt;div class="audio"&gt;[sound:くち.mp3]&lt;/div&gt;</v>
      </c>
      <c r="H37" s="3" t="str">
        <f t="shared" si="1"/>
        <v>(n): miệng</v>
      </c>
      <c r="I37" s="6" t="s">
        <v>191</v>
      </c>
      <c r="J37" s="6" t="s">
        <v>192</v>
      </c>
      <c r="K37" s="7">
        <f t="shared" si="2"/>
        <v>0.9540958162</v>
      </c>
    </row>
    <row r="38">
      <c r="A38" s="4">
        <v>38.0</v>
      </c>
      <c r="B38" s="5" t="s">
        <v>193</v>
      </c>
      <c r="C38" s="5" t="s">
        <v>194</v>
      </c>
      <c r="D38" s="5" t="s">
        <v>195</v>
      </c>
      <c r="E38" s="6" t="s">
        <v>74</v>
      </c>
      <c r="F38" s="6" t="s">
        <v>196</v>
      </c>
      <c r="G38" s="3" t="str">
        <f>IFERROR(__xludf.DUMMYFUNCTION("REGEXREPLACE(
D38,
""([一-龯々]+)\[([^\]]+)\]"",
""&lt;ruby&gt;$1&lt;rt&gt;$2&lt;/rt&gt;&lt;/ruby&gt;""
)&amp;""&lt;br&gt;&lt;div class=""""audio""""&gt;[sound:""&amp;C38&amp;"".mp3]&lt;/div&gt;"""),"&lt;ruby&gt;国&lt;rt&gt;くに&lt;/rt&gt;&lt;/ruby&gt;&lt;br&gt;&lt;div class=""audio""&gt;[sound:くに.mp3]&lt;/div&gt;")</f>
        <v>&lt;ruby&gt;国&lt;rt&gt;くに&lt;/rt&gt;&lt;/ruby&gt;&lt;br&gt;&lt;div class="audio"&gt;[sound:くに.mp3]&lt;/div&gt;</v>
      </c>
      <c r="H38" s="3" t="str">
        <f t="shared" si="1"/>
        <v>(n): quốc gia</v>
      </c>
      <c r="I38" s="6" t="s">
        <v>197</v>
      </c>
      <c r="J38" s="6" t="s">
        <v>198</v>
      </c>
      <c r="K38" s="7">
        <f t="shared" si="2"/>
        <v>0.4986519426</v>
      </c>
    </row>
    <row r="39">
      <c r="A39" s="4">
        <v>39.0</v>
      </c>
      <c r="B39" s="5" t="s">
        <v>199</v>
      </c>
      <c r="C39" s="5" t="s">
        <v>199</v>
      </c>
      <c r="D39" s="5" t="s">
        <v>199</v>
      </c>
      <c r="E39" s="6" t="s">
        <v>90</v>
      </c>
      <c r="F39" s="6" t="s">
        <v>200</v>
      </c>
      <c r="G39" s="3" t="str">
        <f>IFERROR(__xludf.DUMMYFUNCTION("REGEXREPLACE(
D39,
""([一-龯々]+)\[([^\]]+)\]"",
""&lt;ruby&gt;$1&lt;rt&gt;$2&lt;/rt&gt;&lt;/ruby&gt;""
)&amp;""&lt;br&gt;&lt;div class=""""audio""""&gt;[sound:""&amp;C39&amp;"".mp3]&lt;/div&gt;"""),"また&lt;br&gt;&lt;div class=""audio""&gt;[sound:また.mp3]&lt;/div&gt;")</f>
        <v>また&lt;br&gt;&lt;div class="audio"&gt;[sound:また.mp3]&lt;/div&gt;</v>
      </c>
      <c r="H39" s="3" t="str">
        <f t="shared" si="1"/>
        <v>(conj): ngoài ra</v>
      </c>
      <c r="I39" s="6" t="s">
        <v>201</v>
      </c>
      <c r="J39" s="6" t="s">
        <v>202</v>
      </c>
      <c r="K39" s="7">
        <f t="shared" si="2"/>
        <v>0.1673065426</v>
      </c>
    </row>
    <row r="40">
      <c r="A40" s="4">
        <v>40.0</v>
      </c>
      <c r="B40" s="5" t="s">
        <v>203</v>
      </c>
      <c r="C40" s="5" t="s">
        <v>204</v>
      </c>
      <c r="D40" s="5" t="s">
        <v>205</v>
      </c>
      <c r="E40" s="6" t="s">
        <v>24</v>
      </c>
      <c r="F40" s="6" t="s">
        <v>206</v>
      </c>
      <c r="G40" s="3" t="str">
        <f>IFERROR(__xludf.DUMMYFUNCTION("REGEXREPLACE(
D40,
""([一-龯々]+)\[([^\]]+)\]"",
""&lt;ruby&gt;$1&lt;rt&gt;$2&lt;/rt&gt;&lt;/ruby&gt;""
)&amp;""&lt;br&gt;&lt;div class=""""audio""""&gt;[sound:""&amp;C40&amp;"".mp3]&lt;/div&gt;"""),"&lt;ruby&gt;在&lt;rt&gt;あ&lt;/rt&gt;&lt;/ruby&gt;る&lt;br&gt;&lt;div class=""audio""&gt;[sound:ある.mp3]&lt;/div&gt;")</f>
        <v>&lt;ruby&gt;在&lt;rt&gt;あ&lt;/rt&gt;&lt;/ruby&gt;る&lt;br&gt;&lt;div class="audio"&gt;[sound:ある.mp3]&lt;/div&gt;</v>
      </c>
      <c r="H40" s="3" t="str">
        <f t="shared" si="1"/>
        <v>(v): tồn tại</v>
      </c>
      <c r="I40" s="6" t="s">
        <v>207</v>
      </c>
      <c r="J40" s="6" t="s">
        <v>208</v>
      </c>
      <c r="K40" s="7">
        <f t="shared" si="2"/>
        <v>0.5492959167</v>
      </c>
    </row>
    <row r="41">
      <c r="A41" s="4">
        <v>41.0</v>
      </c>
      <c r="B41" s="5" t="s">
        <v>209</v>
      </c>
      <c r="C41" s="5" t="s">
        <v>210</v>
      </c>
      <c r="D41" s="5" t="s">
        <v>211</v>
      </c>
      <c r="E41" s="6" t="s">
        <v>24</v>
      </c>
      <c r="F41" s="6" t="s">
        <v>212</v>
      </c>
      <c r="G41" s="3" t="str">
        <f>IFERROR(__xludf.DUMMYFUNCTION("REGEXREPLACE(
D41,
""([一-龯々]+)\[([^\]]+)\]"",
""&lt;ruby&gt;$1&lt;rt&gt;$2&lt;/rt&gt;&lt;/ruby&gt;""
)&amp;""&lt;br&gt;&lt;div class=""""audio""""&gt;[sound:""&amp;C41&amp;"".mp3]&lt;/div&gt;"""),"&lt;ruby&gt;取&lt;rt&gt;と&lt;/rt&gt;&lt;/ruby&gt;る&lt;br&gt;&lt;div class=""audio""&gt;[sound:とる.mp3]&lt;/div&gt;")</f>
        <v>&lt;ruby&gt;取&lt;rt&gt;と&lt;/rt&gt;&lt;/ruby&gt;る&lt;br&gt;&lt;div class="audio"&gt;[sound:とる.mp3]&lt;/div&gt;</v>
      </c>
      <c r="H41" s="3" t="str">
        <f t="shared" si="1"/>
        <v>(v): lấy</v>
      </c>
      <c r="I41" s="6" t="s">
        <v>213</v>
      </c>
      <c r="J41" s="6" t="s">
        <v>214</v>
      </c>
      <c r="K41" s="7">
        <f t="shared" si="2"/>
        <v>0.8497816353</v>
      </c>
    </row>
    <row r="42">
      <c r="A42" s="4">
        <v>42.0</v>
      </c>
      <c r="B42" s="5" t="s">
        <v>215</v>
      </c>
      <c r="C42" s="5" t="s">
        <v>216</v>
      </c>
      <c r="D42" s="5" t="s">
        <v>217</v>
      </c>
      <c r="E42" s="6" t="s">
        <v>24</v>
      </c>
      <c r="F42" s="6" t="s">
        <v>218</v>
      </c>
      <c r="G42" s="3" t="str">
        <f>IFERROR(__xludf.DUMMYFUNCTION("REGEXREPLACE(
D42,
""([一-龯々]+)\[([^\]]+)\]"",
""&lt;ruby&gt;$1&lt;rt&gt;$2&lt;/rt&gt;&lt;/ruby&gt;""
)&amp;""&lt;br&gt;&lt;div class=""""audio""""&gt;[sound:""&amp;C42&amp;"".mp3]&lt;/div&gt;"""),"&lt;ruby&gt;出&lt;rt&gt;で&lt;/rt&gt;&lt;/ruby&gt;る&lt;br&gt;&lt;div class=""audio""&gt;[sound:でる.mp3]&lt;/div&gt;")</f>
        <v>&lt;ruby&gt;出&lt;rt&gt;で&lt;/rt&gt;&lt;/ruby&gt;る&lt;br&gt;&lt;div class="audio"&gt;[sound:でる.mp3]&lt;/div&gt;</v>
      </c>
      <c r="H42" s="3" t="str">
        <f t="shared" si="1"/>
        <v>(v): đi ra</v>
      </c>
      <c r="I42" s="6" t="s">
        <v>219</v>
      </c>
      <c r="J42" s="6" t="s">
        <v>220</v>
      </c>
      <c r="K42" s="7">
        <f t="shared" si="2"/>
        <v>0.06304308674</v>
      </c>
    </row>
    <row r="43">
      <c r="A43" s="4">
        <v>43.0</v>
      </c>
      <c r="B43" s="5" t="s">
        <v>221</v>
      </c>
      <c r="C43" s="5" t="s">
        <v>221</v>
      </c>
      <c r="D43" s="5" t="s">
        <v>221</v>
      </c>
      <c r="E43" s="6" t="s">
        <v>85</v>
      </c>
      <c r="F43" s="6" t="s">
        <v>222</v>
      </c>
      <c r="G43" s="3" t="str">
        <f>IFERROR(__xludf.DUMMYFUNCTION("REGEXREPLACE(
D43,
""([一-龯々]+)\[([^\]]+)\]"",
""&lt;ruby&gt;$1&lt;rt&gt;$2&lt;/rt&gt;&lt;/ruby&gt;""
)&amp;""&lt;br&gt;&lt;div class=""""audio""""&gt;[sound:""&amp;C43&amp;"".mp3]&lt;/div&gt;"""),"まだ&lt;br&gt;&lt;div class=""audio""&gt;[sound:まだ.mp3]&lt;/div&gt;")</f>
        <v>まだ&lt;br&gt;&lt;div class="audio"&gt;[sound:まだ.mp3]&lt;/div&gt;</v>
      </c>
      <c r="H43" s="3" t="str">
        <f t="shared" si="1"/>
        <v>(adv): chưa</v>
      </c>
      <c r="I43" s="6" t="s">
        <v>223</v>
      </c>
      <c r="J43" s="6" t="s">
        <v>224</v>
      </c>
      <c r="K43" s="7">
        <f t="shared" si="2"/>
        <v>0.8043429083</v>
      </c>
    </row>
    <row r="44">
      <c r="A44" s="4">
        <v>44.0</v>
      </c>
      <c r="B44" s="5" t="s">
        <v>225</v>
      </c>
      <c r="C44" s="5" t="s">
        <v>226</v>
      </c>
      <c r="D44" s="5" t="s">
        <v>227</v>
      </c>
      <c r="E44" s="6" t="s">
        <v>11</v>
      </c>
      <c r="F44" s="6" t="s">
        <v>228</v>
      </c>
      <c r="G44" s="3" t="str">
        <f>IFERROR(__xludf.DUMMYFUNCTION("REGEXREPLACE(
D44,
""([一-龯々]+)\[([^\]]+)\]"",
""&lt;ruby&gt;$1&lt;rt&gt;$2&lt;/rt&gt;&lt;/ruby&gt;""
)&amp;""&lt;br&gt;&lt;div class=""""audio""""&gt;[sound:""&amp;C44&amp;"".mp3]&lt;/div&gt;"""),"&lt;ruby&gt;大&lt;rt&gt;おお&lt;/rt&gt;&lt;/ruby&gt;きい&lt;br&gt;&lt;div class=""audio""&gt;[sound:おおきい.mp3]&lt;/div&gt;")</f>
        <v>&lt;ruby&gt;大&lt;rt&gt;おお&lt;/rt&gt;&lt;/ruby&gt;きい&lt;br&gt;&lt;div class="audio"&gt;[sound:おおきい.mp3]&lt;/div&gt;</v>
      </c>
      <c r="H44" s="3" t="str">
        <f t="shared" si="1"/>
        <v>(adj): to</v>
      </c>
      <c r="I44" s="6" t="s">
        <v>229</v>
      </c>
      <c r="J44" s="6" t="s">
        <v>230</v>
      </c>
      <c r="K44" s="7">
        <f t="shared" si="2"/>
        <v>0.7318407883</v>
      </c>
    </row>
    <row r="45">
      <c r="A45" s="4">
        <v>45.0</v>
      </c>
      <c r="B45" s="5" t="s">
        <v>231</v>
      </c>
      <c r="C45" s="5" t="s">
        <v>232</v>
      </c>
      <c r="D45" s="5" t="s">
        <v>233</v>
      </c>
      <c r="E45" s="6" t="s">
        <v>11</v>
      </c>
      <c r="F45" s="6" t="s">
        <v>234</v>
      </c>
      <c r="G45" s="3" t="str">
        <f>IFERROR(__xludf.DUMMYFUNCTION("REGEXREPLACE(
D45,
""([一-龯々]+)\[([^\]]+)\]"",
""&lt;ruby&gt;$1&lt;rt&gt;$2&lt;/rt&gt;&lt;/ruby&gt;""
)&amp;""&lt;br&gt;&lt;div class=""""audio""""&gt;[sound:""&amp;C45&amp;"".mp3]&lt;/div&gt;"""),"&lt;ruby&gt;同&lt;rt&gt;おな&lt;/rt&gt;&lt;/ruby&gt;じ&lt;br&gt;&lt;div class=""audio""&gt;[sound:おなじ.mp3]&lt;/div&gt;")</f>
        <v>&lt;ruby&gt;同&lt;rt&gt;おな&lt;/rt&gt;&lt;/ruby&gt;じ&lt;br&gt;&lt;div class="audio"&gt;[sound:おなじ.mp3]&lt;/div&gt;</v>
      </c>
      <c r="H45" s="3" t="str">
        <f t="shared" si="1"/>
        <v>(adj): giống</v>
      </c>
      <c r="I45" s="6" t="s">
        <v>235</v>
      </c>
      <c r="J45" s="6" t="s">
        <v>236</v>
      </c>
      <c r="K45" s="7">
        <f t="shared" si="2"/>
        <v>0.9345662669</v>
      </c>
    </row>
    <row r="46">
      <c r="A46" s="4">
        <v>46.0</v>
      </c>
      <c r="B46" s="5" t="s">
        <v>237</v>
      </c>
      <c r="C46" s="5" t="s">
        <v>238</v>
      </c>
      <c r="D46" s="5" t="s">
        <v>239</v>
      </c>
      <c r="E46" s="6" t="s">
        <v>74</v>
      </c>
      <c r="F46" s="6" t="s">
        <v>240</v>
      </c>
      <c r="G46" s="3" t="str">
        <f>IFERROR(__xludf.DUMMYFUNCTION("REGEXREPLACE(
D46,
""([一-龯々]+)\[([^\]]+)\]"",
""&lt;ruby&gt;$1&lt;rt&gt;$2&lt;/rt&gt;&lt;/ruby&gt;""
)&amp;""&lt;br&gt;&lt;div class=""""audio""""&gt;[sound:""&amp;C46&amp;"".mp3]&lt;/div&gt;"""),"お&lt;ruby&gt;金&lt;rt&gt;かね&lt;/rt&gt;&lt;/ruby&gt;&lt;br&gt;&lt;div class=""audio""&gt;[sound:おかね.mp3]&lt;/div&gt;")</f>
        <v>お&lt;ruby&gt;金&lt;rt&gt;かね&lt;/rt&gt;&lt;/ruby&gt;&lt;br&gt;&lt;div class="audio"&gt;[sound:おかね.mp3]&lt;/div&gt;</v>
      </c>
      <c r="H46" s="3" t="str">
        <f t="shared" si="1"/>
        <v>(n): tiền</v>
      </c>
      <c r="I46" s="6" t="s">
        <v>241</v>
      </c>
      <c r="J46" s="6" t="s">
        <v>242</v>
      </c>
      <c r="K46" s="7">
        <f t="shared" si="2"/>
        <v>0.8363164602</v>
      </c>
    </row>
    <row r="47">
      <c r="A47" s="4">
        <v>47.0</v>
      </c>
      <c r="B47" s="5" t="s">
        <v>243</v>
      </c>
      <c r="C47" s="5" t="s">
        <v>244</v>
      </c>
      <c r="D47" s="5" t="s">
        <v>245</v>
      </c>
      <c r="E47" s="6" t="s">
        <v>24</v>
      </c>
      <c r="F47" s="6" t="s">
        <v>246</v>
      </c>
      <c r="G47" s="3" t="str">
        <f>IFERROR(__xludf.DUMMYFUNCTION("REGEXREPLACE(
D47,
""([一-龯々]+)\[([^\]]+)\]"",
""&lt;ruby&gt;$1&lt;rt&gt;$2&lt;/rt&gt;&lt;/ruby&gt;""
)&amp;""&lt;br&gt;&lt;div class=""""audio""""&gt;[sound:""&amp;C47&amp;"".mp3]&lt;/div&gt;"""),"&lt;ruby&gt;合&lt;rt&gt;あ&lt;/rt&gt;&lt;/ruby&gt;う&lt;br&gt;&lt;div class=""audio""&gt;[sound:あう.mp3]&lt;/div&gt;")</f>
        <v>&lt;ruby&gt;合&lt;rt&gt;あ&lt;/rt&gt;&lt;/ruby&gt;う&lt;br&gt;&lt;div class="audio"&gt;[sound:あう.mp3]&lt;/div&gt;</v>
      </c>
      <c r="H47" s="3" t="str">
        <f t="shared" si="1"/>
        <v>(v): hợp</v>
      </c>
      <c r="I47" s="6" t="s">
        <v>247</v>
      </c>
      <c r="J47" s="6" t="s">
        <v>248</v>
      </c>
      <c r="K47" s="7">
        <f t="shared" si="2"/>
        <v>0.4567738006</v>
      </c>
    </row>
    <row r="48">
      <c r="A48" s="4">
        <v>48.0</v>
      </c>
      <c r="B48" s="5" t="s">
        <v>249</v>
      </c>
      <c r="C48" s="5" t="s">
        <v>249</v>
      </c>
      <c r="D48" s="5" t="s">
        <v>249</v>
      </c>
      <c r="E48" s="6" t="s">
        <v>85</v>
      </c>
      <c r="F48" s="6" t="s">
        <v>250</v>
      </c>
      <c r="G48" s="3" t="str">
        <f>IFERROR(__xludf.DUMMYFUNCTION("REGEXREPLACE(
D48,
""([一-龯々]+)\[([^\]]+)\]"",
""&lt;ruby&gt;$1&lt;rt&gt;$2&lt;/rt&gt;&lt;/ruby&gt;""
)&amp;""&lt;br&gt;&lt;div class=""""audio""""&gt;[sound:""&amp;C48&amp;"".mp3]&lt;/div&gt;"""),"よく&lt;br&gt;&lt;div class=""audio""&gt;[sound:よく.mp3]&lt;/div&gt;")</f>
        <v>よく&lt;br&gt;&lt;div class="audio"&gt;[sound:よく.mp3]&lt;/div&gt;</v>
      </c>
      <c r="H48" s="3" t="str">
        <f t="shared" si="1"/>
        <v>(adv): thường</v>
      </c>
      <c r="I48" s="6" t="s">
        <v>251</v>
      </c>
      <c r="J48" s="6" t="s">
        <v>252</v>
      </c>
      <c r="K48" s="7">
        <f t="shared" si="2"/>
        <v>0.2494396567</v>
      </c>
    </row>
    <row r="49">
      <c r="A49" s="4">
        <v>49.0</v>
      </c>
      <c r="B49" s="5" t="s">
        <v>253</v>
      </c>
      <c r="C49" s="5" t="s">
        <v>253</v>
      </c>
      <c r="D49" s="5" t="s">
        <v>253</v>
      </c>
      <c r="E49" s="6" t="s">
        <v>24</v>
      </c>
      <c r="F49" s="6" t="s">
        <v>254</v>
      </c>
      <c r="G49" s="3" t="str">
        <f>IFERROR(__xludf.DUMMYFUNCTION("REGEXREPLACE(
D49,
""([一-龯々]+)\[([^\]]+)\]"",
""&lt;ruby&gt;$1&lt;rt&gt;$2&lt;/rt&gt;&lt;/ruby&gt;""
)&amp;""&lt;br&gt;&lt;div class=""""audio""""&gt;[sound:""&amp;C49&amp;"".mp3]&lt;/div&gt;"""),"かける&lt;br&gt;&lt;div class=""audio""&gt;[sound:かける.mp3]&lt;/div&gt;")</f>
        <v>かける&lt;br&gt;&lt;div class="audio"&gt;[sound:かける.mp3]&lt;/div&gt;</v>
      </c>
      <c r="H49" s="3" t="str">
        <f t="shared" si="1"/>
        <v>(v): treo</v>
      </c>
      <c r="I49" s="6" t="s">
        <v>255</v>
      </c>
      <c r="J49" s="6" t="s">
        <v>256</v>
      </c>
      <c r="K49" s="7">
        <f t="shared" si="2"/>
        <v>0.3762055922</v>
      </c>
    </row>
    <row r="50">
      <c r="A50" s="4">
        <v>50.0</v>
      </c>
      <c r="B50" s="5" t="s">
        <v>257</v>
      </c>
      <c r="C50" s="5" t="s">
        <v>257</v>
      </c>
      <c r="D50" s="5" t="s">
        <v>257</v>
      </c>
      <c r="E50" s="6" t="s">
        <v>44</v>
      </c>
      <c r="F50" s="6" t="s">
        <v>258</v>
      </c>
      <c r="G50" s="3" t="str">
        <f>IFERROR(__xludf.DUMMYFUNCTION("REGEXREPLACE(
D50,
""([一-龯々]+)\[([^\]]+)\]"",
""&lt;ruby&gt;$1&lt;rt&gt;$2&lt;/rt&gt;&lt;/ruby&gt;""
)&amp;""&lt;br&gt;&lt;div class=""""audio""""&gt;[sound:""&amp;C50&amp;"".mp3]&lt;/div&gt;"""),"いつ&lt;br&gt;&lt;div class=""audio""&gt;[sound:いつ.mp3]&lt;/div&gt;")</f>
        <v>いつ&lt;br&gt;&lt;div class="audio"&gt;[sound:いつ.mp3]&lt;/div&gt;</v>
      </c>
      <c r="H50" s="3" t="str">
        <f t="shared" si="1"/>
        <v>(pron): khi nào</v>
      </c>
      <c r="I50" s="6" t="s">
        <v>259</v>
      </c>
      <c r="J50" s="6" t="s">
        <v>260</v>
      </c>
      <c r="K50" s="7">
        <f t="shared" si="2"/>
        <v>0.6983683971</v>
      </c>
    </row>
    <row r="51">
      <c r="A51" s="4">
        <v>51.0</v>
      </c>
      <c r="B51" s="5" t="s">
        <v>261</v>
      </c>
      <c r="C51" s="5" t="s">
        <v>262</v>
      </c>
      <c r="D51" s="5" t="s">
        <v>263</v>
      </c>
      <c r="E51" s="6" t="s">
        <v>44</v>
      </c>
      <c r="F51" s="6" t="s">
        <v>264</v>
      </c>
      <c r="G51" s="3" t="str">
        <f>IFERROR(__xludf.DUMMYFUNCTION("REGEXREPLACE(
D51,
""([一-龯々]+)\[([^\]]+)\]"",
""&lt;ruby&gt;$1&lt;rt&gt;$2&lt;/rt&gt;&lt;/ruby&gt;""
)&amp;""&lt;br&gt;&lt;div class=""""audio""""&gt;[sound:""&amp;C51&amp;"".mp3]&lt;/div&gt;"""),"&lt;ruby&gt;何&lt;rt&gt;なに&lt;/rt&gt;&lt;/ruby&gt;&lt;br&gt;&lt;div class=""audio""&gt;[sound:なに.mp3]&lt;/div&gt;")</f>
        <v>&lt;ruby&gt;何&lt;rt&gt;なに&lt;/rt&gt;&lt;/ruby&gt;&lt;br&gt;&lt;div class="audio"&gt;[sound:なに.mp3]&lt;/div&gt;</v>
      </c>
      <c r="H51" s="3" t="str">
        <f t="shared" si="1"/>
        <v>(pron): cái gì</v>
      </c>
      <c r="I51" s="6" t="s">
        <v>265</v>
      </c>
      <c r="J51" s="6" t="s">
        <v>266</v>
      </c>
      <c r="K51" s="7">
        <f t="shared" si="2"/>
        <v>0.9930188119</v>
      </c>
    </row>
    <row r="52">
      <c r="A52" s="4">
        <v>52.0</v>
      </c>
      <c r="B52" s="5" t="s">
        <v>267</v>
      </c>
      <c r="C52" s="5" t="s">
        <v>267</v>
      </c>
      <c r="D52" s="5" t="s">
        <v>267</v>
      </c>
      <c r="E52" s="6" t="s">
        <v>33</v>
      </c>
      <c r="F52" s="6" t="s">
        <v>268</v>
      </c>
      <c r="G52" s="3" t="str">
        <f>IFERROR(__xludf.DUMMYFUNCTION("REGEXREPLACE(
D52,
""([一-龯々]+)\[([^\]]+)\]"",
""&lt;ruby&gt;$1&lt;rt&gt;$2&lt;/rt&gt;&lt;/ruby&gt;""
)&amp;""&lt;br&gt;&lt;div class=""""audio""""&gt;[sound:""&amp;C52&amp;"".mp3]&lt;/div&gt;"""),"こんにちは&lt;br&gt;&lt;div class=""audio""&gt;[sound:こんにちは.mp3]&lt;/div&gt;")</f>
        <v>こんにちは&lt;br&gt;&lt;div class="audio"&gt;[sound:こんにちは.mp3]&lt;/div&gt;</v>
      </c>
      <c r="H52" s="3" t="str">
        <f t="shared" si="1"/>
        <v>(int): xin chào</v>
      </c>
      <c r="I52" s="6" t="s">
        <v>269</v>
      </c>
      <c r="J52" s="6" t="s">
        <v>270</v>
      </c>
      <c r="K52" s="7">
        <f t="shared" si="2"/>
        <v>0.2341955718</v>
      </c>
    </row>
    <row r="53">
      <c r="A53" s="4">
        <v>53.0</v>
      </c>
      <c r="B53" s="5" t="s">
        <v>271</v>
      </c>
      <c r="C53" s="5" t="s">
        <v>271</v>
      </c>
      <c r="D53" s="5" t="s">
        <v>271</v>
      </c>
      <c r="E53" s="6" t="s">
        <v>24</v>
      </c>
      <c r="F53" s="6" t="s">
        <v>68</v>
      </c>
      <c r="G53" s="3" t="str">
        <f>IFERROR(__xludf.DUMMYFUNCTION("REGEXREPLACE(
D53,
""([一-龯々]+)\[([^\]]+)\]"",
""&lt;ruby&gt;$1&lt;rt&gt;$2&lt;/rt&gt;&lt;/ruby&gt;""
)&amp;""&lt;br&gt;&lt;div class=""""audio""""&gt;[sound:""&amp;C53&amp;"".mp3]&lt;/div&gt;"""),"やる&lt;br&gt;&lt;div class=""audio""&gt;[sound:やる.mp3]&lt;/div&gt;")</f>
        <v>やる&lt;br&gt;&lt;div class="audio"&gt;[sound:やる.mp3]&lt;/div&gt;</v>
      </c>
      <c r="H53" s="3" t="str">
        <f t="shared" si="1"/>
        <v>(v): làm</v>
      </c>
      <c r="I53" s="6" t="s">
        <v>272</v>
      </c>
      <c r="J53" s="6" t="s">
        <v>70</v>
      </c>
      <c r="K53" s="7">
        <f t="shared" si="2"/>
        <v>0.930861295</v>
      </c>
    </row>
    <row r="54">
      <c r="A54" s="4">
        <v>54.0</v>
      </c>
      <c r="B54" s="5" t="s">
        <v>273</v>
      </c>
      <c r="C54" s="5" t="s">
        <v>274</v>
      </c>
      <c r="D54" s="5" t="s">
        <v>275</v>
      </c>
      <c r="E54" s="6" t="s">
        <v>74</v>
      </c>
      <c r="F54" s="6" t="s">
        <v>276</v>
      </c>
      <c r="G54" s="3" t="str">
        <f>IFERROR(__xludf.DUMMYFUNCTION("REGEXREPLACE(
D54,
""([一-龯々]+)\[([^\]]+)\]"",
""&lt;ruby&gt;$1&lt;rt&gt;$2&lt;/rt&gt;&lt;/ruby&gt;""
)&amp;""&lt;br&gt;&lt;div class=""""audio""""&gt;[sound:""&amp;C54&amp;"".mp3]&lt;/div&gt;"""),"&lt;ruby&gt;事&lt;rt&gt;こと&lt;/rt&gt;&lt;/ruby&gt;&lt;br&gt;&lt;div class=""audio""&gt;[sound:こと.mp3]&lt;/div&gt;")</f>
        <v>&lt;ruby&gt;事&lt;rt&gt;こと&lt;/rt&gt;&lt;/ruby&gt;&lt;br&gt;&lt;div class="audio"&gt;[sound:こと.mp3]&lt;/div&gt;</v>
      </c>
      <c r="H54" s="3" t="str">
        <f t="shared" si="1"/>
        <v>(n): chuyện</v>
      </c>
      <c r="I54" s="6" t="s">
        <v>277</v>
      </c>
      <c r="J54" s="6" t="s">
        <v>278</v>
      </c>
      <c r="K54" s="7">
        <f t="shared" si="2"/>
        <v>0.5818036323</v>
      </c>
    </row>
    <row r="55">
      <c r="A55" s="4">
        <v>55.0</v>
      </c>
      <c r="B55" s="5" t="s">
        <v>279</v>
      </c>
      <c r="C55" s="5" t="s">
        <v>280</v>
      </c>
      <c r="D55" s="5" t="s">
        <v>281</v>
      </c>
      <c r="E55" s="6" t="s">
        <v>85</v>
      </c>
      <c r="F55" s="6" t="s">
        <v>103</v>
      </c>
      <c r="G55" s="3" t="str">
        <f>IFERROR(__xludf.DUMMYFUNCTION("REGEXREPLACE(
D55,
""([一-龯々]+)\[([^\]]+)\]"",
""&lt;ruby&gt;$1&lt;rt&gt;$2&lt;/rt&gt;&lt;/ruby&gt;""
)&amp;""&lt;br&gt;&lt;div class=""""audio""""&gt;[sound:""&amp;C55&amp;"".mp3]&lt;/div&gt;"""),"&lt;ruby&gt;少&lt;rt&gt;すこ&lt;/rt&gt;&lt;/ruby&gt;し&lt;br&gt;&lt;div class=""audio""&gt;[sound:すこし.mp3]&lt;/div&gt;")</f>
        <v>&lt;ruby&gt;少&lt;rt&gt;すこ&lt;/rt&gt;&lt;/ruby&gt;し&lt;br&gt;&lt;div class="audio"&gt;[sound:すこし.mp3]&lt;/div&gt;</v>
      </c>
      <c r="H55" s="3" t="str">
        <f t="shared" si="1"/>
        <v>(adv): một chút</v>
      </c>
      <c r="I55" s="6" t="s">
        <v>282</v>
      </c>
      <c r="J55" s="6" t="s">
        <v>283</v>
      </c>
      <c r="K55" s="7">
        <f t="shared" si="2"/>
        <v>0.6225283376</v>
      </c>
    </row>
    <row r="56">
      <c r="A56" s="4">
        <v>56.0</v>
      </c>
      <c r="B56" s="5" t="s">
        <v>284</v>
      </c>
      <c r="C56" s="5" t="s">
        <v>284</v>
      </c>
      <c r="D56" s="5" t="s">
        <v>284</v>
      </c>
      <c r="E56" s="6" t="s">
        <v>44</v>
      </c>
      <c r="F56" s="6" t="s">
        <v>285</v>
      </c>
      <c r="G56" s="3" t="str">
        <f>IFERROR(__xludf.DUMMYFUNCTION("REGEXREPLACE(
D56,
""([一-龯々]+)\[([^\]]+)\]"",
""&lt;ruby&gt;$1&lt;rt&gt;$2&lt;/rt&gt;&lt;/ruby&gt;""
)&amp;""&lt;br&gt;&lt;div class=""""audio""""&gt;[sound:""&amp;C56&amp;"".mp3]&lt;/div&gt;"""),"あなた&lt;br&gt;&lt;div class=""audio""&gt;[sound:あなた.mp3]&lt;/div&gt;")</f>
        <v>あなた&lt;br&gt;&lt;div class="audio"&gt;[sound:あなた.mp3]&lt;/div&gt;</v>
      </c>
      <c r="H56" s="3" t="str">
        <f t="shared" si="1"/>
        <v>(pron): bạn</v>
      </c>
      <c r="I56" s="6" t="s">
        <v>286</v>
      </c>
      <c r="J56" s="6" t="s">
        <v>287</v>
      </c>
      <c r="K56" s="7">
        <f t="shared" si="2"/>
        <v>0.3351453427</v>
      </c>
    </row>
    <row r="57">
      <c r="A57" s="4">
        <v>57.0</v>
      </c>
      <c r="B57" s="5" t="s">
        <v>288</v>
      </c>
      <c r="C57" s="5" t="s">
        <v>289</v>
      </c>
      <c r="D57" s="5" t="s">
        <v>290</v>
      </c>
      <c r="E57" s="6" t="s">
        <v>24</v>
      </c>
      <c r="F57" s="6" t="s">
        <v>291</v>
      </c>
      <c r="G57" s="3" t="str">
        <f>IFERROR(__xludf.DUMMYFUNCTION("REGEXREPLACE(
D57,
""([一-龯々]+)\[([^\]]+)\]"",
""&lt;ruby&gt;$1&lt;rt&gt;$2&lt;/rt&gt;&lt;/ruby&gt;""
)&amp;""&lt;br&gt;&lt;div class=""""audio""""&gt;[sound:""&amp;C57&amp;"".mp3]&lt;/div&gt;"""),"&lt;ruby&gt;居&lt;rt&gt;い&lt;/rt&gt;&lt;/ruby&gt;る&lt;br&gt;&lt;div class=""audio""&gt;[sound:いる.mp3]&lt;/div&gt;")</f>
        <v>&lt;ruby&gt;居&lt;rt&gt;い&lt;/rt&gt;&lt;/ruby&gt;る&lt;br&gt;&lt;div class="audio"&gt;[sound:いる.mp3]&lt;/div&gt;</v>
      </c>
      <c r="H57" s="3" t="str">
        <f t="shared" si="1"/>
        <v>(v): có</v>
      </c>
      <c r="I57" s="6" t="s">
        <v>292</v>
      </c>
      <c r="J57" s="6" t="s">
        <v>293</v>
      </c>
      <c r="K57" s="7">
        <f t="shared" si="2"/>
        <v>0.3250781777</v>
      </c>
    </row>
    <row r="58">
      <c r="A58" s="4">
        <v>58.0</v>
      </c>
      <c r="B58" s="5" t="s">
        <v>294</v>
      </c>
      <c r="C58" s="5" t="s">
        <v>295</v>
      </c>
      <c r="D58" s="5" t="s">
        <v>296</v>
      </c>
      <c r="E58" s="6" t="s">
        <v>74</v>
      </c>
      <c r="F58" s="6" t="s">
        <v>297</v>
      </c>
      <c r="G58" s="3" t="str">
        <f>IFERROR(__xludf.DUMMYFUNCTION("REGEXREPLACE(
D58,
""([一-龯々]+)\[([^\]]+)\]"",
""&lt;ruby&gt;$1&lt;rt&gt;$2&lt;/rt&gt;&lt;/ruby&gt;""
)&amp;""&lt;br&gt;&lt;div class=""""audio""""&gt;[sound:""&amp;C58&amp;"".mp3]&lt;/div&gt;"""),"&lt;ruby&gt;日本&lt;rt&gt;にほん&lt;/rt&gt;&lt;/ruby&gt;&lt;br&gt;&lt;div class=""audio""&gt;[sound:にほん.mp3]&lt;/div&gt;")</f>
        <v>&lt;ruby&gt;日本&lt;rt&gt;にほん&lt;/rt&gt;&lt;/ruby&gt;&lt;br&gt;&lt;div class="audio"&gt;[sound:にほん.mp3]&lt;/div&gt;</v>
      </c>
      <c r="H58" s="3" t="str">
        <f t="shared" si="1"/>
        <v>(n): nhật bản</v>
      </c>
      <c r="I58" s="6" t="s">
        <v>298</v>
      </c>
      <c r="J58" s="6" t="s">
        <v>299</v>
      </c>
      <c r="K58" s="7">
        <f t="shared" si="2"/>
        <v>0.3787541132</v>
      </c>
    </row>
    <row r="59">
      <c r="A59" s="4">
        <v>59.0</v>
      </c>
      <c r="B59" s="5" t="s">
        <v>300</v>
      </c>
      <c r="C59" s="5" t="s">
        <v>301</v>
      </c>
      <c r="D59" s="5" t="s">
        <v>302</v>
      </c>
      <c r="E59" s="6" t="s">
        <v>24</v>
      </c>
      <c r="F59" s="6" t="s">
        <v>303</v>
      </c>
      <c r="G59" s="3" t="str">
        <f>IFERROR(__xludf.DUMMYFUNCTION("REGEXREPLACE(
D59,
""([一-龯々]+)\[([^\]]+)\]"",
""&lt;ruby&gt;$1&lt;rt&gt;$2&lt;/rt&gt;&lt;/ruby&gt;""
)&amp;""&lt;br&gt;&lt;div class=""""audio""""&gt;[sound:""&amp;C59&amp;"".mp3]&lt;/div&gt;"""),"&lt;ruby&gt;始&lt;rt&gt;はじ&lt;/rt&gt;&lt;/ruby&gt;める&lt;br&gt;&lt;div class=""audio""&gt;[sound:はじめる.mp3]&lt;/div&gt;")</f>
        <v>&lt;ruby&gt;始&lt;rt&gt;はじ&lt;/rt&gt;&lt;/ruby&gt;める&lt;br&gt;&lt;div class="audio"&gt;[sound:はじめる.mp3]&lt;/div&gt;</v>
      </c>
      <c r="H59" s="3" t="str">
        <f t="shared" si="1"/>
        <v>(v): bắt đầu</v>
      </c>
      <c r="I59" s="6" t="s">
        <v>304</v>
      </c>
      <c r="J59" s="6" t="s">
        <v>305</v>
      </c>
      <c r="K59" s="7">
        <f t="shared" si="2"/>
        <v>0.00532506504</v>
      </c>
    </row>
    <row r="60">
      <c r="A60" s="4">
        <v>60.0</v>
      </c>
      <c r="B60" s="5" t="s">
        <v>306</v>
      </c>
      <c r="C60" s="5" t="s">
        <v>307</v>
      </c>
      <c r="D60" s="5" t="s">
        <v>308</v>
      </c>
      <c r="E60" s="6" t="s">
        <v>24</v>
      </c>
      <c r="F60" s="6" t="s">
        <v>309</v>
      </c>
      <c r="G60" s="3" t="str">
        <f>IFERROR(__xludf.DUMMYFUNCTION("REGEXREPLACE(
D60,
""([一-龯々]+)\[([^\]]+)\]"",
""&lt;ruby&gt;$1&lt;rt&gt;$2&lt;/rt&gt;&lt;/ruby&gt;""
)&amp;""&lt;br&gt;&lt;div class=""""audio""""&gt;[sound:""&amp;C60&amp;"".mp3]&lt;/div&gt;"""),"&lt;ruby&gt;出&lt;rt&gt;だ&lt;/rt&gt;&lt;/ruby&gt;す&lt;br&gt;&lt;div class=""audio""&gt;[sound:だす.mp3]&lt;/div&gt;")</f>
        <v>&lt;ruby&gt;出&lt;rt&gt;だ&lt;/rt&gt;&lt;/ruby&gt;す&lt;br&gt;&lt;div class="audio"&gt;[sound:だす.mp3]&lt;/div&gt;</v>
      </c>
      <c r="H60" s="3" t="str">
        <f t="shared" si="1"/>
        <v>(v): lấy ra</v>
      </c>
      <c r="I60" s="6" t="s">
        <v>310</v>
      </c>
      <c r="J60" s="6" t="s">
        <v>311</v>
      </c>
      <c r="K60" s="7">
        <f t="shared" si="2"/>
        <v>0.5840308144</v>
      </c>
    </row>
    <row r="61">
      <c r="A61" s="4">
        <v>61.0</v>
      </c>
      <c r="B61" s="5" t="s">
        <v>312</v>
      </c>
      <c r="C61" s="5" t="s">
        <v>312</v>
      </c>
      <c r="D61" s="5" t="s">
        <v>312</v>
      </c>
      <c r="E61" s="6" t="s">
        <v>63</v>
      </c>
      <c r="F61" s="6" t="s">
        <v>313</v>
      </c>
      <c r="G61" s="3" t="str">
        <f>IFERROR(__xludf.DUMMYFUNCTION("REGEXREPLACE(
D61,
""([一-龯々]+)\[([^\]]+)\]"",
""&lt;ruby&gt;$1&lt;rt&gt;$2&lt;/rt&gt;&lt;/ruby&gt;""
)&amp;""&lt;br&gt;&lt;div class=""""audio""""&gt;[sound:""&amp;C61&amp;"".mp3]&lt;/div&gt;"""),"より&lt;br&gt;&lt;div class=""audio""&gt;[sound:より.mp3]&lt;/div&gt;")</f>
        <v>より&lt;br&gt;&lt;div class="audio"&gt;[sound:より.mp3]&lt;/div&gt;</v>
      </c>
      <c r="H61" s="3" t="str">
        <f t="shared" si="1"/>
        <v>(prep): hơn</v>
      </c>
      <c r="I61" s="6" t="s">
        <v>314</v>
      </c>
      <c r="J61" s="6" t="s">
        <v>315</v>
      </c>
      <c r="K61" s="7">
        <f t="shared" si="2"/>
        <v>0.9735433379</v>
      </c>
    </row>
    <row r="62">
      <c r="A62" s="4">
        <v>62.0</v>
      </c>
      <c r="B62" s="5" t="s">
        <v>316</v>
      </c>
      <c r="C62" s="5" t="s">
        <v>316</v>
      </c>
      <c r="D62" s="5" t="s">
        <v>316</v>
      </c>
      <c r="E62" s="6" t="s">
        <v>24</v>
      </c>
      <c r="F62" s="6" t="s">
        <v>317</v>
      </c>
      <c r="G62" s="3" t="str">
        <f>IFERROR(__xludf.DUMMYFUNCTION("REGEXREPLACE(
D62,
""([一-龯々]+)\[([^\]]+)\]"",
""&lt;ruby&gt;$1&lt;rt&gt;$2&lt;/rt&gt;&lt;/ruby&gt;""
)&amp;""&lt;br&gt;&lt;div class=""""audio""""&gt;[sound:""&amp;C62&amp;"".mp3]&lt;/div&gt;"""),"もらう&lt;br&gt;&lt;div class=""audio""&gt;[sound:もらう.mp3]&lt;/div&gt;")</f>
        <v>もらう&lt;br&gt;&lt;div class="audio"&gt;[sound:もらう.mp3]&lt;/div&gt;</v>
      </c>
      <c r="H62" s="3" t="str">
        <f t="shared" si="1"/>
        <v>(v): nhận</v>
      </c>
      <c r="I62" s="6" t="s">
        <v>318</v>
      </c>
      <c r="J62" s="6" t="s">
        <v>319</v>
      </c>
      <c r="K62" s="7">
        <f t="shared" si="2"/>
        <v>0.7068639584</v>
      </c>
    </row>
    <row r="63">
      <c r="A63" s="4">
        <v>63.0</v>
      </c>
      <c r="B63" s="5" t="s">
        <v>320</v>
      </c>
      <c r="C63" s="5" t="s">
        <v>321</v>
      </c>
      <c r="D63" s="5" t="s">
        <v>322</v>
      </c>
      <c r="E63" s="6" t="s">
        <v>74</v>
      </c>
      <c r="F63" s="6" t="s">
        <v>323</v>
      </c>
      <c r="G63" s="3" t="str">
        <f>IFERROR(__xludf.DUMMYFUNCTION("REGEXREPLACE(
D63,
""([一-龯々]+)\[([^\]]+)\]"",
""&lt;ruby&gt;$1&lt;rt&gt;$2&lt;/rt&gt;&lt;/ruby&gt;""
)&amp;""&lt;br&gt;&lt;div class=""""audio""""&gt;[sound:""&amp;C63&amp;"".mp3]&lt;/div&gt;"""),"&lt;ruby&gt;水&lt;rt&gt;みず&lt;/rt&gt;&lt;/ruby&gt;&lt;br&gt;&lt;div class=""audio""&gt;[sound:みず.mp3]&lt;/div&gt;")</f>
        <v>&lt;ruby&gt;水&lt;rt&gt;みず&lt;/rt&gt;&lt;/ruby&gt;&lt;br&gt;&lt;div class="audio"&gt;[sound:みず.mp3]&lt;/div&gt;</v>
      </c>
      <c r="H63" s="3" t="str">
        <f t="shared" si="1"/>
        <v>(n): nước</v>
      </c>
      <c r="I63" s="6" t="s">
        <v>324</v>
      </c>
      <c r="J63" s="6" t="s">
        <v>325</v>
      </c>
      <c r="K63" s="7">
        <f t="shared" si="2"/>
        <v>0.03932292017</v>
      </c>
    </row>
    <row r="64">
      <c r="A64" s="4">
        <v>64.0</v>
      </c>
      <c r="B64" s="5" t="s">
        <v>326</v>
      </c>
      <c r="C64" s="5" t="s">
        <v>326</v>
      </c>
      <c r="D64" s="5" t="s">
        <v>326</v>
      </c>
      <c r="E64" s="6" t="s">
        <v>44</v>
      </c>
      <c r="F64" s="6" t="s">
        <v>16</v>
      </c>
      <c r="G64" s="3" t="str">
        <f>IFERROR(__xludf.DUMMYFUNCTION("REGEXREPLACE(
D64,
""([一-龯々]+)\[([^\]]+)\]"",
""&lt;ruby&gt;$1&lt;rt&gt;$2&lt;/rt&gt;&lt;/ruby&gt;""
)&amp;""&lt;br&gt;&lt;div class=""""audio""""&gt;[sound:""&amp;C64&amp;"".mp3]&lt;/div&gt;"""),"そこ&lt;br&gt;&lt;div class=""audio""&gt;[sound:そこ.mp3]&lt;/div&gt;")</f>
        <v>そこ&lt;br&gt;&lt;div class="audio"&gt;[sound:そこ.mp3]&lt;/div&gt;</v>
      </c>
      <c r="H64" s="3" t="str">
        <f t="shared" si="1"/>
        <v>(pron): đó</v>
      </c>
      <c r="I64" s="6" t="s">
        <v>327</v>
      </c>
      <c r="J64" s="6" t="s">
        <v>328</v>
      </c>
      <c r="K64" s="7">
        <f t="shared" si="2"/>
        <v>0.5375488066</v>
      </c>
    </row>
    <row r="65">
      <c r="A65" s="4">
        <v>65.0</v>
      </c>
      <c r="B65" s="5" t="s">
        <v>329</v>
      </c>
      <c r="C65" s="5" t="s">
        <v>330</v>
      </c>
      <c r="D65" s="5" t="s">
        <v>331</v>
      </c>
      <c r="E65" s="6" t="s">
        <v>74</v>
      </c>
      <c r="F65" s="6" t="s">
        <v>332</v>
      </c>
      <c r="G65" s="3" t="str">
        <f>IFERROR(__xludf.DUMMYFUNCTION("REGEXREPLACE(
D65,
""([一-龯々]+)\[([^\]]+)\]"",
""&lt;ruby&gt;$1&lt;rt&gt;$2&lt;/rt&gt;&lt;/ruby&gt;""
)&amp;""&lt;br&gt;&lt;div class=""""audio""""&gt;[sound:""&amp;C65&amp;"".mp3]&lt;/div&gt;"""),"&lt;ruby&gt;家&lt;rt&gt;いえ&lt;/rt&gt;&lt;/ruby&gt;&lt;br&gt;&lt;div class=""audio""&gt;[sound:いえ.mp3]&lt;/div&gt;")</f>
        <v>&lt;ruby&gt;家&lt;rt&gt;いえ&lt;/rt&gt;&lt;/ruby&gt;&lt;br&gt;&lt;div class="audio"&gt;[sound:いえ.mp3]&lt;/div&gt;</v>
      </c>
      <c r="H65" s="3" t="str">
        <f t="shared" si="1"/>
        <v>(n): nhà</v>
      </c>
      <c r="I65" s="6" t="s">
        <v>333</v>
      </c>
      <c r="J65" s="6" t="s">
        <v>334</v>
      </c>
      <c r="K65" s="7">
        <f t="shared" si="2"/>
        <v>0.5127605979</v>
      </c>
    </row>
    <row r="66">
      <c r="A66" s="4">
        <v>66.0</v>
      </c>
      <c r="B66" s="5" t="s">
        <v>335</v>
      </c>
      <c r="C66" s="5" t="s">
        <v>204</v>
      </c>
      <c r="D66" s="5" t="s">
        <v>336</v>
      </c>
      <c r="E66" s="6" t="s">
        <v>24</v>
      </c>
      <c r="F66" s="6" t="s">
        <v>291</v>
      </c>
      <c r="G66" s="3" t="str">
        <f>IFERROR(__xludf.DUMMYFUNCTION("REGEXREPLACE(
D66,
""([一-龯々]+)\[([^\]]+)\]"",
""&lt;ruby&gt;$1&lt;rt&gt;$2&lt;/rt&gt;&lt;/ruby&gt;""
)&amp;""&lt;br&gt;&lt;div class=""""audio""""&gt;[sound:""&amp;C66&amp;"".mp3]&lt;/div&gt;"""),"&lt;ruby&gt;有&lt;rt&gt;あ&lt;/rt&gt;&lt;/ruby&gt;る&lt;br&gt;&lt;div class=""audio""&gt;[sound:ある.mp3]&lt;/div&gt;")</f>
        <v>&lt;ruby&gt;有&lt;rt&gt;あ&lt;/rt&gt;&lt;/ruby&gt;る&lt;br&gt;&lt;div class="audio"&gt;[sound:ある.mp3]&lt;/div&gt;</v>
      </c>
      <c r="H66" s="3" t="str">
        <f t="shared" si="1"/>
        <v>(v): có</v>
      </c>
      <c r="I66" s="6" t="s">
        <v>337</v>
      </c>
      <c r="J66" s="6" t="s">
        <v>338</v>
      </c>
      <c r="K66" s="7">
        <f t="shared" si="2"/>
        <v>0.08903637777</v>
      </c>
    </row>
    <row r="67">
      <c r="A67" s="4">
        <v>67.0</v>
      </c>
      <c r="B67" s="5" t="s">
        <v>339</v>
      </c>
      <c r="C67" s="5" t="s">
        <v>339</v>
      </c>
      <c r="D67" s="5" t="s">
        <v>339</v>
      </c>
      <c r="E67" s="6" t="s">
        <v>44</v>
      </c>
      <c r="F67" s="6" t="s">
        <v>332</v>
      </c>
      <c r="G67" s="3" t="str">
        <f>IFERROR(__xludf.DUMMYFUNCTION("REGEXREPLACE(
D67,
""([一-龯々]+)\[([^\]]+)\]"",
""&lt;ruby&gt;$1&lt;rt&gt;$2&lt;/rt&gt;&lt;/ruby&gt;""
)&amp;""&lt;br&gt;&lt;div class=""""audio""""&gt;[sound:""&amp;C67&amp;"".mp3]&lt;/div&gt;"""),"うち&lt;br&gt;&lt;div class=""audio""&gt;[sound:うち.mp3]&lt;/div&gt;")</f>
        <v>うち&lt;br&gt;&lt;div class="audio"&gt;[sound:うち.mp3]&lt;/div&gt;</v>
      </c>
      <c r="H67" s="3" t="str">
        <f t="shared" si="1"/>
        <v>(pron): nhà</v>
      </c>
      <c r="I67" s="6" t="s">
        <v>340</v>
      </c>
      <c r="J67" s="6" t="s">
        <v>341</v>
      </c>
      <c r="K67" s="7">
        <f t="shared" si="2"/>
        <v>0.323622572</v>
      </c>
    </row>
    <row r="68">
      <c r="A68" s="4">
        <v>68.0</v>
      </c>
      <c r="B68" s="5" t="s">
        <v>342</v>
      </c>
      <c r="C68" s="5" t="s">
        <v>244</v>
      </c>
      <c r="D68" s="5" t="s">
        <v>343</v>
      </c>
      <c r="E68" s="6" t="s">
        <v>24</v>
      </c>
      <c r="F68" s="6" t="s">
        <v>344</v>
      </c>
      <c r="G68" s="3" t="str">
        <f>IFERROR(__xludf.DUMMYFUNCTION("REGEXREPLACE(
D68,
""([一-龯々]+)\[([^\]]+)\]"",
""&lt;ruby&gt;$1&lt;rt&gt;$2&lt;/rt&gt;&lt;/ruby&gt;""
)&amp;""&lt;br&gt;&lt;div class=""""audio""""&gt;[sound:""&amp;C68&amp;"".mp3]&lt;/div&gt;"""),"&lt;ruby&gt;会&lt;rt&gt;あ&lt;/rt&gt;&lt;/ruby&gt;う&lt;br&gt;&lt;div class=""audio""&gt;[sound:あう.mp3]&lt;/div&gt;")</f>
        <v>&lt;ruby&gt;会&lt;rt&gt;あ&lt;/rt&gt;&lt;/ruby&gt;う&lt;br&gt;&lt;div class="audio"&gt;[sound:あう.mp3]&lt;/div&gt;</v>
      </c>
      <c r="H68" s="3" t="str">
        <f t="shared" si="1"/>
        <v>(v): gặp</v>
      </c>
      <c r="I68" s="6" t="s">
        <v>345</v>
      </c>
      <c r="J68" s="6" t="s">
        <v>346</v>
      </c>
      <c r="K68" s="7">
        <f t="shared" si="2"/>
        <v>0.8976484426</v>
      </c>
    </row>
    <row r="69">
      <c r="A69" s="4">
        <v>69.0</v>
      </c>
      <c r="B69" s="5" t="s">
        <v>347</v>
      </c>
      <c r="C69" s="5" t="s">
        <v>347</v>
      </c>
      <c r="D69" s="5" t="s">
        <v>347</v>
      </c>
      <c r="E69" s="6" t="s">
        <v>90</v>
      </c>
      <c r="F69" s="6" t="s">
        <v>348</v>
      </c>
      <c r="G69" s="3" t="str">
        <f>IFERROR(__xludf.DUMMYFUNCTION("REGEXREPLACE(
D69,
""([一-龯々]+)\[([^\]]+)\]"",
""&lt;ruby&gt;$1&lt;rt&gt;$2&lt;/rt&gt;&lt;/ruby&gt;""
)&amp;""&lt;br&gt;&lt;div class=""""audio""""&gt;[sound:""&amp;C69&amp;"".mp3]&lt;/div&gt;"""),"そして&lt;br&gt;&lt;div class=""audio""&gt;[sound:そして.mp3]&lt;/div&gt;")</f>
        <v>そして&lt;br&gt;&lt;div class="audio"&gt;[sound:そして.mp3]&lt;/div&gt;</v>
      </c>
      <c r="H69" s="3" t="str">
        <f t="shared" si="1"/>
        <v>(conj): và</v>
      </c>
      <c r="I69" s="6" t="s">
        <v>349</v>
      </c>
      <c r="J69" s="6" t="s">
        <v>350</v>
      </c>
      <c r="K69" s="7">
        <f t="shared" si="2"/>
        <v>0.3309683989</v>
      </c>
    </row>
    <row r="70">
      <c r="A70" s="4">
        <v>70.0</v>
      </c>
      <c r="B70" s="5" t="s">
        <v>351</v>
      </c>
      <c r="C70" s="5" t="s">
        <v>351</v>
      </c>
      <c r="D70" s="5" t="s">
        <v>351</v>
      </c>
      <c r="E70" s="6" t="s">
        <v>24</v>
      </c>
      <c r="F70" s="6" t="s">
        <v>352</v>
      </c>
      <c r="G70" s="3" t="str">
        <f>IFERROR(__xludf.DUMMYFUNCTION("REGEXREPLACE(
D70,
""([一-龯々]+)\[([^\]]+)\]"",
""&lt;ruby&gt;$1&lt;rt&gt;$2&lt;/rt&gt;&lt;/ruby&gt;""
)&amp;""&lt;br&gt;&lt;div class=""""audio""""&gt;[sound:""&amp;C70&amp;"".mp3]&lt;/div&gt;"""),"つける&lt;br&gt;&lt;div class=""audio""&gt;[sound:つける.mp3]&lt;/div&gt;")</f>
        <v>つける&lt;br&gt;&lt;div class="audio"&gt;[sound:つける.mp3]&lt;/div&gt;</v>
      </c>
      <c r="H70" s="3" t="str">
        <f t="shared" si="1"/>
        <v>(v): bật</v>
      </c>
      <c r="I70" s="6" t="s">
        <v>353</v>
      </c>
      <c r="J70" s="6" t="s">
        <v>354</v>
      </c>
      <c r="K70" s="7">
        <f t="shared" si="2"/>
        <v>0.1220466672</v>
      </c>
    </row>
    <row r="71">
      <c r="A71" s="4">
        <v>71.0</v>
      </c>
      <c r="B71" s="5" t="s">
        <v>355</v>
      </c>
      <c r="C71" s="5" t="s">
        <v>356</v>
      </c>
      <c r="D71" s="5" t="s">
        <v>357</v>
      </c>
      <c r="E71" s="6" t="s">
        <v>74</v>
      </c>
      <c r="F71" s="6" t="s">
        <v>358</v>
      </c>
      <c r="G71" s="3" t="str">
        <f>IFERROR(__xludf.DUMMYFUNCTION("REGEXREPLACE(
D71,
""([一-龯々]+)\[([^\]]+)\]"",
""&lt;ruby&gt;$1&lt;rt&gt;$2&lt;/rt&gt;&lt;/ruby&gt;""
)&amp;""&lt;br&gt;&lt;div class=""""audio""""&gt;[sound:""&amp;C71&amp;"".mp3]&lt;/div&gt;"""),"&lt;ruby&gt;手&lt;rt&gt;て&lt;/rt&gt;&lt;/ruby&gt;&lt;br&gt;&lt;div class=""audio""&gt;[sound:て.mp3]&lt;/div&gt;")</f>
        <v>&lt;ruby&gt;手&lt;rt&gt;て&lt;/rt&gt;&lt;/ruby&gt;&lt;br&gt;&lt;div class="audio"&gt;[sound:て.mp3]&lt;/div&gt;</v>
      </c>
      <c r="H71" s="3" t="str">
        <f t="shared" si="1"/>
        <v>(n): tay</v>
      </c>
      <c r="I71" s="6" t="s">
        <v>359</v>
      </c>
      <c r="J71" s="6" t="s">
        <v>360</v>
      </c>
      <c r="K71" s="7">
        <f t="shared" si="2"/>
        <v>0.9493036965</v>
      </c>
    </row>
    <row r="72">
      <c r="A72" s="4">
        <v>72.0</v>
      </c>
      <c r="B72" s="5" t="s">
        <v>361</v>
      </c>
      <c r="C72" s="5" t="s">
        <v>362</v>
      </c>
      <c r="D72" s="5" t="s">
        <v>363</v>
      </c>
      <c r="E72" s="6" t="s">
        <v>24</v>
      </c>
      <c r="F72" s="6" t="s">
        <v>364</v>
      </c>
      <c r="G72" s="3" t="str">
        <f>IFERROR(__xludf.DUMMYFUNCTION("REGEXREPLACE(
D72,
""([一-龯々]+)\[([^\]]+)\]"",
""&lt;ruby&gt;$1&lt;rt&gt;$2&lt;/rt&gt;&lt;/ruby&gt;""
)&amp;""&lt;br&gt;&lt;div class=""""audio""""&gt;[sound:""&amp;C72&amp;"".mp3]&lt;/div&gt;"""),"&lt;ruby&gt;持&lt;rt&gt;も&lt;/rt&gt;&lt;/ruby&gt;つ&lt;br&gt;&lt;div class=""audio""&gt;[sound:もつ.mp3]&lt;/div&gt;")</f>
        <v>&lt;ruby&gt;持&lt;rt&gt;も&lt;/rt&gt;&lt;/ruby&gt;つ&lt;br&gt;&lt;div class="audio"&gt;[sound:もつ.mp3]&lt;/div&gt;</v>
      </c>
      <c r="H72" s="3" t="str">
        <f t="shared" si="1"/>
        <v>(v): cầm</v>
      </c>
      <c r="I72" s="6" t="s">
        <v>365</v>
      </c>
      <c r="J72" s="6" t="s">
        <v>366</v>
      </c>
      <c r="K72" s="7">
        <f t="shared" si="2"/>
        <v>0.9100773078</v>
      </c>
    </row>
    <row r="73">
      <c r="A73" s="4">
        <v>73.0</v>
      </c>
      <c r="B73" s="5" t="s">
        <v>367</v>
      </c>
      <c r="C73" s="5" t="s">
        <v>368</v>
      </c>
      <c r="D73" s="5" t="s">
        <v>369</v>
      </c>
      <c r="E73" s="6" t="s">
        <v>24</v>
      </c>
      <c r="F73" s="6" t="s">
        <v>370</v>
      </c>
      <c r="G73" s="3" t="str">
        <f>IFERROR(__xludf.DUMMYFUNCTION("REGEXREPLACE(
D73,
""([一-龯々]+)\[([^\]]+)\]"",
""&lt;ruby&gt;$1&lt;rt&gt;$2&lt;/rt&gt;&lt;/ruby&gt;""
)&amp;""&lt;br&gt;&lt;div class=""""audio""""&gt;[sound:""&amp;C73&amp;"".mp3]&lt;/div&gt;"""),"&lt;ruby&gt;帰&lt;rt&gt;かえ&lt;/rt&gt;&lt;/ruby&gt;る&lt;br&gt;&lt;div class=""audio""&gt;[sound:かえる.mp3]&lt;/div&gt;")</f>
        <v>&lt;ruby&gt;帰&lt;rt&gt;かえ&lt;/rt&gt;&lt;/ruby&gt;る&lt;br&gt;&lt;div class="audio"&gt;[sound:かえる.mp3]&lt;/div&gt;</v>
      </c>
      <c r="H73" s="3" t="str">
        <f t="shared" si="1"/>
        <v>(v): về</v>
      </c>
      <c r="I73" s="6" t="s">
        <v>371</v>
      </c>
      <c r="J73" s="6" t="s">
        <v>372</v>
      </c>
      <c r="K73" s="7">
        <f t="shared" si="2"/>
        <v>0.1310748147</v>
      </c>
    </row>
    <row r="74">
      <c r="A74" s="4">
        <v>74.0</v>
      </c>
      <c r="B74" s="5" t="s">
        <v>373</v>
      </c>
      <c r="C74" s="5" t="s">
        <v>374</v>
      </c>
      <c r="D74" s="5" t="s">
        <v>375</v>
      </c>
      <c r="E74" s="6" t="s">
        <v>44</v>
      </c>
      <c r="F74" s="6" t="s">
        <v>376</v>
      </c>
      <c r="G74" s="3" t="str">
        <f>IFERROR(__xludf.DUMMYFUNCTION("REGEXREPLACE(
D74,
""([一-龯々]+)\[([^\]]+)\]"",
""&lt;ruby&gt;$1&lt;rt&gt;$2&lt;/rt&gt;&lt;/ruby&gt;""
)&amp;""&lt;br&gt;&lt;div class=""""audio""""&gt;[sound:""&amp;C74&amp;"".mp3]&lt;/div&gt;"""),"&lt;ruby&gt;俺&lt;rt&gt;おれ&lt;/rt&gt;&lt;/ruby&gt;&lt;br&gt;&lt;div class=""audio""&gt;[sound:おれ.mp3]&lt;/div&gt;")</f>
        <v>&lt;ruby&gt;俺&lt;rt&gt;おれ&lt;/rt&gt;&lt;/ruby&gt;&lt;br&gt;&lt;div class="audio"&gt;[sound:おれ.mp3]&lt;/div&gt;</v>
      </c>
      <c r="H74" s="3" t="str">
        <f t="shared" si="1"/>
        <v>(pron): tao</v>
      </c>
      <c r="I74" s="6" t="s">
        <v>377</v>
      </c>
      <c r="J74" s="6" t="s">
        <v>378</v>
      </c>
      <c r="K74" s="7">
        <f t="shared" si="2"/>
        <v>0.6358824011</v>
      </c>
    </row>
    <row r="75">
      <c r="A75" s="4">
        <v>75.0</v>
      </c>
      <c r="B75" s="5" t="s">
        <v>379</v>
      </c>
      <c r="C75" s="5" t="s">
        <v>380</v>
      </c>
      <c r="D75" s="5" t="s">
        <v>381</v>
      </c>
      <c r="E75" s="6" t="s">
        <v>74</v>
      </c>
      <c r="F75" s="6" t="s">
        <v>382</v>
      </c>
      <c r="G75" s="3" t="str">
        <f>IFERROR(__xludf.DUMMYFUNCTION("REGEXREPLACE(
D75,
""([一-龯々]+)\[([^\]]+)\]"",
""&lt;ruby&gt;$1&lt;rt&gt;$2&lt;/rt&gt;&lt;/ruby&gt;""
)&amp;""&lt;br&gt;&lt;div class=""""audio""""&gt;[sound:""&amp;C75&amp;"".mp3]&lt;/div&gt;"""),"&lt;ruby&gt;名前&lt;rt&gt;なまえ&lt;/rt&gt;&lt;/ruby&gt;&lt;br&gt;&lt;div class=""audio""&gt;[sound:なまえ.mp3]&lt;/div&gt;")</f>
        <v>&lt;ruby&gt;名前&lt;rt&gt;なまえ&lt;/rt&gt;&lt;/ruby&gt;&lt;br&gt;&lt;div class="audio"&gt;[sound:なまえ.mp3]&lt;/div&gt;</v>
      </c>
      <c r="H75" s="3" t="str">
        <f t="shared" si="1"/>
        <v>(n): tên</v>
      </c>
      <c r="I75" s="6" t="s">
        <v>383</v>
      </c>
      <c r="J75" s="6" t="s">
        <v>384</v>
      </c>
      <c r="K75" s="7">
        <f t="shared" si="2"/>
        <v>0.5788036057</v>
      </c>
    </row>
    <row r="76">
      <c r="A76" s="4">
        <v>76.0</v>
      </c>
      <c r="B76" s="5" t="s">
        <v>385</v>
      </c>
      <c r="C76" s="5" t="s">
        <v>386</v>
      </c>
      <c r="D76" s="5" t="s">
        <v>387</v>
      </c>
      <c r="E76" s="6" t="s">
        <v>74</v>
      </c>
      <c r="F76" s="6" t="s">
        <v>388</v>
      </c>
      <c r="G76" s="3" t="str">
        <f>IFERROR(__xludf.DUMMYFUNCTION("REGEXREPLACE(
D76,
""([一-龯々]+)\[([^\]]+)\]"",
""&lt;ruby&gt;$1&lt;rt&gt;$2&lt;/rt&gt;&lt;/ruby&gt;""
)&amp;""&lt;br&gt;&lt;div class=""""audio""""&gt;[sound:""&amp;C76&amp;"".mp3]&lt;/div&gt;"""),"&lt;ruby&gt;間&lt;rt&gt;あいだ&lt;/rt&gt;&lt;/ruby&gt;&lt;br&gt;&lt;div class=""audio""&gt;[sound:あいだ.mp3]&lt;/div&gt;")</f>
        <v>&lt;ruby&gt;間&lt;rt&gt;あいだ&lt;/rt&gt;&lt;/ruby&gt;&lt;br&gt;&lt;div class="audio"&gt;[sound:あいだ.mp3]&lt;/div&gt;</v>
      </c>
      <c r="H76" s="3" t="str">
        <f t="shared" si="1"/>
        <v>(n): khoảng thời gian</v>
      </c>
      <c r="I76" s="6" t="s">
        <v>389</v>
      </c>
      <c r="J76" s="6" t="s">
        <v>390</v>
      </c>
      <c r="K76" s="7">
        <f t="shared" si="2"/>
        <v>0.8462606161</v>
      </c>
    </row>
    <row r="77">
      <c r="A77" s="4">
        <v>77.0</v>
      </c>
      <c r="B77" s="5" t="s">
        <v>391</v>
      </c>
      <c r="C77" s="5" t="s">
        <v>392</v>
      </c>
      <c r="D77" s="5" t="s">
        <v>393</v>
      </c>
      <c r="E77" s="6" t="s">
        <v>74</v>
      </c>
      <c r="F77" s="6" t="s">
        <v>394</v>
      </c>
      <c r="G77" s="3" t="str">
        <f>IFERROR(__xludf.DUMMYFUNCTION("REGEXREPLACE(
D77,
""([一-龯々]+)\[([^\]]+)\]"",
""&lt;ruby&gt;$1&lt;rt&gt;$2&lt;/rt&gt;&lt;/ruby&gt;""
)&amp;""&lt;br&gt;&lt;div class=""""audio""""&gt;[sound:""&amp;C77&amp;"".mp3]&lt;/div&gt;"""),"&lt;ruby&gt;場合&lt;rt&gt;ばあい&lt;/rt&gt;&lt;/ruby&gt;&lt;br&gt;&lt;div class=""audio""&gt;[sound:ばあい.mp3]&lt;/div&gt;")</f>
        <v>&lt;ruby&gt;場合&lt;rt&gt;ばあい&lt;/rt&gt;&lt;/ruby&gt;&lt;br&gt;&lt;div class="audio"&gt;[sound:ばあい.mp3]&lt;/div&gt;</v>
      </c>
      <c r="H77" s="3" t="str">
        <f t="shared" si="1"/>
        <v>(n): trường hợp</v>
      </c>
      <c r="I77" s="6" t="s">
        <v>395</v>
      </c>
      <c r="J77" s="6" t="s">
        <v>396</v>
      </c>
      <c r="K77" s="7">
        <f t="shared" si="2"/>
        <v>0.576078681</v>
      </c>
    </row>
    <row r="78">
      <c r="A78" s="4">
        <v>78.0</v>
      </c>
      <c r="B78" s="5" t="s">
        <v>397</v>
      </c>
      <c r="C78" s="5" t="s">
        <v>398</v>
      </c>
      <c r="D78" s="5" t="s">
        <v>399</v>
      </c>
      <c r="E78" s="6" t="s">
        <v>74</v>
      </c>
      <c r="F78" s="6" t="s">
        <v>400</v>
      </c>
      <c r="G78" s="3" t="str">
        <f>IFERROR(__xludf.DUMMYFUNCTION("REGEXREPLACE(
D78,
""([一-龯々]+)\[([^\]]+)\]"",
""&lt;ruby&gt;$1&lt;rt&gt;$2&lt;/rt&gt;&lt;/ruby&gt;""
)&amp;""&lt;br&gt;&lt;div class=""""audio""""&gt;[sound:""&amp;C78&amp;"".mp3]&lt;/div&gt;"""),"&lt;ruby&gt;学校&lt;rt&gt;がっこう&lt;/rt&gt;&lt;/ruby&gt;&lt;br&gt;&lt;div class=""audio""&gt;[sound:がっこう.mp3]&lt;/div&gt;")</f>
        <v>&lt;ruby&gt;学校&lt;rt&gt;がっこう&lt;/rt&gt;&lt;/ruby&gt;&lt;br&gt;&lt;div class="audio"&gt;[sound:がっこう.mp3]&lt;/div&gt;</v>
      </c>
      <c r="H78" s="3" t="str">
        <f t="shared" si="1"/>
        <v>(n): trường học</v>
      </c>
      <c r="I78" s="6" t="s">
        <v>401</v>
      </c>
      <c r="J78" s="6" t="s">
        <v>402</v>
      </c>
      <c r="K78" s="7">
        <f t="shared" si="2"/>
        <v>0.6786805521</v>
      </c>
    </row>
    <row r="79">
      <c r="A79" s="4">
        <v>79.0</v>
      </c>
      <c r="B79" s="5" t="s">
        <v>403</v>
      </c>
      <c r="C79" s="5" t="s">
        <v>404</v>
      </c>
      <c r="D79" s="5" t="s">
        <v>405</v>
      </c>
      <c r="E79" s="6" t="s">
        <v>74</v>
      </c>
      <c r="F79" s="6" t="s">
        <v>406</v>
      </c>
      <c r="G79" s="3" t="str">
        <f>IFERROR(__xludf.DUMMYFUNCTION("REGEXREPLACE(
D79,
""([一-龯々]+)\[([^\]]+)\]"",
""&lt;ruby&gt;$1&lt;rt&gt;$2&lt;/rt&gt;&lt;/ruby&gt;""
)&amp;""&lt;br&gt;&lt;div class=""""audio""""&gt;[sound:""&amp;C79&amp;"".mp3]&lt;/div&gt;"""),"&lt;ruby&gt;大学&lt;rt&gt;だいがく&lt;/rt&gt;&lt;/ruby&gt;&lt;br&gt;&lt;div class=""audio""&gt;[sound:だいがく.mp3]&lt;/div&gt;")</f>
        <v>&lt;ruby&gt;大学&lt;rt&gt;だいがく&lt;/rt&gt;&lt;/ruby&gt;&lt;br&gt;&lt;div class="audio"&gt;[sound:だいがく.mp3]&lt;/div&gt;</v>
      </c>
      <c r="H79" s="3" t="str">
        <f t="shared" si="1"/>
        <v>(n): đại học</v>
      </c>
      <c r="I79" s="6" t="s">
        <v>407</v>
      </c>
      <c r="J79" s="6" t="s">
        <v>408</v>
      </c>
      <c r="K79" s="7">
        <f t="shared" si="2"/>
        <v>0.7407931285</v>
      </c>
    </row>
    <row r="80">
      <c r="A80" s="4">
        <v>80.0</v>
      </c>
      <c r="B80" s="5" t="s">
        <v>409</v>
      </c>
      <c r="C80" s="5" t="s">
        <v>410</v>
      </c>
      <c r="D80" s="5" t="s">
        <v>411</v>
      </c>
      <c r="E80" s="6" t="s">
        <v>74</v>
      </c>
      <c r="F80" s="6" t="s">
        <v>412</v>
      </c>
      <c r="G80" s="3" t="str">
        <f>IFERROR(__xludf.DUMMYFUNCTION("REGEXREPLACE(
D80,
""([一-龯々]+)\[([^\]]+)\]"",
""&lt;ruby&gt;$1&lt;rt&gt;$2&lt;/rt&gt;&lt;/ruby&gt;""
)&amp;""&lt;br&gt;&lt;div class=""""audio""""&gt;[sound:""&amp;C80&amp;"".mp3]&lt;/div&gt;"""),"&lt;ruby&gt;子供&lt;rt&gt;こども&lt;/rt&gt;&lt;/ruby&gt;&lt;br&gt;&lt;div class=""audio""&gt;[sound:こども.mp3]&lt;/div&gt;")</f>
        <v>&lt;ruby&gt;子供&lt;rt&gt;こども&lt;/rt&gt;&lt;/ruby&gt;&lt;br&gt;&lt;div class="audio"&gt;[sound:こども.mp3]&lt;/div&gt;</v>
      </c>
      <c r="H80" s="3" t="str">
        <f t="shared" si="1"/>
        <v>(n): trẻ con</v>
      </c>
      <c r="I80" s="6" t="s">
        <v>413</v>
      </c>
      <c r="J80" s="6" t="s">
        <v>414</v>
      </c>
      <c r="K80" s="7">
        <f t="shared" si="2"/>
        <v>0.7847303271</v>
      </c>
    </row>
    <row r="81">
      <c r="A81" s="4">
        <v>81.0</v>
      </c>
      <c r="B81" s="5" t="s">
        <v>415</v>
      </c>
      <c r="C81" s="5" t="s">
        <v>416</v>
      </c>
      <c r="D81" s="5" t="s">
        <v>417</v>
      </c>
      <c r="E81" s="6" t="s">
        <v>24</v>
      </c>
      <c r="F81" s="6" t="s">
        <v>317</v>
      </c>
      <c r="G81" s="3" t="str">
        <f>IFERROR(__xludf.DUMMYFUNCTION("REGEXREPLACE(
D81,
""([一-龯々]+)\[([^\]]+)\]"",
""&lt;ruby&gt;$1&lt;rt&gt;$2&lt;/rt&gt;&lt;/ruby&gt;""
)&amp;""&lt;br&gt;&lt;div class=""""audio""""&gt;[sound:""&amp;C81&amp;"".mp3]&lt;/div&gt;"""),"&lt;ruby&gt;受&lt;rt&gt;う&lt;/rt&gt;&lt;/ruby&gt;ける&lt;br&gt;&lt;div class=""audio""&gt;[sound:うける.mp3]&lt;/div&gt;")</f>
        <v>&lt;ruby&gt;受&lt;rt&gt;う&lt;/rt&gt;&lt;/ruby&gt;ける&lt;br&gt;&lt;div class="audio"&gt;[sound:うける.mp3]&lt;/div&gt;</v>
      </c>
      <c r="H81" s="3" t="str">
        <f t="shared" si="1"/>
        <v>(v): nhận</v>
      </c>
      <c r="I81" s="6" t="s">
        <v>418</v>
      </c>
      <c r="J81" s="6" t="s">
        <v>419</v>
      </c>
      <c r="K81" s="7">
        <f t="shared" si="2"/>
        <v>0.2353912976</v>
      </c>
    </row>
    <row r="82">
      <c r="A82" s="4">
        <v>82.0</v>
      </c>
      <c r="B82" s="5" t="s">
        <v>420</v>
      </c>
      <c r="C82" s="5" t="s">
        <v>421</v>
      </c>
      <c r="D82" s="5" t="s">
        <v>422</v>
      </c>
      <c r="E82" s="6" t="s">
        <v>11</v>
      </c>
      <c r="F82" s="6" t="s">
        <v>423</v>
      </c>
      <c r="G82" s="3" t="str">
        <f>IFERROR(__xludf.DUMMYFUNCTION("REGEXREPLACE(
D82,
""([一-龯々]+)\[([^\]]+)\]"",
""&lt;ruby&gt;$1&lt;rt&gt;$2&lt;/rt&gt;&lt;/ruby&gt;""
)&amp;""&lt;br&gt;&lt;div class=""""audio""""&gt;[sound:""&amp;C82&amp;"".mp3]&lt;/div&gt;"""),"&lt;ruby&gt;大&lt;rt&gt;おお&lt;/rt&gt;&lt;/ruby&gt;きな&lt;br&gt;&lt;div class=""audio""&gt;[sound:おおきな.mp3]&lt;/div&gt;")</f>
        <v>&lt;ruby&gt;大&lt;rt&gt;おお&lt;/rt&gt;&lt;/ruby&gt;きな&lt;br&gt;&lt;div class="audio"&gt;[sound:おおきな.mp3]&lt;/div&gt;</v>
      </c>
      <c r="H82" s="3" t="str">
        <f t="shared" si="1"/>
        <v>(adj): lớn</v>
      </c>
      <c r="I82" s="6" t="s">
        <v>424</v>
      </c>
      <c r="J82" s="6" t="s">
        <v>425</v>
      </c>
      <c r="K82" s="7">
        <f t="shared" si="2"/>
        <v>0.4013886405</v>
      </c>
    </row>
    <row r="83">
      <c r="A83" s="4">
        <v>83.0</v>
      </c>
      <c r="B83" s="5" t="s">
        <v>426</v>
      </c>
      <c r="C83" s="5" t="s">
        <v>427</v>
      </c>
      <c r="D83" s="5" t="s">
        <v>428</v>
      </c>
      <c r="E83" s="6" t="s">
        <v>24</v>
      </c>
      <c r="F83" s="6" t="s">
        <v>68</v>
      </c>
      <c r="G83" s="3" t="str">
        <f>IFERROR(__xludf.DUMMYFUNCTION("REGEXREPLACE(
D83,
""([一-龯々]+)\[([^\]]+)\]"",
""&lt;ruby&gt;$1&lt;rt&gt;$2&lt;/rt&gt;&lt;/ruby&gt;""
)&amp;""&lt;br&gt;&lt;div class=""""audio""""&gt;[sound:""&amp;C83&amp;"".mp3]&lt;/div&gt;"""),"&lt;ruby&gt;作&lt;rt&gt;つく&lt;/rt&gt;&lt;/ruby&gt;る&lt;br&gt;&lt;div class=""audio""&gt;[sound:つくる.mp3]&lt;/div&gt;")</f>
        <v>&lt;ruby&gt;作&lt;rt&gt;つく&lt;/rt&gt;&lt;/ruby&gt;る&lt;br&gt;&lt;div class="audio"&gt;[sound:つくる.mp3]&lt;/div&gt;</v>
      </c>
      <c r="H83" s="3" t="str">
        <f t="shared" si="1"/>
        <v>(v): làm</v>
      </c>
      <c r="I83" s="6" t="s">
        <v>429</v>
      </c>
      <c r="J83" s="6" t="s">
        <v>430</v>
      </c>
      <c r="K83" s="7">
        <f t="shared" si="2"/>
        <v>0.8895300198</v>
      </c>
    </row>
    <row r="84">
      <c r="A84" s="4">
        <v>84.0</v>
      </c>
      <c r="B84" s="5" t="s">
        <v>431</v>
      </c>
      <c r="C84" s="5" t="s">
        <v>432</v>
      </c>
      <c r="D84" s="5" t="s">
        <v>433</v>
      </c>
      <c r="E84" s="6" t="s">
        <v>24</v>
      </c>
      <c r="F84" s="6" t="s">
        <v>434</v>
      </c>
      <c r="G84" s="3" t="str">
        <f>IFERROR(__xludf.DUMMYFUNCTION("REGEXREPLACE(
D84,
""([一-龯々]+)\[([^\]]+)\]"",
""&lt;ruby&gt;$1&lt;rt&gt;$2&lt;/rt&gt;&lt;/ruby&gt;""
)&amp;""&lt;br&gt;&lt;div class=""""audio""""&gt;[sound:""&amp;C84&amp;"".mp3]&lt;/div&gt;"""),"&lt;ruby&gt;対&lt;rt&gt;たい&lt;/rt&gt;&lt;/ruby&gt;する&lt;br&gt;&lt;div class=""audio""&gt;[sound:たいする.mp3]&lt;/div&gt;")</f>
        <v>&lt;ruby&gt;対&lt;rt&gt;たい&lt;/rt&gt;&lt;/ruby&gt;する&lt;br&gt;&lt;div class="audio"&gt;[sound:たいする.mp3]&lt;/div&gt;</v>
      </c>
      <c r="H84" s="3" t="str">
        <f t="shared" si="1"/>
        <v>(v): đối với</v>
      </c>
      <c r="I84" s="6" t="s">
        <v>435</v>
      </c>
      <c r="J84" s="6" t="s">
        <v>436</v>
      </c>
      <c r="K84" s="7">
        <f t="shared" si="2"/>
        <v>0.7257043358</v>
      </c>
    </row>
    <row r="85">
      <c r="A85" s="4">
        <v>85.0</v>
      </c>
      <c r="B85" s="5" t="s">
        <v>437</v>
      </c>
      <c r="C85" s="5" t="s">
        <v>437</v>
      </c>
      <c r="D85" s="5" t="s">
        <v>437</v>
      </c>
      <c r="E85" s="6" t="s">
        <v>90</v>
      </c>
      <c r="F85" s="6" t="s">
        <v>438</v>
      </c>
      <c r="G85" s="3" t="str">
        <f>IFERROR(__xludf.DUMMYFUNCTION("REGEXREPLACE(
D85,
""([一-龯々]+)\[([^\]]+)\]"",
""&lt;ruby&gt;$1&lt;rt&gt;$2&lt;/rt&gt;&lt;/ruby&gt;""
)&amp;""&lt;br&gt;&lt;div class=""""audio""""&gt;[sound:""&amp;C85&amp;"".mp3]&lt;/div&gt;"""),"しかし&lt;br&gt;&lt;div class=""audio""&gt;[sound:しかし.mp3]&lt;/div&gt;")</f>
        <v>しかし&lt;br&gt;&lt;div class="audio"&gt;[sound:しかし.mp3]&lt;/div&gt;</v>
      </c>
      <c r="H85" s="3" t="str">
        <f t="shared" si="1"/>
        <v>(conj): tuy nhiên</v>
      </c>
      <c r="I85" s="6" t="s">
        <v>439</v>
      </c>
      <c r="J85" s="6" t="s">
        <v>440</v>
      </c>
      <c r="K85" s="7">
        <f t="shared" si="2"/>
        <v>0.3756680816</v>
      </c>
    </row>
    <row r="86">
      <c r="A86" s="4">
        <v>86.0</v>
      </c>
      <c r="B86" s="5" t="s">
        <v>441</v>
      </c>
      <c r="C86" s="5" t="s">
        <v>442</v>
      </c>
      <c r="D86" s="5" t="s">
        <v>443</v>
      </c>
      <c r="E86" s="6" t="s">
        <v>24</v>
      </c>
      <c r="F86" s="6" t="s">
        <v>444</v>
      </c>
      <c r="G86" s="3" t="str">
        <f>IFERROR(__xludf.DUMMYFUNCTION("REGEXREPLACE(
D86,
""([一-龯々]+)\[([^\]]+)\]"",
""&lt;ruby&gt;$1&lt;rt&gt;$2&lt;/rt&gt;&lt;/ruby&gt;""
)&amp;""&lt;br&gt;&lt;div class=""""audio""""&gt;[sound:""&amp;C86&amp;"".mp3]&lt;/div&gt;"""),"&lt;ruby&gt;考&lt;rt&gt;かんが&lt;/rt&gt;&lt;/ruby&gt;える&lt;br&gt;&lt;div class=""audio""&gt;[sound:かんがえる.mp3]&lt;/div&gt;")</f>
        <v>&lt;ruby&gt;考&lt;rt&gt;かんが&lt;/rt&gt;&lt;/ruby&gt;える&lt;br&gt;&lt;div class="audio"&gt;[sound:かんがえる.mp3]&lt;/div&gt;</v>
      </c>
      <c r="H86" s="3" t="str">
        <f t="shared" si="1"/>
        <v>(v): suy nghĩ</v>
      </c>
      <c r="I86" s="6" t="s">
        <v>445</v>
      </c>
      <c r="J86" s="6" t="s">
        <v>446</v>
      </c>
      <c r="K86" s="7">
        <f t="shared" si="2"/>
        <v>0.561784827</v>
      </c>
    </row>
    <row r="87">
      <c r="A87" s="4">
        <v>87.0</v>
      </c>
      <c r="B87" s="5" t="s">
        <v>447</v>
      </c>
      <c r="C87" s="5" t="s">
        <v>448</v>
      </c>
      <c r="D87" s="5" t="s">
        <v>449</v>
      </c>
      <c r="E87" s="6" t="s">
        <v>74</v>
      </c>
      <c r="F87" s="6" t="s">
        <v>450</v>
      </c>
      <c r="G87" s="3" t="str">
        <f>IFERROR(__xludf.DUMMYFUNCTION("REGEXREPLACE(
D87,
""([一-龯々]+)\[([^\]]+)\]"",
""&lt;ruby&gt;$1&lt;rt&gt;$2&lt;/rt&gt;&lt;/ruby&gt;""
)&amp;""&lt;br&gt;&lt;div class=""""audio""""&gt;[sound:""&amp;C87&amp;"".mp3]&lt;/div&gt;"""),"&lt;ruby&gt;後&lt;rt&gt;あと&lt;/rt&gt;&lt;/ruby&gt;&lt;br&gt;&lt;div class=""audio""&gt;[sound:あと.mp3]&lt;/div&gt;")</f>
        <v>&lt;ruby&gt;後&lt;rt&gt;あと&lt;/rt&gt;&lt;/ruby&gt;&lt;br&gt;&lt;div class="audio"&gt;[sound:あと.mp3]&lt;/div&gt;</v>
      </c>
      <c r="H87" s="3" t="str">
        <f t="shared" si="1"/>
        <v>(n): sau</v>
      </c>
      <c r="I87" s="6" t="s">
        <v>451</v>
      </c>
      <c r="J87" s="6" t="s">
        <v>452</v>
      </c>
      <c r="K87" s="7">
        <f t="shared" si="2"/>
        <v>0.05599127726</v>
      </c>
    </row>
    <row r="88">
      <c r="A88" s="4">
        <v>88.0</v>
      </c>
      <c r="B88" s="5" t="s">
        <v>453</v>
      </c>
      <c r="C88" s="5" t="s">
        <v>454</v>
      </c>
      <c r="D88" s="5" t="s">
        <v>455</v>
      </c>
      <c r="E88" s="6" t="s">
        <v>74</v>
      </c>
      <c r="F88" s="6" t="s">
        <v>456</v>
      </c>
      <c r="G88" s="3" t="str">
        <f>IFERROR(__xludf.DUMMYFUNCTION("REGEXREPLACE(
D88,
""([一-龯々]+)\[([^\]]+)\]"",
""&lt;ruby&gt;$1&lt;rt&gt;$2&lt;/rt&gt;&lt;/ruby&gt;""
)&amp;""&lt;br&gt;&lt;div class=""""audio""""&gt;[sound:""&amp;C88&amp;"".mp3]&lt;/div&gt;"""),"&lt;ruby&gt;日&lt;rt&gt;ひ&lt;/rt&gt;&lt;/ruby&gt;&lt;br&gt;&lt;div class=""audio""&gt;[sound:ひ.mp3]&lt;/div&gt;")</f>
        <v>&lt;ruby&gt;日&lt;rt&gt;ひ&lt;/rt&gt;&lt;/ruby&gt;&lt;br&gt;&lt;div class="audio"&gt;[sound:ひ.mp3]&lt;/div&gt;</v>
      </c>
      <c r="H88" s="3" t="str">
        <f t="shared" si="1"/>
        <v>(n): ngày</v>
      </c>
      <c r="I88" s="6" t="s">
        <v>457</v>
      </c>
      <c r="J88" s="6" t="s">
        <v>458</v>
      </c>
      <c r="K88" s="7">
        <f t="shared" si="2"/>
        <v>0.7960481393</v>
      </c>
    </row>
    <row r="89">
      <c r="A89" s="4">
        <v>89.0</v>
      </c>
      <c r="B89" s="5" t="s">
        <v>459</v>
      </c>
      <c r="C89" s="5" t="s">
        <v>460</v>
      </c>
      <c r="D89" s="5" t="s">
        <v>461</v>
      </c>
      <c r="E89" s="6" t="s">
        <v>74</v>
      </c>
      <c r="F89" s="6" t="s">
        <v>462</v>
      </c>
      <c r="G89" s="3" t="str">
        <f>IFERROR(__xludf.DUMMYFUNCTION("REGEXREPLACE(
D89,
""([一-龯々]+)\[([^\]]+)\]"",
""&lt;ruby&gt;$1&lt;rt&gt;$2&lt;/rt&gt;&lt;/ruby&gt;""
)&amp;""&lt;br&gt;&lt;div class=""""audio""""&gt;[sound:""&amp;C89&amp;"".mp3]&lt;/div&gt;"""),"&lt;ruby&gt;子&lt;rt&gt;こ&lt;/rt&gt;&lt;/ruby&gt;&lt;br&gt;&lt;div class=""audio""&gt;[sound:こ.mp3]&lt;/div&gt;")</f>
        <v>&lt;ruby&gt;子&lt;rt&gt;こ&lt;/rt&gt;&lt;/ruby&gt;&lt;br&gt;&lt;div class="audio"&gt;[sound:こ.mp3]&lt;/div&gt;</v>
      </c>
      <c r="H89" s="3" t="str">
        <f t="shared" si="1"/>
        <v>(n): đứa trẻ</v>
      </c>
      <c r="I89" s="6" t="s">
        <v>463</v>
      </c>
      <c r="J89" s="6" t="s">
        <v>464</v>
      </c>
      <c r="K89" s="7">
        <f t="shared" si="2"/>
        <v>0.6212053746</v>
      </c>
    </row>
    <row r="90">
      <c r="A90" s="4">
        <v>90.0</v>
      </c>
      <c r="B90" s="5" t="s">
        <v>465</v>
      </c>
      <c r="C90" s="5" t="s">
        <v>465</v>
      </c>
      <c r="D90" s="5" t="s">
        <v>465</v>
      </c>
      <c r="E90" s="6" t="s">
        <v>90</v>
      </c>
      <c r="F90" s="6" t="s">
        <v>466</v>
      </c>
      <c r="G90" s="3" t="str">
        <f>IFERROR(__xludf.DUMMYFUNCTION("REGEXREPLACE(
D90,
""([一-龯々]+)\[([^\]]+)\]"",
""&lt;ruby&gt;$1&lt;rt&gt;$2&lt;/rt&gt;&lt;/ruby&gt;""
)&amp;""&lt;br&gt;&lt;div class=""""audio""""&gt;[sound:""&amp;C90&amp;"".mp3]&lt;/div&gt;"""),"だから&lt;br&gt;&lt;div class=""audio""&gt;[sound:だから.mp3]&lt;/div&gt;")</f>
        <v>だから&lt;br&gt;&lt;div class="audio"&gt;[sound:だから.mp3]&lt;/div&gt;</v>
      </c>
      <c r="H90" s="3" t="str">
        <f t="shared" si="1"/>
        <v>(conj): vì vậy</v>
      </c>
      <c r="I90" s="6" t="s">
        <v>467</v>
      </c>
      <c r="J90" s="6" t="s">
        <v>468</v>
      </c>
      <c r="K90" s="7">
        <f t="shared" si="2"/>
        <v>0.4192498723</v>
      </c>
    </row>
    <row r="91">
      <c r="A91" s="4">
        <v>91.0</v>
      </c>
      <c r="B91" s="5" t="s">
        <v>469</v>
      </c>
      <c r="C91" s="5" t="s">
        <v>470</v>
      </c>
      <c r="D91" s="5" t="s">
        <v>471</v>
      </c>
      <c r="E91" s="6" t="s">
        <v>11</v>
      </c>
      <c r="F91" s="6" t="s">
        <v>472</v>
      </c>
      <c r="G91" s="3" t="str">
        <f>IFERROR(__xludf.DUMMYFUNCTION("REGEXREPLACE(
D91,
""([一-龯々]+)\[([^\]]+)\]"",
""&lt;ruby&gt;$1&lt;rt&gt;$2&lt;/rt&gt;&lt;/ruby&gt;""
)&amp;""&lt;br&gt;&lt;div class=""""audio""""&gt;[sound:""&amp;C91&amp;"".mp3]&lt;/div&gt;"""),"&lt;ruby&gt;古&lt;rt&gt;ふる&lt;/rt&gt;&lt;/ruby&gt;い&lt;br&gt;&lt;div class=""audio""&gt;[sound:ふるい.mp3]&lt;/div&gt;")</f>
        <v>&lt;ruby&gt;古&lt;rt&gt;ふる&lt;/rt&gt;&lt;/ruby&gt;い&lt;br&gt;&lt;div class="audio"&gt;[sound:ふるい.mp3]&lt;/div&gt;</v>
      </c>
      <c r="H91" s="3" t="str">
        <f t="shared" si="1"/>
        <v>(adj): cũ</v>
      </c>
      <c r="I91" s="6" t="s">
        <v>473</v>
      </c>
      <c r="J91" s="6" t="s">
        <v>474</v>
      </c>
      <c r="K91" s="7">
        <f t="shared" si="2"/>
        <v>0.8526554645</v>
      </c>
    </row>
    <row r="92">
      <c r="A92" s="4">
        <v>92.0</v>
      </c>
      <c r="B92" s="5" t="s">
        <v>475</v>
      </c>
      <c r="C92" s="5" t="s">
        <v>476</v>
      </c>
      <c r="D92" s="5" t="s">
        <v>477</v>
      </c>
      <c r="E92" s="6" t="s">
        <v>74</v>
      </c>
      <c r="F92" s="6" t="s">
        <v>478</v>
      </c>
      <c r="G92" s="3" t="str">
        <f>IFERROR(__xludf.DUMMYFUNCTION("REGEXREPLACE(
D92,
""([一-龯々]+)\[([^\]]+)\]"",
""&lt;ruby&gt;$1&lt;rt&gt;$2&lt;/rt&gt;&lt;/ruby&gt;""
)&amp;""&lt;br&gt;&lt;div class=""""audio""""&gt;[sound:""&amp;C92&amp;"".mp3]&lt;/div&gt;"""),"&lt;ruby&gt;相手&lt;rt&gt;あいて&lt;/rt&gt;&lt;/ruby&gt;&lt;br&gt;&lt;div class=""audio""&gt;[sound:あいて.mp3]&lt;/div&gt;")</f>
        <v>&lt;ruby&gt;相手&lt;rt&gt;あいて&lt;/rt&gt;&lt;/ruby&gt;&lt;br&gt;&lt;div class="audio"&gt;[sound:あいて.mp3]&lt;/div&gt;</v>
      </c>
      <c r="H92" s="3" t="str">
        <f t="shared" si="1"/>
        <v>(n): đối phương</v>
      </c>
      <c r="I92" s="6" t="s">
        <v>479</v>
      </c>
      <c r="J92" s="6" t="s">
        <v>480</v>
      </c>
      <c r="K92" s="7">
        <f t="shared" si="2"/>
        <v>0.931734556</v>
      </c>
    </row>
    <row r="93">
      <c r="A93" s="4">
        <v>93.0</v>
      </c>
      <c r="B93" s="5" t="s">
        <v>481</v>
      </c>
      <c r="C93" s="5" t="s">
        <v>482</v>
      </c>
      <c r="D93" s="5" t="s">
        <v>483</v>
      </c>
      <c r="E93" s="6" t="s">
        <v>11</v>
      </c>
      <c r="F93" s="6" t="s">
        <v>484</v>
      </c>
      <c r="G93" s="3" t="str">
        <f>IFERROR(__xludf.DUMMYFUNCTION("REGEXREPLACE(
D93,
""([一-龯々]+)\[([^\]]+)\]"",
""&lt;ruby&gt;$1&lt;rt&gt;$2&lt;/rt&gt;&lt;/ruby&gt;""
)&amp;""&lt;br&gt;&lt;div class=""""audio""""&gt;[sound:""&amp;C93&amp;"".mp3]&lt;/div&gt;"""),"&lt;ruby&gt;小&lt;rt&gt;ちい&lt;/rt&gt;&lt;/ruby&gt;さい&lt;br&gt;&lt;div class=""audio""&gt;[sound:ちいさい.mp3]&lt;/div&gt;")</f>
        <v>&lt;ruby&gt;小&lt;rt&gt;ちい&lt;/rt&gt;&lt;/ruby&gt;さい&lt;br&gt;&lt;div class="audio"&gt;[sound:ちいさい.mp3]&lt;/div&gt;</v>
      </c>
      <c r="H93" s="3" t="str">
        <f t="shared" si="1"/>
        <v>(adj): nhỏ</v>
      </c>
      <c r="I93" s="6" t="s">
        <v>485</v>
      </c>
      <c r="J93" s="6" t="s">
        <v>486</v>
      </c>
      <c r="K93" s="7">
        <f t="shared" si="2"/>
        <v>0.1466523457</v>
      </c>
    </row>
    <row r="94">
      <c r="A94" s="4">
        <v>94.0</v>
      </c>
      <c r="B94" s="5" t="s">
        <v>487</v>
      </c>
      <c r="C94" s="5" t="s">
        <v>487</v>
      </c>
      <c r="D94" s="5" t="s">
        <v>487</v>
      </c>
      <c r="E94" s="6" t="s">
        <v>85</v>
      </c>
      <c r="F94" s="6" t="s">
        <v>488</v>
      </c>
      <c r="G94" s="3" t="str">
        <f>IFERROR(__xludf.DUMMYFUNCTION("REGEXREPLACE(
D94,
""([一-龯々]+)\[([^\]]+)\]"",
""&lt;ruby&gt;$1&lt;rt&gt;$2&lt;/rt&gt;&lt;/ruby&gt;""
)&amp;""&lt;br&gt;&lt;div class=""""audio""""&gt;[sound:""&amp;C94&amp;"".mp3]&lt;/div&gt;"""),"どう&lt;br&gt;&lt;div class=""audio""&gt;[sound:どう.mp3]&lt;/div&gt;")</f>
        <v>どう&lt;br&gt;&lt;div class="audio"&gt;[sound:どう.mp3]&lt;/div&gt;</v>
      </c>
      <c r="H94" s="3" t="str">
        <f t="shared" si="1"/>
        <v>(adv): như thế nào</v>
      </c>
      <c r="I94" s="6" t="s">
        <v>489</v>
      </c>
      <c r="J94" s="6" t="s">
        <v>490</v>
      </c>
      <c r="K94" s="7">
        <f t="shared" si="2"/>
        <v>0.2496915971</v>
      </c>
    </row>
    <row r="95">
      <c r="A95" s="4">
        <v>95.0</v>
      </c>
      <c r="B95" s="5" t="s">
        <v>491</v>
      </c>
      <c r="C95" s="5" t="s">
        <v>491</v>
      </c>
      <c r="D95" s="5" t="s">
        <v>491</v>
      </c>
      <c r="E95" s="6" t="s">
        <v>44</v>
      </c>
      <c r="F95" s="6" t="s">
        <v>492</v>
      </c>
      <c r="G95" s="3" t="str">
        <f>IFERROR(__xludf.DUMMYFUNCTION("REGEXREPLACE(
D95,
""([一-龯々]+)\[([^\]]+)\]"",
""&lt;ruby&gt;$1&lt;rt&gt;$2&lt;/rt&gt;&lt;/ruby&gt;""
)&amp;""&lt;br&gt;&lt;div class=""""audio""""&gt;[sound:""&amp;C95&amp;"".mp3]&lt;/div&gt;"""),"みんな&lt;br&gt;&lt;div class=""audio""&gt;[sound:みんな.mp3]&lt;/div&gt;")</f>
        <v>みんな&lt;br&gt;&lt;div class="audio"&gt;[sound:みんな.mp3]&lt;/div&gt;</v>
      </c>
      <c r="H95" s="3" t="str">
        <f t="shared" si="1"/>
        <v>(pron): mọi người</v>
      </c>
      <c r="I95" s="6" t="s">
        <v>493</v>
      </c>
      <c r="J95" s="6" t="s">
        <v>494</v>
      </c>
      <c r="K95" s="7">
        <f t="shared" si="2"/>
        <v>0.1846268097</v>
      </c>
    </row>
    <row r="96">
      <c r="A96" s="4">
        <v>96.0</v>
      </c>
      <c r="B96" s="5" t="s">
        <v>495</v>
      </c>
      <c r="C96" s="5" t="s">
        <v>496</v>
      </c>
      <c r="D96" s="5" t="s">
        <v>497</v>
      </c>
      <c r="E96" s="6" t="s">
        <v>44</v>
      </c>
      <c r="F96" s="6" t="s">
        <v>498</v>
      </c>
      <c r="G96" s="3" t="str">
        <f>IFERROR(__xludf.DUMMYFUNCTION("REGEXREPLACE(
D96,
""([一-龯々]+)\[([^\]]+)\]"",
""&lt;ruby&gt;$1&lt;rt&gt;$2&lt;/rt&gt;&lt;/ruby&gt;""
)&amp;""&lt;br&gt;&lt;div class=""""audio""""&gt;[sound:""&amp;C96&amp;"".mp3]&lt;/div&gt;"""),"&lt;ruby&gt;自分&lt;rt&gt;じぶん&lt;/rt&gt;&lt;/ruby&gt;&lt;br&gt;&lt;div class=""audio""&gt;[sound:じぶん.mp3]&lt;/div&gt;")</f>
        <v>&lt;ruby&gt;自分&lt;rt&gt;じぶん&lt;/rt&gt;&lt;/ruby&gt;&lt;br&gt;&lt;div class="audio"&gt;[sound:じぶん.mp3]&lt;/div&gt;</v>
      </c>
      <c r="H96" s="3" t="str">
        <f t="shared" si="1"/>
        <v>(pron): bản thân</v>
      </c>
      <c r="I96" s="6" t="s">
        <v>499</v>
      </c>
      <c r="J96" s="6" t="s">
        <v>500</v>
      </c>
      <c r="K96" s="7">
        <f t="shared" si="2"/>
        <v>0.9610498256</v>
      </c>
    </row>
    <row r="97">
      <c r="A97" s="4">
        <v>97.0</v>
      </c>
      <c r="B97" s="5" t="s">
        <v>501</v>
      </c>
      <c r="C97" s="5" t="s">
        <v>501</v>
      </c>
      <c r="D97" s="5" t="s">
        <v>501</v>
      </c>
      <c r="E97" s="6" t="s">
        <v>44</v>
      </c>
      <c r="F97" s="6" t="s">
        <v>502</v>
      </c>
      <c r="G97" s="3" t="str">
        <f>IFERROR(__xludf.DUMMYFUNCTION("REGEXREPLACE(
D97,
""([一-龯々]+)\[([^\]]+)\]"",
""&lt;ruby&gt;$1&lt;rt&gt;$2&lt;/rt&gt;&lt;/ruby&gt;""
)&amp;""&lt;br&gt;&lt;div class=""""audio""""&gt;[sound:""&amp;C97&amp;"".mp3]&lt;/div&gt;"""),"あれ&lt;br&gt;&lt;div class=""audio""&gt;[sound:あれ.mp3]&lt;/div&gt;")</f>
        <v>あれ&lt;br&gt;&lt;div class="audio"&gt;[sound:あれ.mp3]&lt;/div&gt;</v>
      </c>
      <c r="H97" s="3" t="str">
        <f t="shared" si="1"/>
        <v>(pron): cái kia</v>
      </c>
      <c r="I97" s="6" t="s">
        <v>503</v>
      </c>
      <c r="J97" s="6" t="s">
        <v>504</v>
      </c>
      <c r="K97" s="7">
        <f t="shared" si="2"/>
        <v>0.8587337734</v>
      </c>
    </row>
    <row r="98">
      <c r="A98" s="4">
        <v>98.0</v>
      </c>
      <c r="B98" s="5" t="s">
        <v>505</v>
      </c>
      <c r="C98" s="5" t="s">
        <v>505</v>
      </c>
      <c r="D98" s="5" t="s">
        <v>505</v>
      </c>
      <c r="E98" s="6" t="s">
        <v>85</v>
      </c>
      <c r="F98" s="6" t="s">
        <v>506</v>
      </c>
      <c r="G98" s="3" t="str">
        <f>IFERROR(__xludf.DUMMYFUNCTION("REGEXREPLACE(
D98,
""([一-龯々]+)\[([^\]]+)\]"",
""&lt;ruby&gt;$1&lt;rt&gt;$2&lt;/rt&gt;&lt;/ruby&gt;""
)&amp;""&lt;br&gt;&lt;div class=""""audio""""&gt;[sound:""&amp;C98&amp;"".mp3]&lt;/div&gt;"""),"もっと&lt;br&gt;&lt;div class=""audio""&gt;[sound:もっと.mp3]&lt;/div&gt;")</f>
        <v>もっと&lt;br&gt;&lt;div class="audio"&gt;[sound:もっと.mp3]&lt;/div&gt;</v>
      </c>
      <c r="H98" s="3" t="str">
        <f t="shared" si="1"/>
        <v>(adv): hơn nữa</v>
      </c>
      <c r="I98" s="6" t="s">
        <v>507</v>
      </c>
      <c r="J98" s="6" t="s">
        <v>508</v>
      </c>
      <c r="K98" s="7">
        <f t="shared" si="2"/>
        <v>0.5742802311</v>
      </c>
    </row>
    <row r="99">
      <c r="A99" s="4">
        <v>99.0</v>
      </c>
      <c r="B99" s="5" t="s">
        <v>509</v>
      </c>
      <c r="C99" s="5" t="s">
        <v>510</v>
      </c>
      <c r="D99" s="5" t="s">
        <v>511</v>
      </c>
      <c r="E99" s="6" t="s">
        <v>24</v>
      </c>
      <c r="F99" s="6" t="s">
        <v>303</v>
      </c>
      <c r="G99" s="3" t="str">
        <f>IFERROR(__xludf.DUMMYFUNCTION("REGEXREPLACE(
D99,
""([一-龯々]+)\[([^\]]+)\]"",
""&lt;ruby&gt;$1&lt;rt&gt;$2&lt;/rt&gt;&lt;/ruby&gt;""
)&amp;""&lt;br&gt;&lt;div class=""""audio""""&gt;[sound:""&amp;C99&amp;"".mp3]&lt;/div&gt;"""),"&lt;ruby&gt;始&lt;rt&gt;はじ&lt;/rt&gt;&lt;/ruby&gt;まる&lt;br&gt;&lt;div class=""audio""&gt;[sound:はじまる.mp3]&lt;/div&gt;")</f>
        <v>&lt;ruby&gt;始&lt;rt&gt;はじ&lt;/rt&gt;&lt;/ruby&gt;まる&lt;br&gt;&lt;div class="audio"&gt;[sound:はじまる.mp3]&lt;/div&gt;</v>
      </c>
      <c r="H99" s="3" t="str">
        <f t="shared" si="1"/>
        <v>(v): bắt đầu</v>
      </c>
      <c r="I99" s="6" t="s">
        <v>512</v>
      </c>
      <c r="J99" s="6" t="s">
        <v>513</v>
      </c>
      <c r="K99" s="7">
        <f t="shared" si="2"/>
        <v>0.2668629886</v>
      </c>
    </row>
    <row r="100">
      <c r="A100" s="4">
        <v>100.0</v>
      </c>
      <c r="B100" s="5" t="s">
        <v>514</v>
      </c>
      <c r="C100" s="5" t="s">
        <v>514</v>
      </c>
      <c r="D100" s="5" t="s">
        <v>514</v>
      </c>
      <c r="E100" s="6" t="s">
        <v>85</v>
      </c>
      <c r="F100" s="6" t="s">
        <v>515</v>
      </c>
      <c r="G100" s="3" t="str">
        <f>IFERROR(__xludf.DUMMYFUNCTION("REGEXREPLACE(
D100,
""([一-龯々]+)\[([^\]]+)\]"",
""&lt;ruby&gt;$1&lt;rt&gt;$2&lt;/rt&gt;&lt;/ruby&gt;""
)&amp;""&lt;br&gt;&lt;div class=""""audio""""&gt;[sound:""&amp;C100&amp;"".mp3]&lt;/div&gt;"""),"こう&lt;br&gt;&lt;div class=""audio""&gt;[sound:こう.mp3]&lt;/div&gt;")</f>
        <v>こう&lt;br&gt;&lt;div class="audio"&gt;[sound:こう.mp3]&lt;/div&gt;</v>
      </c>
      <c r="H100" s="3" t="str">
        <f t="shared" si="1"/>
        <v>(adv): như thế này</v>
      </c>
      <c r="I100" s="6" t="s">
        <v>516</v>
      </c>
      <c r="J100" s="6" t="s">
        <v>517</v>
      </c>
      <c r="K100" s="7">
        <f t="shared" si="2"/>
        <v>0.4541771823</v>
      </c>
    </row>
    <row r="101">
      <c r="A101" s="4">
        <v>101.0</v>
      </c>
      <c r="B101" s="5" t="s">
        <v>518</v>
      </c>
      <c r="C101" s="5" t="s">
        <v>519</v>
      </c>
      <c r="D101" s="5" t="s">
        <v>520</v>
      </c>
      <c r="E101" s="6" t="s">
        <v>58</v>
      </c>
      <c r="F101" s="6" t="s">
        <v>521</v>
      </c>
      <c r="G101" s="3" t="str">
        <f>IFERROR(__xludf.DUMMYFUNCTION("REGEXREPLACE(
D101,
""([一-龯々]+)\[([^\]]+)\]"",
""&lt;ruby&gt;$1&lt;rt&gt;$2&lt;/rt&gt;&lt;/ruby&gt;""
)&amp;""&lt;br&gt;&lt;div class=""""audio""""&gt;[sound:""&amp;C101&amp;"".mp3]&lt;/div&gt;"""),"&lt;ruby&gt;一&lt;rt&gt;ひと&lt;/rt&gt;&lt;/ruby&gt;つ&lt;br&gt;&lt;div class=""audio""&gt;[sound:ひとつ.mp3]&lt;/div&gt;")</f>
        <v>&lt;ruby&gt;一&lt;rt&gt;ひと&lt;/rt&gt;&lt;/ruby&gt;つ&lt;br&gt;&lt;div class="audio"&gt;[sound:ひとつ.mp3]&lt;/div&gt;</v>
      </c>
      <c r="H101" s="3" t="str">
        <f t="shared" si="1"/>
        <v>(num): một cái</v>
      </c>
      <c r="I101" s="6" t="s">
        <v>522</v>
      </c>
      <c r="J101" s="6" t="s">
        <v>523</v>
      </c>
      <c r="K101" s="7">
        <f t="shared" si="2"/>
        <v>0.9738746211</v>
      </c>
    </row>
    <row r="102">
      <c r="A102" s="4">
        <v>102.0</v>
      </c>
      <c r="B102" s="5" t="s">
        <v>524</v>
      </c>
      <c r="C102" s="5" t="s">
        <v>525</v>
      </c>
      <c r="D102" s="5" t="s">
        <v>526</v>
      </c>
      <c r="E102" s="6" t="s">
        <v>24</v>
      </c>
      <c r="F102" s="6" t="s">
        <v>527</v>
      </c>
      <c r="G102" s="3" t="str">
        <f>IFERROR(__xludf.DUMMYFUNCTION("REGEXREPLACE(
D102,
""([一-龯々]+)\[([^\]]+)\]"",
""&lt;ruby&gt;$1&lt;rt&gt;$2&lt;/rt&gt;&lt;/ruby&gt;""
)&amp;""&lt;br&gt;&lt;div class=""""audio""""&gt;[sound:""&amp;C102&amp;"".mp3]&lt;/div&gt;"""),"&lt;ruby&gt;下&lt;rt&gt;くだ&lt;/rt&gt;&lt;/ruby&gt;さい&lt;br&gt;&lt;div class=""audio""&gt;[sound:ください.mp3]&lt;/div&gt;")</f>
        <v>&lt;ruby&gt;下&lt;rt&gt;くだ&lt;/rt&gt;&lt;/ruby&gt;さい&lt;br&gt;&lt;div class="audio"&gt;[sound:ください.mp3]&lt;/div&gt;</v>
      </c>
      <c r="H102" s="3" t="str">
        <f t="shared" si="1"/>
        <v>(v): xin hãy</v>
      </c>
      <c r="I102" s="6" t="s">
        <v>528</v>
      </c>
      <c r="J102" s="6" t="s">
        <v>529</v>
      </c>
      <c r="K102" s="7">
        <f t="shared" si="2"/>
        <v>0.4661609042</v>
      </c>
    </row>
    <row r="103">
      <c r="A103" s="4">
        <v>103.0</v>
      </c>
      <c r="B103" s="5" t="s">
        <v>530</v>
      </c>
      <c r="C103" s="5" t="s">
        <v>531</v>
      </c>
      <c r="D103" s="5" t="s">
        <v>532</v>
      </c>
      <c r="E103" s="6" t="s">
        <v>11</v>
      </c>
      <c r="F103" s="6" t="s">
        <v>533</v>
      </c>
      <c r="G103" s="3" t="str">
        <f>IFERROR(__xludf.DUMMYFUNCTION("REGEXREPLACE(
D103,
""([一-龯々]+)\[([^\]]+)\]"",
""&lt;ruby&gt;$1&lt;rt&gt;$2&lt;/rt&gt;&lt;/ruby&gt;""
)&amp;""&lt;br&gt;&lt;div class=""""audio""""&gt;[sound:""&amp;C103&amp;"".mp3]&lt;/div&gt;"""),"&lt;ruby&gt;多&lt;rt&gt;おお&lt;/rt&gt;&lt;/ruby&gt;い&lt;br&gt;&lt;div class=""audio""&gt;[sound:おおい.mp3]&lt;/div&gt;")</f>
        <v>&lt;ruby&gt;多&lt;rt&gt;おお&lt;/rt&gt;&lt;/ruby&gt;い&lt;br&gt;&lt;div class="audio"&gt;[sound:おおい.mp3]&lt;/div&gt;</v>
      </c>
      <c r="H103" s="3" t="str">
        <f t="shared" si="1"/>
        <v>(adj): nhiều</v>
      </c>
      <c r="I103" s="6" t="s">
        <v>534</v>
      </c>
      <c r="J103" s="6" t="s">
        <v>535</v>
      </c>
      <c r="K103" s="7">
        <f t="shared" si="2"/>
        <v>0.4505889456</v>
      </c>
    </row>
    <row r="104">
      <c r="A104" s="4">
        <v>104.0</v>
      </c>
      <c r="B104" s="5" t="s">
        <v>536</v>
      </c>
      <c r="C104" s="5" t="s">
        <v>537</v>
      </c>
      <c r="D104" s="5" t="s">
        <v>538</v>
      </c>
      <c r="E104" s="6" t="s">
        <v>24</v>
      </c>
      <c r="F104" s="6" t="s">
        <v>539</v>
      </c>
      <c r="G104" s="3" t="str">
        <f>IFERROR(__xludf.DUMMYFUNCTION("REGEXREPLACE(
D104,
""([一-龯々]+)\[([^\]]+)\]"",
""&lt;ruby&gt;$1&lt;rt&gt;$2&lt;/rt&gt;&lt;/ruby&gt;""
)&amp;""&lt;br&gt;&lt;div class=""""audio""""&gt;[sound:""&amp;C104&amp;"".mp3]&lt;/div&gt;"""),"&lt;ruby&gt;食&lt;rt&gt;た&lt;/rt&gt;&lt;/ruby&gt;べる&lt;br&gt;&lt;div class=""audio""&gt;[sound:たべる.mp3]&lt;/div&gt;")</f>
        <v>&lt;ruby&gt;食&lt;rt&gt;た&lt;/rt&gt;&lt;/ruby&gt;べる&lt;br&gt;&lt;div class="audio"&gt;[sound:たべる.mp3]&lt;/div&gt;</v>
      </c>
      <c r="H104" s="3" t="str">
        <f t="shared" si="1"/>
        <v>(v): ăn</v>
      </c>
      <c r="I104" s="6" t="s">
        <v>540</v>
      </c>
      <c r="J104" s="6" t="s">
        <v>541</v>
      </c>
      <c r="K104" s="7">
        <f t="shared" si="2"/>
        <v>0.05342169264</v>
      </c>
    </row>
    <row r="105">
      <c r="A105" s="4">
        <v>105.0</v>
      </c>
      <c r="B105" s="5" t="s">
        <v>542</v>
      </c>
      <c r="C105" s="5" t="s">
        <v>542</v>
      </c>
      <c r="D105" s="5" t="s">
        <v>542</v>
      </c>
      <c r="E105" s="6" t="s">
        <v>33</v>
      </c>
      <c r="F105" s="6" t="s">
        <v>20</v>
      </c>
      <c r="G105" s="3" t="str">
        <f>IFERROR(__xludf.DUMMYFUNCTION("REGEXREPLACE(
D105,
""([一-龯々]+)\[([^\]]+)\]"",
""&lt;ruby&gt;$1&lt;rt&gt;$2&lt;/rt&gt;&lt;/ruby&gt;""
)&amp;""&lt;br&gt;&lt;div class=""""audio""""&gt;[sound:""&amp;C105&amp;"".mp3]&lt;/div&gt;"""),"いいえ&lt;br&gt;&lt;div class=""audio""&gt;[sound:いいえ.mp3]&lt;/div&gt;")</f>
        <v>いいえ&lt;br&gt;&lt;div class="audio"&gt;[sound:いいえ.mp3]&lt;/div&gt;</v>
      </c>
      <c r="H105" s="3" t="str">
        <f t="shared" si="1"/>
        <v>(int): không</v>
      </c>
      <c r="I105" s="6" t="s">
        <v>543</v>
      </c>
      <c r="J105" s="6" t="s">
        <v>544</v>
      </c>
      <c r="K105" s="7">
        <f t="shared" si="2"/>
        <v>0.5050622462</v>
      </c>
    </row>
    <row r="106">
      <c r="A106" s="4">
        <v>106.0</v>
      </c>
      <c r="B106" s="5" t="s">
        <v>545</v>
      </c>
      <c r="C106" s="5" t="s">
        <v>546</v>
      </c>
      <c r="D106" s="5" t="s">
        <v>547</v>
      </c>
      <c r="E106" s="6" t="s">
        <v>74</v>
      </c>
      <c r="F106" s="6" t="s">
        <v>548</v>
      </c>
      <c r="G106" s="3" t="str">
        <f>IFERROR(__xludf.DUMMYFUNCTION("REGEXREPLACE(
D106,
""([一-龯々]+)\[([^\]]+)\]"",
""&lt;ruby&gt;$1&lt;rt&gt;$2&lt;/rt&gt;&lt;/ruby&gt;""
)&amp;""&lt;br&gt;&lt;div class=""""audio""""&gt;[sound:""&amp;C106&amp;"".mp3]&lt;/div&gt;"""),"&lt;ruby&gt;以上&lt;rt&gt;いじょう&lt;/rt&gt;&lt;/ruby&gt;&lt;br&gt;&lt;div class=""audio""&gt;[sound:いじょう.mp3]&lt;/div&gt;")</f>
        <v>&lt;ruby&gt;以上&lt;rt&gt;いじょう&lt;/rt&gt;&lt;/ruby&gt;&lt;br&gt;&lt;div class="audio"&gt;[sound:いじょう.mp3]&lt;/div&gt;</v>
      </c>
      <c r="H106" s="3" t="str">
        <f t="shared" si="1"/>
        <v>(n): trở lên</v>
      </c>
      <c r="I106" s="6" t="s">
        <v>549</v>
      </c>
      <c r="J106" s="6" t="s">
        <v>550</v>
      </c>
      <c r="K106" s="7">
        <f t="shared" si="2"/>
        <v>0.9760675347</v>
      </c>
    </row>
    <row r="107">
      <c r="A107" s="4">
        <v>107.0</v>
      </c>
      <c r="B107" s="5" t="s">
        <v>551</v>
      </c>
      <c r="C107" s="5" t="s">
        <v>552</v>
      </c>
      <c r="D107" s="5" t="s">
        <v>553</v>
      </c>
      <c r="E107" s="6" t="s">
        <v>74</v>
      </c>
      <c r="F107" s="6" t="s">
        <v>554</v>
      </c>
      <c r="G107" s="3" t="str">
        <f>IFERROR(__xludf.DUMMYFUNCTION("REGEXREPLACE(
D107,
""([一-龯々]+)\[([^\]]+)\]"",
""&lt;ruby&gt;$1&lt;rt&gt;$2&lt;/rt&gt;&lt;/ruby&gt;""
)&amp;""&lt;br&gt;&lt;div class=""""audio""""&gt;[sound:""&amp;C107&amp;"".mp3]&lt;/div&gt;"""),"&lt;ruby&gt;社会&lt;rt&gt;しゃかい&lt;/rt&gt;&lt;/ruby&gt;&lt;br&gt;&lt;div class=""audio""&gt;[sound:しゃかい.mp3]&lt;/div&gt;")</f>
        <v>&lt;ruby&gt;社会&lt;rt&gt;しゃかい&lt;/rt&gt;&lt;/ruby&gt;&lt;br&gt;&lt;div class="audio"&gt;[sound:しゃかい.mp3]&lt;/div&gt;</v>
      </c>
      <c r="H107" s="3" t="str">
        <f t="shared" si="1"/>
        <v>(n): xã hội</v>
      </c>
      <c r="I107" s="6" t="s">
        <v>555</v>
      </c>
      <c r="J107" s="6" t="s">
        <v>556</v>
      </c>
      <c r="K107" s="7">
        <f t="shared" si="2"/>
        <v>0.9215491905</v>
      </c>
    </row>
    <row r="108">
      <c r="A108" s="4">
        <v>108.0</v>
      </c>
      <c r="B108" s="5" t="s">
        <v>557</v>
      </c>
      <c r="C108" s="5" t="s">
        <v>558</v>
      </c>
      <c r="D108" s="5" t="s">
        <v>559</v>
      </c>
      <c r="E108" s="6" t="s">
        <v>24</v>
      </c>
      <c r="F108" s="6" t="s">
        <v>560</v>
      </c>
      <c r="G108" s="3" t="str">
        <f>IFERROR(__xludf.DUMMYFUNCTION("REGEXREPLACE(
D108,
""([一-龯々]+)\[([^\]]+)\]"",
""&lt;ruby&gt;$1&lt;rt&gt;$2&lt;/rt&gt;&lt;/ruby&gt;""
)&amp;""&lt;br&gt;&lt;div class=""""audio""""&gt;[sound:""&amp;C108&amp;"".mp3]&lt;/div&gt;"""),"&lt;ruby&gt;聞&lt;rt&gt;き&lt;/rt&gt;&lt;/ruby&gt;く&lt;br&gt;&lt;div class=""audio""&gt;[sound:きく.mp3]&lt;/div&gt;")</f>
        <v>&lt;ruby&gt;聞&lt;rt&gt;き&lt;/rt&gt;&lt;/ruby&gt;く&lt;br&gt;&lt;div class="audio"&gt;[sound:きく.mp3]&lt;/div&gt;</v>
      </c>
      <c r="H108" s="3" t="str">
        <f t="shared" si="1"/>
        <v>(v): nghe</v>
      </c>
      <c r="I108" s="6" t="s">
        <v>561</v>
      </c>
      <c r="J108" s="6" t="s">
        <v>562</v>
      </c>
      <c r="K108" s="7">
        <f t="shared" si="2"/>
        <v>0.2532232964</v>
      </c>
    </row>
    <row r="109">
      <c r="A109" s="4">
        <v>109.0</v>
      </c>
      <c r="B109" s="5" t="s">
        <v>563</v>
      </c>
      <c r="C109" s="5" t="s">
        <v>564</v>
      </c>
      <c r="D109" s="5" t="s">
        <v>565</v>
      </c>
      <c r="E109" s="6" t="s">
        <v>24</v>
      </c>
      <c r="F109" s="6" t="s">
        <v>566</v>
      </c>
      <c r="G109" s="3" t="str">
        <f>IFERROR(__xludf.DUMMYFUNCTION("REGEXREPLACE(
D109,
""([一-龯々]+)\[([^\]]+)\]"",
""&lt;ruby&gt;$1&lt;rt&gt;$2&lt;/rt&gt;&lt;/ruby&gt;""
)&amp;""&lt;br&gt;&lt;div class=""""audio""""&gt;[sound:""&amp;C109&amp;"".mp3]&lt;/div&gt;"""),"&lt;ruby&gt;入&lt;rt&gt;はい&lt;/rt&gt;&lt;/ruby&gt;る&lt;br&gt;&lt;div class=""audio""&gt;[sound:はいる.mp3]&lt;/div&gt;")</f>
        <v>&lt;ruby&gt;入&lt;rt&gt;はい&lt;/rt&gt;&lt;/ruby&gt;る&lt;br&gt;&lt;div class="audio"&gt;[sound:はいる.mp3]&lt;/div&gt;</v>
      </c>
      <c r="H109" s="3" t="str">
        <f t="shared" si="1"/>
        <v>(v): vào</v>
      </c>
      <c r="I109" s="6" t="s">
        <v>567</v>
      </c>
      <c r="J109" s="6" t="s">
        <v>568</v>
      </c>
      <c r="K109" s="7">
        <f t="shared" si="2"/>
        <v>0.4339781317</v>
      </c>
    </row>
    <row r="110">
      <c r="A110" s="4">
        <v>110.0</v>
      </c>
      <c r="B110" s="5" t="s">
        <v>569</v>
      </c>
      <c r="C110" s="5" t="s">
        <v>570</v>
      </c>
      <c r="D110" s="5" t="s">
        <v>571</v>
      </c>
      <c r="E110" s="6" t="s">
        <v>74</v>
      </c>
      <c r="F110" s="6" t="s">
        <v>572</v>
      </c>
      <c r="G110" s="3" t="str">
        <f>IFERROR(__xludf.DUMMYFUNCTION("REGEXREPLACE(
D110,
""([一-龯々]+)\[([^\]]+)\]"",
""&lt;ruby&gt;$1&lt;rt&gt;$2&lt;/rt&gt;&lt;/ruby&gt;""
)&amp;""&lt;br&gt;&lt;div class=""""audio""""&gt;[sound:""&amp;C110&amp;"".mp3]&lt;/div&gt;"""),"&lt;ruby&gt;本&lt;rt&gt;ほん&lt;/rt&gt;&lt;/ruby&gt;&lt;br&gt;&lt;div class=""audio""&gt;[sound:ほん.mp3]&lt;/div&gt;")</f>
        <v>&lt;ruby&gt;本&lt;rt&gt;ほん&lt;/rt&gt;&lt;/ruby&gt;&lt;br&gt;&lt;div class="audio"&gt;[sound:ほん.mp3]&lt;/div&gt;</v>
      </c>
      <c r="H110" s="3" t="str">
        <f t="shared" si="1"/>
        <v>(n): sách</v>
      </c>
      <c r="I110" s="6" t="s">
        <v>573</v>
      </c>
      <c r="J110" s="6" t="s">
        <v>574</v>
      </c>
      <c r="K110" s="7">
        <f t="shared" si="2"/>
        <v>0.8007696796</v>
      </c>
    </row>
    <row r="111">
      <c r="A111" s="4">
        <v>111.0</v>
      </c>
      <c r="B111" s="5" t="s">
        <v>575</v>
      </c>
      <c r="C111" s="5" t="s">
        <v>576</v>
      </c>
      <c r="D111" s="5" t="s">
        <v>577</v>
      </c>
      <c r="E111" s="6" t="s">
        <v>11</v>
      </c>
      <c r="F111" s="6" t="s">
        <v>578</v>
      </c>
      <c r="G111" s="3" t="str">
        <f>IFERROR(__xludf.DUMMYFUNCTION("REGEXREPLACE(
D111,
""([一-龯々]+)\[([^\]]+)\]"",
""&lt;ruby&gt;$1&lt;rt&gt;$2&lt;/rt&gt;&lt;/ruby&gt;""
)&amp;""&lt;br&gt;&lt;div class=""""audio""""&gt;[sound:""&amp;C111&amp;"".mp3]&lt;/div&gt;"""),"&lt;ruby&gt;良&lt;rt&gt;よ&lt;/rt&gt;&lt;/ruby&gt;い&lt;br&gt;&lt;div class=""audio""&gt;[sound:よい.mp3]&lt;/div&gt;")</f>
        <v>&lt;ruby&gt;良&lt;rt&gt;よ&lt;/rt&gt;&lt;/ruby&gt;い&lt;br&gt;&lt;div class="audio"&gt;[sound:よい.mp3]&lt;/div&gt;</v>
      </c>
      <c r="H111" s="3" t="str">
        <f t="shared" si="1"/>
        <v>(adj): tốt</v>
      </c>
      <c r="I111" s="6" t="s">
        <v>579</v>
      </c>
      <c r="J111" s="6" t="s">
        <v>580</v>
      </c>
      <c r="K111" s="7">
        <f t="shared" si="2"/>
        <v>0.5485716759</v>
      </c>
    </row>
    <row r="112">
      <c r="A112" s="4">
        <v>112.0</v>
      </c>
      <c r="B112" s="5" t="s">
        <v>581</v>
      </c>
      <c r="C112" s="5" t="s">
        <v>582</v>
      </c>
      <c r="D112" s="5" t="s">
        <v>583</v>
      </c>
      <c r="E112" s="6" t="s">
        <v>58</v>
      </c>
      <c r="F112" s="6" t="s">
        <v>584</v>
      </c>
      <c r="G112" s="3" t="str">
        <f>IFERROR(__xludf.DUMMYFUNCTION("REGEXREPLACE(
D112,
""([一-龯々]+)\[([^\]]+)\]"",
""&lt;ruby&gt;$1&lt;rt&gt;$2&lt;/rt&gt;&lt;/ruby&gt;""
)&amp;""&lt;br&gt;&lt;div class=""""audio""""&gt;[sound:""&amp;C112&amp;"".mp3]&lt;/div&gt;"""),"&lt;ruby&gt;三&lt;rt&gt;さん&lt;/rt&gt;&lt;/ruby&gt;&lt;br&gt;&lt;div class=""audio""&gt;[sound:さん.mp3]&lt;/div&gt;")</f>
        <v>&lt;ruby&gt;三&lt;rt&gt;さん&lt;/rt&gt;&lt;/ruby&gt;&lt;br&gt;&lt;div class="audio"&gt;[sound:さん.mp3]&lt;/div&gt;</v>
      </c>
      <c r="H112" s="3" t="str">
        <f t="shared" si="1"/>
        <v>(num): ba</v>
      </c>
      <c r="I112" s="6" t="s">
        <v>585</v>
      </c>
      <c r="J112" s="6" t="s">
        <v>586</v>
      </c>
      <c r="K112" s="7">
        <f t="shared" si="2"/>
        <v>0.7602373974</v>
      </c>
    </row>
    <row r="113">
      <c r="A113" s="4">
        <v>113.0</v>
      </c>
      <c r="B113" s="5" t="s">
        <v>587</v>
      </c>
      <c r="C113" s="5" t="s">
        <v>588</v>
      </c>
      <c r="D113" s="5" t="s">
        <v>589</v>
      </c>
      <c r="E113" s="6" t="s">
        <v>85</v>
      </c>
      <c r="F113" s="6" t="s">
        <v>590</v>
      </c>
      <c r="G113" s="3" t="str">
        <f>IFERROR(__xludf.DUMMYFUNCTION("REGEXREPLACE(
D113,
""([一-龯々]+)\[([^\]]+)\]"",
""&lt;ruby&gt;$1&lt;rt&gt;$2&lt;/rt&gt;&lt;/ruby&gt;""
)&amp;""&lt;br&gt;&lt;div class=""""audio""""&gt;[sound:""&amp;C113&amp;"".mp3]&lt;/div&gt;"""),"&lt;ruby&gt;一番&lt;rt&gt;いちばん&lt;/rt&gt;&lt;/ruby&gt;&lt;br&gt;&lt;div class=""audio""&gt;[sound:いちばん.mp3]&lt;/div&gt;")</f>
        <v>&lt;ruby&gt;一番&lt;rt&gt;いちばん&lt;/rt&gt;&lt;/ruby&gt;&lt;br&gt;&lt;div class="audio"&gt;[sound:いちばん.mp3]&lt;/div&gt;</v>
      </c>
      <c r="H113" s="3" t="str">
        <f t="shared" si="1"/>
        <v>(adv): số một</v>
      </c>
      <c r="I113" s="6" t="s">
        <v>591</v>
      </c>
      <c r="J113" s="6" t="s">
        <v>592</v>
      </c>
      <c r="K113" s="7">
        <f t="shared" si="2"/>
        <v>0.7633757884</v>
      </c>
    </row>
    <row r="114">
      <c r="A114" s="4">
        <v>114.0</v>
      </c>
      <c r="B114" s="5" t="s">
        <v>593</v>
      </c>
      <c r="C114" s="5" t="s">
        <v>593</v>
      </c>
      <c r="D114" s="5" t="s">
        <v>593</v>
      </c>
      <c r="E114" s="6" t="s">
        <v>44</v>
      </c>
      <c r="F114" s="6" t="s">
        <v>594</v>
      </c>
      <c r="G114" s="3" t="str">
        <f>IFERROR(__xludf.DUMMYFUNCTION("REGEXREPLACE(
D114,
""([一-龯々]+)\[([^\]]+)\]"",
""&lt;ruby&gt;$1&lt;rt&gt;$2&lt;/rt&gt;&lt;/ruby&gt;""
)&amp;""&lt;br&gt;&lt;div class=""""audio""""&gt;[sound:""&amp;C114&amp;"".mp3]&lt;/div&gt;"""),"どこ&lt;br&gt;&lt;div class=""audio""&gt;[sound:どこ.mp3]&lt;/div&gt;")</f>
        <v>どこ&lt;br&gt;&lt;div class="audio"&gt;[sound:どこ.mp3]&lt;/div&gt;</v>
      </c>
      <c r="H114" s="3" t="str">
        <f t="shared" si="1"/>
        <v>(pron): ở đâu</v>
      </c>
      <c r="I114" s="6" t="s">
        <v>595</v>
      </c>
      <c r="J114" s="6" t="s">
        <v>596</v>
      </c>
      <c r="K114" s="7">
        <f t="shared" si="2"/>
        <v>0.8075423039</v>
      </c>
    </row>
    <row r="115">
      <c r="A115" s="4">
        <v>115.0</v>
      </c>
      <c r="B115" s="5" t="s">
        <v>597</v>
      </c>
      <c r="C115" s="5" t="s">
        <v>598</v>
      </c>
      <c r="D115" s="5" t="s">
        <v>599</v>
      </c>
      <c r="E115" s="6" t="s">
        <v>11</v>
      </c>
      <c r="F115" s="6" t="s">
        <v>600</v>
      </c>
      <c r="G115" s="3" t="str">
        <f>IFERROR(__xludf.DUMMYFUNCTION("REGEXREPLACE(
D115,
""([一-龯々]+)\[([^\]]+)\]"",
""&lt;ruby&gt;$1&lt;rt&gt;$2&lt;/rt&gt;&lt;/ruby&gt;""
)&amp;""&lt;br&gt;&lt;div class=""""audio""""&gt;[sound:""&amp;C115&amp;"".mp3]&lt;/div&gt;"""),"&lt;ruby&gt;高&lt;rt&gt;たか&lt;/rt&gt;&lt;/ruby&gt;い&lt;br&gt;&lt;div class=""audio""&gt;[sound:たかい.mp3]&lt;/div&gt;")</f>
        <v>&lt;ruby&gt;高&lt;rt&gt;たか&lt;/rt&gt;&lt;/ruby&gt;い&lt;br&gt;&lt;div class="audio"&gt;[sound:たかい.mp3]&lt;/div&gt;</v>
      </c>
      <c r="H115" s="3" t="str">
        <f t="shared" si="1"/>
        <v>(adj): cao</v>
      </c>
      <c r="I115" s="6" t="s">
        <v>601</v>
      </c>
      <c r="J115" s="6" t="s">
        <v>602</v>
      </c>
      <c r="K115" s="7">
        <f t="shared" si="2"/>
        <v>0.03298622151</v>
      </c>
    </row>
    <row r="116">
      <c r="A116" s="4">
        <v>116.0</v>
      </c>
      <c r="B116" s="5" t="s">
        <v>603</v>
      </c>
      <c r="C116" s="5" t="s">
        <v>603</v>
      </c>
      <c r="D116" s="5" t="s">
        <v>603</v>
      </c>
      <c r="E116" s="6" t="s">
        <v>85</v>
      </c>
      <c r="F116" s="6" t="s">
        <v>604</v>
      </c>
      <c r="G116" s="3" t="str">
        <f>IFERROR(__xludf.DUMMYFUNCTION("REGEXREPLACE(
D116,
""([一-龯々]+)\[([^\]]+)\]"",
""&lt;ruby&gt;$1&lt;rt&gt;$2&lt;/rt&gt;&lt;/ruby&gt;""
)&amp;""&lt;br&gt;&lt;div class=""""audio""""&gt;[sound:""&amp;C116&amp;"".mp3]&lt;/div&gt;"""),"とても&lt;br&gt;&lt;div class=""audio""&gt;[sound:とても.mp3]&lt;/div&gt;")</f>
        <v>とても&lt;br&gt;&lt;div class="audio"&gt;[sound:とても.mp3]&lt;/div&gt;</v>
      </c>
      <c r="H116" s="3" t="str">
        <f t="shared" si="1"/>
        <v>(adv): rất</v>
      </c>
      <c r="I116" s="6" t="s">
        <v>605</v>
      </c>
      <c r="J116" s="6" t="s">
        <v>606</v>
      </c>
      <c r="K116" s="7">
        <f t="shared" si="2"/>
        <v>0.6311455656</v>
      </c>
    </row>
    <row r="117">
      <c r="A117" s="4">
        <v>117.0</v>
      </c>
      <c r="B117" s="5" t="s">
        <v>607</v>
      </c>
      <c r="C117" s="5" t="s">
        <v>608</v>
      </c>
      <c r="D117" s="5" t="s">
        <v>609</v>
      </c>
      <c r="E117" s="6" t="s">
        <v>11</v>
      </c>
      <c r="F117" s="6" t="s">
        <v>610</v>
      </c>
      <c r="G117" s="3" t="str">
        <f>IFERROR(__xludf.DUMMYFUNCTION("REGEXREPLACE(
D117,
""([一-龯々]+)\[([^\]]+)\]"",
""&lt;ruby&gt;$1&lt;rt&gt;$2&lt;/rt&gt;&lt;/ruby&gt;""
)&amp;""&lt;br&gt;&lt;div class=""""audio""""&gt;[sound:""&amp;C117&amp;"".mp3]&lt;/div&gt;"""),"&lt;ruby&gt;長&lt;rt&gt;なが&lt;/rt&gt;&lt;/ruby&gt;い&lt;br&gt;&lt;div class=""audio""&gt;[sound:ながい.mp3]&lt;/div&gt;")</f>
        <v>&lt;ruby&gt;長&lt;rt&gt;なが&lt;/rt&gt;&lt;/ruby&gt;い&lt;br&gt;&lt;div class="audio"&gt;[sound:ながい.mp3]&lt;/div&gt;</v>
      </c>
      <c r="H117" s="3" t="str">
        <f t="shared" si="1"/>
        <v>(adj): dài</v>
      </c>
      <c r="I117" s="6" t="s">
        <v>611</v>
      </c>
      <c r="J117" s="6" t="s">
        <v>612</v>
      </c>
      <c r="K117" s="7">
        <f t="shared" si="2"/>
        <v>0.2198768084</v>
      </c>
    </row>
    <row r="118">
      <c r="A118" s="4">
        <v>118.0</v>
      </c>
      <c r="B118" s="5" t="s">
        <v>613</v>
      </c>
      <c r="C118" s="5" t="s">
        <v>614</v>
      </c>
      <c r="D118" s="5" t="s">
        <v>615</v>
      </c>
      <c r="E118" s="6" t="s">
        <v>74</v>
      </c>
      <c r="F118" s="6" t="s">
        <v>616</v>
      </c>
      <c r="G118" s="3" t="str">
        <f>IFERROR(__xludf.DUMMYFUNCTION("REGEXREPLACE(
D118,
""([一-龯々]+)\[([^\]]+)\]"",
""&lt;ruby&gt;$1&lt;rt&gt;$2&lt;/rt&gt;&lt;/ruby&gt;""
)&amp;""&lt;br&gt;&lt;div class=""""audio""""&gt;[sound:""&amp;C118&amp;"".mp3]&lt;/div&gt;"""),"&lt;ruby&gt;場所&lt;rt&gt;ばしょ&lt;/rt&gt;&lt;/ruby&gt;&lt;br&gt;&lt;div class=""audio""&gt;[sound:ばしょ.mp3]&lt;/div&gt;")</f>
        <v>&lt;ruby&gt;場所&lt;rt&gt;ばしょ&lt;/rt&gt;&lt;/ruby&gt;&lt;br&gt;&lt;div class="audio"&gt;[sound:ばしょ.mp3]&lt;/div&gt;</v>
      </c>
      <c r="H118" s="3" t="str">
        <f t="shared" si="1"/>
        <v>(n): địa điểm</v>
      </c>
      <c r="I118" s="6" t="s">
        <v>617</v>
      </c>
      <c r="J118" s="6" t="s">
        <v>618</v>
      </c>
      <c r="K118" s="7">
        <f t="shared" si="2"/>
        <v>0.9233559134</v>
      </c>
    </row>
    <row r="119">
      <c r="A119" s="4">
        <v>119.0</v>
      </c>
      <c r="B119" s="5" t="s">
        <v>619</v>
      </c>
      <c r="C119" s="5" t="s">
        <v>620</v>
      </c>
      <c r="D119" s="5" t="s">
        <v>621</v>
      </c>
      <c r="E119" s="6" t="s">
        <v>74</v>
      </c>
      <c r="F119" s="6" t="s">
        <v>622</v>
      </c>
      <c r="G119" s="3" t="str">
        <f>IFERROR(__xludf.DUMMYFUNCTION("REGEXREPLACE(
D119,
""([一-龯々]+)\[([^\]]+)\]"",
""&lt;ruby&gt;$1&lt;rt&gt;$2&lt;/rt&gt;&lt;/ruby&gt;""
)&amp;""&lt;br&gt;&lt;div class=""""audio""""&gt;[sound:""&amp;C119&amp;"".mp3]&lt;/div&gt;"""),"&lt;ruby&gt;会社&lt;rt&gt;かいしゃ&lt;/rt&gt;&lt;/ruby&gt;&lt;br&gt;&lt;div class=""audio""&gt;[sound:かいしゃ.mp3]&lt;/div&gt;")</f>
        <v>&lt;ruby&gt;会社&lt;rt&gt;かいしゃ&lt;/rt&gt;&lt;/ruby&gt;&lt;br&gt;&lt;div class="audio"&gt;[sound:かいしゃ.mp3]&lt;/div&gt;</v>
      </c>
      <c r="H119" s="3" t="str">
        <f t="shared" si="1"/>
        <v>(n): công ty</v>
      </c>
      <c r="I119" s="6" t="s">
        <v>623</v>
      </c>
      <c r="J119" s="6" t="s">
        <v>624</v>
      </c>
      <c r="K119" s="7">
        <f t="shared" si="2"/>
        <v>0.03776130143</v>
      </c>
    </row>
    <row r="120">
      <c r="A120" s="4">
        <v>120.0</v>
      </c>
      <c r="B120" s="5" t="s">
        <v>625</v>
      </c>
      <c r="C120" s="5" t="s">
        <v>626</v>
      </c>
      <c r="D120" s="5" t="s">
        <v>627</v>
      </c>
      <c r="E120" s="6" t="s">
        <v>11</v>
      </c>
      <c r="F120" s="6" t="s">
        <v>628</v>
      </c>
      <c r="G120" s="3" t="str">
        <f>IFERROR(__xludf.DUMMYFUNCTION("REGEXREPLACE(
D120,
""([一-龯々]+)\[([^\]]+)\]"",
""&lt;ruby&gt;$1&lt;rt&gt;$2&lt;/rt&gt;&lt;/ruby&gt;""
)&amp;""&lt;br&gt;&lt;div class=""""audio""""&gt;[sound:""&amp;C120&amp;"".mp3]&lt;/div&gt;"""),"&lt;ruby&gt;好&lt;rt&gt;す&lt;/rt&gt;&lt;/ruby&gt;き&lt;br&gt;&lt;div class=""audio""&gt;[sound:すき.mp3]&lt;/div&gt;")</f>
        <v>&lt;ruby&gt;好&lt;rt&gt;す&lt;/rt&gt;&lt;/ruby&gt;き&lt;br&gt;&lt;div class="audio"&gt;[sound:すき.mp3]&lt;/div&gt;</v>
      </c>
      <c r="H120" s="3" t="str">
        <f t="shared" si="1"/>
        <v>(adj): thích</v>
      </c>
      <c r="I120" s="6" t="s">
        <v>629</v>
      </c>
      <c r="J120" s="6" t="s">
        <v>630</v>
      </c>
      <c r="K120" s="7">
        <f t="shared" si="2"/>
        <v>0.3594911674</v>
      </c>
    </row>
    <row r="121">
      <c r="A121" s="4">
        <v>121.0</v>
      </c>
      <c r="B121" s="5" t="s">
        <v>631</v>
      </c>
      <c r="C121" s="5" t="s">
        <v>632</v>
      </c>
      <c r="D121" s="5" t="s">
        <v>633</v>
      </c>
      <c r="E121" s="6" t="s">
        <v>74</v>
      </c>
      <c r="F121" s="6" t="s">
        <v>634</v>
      </c>
      <c r="G121" s="3" t="str">
        <f>IFERROR(__xludf.DUMMYFUNCTION("REGEXREPLACE(
D121,
""([一-龯々]+)\[([^\]]+)\]"",
""&lt;ruby&gt;$1&lt;rt&gt;$2&lt;/rt&gt;&lt;/ruby&gt;""
)&amp;""&lt;br&gt;&lt;div class=""""audio""""&gt;[sound:""&amp;C121&amp;"".mp3]&lt;/div&gt;"""),"&lt;ruby&gt;関係&lt;rt&gt;かんけい&lt;/rt&gt;&lt;/ruby&gt;&lt;br&gt;&lt;div class=""audio""&gt;[sound:かんけい.mp3]&lt;/div&gt;")</f>
        <v>&lt;ruby&gt;関係&lt;rt&gt;かんけい&lt;/rt&gt;&lt;/ruby&gt;&lt;br&gt;&lt;div class="audio"&gt;[sound:かんけい.mp3]&lt;/div&gt;</v>
      </c>
      <c r="H121" s="3" t="str">
        <f t="shared" si="1"/>
        <v>(n): quan hệ</v>
      </c>
      <c r="I121" s="6" t="s">
        <v>635</v>
      </c>
      <c r="J121" s="6" t="s">
        <v>636</v>
      </c>
      <c r="K121" s="7">
        <f t="shared" si="2"/>
        <v>0.1088027249</v>
      </c>
    </row>
    <row r="122">
      <c r="A122" s="4">
        <v>122.0</v>
      </c>
      <c r="B122" s="5" t="s">
        <v>637</v>
      </c>
      <c r="C122" s="5" t="s">
        <v>638</v>
      </c>
      <c r="D122" s="5" t="s">
        <v>639</v>
      </c>
      <c r="E122" s="6" t="s">
        <v>74</v>
      </c>
      <c r="F122" s="6" t="s">
        <v>640</v>
      </c>
      <c r="G122" s="3" t="str">
        <f>IFERROR(__xludf.DUMMYFUNCTION("REGEXREPLACE(
D122,
""([一-龯々]+)\[([^\]]+)\]"",
""&lt;ruby&gt;$1&lt;rt&gt;$2&lt;/rt&gt;&lt;/ruby&gt;""
)&amp;""&lt;br&gt;&lt;div class=""""audio""""&gt;[sound:""&amp;C122&amp;"".mp3]&lt;/div&gt;"""),"&lt;ruby&gt;部屋&lt;rt&gt;へや&lt;/rt&gt;&lt;/ruby&gt;&lt;br&gt;&lt;div class=""audio""&gt;[sound:へや.mp3]&lt;/div&gt;")</f>
        <v>&lt;ruby&gt;部屋&lt;rt&gt;へや&lt;/rt&gt;&lt;/ruby&gt;&lt;br&gt;&lt;div class="audio"&gt;[sound:へや.mp3]&lt;/div&gt;</v>
      </c>
      <c r="H122" s="3" t="str">
        <f t="shared" si="1"/>
        <v>(n): phòng</v>
      </c>
      <c r="I122" s="6" t="s">
        <v>641</v>
      </c>
      <c r="J122" s="6" t="s">
        <v>642</v>
      </c>
      <c r="K122" s="7">
        <f t="shared" si="2"/>
        <v>0.199242342</v>
      </c>
    </row>
    <row r="123">
      <c r="A123" s="4">
        <v>123.0</v>
      </c>
      <c r="B123" s="5" t="s">
        <v>643</v>
      </c>
      <c r="C123" s="5" t="s">
        <v>644</v>
      </c>
      <c r="D123" s="5" t="s">
        <v>645</v>
      </c>
      <c r="E123" s="6" t="s">
        <v>24</v>
      </c>
      <c r="F123" s="6" t="s">
        <v>646</v>
      </c>
      <c r="G123" s="3" t="str">
        <f>IFERROR(__xludf.DUMMYFUNCTION("REGEXREPLACE(
D123,
""([一-龯々]+)\[([^\]]+)\]"",
""&lt;ruby&gt;$1&lt;rt&gt;$2&lt;/rt&gt;&lt;/ruby&gt;""
)&amp;""&lt;br&gt;&lt;div class=""""audio""""&gt;[sound:""&amp;C123&amp;"".mp3]&lt;/div&gt;"""),"&lt;ruby&gt;呼&lt;rt&gt;よ&lt;/rt&gt;&lt;/ruby&gt;ぶ&lt;br&gt;&lt;div class=""audio""&gt;[sound:よぶ.mp3]&lt;/div&gt;")</f>
        <v>&lt;ruby&gt;呼&lt;rt&gt;よ&lt;/rt&gt;&lt;/ruby&gt;ぶ&lt;br&gt;&lt;div class="audio"&gt;[sound:よぶ.mp3]&lt;/div&gt;</v>
      </c>
      <c r="H123" s="3" t="str">
        <f t="shared" si="1"/>
        <v>(v): gọi</v>
      </c>
      <c r="I123" s="6" t="s">
        <v>647</v>
      </c>
      <c r="J123" s="6" t="s">
        <v>648</v>
      </c>
      <c r="K123" s="7">
        <f t="shared" si="2"/>
        <v>0.1597928243</v>
      </c>
    </row>
    <row r="124">
      <c r="A124" s="4">
        <v>124.0</v>
      </c>
      <c r="B124" s="5" t="s">
        <v>649</v>
      </c>
      <c r="C124" s="5" t="s">
        <v>650</v>
      </c>
      <c r="D124" s="5" t="s">
        <v>651</v>
      </c>
      <c r="E124" s="6" t="s">
        <v>74</v>
      </c>
      <c r="F124" s="6" t="s">
        <v>382</v>
      </c>
      <c r="G124" s="3" t="str">
        <f>IFERROR(__xludf.DUMMYFUNCTION("REGEXREPLACE(
D124,
""([一-龯々]+)\[([^\]]+)\]"",
""&lt;ruby&gt;$1&lt;rt&gt;$2&lt;/rt&gt;&lt;/ruby&gt;""
)&amp;""&lt;br&gt;&lt;div class=""""audio""""&gt;[sound:""&amp;C124&amp;"".mp3]&lt;/div&gt;"""),"&lt;ruby&gt;名&lt;rt&gt;な&lt;/rt&gt;&lt;/ruby&gt;&lt;br&gt;&lt;div class=""audio""&gt;[sound:な.mp3]&lt;/div&gt;")</f>
        <v>&lt;ruby&gt;名&lt;rt&gt;な&lt;/rt&gt;&lt;/ruby&gt;&lt;br&gt;&lt;div class="audio"&gt;[sound:な.mp3]&lt;/div&gt;</v>
      </c>
      <c r="H124" s="3" t="str">
        <f t="shared" si="1"/>
        <v>(n): tên</v>
      </c>
      <c r="I124" s="6" t="s">
        <v>652</v>
      </c>
      <c r="J124" s="6" t="s">
        <v>653</v>
      </c>
      <c r="K124" s="7">
        <f t="shared" si="2"/>
        <v>0.962718392</v>
      </c>
    </row>
    <row r="125">
      <c r="A125" s="4">
        <v>125.0</v>
      </c>
      <c r="B125" s="5" t="s">
        <v>654</v>
      </c>
      <c r="C125" s="5" t="s">
        <v>655</v>
      </c>
      <c r="D125" s="5" t="s">
        <v>656</v>
      </c>
      <c r="E125" s="6" t="s">
        <v>24</v>
      </c>
      <c r="F125" s="6" t="s">
        <v>657</v>
      </c>
      <c r="G125" s="3" t="str">
        <f>IFERROR(__xludf.DUMMYFUNCTION("REGEXREPLACE(
D125,
""([一-龯々]+)\[([^\]]+)\]"",
""&lt;ruby&gt;$1&lt;rt&gt;$2&lt;/rt&gt;&lt;/ruby&gt;""
)&amp;""&lt;br&gt;&lt;div class=""""audio""""&gt;[sound:""&amp;C125&amp;"".mp3]&lt;/div&gt;"""),"&lt;ruby&gt;合&lt;rt&gt;あ&lt;/rt&gt;&lt;/ruby&gt;わせる&lt;br&gt;&lt;div class=""audio""&gt;[sound:あわせる.mp3]&lt;/div&gt;")</f>
        <v>&lt;ruby&gt;合&lt;rt&gt;あ&lt;/rt&gt;&lt;/ruby&gt;わせる&lt;br&gt;&lt;div class="audio"&gt;[sound:あわせる.mp3]&lt;/div&gt;</v>
      </c>
      <c r="H125" s="3" t="str">
        <f t="shared" si="1"/>
        <v>(v): điều chỉnh</v>
      </c>
      <c r="I125" s="6" t="s">
        <v>658</v>
      </c>
      <c r="J125" s="6" t="s">
        <v>659</v>
      </c>
      <c r="K125" s="7">
        <f t="shared" si="2"/>
        <v>0.7103553928</v>
      </c>
    </row>
    <row r="126">
      <c r="A126" s="4">
        <v>126.0</v>
      </c>
      <c r="B126" s="5" t="s">
        <v>660</v>
      </c>
      <c r="C126" s="5" t="s">
        <v>661</v>
      </c>
      <c r="D126" s="5" t="s">
        <v>662</v>
      </c>
      <c r="E126" s="6" t="s">
        <v>74</v>
      </c>
      <c r="F126" s="6" t="s">
        <v>663</v>
      </c>
      <c r="G126" s="3" t="str">
        <f>IFERROR(__xludf.DUMMYFUNCTION("REGEXREPLACE(
D126,
""([一-龯々]+)\[([^\]]+)\]"",
""&lt;ruby&gt;$1&lt;rt&gt;$2&lt;/rt&gt;&lt;/ruby&gt;""
)&amp;""&lt;br&gt;&lt;div class=""""audio""""&gt;[sound:""&amp;C126&amp;"".mp3]&lt;/div&gt;"""),"&lt;ruby&gt;夜&lt;rt&gt;よる&lt;/rt&gt;&lt;/ruby&gt;&lt;br&gt;&lt;div class=""audio""&gt;[sound:よる.mp3]&lt;/div&gt;")</f>
        <v>&lt;ruby&gt;夜&lt;rt&gt;よる&lt;/rt&gt;&lt;/ruby&gt;&lt;br&gt;&lt;div class="audio"&gt;[sound:よる.mp3]&lt;/div&gt;</v>
      </c>
      <c r="H126" s="3" t="str">
        <f t="shared" si="1"/>
        <v>(n): đêm</v>
      </c>
      <c r="I126" s="6" t="s">
        <v>664</v>
      </c>
      <c r="J126" s="6" t="s">
        <v>665</v>
      </c>
      <c r="K126" s="7">
        <f t="shared" si="2"/>
        <v>0.5682992779</v>
      </c>
    </row>
    <row r="127">
      <c r="A127" s="4">
        <v>127.0</v>
      </c>
      <c r="B127" s="5" t="s">
        <v>666</v>
      </c>
      <c r="C127" s="5" t="s">
        <v>667</v>
      </c>
      <c r="D127" s="5" t="s">
        <v>668</v>
      </c>
      <c r="E127" s="6" t="s">
        <v>74</v>
      </c>
      <c r="F127" s="6" t="s">
        <v>669</v>
      </c>
      <c r="G127" s="3" t="str">
        <f>IFERROR(__xludf.DUMMYFUNCTION("REGEXREPLACE(
D127,
""([一-龯々]+)\[([^\]]+)\]"",
""&lt;ruby&gt;$1&lt;rt&gt;$2&lt;/rt&gt;&lt;/ruby&gt;""
)&amp;""&lt;br&gt;&lt;div class=""""audio""""&gt;[sound:""&amp;C127&amp;"".mp3]&lt;/div&gt;"""),"&lt;ruby&gt;一日&lt;rt&gt;いちにち&lt;/rt&gt;&lt;/ruby&gt;&lt;br&gt;&lt;div class=""audio""&gt;[sound:いちにち.mp3]&lt;/div&gt;")</f>
        <v>&lt;ruby&gt;一日&lt;rt&gt;いちにち&lt;/rt&gt;&lt;/ruby&gt;&lt;br&gt;&lt;div class="audio"&gt;[sound:いちにち.mp3]&lt;/div&gt;</v>
      </c>
      <c r="H127" s="3" t="str">
        <f t="shared" si="1"/>
        <v>(n): một ngày</v>
      </c>
      <c r="I127" s="6" t="s">
        <v>670</v>
      </c>
      <c r="J127" s="6" t="s">
        <v>671</v>
      </c>
      <c r="K127" s="7">
        <f t="shared" si="2"/>
        <v>0.4495989266</v>
      </c>
    </row>
    <row r="128">
      <c r="A128" s="4">
        <v>128.0</v>
      </c>
      <c r="B128" s="5" t="s">
        <v>672</v>
      </c>
      <c r="C128" s="5" t="s">
        <v>673</v>
      </c>
      <c r="D128" s="5" t="s">
        <v>674</v>
      </c>
      <c r="E128" s="6" t="s">
        <v>24</v>
      </c>
      <c r="F128" s="6" t="s">
        <v>675</v>
      </c>
      <c r="G128" s="3" t="str">
        <f>IFERROR(__xludf.DUMMYFUNCTION("REGEXREPLACE(
D128,
""([一-龯々]+)\[([^\]]+)\]"",
""&lt;ruby&gt;$1&lt;rt&gt;$2&lt;/rt&gt;&lt;/ruby&gt;""
)&amp;""&lt;br&gt;&lt;div class=""""audio""""&gt;[sound:""&amp;C128&amp;"".mp3]&lt;/div&gt;"""),"&lt;ruby&gt;使&lt;rt&gt;つか&lt;/rt&gt;&lt;/ruby&gt;う&lt;br&gt;&lt;div class=""audio""&gt;[sound:つかう.mp3]&lt;/div&gt;")</f>
        <v>&lt;ruby&gt;使&lt;rt&gt;つか&lt;/rt&gt;&lt;/ruby&gt;う&lt;br&gt;&lt;div class="audio"&gt;[sound:つかう.mp3]&lt;/div&gt;</v>
      </c>
      <c r="H128" s="3" t="str">
        <f t="shared" si="1"/>
        <v>(v): sử dụng</v>
      </c>
      <c r="I128" s="6" t="s">
        <v>676</v>
      </c>
      <c r="J128" s="6" t="s">
        <v>677</v>
      </c>
      <c r="K128" s="7">
        <f t="shared" si="2"/>
        <v>0.9067250506</v>
      </c>
    </row>
    <row r="129">
      <c r="A129" s="4">
        <v>129.0</v>
      </c>
      <c r="B129" s="5" t="s">
        <v>678</v>
      </c>
      <c r="C129" s="5" t="s">
        <v>679</v>
      </c>
      <c r="D129" s="5" t="s">
        <v>680</v>
      </c>
      <c r="E129" s="6" t="s">
        <v>11</v>
      </c>
      <c r="F129" s="6" t="s">
        <v>681</v>
      </c>
      <c r="G129" s="3" t="str">
        <f>IFERROR(__xludf.DUMMYFUNCTION("REGEXREPLACE(
D129,
""([一-龯々]+)\[([^\]]+)\]"",
""&lt;ruby&gt;$1&lt;rt&gt;$2&lt;/rt&gt;&lt;/ruby&gt;""
)&amp;""&lt;br&gt;&lt;div class=""""audio""""&gt;[sound:""&amp;C129&amp;"".mp3]&lt;/div&gt;"""),"&lt;ruby&gt;大丈夫&lt;rt&gt;だいじょうぶ&lt;/rt&gt;&lt;/ruby&gt;&lt;br&gt;&lt;div class=""audio""&gt;[sound:だいじょうぶ.mp3]&lt;/div&gt;")</f>
        <v>&lt;ruby&gt;大丈夫&lt;rt&gt;だいじょうぶ&lt;/rt&gt;&lt;/ruby&gt;&lt;br&gt;&lt;div class="audio"&gt;[sound:だいじょうぶ.mp3]&lt;/div&gt;</v>
      </c>
      <c r="H129" s="3" t="str">
        <f t="shared" si="1"/>
        <v>(adj): ổn</v>
      </c>
      <c r="I129" s="6" t="s">
        <v>682</v>
      </c>
      <c r="J129" s="6" t="s">
        <v>683</v>
      </c>
      <c r="K129" s="7">
        <f t="shared" si="2"/>
        <v>0.6504037033</v>
      </c>
    </row>
    <row r="130">
      <c r="A130" s="4">
        <v>130.0</v>
      </c>
      <c r="B130" s="5" t="s">
        <v>684</v>
      </c>
      <c r="C130" s="5" t="s">
        <v>685</v>
      </c>
      <c r="D130" s="5" t="s">
        <v>686</v>
      </c>
      <c r="E130" s="6" t="s">
        <v>74</v>
      </c>
      <c r="F130" s="6" t="s">
        <v>687</v>
      </c>
      <c r="G130" s="3" t="str">
        <f>IFERROR(__xludf.DUMMYFUNCTION("REGEXREPLACE(
D130,
""([一-龯々]+)\[([^\]]+)\]"",
""&lt;ruby&gt;$1&lt;rt&gt;$2&lt;/rt&gt;&lt;/ruby&gt;""
)&amp;""&lt;br&gt;&lt;div class=""""audio""""&gt;[sound:""&amp;C130&amp;"".mp3]&lt;/div&gt;"""),"&lt;ruby&gt;電話&lt;rt&gt;でんわ&lt;/rt&gt;&lt;/ruby&gt;&lt;br&gt;&lt;div class=""audio""&gt;[sound:でんわ.mp3]&lt;/div&gt;")</f>
        <v>&lt;ruby&gt;電話&lt;rt&gt;でんわ&lt;/rt&gt;&lt;/ruby&gt;&lt;br&gt;&lt;div class="audio"&gt;[sound:でんわ.mp3]&lt;/div&gt;</v>
      </c>
      <c r="H130" s="3" t="str">
        <f t="shared" si="1"/>
        <v>(n): điện thoại</v>
      </c>
      <c r="I130" s="6" t="s">
        <v>688</v>
      </c>
      <c r="J130" s="6" t="s">
        <v>689</v>
      </c>
      <c r="K130" s="7">
        <f t="shared" si="2"/>
        <v>0.9300546193</v>
      </c>
    </row>
    <row r="131">
      <c r="A131" s="4">
        <v>131.0</v>
      </c>
      <c r="B131" s="5" t="s">
        <v>690</v>
      </c>
      <c r="C131" s="5" t="s">
        <v>691</v>
      </c>
      <c r="D131" s="5" t="s">
        <v>692</v>
      </c>
      <c r="E131" s="6" t="s">
        <v>74</v>
      </c>
      <c r="F131" s="6" t="s">
        <v>693</v>
      </c>
      <c r="G131" s="3" t="str">
        <f>IFERROR(__xludf.DUMMYFUNCTION("REGEXREPLACE(
D131,
""([一-龯々]+)\[([^\]]+)\]"",
""&lt;ruby&gt;$1&lt;rt&gt;$2&lt;/rt&gt;&lt;/ruby&gt;""
)&amp;""&lt;br&gt;&lt;div class=""""audio""""&gt;[sound:""&amp;C131&amp;"".mp3]&lt;/div&gt;"""),"&lt;ruby&gt;声&lt;rt&gt;こえ&lt;/rt&gt;&lt;/ruby&gt;&lt;br&gt;&lt;div class=""audio""&gt;[sound:こえ.mp3]&lt;/div&gt;")</f>
        <v>&lt;ruby&gt;声&lt;rt&gt;こえ&lt;/rt&gt;&lt;/ruby&gt;&lt;br&gt;&lt;div class="audio"&gt;[sound:こえ.mp3]&lt;/div&gt;</v>
      </c>
      <c r="H131" s="3" t="str">
        <f t="shared" si="1"/>
        <v>(n): giọng nói</v>
      </c>
      <c r="I131" s="6" t="s">
        <v>694</v>
      </c>
      <c r="J131" s="6" t="s">
        <v>695</v>
      </c>
      <c r="K131" s="7">
        <f t="shared" si="2"/>
        <v>0.6797458077</v>
      </c>
    </row>
    <row r="132">
      <c r="A132" s="4">
        <v>132.0</v>
      </c>
      <c r="B132" s="5" t="s">
        <v>696</v>
      </c>
      <c r="C132" s="5" t="s">
        <v>697</v>
      </c>
      <c r="D132" s="5" t="s">
        <v>698</v>
      </c>
      <c r="E132" s="6" t="s">
        <v>74</v>
      </c>
      <c r="F132" s="6" t="s">
        <v>699</v>
      </c>
      <c r="G132" s="3" t="str">
        <f>IFERROR(__xludf.DUMMYFUNCTION("REGEXREPLACE(
D132,
""([一-龯々]+)\[([^\]]+)\]"",
""&lt;ruby&gt;$1&lt;rt&gt;$2&lt;/rt&gt;&lt;/ruby&gt;""
)&amp;""&lt;br&gt;&lt;div class=""""audio""""&gt;[sound:""&amp;C132&amp;"".mp3]&lt;/div&gt;"""),"&lt;ruby&gt;収入&lt;rt&gt;しゅうにゅう&lt;/rt&gt;&lt;/ruby&gt;&lt;br&gt;&lt;div class=""audio""&gt;[sound:しゅうにゅう.mp3]&lt;/div&gt;")</f>
        <v>&lt;ruby&gt;収入&lt;rt&gt;しゅうにゅう&lt;/rt&gt;&lt;/ruby&gt;&lt;br&gt;&lt;div class="audio"&gt;[sound:しゅうにゅう.mp3]&lt;/div&gt;</v>
      </c>
      <c r="H132" s="3" t="str">
        <f t="shared" si="1"/>
        <v>(n): thu nhập</v>
      </c>
      <c r="I132" s="6" t="s">
        <v>700</v>
      </c>
      <c r="J132" s="6" t="s">
        <v>701</v>
      </c>
      <c r="K132" s="7">
        <f t="shared" si="2"/>
        <v>0.3976229025</v>
      </c>
    </row>
    <row r="133">
      <c r="A133" s="4">
        <v>133.0</v>
      </c>
      <c r="B133" s="5" t="s">
        <v>702</v>
      </c>
      <c r="C133" s="5" t="s">
        <v>703</v>
      </c>
      <c r="D133" s="5" t="s">
        <v>704</v>
      </c>
      <c r="E133" s="6" t="s">
        <v>74</v>
      </c>
      <c r="F133" s="6" t="s">
        <v>705</v>
      </c>
      <c r="G133" s="3" t="str">
        <f>IFERROR(__xludf.DUMMYFUNCTION("REGEXREPLACE(
D133,
""([一-龯々]+)\[([^\]]+)\]"",
""&lt;ruby&gt;$1&lt;rt&gt;$2&lt;/rt&gt;&lt;/ruby&gt;""
)&amp;""&lt;br&gt;&lt;div class=""""audio""""&gt;[sound:""&amp;C133&amp;"".mp3]&lt;/div&gt;"""),"&lt;ruby&gt;県&lt;rt&gt;けん&lt;/rt&gt;&lt;/ruby&gt;&lt;br&gt;&lt;div class=""audio""&gt;[sound:けん.mp3]&lt;/div&gt;")</f>
        <v>&lt;ruby&gt;県&lt;rt&gt;けん&lt;/rt&gt;&lt;/ruby&gt;&lt;br&gt;&lt;div class="audio"&gt;[sound:けん.mp3]&lt;/div&gt;</v>
      </c>
      <c r="H133" s="3" t="str">
        <f t="shared" si="1"/>
        <v>(n): tỉnh</v>
      </c>
      <c r="I133" s="6" t="s">
        <v>706</v>
      </c>
      <c r="J133" s="6" t="s">
        <v>707</v>
      </c>
      <c r="K133" s="7">
        <f t="shared" si="2"/>
        <v>0.8793302933</v>
      </c>
    </row>
    <row r="134">
      <c r="A134" s="4">
        <v>134.0</v>
      </c>
      <c r="B134" s="5" t="s">
        <v>708</v>
      </c>
      <c r="C134" s="5" t="s">
        <v>709</v>
      </c>
      <c r="D134" s="5" t="s">
        <v>710</v>
      </c>
      <c r="E134" s="6" t="s">
        <v>24</v>
      </c>
      <c r="F134" s="6" t="s">
        <v>711</v>
      </c>
      <c r="G134" s="3" t="str">
        <f>IFERROR(__xludf.DUMMYFUNCTION("REGEXREPLACE(
D134,
""([一-龯々]+)\[([^\]]+)\]"",
""&lt;ruby&gt;$1&lt;rt&gt;$2&lt;/rt&gt;&lt;/ruby&gt;""
)&amp;""&lt;br&gt;&lt;div class=""""audio""""&gt;[sound:""&amp;C134&amp;"".mp3]&lt;/div&gt;"""),"&lt;ruby&gt;寝&lt;rt&gt;ね&lt;/rt&gt;&lt;/ruby&gt;る&lt;br&gt;&lt;div class=""audio""&gt;[sound:ねる.mp3]&lt;/div&gt;")</f>
        <v>&lt;ruby&gt;寝&lt;rt&gt;ね&lt;/rt&gt;&lt;/ruby&gt;る&lt;br&gt;&lt;div class="audio"&gt;[sound:ねる.mp3]&lt;/div&gt;</v>
      </c>
      <c r="H134" s="3" t="str">
        <f t="shared" si="1"/>
        <v>(v): ngủ</v>
      </c>
      <c r="I134" s="6" t="s">
        <v>712</v>
      </c>
      <c r="J134" s="6" t="s">
        <v>713</v>
      </c>
      <c r="K134" s="7">
        <f t="shared" si="2"/>
        <v>0.7144192966</v>
      </c>
    </row>
    <row r="135">
      <c r="A135" s="4">
        <v>135.0</v>
      </c>
      <c r="B135" s="5" t="s">
        <v>714</v>
      </c>
      <c r="C135" s="5" t="s">
        <v>715</v>
      </c>
      <c r="D135" s="5" t="s">
        <v>714</v>
      </c>
      <c r="E135" s="6" t="s">
        <v>74</v>
      </c>
      <c r="F135" s="6" t="s">
        <v>716</v>
      </c>
      <c r="G135" s="3" t="str">
        <f>IFERROR(__xludf.DUMMYFUNCTION("REGEXREPLACE(
D135,
""([一-龯々]+)\[([^\]]+)\]"",
""&lt;ruby&gt;$1&lt;rt&gt;$2&lt;/rt&gt;&lt;/ruby&gt;""
)&amp;""&lt;br&gt;&lt;div class=""""audio""""&gt;[sound:""&amp;C135&amp;"".mp3]&lt;/div&gt;"""),"パソコン&lt;br&gt;&lt;div class=""audio""&gt;[sound:ぱそこん.mp3]&lt;/div&gt;")</f>
        <v>パソコン&lt;br&gt;&lt;div class="audio"&gt;[sound:ぱそこん.mp3]&lt;/div&gt;</v>
      </c>
      <c r="H135" s="3" t="str">
        <f t="shared" si="1"/>
        <v>(n): máy tính</v>
      </c>
      <c r="I135" s="6" t="s">
        <v>717</v>
      </c>
      <c r="J135" s="6" t="s">
        <v>718</v>
      </c>
      <c r="K135" s="7">
        <f t="shared" si="2"/>
        <v>0.7166485933</v>
      </c>
    </row>
    <row r="136">
      <c r="A136" s="4">
        <v>136.0</v>
      </c>
      <c r="B136" s="5" t="s">
        <v>719</v>
      </c>
      <c r="C136" s="5" t="s">
        <v>720</v>
      </c>
      <c r="D136" s="5" t="s">
        <v>721</v>
      </c>
      <c r="E136" s="6" t="s">
        <v>74</v>
      </c>
      <c r="F136" s="6" t="s">
        <v>722</v>
      </c>
      <c r="G136" s="3" t="str">
        <f>IFERROR(__xludf.DUMMYFUNCTION("REGEXREPLACE(
D136,
""([一-龯々]+)\[([^\]]+)\]"",
""&lt;ruby&gt;$1&lt;rt&gt;$2&lt;/rt&gt;&lt;/ruby&gt;""
)&amp;""&lt;br&gt;&lt;div class=""""audio""""&gt;[sound:""&amp;C136&amp;"".mp3]&lt;/div&gt;"""),"&lt;ruby&gt;世界&lt;rt&gt;せかい&lt;/rt&gt;&lt;/ruby&gt;&lt;br&gt;&lt;div class=""audio""&gt;[sound:せかい.mp3]&lt;/div&gt;")</f>
        <v>&lt;ruby&gt;世界&lt;rt&gt;せかい&lt;/rt&gt;&lt;/ruby&gt;&lt;br&gt;&lt;div class="audio"&gt;[sound:せかい.mp3]&lt;/div&gt;</v>
      </c>
      <c r="H136" s="3" t="str">
        <f t="shared" si="1"/>
        <v>(n): thế giới</v>
      </c>
      <c r="I136" s="6" t="s">
        <v>723</v>
      </c>
      <c r="J136" s="6" t="s">
        <v>724</v>
      </c>
      <c r="K136" s="7">
        <f t="shared" si="2"/>
        <v>0.16903198</v>
      </c>
    </row>
    <row r="137">
      <c r="A137" s="4">
        <v>137.0</v>
      </c>
      <c r="B137" s="5" t="s">
        <v>725</v>
      </c>
      <c r="C137" s="5" t="s">
        <v>726</v>
      </c>
      <c r="D137" s="5" t="s">
        <v>727</v>
      </c>
      <c r="E137" s="6" t="s">
        <v>24</v>
      </c>
      <c r="F137" s="6" t="s">
        <v>728</v>
      </c>
      <c r="G137" s="3" t="str">
        <f>IFERROR(__xludf.DUMMYFUNCTION("REGEXREPLACE(
D137,
""([一-龯々]+)\[([^\]]+)\]"",
""&lt;ruby&gt;$1&lt;rt&gt;$2&lt;/rt&gt;&lt;/ruby&gt;""
)&amp;""&lt;br&gt;&lt;div class=""""audio""""&gt;[sound:""&amp;C137&amp;"".mp3]&lt;/div&gt;"""),"&lt;ruby&gt;分&lt;rt&gt;わ&lt;/rt&gt;&lt;/ruby&gt;かる&lt;br&gt;&lt;div class=""audio""&gt;[sound:わかる.mp3]&lt;/div&gt;")</f>
        <v>&lt;ruby&gt;分&lt;rt&gt;わ&lt;/rt&gt;&lt;/ruby&gt;かる&lt;br&gt;&lt;div class="audio"&gt;[sound:わかる.mp3]&lt;/div&gt;</v>
      </c>
      <c r="H137" s="3" t="str">
        <f t="shared" si="1"/>
        <v>(v): hiểu</v>
      </c>
      <c r="I137" s="6" t="s">
        <v>729</v>
      </c>
      <c r="J137" s="6" t="s">
        <v>730</v>
      </c>
      <c r="K137" s="7">
        <f t="shared" si="2"/>
        <v>0.2488369208</v>
      </c>
    </row>
    <row r="138">
      <c r="A138" s="4">
        <v>138.0</v>
      </c>
      <c r="B138" s="5" t="s">
        <v>731</v>
      </c>
      <c r="C138" s="5" t="s">
        <v>732</v>
      </c>
      <c r="D138" s="5" t="s">
        <v>733</v>
      </c>
      <c r="E138" s="6" t="s">
        <v>24</v>
      </c>
      <c r="F138" s="6" t="s">
        <v>734</v>
      </c>
      <c r="G138" s="3" t="str">
        <f>IFERROR(__xludf.DUMMYFUNCTION("REGEXREPLACE(
D138,
""([一-龯々]+)\[([^\]]+)\]"",
""&lt;ruby&gt;$1&lt;rt&gt;$2&lt;/rt&gt;&lt;/ruby&gt;""
)&amp;""&lt;br&gt;&lt;div class=""""audio""""&gt;[sound:""&amp;C138&amp;"".mp3]&lt;/div&gt;"""),"&lt;ruby&gt;置&lt;rt&gt;お&lt;/rt&gt;&lt;/ruby&gt;く&lt;br&gt;&lt;div class=""audio""&gt;[sound:おく.mp3]&lt;/div&gt;")</f>
        <v>&lt;ruby&gt;置&lt;rt&gt;お&lt;/rt&gt;&lt;/ruby&gt;く&lt;br&gt;&lt;div class="audio"&gt;[sound:おく.mp3]&lt;/div&gt;</v>
      </c>
      <c r="H138" s="3" t="str">
        <f t="shared" si="1"/>
        <v>(v): đặt</v>
      </c>
      <c r="I138" s="6" t="s">
        <v>735</v>
      </c>
      <c r="J138" s="6" t="s">
        <v>736</v>
      </c>
      <c r="K138" s="7">
        <f t="shared" si="2"/>
        <v>0.00521524297</v>
      </c>
    </row>
    <row r="139">
      <c r="A139" s="4">
        <v>139.0</v>
      </c>
      <c r="B139" s="5" t="s">
        <v>737</v>
      </c>
      <c r="C139" s="5" t="s">
        <v>738</v>
      </c>
      <c r="D139" s="5" t="s">
        <v>739</v>
      </c>
      <c r="E139" s="6" t="s">
        <v>24</v>
      </c>
      <c r="F139" s="6" t="s">
        <v>740</v>
      </c>
      <c r="G139" s="3" t="str">
        <f>IFERROR(__xludf.DUMMYFUNCTION("REGEXREPLACE(
D139,
""([一-龯々]+)\[([^\]]+)\]"",
""&lt;ruby&gt;$1&lt;rt&gt;$2&lt;/rt&gt;&lt;/ruby&gt;""
)&amp;""&lt;br&gt;&lt;div class=""""audio""""&gt;[sound:""&amp;C139&amp;"".mp3]&lt;/div&gt;"""),"&lt;ruby&gt;入&lt;rt&gt;い&lt;/rt&gt;&lt;/ruby&gt;れる&lt;br&gt;&lt;div class=""audio""&gt;[sound:いれる.mp3]&lt;/div&gt;")</f>
        <v>&lt;ruby&gt;入&lt;rt&gt;い&lt;/rt&gt;&lt;/ruby&gt;れる&lt;br&gt;&lt;div class="audio"&gt;[sound:いれる.mp3]&lt;/div&gt;</v>
      </c>
      <c r="H139" s="3" t="str">
        <f t="shared" si="1"/>
        <v>(v): cho vào</v>
      </c>
      <c r="I139" s="6" t="s">
        <v>741</v>
      </c>
      <c r="J139" s="6" t="s">
        <v>742</v>
      </c>
      <c r="K139" s="7">
        <f t="shared" si="2"/>
        <v>0.1599630001</v>
      </c>
    </row>
    <row r="140">
      <c r="A140" s="4">
        <v>140.0</v>
      </c>
      <c r="B140" s="5" t="s">
        <v>743</v>
      </c>
      <c r="C140" s="5" t="s">
        <v>744</v>
      </c>
      <c r="D140" s="5" t="s">
        <v>745</v>
      </c>
      <c r="E140" s="6" t="s">
        <v>74</v>
      </c>
      <c r="F140" s="6" t="s">
        <v>746</v>
      </c>
      <c r="G140" s="3" t="str">
        <f>IFERROR(__xludf.DUMMYFUNCTION("REGEXREPLACE(
D140,
""([一-龯々]+)\[([^\]]+)\]"",
""&lt;ruby&gt;$1&lt;rt&gt;$2&lt;/rt&gt;&lt;/ruby&gt;""
)&amp;""&lt;br&gt;&lt;div class=""""audio""""&gt;[sound:""&amp;C140&amp;"".mp3]&lt;/div&gt;"""),"&lt;ruby&gt;仕事&lt;rt&gt;しごと&lt;/rt&gt;&lt;/ruby&gt;&lt;br&gt;&lt;div class=""audio""&gt;[sound:しごと.mp3]&lt;/div&gt;")</f>
        <v>&lt;ruby&gt;仕事&lt;rt&gt;しごと&lt;/rt&gt;&lt;/ruby&gt;&lt;br&gt;&lt;div class="audio"&gt;[sound:しごと.mp3]&lt;/div&gt;</v>
      </c>
      <c r="H140" s="3" t="str">
        <f t="shared" si="1"/>
        <v>(n): công việc</v>
      </c>
      <c r="I140" s="6" t="s">
        <v>747</v>
      </c>
      <c r="J140" s="6" t="s">
        <v>748</v>
      </c>
      <c r="K140" s="7">
        <f t="shared" si="2"/>
        <v>0.3981180293</v>
      </c>
    </row>
    <row r="141">
      <c r="A141" s="4">
        <v>141.0</v>
      </c>
      <c r="B141" s="5" t="s">
        <v>749</v>
      </c>
      <c r="C141" s="5" t="s">
        <v>23</v>
      </c>
      <c r="D141" s="5" t="s">
        <v>750</v>
      </c>
      <c r="E141" s="6" t="s">
        <v>24</v>
      </c>
      <c r="F141" s="6" t="s">
        <v>751</v>
      </c>
      <c r="G141" s="3" t="str">
        <f>IFERROR(__xludf.DUMMYFUNCTION("REGEXREPLACE(
D141,
""([一-龯々]+)\[([^\]]+)\]"",
""&lt;ruby&gt;$1&lt;rt&gt;$2&lt;/rt&gt;&lt;/ruby&gt;""
)&amp;""&lt;br&gt;&lt;div class=""""audio""""&gt;[sound:""&amp;C141&amp;"".mp3]&lt;/div&gt;"""),"&lt;ruby&gt;上&lt;rt&gt;あ&lt;/rt&gt;&lt;/ruby&gt;げる&lt;br&gt;&lt;div class=""audio""&gt;[sound:あげる.mp3]&lt;/div&gt;")</f>
        <v>&lt;ruby&gt;上&lt;rt&gt;あ&lt;/rt&gt;&lt;/ruby&gt;げる&lt;br&gt;&lt;div class="audio"&gt;[sound:あげる.mp3]&lt;/div&gt;</v>
      </c>
      <c r="H141" s="3" t="str">
        <f t="shared" si="1"/>
        <v>(v): nâng lên</v>
      </c>
      <c r="I141" s="6" t="s">
        <v>752</v>
      </c>
      <c r="J141" s="6" t="s">
        <v>753</v>
      </c>
      <c r="K141" s="7">
        <f t="shared" si="2"/>
        <v>0.1893021194</v>
      </c>
    </row>
    <row r="142">
      <c r="A142" s="4">
        <v>142.0</v>
      </c>
      <c r="B142" s="5" t="s">
        <v>754</v>
      </c>
      <c r="C142" s="5" t="s">
        <v>755</v>
      </c>
      <c r="D142" s="5" t="s">
        <v>756</v>
      </c>
      <c r="E142" s="6" t="s">
        <v>24</v>
      </c>
      <c r="F142" s="6" t="s">
        <v>757</v>
      </c>
      <c r="G142" s="3" t="str">
        <f>IFERROR(__xludf.DUMMYFUNCTION("REGEXREPLACE(
D142,
""([一-龯々]+)\[([^\]]+)\]"",
""&lt;ruby&gt;$1&lt;rt&gt;$2&lt;/rt&gt;&lt;/ruby&gt;""
)&amp;""&lt;br&gt;&lt;div class=""""audio""""&gt;[sound:""&amp;C142&amp;"".mp3]&lt;/div&gt;"""),"&lt;ruby&gt;待&lt;rt&gt;ま&lt;/rt&gt;&lt;/ruby&gt;つ&lt;br&gt;&lt;div class=""audio""&gt;[sound:まつ.mp3]&lt;/div&gt;")</f>
        <v>&lt;ruby&gt;待&lt;rt&gt;ま&lt;/rt&gt;&lt;/ruby&gt;つ&lt;br&gt;&lt;div class="audio"&gt;[sound:まつ.mp3]&lt;/div&gt;</v>
      </c>
      <c r="H142" s="3" t="str">
        <f t="shared" si="1"/>
        <v>(v): đợi</v>
      </c>
      <c r="I142" s="6" t="s">
        <v>758</v>
      </c>
      <c r="J142" s="6" t="s">
        <v>759</v>
      </c>
      <c r="K142" s="7">
        <f t="shared" si="2"/>
        <v>0.6362726915</v>
      </c>
    </row>
    <row r="143">
      <c r="A143" s="4">
        <v>143.0</v>
      </c>
      <c r="B143" s="5" t="s">
        <v>760</v>
      </c>
      <c r="C143" s="5" t="s">
        <v>761</v>
      </c>
      <c r="D143" s="5" t="s">
        <v>762</v>
      </c>
      <c r="E143" s="6" t="s">
        <v>74</v>
      </c>
      <c r="F143" s="6" t="s">
        <v>763</v>
      </c>
      <c r="G143" s="3" t="str">
        <f>IFERROR(__xludf.DUMMYFUNCTION("REGEXREPLACE(
D143,
""([一-龯々]+)\[([^\]]+)\]"",
""&lt;ruby&gt;$1&lt;rt&gt;$2&lt;/rt&gt;&lt;/ruby&gt;""
)&amp;""&lt;br&gt;&lt;div class=""""audio""""&gt;[sound:""&amp;C143&amp;"".mp3]&lt;/div&gt;"""),"&lt;ruby&gt;上&lt;rt&gt;うえ&lt;/rt&gt;&lt;/ruby&gt;&lt;br&gt;&lt;div class=""audio""&gt;[sound:うえ.mp3]&lt;/div&gt;")</f>
        <v>&lt;ruby&gt;上&lt;rt&gt;うえ&lt;/rt&gt;&lt;/ruby&gt;&lt;br&gt;&lt;div class="audio"&gt;[sound:うえ.mp3]&lt;/div&gt;</v>
      </c>
      <c r="H143" s="3" t="str">
        <f t="shared" si="1"/>
        <v>(n): trên</v>
      </c>
      <c r="I143" s="6" t="s">
        <v>764</v>
      </c>
      <c r="J143" s="6" t="s">
        <v>765</v>
      </c>
      <c r="K143" s="7">
        <f t="shared" si="2"/>
        <v>0.8796028457</v>
      </c>
    </row>
    <row r="144">
      <c r="A144" s="4">
        <v>144.0</v>
      </c>
      <c r="B144" s="5" t="s">
        <v>766</v>
      </c>
      <c r="C144" s="5" t="s">
        <v>767</v>
      </c>
      <c r="D144" s="5" t="s">
        <v>768</v>
      </c>
      <c r="E144" s="6" t="s">
        <v>24</v>
      </c>
      <c r="F144" s="6" t="s">
        <v>769</v>
      </c>
      <c r="G144" s="3" t="str">
        <f>IFERROR(__xludf.DUMMYFUNCTION("REGEXREPLACE(
D144,
""([一-龯々]+)\[([^\]]+)\]"",
""&lt;ruby&gt;$1&lt;rt&gt;$2&lt;/rt&gt;&lt;/ruby&gt;""
)&amp;""&lt;br&gt;&lt;div class=""""audio""""&gt;[sound:""&amp;C144&amp;"".mp3]&lt;/div&gt;"""),"&lt;ruby&gt;来&lt;rt&gt;く&lt;/rt&gt;&lt;/ruby&gt;る&lt;br&gt;&lt;div class=""audio""&gt;[sound:くる.mp3]&lt;/div&gt;")</f>
        <v>&lt;ruby&gt;来&lt;rt&gt;く&lt;/rt&gt;&lt;/ruby&gt;る&lt;br&gt;&lt;div class="audio"&gt;[sound:くる.mp3]&lt;/div&gt;</v>
      </c>
      <c r="H144" s="3" t="str">
        <f t="shared" si="1"/>
        <v>(v): đến</v>
      </c>
      <c r="I144" s="6" t="s">
        <v>770</v>
      </c>
      <c r="J144" s="6" t="s">
        <v>771</v>
      </c>
      <c r="K144" s="7">
        <f t="shared" si="2"/>
        <v>0.794715236</v>
      </c>
    </row>
    <row r="145">
      <c r="A145" s="4">
        <v>145.0</v>
      </c>
      <c r="B145" s="5" t="s">
        <v>772</v>
      </c>
      <c r="C145" s="5" t="s">
        <v>773</v>
      </c>
      <c r="D145" s="5" t="s">
        <v>772</v>
      </c>
      <c r="E145" s="6" t="s">
        <v>74</v>
      </c>
      <c r="F145" s="6" t="s">
        <v>774</v>
      </c>
      <c r="G145" s="3" t="str">
        <f>IFERROR(__xludf.DUMMYFUNCTION("REGEXREPLACE(
D145,
""([一-龯々]+)\[([^\]]+)\]"",
""&lt;ruby&gt;$1&lt;rt&gt;$2&lt;/rt&gt;&lt;/ruby&gt;""
)&amp;""&lt;br&gt;&lt;div class=""""audio""""&gt;[sound:""&amp;C145&amp;"".mp3]&lt;/div&gt;"""),"バス&lt;br&gt;&lt;div class=""audio""&gt;[sound:ばす.mp3]&lt;/div&gt;")</f>
        <v>バス&lt;br&gt;&lt;div class="audio"&gt;[sound:ばす.mp3]&lt;/div&gt;</v>
      </c>
      <c r="H145" s="3" t="str">
        <f t="shared" si="1"/>
        <v>(n): xe buýt</v>
      </c>
      <c r="I145" s="6" t="s">
        <v>775</v>
      </c>
      <c r="J145" s="6" t="s">
        <v>776</v>
      </c>
      <c r="K145" s="7">
        <f t="shared" si="2"/>
        <v>0.659231019</v>
      </c>
    </row>
    <row r="146">
      <c r="A146" s="4">
        <v>146.0</v>
      </c>
      <c r="B146" s="5" t="s">
        <v>777</v>
      </c>
      <c r="C146" s="5" t="s">
        <v>778</v>
      </c>
      <c r="D146" s="5" t="s">
        <v>779</v>
      </c>
      <c r="E146" s="6" t="s">
        <v>24</v>
      </c>
      <c r="F146" s="6" t="s">
        <v>769</v>
      </c>
      <c r="G146" s="3" t="str">
        <f>IFERROR(__xludf.DUMMYFUNCTION("REGEXREPLACE(
D146,
""([一-龯々]+)\[([^\]]+)\]"",
""&lt;ruby&gt;$1&lt;rt&gt;$2&lt;/rt&gt;&lt;/ruby&gt;""
)&amp;""&lt;br&gt;&lt;div class=""""audio""""&gt;[sound:""&amp;C146&amp;"".mp3]&lt;/div&gt;"""),"&lt;ruby&gt;着&lt;rt&gt;つ&lt;/rt&gt;&lt;/ruby&gt;く&lt;br&gt;&lt;div class=""audio""&gt;[sound:つく.mp3]&lt;/div&gt;")</f>
        <v>&lt;ruby&gt;着&lt;rt&gt;つ&lt;/rt&gt;&lt;/ruby&gt;く&lt;br&gt;&lt;div class="audio"&gt;[sound:つく.mp3]&lt;/div&gt;</v>
      </c>
      <c r="H146" s="3" t="str">
        <f t="shared" si="1"/>
        <v>(v): đến</v>
      </c>
      <c r="I146" s="6" t="s">
        <v>780</v>
      </c>
      <c r="J146" s="6" t="s">
        <v>781</v>
      </c>
      <c r="K146" s="7">
        <f t="shared" si="2"/>
        <v>0.4123492371</v>
      </c>
    </row>
    <row r="147">
      <c r="A147" s="4">
        <v>147.0</v>
      </c>
      <c r="B147" s="5" t="s">
        <v>782</v>
      </c>
      <c r="C147" s="5" t="s">
        <v>783</v>
      </c>
      <c r="D147" s="5" t="s">
        <v>784</v>
      </c>
      <c r="E147" s="6" t="s">
        <v>74</v>
      </c>
      <c r="F147" s="6" t="s">
        <v>240</v>
      </c>
      <c r="G147" s="3" t="str">
        <f>IFERROR(__xludf.DUMMYFUNCTION("REGEXREPLACE(
D147,
""([一-龯々]+)\[([^\]]+)\]"",
""&lt;ruby&gt;$1&lt;rt&gt;$2&lt;/rt&gt;&lt;/ruby&gt;""
)&amp;""&lt;br&gt;&lt;div class=""""audio""""&gt;[sound:""&amp;C147&amp;"".mp3]&lt;/div&gt;"""),"&lt;ruby&gt;金&lt;rt&gt;かね&lt;/rt&gt;&lt;/ruby&gt;&lt;br&gt;&lt;div class=""audio""&gt;[sound:かね.mp3]&lt;/div&gt;")</f>
        <v>&lt;ruby&gt;金&lt;rt&gt;かね&lt;/rt&gt;&lt;/ruby&gt;&lt;br&gt;&lt;div class="audio"&gt;[sound:かね.mp3]&lt;/div&gt;</v>
      </c>
      <c r="H147" s="3" t="str">
        <f t="shared" si="1"/>
        <v>(n): tiền</v>
      </c>
      <c r="I147" s="6" t="s">
        <v>785</v>
      </c>
      <c r="J147" s="6" t="s">
        <v>786</v>
      </c>
      <c r="K147" s="7">
        <f t="shared" si="2"/>
        <v>0.2024890723</v>
      </c>
    </row>
    <row r="148">
      <c r="A148" s="4">
        <v>148.0</v>
      </c>
      <c r="B148" s="5" t="s">
        <v>787</v>
      </c>
      <c r="C148" s="5" t="s">
        <v>788</v>
      </c>
      <c r="D148" s="5" t="s">
        <v>789</v>
      </c>
      <c r="E148" s="6" t="s">
        <v>74</v>
      </c>
      <c r="F148" s="6" t="s">
        <v>616</v>
      </c>
      <c r="G148" s="3" t="str">
        <f>IFERROR(__xludf.DUMMYFUNCTION("REGEXREPLACE(
D148,
""([一-龯々]+)\[([^\]]+)\]"",
""&lt;ruby&gt;$1&lt;rt&gt;$2&lt;/rt&gt;&lt;/ruby&gt;""
)&amp;""&lt;br&gt;&lt;div class=""""audio""""&gt;[sound:""&amp;C148&amp;"".mp3]&lt;/div&gt;"""),"&lt;ruby&gt;場&lt;rt&gt;ば&lt;/rt&gt;&lt;/ruby&gt;&lt;br&gt;&lt;div class=""audio""&gt;[sound:ば.mp3]&lt;/div&gt;")</f>
        <v>&lt;ruby&gt;場&lt;rt&gt;ば&lt;/rt&gt;&lt;/ruby&gt;&lt;br&gt;&lt;div class="audio"&gt;[sound:ば.mp3]&lt;/div&gt;</v>
      </c>
      <c r="H148" s="3" t="str">
        <f t="shared" si="1"/>
        <v>(n): địa điểm</v>
      </c>
      <c r="I148" s="6" t="s">
        <v>790</v>
      </c>
      <c r="J148" s="6" t="s">
        <v>791</v>
      </c>
      <c r="K148" s="7">
        <f t="shared" si="2"/>
        <v>0.2252589371</v>
      </c>
    </row>
    <row r="149">
      <c r="A149" s="4">
        <v>149.0</v>
      </c>
      <c r="B149" s="5" t="s">
        <v>792</v>
      </c>
      <c r="C149" s="5" t="s">
        <v>793</v>
      </c>
      <c r="D149" s="5" t="s">
        <v>794</v>
      </c>
      <c r="E149" s="6" t="s">
        <v>74</v>
      </c>
      <c r="F149" s="6" t="s">
        <v>795</v>
      </c>
      <c r="G149" s="3" t="str">
        <f>IFERROR(__xludf.DUMMYFUNCTION("REGEXREPLACE(
D149,
""([一-龯々]+)\[([^\]]+)\]"",
""&lt;ruby&gt;$1&lt;rt&gt;$2&lt;/rt&gt;&lt;/ruby&gt;""
)&amp;""&lt;br&gt;&lt;div class=""""audio""""&gt;[sound:""&amp;C149&amp;"".mp3]&lt;/div&gt;"""),"&lt;ruby&gt;部分&lt;rt&gt;ぶぶん&lt;/rt&gt;&lt;/ruby&gt;&lt;br&gt;&lt;div class=""audio""&gt;[sound:ぶぶん.mp3]&lt;/div&gt;")</f>
        <v>&lt;ruby&gt;部分&lt;rt&gt;ぶぶん&lt;/rt&gt;&lt;/ruby&gt;&lt;br&gt;&lt;div class="audio"&gt;[sound:ぶぶん.mp3]&lt;/div&gt;</v>
      </c>
      <c r="H149" s="3" t="str">
        <f t="shared" si="1"/>
        <v>(n): bộ phận</v>
      </c>
      <c r="I149" s="6" t="s">
        <v>796</v>
      </c>
      <c r="J149" s="6" t="s">
        <v>797</v>
      </c>
      <c r="K149" s="7">
        <f t="shared" si="2"/>
        <v>0.3635314655</v>
      </c>
    </row>
    <row r="150">
      <c r="A150" s="4">
        <v>150.0</v>
      </c>
      <c r="B150" s="5" t="s">
        <v>798</v>
      </c>
      <c r="C150" s="5" t="s">
        <v>799</v>
      </c>
      <c r="D150" s="5" t="s">
        <v>800</v>
      </c>
      <c r="E150" s="6" t="s">
        <v>74</v>
      </c>
      <c r="F150" s="6" t="s">
        <v>801</v>
      </c>
      <c r="G150" s="3" t="str">
        <f>IFERROR(__xludf.DUMMYFUNCTION("REGEXREPLACE(
D150,
""([一-龯々]+)\[([^\]]+)\]"",
""&lt;ruby&gt;$1&lt;rt&gt;$2&lt;/rt&gt;&lt;/ruby&gt;""
)&amp;""&lt;br&gt;&lt;div class=""""audio""""&gt;[sound:""&amp;C150&amp;"".mp3]&lt;/div&gt;"""),"&lt;ruby&gt;学生&lt;rt&gt;がくせい&lt;/rt&gt;&lt;/ruby&gt;&lt;br&gt;&lt;div class=""audio""&gt;[sound:がくせい.mp3]&lt;/div&gt;")</f>
        <v>&lt;ruby&gt;学生&lt;rt&gt;がくせい&lt;/rt&gt;&lt;/ruby&gt;&lt;br&gt;&lt;div class="audio"&gt;[sound:がくせい.mp3]&lt;/div&gt;</v>
      </c>
      <c r="H150" s="3" t="str">
        <f t="shared" si="1"/>
        <v>(n): sinh viên</v>
      </c>
      <c r="I150" s="6" t="s">
        <v>802</v>
      </c>
      <c r="J150" s="6" t="s">
        <v>803</v>
      </c>
      <c r="K150" s="7">
        <f t="shared" si="2"/>
        <v>0.7526305623</v>
      </c>
    </row>
    <row r="151">
      <c r="A151" s="4">
        <v>151.0</v>
      </c>
      <c r="B151" s="5" t="s">
        <v>804</v>
      </c>
      <c r="C151" s="5" t="s">
        <v>805</v>
      </c>
      <c r="D151" s="5" t="s">
        <v>806</v>
      </c>
      <c r="E151" s="6" t="s">
        <v>74</v>
      </c>
      <c r="F151" s="6" t="s">
        <v>807</v>
      </c>
      <c r="G151" s="3" t="str">
        <f>IFERROR(__xludf.DUMMYFUNCTION("REGEXREPLACE(
D151,
""([一-龯々]+)\[([^\]]+)\]"",
""&lt;ruby&gt;$1&lt;rt&gt;$2&lt;/rt&gt;&lt;/ruby&gt;""
)&amp;""&lt;br&gt;&lt;div class=""""audio""""&gt;[sound:""&amp;C151&amp;"".mp3]&lt;/div&gt;"""),"&lt;ruby&gt;外&lt;rt&gt;そと&lt;/rt&gt;&lt;/ruby&gt;&lt;br&gt;&lt;div class=""audio""&gt;[sound:そと.mp3]&lt;/div&gt;")</f>
        <v>&lt;ruby&gt;外&lt;rt&gt;そと&lt;/rt&gt;&lt;/ruby&gt;&lt;br&gt;&lt;div class="audio"&gt;[sound:そと.mp3]&lt;/div&gt;</v>
      </c>
      <c r="H151" s="3" t="str">
        <f t="shared" si="1"/>
        <v>(n): bên ngoài</v>
      </c>
      <c r="I151" s="6" t="s">
        <v>808</v>
      </c>
      <c r="J151" s="6" t="s">
        <v>809</v>
      </c>
      <c r="K151" s="7">
        <f t="shared" si="2"/>
        <v>0.2794567011</v>
      </c>
    </row>
    <row r="152">
      <c r="A152" s="4">
        <v>152.0</v>
      </c>
      <c r="B152" s="5" t="s">
        <v>810</v>
      </c>
      <c r="C152" s="5" t="s">
        <v>811</v>
      </c>
      <c r="D152" s="5" t="s">
        <v>812</v>
      </c>
      <c r="E152" s="6" t="s">
        <v>74</v>
      </c>
      <c r="F152" s="6" t="s">
        <v>813</v>
      </c>
      <c r="G152" s="3" t="str">
        <f>IFERROR(__xludf.DUMMYFUNCTION("REGEXREPLACE(
D152,
""([一-龯々]+)\[([^\]]+)\]"",
""&lt;ruby&gt;$1&lt;rt&gt;$2&lt;/rt&gt;&lt;/ruby&gt;""
)&amp;""&lt;br&gt;&lt;div class=""""audio""""&gt;[sound:""&amp;C152&amp;"".mp3]&lt;/div&gt;"""),"&lt;ruby&gt;反対&lt;rt&gt;はんたい&lt;/rt&gt;&lt;/ruby&gt;&lt;br&gt;&lt;div class=""audio""&gt;[sound:はんたい.mp3]&lt;/div&gt;")</f>
        <v>&lt;ruby&gt;反対&lt;rt&gt;はんたい&lt;/rt&gt;&lt;/ruby&gt;&lt;br&gt;&lt;div class="audio"&gt;[sound:はんたい.mp3]&lt;/div&gt;</v>
      </c>
      <c r="H152" s="3" t="str">
        <f t="shared" si="1"/>
        <v>(n): phản đối</v>
      </c>
      <c r="I152" s="6" t="s">
        <v>814</v>
      </c>
      <c r="J152" s="6" t="s">
        <v>815</v>
      </c>
      <c r="K152" s="7">
        <f t="shared" si="2"/>
        <v>0.4568861008</v>
      </c>
    </row>
    <row r="153">
      <c r="A153" s="4">
        <v>153.0</v>
      </c>
      <c r="B153" s="5" t="s">
        <v>816</v>
      </c>
      <c r="C153" s="5" t="s">
        <v>817</v>
      </c>
      <c r="D153" s="5" t="s">
        <v>818</v>
      </c>
      <c r="E153" s="6" t="s">
        <v>44</v>
      </c>
      <c r="F153" s="6" t="s">
        <v>285</v>
      </c>
      <c r="G153" s="3" t="str">
        <f>IFERROR(__xludf.DUMMYFUNCTION("REGEXREPLACE(
D153,
""([一-龯々]+)\[([^\]]+)\]"",
""&lt;ruby&gt;$1&lt;rt&gt;$2&lt;/rt&gt;&lt;/ruby&gt;""
)&amp;""&lt;br&gt;&lt;div class=""""audio""""&gt;[sound:""&amp;C153&amp;"".mp3]&lt;/div&gt;"""),"&lt;ruby&gt;君&lt;rt&gt;きみ&lt;/rt&gt;&lt;/ruby&gt;&lt;br&gt;&lt;div class=""audio""&gt;[sound:きみ.mp3]&lt;/div&gt;")</f>
        <v>&lt;ruby&gt;君&lt;rt&gt;きみ&lt;/rt&gt;&lt;/ruby&gt;&lt;br&gt;&lt;div class="audio"&gt;[sound:きみ.mp3]&lt;/div&gt;</v>
      </c>
      <c r="H153" s="3" t="str">
        <f t="shared" si="1"/>
        <v>(pron): bạn</v>
      </c>
      <c r="I153" s="6" t="s">
        <v>819</v>
      </c>
      <c r="J153" s="6" t="s">
        <v>820</v>
      </c>
      <c r="K153" s="7">
        <f t="shared" si="2"/>
        <v>0.2187966232</v>
      </c>
    </row>
    <row r="154">
      <c r="A154" s="4">
        <v>154.0</v>
      </c>
      <c r="B154" s="5" t="s">
        <v>821</v>
      </c>
      <c r="C154" s="5" t="s">
        <v>822</v>
      </c>
      <c r="D154" s="5" t="s">
        <v>823</v>
      </c>
      <c r="E154" s="6" t="s">
        <v>24</v>
      </c>
      <c r="F154" s="6" t="s">
        <v>824</v>
      </c>
      <c r="G154" s="3" t="str">
        <f>IFERROR(__xludf.DUMMYFUNCTION("REGEXREPLACE(
D154,
""([一-龯々]+)\[([^\]]+)\]"",
""&lt;ruby&gt;$1&lt;rt&gt;$2&lt;/rt&gt;&lt;/ruby&gt;""
)&amp;""&lt;br&gt;&lt;div class=""""audio""""&gt;[sound:""&amp;C154&amp;"".mp3]&lt;/div&gt;"""),"&lt;ruby&gt;変&lt;rt&gt;か&lt;/rt&gt;&lt;/ruby&gt;わる&lt;br&gt;&lt;div class=""audio""&gt;[sound:かわる.mp3]&lt;/div&gt;")</f>
        <v>&lt;ruby&gt;変&lt;rt&gt;か&lt;/rt&gt;&lt;/ruby&gt;わる&lt;br&gt;&lt;div class="audio"&gt;[sound:かわる.mp3]&lt;/div&gt;</v>
      </c>
      <c r="H154" s="3" t="str">
        <f t="shared" si="1"/>
        <v>(v): thay đổi</v>
      </c>
      <c r="I154" s="6" t="s">
        <v>825</v>
      </c>
      <c r="J154" s="6" t="s">
        <v>826</v>
      </c>
      <c r="K154" s="7">
        <f t="shared" si="2"/>
        <v>0.6063307125</v>
      </c>
    </row>
    <row r="155">
      <c r="A155" s="4">
        <v>155.0</v>
      </c>
      <c r="B155" s="5" t="s">
        <v>827</v>
      </c>
      <c r="C155" s="5" t="s">
        <v>828</v>
      </c>
      <c r="D155" s="5" t="s">
        <v>829</v>
      </c>
      <c r="E155" s="6" t="s">
        <v>74</v>
      </c>
      <c r="F155" s="6" t="s">
        <v>830</v>
      </c>
      <c r="G155" s="3" t="str">
        <f>IFERROR(__xludf.DUMMYFUNCTION("REGEXREPLACE(
D155,
""([一-龯々]+)\[([^\]]+)\]"",
""&lt;ruby&gt;$1&lt;rt&gt;$2&lt;/rt&gt;&lt;/ruby&gt;""
)&amp;""&lt;br&gt;&lt;div class=""""audio""""&gt;[sound:""&amp;C155&amp;"".mp3]&lt;/div&gt;"""),"&lt;ruby&gt;右&lt;rt&gt;みぎ&lt;/rt&gt;&lt;/ruby&gt;&lt;br&gt;&lt;div class=""audio""&gt;[sound:みぎ.mp3]&lt;/div&gt;")</f>
        <v>&lt;ruby&gt;右&lt;rt&gt;みぎ&lt;/rt&gt;&lt;/ruby&gt;&lt;br&gt;&lt;div class="audio"&gt;[sound:みぎ.mp3]&lt;/div&gt;</v>
      </c>
      <c r="H155" s="3" t="str">
        <f t="shared" si="1"/>
        <v>(n): phải</v>
      </c>
      <c r="I155" s="6" t="s">
        <v>831</v>
      </c>
      <c r="J155" s="6" t="s">
        <v>832</v>
      </c>
      <c r="K155" s="7">
        <f t="shared" si="2"/>
        <v>0.5973154466</v>
      </c>
    </row>
    <row r="156">
      <c r="A156" s="4">
        <v>156.0</v>
      </c>
      <c r="B156" s="5" t="s">
        <v>833</v>
      </c>
      <c r="C156" s="5" t="s">
        <v>834</v>
      </c>
      <c r="D156" s="5" t="s">
        <v>835</v>
      </c>
      <c r="E156" s="6" t="s">
        <v>74</v>
      </c>
      <c r="F156" s="6" t="s">
        <v>836</v>
      </c>
      <c r="G156" s="3" t="str">
        <f>IFERROR(__xludf.DUMMYFUNCTION("REGEXREPLACE(
D156,
""([一-龯々]+)\[([^\]]+)\]"",
""&lt;ruby&gt;$1&lt;rt&gt;$2&lt;/rt&gt;&lt;/ruby&gt;""
)&amp;""&lt;br&gt;&lt;div class=""""audio""""&gt;[sound:""&amp;C156&amp;"".mp3]&lt;/div&gt;"""),"&lt;ruby&gt;対応&lt;rt&gt;たいおう&lt;/rt&gt;&lt;/ruby&gt;&lt;br&gt;&lt;div class=""audio""&gt;[sound:たいおう.mp3]&lt;/div&gt;")</f>
        <v>&lt;ruby&gt;対応&lt;rt&gt;たいおう&lt;/rt&gt;&lt;/ruby&gt;&lt;br&gt;&lt;div class="audio"&gt;[sound:たいおう.mp3]&lt;/div&gt;</v>
      </c>
      <c r="H156" s="3" t="str">
        <f t="shared" si="1"/>
        <v>(n): ứng phó</v>
      </c>
      <c r="I156" s="6" t="s">
        <v>837</v>
      </c>
      <c r="J156" s="6" t="s">
        <v>838</v>
      </c>
      <c r="K156" s="7">
        <f t="shared" si="2"/>
        <v>0.7369440997</v>
      </c>
    </row>
    <row r="157">
      <c r="A157" s="4">
        <v>157.0</v>
      </c>
      <c r="B157" s="5" t="s">
        <v>839</v>
      </c>
      <c r="C157" s="5" t="s">
        <v>840</v>
      </c>
      <c r="D157" s="5" t="s">
        <v>841</v>
      </c>
      <c r="E157" s="6" t="s">
        <v>74</v>
      </c>
      <c r="F157" s="6" t="s">
        <v>842</v>
      </c>
      <c r="G157" s="3" t="str">
        <f>IFERROR(__xludf.DUMMYFUNCTION("REGEXREPLACE(
D157,
""([一-龯々]+)\[([^\]]+)\]"",
""&lt;ruby&gt;$1&lt;rt&gt;$2&lt;/rt&gt;&lt;/ruby&gt;""
)&amp;""&lt;br&gt;&lt;div class=""""audio""""&gt;[sound:""&amp;C157&amp;"".mp3]&lt;/div&gt;"""),"お&lt;ruby&gt;父&lt;rt&gt;とう&lt;/rt&gt;&lt;/ruby&gt;さん&lt;br&gt;&lt;div class=""audio""&gt;[sound:おとうさん.mp3]&lt;/div&gt;")</f>
        <v>お&lt;ruby&gt;父&lt;rt&gt;とう&lt;/rt&gt;&lt;/ruby&gt;さん&lt;br&gt;&lt;div class="audio"&gt;[sound:おとうさん.mp3]&lt;/div&gt;</v>
      </c>
      <c r="H157" s="3" t="str">
        <f t="shared" si="1"/>
        <v>(n): bố</v>
      </c>
      <c r="I157" s="6" t="s">
        <v>843</v>
      </c>
      <c r="J157" s="6" t="s">
        <v>844</v>
      </c>
      <c r="K157" s="7">
        <f t="shared" si="2"/>
        <v>0.181469174</v>
      </c>
    </row>
    <row r="158">
      <c r="A158" s="4">
        <v>158.0</v>
      </c>
      <c r="B158" s="5" t="s">
        <v>845</v>
      </c>
      <c r="C158" s="5" t="s">
        <v>846</v>
      </c>
      <c r="D158" s="5" t="s">
        <v>847</v>
      </c>
      <c r="E158" s="6" t="s">
        <v>74</v>
      </c>
      <c r="F158" s="6" t="s">
        <v>848</v>
      </c>
      <c r="G158" s="3" t="str">
        <f>IFERROR(__xludf.DUMMYFUNCTION("REGEXREPLACE(
D158,
""([一-龯々]+)\[([^\]]+)\]"",
""&lt;ruby&gt;$1&lt;rt&gt;$2&lt;/rt&gt;&lt;/ruby&gt;""
)&amp;""&lt;br&gt;&lt;div class=""""audio""""&gt;[sound:""&amp;C158&amp;"".mp3]&lt;/div&gt;"""),"お&lt;ruby&gt;母&lt;rt&gt;かあ&lt;/rt&gt;&lt;/ruby&gt;さん&lt;br&gt;&lt;div class=""audio""&gt;[sound:おかあさん.mp3]&lt;/div&gt;")</f>
        <v>お&lt;ruby&gt;母&lt;rt&gt;かあ&lt;/rt&gt;&lt;/ruby&gt;さん&lt;br&gt;&lt;div class="audio"&gt;[sound:おかあさん.mp3]&lt;/div&gt;</v>
      </c>
      <c r="H158" s="3" t="str">
        <f t="shared" si="1"/>
        <v>(n): mẹ</v>
      </c>
      <c r="I158" s="6" t="s">
        <v>849</v>
      </c>
      <c r="J158" s="6" t="s">
        <v>850</v>
      </c>
      <c r="K158" s="7">
        <f t="shared" si="2"/>
        <v>0.4479173181</v>
      </c>
    </row>
    <row r="159">
      <c r="A159" s="4">
        <v>159.0</v>
      </c>
      <c r="B159" s="5" t="s">
        <v>851</v>
      </c>
      <c r="C159" s="5" t="s">
        <v>851</v>
      </c>
      <c r="D159" s="5" t="s">
        <v>851</v>
      </c>
      <c r="E159" s="6" t="s">
        <v>11</v>
      </c>
      <c r="F159" s="6" t="s">
        <v>852</v>
      </c>
      <c r="G159" s="3" t="str">
        <f>IFERROR(__xludf.DUMMYFUNCTION("REGEXREPLACE(
D159,
""([一-龯々]+)\[([^\]]+)\]"",
""&lt;ruby&gt;$1&lt;rt&gt;$2&lt;/rt&gt;&lt;/ruby&gt;""
)&amp;""&lt;br&gt;&lt;div class=""""audio""""&gt;[sound:""&amp;C159&amp;"".mp3]&lt;/div&gt;"""),"おかしい&lt;br&gt;&lt;div class=""audio""&gt;[sound:おかしい.mp3]&lt;/div&gt;")</f>
        <v>おかしい&lt;br&gt;&lt;div class="audio"&gt;[sound:おかしい.mp3]&lt;/div&gt;</v>
      </c>
      <c r="H159" s="3" t="str">
        <f t="shared" si="1"/>
        <v>(adj): kỳ lạ</v>
      </c>
      <c r="I159" s="6" t="s">
        <v>853</v>
      </c>
      <c r="J159" s="6" t="s">
        <v>854</v>
      </c>
      <c r="K159" s="7">
        <f t="shared" si="2"/>
        <v>0.6918813055</v>
      </c>
    </row>
    <row r="160">
      <c r="A160" s="4">
        <v>160.0</v>
      </c>
      <c r="B160" s="5" t="s">
        <v>855</v>
      </c>
      <c r="C160" s="5" t="s">
        <v>855</v>
      </c>
      <c r="D160" s="5" t="s">
        <v>855</v>
      </c>
      <c r="E160" s="6" t="s">
        <v>33</v>
      </c>
      <c r="F160" s="6" t="s">
        <v>856</v>
      </c>
      <c r="G160" s="3" t="str">
        <f>IFERROR(__xludf.DUMMYFUNCTION("REGEXREPLACE(
D160,
""([一-龯々]+)\[([^\]]+)\]"",
""&lt;ruby&gt;$1&lt;rt&gt;$2&lt;/rt&gt;&lt;/ruby&gt;""
)&amp;""&lt;br&gt;&lt;div class=""""audio""""&gt;[sound:""&amp;C160&amp;"".mp3]&lt;/div&gt;"""),"こんばんは&lt;br&gt;&lt;div class=""audio""&gt;[sound:こんばんは.mp3]&lt;/div&gt;")</f>
        <v>こんばんは&lt;br&gt;&lt;div class="audio"&gt;[sound:こんばんは.mp3]&lt;/div&gt;</v>
      </c>
      <c r="H160" s="3" t="str">
        <f t="shared" si="1"/>
        <v>(int): chào buổi tối</v>
      </c>
      <c r="I160" s="6" t="s">
        <v>857</v>
      </c>
      <c r="J160" s="6" t="s">
        <v>858</v>
      </c>
      <c r="K160" s="7">
        <f t="shared" si="2"/>
        <v>0.9592807553</v>
      </c>
    </row>
    <row r="161">
      <c r="A161" s="4">
        <v>161.0</v>
      </c>
      <c r="B161" s="5" t="s">
        <v>859</v>
      </c>
      <c r="C161" s="5" t="s">
        <v>859</v>
      </c>
      <c r="D161" s="5" t="s">
        <v>859</v>
      </c>
      <c r="E161" s="6" t="s">
        <v>11</v>
      </c>
      <c r="F161" s="6" t="s">
        <v>515</v>
      </c>
      <c r="G161" s="3" t="str">
        <f>IFERROR(__xludf.DUMMYFUNCTION("REGEXREPLACE(
D161,
""([一-龯々]+)\[([^\]]+)\]"",
""&lt;ruby&gt;$1&lt;rt&gt;$2&lt;/rt&gt;&lt;/ruby&gt;""
)&amp;""&lt;br&gt;&lt;div class=""""audio""""&gt;[sound:""&amp;C161&amp;"".mp3]&lt;/div&gt;"""),"こんな&lt;br&gt;&lt;div class=""audio""&gt;[sound:こんな.mp3]&lt;/div&gt;")</f>
        <v>こんな&lt;br&gt;&lt;div class="audio"&gt;[sound:こんな.mp3]&lt;/div&gt;</v>
      </c>
      <c r="H161" s="3" t="str">
        <f t="shared" si="1"/>
        <v>(adj): như thế này</v>
      </c>
      <c r="I161" s="6" t="s">
        <v>860</v>
      </c>
      <c r="J161" s="6" t="s">
        <v>861</v>
      </c>
      <c r="K161" s="7">
        <f t="shared" si="2"/>
        <v>0.8487079232</v>
      </c>
    </row>
    <row r="162">
      <c r="A162" s="4">
        <v>162.0</v>
      </c>
      <c r="B162" s="5" t="s">
        <v>862</v>
      </c>
      <c r="C162" s="5" t="s">
        <v>862</v>
      </c>
      <c r="D162" s="5" t="s">
        <v>862</v>
      </c>
      <c r="E162" s="6" t="s">
        <v>11</v>
      </c>
      <c r="F162" s="6" t="s">
        <v>863</v>
      </c>
      <c r="G162" s="3" t="str">
        <f>IFERROR(__xludf.DUMMYFUNCTION("REGEXREPLACE(
D162,
""([一-龯々]+)\[([^\]]+)\]"",
""&lt;ruby&gt;$1&lt;rt&gt;$2&lt;/rt&gt;&lt;/ruby&gt;""
)&amp;""&lt;br&gt;&lt;div class=""""audio""""&gt;[sound:""&amp;C162&amp;"".mp3]&lt;/div&gt;"""),"そんな&lt;br&gt;&lt;div class=""audio""&gt;[sound:そんな.mp3]&lt;/div&gt;")</f>
        <v>そんな&lt;br&gt;&lt;div class="audio"&gt;[sound:そんな.mp3]&lt;/div&gt;</v>
      </c>
      <c r="H162" s="3" t="str">
        <f t="shared" si="1"/>
        <v>(adj): như thế</v>
      </c>
      <c r="I162" s="6" t="s">
        <v>864</v>
      </c>
      <c r="J162" s="6" t="s">
        <v>865</v>
      </c>
      <c r="K162" s="7">
        <f t="shared" si="2"/>
        <v>0.5237455888</v>
      </c>
    </row>
    <row r="163">
      <c r="A163" s="4">
        <v>163.0</v>
      </c>
      <c r="B163" s="5" t="s">
        <v>866</v>
      </c>
      <c r="C163" s="5" t="s">
        <v>866</v>
      </c>
      <c r="D163" s="5" t="s">
        <v>866</v>
      </c>
      <c r="E163" s="6" t="s">
        <v>24</v>
      </c>
      <c r="F163" s="6" t="s">
        <v>113</v>
      </c>
      <c r="G163" s="3" t="str">
        <f>IFERROR(__xludf.DUMMYFUNCTION("REGEXREPLACE(
D163,
""([一-龯々]+)\[([^\]]+)\]"",
""&lt;ruby&gt;$1&lt;rt&gt;$2&lt;/rt&gt;&lt;/ruby&gt;""
)&amp;""&lt;br&gt;&lt;div class=""""audio""""&gt;[sound:""&amp;C163&amp;"".mp3]&lt;/div&gt;"""),"くださる&lt;br&gt;&lt;div class=""audio""&gt;[sound:くださる.mp3]&lt;/div&gt;")</f>
        <v>くださる&lt;br&gt;&lt;div class="audio"&gt;[sound:くださる.mp3]&lt;/div&gt;</v>
      </c>
      <c r="H163" s="3" t="str">
        <f t="shared" si="1"/>
        <v>(v): cho</v>
      </c>
      <c r="I163" s="6" t="s">
        <v>867</v>
      </c>
      <c r="J163" s="6" t="s">
        <v>868</v>
      </c>
      <c r="K163" s="7">
        <f t="shared" si="2"/>
        <v>0.8648655249</v>
      </c>
    </row>
    <row r="164">
      <c r="A164" s="4">
        <v>164.0</v>
      </c>
      <c r="B164" s="5" t="s">
        <v>869</v>
      </c>
      <c r="C164" s="5" t="s">
        <v>869</v>
      </c>
      <c r="D164" s="5" t="s">
        <v>869</v>
      </c>
      <c r="E164" s="6" t="s">
        <v>44</v>
      </c>
      <c r="F164" s="6" t="s">
        <v>870</v>
      </c>
      <c r="G164" s="3" t="str">
        <f>IFERROR(__xludf.DUMMYFUNCTION("REGEXREPLACE(
D164,
""([一-龯々]+)\[([^\]]+)\]"",
""&lt;ruby&gt;$1&lt;rt&gt;$2&lt;/rt&gt;&lt;/ruby&gt;""
)&amp;""&lt;br&gt;&lt;div class=""""audio""""&gt;[sound:""&amp;C164&amp;"".mp3]&lt;/div&gt;"""),"あそこ&lt;br&gt;&lt;div class=""audio""&gt;[sound:あそこ.mp3]&lt;/div&gt;")</f>
        <v>あそこ&lt;br&gt;&lt;div class="audio"&gt;[sound:あそこ.mp3]&lt;/div&gt;</v>
      </c>
      <c r="H164" s="3" t="str">
        <f t="shared" si="1"/>
        <v>(pron): đằng kia</v>
      </c>
      <c r="I164" s="6" t="s">
        <v>871</v>
      </c>
      <c r="J164" s="6" t="s">
        <v>872</v>
      </c>
      <c r="K164" s="7">
        <f t="shared" si="2"/>
        <v>0.1110722597</v>
      </c>
    </row>
    <row r="165">
      <c r="A165" s="4">
        <v>165.0</v>
      </c>
      <c r="B165" s="5" t="s">
        <v>873</v>
      </c>
      <c r="C165" s="5" t="s">
        <v>873</v>
      </c>
      <c r="D165" s="5" t="s">
        <v>873</v>
      </c>
      <c r="E165" s="6" t="s">
        <v>85</v>
      </c>
      <c r="F165" s="6" t="s">
        <v>874</v>
      </c>
      <c r="G165" s="3" t="str">
        <f>IFERROR(__xludf.DUMMYFUNCTION("REGEXREPLACE(
D165,
""([一-龯々]+)\[([^\]]+)\]"",
""&lt;ruby&gt;$1&lt;rt&gt;$2&lt;/rt&gt;&lt;/ruby&gt;""
)&amp;""&lt;br&gt;&lt;div class=""""audio""""&gt;[sound:""&amp;C165&amp;"".mp3]&lt;/div&gt;"""),"きっと&lt;br&gt;&lt;div class=""audio""&gt;[sound:きっと.mp3]&lt;/div&gt;")</f>
        <v>きっと&lt;br&gt;&lt;div class="audio"&gt;[sound:きっと.mp3]&lt;/div&gt;</v>
      </c>
      <c r="H165" s="3" t="str">
        <f t="shared" si="1"/>
        <v>(adv): chắc chắn</v>
      </c>
      <c r="I165" s="6" t="s">
        <v>875</v>
      </c>
      <c r="J165" s="6" t="s">
        <v>876</v>
      </c>
      <c r="K165" s="7">
        <f t="shared" si="2"/>
        <v>0.6919721508</v>
      </c>
    </row>
    <row r="166">
      <c r="A166" s="4">
        <v>166.0</v>
      </c>
      <c r="B166" s="5" t="s">
        <v>877</v>
      </c>
      <c r="C166" s="5" t="s">
        <v>877</v>
      </c>
      <c r="D166" s="5" t="s">
        <v>877</v>
      </c>
      <c r="E166" s="6" t="s">
        <v>90</v>
      </c>
      <c r="F166" s="6" t="s">
        <v>878</v>
      </c>
      <c r="G166" s="3" t="str">
        <f>IFERROR(__xludf.DUMMYFUNCTION("REGEXREPLACE(
D166,
""([一-龯々]+)\[([^\]]+)\]"",
""&lt;ruby&gt;$1&lt;rt&gt;$2&lt;/rt&gt;&lt;/ruby&gt;""
)&amp;""&lt;br&gt;&lt;div class=""""audio""""&gt;[sound:""&amp;C166&amp;"".mp3]&lt;/div&gt;"""),"では&lt;br&gt;&lt;div class=""audio""&gt;[sound:では.mp3]&lt;/div&gt;")</f>
        <v>では&lt;br&gt;&lt;div class="audio"&gt;[sound:では.mp3]&lt;/div&gt;</v>
      </c>
      <c r="H166" s="3" t="str">
        <f t="shared" si="1"/>
        <v>(conj): vậy thì</v>
      </c>
      <c r="I166" s="6" t="s">
        <v>879</v>
      </c>
      <c r="J166" s="6" t="s">
        <v>880</v>
      </c>
      <c r="K166" s="7">
        <f t="shared" si="2"/>
        <v>0.292392069</v>
      </c>
    </row>
    <row r="167">
      <c r="A167" s="4">
        <v>167.0</v>
      </c>
      <c r="B167" s="5" t="s">
        <v>881</v>
      </c>
      <c r="C167" s="5" t="s">
        <v>882</v>
      </c>
      <c r="D167" s="5" t="s">
        <v>881</v>
      </c>
      <c r="E167" s="6" t="s">
        <v>74</v>
      </c>
      <c r="F167" s="6" t="s">
        <v>883</v>
      </c>
      <c r="G167" s="3" t="str">
        <f>IFERROR(__xludf.DUMMYFUNCTION("REGEXREPLACE(
D167,
""([一-龯々]+)\[([^\]]+)\]"",
""&lt;ruby&gt;$1&lt;rt&gt;$2&lt;/rt&gt;&lt;/ruby&gt;""
)&amp;""&lt;br&gt;&lt;div class=""""audio""""&gt;[sound:""&amp;C167&amp;"".mp3]&lt;/div&gt;"""),"ニュース&lt;br&gt;&lt;div class=""audio""&gt;[sound:にゅーす.mp3]&lt;/div&gt;")</f>
        <v>ニュース&lt;br&gt;&lt;div class="audio"&gt;[sound:にゅーす.mp3]&lt;/div&gt;</v>
      </c>
      <c r="H167" s="3" t="str">
        <f t="shared" si="1"/>
        <v>(n): tin tức</v>
      </c>
      <c r="I167" s="6" t="s">
        <v>884</v>
      </c>
      <c r="J167" s="6" t="s">
        <v>885</v>
      </c>
      <c r="K167" s="7">
        <f t="shared" si="2"/>
        <v>0.1108285515</v>
      </c>
    </row>
    <row r="168">
      <c r="A168" s="4">
        <v>168.0</v>
      </c>
      <c r="B168" s="5" t="s">
        <v>886</v>
      </c>
      <c r="C168" s="5" t="s">
        <v>886</v>
      </c>
      <c r="D168" s="5" t="s">
        <v>886</v>
      </c>
      <c r="E168" s="6" t="s">
        <v>90</v>
      </c>
      <c r="F168" s="6" t="s">
        <v>466</v>
      </c>
      <c r="G168" s="3" t="str">
        <f>IFERROR(__xludf.DUMMYFUNCTION("REGEXREPLACE(
D168,
""([一-龯々]+)\[([^\]]+)\]"",
""&lt;ruby&gt;$1&lt;rt&gt;$2&lt;/rt&gt;&lt;/ruby&gt;""
)&amp;""&lt;br&gt;&lt;div class=""""audio""""&gt;[sound:""&amp;C168&amp;"".mp3]&lt;/div&gt;"""),"ですから&lt;br&gt;&lt;div class=""audio""&gt;[sound:ですから.mp3]&lt;/div&gt;")</f>
        <v>ですから&lt;br&gt;&lt;div class="audio"&gt;[sound:ですから.mp3]&lt;/div&gt;</v>
      </c>
      <c r="H168" s="3" t="str">
        <f t="shared" si="1"/>
        <v>(conj): vì vậy</v>
      </c>
      <c r="I168" s="6" t="s">
        <v>887</v>
      </c>
      <c r="J168" s="6" t="s">
        <v>888</v>
      </c>
      <c r="K168" s="7">
        <f t="shared" si="2"/>
        <v>0.5425774616</v>
      </c>
    </row>
    <row r="169">
      <c r="A169" s="4">
        <v>169.0</v>
      </c>
      <c r="B169" s="5" t="s">
        <v>889</v>
      </c>
      <c r="C169" s="5" t="s">
        <v>889</v>
      </c>
      <c r="D169" s="5" t="s">
        <v>889</v>
      </c>
      <c r="E169" s="6" t="s">
        <v>33</v>
      </c>
      <c r="F169" s="6" t="s">
        <v>890</v>
      </c>
      <c r="G169" s="3" t="str">
        <f>IFERROR(__xludf.DUMMYFUNCTION("REGEXREPLACE(
D169,
""([一-龯々]+)\[([^\]]+)\]"",
""&lt;ruby&gt;$1&lt;rt&gt;$2&lt;/rt&gt;&lt;/ruby&gt;""
)&amp;""&lt;br&gt;&lt;div class=""""audio""""&gt;[sound:""&amp;C169&amp;"".mp3]&lt;/div&gt;"""),"ええと&lt;br&gt;&lt;div class=""audio""&gt;[sound:ええと.mp3]&lt;/div&gt;")</f>
        <v>ええと&lt;br&gt;&lt;div class="audio"&gt;[sound:ええと.mp3]&lt;/div&gt;</v>
      </c>
      <c r="H169" s="3" t="str">
        <f t="shared" si="1"/>
        <v>(int): ừm</v>
      </c>
      <c r="I169" s="6" t="s">
        <v>891</v>
      </c>
      <c r="J169" s="6" t="s">
        <v>892</v>
      </c>
      <c r="K169" s="7">
        <f t="shared" si="2"/>
        <v>0.389785592</v>
      </c>
    </row>
    <row r="170">
      <c r="A170" s="4">
        <v>170.0</v>
      </c>
      <c r="B170" s="5" t="s">
        <v>893</v>
      </c>
      <c r="C170" s="5" t="s">
        <v>893</v>
      </c>
      <c r="D170" s="5" t="s">
        <v>893</v>
      </c>
      <c r="E170" s="6" t="s">
        <v>85</v>
      </c>
      <c r="F170" s="6" t="s">
        <v>894</v>
      </c>
      <c r="G170" s="3" t="str">
        <f>IFERROR(__xludf.DUMMYFUNCTION("REGEXREPLACE(
D170,
""([一-龯々]+)\[([^\]]+)\]"",
""&lt;ruby&gt;$1&lt;rt&gt;$2&lt;/rt&gt;&lt;/ruby&gt;""
)&amp;""&lt;br&gt;&lt;div class=""""audio""""&gt;[sound:""&amp;C170&amp;"".mp3]&lt;/div&gt;"""),"ほとんど&lt;br&gt;&lt;div class=""audio""&gt;[sound:ほとんど.mp3]&lt;/div&gt;")</f>
        <v>ほとんど&lt;br&gt;&lt;div class="audio"&gt;[sound:ほとんど.mp3]&lt;/div&gt;</v>
      </c>
      <c r="H170" s="3" t="str">
        <f t="shared" si="1"/>
        <v>(adv): hầu như</v>
      </c>
      <c r="I170" s="6" t="s">
        <v>895</v>
      </c>
      <c r="J170" s="6" t="s">
        <v>896</v>
      </c>
      <c r="K170" s="7">
        <f t="shared" si="2"/>
        <v>0.1777372342</v>
      </c>
    </row>
    <row r="171">
      <c r="A171" s="4">
        <v>171.0</v>
      </c>
      <c r="B171" s="5" t="s">
        <v>897</v>
      </c>
      <c r="C171" s="5" t="s">
        <v>898</v>
      </c>
      <c r="D171" s="5" t="s">
        <v>899</v>
      </c>
      <c r="E171" s="6" t="s">
        <v>74</v>
      </c>
      <c r="F171" s="6" t="s">
        <v>900</v>
      </c>
      <c r="G171" s="3" t="str">
        <f>IFERROR(__xludf.DUMMYFUNCTION("REGEXREPLACE(
D171,
""([一-龯々]+)\[([^\]]+)\]"",
""&lt;ruby&gt;$1&lt;rt&gt;$2&lt;/rt&gt;&lt;/ruby&gt;""
)&amp;""&lt;br&gt;&lt;div class=""""audio""""&gt;[sound:""&amp;C171&amp;"".mp3]&lt;/div&gt;"""),"&lt;ruby&gt;今度&lt;rt&gt;こんど&lt;/rt&gt;&lt;/ruby&gt;&lt;br&gt;&lt;div class=""audio""&gt;[sound:こんど.mp3]&lt;/div&gt;")</f>
        <v>&lt;ruby&gt;今度&lt;rt&gt;こんど&lt;/rt&gt;&lt;/ruby&gt;&lt;br&gt;&lt;div class="audio"&gt;[sound:こんど.mp3]&lt;/div&gt;</v>
      </c>
      <c r="H171" s="3" t="str">
        <f t="shared" si="1"/>
        <v>(n): lần tới</v>
      </c>
      <c r="I171" s="6" t="s">
        <v>901</v>
      </c>
      <c r="J171" s="6" t="s">
        <v>902</v>
      </c>
      <c r="K171" s="7">
        <f t="shared" si="2"/>
        <v>0.5199765195</v>
      </c>
    </row>
    <row r="172">
      <c r="A172" s="4">
        <v>172.0</v>
      </c>
      <c r="B172" s="5" t="s">
        <v>903</v>
      </c>
      <c r="C172" s="5" t="s">
        <v>904</v>
      </c>
      <c r="D172" s="5" t="s">
        <v>905</v>
      </c>
      <c r="E172" s="6" t="s">
        <v>11</v>
      </c>
      <c r="F172" s="6" t="s">
        <v>484</v>
      </c>
      <c r="G172" s="3" t="str">
        <f>IFERROR(__xludf.DUMMYFUNCTION("REGEXREPLACE(
D172,
""([一-龯々]+)\[([^\]]+)\]"",
""&lt;ruby&gt;$1&lt;rt&gt;$2&lt;/rt&gt;&lt;/ruby&gt;""
)&amp;""&lt;br&gt;&lt;div class=""""audio""""&gt;[sound:""&amp;C172&amp;"".mp3]&lt;/div&gt;"""),"&lt;ruby&gt;小&lt;rt&gt;ちい&lt;/rt&gt;&lt;/ruby&gt;さな&lt;br&gt;&lt;div class=""audio""&gt;[sound:ちいさな.mp3]&lt;/div&gt;")</f>
        <v>&lt;ruby&gt;小&lt;rt&gt;ちい&lt;/rt&gt;&lt;/ruby&gt;さな&lt;br&gt;&lt;div class="audio"&gt;[sound:ちいさな.mp3]&lt;/div&gt;</v>
      </c>
      <c r="H172" s="3" t="str">
        <f t="shared" si="1"/>
        <v>(adj): nhỏ</v>
      </c>
      <c r="I172" s="6" t="s">
        <v>906</v>
      </c>
      <c r="J172" s="6" t="s">
        <v>907</v>
      </c>
      <c r="K172" s="7">
        <f t="shared" si="2"/>
        <v>0.357090433</v>
      </c>
    </row>
    <row r="173">
      <c r="A173" s="4">
        <v>173.0</v>
      </c>
      <c r="B173" s="5" t="s">
        <v>908</v>
      </c>
      <c r="C173" s="5" t="s">
        <v>908</v>
      </c>
      <c r="D173" s="5" t="s">
        <v>908</v>
      </c>
      <c r="E173" s="6" t="s">
        <v>85</v>
      </c>
      <c r="F173" s="6" t="s">
        <v>909</v>
      </c>
      <c r="G173" s="3" t="str">
        <f>IFERROR(__xludf.DUMMYFUNCTION("REGEXREPLACE(
D173,
""([一-龯々]+)\[([^\]]+)\]"",
""&lt;ruby&gt;$1&lt;rt&gt;$2&lt;/rt&gt;&lt;/ruby&gt;""
)&amp;""&lt;br&gt;&lt;div class=""""audio""""&gt;[sound:""&amp;C173&amp;"".mp3]&lt;/div&gt;"""),"やっぱり&lt;br&gt;&lt;div class=""audio""&gt;[sound:やっぱり.mp3]&lt;/div&gt;")</f>
        <v>やっぱり&lt;br&gt;&lt;div class="audio"&gt;[sound:やっぱり.mp3]&lt;/div&gt;</v>
      </c>
      <c r="H173" s="3" t="str">
        <f t="shared" si="1"/>
        <v>(adv): đúng như dự đoán</v>
      </c>
      <c r="I173" s="6" t="s">
        <v>910</v>
      </c>
      <c r="J173" s="6" t="s">
        <v>911</v>
      </c>
      <c r="K173" s="7">
        <f t="shared" si="2"/>
        <v>0.4888359704</v>
      </c>
    </row>
    <row r="174">
      <c r="A174" s="4">
        <v>174.0</v>
      </c>
      <c r="B174" s="5" t="s">
        <v>912</v>
      </c>
      <c r="C174" s="5" t="s">
        <v>913</v>
      </c>
      <c r="D174" s="5" t="s">
        <v>914</v>
      </c>
      <c r="E174" s="6" t="s">
        <v>74</v>
      </c>
      <c r="F174" s="6" t="s">
        <v>915</v>
      </c>
      <c r="G174" s="3" t="str">
        <f>IFERROR(__xludf.DUMMYFUNCTION("REGEXREPLACE(
D174,
""([一-龯々]+)\[([^\]]+)\]"",
""&lt;ruby&gt;$1&lt;rt&gt;$2&lt;/rt&gt;&lt;/ruby&gt;""
)&amp;""&lt;br&gt;&lt;div class=""""audio""""&gt;[sound:""&amp;C174&amp;"".mp3]&lt;/div&gt;"""),"&lt;ruby&gt;時間&lt;rt&gt;じかん&lt;/rt&gt;&lt;/ruby&gt;&lt;br&gt;&lt;div class=""audio""&gt;[sound:じかん.mp3]&lt;/div&gt;")</f>
        <v>&lt;ruby&gt;時間&lt;rt&gt;じかん&lt;/rt&gt;&lt;/ruby&gt;&lt;br&gt;&lt;div class="audio"&gt;[sound:じかん.mp3]&lt;/div&gt;</v>
      </c>
      <c r="H174" s="3" t="str">
        <f t="shared" si="1"/>
        <v>(n): thời gian</v>
      </c>
      <c r="I174" s="6" t="s">
        <v>916</v>
      </c>
      <c r="J174" s="6" t="s">
        <v>917</v>
      </c>
      <c r="K174" s="7">
        <f t="shared" si="2"/>
        <v>0.3368540337</v>
      </c>
    </row>
    <row r="175">
      <c r="A175" s="4">
        <v>175.0</v>
      </c>
      <c r="B175" s="5" t="s">
        <v>918</v>
      </c>
      <c r="C175" s="5" t="s">
        <v>918</v>
      </c>
      <c r="D175" s="5" t="s">
        <v>918</v>
      </c>
      <c r="E175" s="6" t="s">
        <v>85</v>
      </c>
      <c r="F175" s="6" t="s">
        <v>919</v>
      </c>
      <c r="G175" s="3" t="str">
        <f>IFERROR(__xludf.DUMMYFUNCTION("REGEXREPLACE(
D175,
""([一-龯々]+)\[([^\]]+)\]"",
""&lt;ruby&gt;$1&lt;rt&gt;$2&lt;/rt&gt;&lt;/ruby&gt;""
)&amp;""&lt;br&gt;&lt;div class=""""audio""""&gt;[sound:""&amp;C175&amp;"".mp3]&lt;/div&gt;"""),"これから&lt;br&gt;&lt;div class=""audio""&gt;[sound:これから.mp3]&lt;/div&gt;")</f>
        <v>これから&lt;br&gt;&lt;div class="audio"&gt;[sound:これから.mp3]&lt;/div&gt;</v>
      </c>
      <c r="H175" s="3" t="str">
        <f t="shared" si="1"/>
        <v>(adv): từ giờ</v>
      </c>
      <c r="I175" s="6" t="s">
        <v>920</v>
      </c>
      <c r="J175" s="6" t="s">
        <v>921</v>
      </c>
      <c r="K175" s="7">
        <f t="shared" si="2"/>
        <v>0.1383979469</v>
      </c>
    </row>
    <row r="176">
      <c r="A176" s="4">
        <v>176.0</v>
      </c>
      <c r="B176" s="5" t="s">
        <v>922</v>
      </c>
      <c r="C176" s="5" t="s">
        <v>923</v>
      </c>
      <c r="D176" s="5" t="s">
        <v>924</v>
      </c>
      <c r="E176" s="6" t="s">
        <v>74</v>
      </c>
      <c r="F176" s="6" t="s">
        <v>925</v>
      </c>
      <c r="G176" s="3" t="str">
        <f>IFERROR(__xludf.DUMMYFUNCTION("REGEXREPLACE(
D176,
""([一-龯々]+)\[([^\]]+)\]"",
""&lt;ruby&gt;$1&lt;rt&gt;$2&lt;/rt&gt;&lt;/ruby&gt;""
)&amp;""&lt;br&gt;&lt;div class=""""audio""""&gt;[sound:""&amp;C176&amp;"".mp3]&lt;/div&gt;"""),"&lt;ruby&gt;味&lt;rt&gt;あじ&lt;/rt&gt;&lt;/ruby&gt;&lt;br&gt;&lt;div class=""audio""&gt;[sound:あじ.mp3]&lt;/div&gt;")</f>
        <v>&lt;ruby&gt;味&lt;rt&gt;あじ&lt;/rt&gt;&lt;/ruby&gt;&lt;br&gt;&lt;div class="audio"&gt;[sound:あじ.mp3]&lt;/div&gt;</v>
      </c>
      <c r="H176" s="3" t="str">
        <f t="shared" si="1"/>
        <v>(n): vị</v>
      </c>
      <c r="I176" s="6" t="s">
        <v>926</v>
      </c>
      <c r="J176" s="6" t="s">
        <v>927</v>
      </c>
      <c r="K176" s="7">
        <f t="shared" si="2"/>
        <v>0.8794958188</v>
      </c>
    </row>
    <row r="177">
      <c r="A177" s="4">
        <v>177.0</v>
      </c>
      <c r="B177" s="5" t="s">
        <v>928</v>
      </c>
      <c r="C177" s="5" t="s">
        <v>928</v>
      </c>
      <c r="D177" s="5" t="s">
        <v>928</v>
      </c>
      <c r="E177" s="6" t="s">
        <v>11</v>
      </c>
      <c r="F177" s="6" t="s">
        <v>929</v>
      </c>
      <c r="G177" s="3" t="str">
        <f>IFERROR(__xludf.DUMMYFUNCTION("REGEXREPLACE(
D177,
""([一-龯々]+)\[([^\]]+)\]"",
""&lt;ruby&gt;$1&lt;rt&gt;$2&lt;/rt&gt;&lt;/ruby&gt;""
)&amp;""&lt;br&gt;&lt;div class=""""audio""""&gt;[sound:""&amp;C177&amp;"".mp3]&lt;/div&gt;"""),"だめ&lt;br&gt;&lt;div class=""audio""&gt;[sound:だめ.mp3]&lt;/div&gt;")</f>
        <v>だめ&lt;br&gt;&lt;div class="audio"&gt;[sound:だめ.mp3]&lt;/div&gt;</v>
      </c>
      <c r="H177" s="3" t="str">
        <f t="shared" si="1"/>
        <v>(adj): không được</v>
      </c>
      <c r="I177" s="6" t="s">
        <v>930</v>
      </c>
      <c r="J177" s="6" t="s">
        <v>931</v>
      </c>
      <c r="K177" s="7">
        <f t="shared" si="2"/>
        <v>0.5415121343</v>
      </c>
    </row>
    <row r="178">
      <c r="A178" s="4">
        <v>178.0</v>
      </c>
      <c r="B178" s="5" t="s">
        <v>932</v>
      </c>
      <c r="C178" s="5" t="s">
        <v>932</v>
      </c>
      <c r="D178" s="5" t="s">
        <v>932</v>
      </c>
      <c r="E178" s="6" t="s">
        <v>85</v>
      </c>
      <c r="F178" s="6" t="s">
        <v>933</v>
      </c>
      <c r="G178" s="3" t="str">
        <f>IFERROR(__xludf.DUMMYFUNCTION("REGEXREPLACE(
D178,
""([一-龯々]+)\[([^\]]+)\]"",
""&lt;ruby&gt;$1&lt;rt&gt;$2&lt;/rt&gt;&lt;/ruby&gt;""
)&amp;""&lt;br&gt;&lt;div class=""""audio""""&gt;[sound:""&amp;C178&amp;"".mp3]&lt;/div&gt;"""),"いくら&lt;br&gt;&lt;div class=""audio""&gt;[sound:いくら.mp3]&lt;/div&gt;")</f>
        <v>いくら&lt;br&gt;&lt;div class="audio"&gt;[sound:いくら.mp3]&lt;/div&gt;</v>
      </c>
      <c r="H178" s="3" t="str">
        <f t="shared" si="1"/>
        <v>(adv): bao nhiêu</v>
      </c>
      <c r="I178" s="6" t="s">
        <v>934</v>
      </c>
      <c r="J178" s="6" t="s">
        <v>935</v>
      </c>
      <c r="K178" s="7">
        <f t="shared" si="2"/>
        <v>0.1340167747</v>
      </c>
    </row>
    <row r="179">
      <c r="A179" s="4">
        <v>179.0</v>
      </c>
      <c r="B179" s="5" t="s">
        <v>936</v>
      </c>
      <c r="C179" s="5" t="s">
        <v>937</v>
      </c>
      <c r="D179" s="5" t="s">
        <v>938</v>
      </c>
      <c r="E179" s="6" t="s">
        <v>11</v>
      </c>
      <c r="F179" s="6" t="s">
        <v>939</v>
      </c>
      <c r="G179" s="3" t="str">
        <f>IFERROR(__xludf.DUMMYFUNCTION("REGEXREPLACE(
D179,
""([一-龯々]+)\[([^\]]+)\]"",
""&lt;ruby&gt;$1&lt;rt&gt;$2&lt;/rt&gt;&lt;/ruby&gt;""
)&amp;""&lt;br&gt;&lt;div class=""""audio""""&gt;[sound:""&amp;C179&amp;"".mp3]&lt;/div&gt;"""),"&lt;ruby&gt;必要&lt;rt&gt;ひつよう&lt;/rt&gt;&lt;/ruby&gt;&lt;br&gt;&lt;div class=""audio""&gt;[sound:ひつよう.mp3]&lt;/div&gt;")</f>
        <v>&lt;ruby&gt;必要&lt;rt&gt;ひつよう&lt;/rt&gt;&lt;/ruby&gt;&lt;br&gt;&lt;div class="audio"&gt;[sound:ひつよう.mp3]&lt;/div&gt;</v>
      </c>
      <c r="H179" s="3" t="str">
        <f t="shared" si="1"/>
        <v>(adj): cần thiết</v>
      </c>
      <c r="I179" s="6" t="s">
        <v>940</v>
      </c>
      <c r="J179" s="6" t="s">
        <v>941</v>
      </c>
      <c r="K179" s="7">
        <f t="shared" si="2"/>
        <v>0.6394091279</v>
      </c>
    </row>
    <row r="180">
      <c r="A180" s="4">
        <v>180.0</v>
      </c>
      <c r="B180" s="5" t="s">
        <v>942</v>
      </c>
      <c r="C180" s="5" t="s">
        <v>943</v>
      </c>
      <c r="D180" s="5" t="s">
        <v>944</v>
      </c>
      <c r="E180" s="6" t="s">
        <v>74</v>
      </c>
      <c r="F180" s="6" t="s">
        <v>945</v>
      </c>
      <c r="G180" s="3" t="str">
        <f>IFERROR(__xludf.DUMMYFUNCTION("REGEXREPLACE(
D180,
""([一-龯々]+)\[([^\]]+)\]"",
""&lt;ruby&gt;$1&lt;rt&gt;$2&lt;/rt&gt;&lt;/ruby&gt;""
)&amp;""&lt;br&gt;&lt;div class=""""audio""""&gt;[sound:""&amp;C180&amp;"".mp3]&lt;/div&gt;"""),"&lt;ruby&gt;今日&lt;rt&gt;きょう&lt;/rt&gt;&lt;/ruby&gt;&lt;br&gt;&lt;div class=""audio""&gt;[sound:きょう.mp3]&lt;/div&gt;")</f>
        <v>&lt;ruby&gt;今日&lt;rt&gt;きょう&lt;/rt&gt;&lt;/ruby&gt;&lt;br&gt;&lt;div class="audio"&gt;[sound:きょう.mp3]&lt;/div&gt;</v>
      </c>
      <c r="H180" s="3" t="str">
        <f t="shared" si="1"/>
        <v>(n): hôm nay</v>
      </c>
      <c r="I180" s="6" t="s">
        <v>946</v>
      </c>
      <c r="J180" s="6" t="s">
        <v>947</v>
      </c>
      <c r="K180" s="7">
        <f t="shared" si="2"/>
        <v>0.7292143622</v>
      </c>
    </row>
    <row r="181">
      <c r="A181" s="4">
        <v>181.0</v>
      </c>
      <c r="B181" s="5" t="s">
        <v>948</v>
      </c>
      <c r="C181" s="5" t="s">
        <v>948</v>
      </c>
      <c r="D181" s="5" t="s">
        <v>948</v>
      </c>
      <c r="E181" s="6" t="s">
        <v>85</v>
      </c>
      <c r="F181" s="6" t="s">
        <v>949</v>
      </c>
      <c r="G181" s="3" t="str">
        <f>IFERROR(__xludf.DUMMYFUNCTION("REGEXREPLACE(
D181,
""([一-龯々]+)\[([^\]]+)\]"",
""&lt;ruby&gt;$1&lt;rt&gt;$2&lt;/rt&gt;&lt;/ruby&gt;""
)&amp;""&lt;br&gt;&lt;div class=""""audio""""&gt;[sound:""&amp;C181&amp;"".mp3]&lt;/div&gt;"""),"すぐに&lt;br&gt;&lt;div class=""audio""&gt;[sound:すぐに.mp3]&lt;/div&gt;")</f>
        <v>すぐに&lt;br&gt;&lt;div class="audio"&gt;[sound:すぐに.mp3]&lt;/div&gt;</v>
      </c>
      <c r="H181" s="3" t="str">
        <f t="shared" si="1"/>
        <v>(adv): ngay lập tức</v>
      </c>
      <c r="I181" s="6" t="s">
        <v>950</v>
      </c>
      <c r="J181" s="6" t="s">
        <v>951</v>
      </c>
      <c r="K181" s="7">
        <f t="shared" si="2"/>
        <v>0.943175917</v>
      </c>
    </row>
    <row r="182">
      <c r="A182" s="4">
        <v>182.0</v>
      </c>
      <c r="B182" s="5" t="s">
        <v>952</v>
      </c>
      <c r="C182" s="5" t="s">
        <v>952</v>
      </c>
      <c r="D182" s="5" t="s">
        <v>952</v>
      </c>
      <c r="E182" s="6" t="s">
        <v>11</v>
      </c>
      <c r="F182" s="6" t="s">
        <v>488</v>
      </c>
      <c r="G182" s="3" t="str">
        <f>IFERROR(__xludf.DUMMYFUNCTION("REGEXREPLACE(
D182,
""([一-龯々]+)\[([^\]]+)\]"",
""&lt;ruby&gt;$1&lt;rt&gt;$2&lt;/rt&gt;&lt;/ruby&gt;""
)&amp;""&lt;br&gt;&lt;div class=""""audio""""&gt;[sound:""&amp;C182&amp;"".mp3]&lt;/div&gt;"""),"どんな&lt;br&gt;&lt;div class=""audio""&gt;[sound:どんな.mp3]&lt;/div&gt;")</f>
        <v>どんな&lt;br&gt;&lt;div class="audio"&gt;[sound:どんな.mp3]&lt;/div&gt;</v>
      </c>
      <c r="H182" s="3" t="str">
        <f t="shared" si="1"/>
        <v>(adj): như thế nào</v>
      </c>
      <c r="I182" s="6" t="s">
        <v>953</v>
      </c>
      <c r="J182" s="6" t="s">
        <v>954</v>
      </c>
      <c r="K182" s="7">
        <f t="shared" si="2"/>
        <v>0.4076530933</v>
      </c>
    </row>
    <row r="183">
      <c r="A183" s="4">
        <v>183.0</v>
      </c>
      <c r="B183" s="5" t="s">
        <v>955</v>
      </c>
      <c r="C183" s="5" t="s">
        <v>955</v>
      </c>
      <c r="D183" s="5" t="s">
        <v>955</v>
      </c>
      <c r="E183" s="6" t="s">
        <v>90</v>
      </c>
      <c r="F183" s="6" t="s">
        <v>956</v>
      </c>
      <c r="G183" s="3" t="str">
        <f>IFERROR(__xludf.DUMMYFUNCTION("REGEXREPLACE(
D183,
""([一-龯々]+)\[([^\]]+)\]"",
""&lt;ruby&gt;$1&lt;rt&gt;$2&lt;/rt&gt;&lt;/ruby&gt;""
)&amp;""&lt;br&gt;&lt;div class=""""audio""""&gt;[sound:""&amp;C183&amp;"".mp3]&lt;/div&gt;"""),"それから&lt;br&gt;&lt;div class=""audio""&gt;[sound:それから.mp3]&lt;/div&gt;")</f>
        <v>それから&lt;br&gt;&lt;div class="audio"&gt;[sound:それから.mp3]&lt;/div&gt;</v>
      </c>
      <c r="H183" s="3" t="str">
        <f t="shared" si="1"/>
        <v>(conj): sau đó</v>
      </c>
      <c r="I183" s="6" t="s">
        <v>957</v>
      </c>
      <c r="J183" s="6" t="s">
        <v>958</v>
      </c>
      <c r="K183" s="7">
        <f t="shared" si="2"/>
        <v>0.1879967506</v>
      </c>
    </row>
    <row r="184">
      <c r="A184" s="4">
        <v>184.0</v>
      </c>
      <c r="B184" s="5" t="s">
        <v>959</v>
      </c>
      <c r="C184" s="5" t="s">
        <v>959</v>
      </c>
      <c r="D184" s="5" t="s">
        <v>959</v>
      </c>
      <c r="E184" s="6" t="s">
        <v>85</v>
      </c>
      <c r="F184" s="6" t="s">
        <v>960</v>
      </c>
      <c r="G184" s="3" t="str">
        <f>IFERROR(__xludf.DUMMYFUNCTION("REGEXREPLACE(
D184,
""([一-龯々]+)\[([^\]]+)\]"",
""&lt;ruby&gt;$1&lt;rt&gt;$2&lt;/rt&gt;&lt;/ruby&gt;""
)&amp;""&lt;br&gt;&lt;div class=""""audio""""&gt;[sound:""&amp;C184&amp;"".mp3]&lt;/div&gt;"""),"かなり&lt;br&gt;&lt;div class=""audio""&gt;[sound:かなり.mp3]&lt;/div&gt;")</f>
        <v>かなり&lt;br&gt;&lt;div class="audio"&gt;[sound:かなり.mp3]&lt;/div&gt;</v>
      </c>
      <c r="H184" s="3" t="str">
        <f t="shared" si="1"/>
        <v>(adv): khá</v>
      </c>
      <c r="I184" s="6" t="s">
        <v>961</v>
      </c>
      <c r="J184" s="6" t="s">
        <v>962</v>
      </c>
      <c r="K184" s="7">
        <f t="shared" si="2"/>
        <v>0.4969586799</v>
      </c>
    </row>
    <row r="185">
      <c r="A185" s="4">
        <v>185.0</v>
      </c>
      <c r="B185" s="5" t="s">
        <v>963</v>
      </c>
      <c r="C185" s="5" t="s">
        <v>964</v>
      </c>
      <c r="D185" s="5" t="s">
        <v>965</v>
      </c>
      <c r="E185" s="6" t="s">
        <v>11</v>
      </c>
      <c r="F185" s="6" t="s">
        <v>966</v>
      </c>
      <c r="G185" s="3" t="str">
        <f>IFERROR(__xludf.DUMMYFUNCTION("REGEXREPLACE(
D185,
""([一-龯々]+)\[([^\]]+)\]"",
""&lt;ruby&gt;$1&lt;rt&gt;$2&lt;/rt&gt;&lt;/ruby&gt;""
)&amp;""&lt;br&gt;&lt;div class=""""audio""""&gt;[sound:""&amp;C185&amp;"".mp3]&lt;/div&gt;"""),"&lt;ruby&gt;難&lt;rt&gt;むずか&lt;/rt&gt;&lt;/ruby&gt;しい&lt;br&gt;&lt;div class=""audio""&gt;[sound:むずかしい.mp3]&lt;/div&gt;")</f>
        <v>&lt;ruby&gt;難&lt;rt&gt;むずか&lt;/rt&gt;&lt;/ruby&gt;しい&lt;br&gt;&lt;div class="audio"&gt;[sound:むずかしい.mp3]&lt;/div&gt;</v>
      </c>
      <c r="H185" s="3" t="str">
        <f t="shared" si="1"/>
        <v>(adj): khó</v>
      </c>
      <c r="I185" s="6" t="s">
        <v>967</v>
      </c>
      <c r="J185" s="6" t="s">
        <v>968</v>
      </c>
      <c r="K185" s="7">
        <f t="shared" si="2"/>
        <v>0.9239110889</v>
      </c>
    </row>
    <row r="186">
      <c r="A186" s="4">
        <v>186.0</v>
      </c>
      <c r="B186" s="5" t="s">
        <v>969</v>
      </c>
      <c r="C186" s="5" t="s">
        <v>970</v>
      </c>
      <c r="D186" s="5" t="s">
        <v>971</v>
      </c>
      <c r="E186" s="6" t="s">
        <v>74</v>
      </c>
      <c r="F186" s="6" t="s">
        <v>972</v>
      </c>
      <c r="G186" s="3" t="str">
        <f>IFERROR(__xludf.DUMMYFUNCTION("REGEXREPLACE(
D186,
""([一-龯々]+)\[([^\]]+)\]"",
""&lt;ruby&gt;$1&lt;rt&gt;$2&lt;/rt&gt;&lt;/ruby&gt;""
)&amp;""&lt;br&gt;&lt;div class=""""audio""""&gt;[sound:""&amp;C186&amp;"".mp3]&lt;/div&gt;"""),"&lt;ruby&gt;前&lt;rt&gt;まえ&lt;/rt&gt;&lt;/ruby&gt;&lt;br&gt;&lt;div class=""audio""&gt;[sound:まえ.mp3]&lt;/div&gt;")</f>
        <v>&lt;ruby&gt;前&lt;rt&gt;まえ&lt;/rt&gt;&lt;/ruby&gt;&lt;br&gt;&lt;div class="audio"&gt;[sound:まえ.mp3]&lt;/div&gt;</v>
      </c>
      <c r="H186" s="3" t="str">
        <f t="shared" si="1"/>
        <v>(n): phía trước</v>
      </c>
      <c r="I186" s="6" t="s">
        <v>973</v>
      </c>
      <c r="J186" s="6" t="s">
        <v>974</v>
      </c>
      <c r="K186" s="7">
        <f t="shared" si="2"/>
        <v>0.4188192795</v>
      </c>
    </row>
    <row r="187">
      <c r="A187" s="4">
        <v>187.0</v>
      </c>
      <c r="B187" s="5" t="s">
        <v>975</v>
      </c>
      <c r="C187" s="5" t="s">
        <v>976</v>
      </c>
      <c r="D187" s="5" t="s">
        <v>977</v>
      </c>
      <c r="E187" s="6" t="s">
        <v>24</v>
      </c>
      <c r="F187" s="6" t="s">
        <v>978</v>
      </c>
      <c r="G187" s="3" t="str">
        <f>IFERROR(__xludf.DUMMYFUNCTION("REGEXREPLACE(
D187,
""([一-龯々]+)\[([^\]]+)\]"",
""&lt;ruby&gt;$1&lt;rt&gt;$2&lt;/rt&gt;&lt;/ruby&gt;""
)&amp;""&lt;br&gt;&lt;div class=""""audio""""&gt;[sound:""&amp;C187&amp;"".mp3]&lt;/div&gt;"""),"&lt;ruby&gt;行&lt;rt&gt;おこな&lt;/rt&gt;&lt;/ruby&gt;う&lt;br&gt;&lt;div class=""audio""&gt;[sound:おこなう.mp3]&lt;/div&gt;")</f>
        <v>&lt;ruby&gt;行&lt;rt&gt;おこな&lt;/rt&gt;&lt;/ruby&gt;う&lt;br&gt;&lt;div class="audio"&gt;[sound:おこなう.mp3]&lt;/div&gt;</v>
      </c>
      <c r="H187" s="3" t="str">
        <f t="shared" si="1"/>
        <v>(v): thực hiện</v>
      </c>
      <c r="I187" s="6" t="s">
        <v>979</v>
      </c>
      <c r="J187" s="6" t="s">
        <v>980</v>
      </c>
      <c r="K187" s="7">
        <f t="shared" si="2"/>
        <v>0.5649162069</v>
      </c>
    </row>
    <row r="188">
      <c r="A188" s="4">
        <v>188.0</v>
      </c>
      <c r="B188" s="5" t="s">
        <v>981</v>
      </c>
      <c r="C188" s="5" t="s">
        <v>982</v>
      </c>
      <c r="D188" s="5" t="s">
        <v>983</v>
      </c>
      <c r="E188" s="6" t="s">
        <v>74</v>
      </c>
      <c r="F188" s="6" t="s">
        <v>984</v>
      </c>
      <c r="G188" s="3" t="str">
        <f>IFERROR(__xludf.DUMMYFUNCTION("REGEXREPLACE(
D188,
""([一-龯々]+)\[([^\]]+)\]"",
""&lt;ruby&gt;$1&lt;rt&gt;$2&lt;/rt&gt;&lt;/ruby&gt;""
)&amp;""&lt;br&gt;&lt;div class=""""audio""""&gt;[sound:""&amp;C188&amp;"".mp3]&lt;/div&gt;"""),"&lt;ruby&gt;心&lt;rt&gt;こころ&lt;/rt&gt;&lt;/ruby&gt;&lt;br&gt;&lt;div class=""audio""&gt;[sound:こころ.mp3]&lt;/div&gt;")</f>
        <v>&lt;ruby&gt;心&lt;rt&gt;こころ&lt;/rt&gt;&lt;/ruby&gt;&lt;br&gt;&lt;div class="audio"&gt;[sound:こころ.mp3]&lt;/div&gt;</v>
      </c>
      <c r="H188" s="3" t="str">
        <f t="shared" si="1"/>
        <v>(n): tâm hồn</v>
      </c>
      <c r="I188" s="6" t="s">
        <v>985</v>
      </c>
      <c r="J188" s="6" t="s">
        <v>986</v>
      </c>
      <c r="K188" s="7">
        <f t="shared" si="2"/>
        <v>0.4046024393</v>
      </c>
    </row>
    <row r="189">
      <c r="A189" s="4">
        <v>189.0</v>
      </c>
      <c r="B189" s="5" t="s">
        <v>987</v>
      </c>
      <c r="C189" s="5" t="s">
        <v>987</v>
      </c>
      <c r="D189" s="5" t="s">
        <v>987</v>
      </c>
      <c r="E189" s="6" t="s">
        <v>44</v>
      </c>
      <c r="F189" s="6" t="s">
        <v>988</v>
      </c>
      <c r="G189" s="3" t="str">
        <f>IFERROR(__xludf.DUMMYFUNCTION("REGEXREPLACE(
D189,
""([一-龯々]+)\[([^\]]+)\]"",
""&lt;ruby&gt;$1&lt;rt&gt;$2&lt;/rt&gt;&lt;/ruby&gt;""
)&amp;""&lt;br&gt;&lt;div class=""""audio""""&gt;[sound:""&amp;C189&amp;"".mp3]&lt;/div&gt;"""),"いくつ&lt;br&gt;&lt;div class=""audio""&gt;[sound:いくつ.mp3]&lt;/div&gt;")</f>
        <v>いくつ&lt;br&gt;&lt;div class="audio"&gt;[sound:いくつ.mp3]&lt;/div&gt;</v>
      </c>
      <c r="H189" s="3" t="str">
        <f t="shared" si="1"/>
        <v>(pron): mấy</v>
      </c>
      <c r="I189" s="6" t="s">
        <v>989</v>
      </c>
      <c r="J189" s="6" t="s">
        <v>990</v>
      </c>
      <c r="K189" s="7">
        <f t="shared" si="2"/>
        <v>0.5371871408</v>
      </c>
    </row>
    <row r="190">
      <c r="A190" s="4">
        <v>190.0</v>
      </c>
      <c r="B190" s="5" t="s">
        <v>991</v>
      </c>
      <c r="C190" s="5" t="s">
        <v>992</v>
      </c>
      <c r="D190" s="5" t="s">
        <v>991</v>
      </c>
      <c r="E190" s="6" t="s">
        <v>74</v>
      </c>
      <c r="F190" s="6" t="s">
        <v>993</v>
      </c>
      <c r="G190" s="3" t="str">
        <f>IFERROR(__xludf.DUMMYFUNCTION("REGEXREPLACE(
D190,
""([一-龯々]+)\[([^\]]+)\]"",
""&lt;ruby&gt;$1&lt;rt&gt;$2&lt;/rt&gt;&lt;/ruby&gt;""
)&amp;""&lt;br&gt;&lt;div class=""""audio""""&gt;[sound:""&amp;C190&amp;"".mp3]&lt;/div&gt;"""),"アメリカ&lt;br&gt;&lt;div class=""audio""&gt;[sound:あめりか.mp3]&lt;/div&gt;")</f>
        <v>アメリカ&lt;br&gt;&lt;div class="audio"&gt;[sound:あめりか.mp3]&lt;/div&gt;</v>
      </c>
      <c r="H190" s="3" t="str">
        <f t="shared" si="1"/>
        <v>(n): mỹ</v>
      </c>
      <c r="I190" s="6" t="s">
        <v>994</v>
      </c>
      <c r="J190" s="6" t="s">
        <v>995</v>
      </c>
      <c r="K190" s="7">
        <f t="shared" si="2"/>
        <v>0.5777868924</v>
      </c>
    </row>
    <row r="191">
      <c r="A191" s="4">
        <v>191.0</v>
      </c>
      <c r="B191" s="5" t="s">
        <v>996</v>
      </c>
      <c r="C191" s="5" t="s">
        <v>997</v>
      </c>
      <c r="D191" s="5" t="s">
        <v>998</v>
      </c>
      <c r="E191" s="6" t="s">
        <v>74</v>
      </c>
      <c r="F191" s="6" t="s">
        <v>999</v>
      </c>
      <c r="G191" s="3" t="str">
        <f>IFERROR(__xludf.DUMMYFUNCTION("REGEXREPLACE(
D191,
""([一-龯々]+)\[([^\]]+)\]"",
""&lt;ruby&gt;$1&lt;rt&gt;$2&lt;/rt&gt;&lt;/ruby&gt;""
)&amp;""&lt;br&gt;&lt;div class=""""audio""""&gt;[sound:""&amp;C191&amp;"".mp3]&lt;/div&gt;"""),"&lt;ruby&gt;情報&lt;rt&gt;じょうほう&lt;/rt&gt;&lt;/ruby&gt;&lt;br&gt;&lt;div class=""audio""&gt;[sound:じょうほう.mp3]&lt;/div&gt;")</f>
        <v>&lt;ruby&gt;情報&lt;rt&gt;じょうほう&lt;/rt&gt;&lt;/ruby&gt;&lt;br&gt;&lt;div class="audio"&gt;[sound:じょうほう.mp3]&lt;/div&gt;</v>
      </c>
      <c r="H191" s="3" t="str">
        <f t="shared" si="1"/>
        <v>(n): thông tin</v>
      </c>
      <c r="I191" s="6" t="s">
        <v>1000</v>
      </c>
      <c r="J191" s="6" t="s">
        <v>1001</v>
      </c>
      <c r="K191" s="7">
        <f t="shared" si="2"/>
        <v>0.9578251918</v>
      </c>
    </row>
    <row r="192">
      <c r="A192" s="4">
        <v>192.0</v>
      </c>
      <c r="B192" s="5" t="s">
        <v>1002</v>
      </c>
      <c r="C192" s="5" t="s">
        <v>1003</v>
      </c>
      <c r="D192" s="5" t="s">
        <v>1004</v>
      </c>
      <c r="E192" s="6" t="s">
        <v>74</v>
      </c>
      <c r="F192" s="6" t="s">
        <v>1005</v>
      </c>
      <c r="G192" s="3" t="str">
        <f>IFERROR(__xludf.DUMMYFUNCTION("REGEXREPLACE(
D192,
""([一-龯々]+)\[([^\]]+)\]"",
""&lt;ruby&gt;$1&lt;rt&gt;$2&lt;/rt&gt;&lt;/ruby&gt;""
)&amp;""&lt;br&gt;&lt;div class=""""audio""""&gt;[sound:""&amp;C192&amp;"".mp3]&lt;/div&gt;"""),"&lt;ruby&gt;一度&lt;rt&gt;いちど&lt;/rt&gt;&lt;/ruby&gt;&lt;br&gt;&lt;div class=""audio""&gt;[sound:いちど.mp3]&lt;/div&gt;")</f>
        <v>&lt;ruby&gt;一度&lt;rt&gt;いちど&lt;/rt&gt;&lt;/ruby&gt;&lt;br&gt;&lt;div class="audio"&gt;[sound:いちど.mp3]&lt;/div&gt;</v>
      </c>
      <c r="H192" s="3" t="str">
        <f t="shared" si="1"/>
        <v>(n): một lần</v>
      </c>
      <c r="I192" s="6" t="s">
        <v>1006</v>
      </c>
      <c r="J192" s="6" t="s">
        <v>1007</v>
      </c>
      <c r="K192" s="7">
        <f t="shared" si="2"/>
        <v>0.6135984821</v>
      </c>
    </row>
    <row r="193">
      <c r="A193" s="4">
        <v>193.0</v>
      </c>
      <c r="B193" s="5" t="s">
        <v>1008</v>
      </c>
      <c r="C193" s="5" t="s">
        <v>1009</v>
      </c>
      <c r="D193" s="5" t="s">
        <v>1010</v>
      </c>
      <c r="E193" s="6" t="s">
        <v>74</v>
      </c>
      <c r="F193" s="6" t="s">
        <v>1011</v>
      </c>
      <c r="G193" s="3" t="str">
        <f>IFERROR(__xludf.DUMMYFUNCTION("REGEXREPLACE(
D193,
""([一-龯々]+)\[([^\]]+)\]"",
""&lt;ruby&gt;$1&lt;rt&gt;$2&lt;/rt&gt;&lt;/ruby&gt;""
)&amp;""&lt;br&gt;&lt;div class=""""audio""""&gt;[sound:""&amp;C193&amp;"".mp3]&lt;/div&gt;"""),"&lt;ruby&gt;今年&lt;rt&gt;ことし&lt;/rt&gt;&lt;/ruby&gt;&lt;br&gt;&lt;div class=""audio""&gt;[sound:ことし.mp3]&lt;/div&gt;")</f>
        <v>&lt;ruby&gt;今年&lt;rt&gt;ことし&lt;/rt&gt;&lt;/ruby&gt;&lt;br&gt;&lt;div class="audio"&gt;[sound:ことし.mp3]&lt;/div&gt;</v>
      </c>
      <c r="H193" s="3" t="str">
        <f t="shared" si="1"/>
        <v>(n): năm nay</v>
      </c>
      <c r="I193" s="6" t="s">
        <v>1012</v>
      </c>
      <c r="J193" s="6" t="s">
        <v>1013</v>
      </c>
      <c r="K193" s="7">
        <f t="shared" si="2"/>
        <v>0.03182110767</v>
      </c>
    </row>
    <row r="194">
      <c r="A194" s="4">
        <v>194.0</v>
      </c>
      <c r="B194" s="5" t="s">
        <v>1014</v>
      </c>
      <c r="C194" s="5" t="s">
        <v>1014</v>
      </c>
      <c r="D194" s="5" t="s">
        <v>1014</v>
      </c>
      <c r="E194" s="6" t="s">
        <v>90</v>
      </c>
      <c r="F194" s="6" t="s">
        <v>1015</v>
      </c>
      <c r="G194" s="3" t="str">
        <f>IFERROR(__xludf.DUMMYFUNCTION("REGEXREPLACE(
D194,
""([一-龯々]+)\[([^\]]+)\]"",
""&lt;ruby&gt;$1&lt;rt&gt;$2&lt;/rt&gt;&lt;/ruby&gt;""
)&amp;""&lt;br&gt;&lt;div class=""""audio""""&gt;[sound:""&amp;C194&amp;"".mp3]&lt;/div&gt;"""),"そこで&lt;br&gt;&lt;div class=""audio""&gt;[sound:そこで.mp3]&lt;/div&gt;")</f>
        <v>そこで&lt;br&gt;&lt;div class="audio"&gt;[sound:そこで.mp3]&lt;/div&gt;</v>
      </c>
      <c r="H194" s="3" t="str">
        <f t="shared" si="1"/>
        <v>(conj): do đó</v>
      </c>
      <c r="I194" s="6" t="s">
        <v>1016</v>
      </c>
      <c r="J194" s="6" t="s">
        <v>1017</v>
      </c>
      <c r="K194" s="7">
        <f t="shared" si="2"/>
        <v>0.6595869282</v>
      </c>
    </row>
    <row r="195">
      <c r="A195" s="4">
        <v>195.0</v>
      </c>
      <c r="B195" s="5" t="s">
        <v>1018</v>
      </c>
      <c r="C195" s="5" t="s">
        <v>1019</v>
      </c>
      <c r="D195" s="5" t="s">
        <v>1020</v>
      </c>
      <c r="E195" s="6" t="s">
        <v>24</v>
      </c>
      <c r="F195" s="6" t="s">
        <v>1021</v>
      </c>
      <c r="G195" s="3" t="str">
        <f>IFERROR(__xludf.DUMMYFUNCTION("REGEXREPLACE(
D195,
""([一-龯々]+)\[([^\]]+)\]"",
""&lt;ruby&gt;$1&lt;rt&gt;$2&lt;/rt&gt;&lt;/ruby&gt;""
)&amp;""&lt;br&gt;&lt;div class=""""audio""""&gt;[sound:""&amp;C195&amp;"".mp3]&lt;/div&gt;"""),"&lt;ruby&gt;立&lt;rt&gt;た&lt;/rt&gt;&lt;/ruby&gt;つ&lt;br&gt;&lt;div class=""audio""&gt;[sound:たつ.mp3]&lt;/div&gt;")</f>
        <v>&lt;ruby&gt;立&lt;rt&gt;た&lt;/rt&gt;&lt;/ruby&gt;つ&lt;br&gt;&lt;div class="audio"&gt;[sound:たつ.mp3]&lt;/div&gt;</v>
      </c>
      <c r="H195" s="3" t="str">
        <f t="shared" si="1"/>
        <v>(v): đứng</v>
      </c>
      <c r="I195" s="6" t="s">
        <v>1022</v>
      </c>
      <c r="J195" s="6" t="s">
        <v>1023</v>
      </c>
      <c r="K195" s="7">
        <f t="shared" si="2"/>
        <v>0.8239018761</v>
      </c>
    </row>
    <row r="196">
      <c r="A196" s="4">
        <v>196.0</v>
      </c>
      <c r="B196" s="5" t="s">
        <v>1024</v>
      </c>
      <c r="C196" s="5" t="s">
        <v>1025</v>
      </c>
      <c r="D196" s="5" t="s">
        <v>1026</v>
      </c>
      <c r="E196" s="6" t="s">
        <v>74</v>
      </c>
      <c r="F196" s="6" t="s">
        <v>1027</v>
      </c>
      <c r="G196" s="3" t="str">
        <f>IFERROR(__xludf.DUMMYFUNCTION("REGEXREPLACE(
D196,
""([一-龯々]+)\[([^\]]+)\]"",
""&lt;ruby&gt;$1&lt;rt&gt;$2&lt;/rt&gt;&lt;/ruby&gt;""
)&amp;""&lt;br&gt;&lt;div class=""""audio""""&gt;[sound:""&amp;C196&amp;"".mp3]&lt;/div&gt;"""),"&lt;ruby&gt;度&lt;rt&gt;ど&lt;/rt&gt;&lt;/ruby&gt;&lt;br&gt;&lt;div class=""audio""&gt;[sound:ど.mp3]&lt;/div&gt;")</f>
        <v>&lt;ruby&gt;度&lt;rt&gt;ど&lt;/rt&gt;&lt;/ruby&gt;&lt;br&gt;&lt;div class="audio"&gt;[sound:ど.mp3]&lt;/div&gt;</v>
      </c>
      <c r="H196" s="3" t="str">
        <f t="shared" si="1"/>
        <v>(n): lần</v>
      </c>
      <c r="I196" s="6" t="s">
        <v>1028</v>
      </c>
      <c r="J196" s="6" t="s">
        <v>1007</v>
      </c>
      <c r="K196" s="7">
        <f t="shared" si="2"/>
        <v>0.03976471842</v>
      </c>
    </row>
    <row r="197">
      <c r="A197" s="4">
        <v>197.0</v>
      </c>
      <c r="B197" s="5" t="s">
        <v>1029</v>
      </c>
      <c r="C197" s="5" t="s">
        <v>1030</v>
      </c>
      <c r="D197" s="5" t="s">
        <v>1031</v>
      </c>
      <c r="E197" s="6" t="s">
        <v>74</v>
      </c>
      <c r="F197" s="6" t="s">
        <v>1032</v>
      </c>
      <c r="G197" s="3" t="str">
        <f>IFERROR(__xludf.DUMMYFUNCTION("REGEXREPLACE(
D197,
""([一-龯々]+)\[([^\]]+)\]"",
""&lt;ruby&gt;$1&lt;rt&gt;$2&lt;/rt&gt;&lt;/ruby&gt;""
)&amp;""&lt;br&gt;&lt;div class=""""audio""""&gt;[sound:""&amp;C197&amp;"".mp3]&lt;/div&gt;"""),"&lt;ruby&gt;人間&lt;rt&gt;にんげん&lt;/rt&gt;&lt;/ruby&gt;&lt;br&gt;&lt;div class=""audio""&gt;[sound:にんげん.mp3]&lt;/div&gt;")</f>
        <v>&lt;ruby&gt;人間&lt;rt&gt;にんげん&lt;/rt&gt;&lt;/ruby&gt;&lt;br&gt;&lt;div class="audio"&gt;[sound:にんげん.mp3]&lt;/div&gt;</v>
      </c>
      <c r="H197" s="3" t="str">
        <f t="shared" si="1"/>
        <v>(n): con người</v>
      </c>
      <c r="I197" s="6" t="s">
        <v>1033</v>
      </c>
      <c r="J197" s="6" t="s">
        <v>1034</v>
      </c>
      <c r="K197" s="7">
        <f t="shared" si="2"/>
        <v>0.693815552</v>
      </c>
    </row>
    <row r="198">
      <c r="A198" s="4">
        <v>198.0</v>
      </c>
      <c r="B198" s="5" t="s">
        <v>1035</v>
      </c>
      <c r="C198" s="5" t="s">
        <v>1036</v>
      </c>
      <c r="D198" s="5" t="s">
        <v>1037</v>
      </c>
      <c r="E198" s="6" t="s">
        <v>74</v>
      </c>
      <c r="F198" s="6" t="s">
        <v>1038</v>
      </c>
      <c r="G198" s="3" t="str">
        <f>IFERROR(__xludf.DUMMYFUNCTION("REGEXREPLACE(
D198,
""([一-龯々]+)\[([^\]]+)\]"",
""&lt;ruby&gt;$1&lt;rt&gt;$2&lt;/rt&gt;&lt;/ruby&gt;""
)&amp;""&lt;br&gt;&lt;div class=""""audio""""&gt;[sound:""&amp;C198&amp;"".mp3]&lt;/div&gt;"""),"&lt;ruby&gt;以下&lt;rt&gt;いか&lt;/rt&gt;&lt;/ruby&gt;&lt;br&gt;&lt;div class=""audio""&gt;[sound:いか.mp3]&lt;/div&gt;")</f>
        <v>&lt;ruby&gt;以下&lt;rt&gt;いか&lt;/rt&gt;&lt;/ruby&gt;&lt;br&gt;&lt;div class="audio"&gt;[sound:いか.mp3]&lt;/div&gt;</v>
      </c>
      <c r="H198" s="3" t="str">
        <f t="shared" si="1"/>
        <v>(n): trở xuống</v>
      </c>
      <c r="I198" s="6" t="s">
        <v>1039</v>
      </c>
      <c r="J198" s="6" t="s">
        <v>1040</v>
      </c>
      <c r="K198" s="7">
        <f t="shared" si="2"/>
        <v>0.2398652519</v>
      </c>
    </row>
    <row r="199">
      <c r="A199" s="4">
        <v>199.0</v>
      </c>
      <c r="B199" s="5" t="s">
        <v>1041</v>
      </c>
      <c r="C199" s="5" t="s">
        <v>1041</v>
      </c>
      <c r="D199" s="5" t="s">
        <v>1041</v>
      </c>
      <c r="E199" s="6" t="s">
        <v>24</v>
      </c>
      <c r="F199" s="6" t="s">
        <v>317</v>
      </c>
      <c r="G199" s="3" t="str">
        <f>IFERROR(__xludf.DUMMYFUNCTION("REGEXREPLACE(
D199,
""([一-龯々]+)\[([^\]]+)\]"",
""&lt;ruby&gt;$1&lt;rt&gt;$2&lt;/rt&gt;&lt;/ruby&gt;""
)&amp;""&lt;br&gt;&lt;div class=""""audio""""&gt;[sound:""&amp;C199&amp;"".mp3]&lt;/div&gt;"""),"いただく&lt;br&gt;&lt;div class=""audio""&gt;[sound:いただく.mp3]&lt;/div&gt;")</f>
        <v>いただく&lt;br&gt;&lt;div class="audio"&gt;[sound:いただく.mp3]&lt;/div&gt;</v>
      </c>
      <c r="H199" s="3" t="str">
        <f t="shared" si="1"/>
        <v>(v): nhận</v>
      </c>
      <c r="I199" s="6" t="s">
        <v>1042</v>
      </c>
      <c r="J199" s="6" t="s">
        <v>1043</v>
      </c>
      <c r="K199" s="7">
        <f t="shared" si="2"/>
        <v>0.8817172621</v>
      </c>
    </row>
    <row r="200">
      <c r="A200" s="4">
        <v>200.0</v>
      </c>
      <c r="B200" s="5" t="s">
        <v>1044</v>
      </c>
      <c r="C200" s="5" t="s">
        <v>1044</v>
      </c>
      <c r="D200" s="5" t="s">
        <v>1044</v>
      </c>
      <c r="E200" s="6" t="s">
        <v>44</v>
      </c>
      <c r="F200" s="6" t="s">
        <v>144</v>
      </c>
      <c r="G200" s="3" t="str">
        <f>IFERROR(__xludf.DUMMYFUNCTION("REGEXREPLACE(
D200,
""([一-龯々]+)\[([^\]]+)\]"",
""&lt;ruby&gt;$1&lt;rt&gt;$2&lt;/rt&gt;&lt;/ruby&gt;""
)&amp;""&lt;br&gt;&lt;div class=""""audio""""&gt;[sound:""&amp;C200&amp;"".mp3]&lt;/div&gt;"""),"こちら&lt;br&gt;&lt;div class=""audio""&gt;[sound:こちら.mp3]&lt;/div&gt;")</f>
        <v>こちら&lt;br&gt;&lt;div class="audio"&gt;[sound:こちら.mp3]&lt;/div&gt;</v>
      </c>
      <c r="H200" s="3" t="str">
        <f t="shared" si="1"/>
        <v>(pron): đây</v>
      </c>
      <c r="I200" s="6" t="s">
        <v>1045</v>
      </c>
      <c r="J200" s="6" t="s">
        <v>1046</v>
      </c>
      <c r="K200" s="7">
        <f t="shared" si="2"/>
        <v>0.6308890758</v>
      </c>
    </row>
    <row r="201">
      <c r="A201" s="4">
        <v>201.0</v>
      </c>
      <c r="B201" s="5" t="s">
        <v>1047</v>
      </c>
      <c r="C201" s="5" t="s">
        <v>1048</v>
      </c>
      <c r="D201" s="5" t="s">
        <v>1049</v>
      </c>
      <c r="E201" s="6" t="s">
        <v>74</v>
      </c>
      <c r="F201" s="6" t="s">
        <v>1050</v>
      </c>
      <c r="G201" s="3" t="str">
        <f>IFERROR(__xludf.DUMMYFUNCTION("REGEXREPLACE(
D201,
""([一-龯々]+)\[([^\]]+)\]"",
""&lt;ruby&gt;$1&lt;rt&gt;$2&lt;/rt&gt;&lt;/ruby&gt;""
)&amp;""&lt;br&gt;&lt;div class=""""audio""""&gt;[sound:""&amp;C201&amp;"".mp3]&lt;/div&gt;"""),"&lt;ruby&gt;確認&lt;rt&gt;かくにん&lt;/rt&gt;&lt;/ruby&gt;&lt;br&gt;&lt;div class=""audio""&gt;[sound:かくにん.mp3]&lt;/div&gt;")</f>
        <v>&lt;ruby&gt;確認&lt;rt&gt;かくにん&lt;/rt&gt;&lt;/ruby&gt;&lt;br&gt;&lt;div class="audio"&gt;[sound:かくにん.mp3]&lt;/div&gt;</v>
      </c>
      <c r="H201" s="3" t="str">
        <f t="shared" si="1"/>
        <v>(n): xác nhận</v>
      </c>
      <c r="I201" s="6" t="s">
        <v>1051</v>
      </c>
      <c r="J201" s="6" t="s">
        <v>1052</v>
      </c>
      <c r="K201" s="7">
        <f t="shared" si="2"/>
        <v>0.1010965528</v>
      </c>
    </row>
    <row r="202">
      <c r="A202" s="4">
        <v>202.0</v>
      </c>
      <c r="B202" s="5" t="s">
        <v>1053</v>
      </c>
      <c r="C202" s="5" t="s">
        <v>1053</v>
      </c>
      <c r="D202" s="5" t="s">
        <v>1053</v>
      </c>
      <c r="E202" s="6" t="s">
        <v>85</v>
      </c>
      <c r="F202" s="6" t="s">
        <v>1054</v>
      </c>
      <c r="G202" s="3" t="str">
        <f>IFERROR(__xludf.DUMMYFUNCTION("REGEXREPLACE(
D202,
""([一-龯々]+)\[([^\]]+)\]"",
""&lt;ruby&gt;$1&lt;rt&gt;$2&lt;/rt&gt;&lt;/ruby&gt;""
)&amp;""&lt;br&gt;&lt;div class=""""audio""""&gt;[sound:""&amp;C202&amp;"".mp3]&lt;/div&gt;"""),"どうぞ&lt;br&gt;&lt;div class=""audio""&gt;[sound:どうぞ.mp3]&lt;/div&gt;")</f>
        <v>どうぞ&lt;br&gt;&lt;div class="audio"&gt;[sound:どうぞ.mp3]&lt;/div&gt;</v>
      </c>
      <c r="H202" s="3" t="str">
        <f t="shared" si="1"/>
        <v>(adv): xin mời</v>
      </c>
      <c r="I202" s="6" t="s">
        <v>1055</v>
      </c>
      <c r="J202" s="6" t="s">
        <v>1056</v>
      </c>
      <c r="K202" s="7">
        <f t="shared" si="2"/>
        <v>0.5091604316</v>
      </c>
    </row>
    <row r="203">
      <c r="A203" s="4">
        <v>203.0</v>
      </c>
      <c r="B203" s="5" t="s">
        <v>1057</v>
      </c>
      <c r="C203" s="5" t="s">
        <v>1057</v>
      </c>
      <c r="D203" s="5" t="s">
        <v>1057</v>
      </c>
      <c r="E203" s="6" t="s">
        <v>85</v>
      </c>
      <c r="F203" s="6" t="s">
        <v>99</v>
      </c>
      <c r="G203" s="3" t="str">
        <f>IFERROR(__xludf.DUMMYFUNCTION("REGEXREPLACE(
D203,
""([一-龯々]+)\[([^\]]+)\]"",
""&lt;ruby&gt;$1&lt;rt&gt;$2&lt;/rt&gt;&lt;/ruby&gt;""
)&amp;""&lt;br&gt;&lt;div class=""""audio""""&gt;[sound:""&amp;C203&amp;"".mp3]&lt;/div&gt;"""),"どうも&lt;br&gt;&lt;div class=""audio""&gt;[sound:どうも.mp3]&lt;/div&gt;")</f>
        <v>どうも&lt;br&gt;&lt;div class="audio"&gt;[sound:どうも.mp3]&lt;/div&gt;</v>
      </c>
      <c r="H203" s="3" t="str">
        <f t="shared" si="1"/>
        <v>(adv): cảm ơn</v>
      </c>
      <c r="I203" s="6" t="s">
        <v>1058</v>
      </c>
      <c r="J203" s="6" t="s">
        <v>1059</v>
      </c>
      <c r="K203" s="7">
        <f t="shared" si="2"/>
        <v>0.5997021666</v>
      </c>
    </row>
    <row r="204">
      <c r="A204" s="4">
        <v>204.0</v>
      </c>
      <c r="B204" s="5" t="s">
        <v>1060</v>
      </c>
      <c r="C204" s="5" t="s">
        <v>1061</v>
      </c>
      <c r="D204" s="5" t="s">
        <v>1062</v>
      </c>
      <c r="E204" s="6" t="s">
        <v>44</v>
      </c>
      <c r="F204" s="6" t="s">
        <v>1063</v>
      </c>
      <c r="G204" s="3" t="str">
        <f>IFERROR(__xludf.DUMMYFUNCTION("REGEXREPLACE(
D204,
""([一-龯々]+)\[([^\]]+)\]"",
""&lt;ruby&gt;$1&lt;rt&gt;$2&lt;/rt&gt;&lt;/ruby&gt;""
)&amp;""&lt;br&gt;&lt;div class=""""audio""""&gt;[sound:""&amp;C204&amp;"".mp3]&lt;/div&gt;"""),"&lt;ruby&gt;彼&lt;rt&gt;かれ&lt;/rt&gt;&lt;/ruby&gt;&lt;br&gt;&lt;div class=""audio""&gt;[sound:かれ.mp3]&lt;/div&gt;")</f>
        <v>&lt;ruby&gt;彼&lt;rt&gt;かれ&lt;/rt&gt;&lt;/ruby&gt;&lt;br&gt;&lt;div class="audio"&gt;[sound:かれ.mp3]&lt;/div&gt;</v>
      </c>
      <c r="H204" s="3" t="str">
        <f t="shared" si="1"/>
        <v>(pron): anh ấy</v>
      </c>
      <c r="I204" s="6" t="s">
        <v>1064</v>
      </c>
      <c r="J204" s="6" t="s">
        <v>1065</v>
      </c>
      <c r="K204" s="7">
        <f t="shared" si="2"/>
        <v>0.06848782254</v>
      </c>
    </row>
    <row r="205">
      <c r="A205" s="4">
        <v>205.0</v>
      </c>
      <c r="B205" s="5" t="s">
        <v>1066</v>
      </c>
      <c r="C205" s="5" t="s">
        <v>1066</v>
      </c>
      <c r="D205" s="5" t="s">
        <v>1066</v>
      </c>
      <c r="E205" s="6" t="s">
        <v>11</v>
      </c>
      <c r="F205" s="6" t="s">
        <v>1067</v>
      </c>
      <c r="G205" s="3" t="str">
        <f>IFERROR(__xludf.DUMMYFUNCTION("REGEXREPLACE(
D205,
""([一-龯々]+)\[([^\]]+)\]"",
""&lt;ruby&gt;$1&lt;rt&gt;$2&lt;/rt&gt;&lt;/ruby&gt;""
)&amp;""&lt;br&gt;&lt;div class=""""audio""""&gt;[sound:""&amp;C205&amp;"".mp3]&lt;/div&gt;"""),"うれしい&lt;br&gt;&lt;div class=""audio""&gt;[sound:うれしい.mp3]&lt;/div&gt;")</f>
        <v>うれしい&lt;br&gt;&lt;div class="audio"&gt;[sound:うれしい.mp3]&lt;/div&gt;</v>
      </c>
      <c r="H205" s="3" t="str">
        <f t="shared" si="1"/>
        <v>(adj): vui</v>
      </c>
      <c r="I205" s="6" t="s">
        <v>1068</v>
      </c>
      <c r="J205" s="6" t="s">
        <v>1069</v>
      </c>
      <c r="K205" s="7">
        <f t="shared" si="2"/>
        <v>0.7468706773</v>
      </c>
    </row>
    <row r="206">
      <c r="A206" s="4">
        <v>206.0</v>
      </c>
      <c r="B206" s="5" t="s">
        <v>1070</v>
      </c>
      <c r="C206" s="5" t="s">
        <v>1070</v>
      </c>
      <c r="D206" s="5" t="s">
        <v>1070</v>
      </c>
      <c r="E206" s="6" t="s">
        <v>85</v>
      </c>
      <c r="F206" s="6" t="s">
        <v>34</v>
      </c>
      <c r="G206" s="3" t="str">
        <f>IFERROR(__xludf.DUMMYFUNCTION("REGEXREPLACE(
D206,
""([一-龯々]+)\[([^\]]+)\]"",
""&lt;ruby&gt;$1&lt;rt&gt;$2&lt;/rt&gt;&lt;/ruby&gt;""
)&amp;""&lt;br&gt;&lt;div class=""""audio""""&gt;[sound:""&amp;C206&amp;"".mp3]&lt;/div&gt;"""),"まあ&lt;br&gt;&lt;div class=""audio""&gt;[sound:まあ.mp3]&lt;/div&gt;")</f>
        <v>まあ&lt;br&gt;&lt;div class="audio"&gt;[sound:まあ.mp3]&lt;/div&gt;</v>
      </c>
      <c r="H206" s="3" t="str">
        <f t="shared" si="1"/>
        <v>(adv): vâng</v>
      </c>
      <c r="I206" s="6" t="s">
        <v>1071</v>
      </c>
      <c r="J206" s="6" t="s">
        <v>1072</v>
      </c>
      <c r="K206" s="7">
        <f t="shared" si="2"/>
        <v>0.4567240773</v>
      </c>
    </row>
    <row r="207">
      <c r="A207" s="4">
        <v>207.0</v>
      </c>
      <c r="B207" s="5" t="s">
        <v>1073</v>
      </c>
      <c r="C207" s="5" t="s">
        <v>1074</v>
      </c>
      <c r="D207" s="5" t="s">
        <v>1075</v>
      </c>
      <c r="E207" s="6" t="s">
        <v>24</v>
      </c>
      <c r="F207" s="6" t="s">
        <v>1076</v>
      </c>
      <c r="G207" s="3" t="str">
        <f>IFERROR(__xludf.DUMMYFUNCTION("REGEXREPLACE(
D207,
""([一-龯々]+)\[([^\]]+)\]"",
""&lt;ruby&gt;$1&lt;rt&gt;$2&lt;/rt&gt;&lt;/ruby&gt;""
)&amp;""&lt;br&gt;&lt;div class=""""audio""""&gt;[sound:""&amp;C207&amp;"".mp3]&lt;/div&gt;"""),"&lt;ruby&gt;上&lt;rt&gt;あ&lt;/rt&gt;&lt;/ruby&gt;がる&lt;br&gt;&lt;div class=""audio""&gt;[sound:あがる.mp3]&lt;/div&gt;")</f>
        <v>&lt;ruby&gt;上&lt;rt&gt;あ&lt;/rt&gt;&lt;/ruby&gt;がる&lt;br&gt;&lt;div class="audio"&gt;[sound:あがる.mp3]&lt;/div&gt;</v>
      </c>
      <c r="H207" s="3" t="str">
        <f t="shared" si="1"/>
        <v>(v): tăng lên</v>
      </c>
      <c r="I207" s="6" t="s">
        <v>1077</v>
      </c>
      <c r="J207" s="6" t="s">
        <v>1078</v>
      </c>
      <c r="K207" s="7">
        <f t="shared" si="2"/>
        <v>0.5143689019</v>
      </c>
    </row>
    <row r="208">
      <c r="A208" s="4">
        <v>208.0</v>
      </c>
      <c r="B208" s="5" t="s">
        <v>1079</v>
      </c>
      <c r="C208" s="5" t="s">
        <v>1079</v>
      </c>
      <c r="D208" s="5" t="s">
        <v>1079</v>
      </c>
      <c r="E208" s="6" t="s">
        <v>90</v>
      </c>
      <c r="F208" s="6" t="s">
        <v>506</v>
      </c>
      <c r="G208" s="3" t="str">
        <f>IFERROR(__xludf.DUMMYFUNCTION("REGEXREPLACE(
D208,
""([一-龯々]+)\[([^\]]+)\]"",
""&lt;ruby&gt;$1&lt;rt&gt;$2&lt;/rt&gt;&lt;/ruby&gt;""
)&amp;""&lt;br&gt;&lt;div class=""""audio""""&gt;[sound:""&amp;C208&amp;"".mp3]&lt;/div&gt;"""),"それに&lt;br&gt;&lt;div class=""audio""&gt;[sound:それに.mp3]&lt;/div&gt;")</f>
        <v>それに&lt;br&gt;&lt;div class="audio"&gt;[sound:それに.mp3]&lt;/div&gt;</v>
      </c>
      <c r="H208" s="3" t="str">
        <f t="shared" si="1"/>
        <v>(conj): hơn nữa</v>
      </c>
      <c r="I208" s="6" t="s">
        <v>1080</v>
      </c>
      <c r="J208" s="6" t="s">
        <v>1081</v>
      </c>
      <c r="K208" s="7">
        <f t="shared" si="2"/>
        <v>0.7661841719</v>
      </c>
    </row>
    <row r="209">
      <c r="A209" s="4">
        <v>209.0</v>
      </c>
      <c r="B209" s="5" t="s">
        <v>1082</v>
      </c>
      <c r="C209" s="5" t="s">
        <v>1083</v>
      </c>
      <c r="D209" s="5" t="s">
        <v>1084</v>
      </c>
      <c r="E209" s="6" t="s">
        <v>74</v>
      </c>
      <c r="F209" s="6" t="s">
        <v>1085</v>
      </c>
      <c r="G209" s="3" t="str">
        <f>IFERROR(__xludf.DUMMYFUNCTION("REGEXREPLACE(
D209,
""([一-龯々]+)\[([^\]]+)\]"",
""&lt;ruby&gt;$1&lt;rt&gt;$2&lt;/rt&gt;&lt;/ruby&gt;""
)&amp;""&lt;br&gt;&lt;div class=""""audio""""&gt;[sound:""&amp;C209&amp;"".mp3]&lt;/div&gt;"""),"&lt;ruby&gt;経済&lt;rt&gt;けいざい&lt;/rt&gt;&lt;/ruby&gt;&lt;br&gt;&lt;div class=""audio""&gt;[sound:けいざい.mp3]&lt;/div&gt;")</f>
        <v>&lt;ruby&gt;経済&lt;rt&gt;けいざい&lt;/rt&gt;&lt;/ruby&gt;&lt;br&gt;&lt;div class="audio"&gt;[sound:けいざい.mp3]&lt;/div&gt;</v>
      </c>
      <c r="H209" s="3" t="str">
        <f t="shared" si="1"/>
        <v>(n): kinh tế</v>
      </c>
      <c r="I209" s="6" t="s">
        <v>1086</v>
      </c>
      <c r="J209" s="6" t="s">
        <v>1087</v>
      </c>
      <c r="K209" s="7">
        <f t="shared" si="2"/>
        <v>0.1562653001</v>
      </c>
    </row>
    <row r="210">
      <c r="A210" s="4">
        <v>210.0</v>
      </c>
      <c r="B210" s="5" t="s">
        <v>1088</v>
      </c>
      <c r="C210" s="5" t="s">
        <v>1088</v>
      </c>
      <c r="D210" s="5" t="s">
        <v>1088</v>
      </c>
      <c r="E210" s="6" t="s">
        <v>90</v>
      </c>
      <c r="F210" s="6" t="s">
        <v>1089</v>
      </c>
      <c r="G210" s="3" t="str">
        <f>IFERROR(__xludf.DUMMYFUNCTION("REGEXREPLACE(
D210,
""([一-龯々]+)\[([^\]]+)\]"",
""&lt;ruby&gt;$1&lt;rt&gt;$2&lt;/rt&gt;&lt;/ruby&gt;""
)&amp;""&lt;br&gt;&lt;div class=""""audio""""&gt;[sound:""&amp;C210&amp;"".mp3]&lt;/div&gt;"""),"それで&lt;br&gt;&lt;div class=""audio""&gt;[sound:それで.mp3]&lt;/div&gt;")</f>
        <v>それで&lt;br&gt;&lt;div class="audio"&gt;[sound:それで.mp3]&lt;/div&gt;</v>
      </c>
      <c r="H210" s="3" t="str">
        <f t="shared" si="1"/>
        <v>(conj): vì thế</v>
      </c>
      <c r="I210" s="6" t="s">
        <v>1090</v>
      </c>
      <c r="J210" s="6" t="s">
        <v>1091</v>
      </c>
      <c r="K210" s="7">
        <f t="shared" si="2"/>
        <v>0.6542601322</v>
      </c>
    </row>
    <row r="211">
      <c r="A211" s="4">
        <v>211.0</v>
      </c>
      <c r="B211" s="5" t="s">
        <v>1092</v>
      </c>
      <c r="C211" s="5" t="s">
        <v>1092</v>
      </c>
      <c r="D211" s="5" t="s">
        <v>1092</v>
      </c>
      <c r="E211" s="6" t="s">
        <v>33</v>
      </c>
      <c r="F211" s="6" t="s">
        <v>1093</v>
      </c>
      <c r="G211" s="3" t="str">
        <f>IFERROR(__xludf.DUMMYFUNCTION("REGEXREPLACE(
D211,
""([一-龯々]+)\[([^\]]+)\]"",
""&lt;ruby&gt;$1&lt;rt&gt;$2&lt;/rt&gt;&lt;/ruby&gt;""
)&amp;""&lt;br&gt;&lt;div class=""""audio""""&gt;[sound:""&amp;C211&amp;"".mp3]&lt;/div&gt;"""),"おはよう&lt;br&gt;&lt;div class=""audio""&gt;[sound:おはよう.mp3]&lt;/div&gt;")</f>
        <v>おはよう&lt;br&gt;&lt;div class="audio"&gt;[sound:おはよう.mp3]&lt;/div&gt;</v>
      </c>
      <c r="H211" s="3" t="str">
        <f t="shared" si="1"/>
        <v>(int): chào buổi sáng</v>
      </c>
      <c r="I211" s="6" t="s">
        <v>1094</v>
      </c>
      <c r="J211" s="6" t="s">
        <v>1095</v>
      </c>
      <c r="K211" s="7">
        <f t="shared" si="2"/>
        <v>0.3335185181</v>
      </c>
    </row>
    <row r="212">
      <c r="A212" s="4">
        <v>212.0</v>
      </c>
      <c r="B212" s="5" t="s">
        <v>1096</v>
      </c>
      <c r="C212" s="5" t="s">
        <v>1096</v>
      </c>
      <c r="D212" s="5" t="s">
        <v>1096</v>
      </c>
      <c r="E212" s="6" t="s">
        <v>85</v>
      </c>
      <c r="F212" s="6" t="s">
        <v>1097</v>
      </c>
      <c r="G212" s="3" t="str">
        <f>IFERROR(__xludf.DUMMYFUNCTION("REGEXREPLACE(
D212,
""([一-龯々]+)\[([^\]]+)\]"",
""&lt;ruby&gt;$1&lt;rt&gt;$2&lt;/rt&gt;&lt;/ruby&gt;""
)&amp;""&lt;br&gt;&lt;div class=""""audio""""&gt;[sound:""&amp;C212&amp;"".mp3]&lt;/div&gt;"""),"ずっと&lt;br&gt;&lt;div class=""audio""&gt;[sound:ずっと.mp3]&lt;/div&gt;")</f>
        <v>ずっと&lt;br&gt;&lt;div class="audio"&gt;[sound:ずっと.mp3]&lt;/div&gt;</v>
      </c>
      <c r="H212" s="3" t="str">
        <f t="shared" si="1"/>
        <v>(adv): hơn nhiều</v>
      </c>
      <c r="I212" s="6" t="s">
        <v>1098</v>
      </c>
      <c r="J212" s="6" t="s">
        <v>1099</v>
      </c>
      <c r="K212" s="7">
        <f t="shared" si="2"/>
        <v>0.8545572676</v>
      </c>
    </row>
    <row r="213">
      <c r="A213" s="4">
        <v>213.0</v>
      </c>
      <c r="B213" s="5" t="s">
        <v>1100</v>
      </c>
      <c r="C213" s="5" t="s">
        <v>1100</v>
      </c>
      <c r="D213" s="5" t="s">
        <v>1100</v>
      </c>
      <c r="E213" s="6" t="s">
        <v>11</v>
      </c>
      <c r="F213" s="6" t="s">
        <v>1101</v>
      </c>
      <c r="G213" s="3" t="str">
        <f>IFERROR(__xludf.DUMMYFUNCTION("REGEXREPLACE(
D213,
""([一-龯々]+)\[([^\]]+)\]"",
""&lt;ruby&gt;$1&lt;rt&gt;$2&lt;/rt&gt;&lt;/ruby&gt;""
)&amp;""&lt;br&gt;&lt;div class=""""audio""""&gt;[sound:""&amp;C213&amp;"".mp3]&lt;/div&gt;"""),"どの&lt;br&gt;&lt;div class=""audio""&gt;[sound:どの.mp3]&lt;/div&gt;")</f>
        <v>どの&lt;br&gt;&lt;div class="audio"&gt;[sound:どの.mp3]&lt;/div&gt;</v>
      </c>
      <c r="H213" s="3" t="str">
        <f t="shared" si="1"/>
        <v>(adj): nào</v>
      </c>
      <c r="I213" s="6" t="s">
        <v>1102</v>
      </c>
      <c r="J213" s="6" t="s">
        <v>1103</v>
      </c>
      <c r="K213" s="7">
        <f t="shared" si="2"/>
        <v>0.9461116012</v>
      </c>
    </row>
    <row r="214">
      <c r="A214" s="4">
        <v>214.0</v>
      </c>
      <c r="B214" s="5" t="s">
        <v>1104</v>
      </c>
      <c r="C214" s="5" t="s">
        <v>1105</v>
      </c>
      <c r="D214" s="5" t="s">
        <v>1106</v>
      </c>
      <c r="E214" s="6" t="s">
        <v>74</v>
      </c>
      <c r="F214" s="6" t="s">
        <v>1107</v>
      </c>
      <c r="G214" s="3" t="str">
        <f>IFERROR(__xludf.DUMMYFUNCTION("REGEXREPLACE(
D214,
""([一-龯々]+)\[([^\]]+)\]"",
""&lt;ruby&gt;$1&lt;rt&gt;$2&lt;/rt&gt;&lt;/ruby&gt;""
)&amp;""&lt;br&gt;&lt;div class=""""audio""""&gt;[sound:""&amp;C214&amp;"".mp3]&lt;/div&gt;"""),"&lt;ruby&gt;所&lt;rt&gt;ところ&lt;/rt&gt;&lt;/ruby&gt;&lt;br&gt;&lt;div class=""audio""&gt;[sound:ところ.mp3]&lt;/div&gt;")</f>
        <v>&lt;ruby&gt;所&lt;rt&gt;ところ&lt;/rt&gt;&lt;/ruby&gt;&lt;br&gt;&lt;div class="audio"&gt;[sound:ところ.mp3]&lt;/div&gt;</v>
      </c>
      <c r="H214" s="3" t="str">
        <f t="shared" si="1"/>
        <v>(n): nơi</v>
      </c>
      <c r="I214" s="6" t="s">
        <v>1108</v>
      </c>
      <c r="J214" s="6" t="s">
        <v>1109</v>
      </c>
      <c r="K214" s="7">
        <f t="shared" si="2"/>
        <v>0.5154688943</v>
      </c>
    </row>
    <row r="215">
      <c r="A215" s="4">
        <v>215.0</v>
      </c>
      <c r="B215" s="5" t="s">
        <v>1110</v>
      </c>
      <c r="C215" s="5" t="s">
        <v>1111</v>
      </c>
      <c r="D215" s="5" t="s">
        <v>1112</v>
      </c>
      <c r="E215" s="6" t="s">
        <v>74</v>
      </c>
      <c r="F215" s="6" t="s">
        <v>1113</v>
      </c>
      <c r="G215" s="3" t="str">
        <f>IFERROR(__xludf.DUMMYFUNCTION("REGEXREPLACE(
D215,
""([一-龯々]+)\[([^\]]+)\]"",
""&lt;ruby&gt;$1&lt;rt&gt;$2&lt;/rt&gt;&lt;/ruby&gt;""
)&amp;""&lt;br&gt;&lt;div class=""""audio""""&gt;[sound:""&amp;C215&amp;"".mp3]&lt;/div&gt;"""),"&lt;ruby&gt;物&lt;rt&gt;もの&lt;/rt&gt;&lt;/ruby&gt;&lt;br&gt;&lt;div class=""audio""&gt;[sound:もの.mp3]&lt;/div&gt;")</f>
        <v>&lt;ruby&gt;物&lt;rt&gt;もの&lt;/rt&gt;&lt;/ruby&gt;&lt;br&gt;&lt;div class="audio"&gt;[sound:もの.mp3]&lt;/div&gt;</v>
      </c>
      <c r="H215" s="3" t="str">
        <f t="shared" si="1"/>
        <v>(n): vật</v>
      </c>
      <c r="I215" s="6" t="s">
        <v>1114</v>
      </c>
      <c r="J215" s="6" t="s">
        <v>1115</v>
      </c>
      <c r="K215" s="7">
        <f t="shared" si="2"/>
        <v>0.05798466055</v>
      </c>
    </row>
    <row r="216">
      <c r="A216" s="4">
        <v>216.0</v>
      </c>
      <c r="B216" s="5" t="s">
        <v>1116</v>
      </c>
      <c r="C216" s="5" t="s">
        <v>1117</v>
      </c>
      <c r="D216" s="5" t="s">
        <v>1118</v>
      </c>
      <c r="E216" s="6" t="s">
        <v>24</v>
      </c>
      <c r="F216" s="6" t="s">
        <v>184</v>
      </c>
      <c r="G216" s="3" t="str">
        <f>IFERROR(__xludf.DUMMYFUNCTION("REGEXREPLACE(
D216,
""([一-龯々]+)\[([^\]]+)\]"",
""&lt;ruby&gt;$1&lt;rt&gt;$2&lt;/rt&gt;&lt;/ruby&gt;""
)&amp;""&lt;br&gt;&lt;div class=""""audio""""&gt;[sound:""&amp;C216&amp;"".mp3]&lt;/div&gt;"""),"&lt;ruby&gt;話&lt;rt&gt;はな&lt;/rt&gt;&lt;/ruby&gt;す&lt;br&gt;&lt;div class=""audio""&gt;[sound:はなす.mp3]&lt;/div&gt;")</f>
        <v>&lt;ruby&gt;話&lt;rt&gt;はな&lt;/rt&gt;&lt;/ruby&gt;す&lt;br&gt;&lt;div class="audio"&gt;[sound:はなす.mp3]&lt;/div&gt;</v>
      </c>
      <c r="H216" s="3" t="str">
        <f t="shared" si="1"/>
        <v>(v): nói</v>
      </c>
      <c r="I216" s="6" t="s">
        <v>1119</v>
      </c>
      <c r="J216" s="6" t="s">
        <v>1120</v>
      </c>
      <c r="K216" s="7">
        <f t="shared" si="2"/>
        <v>0.5659438874</v>
      </c>
    </row>
    <row r="217">
      <c r="A217" s="4">
        <v>217.0</v>
      </c>
      <c r="B217" s="5" t="s">
        <v>1121</v>
      </c>
      <c r="C217" s="5" t="s">
        <v>778</v>
      </c>
      <c r="D217" s="5" t="s">
        <v>1122</v>
      </c>
      <c r="E217" s="6" t="s">
        <v>24</v>
      </c>
      <c r="F217" s="6" t="s">
        <v>1123</v>
      </c>
      <c r="G217" s="3" t="str">
        <f>IFERROR(__xludf.DUMMYFUNCTION("REGEXREPLACE(
D217,
""([一-龯々]+)\[([^\]]+)\]"",
""&lt;ruby&gt;$1&lt;rt&gt;$2&lt;/rt&gt;&lt;/ruby&gt;""
)&amp;""&lt;br&gt;&lt;div class=""""audio""""&gt;[sound:""&amp;C217&amp;"".mp3]&lt;/div&gt;"""),"&lt;ruby&gt;付&lt;rt&gt;つ&lt;/rt&gt;&lt;/ruby&gt;く&lt;br&gt;&lt;div class=""audio""&gt;[sound:つく.mp3]&lt;/div&gt;")</f>
        <v>&lt;ruby&gt;付&lt;rt&gt;つ&lt;/rt&gt;&lt;/ruby&gt;く&lt;br&gt;&lt;div class="audio"&gt;[sound:つく.mp3]&lt;/div&gt;</v>
      </c>
      <c r="H217" s="3" t="str">
        <f t="shared" si="1"/>
        <v>(v): đính kèm</v>
      </c>
      <c r="I217" s="6" t="s">
        <v>1124</v>
      </c>
      <c r="J217" s="6" t="s">
        <v>1125</v>
      </c>
      <c r="K217" s="7">
        <f t="shared" si="2"/>
        <v>0.7591756191</v>
      </c>
    </row>
    <row r="218">
      <c r="A218" s="4">
        <v>218.0</v>
      </c>
      <c r="B218" s="5" t="s">
        <v>1126</v>
      </c>
      <c r="C218" s="5" t="s">
        <v>1127</v>
      </c>
      <c r="D218" s="5" t="s">
        <v>1128</v>
      </c>
      <c r="E218" s="6" t="s">
        <v>74</v>
      </c>
      <c r="F218" s="6" t="s">
        <v>1129</v>
      </c>
      <c r="G218" s="3" t="str">
        <f>IFERROR(__xludf.DUMMYFUNCTION("REGEXREPLACE(
D218,
""([一-龯々]+)\[([^\]]+)\]"",
""&lt;ruby&gt;$1&lt;rt&gt;$2&lt;/rt&gt;&lt;/ruby&gt;""
)&amp;""&lt;br&gt;&lt;div class=""""audio""""&gt;[sound:""&amp;C218&amp;"".mp3]&lt;/div&gt;"""),"&lt;ruby&gt;分&lt;rt&gt;ぶん&lt;/rt&gt;&lt;/ruby&gt;&lt;br&gt;&lt;div class=""audio""&gt;[sound:ぶん.mp3]&lt;/div&gt;")</f>
        <v>&lt;ruby&gt;分&lt;rt&gt;ぶん&lt;/rt&gt;&lt;/ruby&gt;&lt;br&gt;&lt;div class="audio"&gt;[sound:ぶん.mp3]&lt;/div&gt;</v>
      </c>
      <c r="H218" s="3" t="str">
        <f t="shared" si="1"/>
        <v>(n): phần</v>
      </c>
      <c r="I218" s="6" t="s">
        <v>1130</v>
      </c>
      <c r="J218" s="6" t="s">
        <v>1131</v>
      </c>
      <c r="K218" s="7">
        <f t="shared" si="2"/>
        <v>0.9590377677</v>
      </c>
    </row>
    <row r="219">
      <c r="A219" s="4">
        <v>219.0</v>
      </c>
      <c r="B219" s="5" t="s">
        <v>1132</v>
      </c>
      <c r="C219" s="5" t="s">
        <v>1132</v>
      </c>
      <c r="D219" s="5" t="s">
        <v>1132</v>
      </c>
      <c r="E219" s="6" t="s">
        <v>33</v>
      </c>
      <c r="F219" s="6" t="s">
        <v>1101</v>
      </c>
      <c r="G219" s="3" t="str">
        <f>IFERROR(__xludf.DUMMYFUNCTION("REGEXREPLACE(
D219,
""([一-龯々]+)\[([^\]]+)\]"",
""&lt;ruby&gt;$1&lt;rt&gt;$2&lt;/rt&gt;&lt;/ruby&gt;""
)&amp;""&lt;br&gt;&lt;div class=""""audio""""&gt;[sound:""&amp;C219&amp;"".mp3]&lt;/div&gt;"""),"さあ&lt;br&gt;&lt;div class=""audio""&gt;[sound:さあ.mp3]&lt;/div&gt;")</f>
        <v>さあ&lt;br&gt;&lt;div class="audio"&gt;[sound:さあ.mp3]&lt;/div&gt;</v>
      </c>
      <c r="H219" s="3" t="str">
        <f t="shared" si="1"/>
        <v>(int): nào</v>
      </c>
      <c r="I219" s="6" t="s">
        <v>1133</v>
      </c>
      <c r="J219" s="6" t="s">
        <v>1134</v>
      </c>
      <c r="K219" s="7">
        <f t="shared" si="2"/>
        <v>0.2900352659</v>
      </c>
    </row>
    <row r="220">
      <c r="A220" s="4">
        <v>220.0</v>
      </c>
      <c r="B220" s="5" t="s">
        <v>1135</v>
      </c>
      <c r="C220" s="5" t="s">
        <v>1136</v>
      </c>
      <c r="D220" s="5" t="s">
        <v>1137</v>
      </c>
      <c r="E220" s="6" t="s">
        <v>11</v>
      </c>
      <c r="F220" s="6" t="s">
        <v>1138</v>
      </c>
      <c r="G220" s="3" t="str">
        <f>IFERROR(__xludf.DUMMYFUNCTION("REGEXREPLACE(
D220,
""([一-龯々]+)\[([^\]]+)\]"",
""&lt;ruby&gt;$1&lt;rt&gt;$2&lt;/rt&gt;&lt;/ruby&gt;""
)&amp;""&lt;br&gt;&lt;div class=""""audio""""&gt;[sound:""&amp;C220&amp;"".mp3]&lt;/div&gt;"""),"&lt;ruby&gt;悪&lt;rt&gt;わる&lt;/rt&gt;&lt;/ruby&gt;い&lt;br&gt;&lt;div class=""audio""&gt;[sound:わるい.mp3]&lt;/div&gt;")</f>
        <v>&lt;ruby&gt;悪&lt;rt&gt;わる&lt;/rt&gt;&lt;/ruby&gt;い&lt;br&gt;&lt;div class="audio"&gt;[sound:わるい.mp3]&lt;/div&gt;</v>
      </c>
      <c r="H220" s="3" t="str">
        <f t="shared" si="1"/>
        <v>(adj): xấu</v>
      </c>
      <c r="I220" s="6" t="s">
        <v>1139</v>
      </c>
      <c r="J220" s="6" t="s">
        <v>1140</v>
      </c>
      <c r="K220" s="7">
        <f t="shared" si="2"/>
        <v>0.06255858275</v>
      </c>
    </row>
    <row r="221">
      <c r="A221" s="4">
        <v>221.0</v>
      </c>
      <c r="B221" s="5" t="s">
        <v>1141</v>
      </c>
      <c r="C221" s="5" t="s">
        <v>1142</v>
      </c>
      <c r="D221" s="5" t="s">
        <v>1143</v>
      </c>
      <c r="E221" s="6" t="s">
        <v>74</v>
      </c>
      <c r="F221" s="6" t="s">
        <v>1144</v>
      </c>
      <c r="G221" s="3" t="str">
        <f>IFERROR(__xludf.DUMMYFUNCTION("REGEXREPLACE(
D221,
""([一-龯々]+)\[([^\]]+)\]"",
""&lt;ruby&gt;$1&lt;rt&gt;$2&lt;/rt&gt;&lt;/ruby&gt;""
)&amp;""&lt;br&gt;&lt;div class=""""audio""""&gt;[sound:""&amp;C221&amp;"".mp3]&lt;/div&gt;"""),"&lt;ruby&gt;一人&lt;rt&gt;ひとり&lt;/rt&gt;&lt;/ruby&gt;&lt;br&gt;&lt;div class=""audio""&gt;[sound:ひとり.mp3]&lt;/div&gt;")</f>
        <v>&lt;ruby&gt;一人&lt;rt&gt;ひとり&lt;/rt&gt;&lt;/ruby&gt;&lt;br&gt;&lt;div class="audio"&gt;[sound:ひとり.mp3]&lt;/div&gt;</v>
      </c>
      <c r="H221" s="3" t="str">
        <f t="shared" si="1"/>
        <v>(n): một người</v>
      </c>
      <c r="I221" s="6" t="s">
        <v>1145</v>
      </c>
      <c r="J221" s="6" t="s">
        <v>1146</v>
      </c>
      <c r="K221" s="7">
        <f t="shared" si="2"/>
        <v>0.6418372398</v>
      </c>
    </row>
    <row r="222">
      <c r="A222" s="4">
        <v>222.0</v>
      </c>
      <c r="B222" s="5" t="s">
        <v>1147</v>
      </c>
      <c r="C222" s="5" t="s">
        <v>1148</v>
      </c>
      <c r="D222" s="5" t="s">
        <v>1149</v>
      </c>
      <c r="E222" s="6" t="s">
        <v>74</v>
      </c>
      <c r="F222" s="6" t="s">
        <v>1150</v>
      </c>
      <c r="G222" s="3" t="str">
        <f>IFERROR(__xludf.DUMMYFUNCTION("REGEXREPLACE(
D222,
""([一-龯々]+)\[([^\]]+)\]"",
""&lt;ruby&gt;$1&lt;rt&gt;$2&lt;/rt&gt;&lt;/ruby&gt;""
)&amp;""&lt;br&gt;&lt;div class=""""audio""""&gt;[sound:""&amp;C222&amp;"".mp3]&lt;/div&gt;"""),"&lt;ruby&gt;顔&lt;rt&gt;かお&lt;/rt&gt;&lt;/ruby&gt;&lt;br&gt;&lt;div class=""audio""&gt;[sound:かお.mp3]&lt;/div&gt;")</f>
        <v>&lt;ruby&gt;顔&lt;rt&gt;かお&lt;/rt&gt;&lt;/ruby&gt;&lt;br&gt;&lt;div class="audio"&gt;[sound:かお.mp3]&lt;/div&gt;</v>
      </c>
      <c r="H222" s="3" t="str">
        <f t="shared" si="1"/>
        <v>(n): khuôn mặt</v>
      </c>
      <c r="I222" s="6" t="s">
        <v>1151</v>
      </c>
      <c r="J222" s="6" t="s">
        <v>1152</v>
      </c>
      <c r="K222" s="7">
        <f t="shared" si="2"/>
        <v>0.8607301558</v>
      </c>
    </row>
    <row r="223">
      <c r="A223" s="4">
        <v>223.0</v>
      </c>
      <c r="B223" s="5" t="s">
        <v>1153</v>
      </c>
      <c r="C223" s="5" t="s">
        <v>1154</v>
      </c>
      <c r="D223" s="5" t="s">
        <v>1155</v>
      </c>
      <c r="E223" s="6" t="s">
        <v>24</v>
      </c>
      <c r="F223" s="6" t="s">
        <v>1156</v>
      </c>
      <c r="G223" s="3" t="str">
        <f>IFERROR(__xludf.DUMMYFUNCTION("REGEXREPLACE(
D223,
""([一-龯々]+)\[([^\]]+)\]"",
""&lt;ruby&gt;$1&lt;rt&gt;$2&lt;/rt&gt;&lt;/ruby&gt;""
)&amp;""&lt;br&gt;&lt;div class=""""audio""""&gt;[sound:""&amp;C223&amp;"".mp3]&lt;/div&gt;"""),"&lt;ruby&gt;乗&lt;rt&gt;の&lt;/rt&gt;&lt;/ruby&gt;る&lt;br&gt;&lt;div class=""audio""&gt;[sound:のる.mp3]&lt;/div&gt;")</f>
        <v>&lt;ruby&gt;乗&lt;rt&gt;の&lt;/rt&gt;&lt;/ruby&gt;る&lt;br&gt;&lt;div class="audio"&gt;[sound:のる.mp3]&lt;/div&gt;</v>
      </c>
      <c r="H223" s="3" t="str">
        <f t="shared" si="1"/>
        <v>(v): lên</v>
      </c>
      <c r="I223" s="6" t="s">
        <v>1157</v>
      </c>
      <c r="J223" s="6" t="s">
        <v>1158</v>
      </c>
      <c r="K223" s="7">
        <f t="shared" si="2"/>
        <v>0.4873739443</v>
      </c>
    </row>
    <row r="224">
      <c r="A224" s="4">
        <v>224.0</v>
      </c>
      <c r="B224" s="5" t="s">
        <v>1159</v>
      </c>
      <c r="C224" s="5" t="s">
        <v>1160</v>
      </c>
      <c r="D224" s="5" t="s">
        <v>1161</v>
      </c>
      <c r="E224" s="6" t="s">
        <v>74</v>
      </c>
      <c r="F224" s="6" t="s">
        <v>1162</v>
      </c>
      <c r="G224" s="3" t="str">
        <f>IFERROR(__xludf.DUMMYFUNCTION("REGEXREPLACE(
D224,
""([一-龯々]+)\[([^\]]+)\]"",
""&lt;ruby&gt;$1&lt;rt&gt;$2&lt;/rt&gt;&lt;/ruby&gt;""
)&amp;""&lt;br&gt;&lt;div class=""""audio""""&gt;[sound:""&amp;C224&amp;"".mp3]&lt;/div&gt;"""),"&lt;ruby&gt;店&lt;rt&gt;みせ&lt;/rt&gt;&lt;/ruby&gt;&lt;br&gt;&lt;div class=""audio""&gt;[sound:みせ.mp3]&lt;/div&gt;")</f>
        <v>&lt;ruby&gt;店&lt;rt&gt;みせ&lt;/rt&gt;&lt;/ruby&gt;&lt;br&gt;&lt;div class="audio"&gt;[sound:みせ.mp3]&lt;/div&gt;</v>
      </c>
      <c r="H224" s="3" t="str">
        <f t="shared" si="1"/>
        <v>(n): cửa hàng</v>
      </c>
      <c r="I224" s="6" t="s">
        <v>1163</v>
      </c>
      <c r="J224" s="6" t="s">
        <v>1164</v>
      </c>
      <c r="K224" s="7">
        <f t="shared" si="2"/>
        <v>0.2874305169</v>
      </c>
    </row>
    <row r="225">
      <c r="A225" s="4">
        <v>225.0</v>
      </c>
      <c r="B225" s="5" t="s">
        <v>1165</v>
      </c>
      <c r="C225" s="5" t="s">
        <v>1166</v>
      </c>
      <c r="D225" s="5" t="s">
        <v>1165</v>
      </c>
      <c r="E225" s="6" t="s">
        <v>74</v>
      </c>
      <c r="F225" s="6" t="s">
        <v>1167</v>
      </c>
      <c r="G225" s="3" t="str">
        <f>IFERROR(__xludf.DUMMYFUNCTION("REGEXREPLACE(
D225,
""([一-龯々]+)\[([^\]]+)\]"",
""&lt;ruby&gt;$1&lt;rt&gt;$2&lt;/rt&gt;&lt;/ruby&gt;""
)&amp;""&lt;br&gt;&lt;div class=""""audio""""&gt;[sound:""&amp;C225&amp;"".mp3]&lt;/div&gt;"""),"パン&lt;br&gt;&lt;div class=""audio""&gt;[sound:ぱん.mp3]&lt;/div&gt;")</f>
        <v>パン&lt;br&gt;&lt;div class="audio"&gt;[sound:ぱん.mp3]&lt;/div&gt;</v>
      </c>
      <c r="H225" s="3" t="str">
        <f t="shared" si="1"/>
        <v>(n): bánh mì</v>
      </c>
      <c r="I225" s="6" t="s">
        <v>1168</v>
      </c>
      <c r="J225" s="6" t="s">
        <v>1169</v>
      </c>
      <c r="K225" s="7">
        <f t="shared" si="2"/>
        <v>0.2281628272</v>
      </c>
    </row>
    <row r="226">
      <c r="A226" s="4">
        <v>226.0</v>
      </c>
      <c r="B226" s="5" t="s">
        <v>1170</v>
      </c>
      <c r="C226" s="5" t="s">
        <v>1170</v>
      </c>
      <c r="D226" s="5" t="s">
        <v>1170</v>
      </c>
      <c r="E226" s="6" t="s">
        <v>85</v>
      </c>
      <c r="F226" s="6" t="s">
        <v>1171</v>
      </c>
      <c r="G226" s="3" t="str">
        <f>IFERROR(__xludf.DUMMYFUNCTION("REGEXREPLACE(
D226,
""([一-龯々]+)\[([^\]]+)\]"",
""&lt;ruby&gt;$1&lt;rt&gt;$2&lt;/rt&gt;&lt;/ruby&gt;""
)&amp;""&lt;br&gt;&lt;div class=""""audio""""&gt;[sound:""&amp;C226&amp;"".mp3]&lt;/div&gt;"""),"いっぱい&lt;br&gt;&lt;div class=""audio""&gt;[sound:いっぱい.mp3]&lt;/div&gt;")</f>
        <v>いっぱい&lt;br&gt;&lt;div class="audio"&gt;[sound:いっぱい.mp3]&lt;/div&gt;</v>
      </c>
      <c r="H226" s="3" t="str">
        <f t="shared" si="1"/>
        <v>(adv): đầy</v>
      </c>
      <c r="I226" s="6" t="s">
        <v>1172</v>
      </c>
      <c r="J226" s="6" t="s">
        <v>1173</v>
      </c>
      <c r="K226" s="7">
        <f t="shared" si="2"/>
        <v>0.544480358</v>
      </c>
    </row>
    <row r="227">
      <c r="A227" s="4">
        <v>227.0</v>
      </c>
      <c r="B227" s="5" t="s">
        <v>1174</v>
      </c>
      <c r="C227" s="5" t="s">
        <v>351</v>
      </c>
      <c r="D227" s="5" t="s">
        <v>1175</v>
      </c>
      <c r="E227" s="6" t="s">
        <v>24</v>
      </c>
      <c r="F227" s="6" t="s">
        <v>1176</v>
      </c>
      <c r="G227" s="3" t="str">
        <f>IFERROR(__xludf.DUMMYFUNCTION("REGEXREPLACE(
D227,
""([一-龯々]+)\[([^\]]+)\]"",
""&lt;ruby&gt;$1&lt;rt&gt;$2&lt;/rt&gt;&lt;/ruby&gt;""
)&amp;""&lt;br&gt;&lt;div class=""""audio""""&gt;[sound:""&amp;C227&amp;"".mp3]&lt;/div&gt;"""),"&lt;ruby&gt;付&lt;rt&gt;つ&lt;/rt&gt;&lt;/ruby&gt;ける&lt;br&gt;&lt;div class=""audio""&gt;[sound:つける.mp3]&lt;/div&gt;")</f>
        <v>&lt;ruby&gt;付&lt;rt&gt;つ&lt;/rt&gt;&lt;/ruby&gt;ける&lt;br&gt;&lt;div class="audio"&gt;[sound:つける.mp3]&lt;/div&gt;</v>
      </c>
      <c r="H227" s="3" t="str">
        <f t="shared" si="1"/>
        <v>(v): gắn</v>
      </c>
      <c r="I227" s="6" t="s">
        <v>1177</v>
      </c>
      <c r="J227" s="6" t="s">
        <v>1178</v>
      </c>
      <c r="K227" s="7">
        <f t="shared" si="2"/>
        <v>0.1687526329</v>
      </c>
    </row>
    <row r="228">
      <c r="A228" s="4">
        <v>228.0</v>
      </c>
      <c r="B228" s="5" t="s">
        <v>1179</v>
      </c>
      <c r="C228" s="5" t="s">
        <v>1180</v>
      </c>
      <c r="D228" s="5" t="s">
        <v>1179</v>
      </c>
      <c r="E228" s="6" t="s">
        <v>74</v>
      </c>
      <c r="F228" s="6" t="s">
        <v>1181</v>
      </c>
      <c r="G228" s="3" t="str">
        <f>IFERROR(__xludf.DUMMYFUNCTION("REGEXREPLACE(
D228,
""([一-龯々]+)\[([^\]]+)\]"",
""&lt;ruby&gt;$1&lt;rt&gt;$2&lt;/rt&gt;&lt;/ruby&gt;""
)&amp;""&lt;br&gt;&lt;div class=""""audio""""&gt;[sound:""&amp;C228&amp;"".mp3]&lt;/div&gt;"""),"テレビ&lt;br&gt;&lt;div class=""audio""&gt;[sound:てれび.mp3]&lt;/div&gt;")</f>
        <v>テレビ&lt;br&gt;&lt;div class="audio"&gt;[sound:てれび.mp3]&lt;/div&gt;</v>
      </c>
      <c r="H228" s="3" t="str">
        <f t="shared" si="1"/>
        <v>(n): tivi</v>
      </c>
      <c r="I228" s="6" t="s">
        <v>1182</v>
      </c>
      <c r="J228" s="6" t="s">
        <v>1183</v>
      </c>
      <c r="K228" s="7">
        <f t="shared" si="2"/>
        <v>0.8600379963</v>
      </c>
    </row>
    <row r="229">
      <c r="A229" s="4">
        <v>229.0</v>
      </c>
      <c r="B229" s="5" t="s">
        <v>1184</v>
      </c>
      <c r="C229" s="5" t="s">
        <v>1185</v>
      </c>
      <c r="D229" s="5" t="s">
        <v>1186</v>
      </c>
      <c r="E229" s="6" t="s">
        <v>11</v>
      </c>
      <c r="F229" s="6" t="s">
        <v>1187</v>
      </c>
      <c r="G229" s="3" t="str">
        <f>IFERROR(__xludf.DUMMYFUNCTION("REGEXREPLACE(
D229,
""([一-龯々]+)\[([^\]]+)\]"",
""&lt;ruby&gt;$1&lt;rt&gt;$2&lt;/rt&gt;&lt;/ruby&gt;""
)&amp;""&lt;br&gt;&lt;div class=""""audio""""&gt;[sound:""&amp;C229&amp;"".mp3]&lt;/div&gt;"""),"&lt;ruby&gt;強&lt;rt&gt;つよ&lt;/rt&gt;&lt;/ruby&gt;い&lt;br&gt;&lt;div class=""audio""&gt;[sound:つよい.mp3]&lt;/div&gt;")</f>
        <v>&lt;ruby&gt;強&lt;rt&gt;つよ&lt;/rt&gt;&lt;/ruby&gt;い&lt;br&gt;&lt;div class="audio"&gt;[sound:つよい.mp3]&lt;/div&gt;</v>
      </c>
      <c r="H229" s="3" t="str">
        <f t="shared" si="1"/>
        <v>(adj): mạnh</v>
      </c>
      <c r="I229" s="6" t="s">
        <v>1188</v>
      </c>
      <c r="J229" s="6" t="s">
        <v>1189</v>
      </c>
      <c r="K229" s="7">
        <f t="shared" si="2"/>
        <v>0.04351241887</v>
      </c>
    </row>
    <row r="230">
      <c r="A230" s="4">
        <v>230.0</v>
      </c>
      <c r="B230" s="5" t="s">
        <v>1190</v>
      </c>
      <c r="C230" s="5" t="s">
        <v>1191</v>
      </c>
      <c r="D230" s="5" t="s">
        <v>1192</v>
      </c>
      <c r="E230" s="6" t="s">
        <v>24</v>
      </c>
      <c r="F230" s="6" t="s">
        <v>1193</v>
      </c>
      <c r="G230" s="3" t="str">
        <f>IFERROR(__xludf.DUMMYFUNCTION("REGEXREPLACE(
D230,
""([一-龯々]+)\[([^\]]+)\]"",
""&lt;ruby&gt;$1&lt;rt&gt;$2&lt;/rt&gt;&lt;/ruby&gt;""
)&amp;""&lt;br&gt;&lt;div class=""""audio""""&gt;[sound:""&amp;C230&amp;"".mp3]&lt;/div&gt;"""),"&lt;ruby&gt;読&lt;rt&gt;よ&lt;/rt&gt;&lt;/ruby&gt;む&lt;br&gt;&lt;div class=""audio""&gt;[sound:よむ.mp3]&lt;/div&gt;")</f>
        <v>&lt;ruby&gt;読&lt;rt&gt;よ&lt;/rt&gt;&lt;/ruby&gt;む&lt;br&gt;&lt;div class="audio"&gt;[sound:よむ.mp3]&lt;/div&gt;</v>
      </c>
      <c r="H230" s="3" t="str">
        <f t="shared" si="1"/>
        <v>(v): đọc</v>
      </c>
      <c r="I230" s="6" t="s">
        <v>1194</v>
      </c>
      <c r="J230" s="6" t="s">
        <v>1195</v>
      </c>
      <c r="K230" s="7">
        <f t="shared" si="2"/>
        <v>0.8329110881</v>
      </c>
    </row>
    <row r="231">
      <c r="A231" s="4">
        <v>231.0</v>
      </c>
      <c r="B231" s="5" t="s">
        <v>1196</v>
      </c>
      <c r="C231" s="5" t="s">
        <v>1197</v>
      </c>
      <c r="D231" s="5" t="s">
        <v>1198</v>
      </c>
      <c r="E231" s="6" t="s">
        <v>24</v>
      </c>
      <c r="F231" s="6" t="s">
        <v>1199</v>
      </c>
      <c r="G231" s="3" t="str">
        <f>IFERROR(__xludf.DUMMYFUNCTION("REGEXREPLACE(
D231,
""([一-龯々]+)\[([^\]]+)\]"",
""&lt;ruby&gt;$1&lt;rt&gt;$2&lt;/rt&gt;&lt;/ruby&gt;""
)&amp;""&lt;br&gt;&lt;div class=""""audio""""&gt;[sound:""&amp;C231&amp;"".mp3]&lt;/div&gt;"""),"&lt;ruby&gt;買&lt;rt&gt;か&lt;/rt&gt;&lt;/ruby&gt;う&lt;br&gt;&lt;div class=""audio""&gt;[sound:かう.mp3]&lt;/div&gt;")</f>
        <v>&lt;ruby&gt;買&lt;rt&gt;か&lt;/rt&gt;&lt;/ruby&gt;う&lt;br&gt;&lt;div class="audio"&gt;[sound:かう.mp3]&lt;/div&gt;</v>
      </c>
      <c r="H231" s="3" t="str">
        <f t="shared" si="1"/>
        <v>(v): mua</v>
      </c>
      <c r="I231" s="6" t="s">
        <v>1200</v>
      </c>
      <c r="J231" s="6" t="s">
        <v>1201</v>
      </c>
      <c r="K231" s="7">
        <f t="shared" si="2"/>
        <v>0.9805283548</v>
      </c>
    </row>
    <row r="232">
      <c r="A232" s="4">
        <v>232.0</v>
      </c>
      <c r="B232" s="5" t="s">
        <v>1202</v>
      </c>
      <c r="C232" s="5" t="s">
        <v>1203</v>
      </c>
      <c r="D232" s="5" t="s">
        <v>1204</v>
      </c>
      <c r="E232" s="6" t="s">
        <v>74</v>
      </c>
      <c r="F232" s="6" t="s">
        <v>1205</v>
      </c>
      <c r="G232" s="3" t="str">
        <f>IFERROR(__xludf.DUMMYFUNCTION("REGEXREPLACE(
D232,
""([一-龯々]+)\[([^\]]+)\]"",
""&lt;ruby&gt;$1&lt;rt&gt;$2&lt;/rt&gt;&lt;/ruby&gt;""
)&amp;""&lt;br&gt;&lt;div class=""""audio""""&gt;[sound:""&amp;C232&amp;"".mp3]&lt;/div&gt;"""),"&lt;ruby&gt;目&lt;rt&gt;め&lt;/rt&gt;&lt;/ruby&gt;&lt;br&gt;&lt;div class=""audio""&gt;[sound:め.mp3]&lt;/div&gt;")</f>
        <v>&lt;ruby&gt;目&lt;rt&gt;め&lt;/rt&gt;&lt;/ruby&gt;&lt;br&gt;&lt;div class="audio"&gt;[sound:め.mp3]&lt;/div&gt;</v>
      </c>
      <c r="H232" s="3" t="str">
        <f t="shared" si="1"/>
        <v>(n): mắt</v>
      </c>
      <c r="I232" s="6" t="s">
        <v>1206</v>
      </c>
      <c r="J232" s="6" t="s">
        <v>1207</v>
      </c>
      <c r="K232" s="7">
        <f t="shared" si="2"/>
        <v>0.3871547191</v>
      </c>
    </row>
    <row r="233">
      <c r="A233" s="4">
        <v>233.0</v>
      </c>
      <c r="B233" s="5" t="s">
        <v>1208</v>
      </c>
      <c r="C233" s="5" t="s">
        <v>1209</v>
      </c>
      <c r="D233" s="5" t="s">
        <v>1210</v>
      </c>
      <c r="E233" s="6" t="s">
        <v>74</v>
      </c>
      <c r="F233" s="6" t="s">
        <v>1211</v>
      </c>
      <c r="G233" s="3" t="str">
        <f>IFERROR(__xludf.DUMMYFUNCTION("REGEXREPLACE(
D233,
""([一-龯々]+)\[([^\]]+)\]"",
""&lt;ruby&gt;$1&lt;rt&gt;$2&lt;/rt&gt;&lt;/ruby&gt;""
)&amp;""&lt;br&gt;&lt;div class=""""audio""""&gt;[sound:""&amp;C233&amp;"".mp3]&lt;/div&gt;"""),"&lt;ruby&gt;開発&lt;rt&gt;かいはつ&lt;/rt&gt;&lt;/ruby&gt;&lt;br&gt;&lt;div class=""audio""&gt;[sound:かいはつ.mp3]&lt;/div&gt;")</f>
        <v>&lt;ruby&gt;開発&lt;rt&gt;かいはつ&lt;/rt&gt;&lt;/ruby&gt;&lt;br&gt;&lt;div class="audio"&gt;[sound:かいはつ.mp3]&lt;/div&gt;</v>
      </c>
      <c r="H233" s="3" t="str">
        <f t="shared" si="1"/>
        <v>(n): phát triển</v>
      </c>
      <c r="I233" s="6" t="s">
        <v>1212</v>
      </c>
      <c r="J233" s="6" t="s">
        <v>1213</v>
      </c>
      <c r="K233" s="7">
        <f t="shared" si="2"/>
        <v>0.3472674166</v>
      </c>
    </row>
    <row r="234">
      <c r="A234" s="4">
        <v>234.0</v>
      </c>
      <c r="B234" s="5" t="s">
        <v>1214</v>
      </c>
      <c r="C234" s="5" t="s">
        <v>1215</v>
      </c>
      <c r="D234" s="5" t="s">
        <v>1214</v>
      </c>
      <c r="E234" s="6" t="s">
        <v>74</v>
      </c>
      <c r="F234" s="6" t="s">
        <v>1216</v>
      </c>
      <c r="G234" s="3" t="str">
        <f>IFERROR(__xludf.DUMMYFUNCTION("REGEXREPLACE(
D234,
""([一-龯々]+)\[([^\]]+)\]"",
""&lt;ruby&gt;$1&lt;rt&gt;$2&lt;/rt&gt;&lt;/ruby&gt;""
)&amp;""&lt;br&gt;&lt;div class=""""audio""""&gt;[sound:""&amp;C234&amp;"".mp3]&lt;/div&gt;"""),"ビジネス&lt;br&gt;&lt;div class=""audio""&gt;[sound:びじねす.mp3]&lt;/div&gt;")</f>
        <v>ビジネス&lt;br&gt;&lt;div class="audio"&gt;[sound:びじねす.mp3]&lt;/div&gt;</v>
      </c>
      <c r="H234" s="3" t="str">
        <f t="shared" si="1"/>
        <v>(n): kinh doanh</v>
      </c>
      <c r="I234" s="6" t="s">
        <v>1217</v>
      </c>
      <c r="J234" s="6" t="s">
        <v>1218</v>
      </c>
      <c r="K234" s="7">
        <f t="shared" si="2"/>
        <v>0.8544474317</v>
      </c>
    </row>
    <row r="235">
      <c r="A235" s="4">
        <v>235.0</v>
      </c>
      <c r="B235" s="5" t="s">
        <v>1219</v>
      </c>
      <c r="C235" s="5" t="s">
        <v>1220</v>
      </c>
      <c r="D235" s="5" t="s">
        <v>1221</v>
      </c>
      <c r="E235" s="6" t="s">
        <v>74</v>
      </c>
      <c r="F235" s="6" t="s">
        <v>1222</v>
      </c>
      <c r="G235" s="3" t="str">
        <f>IFERROR(__xludf.DUMMYFUNCTION("REGEXREPLACE(
D235,
""([一-龯々]+)\[([^\]]+)\]"",
""&lt;ruby&gt;$1&lt;rt&gt;$2&lt;/rt&gt;&lt;/ruby&gt;""
)&amp;""&lt;br&gt;&lt;div class=""""audio""""&gt;[sound:""&amp;C235&amp;"".mp3]&lt;/div&gt;"""),"&lt;ruby&gt;行政&lt;rt&gt;ぎょうせい&lt;/rt&gt;&lt;/ruby&gt;&lt;br&gt;&lt;div class=""audio""&gt;[sound:ぎょうせい.mp3]&lt;/div&gt;")</f>
        <v>&lt;ruby&gt;行政&lt;rt&gt;ぎょうせい&lt;/rt&gt;&lt;/ruby&gt;&lt;br&gt;&lt;div class="audio"&gt;[sound:ぎょうせい.mp3]&lt;/div&gt;</v>
      </c>
      <c r="H235" s="3" t="str">
        <f t="shared" si="1"/>
        <v>(n): hành chính</v>
      </c>
      <c r="I235" s="6" t="s">
        <v>1223</v>
      </c>
      <c r="J235" s="6" t="s">
        <v>1224</v>
      </c>
      <c r="K235" s="7">
        <f t="shared" si="2"/>
        <v>0.09306612425</v>
      </c>
    </row>
    <row r="236">
      <c r="A236" s="4">
        <v>236.0</v>
      </c>
      <c r="B236" s="5" t="s">
        <v>1225</v>
      </c>
      <c r="C236" s="5" t="s">
        <v>1226</v>
      </c>
      <c r="D236" s="5" t="s">
        <v>1227</v>
      </c>
      <c r="E236" s="6" t="s">
        <v>74</v>
      </c>
      <c r="F236" s="6" t="s">
        <v>1228</v>
      </c>
      <c r="G236" s="3" t="str">
        <f>IFERROR(__xludf.DUMMYFUNCTION("REGEXREPLACE(
D236,
""([一-龯々]+)\[([^\]]+)\]"",
""&lt;ruby&gt;$1&lt;rt&gt;$2&lt;/rt&gt;&lt;/ruby&gt;""
)&amp;""&lt;br&gt;&lt;div class=""""audio""""&gt;[sound:""&amp;C236&amp;"".mp3]&lt;/div&gt;"""),"&lt;ruby&gt;設定&lt;rt&gt;せってい&lt;/rt&gt;&lt;/ruby&gt;&lt;br&gt;&lt;div class=""audio""&gt;[sound:せってい.mp3]&lt;/div&gt;")</f>
        <v>&lt;ruby&gt;設定&lt;rt&gt;せってい&lt;/rt&gt;&lt;/ruby&gt;&lt;br&gt;&lt;div class="audio"&gt;[sound:せってい.mp3]&lt;/div&gt;</v>
      </c>
      <c r="H236" s="3" t="str">
        <f t="shared" si="1"/>
        <v>(n): sự cài đặt</v>
      </c>
      <c r="I236" s="6" t="s">
        <v>1229</v>
      </c>
      <c r="J236" s="6" t="s">
        <v>1230</v>
      </c>
      <c r="K236" s="7">
        <f t="shared" si="2"/>
        <v>0.8143044475</v>
      </c>
    </row>
    <row r="237">
      <c r="A237" s="4">
        <v>237.0</v>
      </c>
      <c r="B237" s="5" t="s">
        <v>1231</v>
      </c>
      <c r="C237" s="5" t="s">
        <v>1232</v>
      </c>
      <c r="D237" s="5" t="s">
        <v>1231</v>
      </c>
      <c r="E237" s="6" t="s">
        <v>74</v>
      </c>
      <c r="F237" s="6" t="s">
        <v>1233</v>
      </c>
      <c r="G237" s="3" t="str">
        <f>IFERROR(__xludf.DUMMYFUNCTION("REGEXREPLACE(
D237,
""([一-龯々]+)\[([^\]]+)\]"",
""&lt;ruby&gt;$1&lt;rt&gt;$2&lt;/rt&gt;&lt;/ruby&gt;""
)&amp;""&lt;br&gt;&lt;div class=""""audio""""&gt;[sound:""&amp;C237&amp;"".mp3]&lt;/div&gt;"""),"システム&lt;br&gt;&lt;div class=""audio""&gt;[sound:しすてむ.mp3]&lt;/div&gt;")</f>
        <v>システム&lt;br&gt;&lt;div class="audio"&gt;[sound:しすてむ.mp3]&lt;/div&gt;</v>
      </c>
      <c r="H237" s="3" t="str">
        <f t="shared" si="1"/>
        <v>(n): hệ thống</v>
      </c>
      <c r="I237" s="6" t="s">
        <v>1234</v>
      </c>
      <c r="J237" s="6" t="s">
        <v>1235</v>
      </c>
      <c r="K237" s="7">
        <f t="shared" si="2"/>
        <v>0.1969606694</v>
      </c>
    </row>
    <row r="238">
      <c r="A238" s="4">
        <v>238.0</v>
      </c>
      <c r="B238" s="5" t="s">
        <v>1236</v>
      </c>
      <c r="C238" s="5" t="s">
        <v>1237</v>
      </c>
      <c r="D238" s="5" t="s">
        <v>1238</v>
      </c>
      <c r="E238" s="6" t="s">
        <v>74</v>
      </c>
      <c r="F238" s="6" t="s">
        <v>1239</v>
      </c>
      <c r="G238" s="3" t="str">
        <f>IFERROR(__xludf.DUMMYFUNCTION("REGEXREPLACE(
D238,
""([一-龯々]+)\[([^\]]+)\]"",
""&lt;ruby&gt;$1&lt;rt&gt;$2&lt;/rt&gt;&lt;/ruby&gt;""
)&amp;""&lt;br&gt;&lt;div class=""""audio""""&gt;[sound:""&amp;C238&amp;"".mp3]&lt;/div&gt;"""),"&lt;ruby&gt;美術&lt;rt&gt;びじゅつ&lt;/rt&gt;&lt;/ruby&gt;&lt;br&gt;&lt;div class=""audio""&gt;[sound:びじゅつ.mp3]&lt;/div&gt;")</f>
        <v>&lt;ruby&gt;美術&lt;rt&gt;びじゅつ&lt;/rt&gt;&lt;/ruby&gt;&lt;br&gt;&lt;div class="audio"&gt;[sound:びじゅつ.mp3]&lt;/div&gt;</v>
      </c>
      <c r="H238" s="3" t="str">
        <f t="shared" si="1"/>
        <v>(n): mỹ thuật</v>
      </c>
      <c r="I238" s="6" t="s">
        <v>1240</v>
      </c>
      <c r="J238" s="6" t="s">
        <v>1241</v>
      </c>
      <c r="K238" s="7">
        <f t="shared" si="2"/>
        <v>0.8872094524</v>
      </c>
    </row>
    <row r="239">
      <c r="A239" s="4">
        <v>239.0</v>
      </c>
      <c r="B239" s="5" t="s">
        <v>1242</v>
      </c>
      <c r="C239" s="5" t="s">
        <v>1243</v>
      </c>
      <c r="D239" s="5" t="s">
        <v>1244</v>
      </c>
      <c r="E239" s="6" t="s">
        <v>74</v>
      </c>
      <c r="F239" s="6" t="s">
        <v>1245</v>
      </c>
      <c r="G239" s="3" t="str">
        <f>IFERROR(__xludf.DUMMYFUNCTION("REGEXREPLACE(
D239,
""([一-龯々]+)\[([^\]]+)\]"",
""&lt;ruby&gt;$1&lt;rt&gt;$2&lt;/rt&gt;&lt;/ruby&gt;""
)&amp;""&lt;br&gt;&lt;div class=""""audio""""&gt;[sound:""&amp;C239&amp;"".mp3]&lt;/div&gt;"""),"&lt;ruby&gt;背景&lt;rt&gt;はいけい&lt;/rt&gt;&lt;/ruby&gt;&lt;br&gt;&lt;div class=""audio""&gt;[sound:はいけい.mp3]&lt;/div&gt;")</f>
        <v>&lt;ruby&gt;背景&lt;rt&gt;はいけい&lt;/rt&gt;&lt;/ruby&gt;&lt;br&gt;&lt;div class="audio"&gt;[sound:はいけい.mp3]&lt;/div&gt;</v>
      </c>
      <c r="H239" s="3" t="str">
        <f t="shared" si="1"/>
        <v>(n): bối cảnh</v>
      </c>
      <c r="I239" s="6" t="s">
        <v>1246</v>
      </c>
      <c r="J239" s="6" t="s">
        <v>1247</v>
      </c>
      <c r="K239" s="7">
        <f t="shared" si="2"/>
        <v>0.6117111802</v>
      </c>
    </row>
    <row r="240">
      <c r="A240" s="4">
        <v>240.0</v>
      </c>
      <c r="B240" s="5" t="s">
        <v>1248</v>
      </c>
      <c r="C240" s="5" t="s">
        <v>1249</v>
      </c>
      <c r="D240" s="5" t="s">
        <v>1248</v>
      </c>
      <c r="E240" s="6" t="s">
        <v>74</v>
      </c>
      <c r="F240" s="6" t="s">
        <v>1250</v>
      </c>
      <c r="G240" s="3" t="str">
        <f>IFERROR(__xludf.DUMMYFUNCTION("REGEXREPLACE(
D240,
""([一-龯々]+)\[([^\]]+)\]"",
""&lt;ruby&gt;$1&lt;rt&gt;$2&lt;/rt&gt;&lt;/ruby&gt;""
)&amp;""&lt;br&gt;&lt;div class=""""audio""""&gt;[sound:""&amp;C240&amp;"".mp3]&lt;/div&gt;"""),"ポイント&lt;br&gt;&lt;div class=""audio""&gt;[sound:ぽいんと.mp3]&lt;/div&gt;")</f>
        <v>ポイント&lt;br&gt;&lt;div class="audio"&gt;[sound:ぽいんと.mp3]&lt;/div&gt;</v>
      </c>
      <c r="H240" s="3" t="str">
        <f t="shared" si="1"/>
        <v>(n): điểm</v>
      </c>
      <c r="I240" s="6" t="s">
        <v>1251</v>
      </c>
      <c r="J240" s="6" t="s">
        <v>1252</v>
      </c>
      <c r="K240" s="7">
        <f t="shared" si="2"/>
        <v>0.6043535356</v>
      </c>
    </row>
    <row r="241">
      <c r="A241" s="4">
        <v>241.0</v>
      </c>
      <c r="B241" s="5" t="s">
        <v>1253</v>
      </c>
      <c r="C241" s="5" t="s">
        <v>1254</v>
      </c>
      <c r="D241" s="5" t="s">
        <v>1255</v>
      </c>
      <c r="E241" s="6" t="s">
        <v>11</v>
      </c>
      <c r="F241" s="6" t="s">
        <v>1256</v>
      </c>
      <c r="G241" s="3" t="str">
        <f>IFERROR(__xludf.DUMMYFUNCTION("REGEXREPLACE(
D241,
""([一-龯々]+)\[([^\]]+)\]"",
""&lt;ruby&gt;$1&lt;rt&gt;$2&lt;/rt&gt;&lt;/ruby&gt;""
)&amp;""&lt;br&gt;&lt;div class=""""audio""""&gt;[sound:""&amp;C241&amp;"".mp3]&lt;/div&gt;"""),"&lt;ruby&gt;可愛&lt;rt&gt;かわ&lt;/rt&gt;&lt;/ruby&gt;い&lt;br&gt;&lt;div class=""audio""&gt;[sound:かわいい.mp3]&lt;/div&gt;")</f>
        <v>&lt;ruby&gt;可愛&lt;rt&gt;かわ&lt;/rt&gt;&lt;/ruby&gt;い&lt;br&gt;&lt;div class="audio"&gt;[sound:かわいい.mp3]&lt;/div&gt;</v>
      </c>
      <c r="H241" s="3" t="str">
        <f t="shared" si="1"/>
        <v>(adj): đáng yêu</v>
      </c>
      <c r="I241" s="6" t="s">
        <v>1257</v>
      </c>
      <c r="J241" s="6" t="s">
        <v>1258</v>
      </c>
      <c r="K241" s="7">
        <f t="shared" si="2"/>
        <v>0.8350354171</v>
      </c>
    </row>
    <row r="242">
      <c r="A242" s="4">
        <v>242.0</v>
      </c>
      <c r="B242" s="5" t="s">
        <v>1259</v>
      </c>
      <c r="C242" s="5" t="s">
        <v>1260</v>
      </c>
      <c r="D242" s="5" t="s">
        <v>1261</v>
      </c>
      <c r="E242" s="6" t="s">
        <v>11</v>
      </c>
      <c r="F242" s="6" t="s">
        <v>1262</v>
      </c>
      <c r="G242" s="3" t="str">
        <f>IFERROR(__xludf.DUMMYFUNCTION("REGEXREPLACE(
D242,
""([一-龯々]+)\[([^\]]+)\]"",
""&lt;ruby&gt;$1&lt;rt&gt;$2&lt;/rt&gt;&lt;/ruby&gt;""
)&amp;""&lt;br&gt;&lt;div class=""""audio""""&gt;[sound:""&amp;C242&amp;"".mp3]&lt;/div&gt;"""),"&lt;ruby&gt;大変&lt;rt&gt;たいへん&lt;/rt&gt;&lt;/ruby&gt;&lt;br&gt;&lt;div class=""audio""&gt;[sound:たいへん.mp3]&lt;/div&gt;")</f>
        <v>&lt;ruby&gt;大変&lt;rt&gt;たいへん&lt;/rt&gt;&lt;/ruby&gt;&lt;br&gt;&lt;div class="audio"&gt;[sound:たいへん.mp3]&lt;/div&gt;</v>
      </c>
      <c r="H242" s="3" t="str">
        <f t="shared" si="1"/>
        <v>(adj): vất vả</v>
      </c>
      <c r="I242" s="6" t="s">
        <v>1263</v>
      </c>
      <c r="J242" s="6" t="s">
        <v>1264</v>
      </c>
      <c r="K242" s="7">
        <f t="shared" si="2"/>
        <v>0.009122702753</v>
      </c>
    </row>
    <row r="243">
      <c r="A243" s="4">
        <v>243.0</v>
      </c>
      <c r="B243" s="5" t="s">
        <v>1265</v>
      </c>
      <c r="C243" s="5" t="s">
        <v>368</v>
      </c>
      <c r="D243" s="5" t="s">
        <v>1266</v>
      </c>
      <c r="E243" s="6" t="s">
        <v>24</v>
      </c>
      <c r="F243" s="6" t="s">
        <v>824</v>
      </c>
      <c r="G243" s="3" t="str">
        <f>IFERROR(__xludf.DUMMYFUNCTION("REGEXREPLACE(
D243,
""([一-龯々]+)\[([^\]]+)\]"",
""&lt;ruby&gt;$1&lt;rt&gt;$2&lt;/rt&gt;&lt;/ruby&gt;""
)&amp;""&lt;br&gt;&lt;div class=""""audio""""&gt;[sound:""&amp;C243&amp;"".mp3]&lt;/div&gt;"""),"&lt;ruby&gt;変&lt;rt&gt;か&lt;/rt&gt;&lt;/ruby&gt;える&lt;br&gt;&lt;div class=""audio""&gt;[sound:かえる.mp3]&lt;/div&gt;")</f>
        <v>&lt;ruby&gt;変&lt;rt&gt;か&lt;/rt&gt;&lt;/ruby&gt;える&lt;br&gt;&lt;div class="audio"&gt;[sound:かえる.mp3]&lt;/div&gt;</v>
      </c>
      <c r="H243" s="3" t="str">
        <f t="shared" si="1"/>
        <v>(v): thay đổi</v>
      </c>
      <c r="I243" s="6" t="s">
        <v>1267</v>
      </c>
      <c r="J243" s="6" t="s">
        <v>1268</v>
      </c>
      <c r="K243" s="7">
        <f t="shared" si="2"/>
        <v>0.5591238631</v>
      </c>
    </row>
    <row r="244">
      <c r="A244" s="4">
        <v>244.0</v>
      </c>
      <c r="B244" s="5" t="s">
        <v>1269</v>
      </c>
      <c r="C244" s="5" t="s">
        <v>1270</v>
      </c>
      <c r="D244" s="5" t="s">
        <v>1271</v>
      </c>
      <c r="E244" s="6" t="s">
        <v>58</v>
      </c>
      <c r="F244" s="6" t="s">
        <v>1272</v>
      </c>
      <c r="G244" s="3" t="str">
        <f>IFERROR(__xludf.DUMMYFUNCTION("REGEXREPLACE(
D244,
""([一-龯々]+)\[([^\]]+)\]"",
""&lt;ruby&gt;$1&lt;rt&gt;$2&lt;/rt&gt;&lt;/ruby&gt;""
)&amp;""&lt;br&gt;&lt;div class=""""audio""""&gt;[sound:""&amp;C244&amp;"".mp3]&lt;/div&gt;"""),"&lt;ruby&gt;四&lt;rt&gt;よん&lt;/rt&gt;&lt;/ruby&gt;&lt;br&gt;&lt;div class=""audio""&gt;[sound:よん.mp3]&lt;/div&gt;")</f>
        <v>&lt;ruby&gt;四&lt;rt&gt;よん&lt;/rt&gt;&lt;/ruby&gt;&lt;br&gt;&lt;div class="audio"&gt;[sound:よん.mp3]&lt;/div&gt;</v>
      </c>
      <c r="H244" s="3" t="str">
        <f t="shared" si="1"/>
        <v>(num): bốn</v>
      </c>
      <c r="I244" s="6" t="s">
        <v>1273</v>
      </c>
      <c r="J244" s="6" t="s">
        <v>1274</v>
      </c>
      <c r="K244" s="7">
        <f t="shared" si="2"/>
        <v>0.5971539088</v>
      </c>
    </row>
    <row r="245">
      <c r="A245" s="4">
        <v>245.0</v>
      </c>
      <c r="B245" s="5" t="s">
        <v>1275</v>
      </c>
      <c r="C245" s="5" t="s">
        <v>1276</v>
      </c>
      <c r="D245" s="5" t="s">
        <v>1277</v>
      </c>
      <c r="E245" s="6" t="s">
        <v>74</v>
      </c>
      <c r="F245" s="6" t="s">
        <v>1216</v>
      </c>
      <c r="G245" s="3" t="str">
        <f>IFERROR(__xludf.DUMMYFUNCTION("REGEXREPLACE(
D245,
""([一-龯々]+)\[([^\]]+)\]"",
""&lt;ruby&gt;$1&lt;rt&gt;$2&lt;/rt&gt;&lt;/ruby&gt;""
)&amp;""&lt;br&gt;&lt;div class=""""audio""""&gt;[sound:""&amp;C245&amp;"".mp3]&lt;/div&gt;"""),"&lt;ruby&gt;営業&lt;rt&gt;えいぎょう&lt;/rt&gt;&lt;/ruby&gt;&lt;br&gt;&lt;div class=""audio""&gt;[sound:えいぎょう.mp3]&lt;/div&gt;")</f>
        <v>&lt;ruby&gt;営業&lt;rt&gt;えいぎょう&lt;/rt&gt;&lt;/ruby&gt;&lt;br&gt;&lt;div class="audio"&gt;[sound:えいぎょう.mp3]&lt;/div&gt;</v>
      </c>
      <c r="H245" s="3" t="str">
        <f t="shared" si="1"/>
        <v>(n): kinh doanh</v>
      </c>
      <c r="I245" s="6" t="s">
        <v>1278</v>
      </c>
      <c r="J245" s="6" t="s">
        <v>1279</v>
      </c>
      <c r="K245" s="7">
        <f t="shared" si="2"/>
        <v>0.07465532389</v>
      </c>
    </row>
    <row r="246">
      <c r="A246" s="4">
        <v>246.0</v>
      </c>
      <c r="B246" s="5" t="s">
        <v>1280</v>
      </c>
      <c r="C246" s="5" t="s">
        <v>1280</v>
      </c>
      <c r="D246" s="5" t="s">
        <v>1280</v>
      </c>
      <c r="E246" s="6" t="s">
        <v>44</v>
      </c>
      <c r="F246" s="6" t="s">
        <v>870</v>
      </c>
      <c r="G246" s="3" t="str">
        <f>IFERROR(__xludf.DUMMYFUNCTION("REGEXREPLACE(
D246,
""([一-龯々]+)\[([^\]]+)\]"",
""&lt;ruby&gt;$1&lt;rt&gt;$2&lt;/rt&gt;&lt;/ruby&gt;""
)&amp;""&lt;br&gt;&lt;div class=""""audio""""&gt;[sound:""&amp;C246&amp;"".mp3]&lt;/div&gt;"""),"あちら&lt;br&gt;&lt;div class=""audio""&gt;[sound:あちら.mp3]&lt;/div&gt;")</f>
        <v>あちら&lt;br&gt;&lt;div class="audio"&gt;[sound:あちら.mp3]&lt;/div&gt;</v>
      </c>
      <c r="H246" s="3" t="str">
        <f t="shared" si="1"/>
        <v>(pron): đằng kia</v>
      </c>
      <c r="I246" s="6" t="s">
        <v>1281</v>
      </c>
      <c r="J246" s="6" t="s">
        <v>1282</v>
      </c>
      <c r="K246" s="7">
        <f t="shared" si="2"/>
        <v>0.2191945909</v>
      </c>
    </row>
    <row r="247">
      <c r="A247" s="4">
        <v>247.0</v>
      </c>
      <c r="B247" s="5" t="s">
        <v>1283</v>
      </c>
      <c r="C247" s="5" t="s">
        <v>1283</v>
      </c>
      <c r="D247" s="5" t="s">
        <v>1283</v>
      </c>
      <c r="E247" s="6" t="s">
        <v>85</v>
      </c>
      <c r="F247" s="6" t="s">
        <v>1284</v>
      </c>
      <c r="G247" s="3" t="str">
        <f>IFERROR(__xludf.DUMMYFUNCTION("REGEXREPLACE(
D247,
""([一-龯々]+)\[([^\]]+)\]"",
""&lt;ruby&gt;$1&lt;rt&gt;$2&lt;/rt&gt;&lt;/ruby&gt;""
)&amp;""&lt;br&gt;&lt;div class=""""audio""""&gt;[sound:""&amp;C247&amp;"".mp3]&lt;/div&gt;"""),"まず&lt;br&gt;&lt;div class=""audio""&gt;[sound:まず.mp3]&lt;/div&gt;")</f>
        <v>まず&lt;br&gt;&lt;div class="audio"&gt;[sound:まず.mp3]&lt;/div&gt;</v>
      </c>
      <c r="H247" s="3" t="str">
        <f t="shared" si="1"/>
        <v>(adv): trước hết</v>
      </c>
      <c r="I247" s="6" t="s">
        <v>1285</v>
      </c>
      <c r="J247" s="6" t="s">
        <v>1286</v>
      </c>
      <c r="K247" s="7">
        <f t="shared" si="2"/>
        <v>0.5140902827</v>
      </c>
    </row>
    <row r="248">
      <c r="A248" s="4">
        <v>248.0</v>
      </c>
      <c r="B248" s="5" t="s">
        <v>1287</v>
      </c>
      <c r="C248" s="5" t="s">
        <v>1288</v>
      </c>
      <c r="D248" s="5" t="s">
        <v>1289</v>
      </c>
      <c r="E248" s="6" t="s">
        <v>74</v>
      </c>
      <c r="F248" s="6" t="s">
        <v>1290</v>
      </c>
      <c r="G248" s="3" t="str">
        <f>IFERROR(__xludf.DUMMYFUNCTION("REGEXREPLACE(
D248,
""([一-龯々]+)\[([^\]]+)\]"",
""&lt;ruby&gt;$1&lt;rt&gt;$2&lt;/rt&gt;&lt;/ruby&gt;""
)&amp;""&lt;br&gt;&lt;div class=""""audio""""&gt;[sound:""&amp;C248&amp;"".mp3]&lt;/div&gt;"""),"&lt;ruby&gt;駅&lt;rt&gt;えき&lt;/rt&gt;&lt;/ruby&gt;&lt;br&gt;&lt;div class=""audio""&gt;[sound:えき.mp3]&lt;/div&gt;")</f>
        <v>&lt;ruby&gt;駅&lt;rt&gt;えき&lt;/rt&gt;&lt;/ruby&gt;&lt;br&gt;&lt;div class="audio"&gt;[sound:えき.mp3]&lt;/div&gt;</v>
      </c>
      <c r="H248" s="3" t="str">
        <f t="shared" si="1"/>
        <v>(n): nhà ga</v>
      </c>
      <c r="I248" s="6" t="s">
        <v>1291</v>
      </c>
      <c r="J248" s="6" t="s">
        <v>1292</v>
      </c>
      <c r="K248" s="7">
        <f t="shared" si="2"/>
        <v>0.3777813364</v>
      </c>
    </row>
    <row r="249">
      <c r="A249" s="4">
        <v>249.0</v>
      </c>
      <c r="B249" s="5" t="s">
        <v>1293</v>
      </c>
      <c r="C249" s="5" t="s">
        <v>1294</v>
      </c>
      <c r="D249" s="5" t="s">
        <v>1295</v>
      </c>
      <c r="E249" s="6" t="s">
        <v>74</v>
      </c>
      <c r="F249" s="6" t="s">
        <v>1296</v>
      </c>
      <c r="G249" s="3" t="str">
        <f>IFERROR(__xludf.DUMMYFUNCTION("REGEXREPLACE(
D249,
""([一-龯々]+)\[([^\]]+)\]"",
""&lt;ruby&gt;$1&lt;rt&gt;$2&lt;/rt&gt;&lt;/ruby&gt;""
)&amp;""&lt;br&gt;&lt;div class=""""audio""""&gt;[sound:""&amp;C249&amp;"".mp3]&lt;/div&gt;"""),"&lt;ruby&gt;意味&lt;rt&gt;いみ&lt;/rt&gt;&lt;/ruby&gt;&lt;br&gt;&lt;div class=""audio""&gt;[sound:いみ.mp3]&lt;/div&gt;")</f>
        <v>&lt;ruby&gt;意味&lt;rt&gt;いみ&lt;/rt&gt;&lt;/ruby&gt;&lt;br&gt;&lt;div class="audio"&gt;[sound:いみ.mp3]&lt;/div&gt;</v>
      </c>
      <c r="H249" s="3" t="str">
        <f t="shared" si="1"/>
        <v>(n): ý nghĩa</v>
      </c>
      <c r="I249" s="6" t="s">
        <v>1297</v>
      </c>
      <c r="J249" s="6" t="s">
        <v>1298</v>
      </c>
      <c r="K249" s="7">
        <f t="shared" si="2"/>
        <v>0.09243297108</v>
      </c>
    </row>
    <row r="250">
      <c r="A250" s="4">
        <v>250.0</v>
      </c>
      <c r="B250" s="5" t="s">
        <v>1299</v>
      </c>
      <c r="C250" s="5" t="s">
        <v>1300</v>
      </c>
      <c r="D250" s="5" t="s">
        <v>1301</v>
      </c>
      <c r="E250" s="6" t="s">
        <v>11</v>
      </c>
      <c r="F250" s="6" t="s">
        <v>1302</v>
      </c>
      <c r="G250" s="3" t="str">
        <f>IFERROR(__xludf.DUMMYFUNCTION("REGEXREPLACE(
D250,
""([一-龯々]+)\[([^\]]+)\]"",
""&lt;ruby&gt;$1&lt;rt&gt;$2&lt;/rt&gt;&lt;/ruby&gt;""
)&amp;""&lt;br&gt;&lt;div class=""""audio""""&gt;[sound:""&amp;C250&amp;"".mp3]&lt;/div&gt;"""),"&lt;ruby&gt;新&lt;rt&gt;あたら&lt;/rt&gt;&lt;/ruby&gt;しい&lt;br&gt;&lt;div class=""audio""&gt;[sound:あたらしい.mp3]&lt;/div&gt;")</f>
        <v>&lt;ruby&gt;新&lt;rt&gt;あたら&lt;/rt&gt;&lt;/ruby&gt;しい&lt;br&gt;&lt;div class="audio"&gt;[sound:あたらしい.mp3]&lt;/div&gt;</v>
      </c>
      <c r="H250" s="3" t="str">
        <f t="shared" si="1"/>
        <v>(adj): mới</v>
      </c>
      <c r="I250" s="6" t="s">
        <v>1303</v>
      </c>
      <c r="J250" s="6" t="s">
        <v>1304</v>
      </c>
      <c r="K250" s="7">
        <f t="shared" si="2"/>
        <v>0.9966616127</v>
      </c>
    </row>
    <row r="251">
      <c r="A251" s="4">
        <v>251.0</v>
      </c>
      <c r="B251" s="5" t="s">
        <v>1305</v>
      </c>
      <c r="C251" s="5" t="s">
        <v>1306</v>
      </c>
      <c r="D251" s="5" t="s">
        <v>1307</v>
      </c>
      <c r="E251" s="6" t="s">
        <v>74</v>
      </c>
      <c r="F251" s="6" t="s">
        <v>1308</v>
      </c>
      <c r="G251" s="3" t="str">
        <f>IFERROR(__xludf.DUMMYFUNCTION("REGEXREPLACE(
D251,
""([一-龯々]+)\[([^\]]+)\]"",
""&lt;ruby&gt;$1&lt;rt&gt;$2&lt;/rt&gt;&lt;/ruby&gt;""
)&amp;""&lt;br&gt;&lt;div class=""""audio""""&gt;[sound:""&amp;C251&amp;"".mp3]&lt;/div&gt;"""),"&lt;ruby&gt;下&lt;rt&gt;した&lt;/rt&gt;&lt;/ruby&gt;&lt;br&gt;&lt;div class=""audio""&gt;[sound:した.mp3]&lt;/div&gt;")</f>
        <v>&lt;ruby&gt;下&lt;rt&gt;した&lt;/rt&gt;&lt;/ruby&gt;&lt;br&gt;&lt;div class="audio"&gt;[sound:した.mp3]&lt;/div&gt;</v>
      </c>
      <c r="H251" s="3" t="str">
        <f t="shared" si="1"/>
        <v>(n): phía dưới</v>
      </c>
      <c r="I251" s="6" t="s">
        <v>1309</v>
      </c>
      <c r="J251" s="6" t="s">
        <v>1310</v>
      </c>
      <c r="K251" s="7">
        <f t="shared" si="2"/>
        <v>0.1764930085</v>
      </c>
    </row>
    <row r="252">
      <c r="A252" s="4">
        <v>252.0</v>
      </c>
      <c r="B252" s="5" t="s">
        <v>1311</v>
      </c>
      <c r="C252" s="5" t="s">
        <v>1312</v>
      </c>
      <c r="D252" s="5" t="s">
        <v>1313</v>
      </c>
      <c r="E252" s="6" t="s">
        <v>24</v>
      </c>
      <c r="F252" s="6" t="s">
        <v>1314</v>
      </c>
      <c r="G252" s="3" t="str">
        <f>IFERROR(__xludf.DUMMYFUNCTION("REGEXREPLACE(
D252,
""([一-龯々]+)\[([^\]]+)\]"",
""&lt;ruby&gt;$1&lt;rt&gt;$2&lt;/rt&gt;&lt;/ruby&gt;""
)&amp;""&lt;br&gt;&lt;div class=""""audio""""&gt;[sound:""&amp;C252&amp;"".mp3]&lt;/div&gt;"""),"&lt;ruby&gt;終&lt;rt&gt;おわ&lt;/rt&gt;&lt;/ruby&gt;る&lt;br&gt;&lt;div class=""audio""&gt;[sound:おわる.mp3]&lt;/div&gt;")</f>
        <v>&lt;ruby&gt;終&lt;rt&gt;おわ&lt;/rt&gt;&lt;/ruby&gt;る&lt;br&gt;&lt;div class="audio"&gt;[sound:おわる.mp3]&lt;/div&gt;</v>
      </c>
      <c r="H252" s="3" t="str">
        <f t="shared" si="1"/>
        <v>(v): kết thúc</v>
      </c>
      <c r="I252" s="6" t="s">
        <v>1315</v>
      </c>
      <c r="J252" s="6" t="s">
        <v>1316</v>
      </c>
      <c r="K252" s="7">
        <f t="shared" si="2"/>
        <v>0.8607972942</v>
      </c>
    </row>
    <row r="253">
      <c r="A253" s="4">
        <v>253.0</v>
      </c>
      <c r="B253" s="5" t="s">
        <v>1317</v>
      </c>
      <c r="C253" s="5" t="s">
        <v>1318</v>
      </c>
      <c r="D253" s="5" t="s">
        <v>1319</v>
      </c>
      <c r="E253" s="6" t="s">
        <v>74</v>
      </c>
      <c r="F253" s="6" t="s">
        <v>1320</v>
      </c>
      <c r="G253" s="3" t="str">
        <f>IFERROR(__xludf.DUMMYFUNCTION("REGEXREPLACE(
D253,
""([一-龯々]+)\[([^\]]+)\]"",
""&lt;ruby&gt;$1&lt;rt&gt;$2&lt;/rt&gt;&lt;/ruby&gt;""
)&amp;""&lt;br&gt;&lt;div class=""""audio""""&gt;[sound:""&amp;C253&amp;"".mp3]&lt;/div&gt;"""),"&lt;ruby&gt;結果&lt;rt&gt;けっか&lt;/rt&gt;&lt;/ruby&gt;&lt;br&gt;&lt;div class=""audio""&gt;[sound:けっか.mp3]&lt;/div&gt;")</f>
        <v>&lt;ruby&gt;結果&lt;rt&gt;けっか&lt;/rt&gt;&lt;/ruby&gt;&lt;br&gt;&lt;div class="audio"&gt;[sound:けっか.mp3]&lt;/div&gt;</v>
      </c>
      <c r="H253" s="3" t="str">
        <f t="shared" si="1"/>
        <v>(n): kết quả</v>
      </c>
      <c r="I253" s="6" t="s">
        <v>1321</v>
      </c>
      <c r="J253" s="6" t="s">
        <v>1322</v>
      </c>
      <c r="K253" s="7">
        <f t="shared" si="2"/>
        <v>0.9236398334</v>
      </c>
    </row>
    <row r="254">
      <c r="A254" s="4">
        <v>254.0</v>
      </c>
      <c r="B254" s="5" t="s">
        <v>1323</v>
      </c>
      <c r="C254" s="5" t="s">
        <v>1324</v>
      </c>
      <c r="D254" s="5" t="s">
        <v>1325</v>
      </c>
      <c r="E254" s="6" t="s">
        <v>11</v>
      </c>
      <c r="F254" s="6" t="s">
        <v>1326</v>
      </c>
      <c r="G254" s="3" t="str">
        <f>IFERROR(__xludf.DUMMYFUNCTION("REGEXREPLACE(
D254,
""([一-龯々]+)\[([^\]]+)\]"",
""&lt;ruby&gt;$1&lt;rt&gt;$2&lt;/rt&gt;&lt;/ruby&gt;""
)&amp;""&lt;br&gt;&lt;div class=""""audio""""&gt;[sound:""&amp;C254&amp;"".mp3]&lt;/div&gt;"""),"&lt;ruby&gt;広&lt;rt&gt;ひろ&lt;/rt&gt;&lt;/ruby&gt;い&lt;br&gt;&lt;div class=""audio""&gt;[sound:ひろい.mp3]&lt;/div&gt;")</f>
        <v>&lt;ruby&gt;広&lt;rt&gt;ひろ&lt;/rt&gt;&lt;/ruby&gt;い&lt;br&gt;&lt;div class="audio"&gt;[sound:ひろい.mp3]&lt;/div&gt;</v>
      </c>
      <c r="H254" s="3" t="str">
        <f t="shared" si="1"/>
        <v>(adj): rộng</v>
      </c>
      <c r="I254" s="6" t="s">
        <v>1327</v>
      </c>
      <c r="J254" s="6" t="s">
        <v>1328</v>
      </c>
      <c r="K254" s="7">
        <f t="shared" si="2"/>
        <v>0.9727207713</v>
      </c>
    </row>
    <row r="255">
      <c r="A255" s="4">
        <v>255.0</v>
      </c>
      <c r="B255" s="5" t="s">
        <v>1329</v>
      </c>
      <c r="C255" s="5" t="s">
        <v>1330</v>
      </c>
      <c r="D255" s="5" t="s">
        <v>1331</v>
      </c>
      <c r="E255" s="6" t="s">
        <v>24</v>
      </c>
      <c r="F255" s="6" t="s">
        <v>1332</v>
      </c>
      <c r="G255" s="3" t="str">
        <f>IFERROR(__xludf.DUMMYFUNCTION("REGEXREPLACE(
D255,
""([一-龯々]+)\[([^\]]+)\]"",
""&lt;ruby&gt;$1&lt;rt&gt;$2&lt;/rt&gt;&lt;/ruby&gt;""
)&amp;""&lt;br&gt;&lt;div class=""""audio""""&gt;[sound:""&amp;C255&amp;"".mp3]&lt;/div&gt;"""),"&lt;ruby&gt;着&lt;rt&gt;き&lt;/rt&gt;&lt;/ruby&gt;る&lt;br&gt;&lt;div class=""audio""&gt;[sound:きる.mp3]&lt;/div&gt;")</f>
        <v>&lt;ruby&gt;着&lt;rt&gt;き&lt;/rt&gt;&lt;/ruby&gt;る&lt;br&gt;&lt;div class="audio"&gt;[sound:きる.mp3]&lt;/div&gt;</v>
      </c>
      <c r="H255" s="3" t="str">
        <f t="shared" si="1"/>
        <v>(v): mặc</v>
      </c>
      <c r="I255" s="6" t="s">
        <v>1333</v>
      </c>
      <c r="J255" s="6" t="s">
        <v>1334</v>
      </c>
      <c r="K255" s="7">
        <f t="shared" si="2"/>
        <v>0.9689457625</v>
      </c>
    </row>
    <row r="256">
      <c r="A256" s="4">
        <v>256.0</v>
      </c>
      <c r="B256" s="5" t="s">
        <v>1335</v>
      </c>
      <c r="C256" s="5" t="s">
        <v>1335</v>
      </c>
      <c r="D256" s="5" t="s">
        <v>1335</v>
      </c>
      <c r="E256" s="6" t="s">
        <v>33</v>
      </c>
      <c r="F256" s="6" t="s">
        <v>1336</v>
      </c>
      <c r="G256" s="3" t="str">
        <f>IFERROR(__xludf.DUMMYFUNCTION("REGEXREPLACE(
D256,
""([一-龯々]+)\[([^\]]+)\]"",
""&lt;ruby&gt;$1&lt;rt&gt;$2&lt;/rt&gt;&lt;/ruby&gt;""
)&amp;""&lt;br&gt;&lt;div class=""""audio""""&gt;[sound:""&amp;C256&amp;"".mp3]&lt;/div&gt;"""),"ああ&lt;br&gt;&lt;div class=""audio""&gt;[sound:ああ.mp3]&lt;/div&gt;")</f>
        <v>ああ&lt;br&gt;&lt;div class="audio"&gt;[sound:ああ.mp3]&lt;/div&gt;</v>
      </c>
      <c r="H256" s="3" t="str">
        <f t="shared" si="1"/>
        <v>(int): a</v>
      </c>
      <c r="I256" s="6" t="s">
        <v>1337</v>
      </c>
      <c r="J256" s="6" t="s">
        <v>1338</v>
      </c>
      <c r="K256" s="7">
        <f t="shared" si="2"/>
        <v>0.5840949803</v>
      </c>
    </row>
    <row r="257">
      <c r="A257" s="4">
        <v>257.0</v>
      </c>
      <c r="B257" s="5" t="s">
        <v>1339</v>
      </c>
      <c r="C257" s="5" t="s">
        <v>1340</v>
      </c>
      <c r="D257" s="5" t="s">
        <v>1341</v>
      </c>
      <c r="E257" s="6" t="s">
        <v>24</v>
      </c>
      <c r="F257" s="6" t="s">
        <v>1342</v>
      </c>
      <c r="G257" s="3" t="str">
        <f>IFERROR(__xludf.DUMMYFUNCTION("REGEXREPLACE(
D257,
""([一-龯々]+)\[([^\]]+)\]"",
""&lt;ruby&gt;$1&lt;rt&gt;$2&lt;/rt&gt;&lt;/ruby&gt;""
)&amp;""&lt;br&gt;&lt;div class=""""audio""""&gt;[sound:""&amp;C257&amp;"".mp3]&lt;/div&gt;"""),"&lt;ruby&gt;取&lt;rt&gt;と&lt;/rt&gt;&lt;/ruby&gt;れる&lt;br&gt;&lt;div class=""audio""&gt;[sound:とれる.mp3]&lt;/div&gt;")</f>
        <v>&lt;ruby&gt;取&lt;rt&gt;と&lt;/rt&gt;&lt;/ruby&gt;れる&lt;br&gt;&lt;div class="audio"&gt;[sound:とれる.mp3]&lt;/div&gt;</v>
      </c>
      <c r="H257" s="3" t="str">
        <f t="shared" si="1"/>
        <v>(v): có thể lấy</v>
      </c>
      <c r="I257" s="6" t="s">
        <v>1343</v>
      </c>
      <c r="J257" s="6" t="s">
        <v>1344</v>
      </c>
      <c r="K257" s="7">
        <f t="shared" si="2"/>
        <v>0.9994053989</v>
      </c>
    </row>
    <row r="258">
      <c r="A258" s="4">
        <v>258.0</v>
      </c>
      <c r="B258" s="5" t="s">
        <v>1345</v>
      </c>
      <c r="C258" s="5" t="s">
        <v>1346</v>
      </c>
      <c r="D258" s="5" t="s">
        <v>1347</v>
      </c>
      <c r="E258" s="6" t="s">
        <v>74</v>
      </c>
      <c r="F258" s="6" t="s">
        <v>1348</v>
      </c>
      <c r="G258" s="3" t="str">
        <f>IFERROR(__xludf.DUMMYFUNCTION("REGEXREPLACE(
D258,
""([一-龯々]+)\[([^\]]+)\]"",
""&lt;ruby&gt;$1&lt;rt&gt;$2&lt;/rt&gt;&lt;/ruby&gt;""
)&amp;""&lt;br&gt;&lt;div class=""""audio""""&gt;[sound:""&amp;C258&amp;"".mp3]&lt;/div&gt;"""),"&lt;ruby&gt;周&lt;rt&gt;まわ&lt;/rt&gt;&lt;/ruby&gt;り&lt;br&gt;&lt;div class=""audio""&gt;[sound:まわり.mp3]&lt;/div&gt;")</f>
        <v>&lt;ruby&gt;周&lt;rt&gt;まわ&lt;/rt&gt;&lt;/ruby&gt;り&lt;br&gt;&lt;div class="audio"&gt;[sound:まわり.mp3]&lt;/div&gt;</v>
      </c>
      <c r="H258" s="3" t="str">
        <f t="shared" si="1"/>
        <v>(n): xung quanh</v>
      </c>
      <c r="I258" s="6" t="s">
        <v>1349</v>
      </c>
      <c r="J258" s="6" t="s">
        <v>1350</v>
      </c>
      <c r="K258" s="7">
        <f t="shared" si="2"/>
        <v>0.5038159479</v>
      </c>
    </row>
    <row r="259">
      <c r="A259" s="4">
        <v>259.0</v>
      </c>
      <c r="B259" s="5" t="s">
        <v>1351</v>
      </c>
      <c r="C259" s="5" t="s">
        <v>1352</v>
      </c>
      <c r="D259" s="5" t="s">
        <v>1353</v>
      </c>
      <c r="E259" s="6" t="s">
        <v>11</v>
      </c>
      <c r="F259" s="6" t="s">
        <v>1354</v>
      </c>
      <c r="G259" s="3" t="str">
        <f>IFERROR(__xludf.DUMMYFUNCTION("REGEXREPLACE(
D259,
""([一-龯々]+)\[([^\]]+)\]"",
""&lt;ruby&gt;$1&lt;rt&gt;$2&lt;/rt&gt;&lt;/ruby&gt;""
)&amp;""&lt;br&gt;&lt;div class=""""audio""""&gt;[sound:""&amp;C259&amp;"".mp3]&lt;/div&gt;"""),"&lt;ruby&gt;安&lt;rt&gt;やす&lt;/rt&gt;&lt;/ruby&gt;い&lt;br&gt;&lt;div class=""audio""&gt;[sound:やすい.mp3]&lt;/div&gt;")</f>
        <v>&lt;ruby&gt;安&lt;rt&gt;やす&lt;/rt&gt;&lt;/ruby&gt;い&lt;br&gt;&lt;div class="audio"&gt;[sound:やすい.mp3]&lt;/div&gt;</v>
      </c>
      <c r="H259" s="3" t="str">
        <f t="shared" si="1"/>
        <v>(adj): rẻ</v>
      </c>
      <c r="I259" s="6" t="s">
        <v>1355</v>
      </c>
      <c r="J259" s="6" t="s">
        <v>1356</v>
      </c>
      <c r="K259" s="7">
        <f t="shared" si="2"/>
        <v>0.2826664453</v>
      </c>
    </row>
    <row r="260">
      <c r="A260" s="4">
        <v>260.0</v>
      </c>
      <c r="B260" s="5" t="s">
        <v>1357</v>
      </c>
      <c r="C260" s="5" t="s">
        <v>1358</v>
      </c>
      <c r="D260" s="5" t="s">
        <v>1359</v>
      </c>
      <c r="E260" s="6" t="s">
        <v>11</v>
      </c>
      <c r="F260" s="6" t="s">
        <v>1360</v>
      </c>
      <c r="G260" s="3" t="str">
        <f>IFERROR(__xludf.DUMMYFUNCTION("REGEXREPLACE(
D260,
""([一-龯々]+)\[([^\]]+)\]"",
""&lt;ruby&gt;$1&lt;rt&gt;$2&lt;/rt&gt;&lt;/ruby&gt;""
)&amp;""&lt;br&gt;&lt;div class=""""audio""""&gt;[sound:""&amp;C260&amp;"".mp3]&lt;/div&gt;"""),"&lt;ruby&gt;重&lt;rt&gt;おも&lt;/rt&gt;&lt;/ruby&gt;い&lt;br&gt;&lt;div class=""audio""&gt;[sound:おもい.mp3]&lt;/div&gt;")</f>
        <v>&lt;ruby&gt;重&lt;rt&gt;おも&lt;/rt&gt;&lt;/ruby&gt;い&lt;br&gt;&lt;div class="audio"&gt;[sound:おもい.mp3]&lt;/div&gt;</v>
      </c>
      <c r="H260" s="3" t="str">
        <f t="shared" si="1"/>
        <v>(adj): nặng</v>
      </c>
      <c r="I260" s="6" t="s">
        <v>1361</v>
      </c>
      <c r="J260" s="6" t="s">
        <v>1362</v>
      </c>
      <c r="K260" s="7">
        <f t="shared" si="2"/>
        <v>0.8982732155</v>
      </c>
    </row>
    <row r="261">
      <c r="A261" s="4">
        <v>261.0</v>
      </c>
      <c r="B261" s="5" t="s">
        <v>1363</v>
      </c>
      <c r="C261" s="5" t="s">
        <v>1364</v>
      </c>
      <c r="D261" s="5" t="s">
        <v>1365</v>
      </c>
      <c r="E261" s="6" t="s">
        <v>11</v>
      </c>
      <c r="F261" s="6" t="s">
        <v>1366</v>
      </c>
      <c r="G261" s="3" t="str">
        <f>IFERROR(__xludf.DUMMYFUNCTION("REGEXREPLACE(
D261,
""([一-龯々]+)\[([^\]]+)\]"",
""&lt;ruby&gt;$1&lt;rt&gt;$2&lt;/rt&gt;&lt;/ruby&gt;""
)&amp;""&lt;br&gt;&lt;div class=""""audio""""&gt;[sound:""&amp;C261&amp;"".mp3]&lt;/div&gt;"""),"&lt;ruby&gt;少&lt;rt&gt;すく&lt;/rt&gt;&lt;/ruby&gt;ない&lt;br&gt;&lt;div class=""audio""&gt;[sound:すくない.mp3]&lt;/div&gt;")</f>
        <v>&lt;ruby&gt;少&lt;rt&gt;すく&lt;/rt&gt;&lt;/ruby&gt;ない&lt;br&gt;&lt;div class="audio"&gt;[sound:すくない.mp3]&lt;/div&gt;</v>
      </c>
      <c r="H261" s="3" t="str">
        <f t="shared" si="1"/>
        <v>(adj): ít</v>
      </c>
      <c r="I261" s="6" t="s">
        <v>1367</v>
      </c>
      <c r="J261" s="6" t="s">
        <v>1368</v>
      </c>
      <c r="K261" s="7">
        <f t="shared" si="2"/>
        <v>0.2656089719</v>
      </c>
    </row>
    <row r="262">
      <c r="A262" s="4">
        <v>262.0</v>
      </c>
      <c r="B262" s="5" t="s">
        <v>1369</v>
      </c>
      <c r="C262" s="5" t="s">
        <v>1370</v>
      </c>
      <c r="D262" s="5" t="s">
        <v>1371</v>
      </c>
      <c r="E262" s="6" t="s">
        <v>74</v>
      </c>
      <c r="F262" s="6" t="s">
        <v>1372</v>
      </c>
      <c r="G262" s="3" t="str">
        <f>IFERROR(__xludf.DUMMYFUNCTION("REGEXREPLACE(
D262,
""([一-龯々]+)\[([^\]]+)\]"",
""&lt;ruby&gt;$1&lt;rt&gt;$2&lt;/rt&gt;&lt;/ruby&gt;""
)&amp;""&lt;br&gt;&lt;div class=""""audio""""&gt;[sound:""&amp;C262&amp;"".mp3]&lt;/div&gt;"""),"&lt;ruby&gt;山&lt;rt&gt;やま&lt;/rt&gt;&lt;/ruby&gt;&lt;br&gt;&lt;div class=""audio""&gt;[sound:やま.mp3]&lt;/div&gt;")</f>
        <v>&lt;ruby&gt;山&lt;rt&gt;やま&lt;/rt&gt;&lt;/ruby&gt;&lt;br&gt;&lt;div class="audio"&gt;[sound:やま.mp3]&lt;/div&gt;</v>
      </c>
      <c r="H262" s="3" t="str">
        <f t="shared" si="1"/>
        <v>(n): núi</v>
      </c>
      <c r="I262" s="6" t="s">
        <v>1373</v>
      </c>
      <c r="J262" s="6" t="s">
        <v>1374</v>
      </c>
      <c r="K262" s="7">
        <f t="shared" si="2"/>
        <v>0.4559582343</v>
      </c>
    </row>
    <row r="263">
      <c r="A263" s="4">
        <v>263.0</v>
      </c>
      <c r="B263" s="5" t="s">
        <v>1375</v>
      </c>
      <c r="C263" s="5" t="s">
        <v>1376</v>
      </c>
      <c r="D263" s="5" t="s">
        <v>1377</v>
      </c>
      <c r="E263" s="6" t="s">
        <v>74</v>
      </c>
      <c r="F263" s="6" t="s">
        <v>1378</v>
      </c>
      <c r="G263" s="3" t="str">
        <f>IFERROR(__xludf.DUMMYFUNCTION("REGEXREPLACE(
D263,
""([一-龯々]+)\[([^\]]+)\]"",
""&lt;ruby&gt;$1&lt;rt&gt;$2&lt;/rt&gt;&lt;/ruby&gt;""
)&amp;""&lt;br&gt;&lt;div class=""""audio""""&gt;[sound:""&amp;C263&amp;"".mp3]&lt;/div&gt;"""),"&lt;ruby&gt;向&lt;rt&gt;む&lt;/rt&gt;&lt;/ruby&gt;こう&lt;br&gt;&lt;div class=""audio""&gt;[sound:むこう.mp3]&lt;/div&gt;")</f>
        <v>&lt;ruby&gt;向&lt;rt&gt;む&lt;/rt&gt;&lt;/ruby&gt;こう&lt;br&gt;&lt;div class="audio"&gt;[sound:むこう.mp3]&lt;/div&gt;</v>
      </c>
      <c r="H263" s="3" t="str">
        <f t="shared" si="1"/>
        <v>(n): phía bên kia</v>
      </c>
      <c r="I263" s="6" t="s">
        <v>1379</v>
      </c>
      <c r="J263" s="6" t="s">
        <v>1380</v>
      </c>
      <c r="K263" s="7">
        <f t="shared" si="2"/>
        <v>0.128483621</v>
      </c>
    </row>
    <row r="264">
      <c r="A264" s="4">
        <v>264.0</v>
      </c>
      <c r="B264" s="5" t="s">
        <v>1381</v>
      </c>
      <c r="C264" s="5" t="s">
        <v>1382</v>
      </c>
      <c r="D264" s="5" t="s">
        <v>1383</v>
      </c>
      <c r="E264" s="6" t="s">
        <v>74</v>
      </c>
      <c r="F264" s="6" t="s">
        <v>1384</v>
      </c>
      <c r="G264" s="3" t="str">
        <f>IFERROR(__xludf.DUMMYFUNCTION("REGEXREPLACE(
D264,
""([一-龯々]+)\[([^\]]+)\]"",
""&lt;ruby&gt;$1&lt;rt&gt;$2&lt;/rt&gt;&lt;/ruby&gt;""
)&amp;""&lt;br&gt;&lt;div class=""""audio""""&gt;[sound:""&amp;C264&amp;"".mp3]&lt;/div&gt;"""),"&lt;ruby&gt;国際&lt;rt&gt;こくさい&lt;/rt&gt;&lt;/ruby&gt;&lt;br&gt;&lt;div class=""audio""&gt;[sound:こくさい.mp3]&lt;/div&gt;")</f>
        <v>&lt;ruby&gt;国際&lt;rt&gt;こくさい&lt;/rt&gt;&lt;/ruby&gt;&lt;br&gt;&lt;div class="audio"&gt;[sound:こくさい.mp3]&lt;/div&gt;</v>
      </c>
      <c r="H264" s="3" t="str">
        <f t="shared" si="1"/>
        <v>(n): quốc tế</v>
      </c>
      <c r="I264" s="6" t="s">
        <v>1385</v>
      </c>
      <c r="J264" s="6" t="s">
        <v>1386</v>
      </c>
      <c r="K264" s="7">
        <f t="shared" si="2"/>
        <v>0.8361145614</v>
      </c>
    </row>
    <row r="265">
      <c r="A265" s="4">
        <v>265.0</v>
      </c>
      <c r="B265" s="5" t="s">
        <v>1387</v>
      </c>
      <c r="C265" s="5" t="s">
        <v>1388</v>
      </c>
      <c r="D265" s="5" t="s">
        <v>1389</v>
      </c>
      <c r="E265" s="6" t="s">
        <v>74</v>
      </c>
      <c r="F265" s="6" t="s">
        <v>1390</v>
      </c>
      <c r="G265" s="3" t="str">
        <f>IFERROR(__xludf.DUMMYFUNCTION("REGEXREPLACE(
D265,
""([一-龯々]+)\[([^\]]+)\]"",
""&lt;ruby&gt;$1&lt;rt&gt;$2&lt;/rt&gt;&lt;/ruby&gt;""
)&amp;""&lt;br&gt;&lt;div class=""""audio""""&gt;[sound:""&amp;C265&amp;"".mp3]&lt;/div&gt;"""),"&lt;ruby&gt;受験&lt;rt&gt;じゅけん&lt;/rt&gt;&lt;/ruby&gt;&lt;br&gt;&lt;div class=""audio""&gt;[sound:じゅけん.mp3]&lt;/div&gt;")</f>
        <v>&lt;ruby&gt;受験&lt;rt&gt;じゅけん&lt;/rt&gt;&lt;/ruby&gt;&lt;br&gt;&lt;div class="audio"&gt;[sound:じゅけん.mp3]&lt;/div&gt;</v>
      </c>
      <c r="H265" s="3" t="str">
        <f t="shared" si="1"/>
        <v>(n): dự thi</v>
      </c>
      <c r="I265" s="6" t="s">
        <v>1391</v>
      </c>
      <c r="J265" s="6" t="s">
        <v>1392</v>
      </c>
      <c r="K265" s="7">
        <f t="shared" si="2"/>
        <v>0.7796130052</v>
      </c>
    </row>
    <row r="266">
      <c r="A266" s="4">
        <v>266.0</v>
      </c>
      <c r="B266" s="5" t="s">
        <v>1393</v>
      </c>
      <c r="C266" s="5" t="s">
        <v>1394</v>
      </c>
      <c r="D266" s="5" t="s">
        <v>1395</v>
      </c>
      <c r="E266" s="6" t="s">
        <v>74</v>
      </c>
      <c r="F266" s="6" t="s">
        <v>1396</v>
      </c>
      <c r="G266" s="3" t="str">
        <f>IFERROR(__xludf.DUMMYFUNCTION("REGEXREPLACE(
D266,
""([一-龯々]+)\[([^\]]+)\]"",
""&lt;ruby&gt;$1&lt;rt&gt;$2&lt;/rt&gt;&lt;/ruby&gt;""
)&amp;""&lt;br&gt;&lt;div class=""""audio""""&gt;[sound:""&amp;C266&amp;"".mp3]&lt;/div&gt;"""),"&lt;ruby&gt;女性&lt;rt&gt;じょせい&lt;/rt&gt;&lt;/ruby&gt;&lt;br&gt;&lt;div class=""audio""&gt;[sound:じょせい.mp3]&lt;/div&gt;")</f>
        <v>&lt;ruby&gt;女性&lt;rt&gt;じょせい&lt;/rt&gt;&lt;/ruby&gt;&lt;br&gt;&lt;div class="audio"&gt;[sound:じょせい.mp3]&lt;/div&gt;</v>
      </c>
      <c r="H266" s="3" t="str">
        <f t="shared" si="1"/>
        <v>(n): phụ nữ</v>
      </c>
      <c r="I266" s="6" t="s">
        <v>1397</v>
      </c>
      <c r="J266" s="6" t="s">
        <v>1398</v>
      </c>
      <c r="K266" s="7">
        <f t="shared" si="2"/>
        <v>0.4363166253</v>
      </c>
    </row>
    <row r="267">
      <c r="A267" s="4">
        <v>267.0</v>
      </c>
      <c r="B267" s="5" t="s">
        <v>1399</v>
      </c>
      <c r="C267" s="5" t="s">
        <v>1400</v>
      </c>
      <c r="D267" s="5" t="s">
        <v>1401</v>
      </c>
      <c r="E267" s="6" t="s">
        <v>24</v>
      </c>
      <c r="F267" s="6" t="s">
        <v>1402</v>
      </c>
      <c r="G267" s="3" t="str">
        <f>IFERROR(__xludf.DUMMYFUNCTION("REGEXREPLACE(
D267,
""([一-龯々]+)\[([^\]]+)\]"",
""&lt;ruby&gt;$1&lt;rt&gt;$2&lt;/rt&gt;&lt;/ruby&gt;""
)&amp;""&lt;br&gt;&lt;div class=""""audio""""&gt;[sound:""&amp;C267&amp;"".mp3]&lt;/div&gt;"""),"&lt;ruby&gt;守&lt;rt&gt;まも&lt;/rt&gt;&lt;/ruby&gt;る&lt;br&gt;&lt;div class=""audio""&gt;[sound:まもる.mp3]&lt;/div&gt;")</f>
        <v>&lt;ruby&gt;守&lt;rt&gt;まも&lt;/rt&gt;&lt;/ruby&gt;る&lt;br&gt;&lt;div class="audio"&gt;[sound:まもる.mp3]&lt;/div&gt;</v>
      </c>
      <c r="H267" s="3" t="str">
        <f t="shared" si="1"/>
        <v>(v): tuân thủ</v>
      </c>
      <c r="I267" s="6" t="s">
        <v>1403</v>
      </c>
      <c r="J267" s="6" t="s">
        <v>1404</v>
      </c>
      <c r="K267" s="7">
        <f t="shared" si="2"/>
        <v>0.7634410886</v>
      </c>
    </row>
    <row r="268">
      <c r="A268" s="4">
        <v>268.0</v>
      </c>
      <c r="B268" s="5" t="s">
        <v>1405</v>
      </c>
      <c r="C268" s="5" t="s">
        <v>1406</v>
      </c>
      <c r="D268" s="5" t="s">
        <v>1407</v>
      </c>
      <c r="E268" s="6" t="s">
        <v>74</v>
      </c>
      <c r="F268" s="6" t="s">
        <v>1408</v>
      </c>
      <c r="G268" s="3" t="str">
        <f>IFERROR(__xludf.DUMMYFUNCTION("REGEXREPLACE(
D268,
""([一-龯々]+)\[([^\]]+)\]"",
""&lt;ruby&gt;$1&lt;rt&gt;$2&lt;/rt&gt;&lt;/ruby&gt;""
)&amp;""&lt;br&gt;&lt;div class=""""audio""""&gt;[sound:""&amp;C268&amp;"".mp3]&lt;/div&gt;"""),"&lt;ruby&gt;家族&lt;rt&gt;かぞく&lt;/rt&gt;&lt;/ruby&gt;&lt;br&gt;&lt;div class=""audio""&gt;[sound:かぞく.mp3]&lt;/div&gt;")</f>
        <v>&lt;ruby&gt;家族&lt;rt&gt;かぞく&lt;/rt&gt;&lt;/ruby&gt;&lt;br&gt;&lt;div class="audio"&gt;[sound:かぞく.mp3]&lt;/div&gt;</v>
      </c>
      <c r="H268" s="3" t="str">
        <f t="shared" si="1"/>
        <v>(n): gia đình</v>
      </c>
      <c r="I268" s="6" t="s">
        <v>1409</v>
      </c>
      <c r="J268" s="6" t="s">
        <v>1410</v>
      </c>
      <c r="K268" s="7">
        <f t="shared" si="2"/>
        <v>0.951626957</v>
      </c>
    </row>
    <row r="269">
      <c r="A269" s="4">
        <v>269.0</v>
      </c>
      <c r="B269" s="5" t="s">
        <v>1411</v>
      </c>
      <c r="C269" s="5" t="s">
        <v>1412</v>
      </c>
      <c r="D269" s="5" t="s">
        <v>1413</v>
      </c>
      <c r="E269" s="6" t="s">
        <v>74</v>
      </c>
      <c r="F269" s="6" t="s">
        <v>1414</v>
      </c>
      <c r="G269" s="3" t="str">
        <f>IFERROR(__xludf.DUMMYFUNCTION("REGEXREPLACE(
D269,
""([一-龯々]+)\[([^\]]+)\]"",
""&lt;ruby&gt;$1&lt;rt&gt;$2&lt;/rt&gt;&lt;/ruby&gt;""
)&amp;""&lt;br&gt;&lt;div class=""""audio""""&gt;[sound:""&amp;C269&amp;"".mp3]&lt;/div&gt;"""),"&lt;ruby&gt;同時&lt;rt&gt;どうじ&lt;/rt&gt;&lt;/ruby&gt;&lt;br&gt;&lt;div class=""audio""&gt;[sound:どうじ.mp3]&lt;/div&gt;")</f>
        <v>&lt;ruby&gt;同時&lt;rt&gt;どうじ&lt;/rt&gt;&lt;/ruby&gt;&lt;br&gt;&lt;div class="audio"&gt;[sound:どうじ.mp3]&lt;/div&gt;</v>
      </c>
      <c r="H269" s="3" t="str">
        <f t="shared" si="1"/>
        <v>(n): đồng thời</v>
      </c>
      <c r="I269" s="6" t="s">
        <v>1415</v>
      </c>
      <c r="J269" s="6" t="s">
        <v>1416</v>
      </c>
      <c r="K269" s="7">
        <f t="shared" si="2"/>
        <v>0.1936816453</v>
      </c>
    </row>
    <row r="270">
      <c r="A270" s="4">
        <v>270.0</v>
      </c>
      <c r="B270" s="5" t="s">
        <v>1417</v>
      </c>
      <c r="C270" s="5" t="s">
        <v>1418</v>
      </c>
      <c r="D270" s="5" t="s">
        <v>1419</v>
      </c>
      <c r="E270" s="6" t="s">
        <v>24</v>
      </c>
      <c r="F270" s="6" t="s">
        <v>1420</v>
      </c>
      <c r="G270" s="3" t="str">
        <f>IFERROR(__xludf.DUMMYFUNCTION("REGEXREPLACE(
D270,
""([一-龯々]+)\[([^\]]+)\]"",
""&lt;ruby&gt;$1&lt;rt&gt;$2&lt;/rt&gt;&lt;/ruby&gt;""
)&amp;""&lt;br&gt;&lt;div class=""""audio""""&gt;[sound:""&amp;C270&amp;"".mp3]&lt;/div&gt;"""),"&lt;ruby&gt;困&lt;rt&gt;こま&lt;/rt&gt;&lt;/ruby&gt;る&lt;br&gt;&lt;div class=""audio""&gt;[sound:こまる.mp3]&lt;/div&gt;")</f>
        <v>&lt;ruby&gt;困&lt;rt&gt;こま&lt;/rt&gt;&lt;/ruby&gt;る&lt;br&gt;&lt;div class="audio"&gt;[sound:こまる.mp3]&lt;/div&gt;</v>
      </c>
      <c r="H270" s="3" t="str">
        <f t="shared" si="1"/>
        <v>(v): khó khăn</v>
      </c>
      <c r="I270" s="6" t="s">
        <v>1421</v>
      </c>
      <c r="J270" s="6" t="s">
        <v>1422</v>
      </c>
      <c r="K270" s="7">
        <f t="shared" si="2"/>
        <v>0.04132332447</v>
      </c>
    </row>
    <row r="271">
      <c r="A271" s="4">
        <v>271.0</v>
      </c>
      <c r="B271" s="5" t="s">
        <v>1423</v>
      </c>
      <c r="C271" s="5" t="s">
        <v>1424</v>
      </c>
      <c r="D271" s="5" t="s">
        <v>1425</v>
      </c>
      <c r="E271" s="6" t="s">
        <v>74</v>
      </c>
      <c r="F271" s="6" t="s">
        <v>1426</v>
      </c>
      <c r="G271" s="3" t="str">
        <f>IFERROR(__xludf.DUMMYFUNCTION("REGEXREPLACE(
D271,
""([一-龯々]+)\[([^\]]+)\]"",
""&lt;ruby&gt;$1&lt;rt&gt;$2&lt;/rt&gt;&lt;/ruby&gt;""
)&amp;""&lt;br&gt;&lt;div class=""""audio""""&gt;[sound:""&amp;C271&amp;"".mp3]&lt;/div&gt;"""),"&lt;ruby&gt;部長&lt;rt&gt;ぶちょう&lt;/rt&gt;&lt;/ruby&gt;&lt;br&gt;&lt;div class=""audio""&gt;[sound:ぶちょう.mp3]&lt;/div&gt;")</f>
        <v>&lt;ruby&gt;部長&lt;rt&gt;ぶちょう&lt;/rt&gt;&lt;/ruby&gt;&lt;br&gt;&lt;div class="audio"&gt;[sound:ぶちょう.mp3]&lt;/div&gt;</v>
      </c>
      <c r="H271" s="3" t="str">
        <f t="shared" si="1"/>
        <v>(n): trưởng phòng</v>
      </c>
      <c r="I271" s="6" t="s">
        <v>1427</v>
      </c>
      <c r="J271" s="6" t="s">
        <v>1428</v>
      </c>
      <c r="K271" s="7">
        <f t="shared" si="2"/>
        <v>0.3292864982</v>
      </c>
    </row>
    <row r="272">
      <c r="A272" s="4">
        <v>272.0</v>
      </c>
      <c r="B272" s="5" t="s">
        <v>1429</v>
      </c>
      <c r="C272" s="5" t="s">
        <v>1430</v>
      </c>
      <c r="D272" s="5" t="s">
        <v>1431</v>
      </c>
      <c r="E272" s="6" t="s">
        <v>24</v>
      </c>
      <c r="F272" s="6" t="s">
        <v>1432</v>
      </c>
      <c r="G272" s="3" t="str">
        <f>IFERROR(__xludf.DUMMYFUNCTION("REGEXREPLACE(
D272,
""([一-龯々]+)\[([^\]]+)\]"",
""&lt;ruby&gt;$1&lt;rt&gt;$2&lt;/rt&gt;&lt;/ruby&gt;""
)&amp;""&lt;br&gt;&lt;div class=""""audio""""&gt;[sound:""&amp;C272&amp;"".mp3]&lt;/div&gt;"""),"&lt;ruby&gt;働&lt;rt&gt;はたら&lt;/rt&gt;&lt;/ruby&gt;く&lt;br&gt;&lt;div class=""audio""&gt;[sound:はたらく.mp3]&lt;/div&gt;")</f>
        <v>&lt;ruby&gt;働&lt;rt&gt;はたら&lt;/rt&gt;&lt;/ruby&gt;く&lt;br&gt;&lt;div class="audio"&gt;[sound:はたらく.mp3]&lt;/div&gt;</v>
      </c>
      <c r="H272" s="3" t="str">
        <f t="shared" si="1"/>
        <v>(v): làm việc</v>
      </c>
      <c r="I272" s="6" t="s">
        <v>1433</v>
      </c>
      <c r="J272" s="6" t="s">
        <v>1434</v>
      </c>
      <c r="K272" s="7">
        <f t="shared" si="2"/>
        <v>0.8292408295</v>
      </c>
    </row>
    <row r="273">
      <c r="A273" s="4">
        <v>273.0</v>
      </c>
      <c r="B273" s="5" t="s">
        <v>1435</v>
      </c>
      <c r="C273" s="5" t="s">
        <v>1436</v>
      </c>
      <c r="D273" s="5" t="s">
        <v>1437</v>
      </c>
      <c r="E273" s="6" t="s">
        <v>11</v>
      </c>
      <c r="F273" s="6" t="s">
        <v>1438</v>
      </c>
      <c r="G273" s="3" t="str">
        <f>IFERROR(__xludf.DUMMYFUNCTION("REGEXREPLACE(
D273,
""([一-龯々]+)\[([^\]]+)\]"",
""&lt;ruby&gt;$1&lt;rt&gt;$2&lt;/rt&gt;&lt;/ruby&gt;""
)&amp;""&lt;br&gt;&lt;div class=""""audio""""&gt;[sound:""&amp;C273&amp;"".mp3]&lt;/div&gt;"""),"&lt;ruby&gt;大切&lt;rt&gt;たいせつ&lt;/rt&gt;&lt;/ruby&gt;&lt;br&gt;&lt;div class=""audio""&gt;[sound:たいせつ.mp3]&lt;/div&gt;")</f>
        <v>&lt;ruby&gt;大切&lt;rt&gt;たいせつ&lt;/rt&gt;&lt;/ruby&gt;&lt;br&gt;&lt;div class="audio"&gt;[sound:たいせつ.mp3]&lt;/div&gt;</v>
      </c>
      <c r="H273" s="3" t="str">
        <f t="shared" si="1"/>
        <v>(adj): quan trọng</v>
      </c>
      <c r="I273" s="6" t="s">
        <v>1439</v>
      </c>
      <c r="J273" s="6" t="s">
        <v>1440</v>
      </c>
      <c r="K273" s="7">
        <f t="shared" si="2"/>
        <v>0.2028741076</v>
      </c>
    </row>
    <row r="274">
      <c r="A274" s="4">
        <v>274.0</v>
      </c>
      <c r="B274" s="5" t="s">
        <v>1441</v>
      </c>
      <c r="C274" s="5" t="s">
        <v>1442</v>
      </c>
      <c r="D274" s="5" t="s">
        <v>1443</v>
      </c>
      <c r="E274" s="6" t="s">
        <v>74</v>
      </c>
      <c r="F274" s="6" t="s">
        <v>1444</v>
      </c>
      <c r="G274" s="3" t="str">
        <f>IFERROR(__xludf.DUMMYFUNCTION("REGEXREPLACE(
D274,
""([一-龯々]+)\[([^\]]+)\]"",
""&lt;ruby&gt;$1&lt;rt&gt;$2&lt;/rt&gt;&lt;/ruby&gt;""
)&amp;""&lt;br&gt;&lt;div class=""""audio""""&gt;[sound:""&amp;C274&amp;"".mp3]&lt;/div&gt;"""),"&lt;ruby&gt;将来&lt;rt&gt;しょうらい&lt;/rt&gt;&lt;/ruby&gt;&lt;br&gt;&lt;div class=""audio""&gt;[sound:しょうらい.mp3]&lt;/div&gt;")</f>
        <v>&lt;ruby&gt;将来&lt;rt&gt;しょうらい&lt;/rt&gt;&lt;/ruby&gt;&lt;br&gt;&lt;div class="audio"&gt;[sound:しょうらい.mp3]&lt;/div&gt;</v>
      </c>
      <c r="H274" s="3" t="str">
        <f t="shared" si="1"/>
        <v>(n): tương lai</v>
      </c>
      <c r="I274" s="6" t="s">
        <v>1445</v>
      </c>
      <c r="J274" s="6" t="s">
        <v>1446</v>
      </c>
      <c r="K274" s="7">
        <f t="shared" si="2"/>
        <v>0.4297962669</v>
      </c>
    </row>
    <row r="275">
      <c r="A275" s="4">
        <v>275.0</v>
      </c>
      <c r="B275" s="5" t="s">
        <v>1447</v>
      </c>
      <c r="C275" s="5" t="s">
        <v>1448</v>
      </c>
      <c r="D275" s="5" t="s">
        <v>1449</v>
      </c>
      <c r="E275" s="6" t="s">
        <v>74</v>
      </c>
      <c r="F275" s="6" t="s">
        <v>1450</v>
      </c>
      <c r="G275" s="3" t="str">
        <f>IFERROR(__xludf.DUMMYFUNCTION("REGEXREPLACE(
D275,
""([一-龯々]+)\[([^\]]+)\]"",
""&lt;ruby&gt;$1&lt;rt&gt;$2&lt;/rt&gt;&lt;/ruby&gt;""
)&amp;""&lt;br&gt;&lt;div class=""""audio""""&gt;[sound:""&amp;C275&amp;"".mp3]&lt;/div&gt;"""),"&lt;ruby&gt;反省&lt;rt&gt;はんせい&lt;/rt&gt;&lt;/ruby&gt;&lt;br&gt;&lt;div class=""audio""&gt;[sound:はんせい.mp3]&lt;/div&gt;")</f>
        <v>&lt;ruby&gt;反省&lt;rt&gt;はんせい&lt;/rt&gt;&lt;/ruby&gt;&lt;br&gt;&lt;div class="audio"&gt;[sound:はんせい.mp3]&lt;/div&gt;</v>
      </c>
      <c r="H275" s="3" t="str">
        <f t="shared" si="1"/>
        <v>(n): kiểm điểm</v>
      </c>
      <c r="I275" s="6" t="s">
        <v>1451</v>
      </c>
      <c r="J275" s="6" t="s">
        <v>1452</v>
      </c>
      <c r="K275" s="7">
        <f t="shared" si="2"/>
        <v>0.6611990438</v>
      </c>
    </row>
    <row r="276">
      <c r="A276" s="4">
        <v>276.0</v>
      </c>
      <c r="B276" s="5" t="s">
        <v>1453</v>
      </c>
      <c r="C276" s="5" t="s">
        <v>1454</v>
      </c>
      <c r="D276" s="5" t="s">
        <v>1455</v>
      </c>
      <c r="E276" s="6" t="s">
        <v>74</v>
      </c>
      <c r="F276" s="6" t="s">
        <v>1456</v>
      </c>
      <c r="G276" s="3" t="str">
        <f>IFERROR(__xludf.DUMMYFUNCTION("REGEXREPLACE(
D276,
""([一-龯々]+)\[([^\]]+)\]"",
""&lt;ruby&gt;$1&lt;rt&gt;$2&lt;/rt&gt;&lt;/ruby&gt;""
)&amp;""&lt;br&gt;&lt;div class=""""audio""""&gt;[sound:""&amp;C276&amp;"".mp3]&lt;/div&gt;"""),"&lt;ruby&gt;研究&lt;rt&gt;けんきゅう&lt;/rt&gt;&lt;/ruby&gt;&lt;br&gt;&lt;div class=""audio""&gt;[sound:けんきゅう.mp3]&lt;/div&gt;")</f>
        <v>&lt;ruby&gt;研究&lt;rt&gt;けんきゅう&lt;/rt&gt;&lt;/ruby&gt;&lt;br&gt;&lt;div class="audio"&gt;[sound:けんきゅう.mp3]&lt;/div&gt;</v>
      </c>
      <c r="H276" s="3" t="str">
        <f t="shared" si="1"/>
        <v>(n): nghiên cứu</v>
      </c>
      <c r="I276" s="6" t="s">
        <v>1457</v>
      </c>
      <c r="J276" s="6" t="s">
        <v>1458</v>
      </c>
      <c r="K276" s="7">
        <f t="shared" si="2"/>
        <v>0.2811366861</v>
      </c>
    </row>
    <row r="277">
      <c r="A277" s="4">
        <v>277.0</v>
      </c>
      <c r="B277" s="5" t="s">
        <v>1459</v>
      </c>
      <c r="C277" s="5" t="s">
        <v>1460</v>
      </c>
      <c r="D277" s="5" t="s">
        <v>1461</v>
      </c>
      <c r="E277" s="6" t="s">
        <v>74</v>
      </c>
      <c r="F277" s="6" t="s">
        <v>1462</v>
      </c>
      <c r="G277" s="3" t="str">
        <f>IFERROR(__xludf.DUMMYFUNCTION("REGEXREPLACE(
D277,
""([一-龯々]+)\[([^\]]+)\]"",
""&lt;ruby&gt;$1&lt;rt&gt;$2&lt;/rt&gt;&lt;/ruby&gt;""
)&amp;""&lt;br&gt;&lt;div class=""""audio""""&gt;[sound:""&amp;C277&amp;"".mp3]&lt;/div&gt;"""),"&lt;ruby&gt;月&lt;rt&gt;つき&lt;/rt&gt;&lt;/ruby&gt;&lt;br&gt;&lt;div class=""audio""&gt;[sound:つき.mp3]&lt;/div&gt;")</f>
        <v>&lt;ruby&gt;月&lt;rt&gt;つき&lt;/rt&gt;&lt;/ruby&gt;&lt;br&gt;&lt;div class="audio"&gt;[sound:つき.mp3]&lt;/div&gt;</v>
      </c>
      <c r="H277" s="3" t="str">
        <f t="shared" si="1"/>
        <v>(n): trăng</v>
      </c>
      <c r="I277" s="6" t="s">
        <v>1463</v>
      </c>
      <c r="J277" s="6" t="s">
        <v>1464</v>
      </c>
      <c r="K277" s="7">
        <f t="shared" si="2"/>
        <v>0.8603971442</v>
      </c>
    </row>
    <row r="278">
      <c r="A278" s="4">
        <v>278.0</v>
      </c>
      <c r="B278" s="5" t="s">
        <v>1465</v>
      </c>
      <c r="C278" s="5" t="s">
        <v>1466</v>
      </c>
      <c r="D278" s="5" t="s">
        <v>1467</v>
      </c>
      <c r="E278" s="6" t="s">
        <v>74</v>
      </c>
      <c r="F278" s="6" t="s">
        <v>1468</v>
      </c>
      <c r="G278" s="3" t="str">
        <f>IFERROR(__xludf.DUMMYFUNCTION("REGEXREPLACE(
D278,
""([一-龯々]+)\[([^\]]+)\]"",
""&lt;ruby&gt;$1&lt;rt&gt;$2&lt;/rt&gt;&lt;/ruby&gt;""
)&amp;""&lt;br&gt;&lt;div class=""""audio""""&gt;[sound:""&amp;C278&amp;"".mp3]&lt;/div&gt;"""),"&lt;ruby&gt;銀行&lt;rt&gt;ぎんこう&lt;/rt&gt;&lt;/ruby&gt;&lt;br&gt;&lt;div class=""audio""&gt;[sound:ぎんこう.mp3]&lt;/div&gt;")</f>
        <v>&lt;ruby&gt;銀行&lt;rt&gt;ぎんこう&lt;/rt&gt;&lt;/ruby&gt;&lt;br&gt;&lt;div class="audio"&gt;[sound:ぎんこう.mp3]&lt;/div&gt;</v>
      </c>
      <c r="H278" s="3" t="str">
        <f t="shared" si="1"/>
        <v>(n): ngân hàng</v>
      </c>
      <c r="I278" s="6" t="s">
        <v>1469</v>
      </c>
      <c r="J278" s="6" t="s">
        <v>1470</v>
      </c>
      <c r="K278" s="7">
        <f t="shared" si="2"/>
        <v>0.675088504</v>
      </c>
    </row>
    <row r="279">
      <c r="A279" s="4">
        <v>279.0</v>
      </c>
      <c r="B279" s="5" t="s">
        <v>1471</v>
      </c>
      <c r="C279" s="5" t="s">
        <v>1472</v>
      </c>
      <c r="D279" s="5" t="s">
        <v>1473</v>
      </c>
      <c r="E279" s="6" t="s">
        <v>74</v>
      </c>
      <c r="F279" s="6" t="s">
        <v>1396</v>
      </c>
      <c r="G279" s="3" t="str">
        <f>IFERROR(__xludf.DUMMYFUNCTION("REGEXREPLACE(
D279,
""([一-龯々]+)\[([^\]]+)\]"",
""&lt;ruby&gt;$1&lt;rt&gt;$2&lt;/rt&gt;&lt;/ruby&gt;""
)&amp;""&lt;br&gt;&lt;div class=""""audio""""&gt;[sound:""&amp;C279&amp;"".mp3]&lt;/div&gt;"""),"&lt;ruby&gt;女&lt;rt&gt;おんな&lt;/rt&gt;&lt;/ruby&gt;&lt;br&gt;&lt;div class=""audio""&gt;[sound:おんな.mp3]&lt;/div&gt;")</f>
        <v>&lt;ruby&gt;女&lt;rt&gt;おんな&lt;/rt&gt;&lt;/ruby&gt;&lt;br&gt;&lt;div class="audio"&gt;[sound:おんな.mp3]&lt;/div&gt;</v>
      </c>
      <c r="H279" s="3" t="str">
        <f t="shared" si="1"/>
        <v>(n): phụ nữ</v>
      </c>
      <c r="I279" s="6" t="s">
        <v>1474</v>
      </c>
      <c r="J279" s="6" t="s">
        <v>1475</v>
      </c>
      <c r="K279" s="7">
        <f t="shared" si="2"/>
        <v>0.203432981</v>
      </c>
    </row>
    <row r="280">
      <c r="A280" s="4">
        <v>280.0</v>
      </c>
      <c r="B280" s="5" t="s">
        <v>1476</v>
      </c>
      <c r="C280" s="5" t="s">
        <v>1477</v>
      </c>
      <c r="D280" s="5" t="s">
        <v>1478</v>
      </c>
      <c r="E280" s="6" t="s">
        <v>44</v>
      </c>
      <c r="F280" s="6" t="s">
        <v>1479</v>
      </c>
      <c r="G280" s="3" t="str">
        <f>IFERROR(__xludf.DUMMYFUNCTION("REGEXREPLACE(
D280,
""([一-龯々]+)\[([^\]]+)\]"",
""&lt;ruby&gt;$1&lt;rt&gt;$2&lt;/rt&gt;&lt;/ruby&gt;""
)&amp;""&lt;br&gt;&lt;div class=""""audio""""&gt;[sound:""&amp;C280&amp;"".mp3]&lt;/div&gt;"""),"&lt;ruby&gt;彼女&lt;rt&gt;かのじょ&lt;/rt&gt;&lt;/ruby&gt;&lt;br&gt;&lt;div class=""audio""&gt;[sound:かのじょ.mp3]&lt;/div&gt;")</f>
        <v>&lt;ruby&gt;彼女&lt;rt&gt;かのじょ&lt;/rt&gt;&lt;/ruby&gt;&lt;br&gt;&lt;div class="audio"&gt;[sound:かのじょ.mp3]&lt;/div&gt;</v>
      </c>
      <c r="H280" s="3" t="str">
        <f t="shared" si="1"/>
        <v>(pron): cô ấy</v>
      </c>
      <c r="I280" s="6" t="s">
        <v>1480</v>
      </c>
      <c r="J280" s="6" t="s">
        <v>1481</v>
      </c>
      <c r="K280" s="7">
        <f t="shared" si="2"/>
        <v>0.4743105874</v>
      </c>
    </row>
    <row r="281">
      <c r="A281" s="4">
        <v>281.0</v>
      </c>
      <c r="B281" s="5" t="s">
        <v>1482</v>
      </c>
      <c r="C281" s="5" t="s">
        <v>1483</v>
      </c>
      <c r="D281" s="5" t="s">
        <v>1484</v>
      </c>
      <c r="E281" s="6" t="s">
        <v>24</v>
      </c>
      <c r="F281" s="6" t="s">
        <v>1485</v>
      </c>
      <c r="G281" s="3" t="str">
        <f>IFERROR(__xludf.DUMMYFUNCTION("REGEXREPLACE(
D281,
""([一-龯々]+)\[([^\]]+)\]"",
""&lt;ruby&gt;$1&lt;rt&gt;$2&lt;/rt&gt;&lt;/ruby&gt;""
)&amp;""&lt;br&gt;&lt;div class=""""audio""""&gt;[sound:""&amp;C281&amp;"".mp3]&lt;/div&gt;"""),"&lt;ruby&gt;飲&lt;rt&gt;の&lt;/rt&gt;&lt;/ruby&gt;む&lt;br&gt;&lt;div class=""audio""&gt;[sound:のむ.mp3]&lt;/div&gt;")</f>
        <v>&lt;ruby&gt;飲&lt;rt&gt;の&lt;/rt&gt;&lt;/ruby&gt;む&lt;br&gt;&lt;div class="audio"&gt;[sound:のむ.mp3]&lt;/div&gt;</v>
      </c>
      <c r="H281" s="3" t="str">
        <f t="shared" si="1"/>
        <v>(v): uống</v>
      </c>
      <c r="I281" s="6" t="s">
        <v>1486</v>
      </c>
      <c r="J281" s="6" t="s">
        <v>1487</v>
      </c>
      <c r="K281" s="7">
        <f t="shared" si="2"/>
        <v>0.6448469339</v>
      </c>
    </row>
    <row r="282">
      <c r="A282" s="4">
        <v>282.0</v>
      </c>
      <c r="B282" s="5" t="s">
        <v>1488</v>
      </c>
      <c r="C282" s="5" t="s">
        <v>1489</v>
      </c>
      <c r="D282" s="5" t="s">
        <v>1490</v>
      </c>
      <c r="E282" s="6" t="s">
        <v>24</v>
      </c>
      <c r="F282" s="6" t="s">
        <v>1491</v>
      </c>
      <c r="G282" s="3" t="str">
        <f>IFERROR(__xludf.DUMMYFUNCTION("REGEXREPLACE(
D282,
""([一-龯々]+)\[([^\]]+)\]"",
""&lt;ruby&gt;$1&lt;rt&gt;$2&lt;/rt&gt;&lt;/ruby&gt;""
)&amp;""&lt;br&gt;&lt;div class=""""audio""""&gt;[sound:""&amp;C282&amp;"".mp3]&lt;/div&gt;"""),"&lt;ruby&gt;書&lt;rt&gt;か&lt;/rt&gt;&lt;/ruby&gt;く&lt;br&gt;&lt;div class=""audio""&gt;[sound:かく.mp3]&lt;/div&gt;")</f>
        <v>&lt;ruby&gt;書&lt;rt&gt;か&lt;/rt&gt;&lt;/ruby&gt;く&lt;br&gt;&lt;div class="audio"&gt;[sound:かく.mp3]&lt;/div&gt;</v>
      </c>
      <c r="H282" s="3" t="str">
        <f t="shared" si="1"/>
        <v>(v): viết</v>
      </c>
      <c r="I282" s="6" t="s">
        <v>1492</v>
      </c>
      <c r="J282" s="6" t="s">
        <v>1493</v>
      </c>
      <c r="K282" s="7">
        <f t="shared" si="2"/>
        <v>0.9020323214</v>
      </c>
    </row>
    <row r="283">
      <c r="A283" s="4">
        <v>283.0</v>
      </c>
      <c r="B283" s="5" t="s">
        <v>1494</v>
      </c>
      <c r="C283" s="5" t="s">
        <v>1495</v>
      </c>
      <c r="D283" s="5" t="s">
        <v>1496</v>
      </c>
      <c r="E283" s="6" t="s">
        <v>24</v>
      </c>
      <c r="F283" s="6" t="s">
        <v>1497</v>
      </c>
      <c r="G283" s="3" t="str">
        <f>IFERROR(__xludf.DUMMYFUNCTION("REGEXREPLACE(
D283,
""([一-龯々]+)\[([^\]]+)\]"",
""&lt;ruby&gt;$1&lt;rt&gt;$2&lt;/rt&gt;&lt;/ruby&gt;""
)&amp;""&lt;br&gt;&lt;div class=""""audio""""&gt;[sound:""&amp;C283&amp;"".mp3]&lt;/div&gt;"""),"&lt;ruby&gt;開&lt;rt&gt;ひら&lt;/rt&gt;&lt;/ruby&gt;く&lt;br&gt;&lt;div class=""audio""&gt;[sound:ひらく.mp3]&lt;/div&gt;")</f>
        <v>&lt;ruby&gt;開&lt;rt&gt;ひら&lt;/rt&gt;&lt;/ruby&gt;く&lt;br&gt;&lt;div class="audio"&gt;[sound:ひらく.mp3]&lt;/div&gt;</v>
      </c>
      <c r="H283" s="3" t="str">
        <f t="shared" si="1"/>
        <v>(v): mở</v>
      </c>
      <c r="I283" s="6" t="s">
        <v>1498</v>
      </c>
      <c r="J283" s="6" t="s">
        <v>1499</v>
      </c>
      <c r="K283" s="7">
        <f t="shared" si="2"/>
        <v>0.4031227486</v>
      </c>
    </row>
    <row r="284">
      <c r="A284" s="4">
        <v>284.0</v>
      </c>
      <c r="B284" s="5" t="s">
        <v>1500</v>
      </c>
      <c r="C284" s="5" t="s">
        <v>1501</v>
      </c>
      <c r="D284" s="5" t="s">
        <v>1502</v>
      </c>
      <c r="E284" s="6" t="s">
        <v>74</v>
      </c>
      <c r="F284" s="6" t="s">
        <v>925</v>
      </c>
      <c r="G284" s="3" t="str">
        <f>IFERROR(__xludf.DUMMYFUNCTION("REGEXREPLACE(
D284,
""([一-龯々]+)\[([^\]]+)\]"",
""&lt;ruby&gt;$1&lt;rt&gt;$2&lt;/rt&gt;&lt;/ruby&gt;""
)&amp;""&lt;br&gt;&lt;div class=""""audio""""&gt;[sound:""&amp;C284&amp;"".mp3]&lt;/div&gt;"""),"&lt;ruby&gt;方&lt;rt&gt;かた&lt;/rt&gt;&lt;/ruby&gt;&lt;br&gt;&lt;div class=""audio""&gt;[sound:かた.mp3]&lt;/div&gt;")</f>
        <v>&lt;ruby&gt;方&lt;rt&gt;かた&lt;/rt&gt;&lt;/ruby&gt;&lt;br&gt;&lt;div class="audio"&gt;[sound:かた.mp3]&lt;/div&gt;</v>
      </c>
      <c r="H284" s="3" t="str">
        <f t="shared" si="1"/>
        <v>(n): vị</v>
      </c>
      <c r="I284" s="6" t="s">
        <v>1503</v>
      </c>
      <c r="J284" s="6" t="s">
        <v>1504</v>
      </c>
      <c r="K284" s="7">
        <f t="shared" si="2"/>
        <v>0.358868337</v>
      </c>
    </row>
    <row r="285">
      <c r="A285" s="4">
        <v>285.0</v>
      </c>
      <c r="B285" s="5" t="s">
        <v>1505</v>
      </c>
      <c r="C285" s="5" t="s">
        <v>1506</v>
      </c>
      <c r="D285" s="5" t="s">
        <v>1507</v>
      </c>
      <c r="E285" s="6" t="s">
        <v>74</v>
      </c>
      <c r="F285" s="6" t="s">
        <v>1508</v>
      </c>
      <c r="G285" s="3" t="str">
        <f>IFERROR(__xludf.DUMMYFUNCTION("REGEXREPLACE(
D285,
""([一-龯々]+)\[([^\]]+)\]"",
""&lt;ruby&gt;$1&lt;rt&gt;$2&lt;/rt&gt;&lt;/ruby&gt;""
)&amp;""&lt;br&gt;&lt;div class=""""audio""""&gt;[sound:""&amp;C285&amp;"".mp3]&lt;/div&gt;"""),"&lt;ruby&gt;程度&lt;rt&gt;ていど&lt;/rt&gt;&lt;/ruby&gt;&lt;br&gt;&lt;div class=""audio""&gt;[sound:ていど.mp3]&lt;/div&gt;")</f>
        <v>&lt;ruby&gt;程度&lt;rt&gt;ていど&lt;/rt&gt;&lt;/ruby&gt;&lt;br&gt;&lt;div class="audio"&gt;[sound:ていど.mp3]&lt;/div&gt;</v>
      </c>
      <c r="H285" s="3" t="str">
        <f t="shared" si="1"/>
        <v>(n): mức độ</v>
      </c>
      <c r="I285" s="6" t="s">
        <v>1509</v>
      </c>
      <c r="J285" s="6" t="s">
        <v>1510</v>
      </c>
      <c r="K285" s="7">
        <f t="shared" si="2"/>
        <v>0.3014654458</v>
      </c>
    </row>
    <row r="286">
      <c r="A286" s="4">
        <v>286.0</v>
      </c>
      <c r="B286" s="5" t="s">
        <v>1511</v>
      </c>
      <c r="C286" s="5" t="s">
        <v>1512</v>
      </c>
      <c r="D286" s="5" t="s">
        <v>1513</v>
      </c>
      <c r="E286" s="6" t="s">
        <v>74</v>
      </c>
      <c r="F286" s="6" t="s">
        <v>1514</v>
      </c>
      <c r="G286" s="3" t="str">
        <f>IFERROR(__xludf.DUMMYFUNCTION("REGEXREPLACE(
D286,
""([一-龯々]+)\[([^\]]+)\]"",
""&lt;ruby&gt;$1&lt;rt&gt;$2&lt;/rt&gt;&lt;/ruby&gt;""
)&amp;""&lt;br&gt;&lt;div class=""""audio""""&gt;[sound:""&amp;C286&amp;"".mp3]&lt;/div&gt;"""),"&lt;ruby&gt;空気&lt;rt&gt;くうき&lt;/rt&gt;&lt;/ruby&gt;&lt;br&gt;&lt;div class=""audio""&gt;[sound:くうき.mp3]&lt;/div&gt;")</f>
        <v>&lt;ruby&gt;空気&lt;rt&gt;くうき&lt;/rt&gt;&lt;/ruby&gt;&lt;br&gt;&lt;div class="audio"&gt;[sound:くうき.mp3]&lt;/div&gt;</v>
      </c>
      <c r="H286" s="3" t="str">
        <f t="shared" si="1"/>
        <v>(n): không khí</v>
      </c>
      <c r="I286" s="6" t="s">
        <v>1515</v>
      </c>
      <c r="J286" s="6" t="s">
        <v>1516</v>
      </c>
      <c r="K286" s="7">
        <f t="shared" si="2"/>
        <v>0.1724540254</v>
      </c>
    </row>
    <row r="287">
      <c r="A287" s="4">
        <v>287.0</v>
      </c>
      <c r="B287" s="5" t="s">
        <v>1517</v>
      </c>
      <c r="C287" s="5" t="s">
        <v>1518</v>
      </c>
      <c r="D287" s="5" t="s">
        <v>1519</v>
      </c>
      <c r="E287" s="6" t="s">
        <v>24</v>
      </c>
      <c r="F287" s="6" t="s">
        <v>1520</v>
      </c>
      <c r="G287" s="3" t="str">
        <f>IFERROR(__xludf.DUMMYFUNCTION("REGEXREPLACE(
D287,
""([一-龯々]+)\[([^\]]+)\]"",
""&lt;ruby&gt;$1&lt;rt&gt;$2&lt;/rt&gt;&lt;/ruby&gt;""
)&amp;""&lt;br&gt;&lt;div class=""""audio""""&gt;[sound:""&amp;C287&amp;"".mp3]&lt;/div&gt;"""),"&lt;ruby&gt;笑&lt;rt&gt;わら&lt;/rt&gt;&lt;/ruby&gt;う&lt;br&gt;&lt;div class=""audio""&gt;[sound:わらう.mp3]&lt;/div&gt;")</f>
        <v>&lt;ruby&gt;笑&lt;rt&gt;わら&lt;/rt&gt;&lt;/ruby&gt;う&lt;br&gt;&lt;div class="audio"&gt;[sound:わらう.mp3]&lt;/div&gt;</v>
      </c>
      <c r="H287" s="3" t="str">
        <f t="shared" si="1"/>
        <v>(v): cười</v>
      </c>
      <c r="I287" s="6" t="s">
        <v>1521</v>
      </c>
      <c r="J287" s="6" t="s">
        <v>1522</v>
      </c>
      <c r="K287" s="7">
        <f t="shared" si="2"/>
        <v>0.04431658114</v>
      </c>
    </row>
    <row r="288">
      <c r="A288" s="4">
        <v>288.0</v>
      </c>
      <c r="B288" s="5" t="s">
        <v>1523</v>
      </c>
      <c r="C288" s="5" t="s">
        <v>1524</v>
      </c>
      <c r="D288" s="5" t="s">
        <v>1525</v>
      </c>
      <c r="E288" s="6" t="s">
        <v>24</v>
      </c>
      <c r="F288" s="6" t="s">
        <v>1526</v>
      </c>
      <c r="G288" s="3" t="str">
        <f>IFERROR(__xludf.DUMMYFUNCTION("REGEXREPLACE(
D288,
""([一-龯々]+)\[([^\]]+)\]"",
""&lt;ruby&gt;$1&lt;rt&gt;$2&lt;/rt&gt;&lt;/ruby&gt;""
)&amp;""&lt;br&gt;&lt;div class=""""audio""""&gt;[sound:""&amp;C288&amp;"".mp3]&lt;/div&gt;"""),"&lt;ruby&gt;降&lt;rt&gt;お&lt;/rt&gt;&lt;/ruby&gt;りる&lt;br&gt;&lt;div class=""audio""&gt;[sound:おりる.mp3]&lt;/div&gt;")</f>
        <v>&lt;ruby&gt;降&lt;rt&gt;お&lt;/rt&gt;&lt;/ruby&gt;りる&lt;br&gt;&lt;div class="audio"&gt;[sound:おりる.mp3]&lt;/div&gt;</v>
      </c>
      <c r="H288" s="3" t="str">
        <f t="shared" si="1"/>
        <v>(v): xuống</v>
      </c>
      <c r="I288" s="6" t="s">
        <v>1527</v>
      </c>
      <c r="J288" s="6" t="s">
        <v>1528</v>
      </c>
      <c r="K288" s="7">
        <f t="shared" si="2"/>
        <v>0.8051713242</v>
      </c>
    </row>
    <row r="289">
      <c r="A289" s="4">
        <v>289.0</v>
      </c>
      <c r="B289" s="5" t="s">
        <v>1529</v>
      </c>
      <c r="C289" s="5" t="s">
        <v>1530</v>
      </c>
      <c r="D289" s="5" t="s">
        <v>1531</v>
      </c>
      <c r="E289" s="6" t="s">
        <v>24</v>
      </c>
      <c r="F289" s="6" t="s">
        <v>1532</v>
      </c>
      <c r="G289" s="3" t="str">
        <f>IFERROR(__xludf.DUMMYFUNCTION("REGEXREPLACE(
D289,
""([一-龯々]+)\[([^\]]+)\]"",
""&lt;ruby&gt;$1&lt;rt&gt;$2&lt;/rt&gt;&lt;/ruby&gt;""
)&amp;""&lt;br&gt;&lt;div class=""""audio""""&gt;[sound:""&amp;C289&amp;"".mp3]&lt;/div&gt;"""),"&lt;ruby&gt;見&lt;rt&gt;み&lt;/rt&gt;&lt;/ruby&gt;える&lt;br&gt;&lt;div class=""audio""&gt;[sound:みえる.mp3]&lt;/div&gt;")</f>
        <v>&lt;ruby&gt;見&lt;rt&gt;み&lt;/rt&gt;&lt;/ruby&gt;える&lt;br&gt;&lt;div class="audio"&gt;[sound:みえる.mp3]&lt;/div&gt;</v>
      </c>
      <c r="H289" s="3" t="str">
        <f t="shared" si="1"/>
        <v>(v): có thể thấy</v>
      </c>
      <c r="I289" s="6" t="s">
        <v>1533</v>
      </c>
      <c r="J289" s="6" t="s">
        <v>1534</v>
      </c>
      <c r="K289" s="7">
        <f t="shared" si="2"/>
        <v>0.7734815915</v>
      </c>
    </row>
    <row r="290">
      <c r="A290" s="4">
        <v>290.0</v>
      </c>
      <c r="B290" s="5" t="s">
        <v>1535</v>
      </c>
      <c r="C290" s="5" t="s">
        <v>1536</v>
      </c>
      <c r="D290" s="5" t="s">
        <v>1537</v>
      </c>
      <c r="E290" s="6" t="s">
        <v>74</v>
      </c>
      <c r="F290" s="6" t="s">
        <v>1538</v>
      </c>
      <c r="G290" s="3" t="str">
        <f>IFERROR(__xludf.DUMMYFUNCTION("REGEXREPLACE(
D290,
""([一-龯々]+)\[([^\]]+)\]"",
""&lt;ruby&gt;$1&lt;rt&gt;$2&lt;/rt&gt;&lt;/ruby&gt;""
)&amp;""&lt;br&gt;&lt;div class=""""audio""""&gt;[sound:""&amp;C290&amp;"".mp3]&lt;/div&gt;"""),"&lt;ruby&gt;頭&lt;rt&gt;あたま&lt;/rt&gt;&lt;/ruby&gt;&lt;br&gt;&lt;div class=""audio""&gt;[sound:あたま.mp3]&lt;/div&gt;")</f>
        <v>&lt;ruby&gt;頭&lt;rt&gt;あたま&lt;/rt&gt;&lt;/ruby&gt;&lt;br&gt;&lt;div class="audio"&gt;[sound:あたま.mp3]&lt;/div&gt;</v>
      </c>
      <c r="H290" s="3" t="str">
        <f t="shared" si="1"/>
        <v>(n): đầu</v>
      </c>
      <c r="I290" s="6" t="s">
        <v>1539</v>
      </c>
      <c r="J290" s="6" t="s">
        <v>1540</v>
      </c>
      <c r="K290" s="7">
        <f t="shared" si="2"/>
        <v>0.4472923437</v>
      </c>
    </row>
    <row r="291">
      <c r="A291" s="4">
        <v>291.0</v>
      </c>
      <c r="B291" s="5" t="s">
        <v>1541</v>
      </c>
      <c r="C291" s="5" t="s">
        <v>1542</v>
      </c>
      <c r="D291" s="5" t="s">
        <v>1543</v>
      </c>
      <c r="E291" s="6" t="s">
        <v>85</v>
      </c>
      <c r="F291" s="6" t="s">
        <v>1544</v>
      </c>
      <c r="G291" s="3" t="str">
        <f>IFERROR(__xludf.DUMMYFUNCTION("REGEXREPLACE(
D291,
""([一-龯々]+)\[([^\]]+)\]"",
""&lt;ruby&gt;$1&lt;rt&gt;$2&lt;/rt&gt;&lt;/ruby&gt;""
)&amp;""&lt;br&gt;&lt;div class=""""audio""""&gt;[sound:""&amp;C291&amp;"".mp3]&lt;/div&gt;"""),"&lt;ruby&gt;絶対&lt;rt&gt;ぜったい&lt;/rt&gt;&lt;/ruby&gt;&lt;br&gt;&lt;div class=""audio""&gt;[sound:ぜったい.mp3]&lt;/div&gt;")</f>
        <v>&lt;ruby&gt;絶対&lt;rt&gt;ぜったい&lt;/rt&gt;&lt;/ruby&gt;&lt;br&gt;&lt;div class="audio"&gt;[sound:ぜったい.mp3]&lt;/div&gt;</v>
      </c>
      <c r="H291" s="3" t="str">
        <f t="shared" si="1"/>
        <v>(adv): tuyệt đối</v>
      </c>
      <c r="I291" s="6" t="s">
        <v>1545</v>
      </c>
      <c r="J291" s="6" t="s">
        <v>1546</v>
      </c>
      <c r="K291" s="7">
        <f t="shared" si="2"/>
        <v>0.7313756446</v>
      </c>
    </row>
    <row r="292">
      <c r="A292" s="4">
        <v>292.0</v>
      </c>
      <c r="B292" s="5" t="s">
        <v>1547</v>
      </c>
      <c r="C292" s="5" t="s">
        <v>1548</v>
      </c>
      <c r="D292" s="5" t="s">
        <v>1549</v>
      </c>
      <c r="E292" s="6" t="s">
        <v>74</v>
      </c>
      <c r="F292" s="6" t="s">
        <v>1550</v>
      </c>
      <c r="G292" s="3" t="str">
        <f>IFERROR(__xludf.DUMMYFUNCTION("REGEXREPLACE(
D292,
""([一-龯々]+)\[([^\]]+)\]"",
""&lt;ruby&gt;$1&lt;rt&gt;$2&lt;/rt&gt;&lt;/ruby&gt;""
)&amp;""&lt;br&gt;&lt;div class=""""audio""""&gt;[sound:""&amp;C292&amp;"".mp3]&lt;/div&gt;"""),"&lt;ruby&gt;経験&lt;rt&gt;けいけん&lt;/rt&gt;&lt;/ruby&gt;&lt;br&gt;&lt;div class=""audio""&gt;[sound:けいけん.mp3]&lt;/div&gt;")</f>
        <v>&lt;ruby&gt;経験&lt;rt&gt;けいけん&lt;/rt&gt;&lt;/ruby&gt;&lt;br&gt;&lt;div class="audio"&gt;[sound:けいけん.mp3]&lt;/div&gt;</v>
      </c>
      <c r="H292" s="3" t="str">
        <f t="shared" si="1"/>
        <v>(n): kinh nghiệm</v>
      </c>
      <c r="I292" s="6" t="s">
        <v>1551</v>
      </c>
      <c r="J292" s="6" t="s">
        <v>1552</v>
      </c>
      <c r="K292" s="7">
        <f t="shared" si="2"/>
        <v>0.7998403551</v>
      </c>
    </row>
    <row r="293">
      <c r="A293" s="4">
        <v>293.0</v>
      </c>
      <c r="B293" s="5" t="s">
        <v>1553</v>
      </c>
      <c r="C293" s="5" t="s">
        <v>1554</v>
      </c>
      <c r="D293" s="5" t="s">
        <v>1555</v>
      </c>
      <c r="E293" s="6" t="s">
        <v>74</v>
      </c>
      <c r="F293" s="6" t="s">
        <v>1556</v>
      </c>
      <c r="G293" s="3" t="str">
        <f>IFERROR(__xludf.DUMMYFUNCTION("REGEXREPLACE(
D293,
""([一-龯々]+)\[([^\]]+)\]"",
""&lt;ruby&gt;$1&lt;rt&gt;$2&lt;/rt&gt;&lt;/ruby&gt;""
)&amp;""&lt;br&gt;&lt;div class=""""audio""""&gt;[sound:""&amp;C293&amp;"".mp3]&lt;/div&gt;"""),"&lt;ruby&gt;電車&lt;rt&gt;でんしゃ&lt;/rt&gt;&lt;/ruby&gt;&lt;br&gt;&lt;div class=""audio""&gt;[sound:でんしゃ.mp3]&lt;/div&gt;")</f>
        <v>&lt;ruby&gt;電車&lt;rt&gt;でんしゃ&lt;/rt&gt;&lt;/ruby&gt;&lt;br&gt;&lt;div class="audio"&gt;[sound:でんしゃ.mp3]&lt;/div&gt;</v>
      </c>
      <c r="H293" s="3" t="str">
        <f t="shared" si="1"/>
        <v>(n): tàu điện</v>
      </c>
      <c r="I293" s="6" t="s">
        <v>1557</v>
      </c>
      <c r="J293" s="6" t="s">
        <v>1558</v>
      </c>
      <c r="K293" s="7">
        <f t="shared" si="2"/>
        <v>0.9898035593</v>
      </c>
    </row>
    <row r="294">
      <c r="A294" s="4">
        <v>294.0</v>
      </c>
      <c r="B294" s="5" t="s">
        <v>1559</v>
      </c>
      <c r="C294" s="5" t="s">
        <v>1559</v>
      </c>
      <c r="D294" s="5" t="s">
        <v>1559</v>
      </c>
      <c r="E294" s="6" t="s">
        <v>74</v>
      </c>
      <c r="F294" s="6" t="s">
        <v>874</v>
      </c>
      <c r="G294" s="3" t="str">
        <f>IFERROR(__xludf.DUMMYFUNCTION("REGEXREPLACE(
D294,
""([一-龯々]+)\[([^\]]+)\]"",
""&lt;ruby&gt;$1&lt;rt&gt;$2&lt;/rt&gt;&lt;/ruby&gt;""
)&amp;""&lt;br&gt;&lt;div class=""""audio""""&gt;[sound:""&amp;C294&amp;"".mp3]&lt;/div&gt;"""),"はず&lt;br&gt;&lt;div class=""audio""&gt;[sound:はず.mp3]&lt;/div&gt;")</f>
        <v>はず&lt;br&gt;&lt;div class="audio"&gt;[sound:はず.mp3]&lt;/div&gt;</v>
      </c>
      <c r="H294" s="3" t="str">
        <f t="shared" si="1"/>
        <v>(n): chắc chắn</v>
      </c>
      <c r="I294" s="6" t="s">
        <v>1560</v>
      </c>
      <c r="J294" s="6" t="s">
        <v>1561</v>
      </c>
      <c r="K294" s="7">
        <f t="shared" si="2"/>
        <v>0.7238622195</v>
      </c>
    </row>
    <row r="295">
      <c r="A295" s="4">
        <v>295.0</v>
      </c>
      <c r="B295" s="5" t="s">
        <v>1562</v>
      </c>
      <c r="C295" s="5" t="s">
        <v>1563</v>
      </c>
      <c r="D295" s="5" t="s">
        <v>1564</v>
      </c>
      <c r="E295" s="6" t="s">
        <v>74</v>
      </c>
      <c r="F295" s="6" t="s">
        <v>1565</v>
      </c>
      <c r="G295" s="3" t="str">
        <f>IFERROR(__xludf.DUMMYFUNCTION("REGEXREPLACE(
D295,
""([一-龯々]+)\[([^\]]+)\]"",
""&lt;ruby&gt;$1&lt;rt&gt;$2&lt;/rt&gt;&lt;/ruby&gt;""
)&amp;""&lt;br&gt;&lt;div class=""""audio""""&gt;[sound:""&amp;C295&amp;"".mp3]&lt;/div&gt;"""),"&lt;ruby&gt;相談&lt;rt&gt;そうだん&lt;/rt&gt;&lt;/ruby&gt;&lt;br&gt;&lt;div class=""audio""&gt;[sound:そうだん.mp3]&lt;/div&gt;")</f>
        <v>&lt;ruby&gt;相談&lt;rt&gt;そうだん&lt;/rt&gt;&lt;/ruby&gt;&lt;br&gt;&lt;div class="audio"&gt;[sound:そうだん.mp3]&lt;/div&gt;</v>
      </c>
      <c r="H295" s="3" t="str">
        <f t="shared" si="1"/>
        <v>(n): thảo luận</v>
      </c>
      <c r="I295" s="6" t="s">
        <v>1566</v>
      </c>
      <c r="J295" s="6" t="s">
        <v>1567</v>
      </c>
      <c r="K295" s="7">
        <f t="shared" si="2"/>
        <v>0.1341956938</v>
      </c>
    </row>
    <row r="296">
      <c r="A296" s="4">
        <v>296.0</v>
      </c>
      <c r="B296" s="5" t="s">
        <v>1568</v>
      </c>
      <c r="C296" s="5" t="s">
        <v>1569</v>
      </c>
      <c r="D296" s="5" t="s">
        <v>1570</v>
      </c>
      <c r="E296" s="6" t="s">
        <v>24</v>
      </c>
      <c r="F296" s="6" t="s">
        <v>1571</v>
      </c>
      <c r="G296" s="3" t="str">
        <f>IFERROR(__xludf.DUMMYFUNCTION("REGEXREPLACE(
D296,
""([一-龯々]+)\[([^\]]+)\]"",
""&lt;ruby&gt;$1&lt;rt&gt;$2&lt;/rt&gt;&lt;/ruby&gt;""
)&amp;""&lt;br&gt;&lt;div class=""""audio""""&gt;[sound:""&amp;C296&amp;"".mp3]&lt;/div&gt;"""),"&lt;ruby&gt;関&lt;rt&gt;かん&lt;/rt&gt;&lt;/ruby&gt;する&lt;br&gt;&lt;div class=""audio""&gt;[sound:かんする.mp3]&lt;/div&gt;")</f>
        <v>&lt;ruby&gt;関&lt;rt&gt;かん&lt;/rt&gt;&lt;/ruby&gt;する&lt;br&gt;&lt;div class="audio"&gt;[sound:かんする.mp3]&lt;/div&gt;</v>
      </c>
      <c r="H296" s="3" t="str">
        <f t="shared" si="1"/>
        <v>(v): liên quan</v>
      </c>
      <c r="I296" s="6" t="s">
        <v>1572</v>
      </c>
      <c r="J296" s="6" t="s">
        <v>1573</v>
      </c>
      <c r="K296" s="7">
        <f t="shared" si="2"/>
        <v>0.8992563655</v>
      </c>
    </row>
    <row r="297">
      <c r="A297" s="4">
        <v>297.0</v>
      </c>
      <c r="B297" s="5" t="s">
        <v>1574</v>
      </c>
      <c r="C297" s="5" t="s">
        <v>1575</v>
      </c>
      <c r="D297" s="5" t="s">
        <v>1576</v>
      </c>
      <c r="E297" s="6" t="s">
        <v>74</v>
      </c>
      <c r="F297" s="6" t="s">
        <v>1577</v>
      </c>
      <c r="G297" s="3" t="str">
        <f>IFERROR(__xludf.DUMMYFUNCTION("REGEXREPLACE(
D297,
""([一-龯々]+)\[([^\]]+)\]"",
""&lt;ruby&gt;$1&lt;rt&gt;$2&lt;/rt&gt;&lt;/ruby&gt;""
)&amp;""&lt;br&gt;&lt;div class=""""audio""""&gt;[sound:""&amp;C297&amp;"".mp3]&lt;/div&gt;"""),"&lt;ruby&gt;社長&lt;rt&gt;しゃちょう&lt;/rt&gt;&lt;/ruby&gt;&lt;br&gt;&lt;div class=""audio""&gt;[sound:しゃちょう.mp3]&lt;/div&gt;")</f>
        <v>&lt;ruby&gt;社長&lt;rt&gt;しゃちょう&lt;/rt&gt;&lt;/ruby&gt;&lt;br&gt;&lt;div class="audio"&gt;[sound:しゃちょう.mp3]&lt;/div&gt;</v>
      </c>
      <c r="H297" s="3" t="str">
        <f t="shared" si="1"/>
        <v>(n): giám đốc</v>
      </c>
      <c r="I297" s="6" t="s">
        <v>1578</v>
      </c>
      <c r="J297" s="6" t="s">
        <v>1579</v>
      </c>
      <c r="K297" s="7">
        <f t="shared" si="2"/>
        <v>0.8817731227</v>
      </c>
    </row>
    <row r="298">
      <c r="A298" s="4">
        <v>298.0</v>
      </c>
      <c r="B298" s="5" t="s">
        <v>1580</v>
      </c>
      <c r="C298" s="5" t="s">
        <v>1580</v>
      </c>
      <c r="D298" s="5" t="s">
        <v>1580</v>
      </c>
      <c r="E298" s="6" t="s">
        <v>85</v>
      </c>
      <c r="F298" s="6" t="s">
        <v>1581</v>
      </c>
      <c r="G298" s="3" t="str">
        <f>IFERROR(__xludf.DUMMYFUNCTION("REGEXREPLACE(
D298,
""([一-龯々]+)\[([^\]]+)\]"",
""&lt;ruby&gt;$1&lt;rt&gt;$2&lt;/rt&gt;&lt;/ruby&gt;""
)&amp;""&lt;br&gt;&lt;div class=""""audio""""&gt;[sound:""&amp;C298&amp;"".mp3]&lt;/div&gt;"""),"もちろん&lt;br&gt;&lt;div class=""audio""&gt;[sound:もちろん.mp3]&lt;/div&gt;")</f>
        <v>もちろん&lt;br&gt;&lt;div class="audio"&gt;[sound:もちろん.mp3]&lt;/div&gt;</v>
      </c>
      <c r="H298" s="3" t="str">
        <f t="shared" si="1"/>
        <v>(adv): tất nhiên</v>
      </c>
      <c r="I298" s="6" t="s">
        <v>1582</v>
      </c>
      <c r="J298" s="6" t="s">
        <v>1583</v>
      </c>
      <c r="K298" s="7">
        <f t="shared" si="2"/>
        <v>0.623562678</v>
      </c>
    </row>
    <row r="299">
      <c r="A299" s="4">
        <v>299.0</v>
      </c>
      <c r="B299" s="5" t="s">
        <v>1584</v>
      </c>
      <c r="C299" s="5" t="s">
        <v>1584</v>
      </c>
      <c r="D299" s="5" t="s">
        <v>1584</v>
      </c>
      <c r="E299" s="6" t="s">
        <v>85</v>
      </c>
      <c r="F299" s="6" t="s">
        <v>1585</v>
      </c>
      <c r="G299" s="3" t="str">
        <f>IFERROR(__xludf.DUMMYFUNCTION("REGEXREPLACE(
D299,
""([一-龯々]+)\[([^\]]+)\]"",
""&lt;ruby&gt;$1&lt;rt&gt;$2&lt;/rt&gt;&lt;/ruby&gt;""
)&amp;""&lt;br&gt;&lt;div class=""""audio""""&gt;[sound:""&amp;C299&amp;"".mp3]&lt;/div&gt;"""),"ほぼ&lt;br&gt;&lt;div class=""audio""&gt;[sound:ほぼ.mp3]&lt;/div&gt;")</f>
        <v>ほぼ&lt;br&gt;&lt;div class="audio"&gt;[sound:ほぼ.mp3]&lt;/div&gt;</v>
      </c>
      <c r="H299" s="3" t="str">
        <f t="shared" si="1"/>
        <v>(adv): gần như</v>
      </c>
      <c r="I299" s="6" t="s">
        <v>1586</v>
      </c>
      <c r="J299" s="6" t="s">
        <v>1587</v>
      </c>
      <c r="K299" s="7">
        <f t="shared" si="2"/>
        <v>0.667279228</v>
      </c>
    </row>
    <row r="300">
      <c r="A300" s="4">
        <v>300.0</v>
      </c>
      <c r="B300" s="5" t="s">
        <v>1588</v>
      </c>
      <c r="C300" s="5" t="s">
        <v>1589</v>
      </c>
      <c r="D300" s="5" t="s">
        <v>1590</v>
      </c>
      <c r="E300" s="6" t="s">
        <v>74</v>
      </c>
      <c r="F300" s="6" t="s">
        <v>1591</v>
      </c>
      <c r="G300" s="3" t="str">
        <f>IFERROR(__xludf.DUMMYFUNCTION("REGEXREPLACE(
D300,
""([一-龯々]+)\[([^\]]+)\]"",
""&lt;ruby&gt;$1&lt;rt&gt;$2&lt;/rt&gt;&lt;/ruby&gt;""
)&amp;""&lt;br&gt;&lt;div class=""""audio""""&gt;[sound:""&amp;C300&amp;"".mp3]&lt;/div&gt;"""),"&lt;ruby&gt;管理&lt;rt&gt;かんり&lt;/rt&gt;&lt;/ruby&gt;&lt;br&gt;&lt;div class=""audio""&gt;[sound:かんり.mp3]&lt;/div&gt;")</f>
        <v>&lt;ruby&gt;管理&lt;rt&gt;かんり&lt;/rt&gt;&lt;/ruby&gt;&lt;br&gt;&lt;div class="audio"&gt;[sound:かんり.mp3]&lt;/div&gt;</v>
      </c>
      <c r="H300" s="3" t="str">
        <f t="shared" si="1"/>
        <v>(n): quản lý</v>
      </c>
      <c r="I300" s="6" t="s">
        <v>1592</v>
      </c>
      <c r="J300" s="6" t="s">
        <v>1593</v>
      </c>
      <c r="K300" s="7">
        <f t="shared" si="2"/>
        <v>0.8940795849</v>
      </c>
    </row>
    <row r="301">
      <c r="A301" s="4">
        <v>301.0</v>
      </c>
      <c r="B301" s="5" t="s">
        <v>1594</v>
      </c>
      <c r="C301" s="5" t="s">
        <v>1595</v>
      </c>
      <c r="D301" s="5" t="s">
        <v>1596</v>
      </c>
      <c r="E301" s="6" t="s">
        <v>74</v>
      </c>
      <c r="F301" s="6" t="s">
        <v>1597</v>
      </c>
      <c r="G301" s="3" t="str">
        <f>IFERROR(__xludf.DUMMYFUNCTION("REGEXREPLACE(
D301,
""([一-龯々]+)\[([^\]]+)\]"",
""&lt;ruby&gt;$1&lt;rt&gt;$2&lt;/rt&gt;&lt;/ruby&gt;""
)&amp;""&lt;br&gt;&lt;div class=""""audio""""&gt;[sound:""&amp;C301&amp;"".mp3]&lt;/div&gt;"""),"&lt;ruby&gt;結婚&lt;rt&gt;けっこん&lt;/rt&gt;&lt;/ruby&gt;&lt;br&gt;&lt;div class=""audio""&gt;[sound:けっこん.mp3]&lt;/div&gt;")</f>
        <v>&lt;ruby&gt;結婚&lt;rt&gt;けっこん&lt;/rt&gt;&lt;/ruby&gt;&lt;br&gt;&lt;div class="audio"&gt;[sound:けっこん.mp3]&lt;/div&gt;</v>
      </c>
      <c r="H301" s="3" t="str">
        <f t="shared" si="1"/>
        <v>(n): kết hôn</v>
      </c>
      <c r="I301" s="6" t="s">
        <v>1598</v>
      </c>
      <c r="J301" s="6" t="s">
        <v>1599</v>
      </c>
      <c r="K301" s="7">
        <f t="shared" si="2"/>
        <v>0.7643884402</v>
      </c>
    </row>
    <row r="302">
      <c r="A302" s="4">
        <v>302.0</v>
      </c>
      <c r="B302" s="5" t="s">
        <v>1600</v>
      </c>
      <c r="C302" s="5" t="s">
        <v>1601</v>
      </c>
      <c r="D302" s="5" t="s">
        <v>1602</v>
      </c>
      <c r="E302" s="6" t="s">
        <v>74</v>
      </c>
      <c r="F302" s="6" t="s">
        <v>1603</v>
      </c>
      <c r="G302" s="3" t="str">
        <f>IFERROR(__xludf.DUMMYFUNCTION("REGEXREPLACE(
D302,
""([一-龯々]+)\[([^\]]+)\]"",
""&lt;ruby&gt;$1&lt;rt&gt;$2&lt;/rt&gt;&lt;/ruby&gt;""
)&amp;""&lt;br&gt;&lt;div class=""""audio""""&gt;[sound:""&amp;C302&amp;"".mp3]&lt;/div&gt;"""),"&lt;ruby&gt;車&lt;rt&gt;くるま&lt;/rt&gt;&lt;/ruby&gt;&lt;br&gt;&lt;div class=""audio""&gt;[sound:くるま.mp3]&lt;/div&gt;")</f>
        <v>&lt;ruby&gt;車&lt;rt&gt;くるま&lt;/rt&gt;&lt;/ruby&gt;&lt;br&gt;&lt;div class="audio"&gt;[sound:くるま.mp3]&lt;/div&gt;</v>
      </c>
      <c r="H302" s="3" t="str">
        <f t="shared" si="1"/>
        <v>(n): ô tô</v>
      </c>
      <c r="I302" s="6" t="s">
        <v>1604</v>
      </c>
      <c r="J302" s="6" t="s">
        <v>1605</v>
      </c>
      <c r="K302" s="7">
        <f t="shared" si="2"/>
        <v>0.2883357498</v>
      </c>
    </row>
    <row r="303">
      <c r="A303" s="4">
        <v>303.0</v>
      </c>
      <c r="B303" s="5" t="s">
        <v>1606</v>
      </c>
      <c r="C303" s="5" t="s">
        <v>1607</v>
      </c>
      <c r="D303" s="5" t="s">
        <v>1608</v>
      </c>
      <c r="E303" s="6" t="s">
        <v>24</v>
      </c>
      <c r="F303" s="6" t="s">
        <v>1609</v>
      </c>
      <c r="G303" s="3" t="str">
        <f>IFERROR(__xludf.DUMMYFUNCTION("REGEXREPLACE(
D303,
""([一-龯々]+)\[([^\]]+)\]"",
""&lt;ruby&gt;$1&lt;rt&gt;$2&lt;/rt&gt;&lt;/ruby&gt;""
)&amp;""&lt;br&gt;&lt;div class=""""audio""""&gt;[sound:""&amp;C303&amp;"".mp3]&lt;/div&gt;"""),"&lt;ruby&gt;受&lt;rt&gt;う&lt;/rt&gt;&lt;/ruby&gt;け&lt;ruby&gt;取&lt;rt&gt;と&lt;/rt&gt;&lt;/ruby&gt;る&lt;br&gt;&lt;div class=""audio""&gt;[sound:うけとる.mp3]&lt;/div&gt;")</f>
        <v>&lt;ruby&gt;受&lt;rt&gt;う&lt;/rt&gt;&lt;/ruby&gt;け&lt;ruby&gt;取&lt;rt&gt;と&lt;/rt&gt;&lt;/ruby&gt;る&lt;br&gt;&lt;div class="audio"&gt;[sound:うけとる.mp3]&lt;/div&gt;</v>
      </c>
      <c r="H303" s="3" t="str">
        <f t="shared" si="1"/>
        <v>(v): nhận lấy</v>
      </c>
      <c r="I303" s="6" t="s">
        <v>1610</v>
      </c>
      <c r="J303" s="6" t="s">
        <v>1611</v>
      </c>
      <c r="K303" s="7">
        <f t="shared" si="2"/>
        <v>0.990505641</v>
      </c>
    </row>
    <row r="304">
      <c r="A304" s="4">
        <v>304.0</v>
      </c>
      <c r="B304" s="5" t="s">
        <v>1612</v>
      </c>
      <c r="C304" s="5" t="s">
        <v>1613</v>
      </c>
      <c r="D304" s="5" t="s">
        <v>1614</v>
      </c>
      <c r="E304" s="6" t="s">
        <v>24</v>
      </c>
      <c r="F304" s="6" t="s">
        <v>1615</v>
      </c>
      <c r="G304" s="3" t="str">
        <f>IFERROR(__xludf.DUMMYFUNCTION("REGEXREPLACE(
D304,
""([一-龯々]+)\[([^\]]+)\]"",
""&lt;ruby&gt;$1&lt;rt&gt;$2&lt;/rt&gt;&lt;/ruby&gt;""
)&amp;""&lt;br&gt;&lt;div class=""""audio""""&gt;[sound:""&amp;C304&amp;"".mp3]&lt;/div&gt;"""),"&lt;ruby&gt;続&lt;rt&gt;つづ&lt;/rt&gt;&lt;/ruby&gt;く&lt;br&gt;&lt;div class=""audio""&gt;[sound:つづく.mp3]&lt;/div&gt;")</f>
        <v>&lt;ruby&gt;続&lt;rt&gt;つづ&lt;/rt&gt;&lt;/ruby&gt;く&lt;br&gt;&lt;div class="audio"&gt;[sound:つづく.mp3]&lt;/div&gt;</v>
      </c>
      <c r="H304" s="3" t="str">
        <f t="shared" si="1"/>
        <v>(v): tiếp tục</v>
      </c>
      <c r="I304" s="6" t="s">
        <v>1616</v>
      </c>
      <c r="J304" s="6" t="s">
        <v>1617</v>
      </c>
      <c r="K304" s="7">
        <f t="shared" si="2"/>
        <v>0.2994418536</v>
      </c>
    </row>
    <row r="305">
      <c r="A305" s="4">
        <v>305.0</v>
      </c>
      <c r="B305" s="5" t="s">
        <v>1618</v>
      </c>
      <c r="C305" s="5" t="s">
        <v>1619</v>
      </c>
      <c r="D305" s="5" t="s">
        <v>1620</v>
      </c>
      <c r="E305" s="6" t="s">
        <v>11</v>
      </c>
      <c r="F305" s="6" t="s">
        <v>1621</v>
      </c>
      <c r="G305" s="3" t="str">
        <f>IFERROR(__xludf.DUMMYFUNCTION("REGEXREPLACE(
D305,
""([一-龯々]+)\[([^\]]+)\]"",
""&lt;ruby&gt;$1&lt;rt&gt;$2&lt;/rt&gt;&lt;/ruby&gt;""
)&amp;""&lt;br&gt;&lt;div class=""""audio""""&gt;[sound:""&amp;C305&amp;"".mp3]&lt;/div&gt;"""),"&lt;ruby&gt;安全&lt;rt&gt;あんぜん&lt;/rt&gt;&lt;/ruby&gt;&lt;br&gt;&lt;div class=""audio""&gt;[sound:あんぜん.mp3]&lt;/div&gt;")</f>
        <v>&lt;ruby&gt;安全&lt;rt&gt;あんぜん&lt;/rt&gt;&lt;/ruby&gt;&lt;br&gt;&lt;div class="audio"&gt;[sound:あんぜん.mp3]&lt;/div&gt;</v>
      </c>
      <c r="H305" s="3" t="str">
        <f t="shared" si="1"/>
        <v>(adj): an toàn</v>
      </c>
      <c r="I305" s="6" t="s">
        <v>1622</v>
      </c>
      <c r="J305" s="6" t="s">
        <v>1623</v>
      </c>
      <c r="K305" s="7">
        <f t="shared" si="2"/>
        <v>0.1363473483</v>
      </c>
    </row>
    <row r="306">
      <c r="A306" s="4">
        <v>306.0</v>
      </c>
      <c r="B306" s="5" t="s">
        <v>1624</v>
      </c>
      <c r="C306" s="5" t="s">
        <v>1625</v>
      </c>
      <c r="D306" s="5" t="s">
        <v>1626</v>
      </c>
      <c r="E306" s="6" t="s">
        <v>24</v>
      </c>
      <c r="F306" s="6" t="s">
        <v>1627</v>
      </c>
      <c r="G306" s="3" t="str">
        <f>IFERROR(__xludf.DUMMYFUNCTION("REGEXREPLACE(
D306,
""([一-龯々]+)\[([^\]]+)\]"",
""&lt;ruby&gt;$1&lt;rt&gt;$2&lt;/rt&gt;&lt;/ruby&gt;""
)&amp;""&lt;br&gt;&lt;div class=""""audio""""&gt;[sound:""&amp;C306&amp;"".mp3]&lt;/div&gt;"""),"&lt;ruby&gt;答&lt;rt&gt;こた&lt;/rt&gt;&lt;/ruby&gt;える&lt;br&gt;&lt;div class=""audio""&gt;[sound:こたえる.mp3]&lt;/div&gt;")</f>
        <v>&lt;ruby&gt;答&lt;rt&gt;こた&lt;/rt&gt;&lt;/ruby&gt;える&lt;br&gt;&lt;div class="audio"&gt;[sound:こたえる.mp3]&lt;/div&gt;</v>
      </c>
      <c r="H306" s="3" t="str">
        <f t="shared" si="1"/>
        <v>(v): trả lời</v>
      </c>
      <c r="I306" s="6" t="s">
        <v>1628</v>
      </c>
      <c r="J306" s="6" t="s">
        <v>1629</v>
      </c>
      <c r="K306" s="7">
        <f t="shared" si="2"/>
        <v>0.4334414608</v>
      </c>
    </row>
    <row r="307">
      <c r="A307" s="4">
        <v>307.0</v>
      </c>
      <c r="B307" s="5" t="s">
        <v>1630</v>
      </c>
      <c r="C307" s="5" t="s">
        <v>1631</v>
      </c>
      <c r="D307" s="5" t="s">
        <v>1632</v>
      </c>
      <c r="E307" s="6" t="s">
        <v>74</v>
      </c>
      <c r="F307" s="6" t="s">
        <v>1633</v>
      </c>
      <c r="G307" s="3" t="str">
        <f>IFERROR(__xludf.DUMMYFUNCTION("REGEXREPLACE(
D307,
""([一-龯々]+)\[([^\]]+)\]"",
""&lt;ruby&gt;$1&lt;rt&gt;$2&lt;/rt&gt;&lt;/ruby&gt;""
)&amp;""&lt;br&gt;&lt;div class=""""audio""""&gt;[sound:""&amp;C307&amp;"".mp3]&lt;/div&gt;"""),"&lt;ruby&gt;変化&lt;rt&gt;へんか&lt;/rt&gt;&lt;/ruby&gt;&lt;br&gt;&lt;div class=""audio""&gt;[sound:へんか.mp3]&lt;/div&gt;")</f>
        <v>&lt;ruby&gt;変化&lt;rt&gt;へんか&lt;/rt&gt;&lt;/ruby&gt;&lt;br&gt;&lt;div class="audio"&gt;[sound:へんか.mp3]&lt;/div&gt;</v>
      </c>
      <c r="H307" s="3" t="str">
        <f t="shared" si="1"/>
        <v>(n): sự thay đổi</v>
      </c>
      <c r="I307" s="6" t="s">
        <v>1634</v>
      </c>
      <c r="J307" s="6" t="s">
        <v>1635</v>
      </c>
      <c r="K307" s="7">
        <f t="shared" si="2"/>
        <v>0.09151799099</v>
      </c>
    </row>
    <row r="308">
      <c r="A308" s="4">
        <v>308.0</v>
      </c>
      <c r="B308" s="5" t="s">
        <v>1636</v>
      </c>
      <c r="C308" s="5" t="s">
        <v>1637</v>
      </c>
      <c r="D308" s="5" t="s">
        <v>1638</v>
      </c>
      <c r="E308" s="6" t="s">
        <v>74</v>
      </c>
      <c r="F308" s="6" t="s">
        <v>1639</v>
      </c>
      <c r="G308" s="3" t="str">
        <f>IFERROR(__xludf.DUMMYFUNCTION("REGEXREPLACE(
D308,
""([一-龯々]+)\[([^\]]+)\]"",
""&lt;ruby&gt;$1&lt;rt&gt;$2&lt;/rt&gt;&lt;/ruby&gt;""
)&amp;""&lt;br&gt;&lt;div class=""""audio""""&gt;[sound:""&amp;C308&amp;"".mp3]&lt;/div&gt;"""),"&lt;ruby&gt;紹介&lt;rt&gt;しょうかい&lt;/rt&gt;&lt;/ruby&gt;&lt;br&gt;&lt;div class=""audio""&gt;[sound:しょうかい.mp3]&lt;/div&gt;")</f>
        <v>&lt;ruby&gt;紹介&lt;rt&gt;しょうかい&lt;/rt&gt;&lt;/ruby&gt;&lt;br&gt;&lt;div class="audio"&gt;[sound:しょうかい.mp3]&lt;/div&gt;</v>
      </c>
      <c r="H308" s="3" t="str">
        <f t="shared" si="1"/>
        <v>(n): giới thiệu</v>
      </c>
      <c r="I308" s="6" t="s">
        <v>1640</v>
      </c>
      <c r="J308" s="6" t="s">
        <v>1641</v>
      </c>
      <c r="K308" s="7">
        <f t="shared" si="2"/>
        <v>0.8528494509</v>
      </c>
    </row>
    <row r="309">
      <c r="A309" s="4">
        <v>309.0</v>
      </c>
      <c r="B309" s="5" t="s">
        <v>1642</v>
      </c>
      <c r="C309" s="5" t="s">
        <v>1643</v>
      </c>
      <c r="D309" s="5" t="s">
        <v>1644</v>
      </c>
      <c r="E309" s="6" t="s">
        <v>74</v>
      </c>
      <c r="F309" s="6" t="s">
        <v>1645</v>
      </c>
      <c r="G309" s="3" t="str">
        <f>IFERROR(__xludf.DUMMYFUNCTION("REGEXREPLACE(
D309,
""([一-龯々]+)\[([^\]]+)\]"",
""&lt;ruby&gt;$1&lt;rt&gt;$2&lt;/rt&gt;&lt;/ruby&gt;""
)&amp;""&lt;br&gt;&lt;div class=""""audio""""&gt;[sound:""&amp;C309&amp;"".mp3]&lt;/div&gt;"""),"&lt;ruby&gt;部品&lt;rt&gt;ぶひん&lt;/rt&gt;&lt;/ruby&gt;&lt;br&gt;&lt;div class=""audio""&gt;[sound:ぶひん.mp3]&lt;/div&gt;")</f>
        <v>&lt;ruby&gt;部品&lt;rt&gt;ぶひん&lt;/rt&gt;&lt;/ruby&gt;&lt;br&gt;&lt;div class="audio"&gt;[sound:ぶひん.mp3]&lt;/div&gt;</v>
      </c>
      <c r="H309" s="3" t="str">
        <f t="shared" si="1"/>
        <v>(n): linh kiện</v>
      </c>
      <c r="I309" s="6" t="s">
        <v>1646</v>
      </c>
      <c r="J309" s="6" t="s">
        <v>1647</v>
      </c>
      <c r="K309" s="7">
        <f t="shared" si="2"/>
        <v>0.02845816098</v>
      </c>
    </row>
    <row r="310">
      <c r="A310" s="4">
        <v>310.0</v>
      </c>
      <c r="B310" s="5" t="s">
        <v>1648</v>
      </c>
      <c r="C310" s="5" t="s">
        <v>1649</v>
      </c>
      <c r="D310" s="5" t="s">
        <v>1650</v>
      </c>
      <c r="E310" s="6" t="s">
        <v>24</v>
      </c>
      <c r="F310" s="6" t="s">
        <v>1651</v>
      </c>
      <c r="G310" s="3" t="str">
        <f>IFERROR(__xludf.DUMMYFUNCTION("REGEXREPLACE(
D310,
""([一-龯々]+)\[([^\]]+)\]"",
""&lt;ruby&gt;$1&lt;rt&gt;$2&lt;/rt&gt;&lt;/ruby&gt;""
)&amp;""&lt;br&gt;&lt;div class=""""audio""""&gt;[sound:""&amp;C310&amp;"".mp3]&lt;/div&gt;"""),"&lt;ruby&gt;立&lt;rt&gt;た&lt;/rt&gt;&lt;/ruby&gt;てる&lt;br&gt;&lt;div class=""audio""&gt;[sound:たてる.mp3]&lt;/div&gt;")</f>
        <v>&lt;ruby&gt;立&lt;rt&gt;た&lt;/rt&gt;&lt;/ruby&gt;てる&lt;br&gt;&lt;div class="audio"&gt;[sound:たてる.mp3]&lt;/div&gt;</v>
      </c>
      <c r="H310" s="3" t="str">
        <f t="shared" si="1"/>
        <v>(v): dựng lên</v>
      </c>
      <c r="I310" s="6" t="s">
        <v>1652</v>
      </c>
      <c r="J310" s="6" t="s">
        <v>1653</v>
      </c>
      <c r="K310" s="7">
        <f t="shared" si="2"/>
        <v>0.7996208562</v>
      </c>
    </row>
    <row r="311">
      <c r="A311" s="4">
        <v>311.0</v>
      </c>
      <c r="B311" s="5" t="s">
        <v>1654</v>
      </c>
      <c r="C311" s="5" t="s">
        <v>1655</v>
      </c>
      <c r="D311" s="5" t="s">
        <v>1656</v>
      </c>
      <c r="E311" s="6" t="s">
        <v>11</v>
      </c>
      <c r="F311" s="6" t="s">
        <v>1657</v>
      </c>
      <c r="G311" s="3" t="str">
        <f>IFERROR(__xludf.DUMMYFUNCTION("REGEXREPLACE(
D311,
""([一-龯々]+)\[([^\]]+)\]"",
""&lt;ruby&gt;$1&lt;rt&gt;$2&lt;/rt&gt;&lt;/ruby&gt;""
)&amp;""&lt;br&gt;&lt;div class=""""audio""""&gt;[sound:""&amp;C311&amp;"".mp3]&lt;/div&gt;"""),"&lt;ruby&gt;嫌&lt;rt&gt;きら&lt;/rt&gt;&lt;/ruby&gt;い&lt;br&gt;&lt;div class=""audio""&gt;[sound:きらい.mp3]&lt;/div&gt;")</f>
        <v>&lt;ruby&gt;嫌&lt;rt&gt;きら&lt;/rt&gt;&lt;/ruby&gt;い&lt;br&gt;&lt;div class="audio"&gt;[sound:きらい.mp3]&lt;/div&gt;</v>
      </c>
      <c r="H311" s="3" t="str">
        <f t="shared" si="1"/>
        <v>(adj): ghét</v>
      </c>
      <c r="I311" s="6" t="s">
        <v>1658</v>
      </c>
      <c r="J311" s="6" t="s">
        <v>1659</v>
      </c>
      <c r="K311" s="7">
        <f t="shared" si="2"/>
        <v>0.7379644177</v>
      </c>
    </row>
    <row r="312">
      <c r="A312" s="4">
        <v>312.0</v>
      </c>
      <c r="B312" s="5" t="s">
        <v>1660</v>
      </c>
      <c r="C312" s="5" t="s">
        <v>1661</v>
      </c>
      <c r="D312" s="5" t="s">
        <v>1662</v>
      </c>
      <c r="E312" s="6" t="s">
        <v>24</v>
      </c>
      <c r="F312" s="6" t="s">
        <v>1663</v>
      </c>
      <c r="G312" s="3" t="str">
        <f>IFERROR(__xludf.DUMMYFUNCTION("REGEXREPLACE(
D312,
""([一-龯々]+)\[([^\]]+)\]"",
""&lt;ruby&gt;$1&lt;rt&gt;$2&lt;/rt&gt;&lt;/ruby&gt;""
)&amp;""&lt;br&gt;&lt;div class=""""audio""""&gt;[sound:""&amp;C312&amp;"".mp3]&lt;/div&gt;"""),"&lt;ruby&gt;教&lt;rt&gt;おし&lt;/rt&gt;&lt;/ruby&gt;える&lt;br&gt;&lt;div class=""audio""&gt;[sound:おしえる.mp3]&lt;/div&gt;")</f>
        <v>&lt;ruby&gt;教&lt;rt&gt;おし&lt;/rt&gt;&lt;/ruby&gt;える&lt;br&gt;&lt;div class="audio"&gt;[sound:おしえる.mp3]&lt;/div&gt;</v>
      </c>
      <c r="H312" s="3" t="str">
        <f t="shared" si="1"/>
        <v>(v): dạy</v>
      </c>
      <c r="I312" s="6" t="s">
        <v>1664</v>
      </c>
      <c r="J312" s="6" t="s">
        <v>1665</v>
      </c>
      <c r="K312" s="7">
        <f t="shared" si="2"/>
        <v>0.6754664399</v>
      </c>
    </row>
    <row r="313">
      <c r="A313" s="4">
        <v>313.0</v>
      </c>
      <c r="B313" s="5" t="s">
        <v>1666</v>
      </c>
      <c r="C313" s="5" t="s">
        <v>1667</v>
      </c>
      <c r="D313" s="5" t="s">
        <v>1668</v>
      </c>
      <c r="E313" s="6" t="s">
        <v>74</v>
      </c>
      <c r="F313" s="6" t="s">
        <v>972</v>
      </c>
      <c r="G313" s="3" t="str">
        <f>IFERROR(__xludf.DUMMYFUNCTION("REGEXREPLACE(
D313,
""([一-龯々]+)\[([^\]]+)\]"",
""&lt;ruby&gt;$1&lt;rt&gt;$2&lt;/rt&gt;&lt;/ruby&gt;""
)&amp;""&lt;br&gt;&lt;div class=""""audio""""&gt;[sound:""&amp;C313&amp;"".mp3]&lt;/div&gt;"""),"&lt;ruby&gt;先&lt;rt&gt;さき&lt;/rt&gt;&lt;/ruby&gt;&lt;br&gt;&lt;div class=""audio""&gt;[sound:さき.mp3]&lt;/div&gt;")</f>
        <v>&lt;ruby&gt;先&lt;rt&gt;さき&lt;/rt&gt;&lt;/ruby&gt;&lt;br&gt;&lt;div class="audio"&gt;[sound:さき.mp3]&lt;/div&gt;</v>
      </c>
      <c r="H313" s="3" t="str">
        <f t="shared" si="1"/>
        <v>(n): phía trước</v>
      </c>
      <c r="I313" s="6" t="s">
        <v>1669</v>
      </c>
      <c r="J313" s="6" t="s">
        <v>1670</v>
      </c>
      <c r="K313" s="7">
        <f t="shared" si="2"/>
        <v>0.261410267</v>
      </c>
    </row>
    <row r="314">
      <c r="A314" s="4">
        <v>314.0</v>
      </c>
      <c r="B314" s="5" t="s">
        <v>1671</v>
      </c>
      <c r="C314" s="5" t="s">
        <v>1671</v>
      </c>
      <c r="D314" s="5" t="s">
        <v>1671</v>
      </c>
      <c r="E314" s="6" t="s">
        <v>74</v>
      </c>
      <c r="F314" s="6" t="s">
        <v>1672</v>
      </c>
      <c r="G314" s="3" t="str">
        <f>IFERROR(__xludf.DUMMYFUNCTION("REGEXREPLACE(
D314,
""([一-龯々]+)\[([^\]]+)\]"",
""&lt;ruby&gt;$1&lt;rt&gt;$2&lt;/rt&gt;&lt;/ruby&gt;""
)&amp;""&lt;br&gt;&lt;div class=""""audio""""&gt;[sound:""&amp;C314&amp;"".mp3]&lt;/div&gt;"""),"ホテル&lt;br&gt;&lt;div class=""audio""&gt;[sound:ホテル.mp3]&lt;/div&gt;")</f>
        <v>ホテル&lt;br&gt;&lt;div class="audio"&gt;[sound:ホテル.mp3]&lt;/div&gt;</v>
      </c>
      <c r="H314" s="3" t="str">
        <f t="shared" si="1"/>
        <v>(n): khách sạn</v>
      </c>
      <c r="I314" s="6" t="s">
        <v>1673</v>
      </c>
      <c r="J314" s="6" t="s">
        <v>1674</v>
      </c>
      <c r="K314" s="7">
        <f t="shared" si="2"/>
        <v>0.04947773172</v>
      </c>
    </row>
    <row r="315">
      <c r="A315" s="4">
        <v>315.0</v>
      </c>
      <c r="B315" s="5" t="s">
        <v>1675</v>
      </c>
      <c r="C315" s="5" t="s">
        <v>1676</v>
      </c>
      <c r="D315" s="5" t="s">
        <v>1677</v>
      </c>
      <c r="E315" s="6" t="s">
        <v>74</v>
      </c>
      <c r="F315" s="6" t="s">
        <v>1678</v>
      </c>
      <c r="G315" s="3" t="str">
        <f>IFERROR(__xludf.DUMMYFUNCTION("REGEXREPLACE(
D315,
""([一-龯々]+)\[([^\]]+)\]"",
""&lt;ruby&gt;$1&lt;rt&gt;$2&lt;/rt&gt;&lt;/ruby&gt;""
)&amp;""&lt;br&gt;&lt;div class=""""audio""""&gt;[sound:""&amp;C315&amp;"".mp3]&lt;/div&gt;"""),"&lt;ruby&gt;先生&lt;rt&gt;せんせい&lt;/rt&gt;&lt;/ruby&gt;&lt;br&gt;&lt;div class=""audio""&gt;[sound:せんせい.mp3]&lt;/div&gt;")</f>
        <v>&lt;ruby&gt;先生&lt;rt&gt;せんせい&lt;/rt&gt;&lt;/ruby&gt;&lt;br&gt;&lt;div class="audio"&gt;[sound:せんせい.mp3]&lt;/div&gt;</v>
      </c>
      <c r="H315" s="3" t="str">
        <f t="shared" si="1"/>
        <v>(n): giáo viên</v>
      </c>
      <c r="I315" s="6" t="s">
        <v>1679</v>
      </c>
      <c r="J315" s="6" t="s">
        <v>1680</v>
      </c>
      <c r="K315" s="7">
        <f t="shared" si="2"/>
        <v>0.7724035713</v>
      </c>
    </row>
    <row r="316">
      <c r="A316" s="4">
        <v>316.0</v>
      </c>
      <c r="B316" s="5" t="s">
        <v>1681</v>
      </c>
      <c r="C316" s="5" t="s">
        <v>1682</v>
      </c>
      <c r="D316" s="5" t="s">
        <v>1683</v>
      </c>
      <c r="E316" s="6" t="s">
        <v>74</v>
      </c>
      <c r="F316" s="6" t="s">
        <v>1684</v>
      </c>
      <c r="G316" s="3" t="str">
        <f>IFERROR(__xludf.DUMMYFUNCTION("REGEXREPLACE(
D316,
""([一-龯々]+)\[([^\]]+)\]"",
""&lt;ruby&gt;$1&lt;rt&gt;$2&lt;/rt&gt;&lt;/ruby&gt;""
)&amp;""&lt;br&gt;&lt;div class=""""audio""""&gt;[sound:""&amp;C316&amp;"".mp3]&lt;/div&gt;"""),"&lt;ruby&gt;英語&lt;rt&gt;えいご&lt;/rt&gt;&lt;/ruby&gt;&lt;br&gt;&lt;div class=""audio""&gt;[sound:えいご.mp3]&lt;/div&gt;")</f>
        <v>&lt;ruby&gt;英語&lt;rt&gt;えいご&lt;/rt&gt;&lt;/ruby&gt;&lt;br&gt;&lt;div class="audio"&gt;[sound:えいご.mp3]&lt;/div&gt;</v>
      </c>
      <c r="H316" s="3" t="str">
        <f t="shared" si="1"/>
        <v>(n): tiếng anh</v>
      </c>
      <c r="I316" s="6" t="s">
        <v>1685</v>
      </c>
      <c r="J316" s="6" t="s">
        <v>1686</v>
      </c>
      <c r="K316" s="7">
        <f t="shared" si="2"/>
        <v>0.1323317652</v>
      </c>
    </row>
    <row r="317">
      <c r="A317" s="4">
        <v>317.0</v>
      </c>
      <c r="B317" s="5" t="s">
        <v>1687</v>
      </c>
      <c r="C317" s="5" t="s">
        <v>1688</v>
      </c>
      <c r="D317" s="5" t="s">
        <v>1689</v>
      </c>
      <c r="E317" s="6" t="s">
        <v>24</v>
      </c>
      <c r="F317" s="6" t="s">
        <v>1690</v>
      </c>
      <c r="G317" s="3" t="str">
        <f>IFERROR(__xludf.DUMMYFUNCTION("REGEXREPLACE(
D317,
""([一-龯々]+)\[([^\]]+)\]"",
""&lt;ruby&gt;$1&lt;rt&gt;$2&lt;/rt&gt;&lt;/ruby&gt;""
)&amp;""&lt;br&gt;&lt;div class=""""audio""""&gt;[sound:""&amp;C317&amp;"".mp3]&lt;/div&gt;"""),"&lt;ruby&gt;忘&lt;rt&gt;わす&lt;/rt&gt;&lt;/ruby&gt;れる&lt;br&gt;&lt;div class=""audio""&gt;[sound:わすれる.mp3]&lt;/div&gt;")</f>
        <v>&lt;ruby&gt;忘&lt;rt&gt;わす&lt;/rt&gt;&lt;/ruby&gt;れる&lt;br&gt;&lt;div class="audio"&gt;[sound:わすれる.mp3]&lt;/div&gt;</v>
      </c>
      <c r="H317" s="3" t="str">
        <f t="shared" si="1"/>
        <v>(v): quên</v>
      </c>
      <c r="I317" s="6" t="s">
        <v>1691</v>
      </c>
      <c r="J317" s="6" t="s">
        <v>1692</v>
      </c>
      <c r="K317" s="7">
        <f t="shared" si="2"/>
        <v>0.3615925863</v>
      </c>
    </row>
    <row r="318">
      <c r="A318" s="4">
        <v>318.0</v>
      </c>
      <c r="B318" s="5" t="s">
        <v>1693</v>
      </c>
      <c r="C318" s="5" t="s">
        <v>1694</v>
      </c>
      <c r="D318" s="5" t="s">
        <v>1695</v>
      </c>
      <c r="E318" s="6" t="s">
        <v>44</v>
      </c>
      <c r="F318" s="6" t="s">
        <v>1696</v>
      </c>
      <c r="G318" s="3" t="str">
        <f>IFERROR(__xludf.DUMMYFUNCTION("REGEXREPLACE(
D318,
""([一-龯々]+)\[([^\]]+)\]"",
""&lt;ruby&gt;$1&lt;rt&gt;$2&lt;/rt&gt;&lt;/ruby&gt;""
)&amp;""&lt;br&gt;&lt;div class=""""audio""""&gt;[sound:""&amp;C318&amp;"".mp3]&lt;/div&gt;"""),"&lt;ruby&gt;何&lt;rt&gt;なに&lt;/rt&gt;&lt;/ruby&gt;か&lt;br&gt;&lt;div class=""audio""&gt;[sound:なにか.mp3]&lt;/div&gt;")</f>
        <v>&lt;ruby&gt;何&lt;rt&gt;なに&lt;/rt&gt;&lt;/ruby&gt;か&lt;br&gt;&lt;div class="audio"&gt;[sound:なにか.mp3]&lt;/div&gt;</v>
      </c>
      <c r="H318" s="3" t="str">
        <f t="shared" si="1"/>
        <v>(pron): cái gì đó</v>
      </c>
      <c r="I318" s="6" t="s">
        <v>1697</v>
      </c>
      <c r="J318" s="6" t="s">
        <v>1698</v>
      </c>
      <c r="K318" s="7">
        <f t="shared" si="2"/>
        <v>0.3609172596</v>
      </c>
    </row>
    <row r="319">
      <c r="A319" s="4">
        <v>319.0</v>
      </c>
      <c r="B319" s="5" t="s">
        <v>1699</v>
      </c>
      <c r="C319" s="5" t="s">
        <v>1700</v>
      </c>
      <c r="D319" s="5" t="s">
        <v>1701</v>
      </c>
      <c r="E319" s="6" t="s">
        <v>24</v>
      </c>
      <c r="F319" s="6" t="s">
        <v>1615</v>
      </c>
      <c r="G319" s="3" t="str">
        <f>IFERROR(__xludf.DUMMYFUNCTION("REGEXREPLACE(
D319,
""([一-龯々]+)\[([^\]]+)\]"",
""&lt;ruby&gt;$1&lt;rt&gt;$2&lt;/rt&gt;&lt;/ruby&gt;""
)&amp;""&lt;br&gt;&lt;div class=""""audio""""&gt;[sound:""&amp;C319&amp;"".mp3]&lt;/div&gt;"""),"&lt;ruby&gt;続&lt;rt&gt;つづ&lt;/rt&gt;&lt;/ruby&gt;ける&lt;br&gt;&lt;div class=""audio""&gt;[sound:つづける.mp3]&lt;/div&gt;")</f>
        <v>&lt;ruby&gt;続&lt;rt&gt;つづ&lt;/rt&gt;&lt;/ruby&gt;ける&lt;br&gt;&lt;div class="audio"&gt;[sound:つづける.mp3]&lt;/div&gt;</v>
      </c>
      <c r="H319" s="3" t="str">
        <f t="shared" si="1"/>
        <v>(v): tiếp tục</v>
      </c>
      <c r="I319" s="6" t="s">
        <v>1702</v>
      </c>
      <c r="J319" s="6" t="s">
        <v>1703</v>
      </c>
      <c r="K319" s="7">
        <f t="shared" si="2"/>
        <v>0.06350283533</v>
      </c>
    </row>
    <row r="320">
      <c r="A320" s="4">
        <v>320.0</v>
      </c>
      <c r="B320" s="5" t="s">
        <v>1704</v>
      </c>
      <c r="C320" s="5" t="s">
        <v>1705</v>
      </c>
      <c r="D320" s="5" t="s">
        <v>1706</v>
      </c>
      <c r="E320" s="6" t="s">
        <v>74</v>
      </c>
      <c r="F320" s="6" t="s">
        <v>1707</v>
      </c>
      <c r="G320" s="3" t="str">
        <f>IFERROR(__xludf.DUMMYFUNCTION("REGEXREPLACE(
D320,
""([一-龯々]+)\[([^\]]+)\]"",
""&lt;ruby&gt;$1&lt;rt&gt;$2&lt;/rt&gt;&lt;/ruby&gt;""
)&amp;""&lt;br&gt;&lt;div class=""""audio""""&gt;[sound:""&amp;C320&amp;"".mp3]&lt;/div&gt;"""),"&lt;ruby&gt;音楽&lt;rt&gt;おんがく&lt;/rt&gt;&lt;/ruby&gt;&lt;br&gt;&lt;div class=""audio""&gt;[sound:おんがく.mp3]&lt;/div&gt;")</f>
        <v>&lt;ruby&gt;音楽&lt;rt&gt;おんがく&lt;/rt&gt;&lt;/ruby&gt;&lt;br&gt;&lt;div class="audio"&gt;[sound:おんがく.mp3]&lt;/div&gt;</v>
      </c>
      <c r="H320" s="3" t="str">
        <f t="shared" si="1"/>
        <v>(n): âm nhạc</v>
      </c>
      <c r="I320" s="6" t="s">
        <v>1708</v>
      </c>
      <c r="J320" s="6" t="s">
        <v>1709</v>
      </c>
      <c r="K320" s="7">
        <f t="shared" si="2"/>
        <v>0.7131955198</v>
      </c>
    </row>
    <row r="321">
      <c r="A321" s="4">
        <v>321.0</v>
      </c>
      <c r="B321" s="5" t="s">
        <v>1710</v>
      </c>
      <c r="C321" s="5" t="s">
        <v>661</v>
      </c>
      <c r="D321" s="5" t="s">
        <v>1711</v>
      </c>
      <c r="E321" s="6" t="s">
        <v>24</v>
      </c>
      <c r="F321" s="6" t="s">
        <v>1712</v>
      </c>
      <c r="G321" s="3" t="str">
        <f>IFERROR(__xludf.DUMMYFUNCTION("REGEXREPLACE(
D321,
""([一-龯々]+)\[([^\]]+)\]"",
""&lt;ruby&gt;$1&lt;rt&gt;$2&lt;/rt&gt;&lt;/ruby&gt;""
)&amp;""&lt;br&gt;&lt;div class=""""audio""""&gt;[sound:""&amp;C321&amp;"".mp3]&lt;/div&gt;"""),"&lt;ruby&gt;寄&lt;rt&gt;よ&lt;/rt&gt;&lt;/ruby&gt;る&lt;br&gt;&lt;div class=""audio""&gt;[sound:よる.mp3]&lt;/div&gt;")</f>
        <v>&lt;ruby&gt;寄&lt;rt&gt;よ&lt;/rt&gt;&lt;/ruby&gt;る&lt;br&gt;&lt;div class="audio"&gt;[sound:よる.mp3]&lt;/div&gt;</v>
      </c>
      <c r="H321" s="3" t="str">
        <f t="shared" si="1"/>
        <v>(v): ghé</v>
      </c>
      <c r="I321" s="6" t="s">
        <v>1713</v>
      </c>
      <c r="J321" s="6" t="s">
        <v>1714</v>
      </c>
      <c r="K321" s="7">
        <f t="shared" si="2"/>
        <v>0.4275925729</v>
      </c>
    </row>
    <row r="322">
      <c r="A322" s="4">
        <v>322.0</v>
      </c>
      <c r="B322" s="5" t="s">
        <v>1715</v>
      </c>
      <c r="C322" s="5" t="s">
        <v>1716</v>
      </c>
      <c r="D322" s="5" t="s">
        <v>1717</v>
      </c>
      <c r="E322" s="6" t="s">
        <v>24</v>
      </c>
      <c r="F322" s="6" t="s">
        <v>1718</v>
      </c>
      <c r="G322" s="3" t="str">
        <f>IFERROR(__xludf.DUMMYFUNCTION("REGEXREPLACE(
D322,
""([一-龯々]+)\[([^\]]+)\]"",
""&lt;ruby&gt;$1&lt;rt&gt;$2&lt;/rt&gt;&lt;/ruby&gt;""
)&amp;""&lt;br&gt;&lt;div class=""""audio""""&gt;[sound:""&amp;C322&amp;"".mp3]&lt;/div&gt;"""),"&lt;ruby&gt;感&lt;rt&gt;かん&lt;/rt&gt;&lt;/ruby&gt;じる&lt;br&gt;&lt;div class=""audio""&gt;[sound:かんじる.mp3]&lt;/div&gt;")</f>
        <v>&lt;ruby&gt;感&lt;rt&gt;かん&lt;/rt&gt;&lt;/ruby&gt;じる&lt;br&gt;&lt;div class="audio"&gt;[sound:かんじる.mp3]&lt;/div&gt;</v>
      </c>
      <c r="H322" s="3" t="str">
        <f t="shared" si="1"/>
        <v>(v): cảm thấy</v>
      </c>
      <c r="I322" s="6" t="s">
        <v>1719</v>
      </c>
      <c r="J322" s="6" t="s">
        <v>1720</v>
      </c>
      <c r="K322" s="7">
        <f t="shared" si="2"/>
        <v>0.5847371924</v>
      </c>
    </row>
    <row r="323">
      <c r="A323" s="4">
        <v>323.0</v>
      </c>
      <c r="B323" s="5" t="s">
        <v>1721</v>
      </c>
      <c r="C323" s="5" t="s">
        <v>1722</v>
      </c>
      <c r="D323" s="5" t="s">
        <v>1723</v>
      </c>
      <c r="E323" s="6" t="s">
        <v>11</v>
      </c>
      <c r="F323" s="6" t="s">
        <v>1724</v>
      </c>
      <c r="G323" s="3" t="str">
        <f>IFERROR(__xludf.DUMMYFUNCTION("REGEXREPLACE(
D323,
""([一-龯々]+)\[([^\]]+)\]"",
""&lt;ruby&gt;$1&lt;rt&gt;$2&lt;/rt&gt;&lt;/ruby&gt;""
)&amp;""&lt;br&gt;&lt;div class=""""audio""""&gt;[sound:""&amp;C323&amp;"".mp3]&lt;/div&gt;"""),"&lt;ruby&gt;寒&lt;rt&gt;さむ&lt;/rt&gt;&lt;/ruby&gt;い&lt;br&gt;&lt;div class=""audio""&gt;[sound:さむい.mp3]&lt;/div&gt;")</f>
        <v>&lt;ruby&gt;寒&lt;rt&gt;さむ&lt;/rt&gt;&lt;/ruby&gt;い&lt;br&gt;&lt;div class="audio"&gt;[sound:さむい.mp3]&lt;/div&gt;</v>
      </c>
      <c r="H323" s="3" t="str">
        <f t="shared" si="1"/>
        <v>(adj): lạnh</v>
      </c>
      <c r="I323" s="6" t="s">
        <v>1725</v>
      </c>
      <c r="J323" s="6" t="s">
        <v>1726</v>
      </c>
      <c r="K323" s="7">
        <f t="shared" si="2"/>
        <v>0.9242290042</v>
      </c>
    </row>
    <row r="324">
      <c r="A324" s="4">
        <v>324.0</v>
      </c>
      <c r="B324" s="5" t="s">
        <v>1727</v>
      </c>
      <c r="C324" s="5" t="s">
        <v>1728</v>
      </c>
      <c r="D324" s="5" t="s">
        <v>1729</v>
      </c>
      <c r="E324" s="6" t="s">
        <v>74</v>
      </c>
      <c r="F324" s="6" t="s">
        <v>1730</v>
      </c>
      <c r="G324" s="3" t="str">
        <f>IFERROR(__xludf.DUMMYFUNCTION("REGEXREPLACE(
D324,
""([一-龯々]+)\[([^\]]+)\]"",
""&lt;ruby&gt;$1&lt;rt&gt;$2&lt;/rt&gt;&lt;/ruby&gt;""
)&amp;""&lt;br&gt;&lt;div class=""""audio""""&gt;[sound:""&amp;C324&amp;"".mp3]&lt;/div&gt;"""),"&lt;ruby&gt;合格&lt;rt&gt;ごうかく&lt;/rt&gt;&lt;/ruby&gt;&lt;br&gt;&lt;div class=""audio""&gt;[sound:ごうかく.mp3]&lt;/div&gt;")</f>
        <v>&lt;ruby&gt;合格&lt;rt&gt;ごうかく&lt;/rt&gt;&lt;/ruby&gt;&lt;br&gt;&lt;div class="audio"&gt;[sound:ごうかく.mp3]&lt;/div&gt;</v>
      </c>
      <c r="H324" s="3" t="str">
        <f t="shared" si="1"/>
        <v>(n): đỗ</v>
      </c>
      <c r="I324" s="6" t="s">
        <v>1731</v>
      </c>
      <c r="J324" s="6" t="s">
        <v>1732</v>
      </c>
      <c r="K324" s="7">
        <f t="shared" si="2"/>
        <v>0.4480434844</v>
      </c>
    </row>
    <row r="325">
      <c r="A325" s="4">
        <v>325.0</v>
      </c>
      <c r="B325" s="5" t="s">
        <v>1733</v>
      </c>
      <c r="C325" s="5" t="s">
        <v>1734</v>
      </c>
      <c r="D325" s="5" t="s">
        <v>1735</v>
      </c>
      <c r="E325" s="6" t="s">
        <v>74</v>
      </c>
      <c r="F325" s="6" t="s">
        <v>1736</v>
      </c>
      <c r="G325" s="3" t="str">
        <f>IFERROR(__xludf.DUMMYFUNCTION("REGEXREPLACE(
D325,
""([一-龯々]+)\[([^\]]+)\]"",
""&lt;ruby&gt;$1&lt;rt&gt;$2&lt;/rt&gt;&lt;/ruby&gt;""
)&amp;""&lt;br&gt;&lt;div class=""""audio""""&gt;[sound:""&amp;C325&amp;"".mp3]&lt;/div&gt;"""),"&lt;ruby&gt;一緒&lt;rt&gt;いっしょ&lt;/rt&gt;&lt;/ruby&gt;&lt;br&gt;&lt;div class=""audio""&gt;[sound:いっしょ.mp3]&lt;/div&gt;")</f>
        <v>&lt;ruby&gt;一緒&lt;rt&gt;いっしょ&lt;/rt&gt;&lt;/ruby&gt;&lt;br&gt;&lt;div class="audio"&gt;[sound:いっしょ.mp3]&lt;/div&gt;</v>
      </c>
      <c r="H325" s="3" t="str">
        <f t="shared" si="1"/>
        <v>(n): cùng nhau</v>
      </c>
      <c r="I325" s="6" t="s">
        <v>1737</v>
      </c>
      <c r="J325" s="6" t="s">
        <v>1738</v>
      </c>
      <c r="K325" s="7">
        <f t="shared" si="2"/>
        <v>0.9402044739</v>
      </c>
    </row>
    <row r="326">
      <c r="A326" s="4">
        <v>326.0</v>
      </c>
      <c r="B326" s="5" t="s">
        <v>1739</v>
      </c>
      <c r="C326" s="5" t="s">
        <v>1740</v>
      </c>
      <c r="D326" s="5" t="s">
        <v>1741</v>
      </c>
      <c r="E326" s="6" t="s">
        <v>11</v>
      </c>
      <c r="F326" s="6" t="s">
        <v>533</v>
      </c>
      <c r="G326" s="3" t="str">
        <f>IFERROR(__xludf.DUMMYFUNCTION("REGEXREPLACE(
D326,
""([一-龯々]+)\[([^\]]+)\]"",
""&lt;ruby&gt;$1&lt;rt&gt;$2&lt;/rt&gt;&lt;/ruby&gt;""
)&amp;""&lt;br&gt;&lt;div class=""""audio""""&gt;[sound:""&amp;C326&amp;"".mp3]&lt;/div&gt;"""),"&lt;ruby&gt;色々&lt;rt&gt;いろいろ&lt;/rt&gt;&lt;/ruby&gt;&lt;br&gt;&lt;div class=""audio""&gt;[sound:いろいろ.mp3]&lt;/div&gt;")</f>
        <v>&lt;ruby&gt;色々&lt;rt&gt;いろいろ&lt;/rt&gt;&lt;/ruby&gt;&lt;br&gt;&lt;div class="audio"&gt;[sound:いろいろ.mp3]&lt;/div&gt;</v>
      </c>
      <c r="H326" s="3" t="str">
        <f t="shared" si="1"/>
        <v>(adj): nhiều</v>
      </c>
      <c r="I326" s="6" t="s">
        <v>1742</v>
      </c>
      <c r="J326" s="6" t="s">
        <v>1743</v>
      </c>
      <c r="K326" s="7">
        <f t="shared" si="2"/>
        <v>0.8539756096</v>
      </c>
    </row>
    <row r="327">
      <c r="A327" s="4">
        <v>327.0</v>
      </c>
      <c r="B327" s="5" t="s">
        <v>1744</v>
      </c>
      <c r="C327" s="5" t="s">
        <v>1745</v>
      </c>
      <c r="D327" s="5" t="s">
        <v>1746</v>
      </c>
      <c r="E327" s="6" t="s">
        <v>24</v>
      </c>
      <c r="F327" s="6" t="s">
        <v>1747</v>
      </c>
      <c r="G327" s="3" t="str">
        <f>IFERROR(__xludf.DUMMYFUNCTION("REGEXREPLACE(
D327,
""([一-龯々]+)\[([^\]]+)\]"",
""&lt;ruby&gt;$1&lt;rt&gt;$2&lt;/rt&gt;&lt;/ruby&gt;""
)&amp;""&lt;br&gt;&lt;div class=""""audio""""&gt;[sound:""&amp;C327&amp;"".mp3]&lt;/div&gt;"""),"&lt;ruby&gt;座&lt;rt&gt;すわ&lt;/rt&gt;&lt;/ruby&gt;る&lt;br&gt;&lt;div class=""audio""&gt;[sound:すわる.mp3]&lt;/div&gt;")</f>
        <v>&lt;ruby&gt;座&lt;rt&gt;すわ&lt;/rt&gt;&lt;/ruby&gt;る&lt;br&gt;&lt;div class="audio"&gt;[sound:すわる.mp3]&lt;/div&gt;</v>
      </c>
      <c r="H327" s="3" t="str">
        <f t="shared" si="1"/>
        <v>(v): ngồi</v>
      </c>
      <c r="I327" s="6" t="s">
        <v>1748</v>
      </c>
      <c r="J327" s="6" t="s">
        <v>1749</v>
      </c>
      <c r="K327" s="7">
        <f t="shared" si="2"/>
        <v>0.4610509696</v>
      </c>
    </row>
    <row r="328">
      <c r="A328" s="4">
        <v>328.0</v>
      </c>
      <c r="B328" s="5" t="s">
        <v>1750</v>
      </c>
      <c r="C328" s="5" t="s">
        <v>1751</v>
      </c>
      <c r="D328" s="5" t="s">
        <v>1752</v>
      </c>
      <c r="E328" s="6" t="s">
        <v>24</v>
      </c>
      <c r="F328" s="6" t="s">
        <v>1753</v>
      </c>
      <c r="G328" s="3" t="str">
        <f>IFERROR(__xludf.DUMMYFUNCTION("REGEXREPLACE(
D328,
""([一-龯々]+)\[([^\]]+)\]"",
""&lt;ruby&gt;$1&lt;rt&gt;$2&lt;/rt&gt;&lt;/ruby&gt;""
)&amp;""&lt;br&gt;&lt;div class=""""audio""""&gt;[sound:""&amp;C328&amp;"".mp3]&lt;/div&gt;"""),"&lt;ruby&gt;当&lt;rt&gt;あ&lt;/rt&gt;&lt;/ruby&gt;たる&lt;br&gt;&lt;div class=""audio""&gt;[sound:あたる.mp3]&lt;/div&gt;")</f>
        <v>&lt;ruby&gt;当&lt;rt&gt;あ&lt;/rt&gt;&lt;/ruby&gt;たる&lt;br&gt;&lt;div class="audio"&gt;[sound:あたる.mp3]&lt;/div&gt;</v>
      </c>
      <c r="H328" s="3" t="str">
        <f t="shared" si="1"/>
        <v>(v): trúng</v>
      </c>
      <c r="I328" s="6" t="s">
        <v>1754</v>
      </c>
      <c r="J328" s="6" t="s">
        <v>1755</v>
      </c>
      <c r="K328" s="7">
        <f t="shared" si="2"/>
        <v>0.4700108099</v>
      </c>
    </row>
    <row r="329">
      <c r="A329" s="4">
        <v>329.0</v>
      </c>
      <c r="B329" s="5" t="s">
        <v>1756</v>
      </c>
      <c r="C329" s="5" t="s">
        <v>1757</v>
      </c>
      <c r="D329" s="5" t="s">
        <v>1756</v>
      </c>
      <c r="E329" s="6" t="s">
        <v>74</v>
      </c>
      <c r="F329" s="6" t="s">
        <v>1758</v>
      </c>
      <c r="G329" s="3" t="str">
        <f>IFERROR(__xludf.DUMMYFUNCTION("REGEXREPLACE(
D329,
""([一-龯々]+)\[([^\]]+)\]"",
""&lt;ruby&gt;$1&lt;rt&gt;$2&lt;/rt&gt;&lt;/ruby&gt;""
)&amp;""&lt;br&gt;&lt;div class=""""audio""""&gt;[sound:""&amp;C329&amp;"".mp3]&lt;/div&gt;"""),"ノート&lt;br&gt;&lt;div class=""audio""&gt;[sound:のーと.mp3]&lt;/div&gt;")</f>
        <v>ノート&lt;br&gt;&lt;div class="audio"&gt;[sound:のーと.mp3]&lt;/div&gt;</v>
      </c>
      <c r="H329" s="3" t="str">
        <f t="shared" si="1"/>
        <v>(n): vở</v>
      </c>
      <c r="I329" s="6" t="s">
        <v>1759</v>
      </c>
      <c r="J329" s="6" t="s">
        <v>1760</v>
      </c>
      <c r="K329" s="7">
        <f t="shared" si="2"/>
        <v>0.3652203319</v>
      </c>
    </row>
    <row r="330">
      <c r="A330" s="4">
        <v>330.0</v>
      </c>
      <c r="B330" s="5" t="s">
        <v>1761</v>
      </c>
      <c r="C330" s="5" t="s">
        <v>1762</v>
      </c>
      <c r="D330" s="5" t="s">
        <v>1763</v>
      </c>
      <c r="E330" s="6" t="s">
        <v>24</v>
      </c>
      <c r="F330" s="6" t="s">
        <v>1764</v>
      </c>
      <c r="G330" s="3" t="str">
        <f>IFERROR(__xludf.DUMMYFUNCTION("REGEXREPLACE(
D330,
""([一-龯々]+)\[([^\]]+)\]"",
""&lt;ruby&gt;$1&lt;rt&gt;$2&lt;/rt&gt;&lt;/ruby&gt;""
)&amp;""&lt;br&gt;&lt;div class=""""audio""""&gt;[sound:""&amp;C330&amp;"".mp3]&lt;/div&gt;"""),"&lt;ruby&gt;休&lt;rt&gt;やす&lt;/rt&gt;&lt;/ruby&gt;む&lt;br&gt;&lt;div class=""audio""&gt;[sound:やすむ.mp3]&lt;/div&gt;")</f>
        <v>&lt;ruby&gt;休&lt;rt&gt;やす&lt;/rt&gt;&lt;/ruby&gt;む&lt;br&gt;&lt;div class="audio"&gt;[sound:やすむ.mp3]&lt;/div&gt;</v>
      </c>
      <c r="H330" s="3" t="str">
        <f t="shared" si="1"/>
        <v>(v): nghỉ</v>
      </c>
      <c r="I330" s="6" t="s">
        <v>1765</v>
      </c>
      <c r="J330" s="6" t="s">
        <v>1766</v>
      </c>
      <c r="K330" s="7">
        <f t="shared" si="2"/>
        <v>0.9593767033</v>
      </c>
    </row>
    <row r="331">
      <c r="A331" s="4">
        <v>331.0</v>
      </c>
      <c r="B331" s="5" t="s">
        <v>1767</v>
      </c>
      <c r="C331" s="5" t="s">
        <v>1768</v>
      </c>
      <c r="D331" s="5" t="s">
        <v>1767</v>
      </c>
      <c r="E331" s="6" t="s">
        <v>74</v>
      </c>
      <c r="F331" s="6" t="s">
        <v>1769</v>
      </c>
      <c r="G331" s="3" t="str">
        <f>IFERROR(__xludf.DUMMYFUNCTION("REGEXREPLACE(
D331,
""([一-龯々]+)\[([^\]]+)\]"",
""&lt;ruby&gt;$1&lt;rt&gt;$2&lt;/rt&gt;&lt;/ruby&gt;""
)&amp;""&lt;br&gt;&lt;div class=""""audio""""&gt;[sound:""&amp;C331&amp;"".mp3]&lt;/div&gt;"""),"ビール&lt;br&gt;&lt;div class=""audio""&gt;[sound:びーる.mp3]&lt;/div&gt;")</f>
        <v>ビール&lt;br&gt;&lt;div class="audio"&gt;[sound:びーる.mp3]&lt;/div&gt;</v>
      </c>
      <c r="H331" s="3" t="str">
        <f t="shared" si="1"/>
        <v>(n): bia</v>
      </c>
      <c r="I331" s="6" t="s">
        <v>1770</v>
      </c>
      <c r="J331" s="6" t="s">
        <v>1771</v>
      </c>
      <c r="K331" s="7">
        <f t="shared" si="2"/>
        <v>0.6277447892</v>
      </c>
    </row>
    <row r="332">
      <c r="A332" s="4">
        <v>332.0</v>
      </c>
      <c r="B332" s="5" t="s">
        <v>1772</v>
      </c>
      <c r="C332" s="5" t="s">
        <v>1773</v>
      </c>
      <c r="D332" s="5" t="s">
        <v>1774</v>
      </c>
      <c r="E332" s="6" t="s">
        <v>24</v>
      </c>
      <c r="F332" s="6" t="s">
        <v>1775</v>
      </c>
      <c r="G332" s="3" t="str">
        <f>IFERROR(__xludf.DUMMYFUNCTION("REGEXREPLACE(
D332,
""([一-龯々]+)\[([^\]]+)\]"",
""&lt;ruby&gt;$1&lt;rt&gt;$2&lt;/rt&gt;&lt;/ruby&gt;""
)&amp;""&lt;br&gt;&lt;div class=""""audio""""&gt;[sound:""&amp;C332&amp;"".mp3]&lt;/div&gt;"""),"&lt;ruby&gt;引&lt;rt&gt;ひ&lt;/rt&gt;&lt;/ruby&gt;く&lt;br&gt;&lt;div class=""audio""&gt;[sound:ひく.mp3]&lt;/div&gt;")</f>
        <v>&lt;ruby&gt;引&lt;rt&gt;ひ&lt;/rt&gt;&lt;/ruby&gt;く&lt;br&gt;&lt;div class="audio"&gt;[sound:ひく.mp3]&lt;/div&gt;</v>
      </c>
      <c r="H332" s="3" t="str">
        <f t="shared" si="1"/>
        <v>(v): kéo</v>
      </c>
      <c r="I332" s="6" t="s">
        <v>1776</v>
      </c>
      <c r="J332" s="6" t="s">
        <v>1777</v>
      </c>
      <c r="K332" s="7">
        <f t="shared" si="2"/>
        <v>0.3432695182</v>
      </c>
    </row>
    <row r="333">
      <c r="A333" s="4">
        <v>333.0</v>
      </c>
      <c r="B333" s="5" t="s">
        <v>1778</v>
      </c>
      <c r="C333" s="5" t="s">
        <v>1779</v>
      </c>
      <c r="D333" s="5" t="s">
        <v>1780</v>
      </c>
      <c r="E333" s="6" t="s">
        <v>74</v>
      </c>
      <c r="F333" s="6" t="s">
        <v>1781</v>
      </c>
      <c r="G333" s="3" t="str">
        <f>IFERROR(__xludf.DUMMYFUNCTION("REGEXREPLACE(
D333,
""([一-龯々]+)\[([^\]]+)\]"",
""&lt;ruby&gt;$1&lt;rt&gt;$2&lt;/rt&gt;&lt;/ruby&gt;""
)&amp;""&lt;br&gt;&lt;div class=""""audio""""&gt;[sound:""&amp;C333&amp;"".mp3]&lt;/div&gt;"""),"&lt;ruby&gt;認識&lt;rt&gt;にんしき&lt;/rt&gt;&lt;/ruby&gt;&lt;br&gt;&lt;div class=""audio""&gt;[sound:にんしき.mp3]&lt;/div&gt;")</f>
        <v>&lt;ruby&gt;認識&lt;rt&gt;にんしき&lt;/rt&gt;&lt;/ruby&gt;&lt;br&gt;&lt;div class="audio"&gt;[sound:にんしき.mp3]&lt;/div&gt;</v>
      </c>
      <c r="H333" s="3" t="str">
        <f t="shared" si="1"/>
        <v>(n): sự nhận thức</v>
      </c>
      <c r="I333" s="6" t="s">
        <v>1782</v>
      </c>
      <c r="J333" s="6" t="s">
        <v>1783</v>
      </c>
      <c r="K333" s="7">
        <f t="shared" si="2"/>
        <v>0.4109726725</v>
      </c>
    </row>
    <row r="334">
      <c r="A334" s="4">
        <v>334.0</v>
      </c>
      <c r="B334" s="5" t="s">
        <v>1784</v>
      </c>
      <c r="C334" s="5" t="s">
        <v>1785</v>
      </c>
      <c r="D334" s="5" t="s">
        <v>1786</v>
      </c>
      <c r="E334" s="6" t="s">
        <v>74</v>
      </c>
      <c r="F334" s="6" t="s">
        <v>1787</v>
      </c>
      <c r="G334" s="3" t="str">
        <f>IFERROR(__xludf.DUMMYFUNCTION("REGEXREPLACE(
D334,
""([一-龯々]+)\[([^\]]+)\]"",
""&lt;ruby&gt;$1&lt;rt&gt;$2&lt;/rt&gt;&lt;/ruby&gt;""
)&amp;""&lt;br&gt;&lt;div class=""""audio""""&gt;[sound:""&amp;C334&amp;"".mp3]&lt;/div&gt;"""),"&lt;ruby&gt;負担&lt;rt&gt;ふたん&lt;/rt&gt;&lt;/ruby&gt;&lt;br&gt;&lt;div class=""audio""&gt;[sound:ふたん.mp3]&lt;/div&gt;")</f>
        <v>&lt;ruby&gt;負担&lt;rt&gt;ふたん&lt;/rt&gt;&lt;/ruby&gt;&lt;br&gt;&lt;div class="audio"&gt;[sound:ふたん.mp3]&lt;/div&gt;</v>
      </c>
      <c r="H334" s="3" t="str">
        <f t="shared" si="1"/>
        <v>(n): gánh nặng</v>
      </c>
      <c r="I334" s="6" t="s">
        <v>1788</v>
      </c>
      <c r="J334" s="6" t="s">
        <v>1789</v>
      </c>
      <c r="K334" s="7">
        <f t="shared" si="2"/>
        <v>0.6383439452</v>
      </c>
    </row>
    <row r="335">
      <c r="A335" s="4">
        <v>335.0</v>
      </c>
      <c r="B335" s="5" t="s">
        <v>1790</v>
      </c>
      <c r="C335" s="5" t="s">
        <v>1791</v>
      </c>
      <c r="D335" s="5" t="s">
        <v>1792</v>
      </c>
      <c r="E335" s="6" t="s">
        <v>74</v>
      </c>
      <c r="F335" s="6" t="s">
        <v>1793</v>
      </c>
      <c r="G335" s="3" t="str">
        <f>IFERROR(__xludf.DUMMYFUNCTION("REGEXREPLACE(
D335,
""([一-龯々]+)\[([^\]]+)\]"",
""&lt;ruby&gt;$1&lt;rt&gt;$2&lt;/rt&gt;&lt;/ruby&gt;""
)&amp;""&lt;br&gt;&lt;div class=""""audio""""&gt;[sound:""&amp;C335&amp;"".mp3]&lt;/div&gt;"""),"&lt;ruby&gt;職員&lt;rt&gt;しょくいん&lt;/rt&gt;&lt;/ruby&gt;&lt;br&gt;&lt;div class=""audio""&gt;[sound:しょくいん.mp3]&lt;/div&gt;")</f>
        <v>&lt;ruby&gt;職員&lt;rt&gt;しょくいん&lt;/rt&gt;&lt;/ruby&gt;&lt;br&gt;&lt;div class="audio"&gt;[sound:しょくいん.mp3]&lt;/div&gt;</v>
      </c>
      <c r="H335" s="3" t="str">
        <f t="shared" si="1"/>
        <v>(n): nhân viên</v>
      </c>
      <c r="I335" s="6" t="s">
        <v>1794</v>
      </c>
      <c r="J335" s="6" t="s">
        <v>1795</v>
      </c>
      <c r="K335" s="7">
        <f t="shared" si="2"/>
        <v>0.7232113929</v>
      </c>
    </row>
    <row r="336">
      <c r="A336" s="4">
        <v>336.0</v>
      </c>
      <c r="B336" s="5" t="s">
        <v>1796</v>
      </c>
      <c r="C336" s="5" t="s">
        <v>1797</v>
      </c>
      <c r="D336" s="5" t="s">
        <v>1798</v>
      </c>
      <c r="E336" s="6" t="s">
        <v>74</v>
      </c>
      <c r="F336" s="6" t="s">
        <v>1799</v>
      </c>
      <c r="G336" s="3" t="str">
        <f>IFERROR(__xludf.DUMMYFUNCTION("REGEXREPLACE(
D336,
""([一-龯々]+)\[([^\]]+)\]"",
""&lt;ruby&gt;$1&lt;rt&gt;$2&lt;/rt&gt;&lt;/ruby&gt;""
)&amp;""&lt;br&gt;&lt;div class=""""audio""""&gt;[sound:""&amp;C336&amp;"".mp3]&lt;/div&gt;"""),"&lt;ruby&gt;行為&lt;rt&gt;こうい&lt;/rt&gt;&lt;/ruby&gt;&lt;br&gt;&lt;div class=""audio""&gt;[sound:こうい.mp3]&lt;/div&gt;")</f>
        <v>&lt;ruby&gt;行為&lt;rt&gt;こうい&lt;/rt&gt;&lt;/ruby&gt;&lt;br&gt;&lt;div class="audio"&gt;[sound:こうい.mp3]&lt;/div&gt;</v>
      </c>
      <c r="H336" s="3" t="str">
        <f t="shared" si="1"/>
        <v>(n): hành vi</v>
      </c>
      <c r="I336" s="6" t="s">
        <v>1800</v>
      </c>
      <c r="J336" s="6" t="s">
        <v>1801</v>
      </c>
      <c r="K336" s="7">
        <f t="shared" si="2"/>
        <v>0.6846066266</v>
      </c>
    </row>
    <row r="337">
      <c r="A337" s="4">
        <v>337.0</v>
      </c>
      <c r="B337" s="5" t="s">
        <v>1802</v>
      </c>
      <c r="C337" s="5" t="s">
        <v>1803</v>
      </c>
      <c r="D337" s="5" t="s">
        <v>1804</v>
      </c>
      <c r="E337" s="6" t="s">
        <v>24</v>
      </c>
      <c r="F337" s="6" t="s">
        <v>1805</v>
      </c>
      <c r="G337" s="3" t="str">
        <f>IFERROR(__xludf.DUMMYFUNCTION("REGEXREPLACE(
D337,
""([一-龯々]+)\[([^\]]+)\]"",
""&lt;ruby&gt;$1&lt;rt&gt;$2&lt;/rt&gt;&lt;/ruby&gt;""
)&amp;""&lt;br&gt;&lt;div class=""""audio""""&gt;[sound:""&amp;C337&amp;"".mp3]&lt;/div&gt;"""),"&lt;ruby&gt;向&lt;rt&gt;む&lt;/rt&gt;&lt;/ruby&gt;かう&lt;br&gt;&lt;div class=""audio""&gt;[sound:むかう.mp3]&lt;/div&gt;")</f>
        <v>&lt;ruby&gt;向&lt;rt&gt;む&lt;/rt&gt;&lt;/ruby&gt;かう&lt;br&gt;&lt;div class="audio"&gt;[sound:むかう.mp3]&lt;/div&gt;</v>
      </c>
      <c r="H337" s="3" t="str">
        <f t="shared" si="1"/>
        <v>(v): hướng tới</v>
      </c>
      <c r="I337" s="6" t="s">
        <v>1806</v>
      </c>
      <c r="J337" s="6" t="s">
        <v>1807</v>
      </c>
      <c r="K337" s="7">
        <f t="shared" si="2"/>
        <v>0.9715434039</v>
      </c>
    </row>
    <row r="338">
      <c r="A338" s="4">
        <v>338.0</v>
      </c>
      <c r="B338" s="5" t="s">
        <v>1808</v>
      </c>
      <c r="C338" s="5" t="s">
        <v>1809</v>
      </c>
      <c r="D338" s="5" t="s">
        <v>1810</v>
      </c>
      <c r="E338" s="6" t="s">
        <v>74</v>
      </c>
      <c r="F338" s="6" t="s">
        <v>1811</v>
      </c>
      <c r="G338" s="3" t="str">
        <f>IFERROR(__xludf.DUMMYFUNCTION("REGEXREPLACE(
D338,
""([一-龯々]+)\[([^\]]+)\]"",
""&lt;ruby&gt;$1&lt;rt&gt;$2&lt;/rt&gt;&lt;/ruby&gt;""
)&amp;""&lt;br&gt;&lt;div class=""""audio""""&gt;[sound:""&amp;C338&amp;"".mp3]&lt;/div&gt;"""),"&lt;ruby&gt;命&lt;rt&gt;いのち&lt;/rt&gt;&lt;/ruby&gt;&lt;br&gt;&lt;div class=""audio""&gt;[sound:いのち.mp3]&lt;/div&gt;")</f>
        <v>&lt;ruby&gt;命&lt;rt&gt;いのち&lt;/rt&gt;&lt;/ruby&gt;&lt;br&gt;&lt;div class="audio"&gt;[sound:いのち.mp3]&lt;/div&gt;</v>
      </c>
      <c r="H338" s="3" t="str">
        <f t="shared" si="1"/>
        <v>(n): sinh mạng</v>
      </c>
      <c r="I338" s="6" t="s">
        <v>1812</v>
      </c>
      <c r="J338" s="6" t="s">
        <v>1813</v>
      </c>
      <c r="K338" s="7">
        <f t="shared" si="2"/>
        <v>0.1640079932</v>
      </c>
    </row>
    <row r="339">
      <c r="A339" s="4">
        <v>339.0</v>
      </c>
      <c r="B339" s="5" t="s">
        <v>1814</v>
      </c>
      <c r="C339" s="5" t="s">
        <v>1815</v>
      </c>
      <c r="D339" s="5" t="s">
        <v>1816</v>
      </c>
      <c r="E339" s="6" t="s">
        <v>11</v>
      </c>
      <c r="F339" s="6" t="s">
        <v>1438</v>
      </c>
      <c r="G339" s="3" t="str">
        <f>IFERROR(__xludf.DUMMYFUNCTION("REGEXREPLACE(
D339,
""([一-龯々]+)\[([^\]]+)\]"",
""&lt;ruby&gt;$1&lt;rt&gt;$2&lt;/rt&gt;&lt;/ruby&gt;""
)&amp;""&lt;br&gt;&lt;div class=""""audio""""&gt;[sound:""&amp;C339&amp;"".mp3]&lt;/div&gt;"""),"&lt;ruby&gt;大事&lt;rt&gt;だいじ&lt;/rt&gt;&lt;/ruby&gt;&lt;br&gt;&lt;div class=""audio""&gt;[sound:だいじ.mp3]&lt;/div&gt;")</f>
        <v>&lt;ruby&gt;大事&lt;rt&gt;だいじ&lt;/rt&gt;&lt;/ruby&gt;&lt;br&gt;&lt;div class="audio"&gt;[sound:だいじ.mp3]&lt;/div&gt;</v>
      </c>
      <c r="H339" s="3" t="str">
        <f t="shared" si="1"/>
        <v>(adj): quan trọng</v>
      </c>
      <c r="I339" s="6" t="s">
        <v>1817</v>
      </c>
      <c r="J339" s="6" t="s">
        <v>1818</v>
      </c>
      <c r="K339" s="7">
        <f t="shared" si="2"/>
        <v>0.6947875828</v>
      </c>
    </row>
    <row r="340">
      <c r="A340" s="4">
        <v>340.0</v>
      </c>
      <c r="B340" s="5" t="s">
        <v>1819</v>
      </c>
      <c r="C340" s="5" t="s">
        <v>1820</v>
      </c>
      <c r="D340" s="5" t="s">
        <v>1821</v>
      </c>
      <c r="E340" s="6" t="s">
        <v>74</v>
      </c>
      <c r="F340" s="6" t="s">
        <v>1822</v>
      </c>
      <c r="G340" s="3" t="str">
        <f>IFERROR(__xludf.DUMMYFUNCTION("REGEXREPLACE(
D340,
""([一-龯々]+)\[([^\]]+)\]"",
""&lt;ruby&gt;$1&lt;rt&gt;$2&lt;/rt&gt;&lt;/ruby&gt;""
)&amp;""&lt;br&gt;&lt;div class=""""audio""""&gt;[sound:""&amp;C340&amp;"".mp3]&lt;/div&gt;"""),"&lt;ruby&gt;反映&lt;rt&gt;はんえい&lt;/rt&gt;&lt;/ruby&gt;&lt;br&gt;&lt;div class=""audio""&gt;[sound:はんえい.mp3]&lt;/div&gt;")</f>
        <v>&lt;ruby&gt;反映&lt;rt&gt;はんえい&lt;/rt&gt;&lt;/ruby&gt;&lt;br&gt;&lt;div class="audio"&gt;[sound:はんえい.mp3]&lt;/div&gt;</v>
      </c>
      <c r="H340" s="3" t="str">
        <f t="shared" si="1"/>
        <v>(n): phản ánh</v>
      </c>
      <c r="I340" s="6" t="s">
        <v>1823</v>
      </c>
      <c r="J340" s="6" t="s">
        <v>1824</v>
      </c>
      <c r="K340" s="7">
        <f t="shared" si="2"/>
        <v>0.4247927996</v>
      </c>
    </row>
    <row r="341">
      <c r="A341" s="4">
        <v>341.0</v>
      </c>
      <c r="B341" s="5" t="s">
        <v>1825</v>
      </c>
      <c r="C341" s="5" t="s">
        <v>79</v>
      </c>
      <c r="D341" s="5" t="s">
        <v>1826</v>
      </c>
      <c r="E341" s="6" t="s">
        <v>74</v>
      </c>
      <c r="F341" s="6" t="s">
        <v>1827</v>
      </c>
      <c r="G341" s="3" t="str">
        <f>IFERROR(__xludf.DUMMYFUNCTION("REGEXREPLACE(
D341,
""([一-龯々]+)\[([^\]]+)\]"",
""&lt;ruby&gt;$1&lt;rt&gt;$2&lt;/rt&gt;&lt;/ruby&gt;""
)&amp;""&lt;br&gt;&lt;div class=""""audio""""&gt;[sound:""&amp;C341&amp;"".mp3]&lt;/div&gt;"""),"&lt;ruby&gt;都市&lt;rt&gt;とし&lt;/rt&gt;&lt;/ruby&gt;&lt;br&gt;&lt;div class=""audio""&gt;[sound:とし.mp3]&lt;/div&gt;")</f>
        <v>&lt;ruby&gt;都市&lt;rt&gt;とし&lt;/rt&gt;&lt;/ruby&gt;&lt;br&gt;&lt;div class="audio"&gt;[sound:とし.mp3]&lt;/div&gt;</v>
      </c>
      <c r="H341" s="3" t="str">
        <f t="shared" si="1"/>
        <v>(n): đô thị</v>
      </c>
      <c r="I341" s="6" t="s">
        <v>1828</v>
      </c>
      <c r="J341" s="6" t="s">
        <v>1829</v>
      </c>
      <c r="K341" s="7">
        <f t="shared" si="2"/>
        <v>0.1117483315</v>
      </c>
    </row>
    <row r="342">
      <c r="A342" s="4">
        <v>342.0</v>
      </c>
      <c r="B342" s="5" t="s">
        <v>1830</v>
      </c>
      <c r="C342" s="5" t="s">
        <v>1831</v>
      </c>
      <c r="D342" s="5" t="s">
        <v>1832</v>
      </c>
      <c r="E342" s="6" t="s">
        <v>74</v>
      </c>
      <c r="F342" s="6" t="s">
        <v>1833</v>
      </c>
      <c r="G342" s="3" t="str">
        <f>IFERROR(__xludf.DUMMYFUNCTION("REGEXREPLACE(
D342,
""([一-龯々]+)\[([^\]]+)\]"",
""&lt;ruby&gt;$1&lt;rt&gt;$2&lt;/rt&gt;&lt;/ruby&gt;""
)&amp;""&lt;br&gt;&lt;div class=""""audio""""&gt;[sound:""&amp;C342&amp;"".mp3]&lt;/div&gt;"""),"&lt;ruby&gt;地&lt;rt&gt;ち&lt;/rt&gt;&lt;/ruby&gt;&lt;br&gt;&lt;div class=""audio""&gt;[sound:ち.mp3]&lt;/div&gt;")</f>
        <v>&lt;ruby&gt;地&lt;rt&gt;ち&lt;/rt&gt;&lt;/ruby&gt;&lt;br&gt;&lt;div class="audio"&gt;[sound:ち.mp3]&lt;/div&gt;</v>
      </c>
      <c r="H342" s="3" t="str">
        <f t="shared" si="1"/>
        <v>(n): đất</v>
      </c>
      <c r="I342" s="6" t="s">
        <v>1834</v>
      </c>
      <c r="J342" s="6" t="s">
        <v>1835</v>
      </c>
      <c r="K342" s="7">
        <f t="shared" si="2"/>
        <v>0.2665441768</v>
      </c>
    </row>
    <row r="343">
      <c r="A343" s="4">
        <v>343.0</v>
      </c>
      <c r="B343" s="5" t="s">
        <v>1836</v>
      </c>
      <c r="C343" s="5" t="s">
        <v>1837</v>
      </c>
      <c r="D343" s="5" t="s">
        <v>1838</v>
      </c>
      <c r="E343" s="6" t="s">
        <v>24</v>
      </c>
      <c r="F343" s="6" t="s">
        <v>1839</v>
      </c>
      <c r="G343" s="3" t="str">
        <f>IFERROR(__xludf.DUMMYFUNCTION("REGEXREPLACE(
D343,
""([一-龯々]+)\[([^\]]+)\]"",
""&lt;ruby&gt;$1&lt;rt&gt;$2&lt;/rt&gt;&lt;/ruby&gt;""
)&amp;""&lt;br&gt;&lt;div class=""""audio""""&gt;[sound:""&amp;C343&amp;"".mp3]&lt;/div&gt;"""),"&lt;ruby&gt;売&lt;rt&gt;う&lt;/rt&gt;&lt;/ruby&gt;る&lt;br&gt;&lt;div class=""audio""&gt;[sound:うる.mp3]&lt;/div&gt;")</f>
        <v>&lt;ruby&gt;売&lt;rt&gt;う&lt;/rt&gt;&lt;/ruby&gt;る&lt;br&gt;&lt;div class="audio"&gt;[sound:うる.mp3]&lt;/div&gt;</v>
      </c>
      <c r="H343" s="3" t="str">
        <f t="shared" si="1"/>
        <v>(v): bán</v>
      </c>
      <c r="I343" s="6" t="s">
        <v>1840</v>
      </c>
      <c r="J343" s="6" t="s">
        <v>1841</v>
      </c>
      <c r="K343" s="7">
        <f t="shared" si="2"/>
        <v>0.8868513731</v>
      </c>
    </row>
    <row r="344">
      <c r="A344" s="4">
        <v>344.0</v>
      </c>
      <c r="B344" s="5" t="s">
        <v>1842</v>
      </c>
      <c r="C344" s="5" t="s">
        <v>1843</v>
      </c>
      <c r="D344" s="5" t="s">
        <v>1844</v>
      </c>
      <c r="E344" s="6" t="s">
        <v>74</v>
      </c>
      <c r="F344" s="6" t="s">
        <v>1845</v>
      </c>
      <c r="G344" s="3" t="str">
        <f>IFERROR(__xludf.DUMMYFUNCTION("REGEXREPLACE(
D344,
""([一-龯々]+)\[([^\]]+)\]"",
""&lt;ruby&gt;$1&lt;rt&gt;$2&lt;/rt&gt;&lt;/ruby&gt;""
)&amp;""&lt;br&gt;&lt;div class=""""audio""""&gt;[sound:""&amp;C344&amp;"".mp3]&lt;/div&gt;"""),"&lt;ruby&gt;地域&lt;rt&gt;ちいき&lt;/rt&gt;&lt;/ruby&gt;&lt;br&gt;&lt;div class=""audio""&gt;[sound:ちいき.mp3]&lt;/div&gt;")</f>
        <v>&lt;ruby&gt;地域&lt;rt&gt;ちいき&lt;/rt&gt;&lt;/ruby&gt;&lt;br&gt;&lt;div class="audio"&gt;[sound:ちいき.mp3]&lt;/div&gt;</v>
      </c>
      <c r="H344" s="3" t="str">
        <f t="shared" si="1"/>
        <v>(n): khu vực</v>
      </c>
      <c r="I344" s="6" t="s">
        <v>1846</v>
      </c>
      <c r="J344" s="6" t="s">
        <v>1847</v>
      </c>
      <c r="K344" s="7">
        <f t="shared" si="2"/>
        <v>0.7794742568</v>
      </c>
    </row>
    <row r="345">
      <c r="A345" s="4">
        <v>345.0</v>
      </c>
      <c r="B345" s="5" t="s">
        <v>1848</v>
      </c>
      <c r="C345" s="5" t="s">
        <v>1849</v>
      </c>
      <c r="D345" s="5" t="s">
        <v>1850</v>
      </c>
      <c r="E345" s="6" t="s">
        <v>74</v>
      </c>
      <c r="F345" s="6" t="s">
        <v>1851</v>
      </c>
      <c r="G345" s="3" t="str">
        <f>IFERROR(__xludf.DUMMYFUNCTION("REGEXREPLACE(
D345,
""([一-龯々]+)\[([^\]]+)\]"",
""&lt;ruby&gt;$1&lt;rt&gt;$2&lt;/rt&gt;&lt;/ruby&gt;""
)&amp;""&lt;br&gt;&lt;div class=""""audio""""&gt;[sound:""&amp;C345&amp;"".mp3]&lt;/div&gt;"""),"&lt;ruby&gt;可能&lt;rt&gt;かのう&lt;/rt&gt;&lt;/ruby&gt;&lt;br&gt;&lt;div class=""audio""&gt;[sound:かのう.mp3]&lt;/div&gt;")</f>
        <v>&lt;ruby&gt;可能&lt;rt&gt;かのう&lt;/rt&gt;&lt;/ruby&gt;&lt;br&gt;&lt;div class="audio"&gt;[sound:かのう.mp3]&lt;/div&gt;</v>
      </c>
      <c r="H345" s="3" t="str">
        <f t="shared" si="1"/>
        <v>(n): khả năng</v>
      </c>
      <c r="I345" s="6" t="s">
        <v>1852</v>
      </c>
      <c r="J345" s="6" t="s">
        <v>1853</v>
      </c>
      <c r="K345" s="7">
        <f t="shared" si="2"/>
        <v>0.9314523749</v>
      </c>
    </row>
    <row r="346">
      <c r="A346" s="4">
        <v>346.0</v>
      </c>
      <c r="B346" s="5" t="s">
        <v>1854</v>
      </c>
      <c r="C346" s="5" t="s">
        <v>1855</v>
      </c>
      <c r="D346" s="5" t="s">
        <v>1856</v>
      </c>
      <c r="E346" s="6" t="s">
        <v>74</v>
      </c>
      <c r="F346" s="6" t="s">
        <v>1857</v>
      </c>
      <c r="G346" s="3" t="str">
        <f>IFERROR(__xludf.DUMMYFUNCTION("REGEXREPLACE(
D346,
""([一-龯々]+)\[([^\]]+)\]"",
""&lt;ruby&gt;$1&lt;rt&gt;$2&lt;/rt&gt;&lt;/ruby&gt;""
)&amp;""&lt;br&gt;&lt;div class=""""audio""""&gt;[sound:""&amp;C346&amp;"".mp3]&lt;/div&gt;"""),"&lt;ruby&gt;商品&lt;rt&gt;しょうひん&lt;/rt&gt;&lt;/ruby&gt;&lt;br&gt;&lt;div class=""audio""&gt;[sound:しょうひん.mp3]&lt;/div&gt;")</f>
        <v>&lt;ruby&gt;商品&lt;rt&gt;しょうひん&lt;/rt&gt;&lt;/ruby&gt;&lt;br&gt;&lt;div class="audio"&gt;[sound:しょうひん.mp3]&lt;/div&gt;</v>
      </c>
      <c r="H346" s="3" t="str">
        <f t="shared" si="1"/>
        <v>(n): sản phẩm</v>
      </c>
      <c r="I346" s="6" t="s">
        <v>1858</v>
      </c>
      <c r="J346" s="6" t="s">
        <v>1859</v>
      </c>
      <c r="K346" s="7">
        <f t="shared" si="2"/>
        <v>0.4706323807</v>
      </c>
    </row>
    <row r="347">
      <c r="A347" s="4">
        <v>347.0</v>
      </c>
      <c r="B347" s="5" t="s">
        <v>1860</v>
      </c>
      <c r="C347" s="5" t="s">
        <v>1861</v>
      </c>
      <c r="D347" s="5" t="s">
        <v>1862</v>
      </c>
      <c r="E347" s="6" t="s">
        <v>11</v>
      </c>
      <c r="F347" s="6" t="s">
        <v>1438</v>
      </c>
      <c r="G347" s="3" t="str">
        <f>IFERROR(__xludf.DUMMYFUNCTION("REGEXREPLACE(
D347,
""([一-龯々]+)\[([^\]]+)\]"",
""&lt;ruby&gt;$1&lt;rt&gt;$2&lt;/rt&gt;&lt;/ruby&gt;""
)&amp;""&lt;br&gt;&lt;div class=""""audio""""&gt;[sound:""&amp;C347&amp;"".mp3]&lt;/div&gt;"""),"&lt;ruby&gt;重要&lt;rt&gt;じゅうよう&lt;/rt&gt;&lt;/ruby&gt;&lt;br&gt;&lt;div class=""audio""&gt;[sound:じゅうよう.mp3]&lt;/div&gt;")</f>
        <v>&lt;ruby&gt;重要&lt;rt&gt;じゅうよう&lt;/rt&gt;&lt;/ruby&gt;&lt;br&gt;&lt;div class="audio"&gt;[sound:じゅうよう.mp3]&lt;/div&gt;</v>
      </c>
      <c r="H347" s="3" t="str">
        <f t="shared" si="1"/>
        <v>(adj): quan trọng</v>
      </c>
      <c r="I347" s="6" t="s">
        <v>1863</v>
      </c>
      <c r="J347" s="6" t="s">
        <v>1864</v>
      </c>
      <c r="K347" s="7">
        <f t="shared" si="2"/>
        <v>0.8090931788</v>
      </c>
    </row>
    <row r="348">
      <c r="A348" s="4">
        <v>348.0</v>
      </c>
      <c r="B348" s="5" t="s">
        <v>1865</v>
      </c>
      <c r="C348" s="5" t="s">
        <v>1866</v>
      </c>
      <c r="D348" s="5" t="s">
        <v>1867</v>
      </c>
      <c r="E348" s="6" t="s">
        <v>74</v>
      </c>
      <c r="F348" s="6" t="s">
        <v>1868</v>
      </c>
      <c r="G348" s="3" t="str">
        <f>IFERROR(__xludf.DUMMYFUNCTION("REGEXREPLACE(
D348,
""([一-龯々]+)\[([^\]]+)\]"",
""&lt;ruby&gt;$1&lt;rt&gt;$2&lt;/rt&gt;&lt;/ruby&gt;""
)&amp;""&lt;br&gt;&lt;div class=""""audio""""&gt;[sound:""&amp;C348&amp;"".mp3]&lt;/div&gt;"""),"&lt;ruby&gt;天気&lt;rt&gt;てんき&lt;/rt&gt;&lt;/ruby&gt;&lt;br&gt;&lt;div class=""audio""&gt;[sound:てんき.mp3]&lt;/div&gt;")</f>
        <v>&lt;ruby&gt;天気&lt;rt&gt;てんき&lt;/rt&gt;&lt;/ruby&gt;&lt;br&gt;&lt;div class="audio"&gt;[sound:てんき.mp3]&lt;/div&gt;</v>
      </c>
      <c r="H348" s="3" t="str">
        <f t="shared" si="1"/>
        <v>(n): thời tiết</v>
      </c>
      <c r="I348" s="6" t="s">
        <v>1869</v>
      </c>
      <c r="J348" s="6" t="s">
        <v>1870</v>
      </c>
      <c r="K348" s="7">
        <f t="shared" si="2"/>
        <v>0.6292032191</v>
      </c>
    </row>
    <row r="349">
      <c r="A349" s="4">
        <v>349.0</v>
      </c>
      <c r="B349" s="5" t="s">
        <v>1871</v>
      </c>
      <c r="C349" s="5" t="s">
        <v>1872</v>
      </c>
      <c r="D349" s="5" t="s">
        <v>1873</v>
      </c>
      <c r="E349" s="6" t="s">
        <v>24</v>
      </c>
      <c r="F349" s="6" t="s">
        <v>1076</v>
      </c>
      <c r="G349" s="3" t="str">
        <f>IFERROR(__xludf.DUMMYFUNCTION("REGEXREPLACE(
D349,
""([一-龯々]+)\[([^\]]+)\]"",
""&lt;ruby&gt;$1&lt;rt&gt;$2&lt;/rt&gt;&lt;/ruby&gt;""
)&amp;""&lt;br&gt;&lt;div class=""""audio""""&gt;[sound:""&amp;C349&amp;"".mp3]&lt;/div&gt;"""),"&lt;ruby&gt;増&lt;rt&gt;ふ&lt;/rt&gt;&lt;/ruby&gt;える&lt;br&gt;&lt;div class=""audio""&gt;[sound:ふえる.mp3]&lt;/div&gt;")</f>
        <v>&lt;ruby&gt;増&lt;rt&gt;ふ&lt;/rt&gt;&lt;/ruby&gt;える&lt;br&gt;&lt;div class="audio"&gt;[sound:ふえる.mp3]&lt;/div&gt;</v>
      </c>
      <c r="H349" s="3" t="str">
        <f t="shared" si="1"/>
        <v>(v): tăng lên</v>
      </c>
      <c r="I349" s="6" t="s">
        <v>1874</v>
      </c>
      <c r="J349" s="6" t="s">
        <v>1875</v>
      </c>
      <c r="K349" s="7">
        <f t="shared" si="2"/>
        <v>0.7844655777</v>
      </c>
    </row>
    <row r="350">
      <c r="A350" s="4">
        <v>350.0</v>
      </c>
      <c r="B350" s="5" t="s">
        <v>1876</v>
      </c>
      <c r="C350" s="5" t="s">
        <v>1877</v>
      </c>
      <c r="D350" s="5" t="s">
        <v>1878</v>
      </c>
      <c r="E350" s="6" t="s">
        <v>74</v>
      </c>
      <c r="F350" s="6" t="s">
        <v>1879</v>
      </c>
      <c r="G350" s="3" t="str">
        <f>IFERROR(__xludf.DUMMYFUNCTION("REGEXREPLACE(
D350,
""([一-龯々]+)\[([^\]]+)\]"",
""&lt;ruby&gt;$1&lt;rt&gt;$2&lt;/rt&gt;&lt;/ruby&gt;""
)&amp;""&lt;br&gt;&lt;div class=""""audio""""&gt;[sound:""&amp;C350&amp;"".mp3]&lt;/div&gt;"""),"&lt;ruby&gt;存在&lt;rt&gt;そんざい&lt;/rt&gt;&lt;/ruby&gt;&lt;br&gt;&lt;div class=""audio""&gt;[sound:そんざい.mp3]&lt;/div&gt;")</f>
        <v>&lt;ruby&gt;存在&lt;rt&gt;そんざい&lt;/rt&gt;&lt;/ruby&gt;&lt;br&gt;&lt;div class="audio"&gt;[sound:そんざい.mp3]&lt;/div&gt;</v>
      </c>
      <c r="H350" s="3" t="str">
        <f t="shared" si="1"/>
        <v>(n): sự tồn tại</v>
      </c>
      <c r="I350" s="6" t="s">
        <v>1880</v>
      </c>
      <c r="J350" s="6" t="s">
        <v>1881</v>
      </c>
      <c r="K350" s="7">
        <f t="shared" si="2"/>
        <v>0.3909601715</v>
      </c>
    </row>
    <row r="351">
      <c r="A351" s="4">
        <v>351.0</v>
      </c>
      <c r="B351" s="5" t="s">
        <v>1882</v>
      </c>
      <c r="C351" s="5" t="s">
        <v>1883</v>
      </c>
      <c r="D351" s="5" t="s">
        <v>1884</v>
      </c>
      <c r="E351" s="6" t="s">
        <v>24</v>
      </c>
      <c r="F351" s="6" t="s">
        <v>1885</v>
      </c>
      <c r="G351" s="3" t="str">
        <f>IFERROR(__xludf.DUMMYFUNCTION("REGEXREPLACE(
D351,
""([一-龯々]+)\[([^\]]+)\]"",
""&lt;ruby&gt;$1&lt;rt&gt;$2&lt;/rt&gt;&lt;/ruby&gt;""
)&amp;""&lt;br&gt;&lt;div class=""""audio""""&gt;[sound:""&amp;C351&amp;"".mp3]&lt;/div&gt;"""),"&lt;ruby&gt;収&lt;rt&gt;おさ&lt;/rt&gt;&lt;/ruby&gt;める&lt;br&gt;&lt;div class=""audio""&gt;[sound:おさめる.mp3]&lt;/div&gt;")</f>
        <v>&lt;ruby&gt;収&lt;rt&gt;おさ&lt;/rt&gt;&lt;/ruby&gt;める&lt;br&gt;&lt;div class="audio"&gt;[sound:おさめる.mp3]&lt;/div&gt;</v>
      </c>
      <c r="H351" s="3" t="str">
        <f t="shared" si="1"/>
        <v>(v): thu được</v>
      </c>
      <c r="I351" s="6" t="s">
        <v>1886</v>
      </c>
      <c r="J351" s="6" t="s">
        <v>1887</v>
      </c>
      <c r="K351" s="7">
        <f t="shared" si="2"/>
        <v>0.089644288</v>
      </c>
    </row>
    <row r="352">
      <c r="A352" s="4">
        <v>352.0</v>
      </c>
      <c r="B352" s="5" t="s">
        <v>1888</v>
      </c>
      <c r="C352" s="5" t="s">
        <v>1889</v>
      </c>
      <c r="D352" s="5" t="s">
        <v>1890</v>
      </c>
      <c r="E352" s="6" t="s">
        <v>24</v>
      </c>
      <c r="F352" s="6" t="s">
        <v>1891</v>
      </c>
      <c r="G352" s="3" t="str">
        <f>IFERROR(__xludf.DUMMYFUNCTION("REGEXREPLACE(
D352,
""([一-龯々]+)\[([^\]]+)\]"",
""&lt;ruby&gt;$1&lt;rt&gt;$2&lt;/rt&gt;&lt;/ruby&gt;""
)&amp;""&lt;br&gt;&lt;div class=""""audio""""&gt;[sound:""&amp;C352&amp;"".mp3]&lt;/div&gt;"""),"&lt;ruby&gt;向&lt;rt&gt;む&lt;/rt&gt;&lt;/ruby&gt;ける&lt;br&gt;&lt;div class=""audio""&gt;[sound:むける.mp3]&lt;/div&gt;")</f>
        <v>&lt;ruby&gt;向&lt;rt&gt;む&lt;/rt&gt;&lt;/ruby&gt;ける&lt;br&gt;&lt;div class="audio"&gt;[sound:むける.mp3]&lt;/div&gt;</v>
      </c>
      <c r="H352" s="3" t="str">
        <f t="shared" si="1"/>
        <v>(v): hướng vào</v>
      </c>
      <c r="I352" s="6" t="s">
        <v>1892</v>
      </c>
      <c r="J352" s="6" t="s">
        <v>1893</v>
      </c>
      <c r="K352" s="7">
        <f t="shared" si="2"/>
        <v>0.5443555029</v>
      </c>
    </row>
    <row r="353">
      <c r="A353" s="4">
        <v>353.0</v>
      </c>
      <c r="B353" s="5" t="s">
        <v>1894</v>
      </c>
      <c r="C353" s="5" t="s">
        <v>1895</v>
      </c>
      <c r="D353" s="5" t="s">
        <v>1896</v>
      </c>
      <c r="E353" s="6" t="s">
        <v>74</v>
      </c>
      <c r="F353" s="6" t="s">
        <v>1897</v>
      </c>
      <c r="G353" s="3" t="str">
        <f>IFERROR(__xludf.DUMMYFUNCTION("REGEXREPLACE(
D353,
""([一-龯々]+)\[([^\]]+)\]"",
""&lt;ruby&gt;$1&lt;rt&gt;$2&lt;/rt&gt;&lt;/ruby&gt;""
)&amp;""&lt;br&gt;&lt;div class=""""audio""""&gt;[sound:""&amp;C353&amp;"".mp3]&lt;/div&gt;"""),"&lt;ruby&gt;実際&lt;rt&gt;じっさい&lt;/rt&gt;&lt;/ruby&gt;&lt;br&gt;&lt;div class=""audio""&gt;[sound:じっさい.mp3]&lt;/div&gt;")</f>
        <v>&lt;ruby&gt;実際&lt;rt&gt;じっさい&lt;/rt&gt;&lt;/ruby&gt;&lt;br&gt;&lt;div class="audio"&gt;[sound:じっさい.mp3]&lt;/div&gt;</v>
      </c>
      <c r="H353" s="3" t="str">
        <f t="shared" si="1"/>
        <v>(n): thực tế</v>
      </c>
      <c r="I353" s="6" t="s">
        <v>1898</v>
      </c>
      <c r="J353" s="6" t="s">
        <v>1899</v>
      </c>
      <c r="K353" s="7">
        <f t="shared" si="2"/>
        <v>0.1212156522</v>
      </c>
    </row>
    <row r="354">
      <c r="A354" s="4">
        <v>354.0</v>
      </c>
      <c r="B354" s="5" t="s">
        <v>1900</v>
      </c>
      <c r="C354" s="5" t="s">
        <v>1901</v>
      </c>
      <c r="D354" s="5" t="s">
        <v>1902</v>
      </c>
      <c r="E354" s="6" t="s">
        <v>74</v>
      </c>
      <c r="F354" s="6" t="s">
        <v>1903</v>
      </c>
      <c r="G354" s="3" t="str">
        <f>IFERROR(__xludf.DUMMYFUNCTION("REGEXREPLACE(
D354,
""([一-龯々]+)\[([^\]]+)\]"",
""&lt;ruby&gt;$1&lt;rt&gt;$2&lt;/rt&gt;&lt;/ruby&gt;""
)&amp;""&lt;br&gt;&lt;div class=""""audio""""&gt;[sound:""&amp;C354&amp;"".mp3]&lt;/div&gt;"""),"&lt;ruby&gt;国民&lt;rt&gt;こくみん&lt;/rt&gt;&lt;/ruby&gt;&lt;br&gt;&lt;div class=""audio""&gt;[sound:こくみん.mp3]&lt;/div&gt;")</f>
        <v>&lt;ruby&gt;国民&lt;rt&gt;こくみん&lt;/rt&gt;&lt;/ruby&gt;&lt;br&gt;&lt;div class="audio"&gt;[sound:こくみん.mp3]&lt;/div&gt;</v>
      </c>
      <c r="H354" s="3" t="str">
        <f t="shared" si="1"/>
        <v>(n): công dân</v>
      </c>
      <c r="I354" s="6" t="s">
        <v>1904</v>
      </c>
      <c r="J354" s="6" t="s">
        <v>1905</v>
      </c>
      <c r="K354" s="7">
        <f t="shared" si="2"/>
        <v>0.3919273614</v>
      </c>
    </row>
    <row r="355">
      <c r="A355" s="4">
        <v>355.0</v>
      </c>
      <c r="B355" s="5" t="s">
        <v>1906</v>
      </c>
      <c r="C355" s="5" t="s">
        <v>1907</v>
      </c>
      <c r="D355" s="5" t="s">
        <v>1908</v>
      </c>
      <c r="E355" s="6" t="s">
        <v>44</v>
      </c>
      <c r="F355" s="6" t="s">
        <v>1909</v>
      </c>
      <c r="G355" s="3" t="str">
        <f>IFERROR(__xludf.DUMMYFUNCTION("REGEXREPLACE(
D355,
""([一-龯々]+)\[([^\]]+)\]"",
""&lt;ruby&gt;$1&lt;rt&gt;$2&lt;/rt&gt;&lt;/ruby&gt;""
)&amp;""&lt;br&gt;&lt;div class=""""audio""""&gt;[sound:""&amp;C355&amp;"".mp3]&lt;/div&gt;"""),"お&lt;ruby&gt;互&lt;rt&gt;たが&lt;/rt&gt;&lt;/ruby&gt;い&lt;br&gt;&lt;div class=""audio""&gt;[sound:おたがい.mp3]&lt;/div&gt;")</f>
        <v>お&lt;ruby&gt;互&lt;rt&gt;たが&lt;/rt&gt;&lt;/ruby&gt;い&lt;br&gt;&lt;div class="audio"&gt;[sound:おたがい.mp3]&lt;/div&gt;</v>
      </c>
      <c r="H355" s="3" t="str">
        <f t="shared" si="1"/>
        <v>(pron): lẫn nhau</v>
      </c>
      <c r="I355" s="6" t="s">
        <v>1910</v>
      </c>
      <c r="J355" s="6" t="s">
        <v>1911</v>
      </c>
      <c r="K355" s="7">
        <f t="shared" si="2"/>
        <v>0.02532463906</v>
      </c>
    </row>
    <row r="356">
      <c r="A356" s="4">
        <v>356.0</v>
      </c>
      <c r="B356" s="5" t="s">
        <v>1912</v>
      </c>
      <c r="C356" s="5" t="s">
        <v>1913</v>
      </c>
      <c r="D356" s="5" t="s">
        <v>1914</v>
      </c>
      <c r="E356" s="6" t="s">
        <v>44</v>
      </c>
      <c r="F356" s="6" t="s">
        <v>1915</v>
      </c>
      <c r="G356" s="3" t="str">
        <f>IFERROR(__xludf.DUMMYFUNCTION("REGEXREPLACE(
D356,
""([一-龯々]+)\[([^\]]+)\]"",
""&lt;ruby&gt;$1&lt;rt&gt;$2&lt;/rt&gt;&lt;/ruby&gt;""
)&amp;""&lt;br&gt;&lt;div class=""""audio""""&gt;[sound:""&amp;C356&amp;"".mp3]&lt;/div&gt;"""),"お&lt;ruby&gt;前&lt;rt&gt;まえ&lt;/rt&gt;&lt;/ruby&gt;&lt;br&gt;&lt;div class=""audio""&gt;[sound:おまえ.mp3]&lt;/div&gt;")</f>
        <v>お&lt;ruby&gt;前&lt;rt&gt;まえ&lt;/rt&gt;&lt;/ruby&gt;&lt;br&gt;&lt;div class="audio"&gt;[sound:おまえ.mp3]&lt;/div&gt;</v>
      </c>
      <c r="H356" s="3" t="str">
        <f t="shared" si="1"/>
        <v>(pron): mày</v>
      </c>
      <c r="I356" s="6" t="s">
        <v>1916</v>
      </c>
      <c r="J356" s="6" t="s">
        <v>1917</v>
      </c>
      <c r="K356" s="7">
        <f t="shared" si="2"/>
        <v>0.1330661188</v>
      </c>
    </row>
    <row r="357">
      <c r="A357" s="4">
        <v>357.0</v>
      </c>
      <c r="B357" s="5" t="s">
        <v>1918</v>
      </c>
      <c r="C357" s="5" t="s">
        <v>1919</v>
      </c>
      <c r="D357" s="5" t="s">
        <v>1920</v>
      </c>
      <c r="E357" s="6" t="s">
        <v>74</v>
      </c>
      <c r="F357" s="6" t="s">
        <v>1921</v>
      </c>
      <c r="G357" s="3" t="str">
        <f>IFERROR(__xludf.DUMMYFUNCTION("REGEXREPLACE(
D357,
""([一-龯々]+)\[([^\]]+)\]"",
""&lt;ruby&gt;$1&lt;rt&gt;$2&lt;/rt&gt;&lt;/ruby&gt;""
)&amp;""&lt;br&gt;&lt;div class=""""audio""""&gt;[sound:""&amp;C357&amp;"".mp3]&lt;/div&gt;"""),"お&lt;ruby&gt;休&lt;rt&gt;やす&lt;/rt&gt;&lt;/ruby&gt;み&lt;br&gt;&lt;div class=""audio""&gt;[sound:おやすみ.mp3]&lt;/div&gt;")</f>
        <v>お&lt;ruby&gt;休&lt;rt&gt;やす&lt;/rt&gt;&lt;/ruby&gt;み&lt;br&gt;&lt;div class="audio"&gt;[sound:おやすみ.mp3]&lt;/div&gt;</v>
      </c>
      <c r="H357" s="3" t="str">
        <f t="shared" si="1"/>
        <v>(n): ngày nghỉ</v>
      </c>
      <c r="I357" s="6" t="s">
        <v>1922</v>
      </c>
      <c r="J357" s="6" t="s">
        <v>1923</v>
      </c>
      <c r="K357" s="7">
        <f t="shared" si="2"/>
        <v>0.1745877747</v>
      </c>
    </row>
    <row r="358">
      <c r="A358" s="4">
        <v>358.0</v>
      </c>
      <c r="B358" s="5" t="s">
        <v>1924</v>
      </c>
      <c r="C358" s="5" t="s">
        <v>1925</v>
      </c>
      <c r="D358" s="5" t="s">
        <v>1926</v>
      </c>
      <c r="E358" s="6" t="s">
        <v>74</v>
      </c>
      <c r="F358" s="6" t="s">
        <v>1927</v>
      </c>
      <c r="G358" s="3" t="str">
        <f>IFERROR(__xludf.DUMMYFUNCTION("REGEXREPLACE(
D358,
""([一-龯々]+)\[([^\]]+)\]"",
""&lt;ruby&gt;$1&lt;rt&gt;$2&lt;/rt&gt;&lt;/ruby&gt;""
)&amp;""&lt;br&gt;&lt;div class=""""audio""""&gt;[sound:""&amp;C358&amp;"".mp3]&lt;/div&gt;"""),"お&lt;ruby&gt;姉&lt;rt&gt;ねえ&lt;/rt&gt;&lt;/ruby&gt;さん&lt;br&gt;&lt;div class=""audio""&gt;[sound:おねえさん.mp3]&lt;/div&gt;")</f>
        <v>お&lt;ruby&gt;姉&lt;rt&gt;ねえ&lt;/rt&gt;&lt;/ruby&gt;さん&lt;br&gt;&lt;div class="audio"&gt;[sound:おねえさん.mp3]&lt;/div&gt;</v>
      </c>
      <c r="H358" s="3" t="str">
        <f t="shared" si="1"/>
        <v>(n): chị gái</v>
      </c>
      <c r="I358" s="6" t="s">
        <v>1928</v>
      </c>
      <c r="J358" s="6" t="s">
        <v>1929</v>
      </c>
      <c r="K358" s="7">
        <f t="shared" si="2"/>
        <v>0.2882184138</v>
      </c>
    </row>
    <row r="359">
      <c r="A359" s="4">
        <v>359.0</v>
      </c>
      <c r="B359" s="5" t="s">
        <v>1930</v>
      </c>
      <c r="C359" s="5" t="s">
        <v>1931</v>
      </c>
      <c r="D359" s="5" t="s">
        <v>1932</v>
      </c>
      <c r="E359" s="6" t="s">
        <v>74</v>
      </c>
      <c r="F359" s="6" t="s">
        <v>1933</v>
      </c>
      <c r="G359" s="3" t="str">
        <f>IFERROR(__xludf.DUMMYFUNCTION("REGEXREPLACE(
D359,
""([一-龯々]+)\[([^\]]+)\]"",
""&lt;ruby&gt;$1&lt;rt&gt;$2&lt;/rt&gt;&lt;/ruby&gt;""
)&amp;""&lt;br&gt;&lt;div class=""""audio""""&gt;[sound:""&amp;C359&amp;"".mp3]&lt;/div&gt;"""),"お&lt;ruby&gt;酒&lt;rt&gt;さけ&lt;/rt&gt;&lt;/ruby&gt;&lt;br&gt;&lt;div class=""audio""&gt;[sound:おさけ.mp3]&lt;/div&gt;")</f>
        <v>お&lt;ruby&gt;酒&lt;rt&gt;さけ&lt;/rt&gt;&lt;/ruby&gt;&lt;br&gt;&lt;div class="audio"&gt;[sound:おさけ.mp3]&lt;/div&gt;</v>
      </c>
      <c r="H359" s="3" t="str">
        <f t="shared" si="1"/>
        <v>(n): rượu</v>
      </c>
      <c r="I359" s="6" t="s">
        <v>1934</v>
      </c>
      <c r="J359" s="6" t="s">
        <v>1935</v>
      </c>
      <c r="K359" s="7">
        <f t="shared" si="2"/>
        <v>0.04459231062</v>
      </c>
    </row>
    <row r="360">
      <c r="A360" s="4">
        <v>360.0</v>
      </c>
      <c r="B360" s="5" t="s">
        <v>1936</v>
      </c>
      <c r="C360" s="5" t="s">
        <v>1937</v>
      </c>
      <c r="D360" s="5" t="s">
        <v>1938</v>
      </c>
      <c r="E360" s="6" t="s">
        <v>74</v>
      </c>
      <c r="F360" s="6" t="s">
        <v>1939</v>
      </c>
      <c r="G360" s="3" t="str">
        <f>IFERROR(__xludf.DUMMYFUNCTION("REGEXREPLACE(
D360,
""([一-龯々]+)\[([^\]]+)\]"",
""&lt;ruby&gt;$1&lt;rt&gt;$2&lt;/rt&gt;&lt;/ruby&gt;""
)&amp;""&lt;br&gt;&lt;div class=""""audio""""&gt;[sound:""&amp;C360&amp;"".mp3]&lt;/div&gt;"""),"お&lt;ruby&gt;兄&lt;rt&gt;にい&lt;/rt&gt;&lt;/ruby&gt;さん&lt;br&gt;&lt;div class=""audio""&gt;[sound:おにいさん.mp3]&lt;/div&gt;")</f>
        <v>お&lt;ruby&gt;兄&lt;rt&gt;にい&lt;/rt&gt;&lt;/ruby&gt;さん&lt;br&gt;&lt;div class="audio"&gt;[sound:おにいさん.mp3]&lt;/div&gt;</v>
      </c>
      <c r="H360" s="3" t="str">
        <f t="shared" si="1"/>
        <v>(n): anh trai</v>
      </c>
      <c r="I360" s="6" t="s">
        <v>1940</v>
      </c>
      <c r="J360" s="6" t="s">
        <v>1941</v>
      </c>
      <c r="K360" s="7">
        <f t="shared" si="2"/>
        <v>0.7389467556</v>
      </c>
    </row>
    <row r="361">
      <c r="A361" s="4">
        <v>361.0</v>
      </c>
      <c r="B361" s="5" t="s">
        <v>1942</v>
      </c>
      <c r="C361" s="5" t="s">
        <v>1943</v>
      </c>
      <c r="D361" s="5" t="s">
        <v>1944</v>
      </c>
      <c r="E361" s="6" t="s">
        <v>74</v>
      </c>
      <c r="F361" s="6" t="s">
        <v>1945</v>
      </c>
      <c r="G361" s="3" t="str">
        <f>IFERROR(__xludf.DUMMYFUNCTION("REGEXREPLACE(
D361,
""([一-龯々]+)\[([^\]]+)\]"",
""&lt;ruby&gt;$1&lt;rt&gt;$2&lt;/rt&gt;&lt;/ruby&gt;""
)&amp;""&lt;br&gt;&lt;div class=""""audio""""&gt;[sound:""&amp;C361&amp;"".mp3]&lt;/div&gt;"""),"この&lt;ruby&gt;間&lt;rt&gt;あいだ&lt;/rt&gt;&lt;/ruby&gt;&lt;br&gt;&lt;div class=""audio""&gt;[sound:このあいだ.mp3]&lt;/div&gt;")</f>
        <v>この&lt;ruby&gt;間&lt;rt&gt;あいだ&lt;/rt&gt;&lt;/ruby&gt;&lt;br&gt;&lt;div class="audio"&gt;[sound:このあいだ.mp3]&lt;/div&gt;</v>
      </c>
      <c r="H361" s="3" t="str">
        <f t="shared" si="1"/>
        <v>(n): hôm nọ</v>
      </c>
      <c r="I361" s="6" t="s">
        <v>1946</v>
      </c>
      <c r="J361" s="6" t="s">
        <v>1947</v>
      </c>
      <c r="K361" s="7">
        <f t="shared" si="2"/>
        <v>0.8147678544</v>
      </c>
    </row>
    <row r="362">
      <c r="A362" s="4">
        <v>362.0</v>
      </c>
      <c r="B362" s="5" t="s">
        <v>1948</v>
      </c>
      <c r="C362" s="5" t="s">
        <v>1949</v>
      </c>
      <c r="D362" s="5" t="s">
        <v>1950</v>
      </c>
      <c r="E362" s="6" t="s">
        <v>74</v>
      </c>
      <c r="F362" s="6" t="s">
        <v>1951</v>
      </c>
      <c r="G362" s="3" t="str">
        <f>IFERROR(__xludf.DUMMYFUNCTION("REGEXREPLACE(
D362,
""([一-龯々]+)\[([^\]]+)\]"",
""&lt;ruby&gt;$1&lt;rt&gt;$2&lt;/rt&gt;&lt;/ruby&gt;""
)&amp;""&lt;br&gt;&lt;div class=""""audio""""&gt;[sound:""&amp;C362&amp;"".mp3]&lt;/div&gt;"""),"お&lt;ruby&gt;腹&lt;rt&gt;なか&lt;/rt&gt;&lt;/ruby&gt;&lt;br&gt;&lt;div class=""audio""&gt;[sound:おなか.mp3]&lt;/div&gt;")</f>
        <v>お&lt;ruby&gt;腹&lt;rt&gt;なか&lt;/rt&gt;&lt;/ruby&gt;&lt;br&gt;&lt;div class="audio"&gt;[sound:おなか.mp3]&lt;/div&gt;</v>
      </c>
      <c r="H362" s="3" t="str">
        <f t="shared" si="1"/>
        <v>(n): bụng</v>
      </c>
      <c r="I362" s="6" t="s">
        <v>1952</v>
      </c>
      <c r="J362" s="6" t="s">
        <v>1953</v>
      </c>
      <c r="K362" s="7">
        <f t="shared" si="2"/>
        <v>0.4396667061</v>
      </c>
    </row>
    <row r="363">
      <c r="A363" s="4">
        <v>363.0</v>
      </c>
      <c r="B363" s="5" t="s">
        <v>1954</v>
      </c>
      <c r="C363" s="5" t="s">
        <v>1955</v>
      </c>
      <c r="D363" s="5" t="s">
        <v>1956</v>
      </c>
      <c r="E363" s="6" t="s">
        <v>74</v>
      </c>
      <c r="F363" s="6" t="s">
        <v>1957</v>
      </c>
      <c r="G363" s="3" t="str">
        <f>IFERROR(__xludf.DUMMYFUNCTION("REGEXREPLACE(
D363,
""([一-龯々]+)\[([^\]]+)\]"",
""&lt;ruby&gt;$1&lt;rt&gt;$2&lt;/rt&gt;&lt;/ruby&gt;""
)&amp;""&lt;br&gt;&lt;div class=""""audio""""&gt;[sound:""&amp;C363&amp;"".mp3]&lt;/div&gt;"""),"お&lt;ruby&gt;昼&lt;rt&gt;ひる&lt;/rt&gt;&lt;/ruby&gt;&lt;br&gt;&lt;div class=""audio""&gt;[sound:おひる.mp3]&lt;/div&gt;")</f>
        <v>お&lt;ruby&gt;昼&lt;rt&gt;ひる&lt;/rt&gt;&lt;/ruby&gt;&lt;br&gt;&lt;div class="audio"&gt;[sound:おひる.mp3]&lt;/div&gt;</v>
      </c>
      <c r="H363" s="3" t="str">
        <f t="shared" si="1"/>
        <v>(n): buổi trưa</v>
      </c>
      <c r="I363" s="6" t="s">
        <v>1958</v>
      </c>
      <c r="J363" s="6" t="s">
        <v>1959</v>
      </c>
      <c r="K363" s="7">
        <f t="shared" si="2"/>
        <v>0.9583470939</v>
      </c>
    </row>
    <row r="364">
      <c r="A364" s="4">
        <v>364.0</v>
      </c>
      <c r="B364" s="5" t="s">
        <v>1960</v>
      </c>
      <c r="C364" s="5" t="s">
        <v>1961</v>
      </c>
      <c r="D364" s="5" t="s">
        <v>1962</v>
      </c>
      <c r="E364" s="6" t="s">
        <v>74</v>
      </c>
      <c r="F364" s="6" t="s">
        <v>1963</v>
      </c>
      <c r="G364" s="3" t="str">
        <f>IFERROR(__xludf.DUMMYFUNCTION("REGEXREPLACE(
D364,
""([一-龯々]+)\[([^\]]+)\]"",
""&lt;ruby&gt;$1&lt;rt&gt;$2&lt;/rt&gt;&lt;/ruby&gt;""
)&amp;""&lt;br&gt;&lt;div class=""""audio""""&gt;[sound:""&amp;C364&amp;"".mp3]&lt;/div&gt;"""),"お&lt;ruby&gt;弁当&lt;rt&gt;べんとう&lt;/rt&gt;&lt;/ruby&gt;&lt;br&gt;&lt;div class=""audio""&gt;[sound:おべんとう.mp3]&lt;/div&gt;")</f>
        <v>お&lt;ruby&gt;弁当&lt;rt&gt;べんとう&lt;/rt&gt;&lt;/ruby&gt;&lt;br&gt;&lt;div class="audio"&gt;[sound:おべんとう.mp3]&lt;/div&gt;</v>
      </c>
      <c r="H364" s="3" t="str">
        <f t="shared" si="1"/>
        <v>(n): cơm hộp</v>
      </c>
      <c r="I364" s="6" t="s">
        <v>1964</v>
      </c>
      <c r="J364" s="6" t="s">
        <v>1965</v>
      </c>
      <c r="K364" s="7">
        <f t="shared" si="2"/>
        <v>0.7702321791</v>
      </c>
    </row>
    <row r="365">
      <c r="A365" s="4">
        <v>365.0</v>
      </c>
      <c r="B365" s="5" t="s">
        <v>1966</v>
      </c>
      <c r="C365" s="5" t="s">
        <v>1967</v>
      </c>
      <c r="D365" s="5" t="s">
        <v>1968</v>
      </c>
      <c r="E365" s="6" t="s">
        <v>74</v>
      </c>
      <c r="F365" s="6" t="s">
        <v>1969</v>
      </c>
      <c r="G365" s="3" t="str">
        <f>IFERROR(__xludf.DUMMYFUNCTION("REGEXREPLACE(
D365,
""([一-龯々]+)\[([^\]]+)\]"",
""&lt;ruby&gt;$1&lt;rt&gt;$2&lt;/rt&gt;&lt;/ruby&gt;""
)&amp;""&lt;br&gt;&lt;div class=""""audio""""&gt;[sound:""&amp;C365&amp;"".mp3]&lt;/div&gt;"""),"お&lt;ruby&gt;茶&lt;rt&gt;ちゃ&lt;/rt&gt;&lt;/ruby&gt;&lt;br&gt;&lt;div class=""audio""&gt;[sound:おちゃ.mp3]&lt;/div&gt;")</f>
        <v>お&lt;ruby&gt;茶&lt;rt&gt;ちゃ&lt;/rt&gt;&lt;/ruby&gt;&lt;br&gt;&lt;div class="audio"&gt;[sound:おちゃ.mp3]&lt;/div&gt;</v>
      </c>
      <c r="H365" s="3" t="str">
        <f t="shared" si="1"/>
        <v>(n): trà</v>
      </c>
      <c r="I365" s="6" t="s">
        <v>1970</v>
      </c>
      <c r="J365" s="6" t="s">
        <v>1971</v>
      </c>
      <c r="K365" s="7">
        <f t="shared" si="2"/>
        <v>0.161620797</v>
      </c>
    </row>
    <row r="366">
      <c r="A366" s="4">
        <v>366.0</v>
      </c>
      <c r="B366" s="5" t="s">
        <v>1972</v>
      </c>
      <c r="C366" s="5" t="s">
        <v>1973</v>
      </c>
      <c r="D366" s="5" t="s">
        <v>1974</v>
      </c>
      <c r="E366" s="6" t="s">
        <v>74</v>
      </c>
      <c r="F366" s="6" t="s">
        <v>1975</v>
      </c>
      <c r="G366" s="3" t="str">
        <f>IFERROR(__xludf.DUMMYFUNCTION("REGEXREPLACE(
D366,
""([一-龯々]+)\[([^\]]+)\]"",
""&lt;ruby&gt;$1&lt;rt&gt;$2&lt;/rt&gt;&lt;/ruby&gt;""
)&amp;""&lt;br&gt;&lt;div class=""""audio""""&gt;[sound:""&amp;C366&amp;"".mp3]&lt;/div&gt;"""),"お&lt;ruby&gt;風呂&lt;rt&gt;ふろ&lt;/rt&gt;&lt;/ruby&gt;&lt;br&gt;&lt;div class=""audio""&gt;[sound:おふろ.mp3]&lt;/div&gt;")</f>
        <v>お&lt;ruby&gt;風呂&lt;rt&gt;ふろ&lt;/rt&gt;&lt;/ruby&gt;&lt;br&gt;&lt;div class="audio"&gt;[sound:おふろ.mp3]&lt;/div&gt;</v>
      </c>
      <c r="H366" s="3" t="str">
        <f t="shared" si="1"/>
        <v>(n): bồn tắm</v>
      </c>
      <c r="I366" s="6" t="s">
        <v>1976</v>
      </c>
      <c r="J366" s="6" t="s">
        <v>1977</v>
      </c>
      <c r="K366" s="7">
        <f t="shared" si="2"/>
        <v>0.6768426208</v>
      </c>
    </row>
    <row r="367">
      <c r="A367" s="4">
        <v>367.0</v>
      </c>
      <c r="B367" s="5" t="s">
        <v>1978</v>
      </c>
      <c r="C367" s="5" t="s">
        <v>1978</v>
      </c>
      <c r="D367" s="5" t="s">
        <v>1978</v>
      </c>
      <c r="E367" s="6" t="s">
        <v>85</v>
      </c>
      <c r="F367" s="6" t="s">
        <v>1979</v>
      </c>
      <c r="G367" s="3" t="str">
        <f>IFERROR(__xludf.DUMMYFUNCTION("REGEXREPLACE(
D367,
""([一-龯々]+)\[([^\]]+)\]"",
""&lt;ruby&gt;$1&lt;rt&gt;$2&lt;/rt&gt;&lt;/ruby&gt;""
)&amp;""&lt;br&gt;&lt;div class=""""audio""""&gt;[sound:""&amp;C367&amp;"".mp3]&lt;/div&gt;"""),"いつでも&lt;br&gt;&lt;div class=""audio""&gt;[sound:いつでも.mp3]&lt;/div&gt;")</f>
        <v>いつでも&lt;br&gt;&lt;div class="audio"&gt;[sound:いつでも.mp3]&lt;/div&gt;</v>
      </c>
      <c r="H367" s="3" t="str">
        <f t="shared" si="1"/>
        <v>(adv): bất cứ lúc nào</v>
      </c>
      <c r="I367" s="6" t="s">
        <v>1980</v>
      </c>
      <c r="J367" s="6" t="s">
        <v>1981</v>
      </c>
      <c r="K367" s="7">
        <f t="shared" si="2"/>
        <v>0.08956120332</v>
      </c>
    </row>
    <row r="368">
      <c r="A368" s="4">
        <v>368.0</v>
      </c>
      <c r="B368" s="5" t="s">
        <v>1982</v>
      </c>
      <c r="C368" s="5" t="s">
        <v>1983</v>
      </c>
      <c r="D368" s="5" t="s">
        <v>1984</v>
      </c>
      <c r="E368" s="6" t="s">
        <v>74</v>
      </c>
      <c r="F368" s="6" t="s">
        <v>1985</v>
      </c>
      <c r="G368" s="3" t="str">
        <f>IFERROR(__xludf.DUMMYFUNCTION("REGEXREPLACE(
D368,
""([一-龯々]+)\[([^\]]+)\]"",
""&lt;ruby&gt;$1&lt;rt&gt;$2&lt;/rt&gt;&lt;/ruby&gt;""
)&amp;""&lt;br&gt;&lt;div class=""""audio""""&gt;[sound:""&amp;C368&amp;"".mp3]&lt;/div&gt;"""),"&lt;ruby&gt;対策&lt;rt&gt;たいさく&lt;/rt&gt;&lt;/ruby&gt;&lt;br&gt;&lt;div class=""audio""&gt;[sound:たいさく.mp3]&lt;/div&gt;")</f>
        <v>&lt;ruby&gt;対策&lt;rt&gt;たいさく&lt;/rt&gt;&lt;/ruby&gt;&lt;br&gt;&lt;div class="audio"&gt;[sound:たいさく.mp3]&lt;/div&gt;</v>
      </c>
      <c r="H368" s="3" t="str">
        <f t="shared" si="1"/>
        <v>(n): biện pháp</v>
      </c>
      <c r="I368" s="6" t="s">
        <v>1986</v>
      </c>
      <c r="J368" s="6" t="s">
        <v>1987</v>
      </c>
      <c r="K368" s="7">
        <f t="shared" si="2"/>
        <v>0.1031347289</v>
      </c>
    </row>
    <row r="369">
      <c r="A369" s="4">
        <v>369.0</v>
      </c>
      <c r="B369" s="5" t="s">
        <v>1988</v>
      </c>
      <c r="C369" s="5" t="s">
        <v>1989</v>
      </c>
      <c r="D369" s="5" t="s">
        <v>1988</v>
      </c>
      <c r="E369" s="6" t="s">
        <v>74</v>
      </c>
      <c r="F369" s="6" t="s">
        <v>1990</v>
      </c>
      <c r="G369" s="3" t="str">
        <f>IFERROR(__xludf.DUMMYFUNCTION("REGEXREPLACE(
D369,
""([一-龯々]+)\[([^\]]+)\]"",
""&lt;ruby&gt;$1&lt;rt&gt;$2&lt;/rt&gt;&lt;/ruby&gt;""
)&amp;""&lt;br&gt;&lt;div class=""""audio""""&gt;[sound:""&amp;C369&amp;"".mp3]&lt;/div&gt;"""),"アジア&lt;br&gt;&lt;div class=""audio""&gt;[sound:あじあ.mp3]&lt;/div&gt;")</f>
        <v>アジア&lt;br&gt;&lt;div class="audio"&gt;[sound:あじあ.mp3]&lt;/div&gt;</v>
      </c>
      <c r="H369" s="3" t="str">
        <f t="shared" si="1"/>
        <v>(n): châu á</v>
      </c>
      <c r="I369" s="6" t="s">
        <v>1991</v>
      </c>
      <c r="J369" s="6" t="s">
        <v>1992</v>
      </c>
      <c r="K369" s="7">
        <f t="shared" si="2"/>
        <v>0.9620805871</v>
      </c>
    </row>
    <row r="370">
      <c r="A370" s="4">
        <v>370.0</v>
      </c>
      <c r="B370" s="5" t="s">
        <v>1993</v>
      </c>
      <c r="C370" s="5" t="s">
        <v>1994</v>
      </c>
      <c r="D370" s="5" t="s">
        <v>1995</v>
      </c>
      <c r="E370" s="6" t="s">
        <v>74</v>
      </c>
      <c r="F370" s="6" t="s">
        <v>1996</v>
      </c>
      <c r="G370" s="3" t="str">
        <f>IFERROR(__xludf.DUMMYFUNCTION("REGEXREPLACE(
D370,
""([一-龯々]+)\[([^\]]+)\]"",
""&lt;ruby&gt;$1&lt;rt&gt;$2&lt;/rt&gt;&lt;/ruby&gt;""
)&amp;""&lt;br&gt;&lt;div class=""""audio""""&gt;[sound:""&amp;C370&amp;"".mp3]&lt;/div&gt;"""),"&lt;ruby&gt;市&lt;rt&gt;し&lt;/rt&gt;&lt;/ruby&gt;&lt;br&gt;&lt;div class=""audio""&gt;[sound:し.mp3]&lt;/div&gt;")</f>
        <v>&lt;ruby&gt;市&lt;rt&gt;し&lt;/rt&gt;&lt;/ruby&gt;&lt;br&gt;&lt;div class="audio"&gt;[sound:し.mp3]&lt;/div&gt;</v>
      </c>
      <c r="H370" s="3" t="str">
        <f t="shared" si="1"/>
        <v>(n): thành phố</v>
      </c>
      <c r="I370" s="6" t="s">
        <v>1997</v>
      </c>
      <c r="J370" s="6" t="s">
        <v>1998</v>
      </c>
      <c r="K370" s="7">
        <f t="shared" si="2"/>
        <v>0.9830549574</v>
      </c>
    </row>
    <row r="371">
      <c r="A371" s="4">
        <v>371.0</v>
      </c>
      <c r="B371" s="5" t="s">
        <v>1999</v>
      </c>
      <c r="C371" s="5" t="s">
        <v>2000</v>
      </c>
      <c r="D371" s="5" t="s">
        <v>2001</v>
      </c>
      <c r="E371" s="6" t="s">
        <v>74</v>
      </c>
      <c r="F371" s="6" t="s">
        <v>2002</v>
      </c>
      <c r="G371" s="3" t="str">
        <f>IFERROR(__xludf.DUMMYFUNCTION("REGEXREPLACE(
D371,
""([一-龯々]+)\[([^\]]+)\]"",
""&lt;ruby&gt;$1&lt;rt&gt;$2&lt;/rt&gt;&lt;/ruby&gt;""
)&amp;""&lt;br&gt;&lt;div class=""""audio""""&gt;[sound:""&amp;C371&amp;"".mp3]&lt;/div&gt;"""),"&lt;ruby&gt;地方&lt;rt&gt;ちほう&lt;/rt&gt;&lt;/ruby&gt;&lt;br&gt;&lt;div class=""audio""&gt;[sound:ちほう.mp3]&lt;/div&gt;")</f>
        <v>&lt;ruby&gt;地方&lt;rt&gt;ちほう&lt;/rt&gt;&lt;/ruby&gt;&lt;br&gt;&lt;div class="audio"&gt;[sound:ちほう.mp3]&lt;/div&gt;</v>
      </c>
      <c r="H371" s="3" t="str">
        <f t="shared" si="1"/>
        <v>(n): địa phương</v>
      </c>
      <c r="I371" s="6" t="s">
        <v>2003</v>
      </c>
      <c r="J371" s="6" t="s">
        <v>2004</v>
      </c>
      <c r="K371" s="7">
        <f t="shared" si="2"/>
        <v>0.2447803666</v>
      </c>
    </row>
    <row r="372">
      <c r="A372" s="4">
        <v>372.0</v>
      </c>
      <c r="B372" s="5" t="s">
        <v>2005</v>
      </c>
      <c r="C372" s="5" t="s">
        <v>2006</v>
      </c>
      <c r="D372" s="5" t="s">
        <v>2007</v>
      </c>
      <c r="E372" s="6" t="s">
        <v>74</v>
      </c>
      <c r="F372" s="6" t="s">
        <v>2008</v>
      </c>
      <c r="G372" s="3" t="str">
        <f>IFERROR(__xludf.DUMMYFUNCTION("REGEXREPLACE(
D372,
""([一-龯々]+)\[([^\]]+)\]"",
""&lt;ruby&gt;$1&lt;rt&gt;$2&lt;/rt&gt;&lt;/ruby&gt;""
)&amp;""&lt;br&gt;&lt;div class=""""audio""""&gt;[sound:""&amp;C372&amp;"".mp3]&lt;/div&gt;"""),"&lt;ruby&gt;影響&lt;rt&gt;えいきょう&lt;/rt&gt;&lt;/ruby&gt;&lt;br&gt;&lt;div class=""audio""&gt;[sound:えいきょう.mp3]&lt;/div&gt;")</f>
        <v>&lt;ruby&gt;影響&lt;rt&gt;えいきょう&lt;/rt&gt;&lt;/ruby&gt;&lt;br&gt;&lt;div class="audio"&gt;[sound:えいきょう.mp3]&lt;/div&gt;</v>
      </c>
      <c r="H372" s="3" t="str">
        <f t="shared" si="1"/>
        <v>(n): ảnh hưởng</v>
      </c>
      <c r="I372" s="6" t="s">
        <v>2009</v>
      </c>
      <c r="J372" s="6" t="s">
        <v>2010</v>
      </c>
      <c r="K372" s="7">
        <f t="shared" si="2"/>
        <v>0.06956949141</v>
      </c>
    </row>
    <row r="373">
      <c r="A373" s="4">
        <v>373.0</v>
      </c>
      <c r="B373" s="5" t="s">
        <v>2011</v>
      </c>
      <c r="C373" s="5" t="s">
        <v>2011</v>
      </c>
      <c r="D373" s="5" t="s">
        <v>2011</v>
      </c>
      <c r="E373" s="6" t="s">
        <v>90</v>
      </c>
      <c r="F373" s="6" t="s">
        <v>91</v>
      </c>
      <c r="G373" s="3" t="str">
        <f>IFERROR(__xludf.DUMMYFUNCTION("REGEXREPLACE(
D373,
""([一-龯々]+)\[([^\]]+)\]"",
""&lt;ruby&gt;$1&lt;rt&gt;$2&lt;/rt&gt;&lt;/ruby&gt;""
)&amp;""&lt;br&gt;&lt;div class=""""audio""""&gt;[sound:""&amp;C373&amp;"".mp3]&lt;/div&gt;"""),"だが&lt;br&gt;&lt;div class=""audio""&gt;[sound:だが.mp3]&lt;/div&gt;")</f>
        <v>だが&lt;br&gt;&lt;div class="audio"&gt;[sound:だが.mp3]&lt;/div&gt;</v>
      </c>
      <c r="H373" s="3" t="str">
        <f t="shared" si="1"/>
        <v>(conj): nhưng</v>
      </c>
      <c r="I373" s="6" t="s">
        <v>2012</v>
      </c>
      <c r="J373" s="6" t="s">
        <v>93</v>
      </c>
      <c r="K373" s="7">
        <f t="shared" si="2"/>
        <v>0.3152242649</v>
      </c>
    </row>
    <row r="374">
      <c r="A374" s="4">
        <v>374.0</v>
      </c>
      <c r="B374" s="5" t="s">
        <v>2013</v>
      </c>
      <c r="C374" s="5" t="s">
        <v>2014</v>
      </c>
      <c r="D374" s="5" t="s">
        <v>2013</v>
      </c>
      <c r="E374" s="6" t="s">
        <v>74</v>
      </c>
      <c r="F374" s="6" t="s">
        <v>2015</v>
      </c>
      <c r="G374" s="3" t="str">
        <f>IFERROR(__xludf.DUMMYFUNCTION("REGEXREPLACE(
D374,
""([一-龯々]+)\[([^\]]+)\]"",
""&lt;ruby&gt;$1&lt;rt&gt;$2&lt;/rt&gt;&lt;/ruby&gt;""
)&amp;""&lt;br&gt;&lt;div class=""""audio""""&gt;[sound:""&amp;C374&amp;"".mp3]&lt;/div&gt;"""),"アルバイト&lt;br&gt;&lt;div class=""audio""&gt;[sound:あるばいと.mp3]&lt;/div&gt;")</f>
        <v>アルバイト&lt;br&gt;&lt;div class="audio"&gt;[sound:あるばいと.mp3]&lt;/div&gt;</v>
      </c>
      <c r="H374" s="3" t="str">
        <f t="shared" si="1"/>
        <v>(n): việc làm thêm</v>
      </c>
      <c r="I374" s="6" t="s">
        <v>2016</v>
      </c>
      <c r="J374" s="6" t="s">
        <v>2017</v>
      </c>
      <c r="K374" s="7">
        <f t="shared" si="2"/>
        <v>0.7539635163</v>
      </c>
    </row>
    <row r="375">
      <c r="A375" s="4">
        <v>375.0</v>
      </c>
      <c r="B375" s="5" t="s">
        <v>2018</v>
      </c>
      <c r="C375" s="5" t="s">
        <v>2018</v>
      </c>
      <c r="D375" s="5" t="s">
        <v>2018</v>
      </c>
      <c r="E375" s="6" t="s">
        <v>85</v>
      </c>
      <c r="F375" s="6" t="s">
        <v>874</v>
      </c>
      <c r="G375" s="3" t="str">
        <f>IFERROR(__xludf.DUMMYFUNCTION("REGEXREPLACE(
D375,
""([一-龯々]+)\[([^\]]+)\]"",
""&lt;ruby&gt;$1&lt;rt&gt;$2&lt;/rt&gt;&lt;/ruby&gt;""
)&amp;""&lt;br&gt;&lt;div class=""""audio""""&gt;[sound:""&amp;C375&amp;"".mp3]&lt;/div&gt;"""),"しっかり&lt;br&gt;&lt;div class=""audio""&gt;[sound:しっかり.mp3]&lt;/div&gt;")</f>
        <v>しっかり&lt;br&gt;&lt;div class="audio"&gt;[sound:しっかり.mp3]&lt;/div&gt;</v>
      </c>
      <c r="H375" s="3" t="str">
        <f t="shared" si="1"/>
        <v>(adv): chắc chắn</v>
      </c>
      <c r="I375" s="6" t="s">
        <v>2019</v>
      </c>
      <c r="J375" s="6" t="s">
        <v>2020</v>
      </c>
      <c r="K375" s="7">
        <f t="shared" si="2"/>
        <v>0.01885856836</v>
      </c>
    </row>
    <row r="376">
      <c r="A376" s="4">
        <v>376.0</v>
      </c>
      <c r="B376" s="5" t="s">
        <v>2021</v>
      </c>
      <c r="C376" s="5" t="s">
        <v>2021</v>
      </c>
      <c r="D376" s="5" t="s">
        <v>2021</v>
      </c>
      <c r="E376" s="6" t="s">
        <v>85</v>
      </c>
      <c r="F376" s="6" t="s">
        <v>2022</v>
      </c>
      <c r="G376" s="3" t="str">
        <f>IFERROR(__xludf.DUMMYFUNCTION("REGEXREPLACE(
D376,
""([一-龯々]+)\[([^\]]+)\]"",
""&lt;ruby&gt;$1&lt;rt&gt;$2&lt;/rt&gt;&lt;/ruby&gt;""
)&amp;""&lt;br&gt;&lt;div class=""""audio""""&gt;[sound:""&amp;C376&amp;"".mp3]&lt;/div&gt;"""),"どうしても&lt;br&gt;&lt;div class=""audio""&gt;[sound:どうしても.mp3]&lt;/div&gt;")</f>
        <v>どうしても&lt;br&gt;&lt;div class="audio"&gt;[sound:どうしても.mp3]&lt;/div&gt;</v>
      </c>
      <c r="H376" s="3" t="str">
        <f t="shared" si="1"/>
        <v>(adv): dù thế nào</v>
      </c>
      <c r="I376" s="6" t="s">
        <v>2023</v>
      </c>
      <c r="J376" s="6" t="s">
        <v>2024</v>
      </c>
      <c r="K376" s="7">
        <f t="shared" si="2"/>
        <v>0.5130452633</v>
      </c>
    </row>
    <row r="377">
      <c r="A377" s="4">
        <v>377.0</v>
      </c>
      <c r="B377" s="5" t="s">
        <v>2025</v>
      </c>
      <c r="C377" s="5" t="s">
        <v>2026</v>
      </c>
      <c r="D377" s="5" t="s">
        <v>2027</v>
      </c>
      <c r="E377" s="6" t="s">
        <v>74</v>
      </c>
      <c r="F377" s="6" t="s">
        <v>2028</v>
      </c>
      <c r="G377" s="3" t="str">
        <f>IFERROR(__xludf.DUMMYFUNCTION("REGEXREPLACE(
D377,
""([一-龯々]+)\[([^\]]+)\]"",
""&lt;ruby&gt;$1&lt;rt&gt;$2&lt;/rt&gt;&lt;/ruby&gt;""
)&amp;""&lt;br&gt;&lt;div class=""""audio""""&gt;[sound:""&amp;C377&amp;"".mp3]&lt;/div&gt;"""),"&lt;ruby&gt;専門&lt;rt&gt;せんもん&lt;/rt&gt;&lt;/ruby&gt;&lt;br&gt;&lt;div class=""audio""&gt;[sound:せんもん.mp3]&lt;/div&gt;")</f>
        <v>&lt;ruby&gt;専門&lt;rt&gt;せんもん&lt;/rt&gt;&lt;/ruby&gt;&lt;br&gt;&lt;div class="audio"&gt;[sound:せんもん.mp3]&lt;/div&gt;</v>
      </c>
      <c r="H377" s="3" t="str">
        <f t="shared" si="1"/>
        <v>(n): chuyên môn</v>
      </c>
      <c r="I377" s="6" t="s">
        <v>2029</v>
      </c>
      <c r="J377" s="6" t="s">
        <v>2030</v>
      </c>
      <c r="K377" s="7">
        <f t="shared" si="2"/>
        <v>0.05914716394</v>
      </c>
    </row>
    <row r="378">
      <c r="A378" s="4">
        <v>378.0</v>
      </c>
      <c r="B378" s="5" t="s">
        <v>2031</v>
      </c>
      <c r="C378" s="5" t="s">
        <v>2031</v>
      </c>
      <c r="D378" s="5" t="s">
        <v>2031</v>
      </c>
      <c r="E378" s="6" t="s">
        <v>11</v>
      </c>
      <c r="F378" s="6" t="s">
        <v>2032</v>
      </c>
      <c r="G378" s="3" t="str">
        <f>IFERROR(__xludf.DUMMYFUNCTION("REGEXREPLACE(
D378,
""([一-龯々]+)\[([^\]]+)\]"",
""&lt;ruby&gt;$1&lt;rt&gt;$2&lt;/rt&gt;&lt;/ruby&gt;""
)&amp;""&lt;br&gt;&lt;div class=""""audio""""&gt;[sound:""&amp;C378&amp;"".mp3]&lt;/div&gt;"""),"すてき&lt;br&gt;&lt;div class=""audio""&gt;[sound:すてき.mp3]&lt;/div&gt;")</f>
        <v>すてき&lt;br&gt;&lt;div class="audio"&gt;[sound:すてき.mp3]&lt;/div&gt;</v>
      </c>
      <c r="H378" s="3" t="str">
        <f t="shared" si="1"/>
        <v>(adj): tuyệt vời</v>
      </c>
      <c r="I378" s="6" t="s">
        <v>2033</v>
      </c>
      <c r="J378" s="6" t="s">
        <v>2034</v>
      </c>
      <c r="K378" s="7">
        <f t="shared" si="2"/>
        <v>0.7577577563</v>
      </c>
    </row>
    <row r="379">
      <c r="A379" s="4">
        <v>379.0</v>
      </c>
      <c r="B379" s="5" t="s">
        <v>2035</v>
      </c>
      <c r="C379" s="5" t="s">
        <v>2036</v>
      </c>
      <c r="D379" s="5" t="s">
        <v>2037</v>
      </c>
      <c r="E379" s="6" t="s">
        <v>24</v>
      </c>
      <c r="F379" s="6" t="s">
        <v>2038</v>
      </c>
      <c r="G379" s="3" t="str">
        <f>IFERROR(__xludf.DUMMYFUNCTION("REGEXREPLACE(
D379,
""([一-龯々]+)\[([^\]]+)\]"",
""&lt;ruby&gt;$1&lt;rt&gt;$2&lt;/rt&gt;&lt;/ruby&gt;""
)&amp;""&lt;br&gt;&lt;div class=""""audio""""&gt;[sound:""&amp;C379&amp;"".mp3]&lt;/div&gt;"""),"&lt;ruby&gt;向&lt;rt&gt;む&lt;/rt&gt;&lt;/ruby&gt;く&lt;br&gt;&lt;div class=""audio""&gt;[sound:むく.mp3]&lt;/div&gt;")</f>
        <v>&lt;ruby&gt;向&lt;rt&gt;む&lt;/rt&gt;&lt;/ruby&gt;く&lt;br&gt;&lt;div class="audio"&gt;[sound:むく.mp3]&lt;/div&gt;</v>
      </c>
      <c r="H379" s="3" t="str">
        <f t="shared" si="1"/>
        <v>(v): hướng về</v>
      </c>
      <c r="I379" s="6" t="s">
        <v>2039</v>
      </c>
      <c r="J379" s="6" t="s">
        <v>2040</v>
      </c>
      <c r="K379" s="7">
        <f t="shared" si="2"/>
        <v>0.1088606956</v>
      </c>
    </row>
    <row r="380">
      <c r="A380" s="4">
        <v>380.0</v>
      </c>
      <c r="B380" s="5" t="s">
        <v>2041</v>
      </c>
      <c r="C380" s="5" t="s">
        <v>2042</v>
      </c>
      <c r="D380" s="5" t="s">
        <v>2043</v>
      </c>
      <c r="E380" s="6" t="s">
        <v>74</v>
      </c>
      <c r="F380" s="6" t="s">
        <v>2044</v>
      </c>
      <c r="G380" s="3" t="str">
        <f>IFERROR(__xludf.DUMMYFUNCTION("REGEXREPLACE(
D380,
""([一-龯々]+)\[([^\]]+)\]"",
""&lt;ruby&gt;$1&lt;rt&gt;$2&lt;/rt&gt;&lt;/ruby&gt;""
)&amp;""&lt;br&gt;&lt;div class=""""audio""""&gt;[sound:""&amp;C380&amp;"".mp3]&lt;/div&gt;"""),"&lt;ruby&gt;希望&lt;rt&gt;きぼう&lt;/rt&gt;&lt;/ruby&gt;&lt;br&gt;&lt;div class=""audio""&gt;[sound:きぼう.mp3]&lt;/div&gt;")</f>
        <v>&lt;ruby&gt;希望&lt;rt&gt;きぼう&lt;/rt&gt;&lt;/ruby&gt;&lt;br&gt;&lt;div class="audio"&gt;[sound:きぼう.mp3]&lt;/div&gt;</v>
      </c>
      <c r="H380" s="3" t="str">
        <f t="shared" si="1"/>
        <v>(n): hy vọng</v>
      </c>
      <c r="I380" s="6" t="s">
        <v>2045</v>
      </c>
      <c r="J380" s="6" t="s">
        <v>2046</v>
      </c>
      <c r="K380" s="7">
        <f t="shared" si="2"/>
        <v>0.2763992692</v>
      </c>
    </row>
    <row r="381">
      <c r="A381" s="4">
        <v>381.0</v>
      </c>
      <c r="B381" s="5" t="s">
        <v>2047</v>
      </c>
      <c r="C381" s="5" t="s">
        <v>2047</v>
      </c>
      <c r="D381" s="5" t="s">
        <v>2047</v>
      </c>
      <c r="E381" s="6" t="s">
        <v>24</v>
      </c>
      <c r="F381" s="6" t="s">
        <v>2048</v>
      </c>
      <c r="G381" s="3" t="str">
        <f>IFERROR(__xludf.DUMMYFUNCTION("REGEXREPLACE(
D381,
""([一-龯々]+)\[([^\]]+)\]"",
""&lt;ruby&gt;$1&lt;rt&gt;$2&lt;/rt&gt;&lt;/ruby&gt;""
)&amp;""&lt;br&gt;&lt;div class=""""audio""""&gt;[sound:""&amp;C381&amp;"".mp3]&lt;/div&gt;"""),"うかがう&lt;br&gt;&lt;div class=""audio""&gt;[sound:うかがう.mp3]&lt;/div&gt;")</f>
        <v>うかがう&lt;br&gt;&lt;div class="audio"&gt;[sound:うかがう.mp3]&lt;/div&gt;</v>
      </c>
      <c r="H381" s="3" t="str">
        <f t="shared" si="1"/>
        <v>(v): hỏi</v>
      </c>
      <c r="I381" s="6" t="s">
        <v>2049</v>
      </c>
      <c r="J381" s="6" t="s">
        <v>2050</v>
      </c>
      <c r="K381" s="7">
        <f t="shared" si="2"/>
        <v>0.0214523275</v>
      </c>
    </row>
    <row r="382">
      <c r="A382" s="4">
        <v>382.0</v>
      </c>
      <c r="B382" s="5" t="s">
        <v>2051</v>
      </c>
      <c r="C382" s="5" t="s">
        <v>2051</v>
      </c>
      <c r="D382" s="5" t="s">
        <v>2051</v>
      </c>
      <c r="E382" s="6" t="s">
        <v>85</v>
      </c>
      <c r="F382" s="6" t="s">
        <v>2052</v>
      </c>
      <c r="G382" s="3" t="str">
        <f>IFERROR(__xludf.DUMMYFUNCTION("REGEXREPLACE(
D382,
""([一-龯々]+)\[([^\]]+)\]"",
""&lt;ruby&gt;$1&lt;rt&gt;$2&lt;/rt&gt;&lt;/ruby&gt;""
)&amp;""&lt;br&gt;&lt;div class=""""audio""""&gt;[sound:""&amp;C382&amp;"".mp3]&lt;/div&gt;"""),"そのまま&lt;br&gt;&lt;div class=""audio""&gt;[sound:そのまま.mp3]&lt;/div&gt;")</f>
        <v>そのまま&lt;br&gt;&lt;div class="audio"&gt;[sound:そのまま.mp3]&lt;/div&gt;</v>
      </c>
      <c r="H382" s="3" t="str">
        <f t="shared" si="1"/>
        <v>(adv): cứ để nguyên</v>
      </c>
      <c r="I382" s="6" t="s">
        <v>2053</v>
      </c>
      <c r="J382" s="6" t="s">
        <v>2054</v>
      </c>
      <c r="K382" s="7">
        <f t="shared" si="2"/>
        <v>0.6268650603</v>
      </c>
    </row>
    <row r="383">
      <c r="A383" s="4">
        <v>383.0</v>
      </c>
      <c r="B383" s="5" t="s">
        <v>2055</v>
      </c>
      <c r="C383" s="5" t="s">
        <v>2056</v>
      </c>
      <c r="D383" s="5" t="s">
        <v>2057</v>
      </c>
      <c r="E383" s="6" t="s">
        <v>24</v>
      </c>
      <c r="F383" s="6" t="s">
        <v>2058</v>
      </c>
      <c r="G383" s="3" t="str">
        <f>IFERROR(__xludf.DUMMYFUNCTION("REGEXREPLACE(
D383,
""([一-龯々]+)\[([^\]]+)\]"",
""&lt;ruby&gt;$1&lt;rt&gt;$2&lt;/rt&gt;&lt;/ruby&gt;""
)&amp;""&lt;br&gt;&lt;div class=""""audio""""&gt;[sound:""&amp;C383&amp;"".mp3]&lt;/div&gt;"""),"&lt;ruby&gt;伝&lt;rt&gt;つた&lt;/rt&gt;&lt;/ruby&gt;える&lt;br&gt;&lt;div class=""audio""&gt;[sound:つたえる.mp3]&lt;/div&gt;")</f>
        <v>&lt;ruby&gt;伝&lt;rt&gt;つた&lt;/rt&gt;&lt;/ruby&gt;える&lt;br&gt;&lt;div class="audio"&gt;[sound:つたえる.mp3]&lt;/div&gt;</v>
      </c>
      <c r="H383" s="3" t="str">
        <f t="shared" si="1"/>
        <v>(v): truyền đạt</v>
      </c>
      <c r="I383" s="6" t="s">
        <v>2059</v>
      </c>
      <c r="J383" s="6" t="s">
        <v>2060</v>
      </c>
      <c r="K383" s="7">
        <f t="shared" si="2"/>
        <v>0.1538867872</v>
      </c>
    </row>
    <row r="384">
      <c r="A384" s="4">
        <v>384.0</v>
      </c>
      <c r="B384" s="5" t="s">
        <v>2061</v>
      </c>
      <c r="C384" s="5" t="s">
        <v>2062</v>
      </c>
      <c r="D384" s="5" t="s">
        <v>2063</v>
      </c>
      <c r="E384" s="6" t="s">
        <v>74</v>
      </c>
      <c r="F384" s="6" t="s">
        <v>2064</v>
      </c>
      <c r="G384" s="3" t="str">
        <f>IFERROR(__xludf.DUMMYFUNCTION("REGEXREPLACE(
D384,
""([一-龯々]+)\[([^\]]+)\]"",
""&lt;ruby&gt;$1&lt;rt&gt;$2&lt;/rt&gt;&lt;/ruby&gt;""
)&amp;""&lt;br&gt;&lt;div class=""""audio""""&gt;[sound:""&amp;C384&amp;"".mp3]&lt;/div&gt;"""),"&lt;ruby&gt;種類&lt;rt&gt;しゅるい&lt;/rt&gt;&lt;/ruby&gt;&lt;br&gt;&lt;div class=""audio""&gt;[sound:しゅるい.mp3]&lt;/div&gt;")</f>
        <v>&lt;ruby&gt;種類&lt;rt&gt;しゅるい&lt;/rt&gt;&lt;/ruby&gt;&lt;br&gt;&lt;div class="audio"&gt;[sound:しゅるい.mp3]&lt;/div&gt;</v>
      </c>
      <c r="H384" s="3" t="str">
        <f t="shared" si="1"/>
        <v>(n): chủng loại</v>
      </c>
      <c r="I384" s="6" t="s">
        <v>2065</v>
      </c>
      <c r="J384" s="6" t="s">
        <v>2066</v>
      </c>
      <c r="K384" s="7">
        <f t="shared" si="2"/>
        <v>0.2711863386</v>
      </c>
    </row>
    <row r="385">
      <c r="A385" s="4">
        <v>385.0</v>
      </c>
      <c r="B385" s="5" t="s">
        <v>2067</v>
      </c>
      <c r="C385" s="5" t="s">
        <v>2068</v>
      </c>
      <c r="D385" s="5" t="s">
        <v>2069</v>
      </c>
      <c r="E385" s="6" t="s">
        <v>85</v>
      </c>
      <c r="F385" s="6" t="s">
        <v>2070</v>
      </c>
      <c r="G385" s="3" t="str">
        <f>IFERROR(__xludf.DUMMYFUNCTION("REGEXREPLACE(
D385,
""([一-龯々]+)\[([^\]]+)\]"",
""&lt;ruby&gt;$1&lt;rt&gt;$2&lt;/rt&gt;&lt;/ruby&gt;""
)&amp;""&lt;br&gt;&lt;div class=""""audio""""&gt;[sound:""&amp;C385&amp;"".mp3]&lt;/div&gt;"""),"&lt;ruby&gt;必&lt;rt&gt;かなら&lt;/rt&gt;&lt;/ruby&gt;ず&lt;br&gt;&lt;div class=""audio""&gt;[sound:かならず.mp3]&lt;/div&gt;")</f>
        <v>&lt;ruby&gt;必&lt;rt&gt;かなら&lt;/rt&gt;&lt;/ruby&gt;ず&lt;br&gt;&lt;div class="audio"&gt;[sound:かならず.mp3]&lt;/div&gt;</v>
      </c>
      <c r="H385" s="3" t="str">
        <f t="shared" si="1"/>
        <v>(adv): nhất định</v>
      </c>
      <c r="I385" s="6" t="s">
        <v>2071</v>
      </c>
      <c r="J385" s="6" t="s">
        <v>2072</v>
      </c>
      <c r="K385" s="7">
        <f t="shared" si="2"/>
        <v>0.3791121159</v>
      </c>
    </row>
    <row r="386">
      <c r="A386" s="4">
        <v>386.0</v>
      </c>
      <c r="B386" s="5" t="s">
        <v>2073</v>
      </c>
      <c r="C386" s="5" t="s">
        <v>2074</v>
      </c>
      <c r="D386" s="5" t="s">
        <v>2073</v>
      </c>
      <c r="E386" s="6" t="s">
        <v>74</v>
      </c>
      <c r="F386" s="6" t="s">
        <v>2075</v>
      </c>
      <c r="G386" s="3" t="str">
        <f>IFERROR(__xludf.DUMMYFUNCTION("REGEXREPLACE(
D386,
""([一-龯々]+)\[([^\]]+)\]"",
""&lt;ruby&gt;$1&lt;rt&gt;$2&lt;/rt&gt;&lt;/ruby&gt;""
)&amp;""&lt;br&gt;&lt;div class=""""audio""""&gt;[sound:""&amp;C386&amp;"".mp3]&lt;/div&gt;"""),"ビル&lt;br&gt;&lt;div class=""audio""&gt;[sound:びる.mp3]&lt;/div&gt;")</f>
        <v>ビル&lt;br&gt;&lt;div class="audio"&gt;[sound:びる.mp3]&lt;/div&gt;</v>
      </c>
      <c r="H386" s="3" t="str">
        <f t="shared" si="1"/>
        <v>(n): tòa nhà</v>
      </c>
      <c r="I386" s="6" t="s">
        <v>2076</v>
      </c>
      <c r="J386" s="6" t="s">
        <v>2077</v>
      </c>
      <c r="K386" s="7">
        <f t="shared" si="2"/>
        <v>0.826409252</v>
      </c>
    </row>
    <row r="387">
      <c r="A387" s="4">
        <v>387.0</v>
      </c>
      <c r="B387" s="5" t="s">
        <v>2078</v>
      </c>
      <c r="C387" s="5" t="s">
        <v>2079</v>
      </c>
      <c r="D387" s="5" t="s">
        <v>2080</v>
      </c>
      <c r="E387" s="6" t="s">
        <v>74</v>
      </c>
      <c r="F387" s="6" t="s">
        <v>2081</v>
      </c>
      <c r="G387" s="3" t="str">
        <f>IFERROR(__xludf.DUMMYFUNCTION("REGEXREPLACE(
D387,
""([一-龯々]+)\[([^\]]+)\]"",
""&lt;ruby&gt;$1&lt;rt&gt;$2&lt;/rt&gt;&lt;/ruby&gt;""
)&amp;""&lt;br&gt;&lt;div class=""""audio""""&gt;[sound:""&amp;C387&amp;"".mp3]&lt;/div&gt;"""),"&lt;ruby&gt;話&lt;rt&gt;はなし&lt;/rt&gt;&lt;/ruby&gt;&lt;br&gt;&lt;div class=""audio""&gt;[sound:はなし.mp3]&lt;/div&gt;")</f>
        <v>&lt;ruby&gt;話&lt;rt&gt;はなし&lt;/rt&gt;&lt;/ruby&gt;&lt;br&gt;&lt;div class="audio"&gt;[sound:はなし.mp3]&lt;/div&gt;</v>
      </c>
      <c r="H387" s="3" t="str">
        <f t="shared" si="1"/>
        <v>(n): câu chuyện</v>
      </c>
      <c r="I387" s="6" t="s">
        <v>2082</v>
      </c>
      <c r="J387" s="6" t="s">
        <v>2083</v>
      </c>
      <c r="K387" s="7">
        <f t="shared" si="2"/>
        <v>0.1146427443</v>
      </c>
    </row>
    <row r="388">
      <c r="A388" s="4">
        <v>388.0</v>
      </c>
      <c r="B388" s="5" t="s">
        <v>2084</v>
      </c>
      <c r="C388" s="5" t="s">
        <v>2084</v>
      </c>
      <c r="D388" s="5" t="s">
        <v>2084</v>
      </c>
      <c r="E388" s="6" t="s">
        <v>85</v>
      </c>
      <c r="F388" s="6" t="s">
        <v>2085</v>
      </c>
      <c r="G388" s="3" t="str">
        <f>IFERROR(__xludf.DUMMYFUNCTION("REGEXREPLACE(
D388,
""([一-龯々]+)\[([^\]]+)\]"",
""&lt;ruby&gt;$1&lt;rt&gt;$2&lt;/rt&gt;&lt;/ruby&gt;""
)&amp;""&lt;br&gt;&lt;div class=""""audio""""&gt;[sound:""&amp;C388&amp;"".mp3]&lt;/div&gt;"""),"あんまり&lt;br&gt;&lt;div class=""audio""&gt;[sound:あんまり.mp3]&lt;/div&gt;")</f>
        <v>あんまり&lt;br&gt;&lt;div class="audio"&gt;[sound:あんまり.mp3]&lt;/div&gt;</v>
      </c>
      <c r="H388" s="3" t="str">
        <f t="shared" si="1"/>
        <v>(adv): không quá</v>
      </c>
      <c r="I388" s="6" t="s">
        <v>2086</v>
      </c>
      <c r="J388" s="6" t="s">
        <v>2087</v>
      </c>
      <c r="K388" s="7">
        <f t="shared" si="2"/>
        <v>0.9709164751</v>
      </c>
    </row>
    <row r="389">
      <c r="A389" s="4">
        <v>389.0</v>
      </c>
      <c r="B389" s="5" t="s">
        <v>2088</v>
      </c>
      <c r="C389" s="5" t="s">
        <v>2089</v>
      </c>
      <c r="D389" s="5" t="s">
        <v>2090</v>
      </c>
      <c r="E389" s="6" t="s">
        <v>74</v>
      </c>
      <c r="F389" s="6" t="s">
        <v>2091</v>
      </c>
      <c r="G389" s="3" t="str">
        <f>IFERROR(__xludf.DUMMYFUNCTION("REGEXREPLACE(
D389,
""([一-龯々]+)\[([^\]]+)\]"",
""&lt;ruby&gt;$1&lt;rt&gt;$2&lt;/rt&gt;&lt;/ruby&gt;""
)&amp;""&lt;br&gt;&lt;div class=""""audio""""&gt;[sound:""&amp;C389&amp;"".mp3]&lt;/div&gt;"""),"&lt;ruby&gt;文化&lt;rt&gt;ぶんか&lt;/rt&gt;&lt;/ruby&gt;&lt;br&gt;&lt;div class=""audio""&gt;[sound:ぶんか.mp3]&lt;/div&gt;")</f>
        <v>&lt;ruby&gt;文化&lt;rt&gt;ぶんか&lt;/rt&gt;&lt;/ruby&gt;&lt;br&gt;&lt;div class="audio"&gt;[sound:ぶんか.mp3]&lt;/div&gt;</v>
      </c>
      <c r="H389" s="3" t="str">
        <f t="shared" si="1"/>
        <v>(n): văn hóa</v>
      </c>
      <c r="I389" s="6" t="s">
        <v>2092</v>
      </c>
      <c r="J389" s="6" t="s">
        <v>2093</v>
      </c>
      <c r="K389" s="7">
        <f t="shared" si="2"/>
        <v>0.5736550816</v>
      </c>
    </row>
    <row r="390">
      <c r="A390" s="4">
        <v>390.0</v>
      </c>
      <c r="B390" s="5" t="s">
        <v>2094</v>
      </c>
      <c r="C390" s="5" t="s">
        <v>2094</v>
      </c>
      <c r="D390" s="5" t="s">
        <v>2094</v>
      </c>
      <c r="E390" s="6" t="s">
        <v>90</v>
      </c>
      <c r="F390" s="6" t="s">
        <v>91</v>
      </c>
      <c r="G390" s="3" t="str">
        <f>IFERROR(__xludf.DUMMYFUNCTION("REGEXREPLACE(
D390,
""([一-龯々]+)\[([^\]]+)\]"",
""&lt;ruby&gt;$1&lt;rt&gt;$2&lt;/rt&gt;&lt;/ruby&gt;""
)&amp;""&lt;br&gt;&lt;div class=""""audio""""&gt;[sound:""&amp;C390&amp;"".mp3]&lt;/div&gt;"""),"だけど&lt;br&gt;&lt;div class=""audio""&gt;[sound:だけど.mp3]&lt;/div&gt;")</f>
        <v>だけど&lt;br&gt;&lt;div class="audio"&gt;[sound:だけど.mp3]&lt;/div&gt;</v>
      </c>
      <c r="H390" s="3" t="str">
        <f t="shared" si="1"/>
        <v>(conj): nhưng</v>
      </c>
      <c r="I390" s="6" t="s">
        <v>2095</v>
      </c>
      <c r="J390" s="6" t="s">
        <v>2096</v>
      </c>
      <c r="K390" s="7">
        <f t="shared" si="2"/>
        <v>0.5651483305</v>
      </c>
    </row>
    <row r="391">
      <c r="A391" s="4">
        <v>391.0</v>
      </c>
      <c r="B391" s="5" t="s">
        <v>2097</v>
      </c>
      <c r="C391" s="5" t="s">
        <v>2097</v>
      </c>
      <c r="D391" s="5" t="s">
        <v>2097</v>
      </c>
      <c r="E391" s="6" t="s">
        <v>85</v>
      </c>
      <c r="F391" s="6" t="s">
        <v>488</v>
      </c>
      <c r="G391" s="3" t="str">
        <f>IFERROR(__xludf.DUMMYFUNCTION("REGEXREPLACE(
D391,
""([一-龯々]+)\[([^\]]+)\]"",
""&lt;ruby&gt;$1&lt;rt&gt;$2&lt;/rt&gt;&lt;/ruby&gt;""
)&amp;""&lt;br&gt;&lt;div class=""""audio""""&gt;[sound:""&amp;C391&amp;"".mp3]&lt;/div&gt;"""),"いかが&lt;br&gt;&lt;div class=""audio""&gt;[sound:いかが.mp3]&lt;/div&gt;")</f>
        <v>いかが&lt;br&gt;&lt;div class="audio"&gt;[sound:いかが.mp3]&lt;/div&gt;</v>
      </c>
      <c r="H391" s="3" t="str">
        <f t="shared" si="1"/>
        <v>(adv): như thế nào</v>
      </c>
      <c r="I391" s="6" t="s">
        <v>2098</v>
      </c>
      <c r="J391" s="6" t="s">
        <v>2099</v>
      </c>
      <c r="K391" s="7">
        <f t="shared" si="2"/>
        <v>0.3599019891</v>
      </c>
    </row>
    <row r="392">
      <c r="A392" s="4">
        <v>392.0</v>
      </c>
      <c r="B392" s="5" t="s">
        <v>2100</v>
      </c>
      <c r="C392" s="5" t="s">
        <v>2100</v>
      </c>
      <c r="D392" s="5" t="s">
        <v>2100</v>
      </c>
      <c r="E392" s="6" t="s">
        <v>11</v>
      </c>
      <c r="F392" s="6" t="s">
        <v>929</v>
      </c>
      <c r="G392" s="3" t="str">
        <f>IFERROR(__xludf.DUMMYFUNCTION("REGEXREPLACE(
D392,
""([一-龯々]+)\[([^\]]+)\]"",
""&lt;ruby&gt;$1&lt;rt&gt;$2&lt;/rt&gt;&lt;/ruby&gt;""
)&amp;""&lt;br&gt;&lt;div class=""""audio""""&gt;[sound:""&amp;C392&amp;"".mp3]&lt;/div&gt;"""),"いけない&lt;br&gt;&lt;div class=""audio""&gt;[sound:いけない.mp3]&lt;/div&gt;")</f>
        <v>いけない&lt;br&gt;&lt;div class="audio"&gt;[sound:いけない.mp3]&lt;/div&gt;</v>
      </c>
      <c r="H392" s="3" t="str">
        <f t="shared" si="1"/>
        <v>(adj): không được</v>
      </c>
      <c r="I392" s="6" t="s">
        <v>2101</v>
      </c>
      <c r="J392" s="6" t="s">
        <v>2102</v>
      </c>
      <c r="K392" s="7">
        <f t="shared" si="2"/>
        <v>0.7689666212</v>
      </c>
    </row>
    <row r="393">
      <c r="A393" s="4">
        <v>393.0</v>
      </c>
      <c r="B393" s="5" t="s">
        <v>2103</v>
      </c>
      <c r="C393" s="5" t="s">
        <v>2104</v>
      </c>
      <c r="D393" s="5" t="s">
        <v>2103</v>
      </c>
      <c r="E393" s="6" t="s">
        <v>74</v>
      </c>
      <c r="F393" s="6" t="s">
        <v>2105</v>
      </c>
      <c r="G393" s="3" t="str">
        <f>IFERROR(__xludf.DUMMYFUNCTION("REGEXREPLACE(
D393,
""([一-龯々]+)\[([^\]]+)\]"",
""&lt;ruby&gt;$1&lt;rt&gt;$2&lt;/rt&gt;&lt;/ruby&gt;""
)&amp;""&lt;br&gt;&lt;div class=""""audio""""&gt;[sound:""&amp;C393&amp;"".mp3]&lt;/div&gt;"""),"ゲーム&lt;br&gt;&lt;div class=""audio""&gt;[sound:げーむ.mp3]&lt;/div&gt;")</f>
        <v>ゲーム&lt;br&gt;&lt;div class="audio"&gt;[sound:げーむ.mp3]&lt;/div&gt;</v>
      </c>
      <c r="H393" s="3" t="str">
        <f t="shared" si="1"/>
        <v>(n): trò chơi</v>
      </c>
      <c r="I393" s="6" t="s">
        <v>2106</v>
      </c>
      <c r="J393" s="6" t="s">
        <v>2107</v>
      </c>
      <c r="K393" s="7">
        <f t="shared" si="2"/>
        <v>0.58407728</v>
      </c>
    </row>
    <row r="394">
      <c r="A394" s="4">
        <v>394.0</v>
      </c>
      <c r="B394" s="5" t="s">
        <v>2108</v>
      </c>
      <c r="C394" s="5" t="s">
        <v>2109</v>
      </c>
      <c r="D394" s="5" t="s">
        <v>2108</v>
      </c>
      <c r="E394" s="6" t="s">
        <v>74</v>
      </c>
      <c r="F394" s="6" t="s">
        <v>2110</v>
      </c>
      <c r="G394" s="3" t="str">
        <f>IFERROR(__xludf.DUMMYFUNCTION("REGEXREPLACE(
D394,
""([一-龯々]+)\[([^\]]+)\]"",
""&lt;ruby&gt;$1&lt;rt&gt;$2&lt;/rt&gt;&lt;/ruby&gt;""
)&amp;""&lt;br&gt;&lt;div class=""""audio""""&gt;[sound:""&amp;C394&amp;"".mp3]&lt;/div&gt;"""),"カメラ&lt;br&gt;&lt;div class=""audio""&gt;[sound:かめら.mp3]&lt;/div&gt;")</f>
        <v>カメラ&lt;br&gt;&lt;div class="audio"&gt;[sound:かめら.mp3]&lt;/div&gt;</v>
      </c>
      <c r="H394" s="3" t="str">
        <f t="shared" si="1"/>
        <v>(n): máy ảnh</v>
      </c>
      <c r="I394" s="6" t="s">
        <v>2111</v>
      </c>
      <c r="J394" s="6" t="s">
        <v>2112</v>
      </c>
      <c r="K394" s="7">
        <f t="shared" si="2"/>
        <v>0.04137780745</v>
      </c>
    </row>
    <row r="395">
      <c r="A395" s="4">
        <v>395.0</v>
      </c>
      <c r="B395" s="5" t="s">
        <v>2113</v>
      </c>
      <c r="C395" s="5" t="s">
        <v>2113</v>
      </c>
      <c r="D395" s="5" t="s">
        <v>2113</v>
      </c>
      <c r="E395" s="6" t="s">
        <v>90</v>
      </c>
      <c r="F395" s="6" t="s">
        <v>878</v>
      </c>
      <c r="G395" s="3" t="str">
        <f>IFERROR(__xludf.DUMMYFUNCTION("REGEXREPLACE(
D395,
""([一-龯々]+)\[([^\]]+)\]"",
""&lt;ruby&gt;$1&lt;rt&gt;$2&lt;/rt&gt;&lt;/ruby&gt;""
)&amp;""&lt;br&gt;&lt;div class=""""audio""""&gt;[sound:""&amp;C395&amp;"".mp3]&lt;/div&gt;"""),"さて&lt;br&gt;&lt;div class=""audio""&gt;[sound:さて.mp3]&lt;/div&gt;")</f>
        <v>さて&lt;br&gt;&lt;div class="audio"&gt;[sound:さて.mp3]&lt;/div&gt;</v>
      </c>
      <c r="H395" s="3" t="str">
        <f t="shared" si="1"/>
        <v>(conj): vậy thì</v>
      </c>
      <c r="I395" s="6" t="s">
        <v>2114</v>
      </c>
      <c r="J395" s="6" t="s">
        <v>2115</v>
      </c>
      <c r="K395" s="7">
        <f t="shared" si="2"/>
        <v>0.4365732418</v>
      </c>
    </row>
    <row r="396">
      <c r="A396" s="4">
        <v>396.0</v>
      </c>
      <c r="B396" s="5" t="s">
        <v>2116</v>
      </c>
      <c r="C396" s="5" t="s">
        <v>2117</v>
      </c>
      <c r="D396" s="5" t="s">
        <v>2118</v>
      </c>
      <c r="E396" s="6" t="s">
        <v>11</v>
      </c>
      <c r="F396" s="6" t="s">
        <v>2119</v>
      </c>
      <c r="G396" s="3" t="str">
        <f>IFERROR(__xludf.DUMMYFUNCTION("REGEXREPLACE(
D396,
""([一-龯々]+)\[([^\]]+)\]"",
""&lt;ruby&gt;$1&lt;rt&gt;$2&lt;/rt&gt;&lt;/ruby&gt;""
)&amp;""&lt;br&gt;&lt;div class=""""audio""""&gt;[sound:""&amp;C396&amp;"".mp3]&lt;/div&gt;"""),"&lt;ruby&gt;心配&lt;rt&gt;しんぱい&lt;/rt&gt;&lt;/ruby&gt;&lt;br&gt;&lt;div class=""audio""&gt;[sound:しんぱい.mp3]&lt;/div&gt;")</f>
        <v>&lt;ruby&gt;心配&lt;rt&gt;しんぱい&lt;/rt&gt;&lt;/ruby&gt;&lt;br&gt;&lt;div class="audio"&gt;[sound:しんぱい.mp3]&lt;/div&gt;</v>
      </c>
      <c r="H396" s="3" t="str">
        <f t="shared" si="1"/>
        <v>(adj): lo lắng</v>
      </c>
      <c r="I396" s="6" t="s">
        <v>2120</v>
      </c>
      <c r="J396" s="6" t="s">
        <v>2121</v>
      </c>
      <c r="K396" s="7">
        <f t="shared" si="2"/>
        <v>0.1468765859</v>
      </c>
    </row>
    <row r="397">
      <c r="A397" s="4">
        <v>397.0</v>
      </c>
      <c r="B397" s="5" t="s">
        <v>2122</v>
      </c>
      <c r="C397" s="5" t="s">
        <v>2122</v>
      </c>
      <c r="D397" s="5" t="s">
        <v>2122</v>
      </c>
      <c r="E397" s="6" t="s">
        <v>44</v>
      </c>
      <c r="F397" s="6" t="s">
        <v>870</v>
      </c>
      <c r="G397" s="3" t="str">
        <f>IFERROR(__xludf.DUMMYFUNCTION("REGEXREPLACE(
D397,
""([一-龯々]+)\[([^\]]+)\]"",
""&lt;ruby&gt;$1&lt;rt&gt;$2&lt;/rt&gt;&lt;/ruby&gt;""
)&amp;""&lt;br&gt;&lt;div class=""""audio""""&gt;[sound:""&amp;C397&amp;"".mp3]&lt;/div&gt;"""),"あっち&lt;br&gt;&lt;div class=""audio""&gt;[sound:あっち.mp3]&lt;/div&gt;")</f>
        <v>あっち&lt;br&gt;&lt;div class="audio"&gt;[sound:あっち.mp3]&lt;/div&gt;</v>
      </c>
      <c r="H397" s="3" t="str">
        <f t="shared" si="1"/>
        <v>(pron): đằng kia</v>
      </c>
      <c r="I397" s="6" t="s">
        <v>2123</v>
      </c>
      <c r="J397" s="6" t="s">
        <v>2124</v>
      </c>
      <c r="K397" s="7">
        <f t="shared" si="2"/>
        <v>0.8725716999</v>
      </c>
    </row>
    <row r="398">
      <c r="A398" s="4">
        <v>398.0</v>
      </c>
      <c r="B398" s="5" t="s">
        <v>2125</v>
      </c>
      <c r="C398" s="5" t="s">
        <v>2126</v>
      </c>
      <c r="D398" s="5" t="s">
        <v>2127</v>
      </c>
      <c r="E398" s="6" t="s">
        <v>90</v>
      </c>
      <c r="F398" s="6" t="s">
        <v>2128</v>
      </c>
      <c r="G398" s="3" t="str">
        <f>IFERROR(__xludf.DUMMYFUNCTION("REGEXREPLACE(
D398,
""([一-龯々]+)\[([^\]]+)\]"",
""&lt;ruby&gt;$1&lt;rt&gt;$2&lt;/rt&gt;&lt;/ruby&gt;""
)&amp;""&lt;br&gt;&lt;div class=""""audio""""&gt;[sound:""&amp;C398&amp;"".mp3]&lt;/div&gt;"""),"&lt;ruby&gt;一方&lt;rt&gt;いっぽう&lt;/rt&gt;&lt;/ruby&gt;&lt;br&gt;&lt;div class=""audio""&gt;[sound:いっぽう.mp3]&lt;/div&gt;")</f>
        <v>&lt;ruby&gt;一方&lt;rt&gt;いっぽう&lt;/rt&gt;&lt;/ruby&gt;&lt;br&gt;&lt;div class="audio"&gt;[sound:いっぽう.mp3]&lt;/div&gt;</v>
      </c>
      <c r="H398" s="3" t="str">
        <f t="shared" si="1"/>
        <v>(conj): mặt khác</v>
      </c>
      <c r="I398" s="6" t="s">
        <v>2129</v>
      </c>
      <c r="J398" s="6" t="s">
        <v>2130</v>
      </c>
      <c r="K398" s="7">
        <f t="shared" si="2"/>
        <v>0.7492942865</v>
      </c>
    </row>
    <row r="399">
      <c r="A399" s="4">
        <v>399.0</v>
      </c>
      <c r="B399" s="5" t="s">
        <v>2131</v>
      </c>
      <c r="C399" s="5" t="s">
        <v>2132</v>
      </c>
      <c r="D399" s="5" t="s">
        <v>2133</v>
      </c>
      <c r="E399" s="6" t="s">
        <v>24</v>
      </c>
      <c r="F399" s="6" t="s">
        <v>2134</v>
      </c>
      <c r="G399" s="3" t="str">
        <f>IFERROR(__xludf.DUMMYFUNCTION("REGEXREPLACE(
D399,
""([一-龯々]+)\[([^\]]+)\]"",
""&lt;ruby&gt;$1&lt;rt&gt;$2&lt;/rt&gt;&lt;/ruby&gt;""
)&amp;""&lt;br&gt;&lt;div class=""""audio""""&gt;[sound:""&amp;C399&amp;"".mp3]&lt;/div&gt;"""),"&lt;ruby&gt;広&lt;rt&gt;ひろ&lt;/rt&gt;&lt;/ruby&gt;がる&lt;br&gt;&lt;div class=""audio""&gt;[sound:ひろがる.mp3]&lt;/div&gt;")</f>
        <v>&lt;ruby&gt;広&lt;rt&gt;ひろ&lt;/rt&gt;&lt;/ruby&gt;がる&lt;br&gt;&lt;div class="audio"&gt;[sound:ひろがる.mp3]&lt;/div&gt;</v>
      </c>
      <c r="H399" s="3" t="str">
        <f t="shared" si="1"/>
        <v>(v): lan rộng</v>
      </c>
      <c r="I399" s="6" t="s">
        <v>2135</v>
      </c>
      <c r="J399" s="6" t="s">
        <v>2136</v>
      </c>
      <c r="K399" s="7">
        <f t="shared" si="2"/>
        <v>0.96591008</v>
      </c>
    </row>
    <row r="400">
      <c r="A400" s="4">
        <v>400.0</v>
      </c>
      <c r="B400" s="5" t="s">
        <v>2137</v>
      </c>
      <c r="C400" s="5" t="s">
        <v>2137</v>
      </c>
      <c r="D400" s="5" t="s">
        <v>2137</v>
      </c>
      <c r="E400" s="6" t="s">
        <v>85</v>
      </c>
      <c r="F400" s="6" t="s">
        <v>2138</v>
      </c>
      <c r="G400" s="3" t="str">
        <f>IFERROR(__xludf.DUMMYFUNCTION("REGEXREPLACE(
D400,
""([一-龯々]+)\[([^\]]+)\]"",
""&lt;ruby&gt;$1&lt;rt&gt;$2&lt;/rt&gt;&lt;/ruby&gt;""
)&amp;""&lt;br&gt;&lt;div class=""""audio""""&gt;[sound:""&amp;C400&amp;"".mp3]&lt;/div&gt;"""),"しばらく&lt;br&gt;&lt;div class=""audio""&gt;[sound:しばらく.mp3]&lt;/div&gt;")</f>
        <v>しばらく&lt;br&gt;&lt;div class="audio"&gt;[sound:しばらく.mp3]&lt;/div&gt;</v>
      </c>
      <c r="H400" s="3" t="str">
        <f t="shared" si="1"/>
        <v>(adv): một lúc</v>
      </c>
      <c r="I400" s="6" t="s">
        <v>2139</v>
      </c>
      <c r="J400" s="6" t="s">
        <v>2140</v>
      </c>
      <c r="K400" s="7">
        <f t="shared" si="2"/>
        <v>0.009870588726</v>
      </c>
    </row>
    <row r="401">
      <c r="A401" s="4">
        <v>401.0</v>
      </c>
      <c r="B401" s="5" t="s">
        <v>2141</v>
      </c>
      <c r="C401" s="5" t="s">
        <v>2141</v>
      </c>
      <c r="D401" s="5" t="s">
        <v>2141</v>
      </c>
      <c r="E401" s="6" t="s">
        <v>44</v>
      </c>
      <c r="F401" s="6" t="s">
        <v>2142</v>
      </c>
      <c r="G401" s="3" t="str">
        <f>IFERROR(__xludf.DUMMYFUNCTION("REGEXREPLACE(
D401,
""([一-龯々]+)\[([^\]]+)\]"",
""&lt;ruby&gt;$1&lt;rt&gt;$2&lt;/rt&gt;&lt;/ruby&gt;""
)&amp;""&lt;br&gt;&lt;div class=""""audio""""&gt;[sound:""&amp;C401&amp;"".mp3]&lt;/div&gt;"""),"そちら&lt;br&gt;&lt;div class=""audio""&gt;[sound:そちら.mp3]&lt;/div&gt;")</f>
        <v>そちら&lt;br&gt;&lt;div class="audio"&gt;[sound:そちら.mp3]&lt;/div&gt;</v>
      </c>
      <c r="H401" s="3" t="str">
        <f t="shared" si="1"/>
        <v>(pron): phía đó</v>
      </c>
      <c r="I401" s="6" t="s">
        <v>2143</v>
      </c>
      <c r="J401" s="6" t="s">
        <v>2144</v>
      </c>
      <c r="K401" s="7">
        <f t="shared" si="2"/>
        <v>0.9871150954</v>
      </c>
    </row>
    <row r="402">
      <c r="A402" s="4">
        <v>402.0</v>
      </c>
      <c r="B402" s="5" t="s">
        <v>2145</v>
      </c>
      <c r="C402" s="5" t="s">
        <v>2145</v>
      </c>
      <c r="D402" s="5" t="s">
        <v>2145</v>
      </c>
      <c r="E402" s="6" t="s">
        <v>85</v>
      </c>
      <c r="F402" s="6" t="s">
        <v>2146</v>
      </c>
      <c r="G402" s="3" t="str">
        <f>IFERROR(__xludf.DUMMYFUNCTION("REGEXREPLACE(
D402,
""([一-龯々]+)\[([^\]]+)\]"",
""&lt;ruby&gt;$1&lt;rt&gt;$2&lt;/rt&gt;&lt;/ruby&gt;""
)&amp;""&lt;br&gt;&lt;div class=""""audio""""&gt;[sound:""&amp;C402&amp;"".mp3]&lt;/div&gt;"""),"そんなに&lt;br&gt;&lt;div class=""audio""&gt;[sound:そんなに.mp3]&lt;/div&gt;")</f>
        <v>そんなに&lt;br&gt;&lt;div class="audio"&gt;[sound:そんなに.mp3]&lt;/div&gt;</v>
      </c>
      <c r="H402" s="3" t="str">
        <f t="shared" si="1"/>
        <v>(adv): đến thế</v>
      </c>
      <c r="I402" s="6" t="s">
        <v>2147</v>
      </c>
      <c r="J402" s="6" t="s">
        <v>2148</v>
      </c>
      <c r="K402" s="7">
        <f t="shared" si="2"/>
        <v>0.3105711899</v>
      </c>
    </row>
    <row r="403">
      <c r="A403" s="4">
        <v>403.0</v>
      </c>
      <c r="B403" s="5" t="s">
        <v>2149</v>
      </c>
      <c r="C403" s="5" t="s">
        <v>2149</v>
      </c>
      <c r="D403" s="5" t="s">
        <v>2149</v>
      </c>
      <c r="E403" s="6" t="s">
        <v>85</v>
      </c>
      <c r="F403" s="6" t="s">
        <v>2150</v>
      </c>
      <c r="G403" s="3" t="str">
        <f>IFERROR(__xludf.DUMMYFUNCTION("REGEXREPLACE(
D403,
""([一-龯々]+)\[([^\]]+)\]"",
""&lt;ruby&gt;$1&lt;rt&gt;$2&lt;/rt&gt;&lt;/ruby&gt;""
)&amp;""&lt;br&gt;&lt;div class=""""audio""""&gt;[sound:""&amp;C403&amp;"".mp3]&lt;/div&gt;"""),"どうして&lt;br&gt;&lt;div class=""audio""&gt;[sound:どうして.mp3]&lt;/div&gt;")</f>
        <v>どうして&lt;br&gt;&lt;div class="audio"&gt;[sound:どうして.mp3]&lt;/div&gt;</v>
      </c>
      <c r="H403" s="3" t="str">
        <f t="shared" si="1"/>
        <v>(adv): tại sao</v>
      </c>
      <c r="I403" s="6" t="s">
        <v>2151</v>
      </c>
      <c r="J403" s="6" t="s">
        <v>2152</v>
      </c>
      <c r="K403" s="7">
        <f t="shared" si="2"/>
        <v>0.2304674047</v>
      </c>
    </row>
    <row r="404">
      <c r="A404" s="4">
        <v>404.0</v>
      </c>
      <c r="B404" s="5" t="s">
        <v>2153</v>
      </c>
      <c r="C404" s="5" t="s">
        <v>2154</v>
      </c>
      <c r="D404" s="5" t="s">
        <v>2155</v>
      </c>
      <c r="E404" s="6" t="s">
        <v>74</v>
      </c>
      <c r="F404" s="6" t="s">
        <v>2156</v>
      </c>
      <c r="G404" s="3" t="str">
        <f>IFERROR(__xludf.DUMMYFUNCTION("REGEXREPLACE(
D404,
""([一-龯々]+)\[([^\]]+)\]"",
""&lt;ruby&gt;$1&lt;rt&gt;$2&lt;/rt&gt;&lt;/ruby&gt;""
)&amp;""&lt;br&gt;&lt;div class=""""audio""""&gt;[sound:""&amp;C404&amp;"".mp3]&lt;/div&gt;"""),"&lt;ruby&gt;今回&lt;rt&gt;こんかい&lt;/rt&gt;&lt;/ruby&gt;&lt;br&gt;&lt;div class=""audio""&gt;[sound:こんかい.mp3]&lt;/div&gt;")</f>
        <v>&lt;ruby&gt;今回&lt;rt&gt;こんかい&lt;/rt&gt;&lt;/ruby&gt;&lt;br&gt;&lt;div class="audio"&gt;[sound:こんかい.mp3]&lt;/div&gt;</v>
      </c>
      <c r="H404" s="3" t="str">
        <f t="shared" si="1"/>
        <v>(n): lần này</v>
      </c>
      <c r="I404" s="6" t="s">
        <v>2157</v>
      </c>
      <c r="J404" s="6" t="s">
        <v>2158</v>
      </c>
      <c r="K404" s="7">
        <f t="shared" si="2"/>
        <v>0.8638295714</v>
      </c>
    </row>
    <row r="405">
      <c r="A405" s="4">
        <v>405.0</v>
      </c>
      <c r="B405" s="5" t="s">
        <v>2159</v>
      </c>
      <c r="C405" s="5" t="s">
        <v>2160</v>
      </c>
      <c r="D405" s="5" t="s">
        <v>2161</v>
      </c>
      <c r="E405" s="6" t="s">
        <v>24</v>
      </c>
      <c r="F405" s="6" t="s">
        <v>2162</v>
      </c>
      <c r="G405" s="3" t="str">
        <f>IFERROR(__xludf.DUMMYFUNCTION("REGEXREPLACE(
D405,
""([一-龯々]+)\[([^\]]+)\]"",
""&lt;ruby&gt;$1&lt;rt&gt;$2&lt;/rt&gt;&lt;/ruby&gt;""
)&amp;""&lt;br&gt;&lt;div class=""""audio""""&gt;[sound:""&amp;C405&amp;"".mp3]&lt;/div&gt;"""),"&lt;ruby&gt;調&lt;rt&gt;しら&lt;/rt&gt;&lt;/ruby&gt;べる&lt;br&gt;&lt;div class=""audio""&gt;[sound:しらべる.mp3]&lt;/div&gt;")</f>
        <v>&lt;ruby&gt;調&lt;rt&gt;しら&lt;/rt&gt;&lt;/ruby&gt;べる&lt;br&gt;&lt;div class="audio"&gt;[sound:しらべる.mp3]&lt;/div&gt;</v>
      </c>
      <c r="H405" s="3" t="str">
        <f t="shared" si="1"/>
        <v>(v): tra cứu</v>
      </c>
      <c r="I405" s="6" t="s">
        <v>2163</v>
      </c>
      <c r="J405" s="6" t="s">
        <v>2164</v>
      </c>
      <c r="K405" s="7">
        <f t="shared" si="2"/>
        <v>0.6301470192</v>
      </c>
    </row>
    <row r="406">
      <c r="A406" s="4">
        <v>406.0</v>
      </c>
      <c r="B406" s="5" t="s">
        <v>2165</v>
      </c>
      <c r="C406" s="5" t="s">
        <v>2166</v>
      </c>
      <c r="D406" s="5" t="s">
        <v>2165</v>
      </c>
      <c r="E406" s="6" t="s">
        <v>74</v>
      </c>
      <c r="F406" s="6" t="s">
        <v>2167</v>
      </c>
      <c r="G406" s="3" t="str">
        <f>IFERROR(__xludf.DUMMYFUNCTION("REGEXREPLACE(
D406,
""([一-龯々]+)\[([^\]]+)\]"",
""&lt;ruby&gt;$1&lt;rt&gt;$2&lt;/rt&gt;&lt;/ruby&gt;""
)&amp;""&lt;br&gt;&lt;div class=""""audio""""&gt;[sound:""&amp;C406&amp;"".mp3]&lt;/div&gt;"""),"コーヒー&lt;br&gt;&lt;div class=""audio""&gt;[sound:こーひー.mp3]&lt;/div&gt;")</f>
        <v>コーヒー&lt;br&gt;&lt;div class="audio"&gt;[sound:こーひー.mp3]&lt;/div&gt;</v>
      </c>
      <c r="H406" s="3" t="str">
        <f t="shared" si="1"/>
        <v>(n): cà phê</v>
      </c>
      <c r="I406" s="6" t="s">
        <v>2168</v>
      </c>
      <c r="J406" s="6" t="s">
        <v>2169</v>
      </c>
      <c r="K406" s="7">
        <f t="shared" si="2"/>
        <v>0.4414068584</v>
      </c>
    </row>
    <row r="407">
      <c r="A407" s="4">
        <v>407.0</v>
      </c>
      <c r="B407" s="5" t="s">
        <v>2170</v>
      </c>
      <c r="C407" s="5" t="s">
        <v>2170</v>
      </c>
      <c r="D407" s="5" t="s">
        <v>2170</v>
      </c>
      <c r="E407" s="6" t="s">
        <v>90</v>
      </c>
      <c r="F407" s="6" t="s">
        <v>2171</v>
      </c>
      <c r="G407" s="3" t="str">
        <f>IFERROR(__xludf.DUMMYFUNCTION("REGEXREPLACE(
D407,
""([一-龯々]+)\[([^\]]+)\]"",
""&lt;ruby&gt;$1&lt;rt&gt;$2&lt;/rt&gt;&lt;/ruby&gt;""
)&amp;""&lt;br&gt;&lt;div class=""""audio""""&gt;[sound:""&amp;C407&amp;"".mp3]&lt;/div&gt;"""),"だって&lt;br&gt;&lt;div class=""audio""&gt;[sound:だって.mp3]&lt;/div&gt;")</f>
        <v>だって&lt;br&gt;&lt;div class="audio"&gt;[sound:だって.mp3]&lt;/div&gt;</v>
      </c>
      <c r="H407" s="3" t="str">
        <f t="shared" si="1"/>
        <v>(conj): vì</v>
      </c>
      <c r="I407" s="6" t="s">
        <v>2172</v>
      </c>
      <c r="J407" s="6" t="s">
        <v>2173</v>
      </c>
      <c r="K407" s="7">
        <f t="shared" si="2"/>
        <v>0.794731463</v>
      </c>
    </row>
    <row r="408">
      <c r="A408" s="4">
        <v>408.0</v>
      </c>
      <c r="B408" s="5" t="s">
        <v>2174</v>
      </c>
      <c r="C408" s="5" t="s">
        <v>2174</v>
      </c>
      <c r="D408" s="5" t="s">
        <v>2174</v>
      </c>
      <c r="E408" s="6" t="s">
        <v>33</v>
      </c>
      <c r="F408" s="6" t="s">
        <v>2175</v>
      </c>
      <c r="G408" s="3" t="str">
        <f>IFERROR(__xludf.DUMMYFUNCTION("REGEXREPLACE(
D408,
""([一-龯々]+)\[([^\]]+)\]"",
""&lt;ruby&gt;$1&lt;rt&gt;$2&lt;/rt&gt;&lt;/ruby&gt;""
)&amp;""&lt;br&gt;&lt;div class=""""audio""""&gt;[sound:""&amp;C408&amp;"".mp3]&lt;/div&gt;"""),"おめでとう&lt;br&gt;&lt;div class=""audio""&gt;[sound:おめでとう.mp3]&lt;/div&gt;")</f>
        <v>おめでとう&lt;br&gt;&lt;div class="audio"&gt;[sound:おめでとう.mp3]&lt;/div&gt;</v>
      </c>
      <c r="H408" s="3" t="str">
        <f t="shared" si="1"/>
        <v>(int): chúc mừng</v>
      </c>
      <c r="I408" s="6" t="s">
        <v>2176</v>
      </c>
      <c r="J408" s="6" t="s">
        <v>2177</v>
      </c>
      <c r="K408" s="7">
        <f t="shared" si="2"/>
        <v>0.731571864</v>
      </c>
    </row>
    <row r="409">
      <c r="A409" s="4">
        <v>409.0</v>
      </c>
      <c r="B409" s="5" t="s">
        <v>2178</v>
      </c>
      <c r="C409" s="5" t="s">
        <v>2179</v>
      </c>
      <c r="D409" s="5" t="s">
        <v>2180</v>
      </c>
      <c r="E409" s="6" t="s">
        <v>74</v>
      </c>
      <c r="F409" s="6" t="s">
        <v>2181</v>
      </c>
      <c r="G409" s="3" t="str">
        <f>IFERROR(__xludf.DUMMYFUNCTION("REGEXREPLACE(
D409,
""([一-龯々]+)\[([^\]]+)\]"",
""&lt;ruby&gt;$1&lt;rt&gt;$2&lt;/rt&gt;&lt;/ruby&gt;""
)&amp;""&lt;br&gt;&lt;div class=""""audio""""&gt;[sound:""&amp;C409&amp;"".mp3]&lt;/div&gt;"""),"&lt;ruby&gt;中心&lt;rt&gt;ちゅうしん&lt;/rt&gt;&lt;/ruby&gt;&lt;br&gt;&lt;div class=""audio""&gt;[sound:ちゅうしん.mp3]&lt;/div&gt;")</f>
        <v>&lt;ruby&gt;中心&lt;rt&gt;ちゅうしん&lt;/rt&gt;&lt;/ruby&gt;&lt;br&gt;&lt;div class="audio"&gt;[sound:ちゅうしん.mp3]&lt;/div&gt;</v>
      </c>
      <c r="H409" s="3" t="str">
        <f t="shared" si="1"/>
        <v>(n): trung tâm</v>
      </c>
      <c r="I409" s="6" t="s">
        <v>2182</v>
      </c>
      <c r="J409" s="6" t="s">
        <v>2183</v>
      </c>
      <c r="K409" s="7">
        <f t="shared" si="2"/>
        <v>0.9840208883</v>
      </c>
    </row>
    <row r="410">
      <c r="A410" s="4">
        <v>410.0</v>
      </c>
      <c r="B410" s="5" t="s">
        <v>2184</v>
      </c>
      <c r="C410" s="5" t="s">
        <v>2185</v>
      </c>
      <c r="D410" s="5" t="s">
        <v>2184</v>
      </c>
      <c r="E410" s="6" t="s">
        <v>74</v>
      </c>
      <c r="F410" s="6" t="s">
        <v>2186</v>
      </c>
      <c r="G410" s="3" t="str">
        <f>IFERROR(__xludf.DUMMYFUNCTION("REGEXREPLACE(
D410,
""([一-龯々]+)\[([^\]]+)\]"",
""&lt;ruby&gt;$1&lt;rt&gt;$2&lt;/rt&gt;&lt;/ruby&gt;""
)&amp;""&lt;br&gt;&lt;div class=""""audio""""&gt;[sound:""&amp;C410&amp;"".mp3]&lt;/div&gt;"""),"イメージ&lt;br&gt;&lt;div class=""audio""&gt;[sound:いめーじ.mp3]&lt;/div&gt;")</f>
        <v>イメージ&lt;br&gt;&lt;div class="audio"&gt;[sound:いめーじ.mp3]&lt;/div&gt;</v>
      </c>
      <c r="H410" s="3" t="str">
        <f t="shared" si="1"/>
        <v>(n): hình ảnh</v>
      </c>
      <c r="I410" s="6" t="s">
        <v>2187</v>
      </c>
      <c r="J410" s="6" t="s">
        <v>2188</v>
      </c>
      <c r="K410" s="7">
        <f t="shared" si="2"/>
        <v>0.2170627032</v>
      </c>
    </row>
    <row r="411">
      <c r="A411" s="4">
        <v>411.0</v>
      </c>
      <c r="B411" s="5" t="s">
        <v>2189</v>
      </c>
      <c r="C411" s="5" t="s">
        <v>2190</v>
      </c>
      <c r="D411" s="5" t="s">
        <v>2191</v>
      </c>
      <c r="E411" s="6" t="s">
        <v>24</v>
      </c>
      <c r="F411" s="6" t="s">
        <v>2192</v>
      </c>
      <c r="G411" s="3" t="str">
        <f>IFERROR(__xludf.DUMMYFUNCTION("REGEXREPLACE(
D411,
""([一-龯々]+)\[([^\]]+)\]"",
""&lt;ruby&gt;$1&lt;rt&gt;$2&lt;/rt&gt;&lt;/ruby&gt;""
)&amp;""&lt;br&gt;&lt;div class=""""audio""""&gt;[sound:""&amp;C411&amp;"".mp3]&lt;/div&gt;"""),"&lt;ruby&gt;戻&lt;rt&gt;もど&lt;/rt&gt;&lt;/ruby&gt;る&lt;br&gt;&lt;div class=""audio""&gt;[sound:もどる.mp3]&lt;/div&gt;")</f>
        <v>&lt;ruby&gt;戻&lt;rt&gt;もど&lt;/rt&gt;&lt;/ruby&gt;る&lt;br&gt;&lt;div class="audio"&gt;[sound:もどる.mp3]&lt;/div&gt;</v>
      </c>
      <c r="H411" s="3" t="str">
        <f t="shared" si="1"/>
        <v>(v): quay lại</v>
      </c>
      <c r="I411" s="6" t="s">
        <v>2193</v>
      </c>
      <c r="J411" s="6" t="s">
        <v>2194</v>
      </c>
      <c r="K411" s="7">
        <f t="shared" si="2"/>
        <v>0.9369194324</v>
      </c>
    </row>
    <row r="412">
      <c r="A412" s="4">
        <v>412.0</v>
      </c>
      <c r="B412" s="5" t="s">
        <v>2195</v>
      </c>
      <c r="C412" s="5" t="s">
        <v>2195</v>
      </c>
      <c r="D412" s="5" t="s">
        <v>2195</v>
      </c>
      <c r="E412" s="6" t="s">
        <v>85</v>
      </c>
      <c r="F412" s="6" t="s">
        <v>2150</v>
      </c>
      <c r="G412" s="3" t="str">
        <f>IFERROR(__xludf.DUMMYFUNCTION("REGEXREPLACE(
D412,
""([一-龯々]+)\[([^\]]+)\]"",
""&lt;ruby&gt;$1&lt;rt&gt;$2&lt;/rt&gt;&lt;/ruby&gt;""
)&amp;""&lt;br&gt;&lt;div class=""""audio""""&gt;[sound:""&amp;C412&amp;"".mp3]&lt;/div&gt;"""),"なぜ&lt;br&gt;&lt;div class=""audio""&gt;[sound:なぜ.mp3]&lt;/div&gt;")</f>
        <v>なぜ&lt;br&gt;&lt;div class="audio"&gt;[sound:なぜ.mp3]&lt;/div&gt;</v>
      </c>
      <c r="H412" s="3" t="str">
        <f t="shared" si="1"/>
        <v>(adv): tại sao</v>
      </c>
      <c r="I412" s="6" t="s">
        <v>2196</v>
      </c>
      <c r="J412" s="6" t="s">
        <v>2197</v>
      </c>
      <c r="K412" s="7">
        <f t="shared" si="2"/>
        <v>0.8361826592</v>
      </c>
    </row>
    <row r="413">
      <c r="A413" s="4">
        <v>413.0</v>
      </c>
      <c r="B413" s="5" t="s">
        <v>2198</v>
      </c>
      <c r="C413" s="5" t="s">
        <v>2199</v>
      </c>
      <c r="D413" s="5" t="s">
        <v>2200</v>
      </c>
      <c r="E413" s="6" t="s">
        <v>74</v>
      </c>
      <c r="F413" s="6" t="s">
        <v>2201</v>
      </c>
      <c r="G413" s="3" t="str">
        <f>IFERROR(__xludf.DUMMYFUNCTION("REGEXREPLACE(
D413,
""([一-龯々]+)\[([^\]]+)\]"",
""&lt;ruby&gt;$1&lt;rt&gt;$2&lt;/rt&gt;&lt;/ruby&gt;""
)&amp;""&lt;br&gt;&lt;div class=""""audio""""&gt;[sound:""&amp;C413&amp;"".mp3]&lt;/div&gt;"""),"&lt;ruby&gt;体&lt;rt&gt;からだ&lt;/rt&gt;&lt;/ruby&gt;&lt;br&gt;&lt;div class=""audio""&gt;[sound:からだ.mp3]&lt;/div&gt;")</f>
        <v>&lt;ruby&gt;体&lt;rt&gt;からだ&lt;/rt&gt;&lt;/ruby&gt;&lt;br&gt;&lt;div class="audio"&gt;[sound:からだ.mp3]&lt;/div&gt;</v>
      </c>
      <c r="H413" s="3" t="str">
        <f t="shared" si="1"/>
        <v>(n): cơ thể</v>
      </c>
      <c r="I413" s="6" t="s">
        <v>2202</v>
      </c>
      <c r="J413" s="6" t="s">
        <v>2203</v>
      </c>
      <c r="K413" s="7">
        <f t="shared" si="2"/>
        <v>0.2216022227</v>
      </c>
    </row>
    <row r="414">
      <c r="A414" s="4">
        <v>414.0</v>
      </c>
      <c r="B414" s="5" t="s">
        <v>2204</v>
      </c>
      <c r="C414" s="5" t="s">
        <v>2205</v>
      </c>
      <c r="D414" s="5" t="s">
        <v>2206</v>
      </c>
      <c r="E414" s="6" t="s">
        <v>11</v>
      </c>
      <c r="F414" s="6" t="s">
        <v>2207</v>
      </c>
      <c r="G414" s="3" t="str">
        <f>IFERROR(__xludf.DUMMYFUNCTION("REGEXREPLACE(
D414,
""([一-龯々]+)\[([^\]]+)\]"",
""&lt;ruby&gt;$1&lt;rt&gt;$2&lt;/rt&gt;&lt;/ruby&gt;""
)&amp;""&lt;br&gt;&lt;div class=""""audio""""&gt;[sound:""&amp;C414&amp;"".mp3]&lt;/div&gt;"""),"&lt;ruby&gt;自由&lt;rt&gt;じゆう&lt;/rt&gt;&lt;/ruby&gt;&lt;br&gt;&lt;div class=""audio""&gt;[sound:じゆう.mp3]&lt;/div&gt;")</f>
        <v>&lt;ruby&gt;自由&lt;rt&gt;じゆう&lt;/rt&gt;&lt;/ruby&gt;&lt;br&gt;&lt;div class="audio"&gt;[sound:じゆう.mp3]&lt;/div&gt;</v>
      </c>
      <c r="H414" s="3" t="str">
        <f t="shared" si="1"/>
        <v>(adj): tự do</v>
      </c>
      <c r="I414" s="6" t="s">
        <v>2208</v>
      </c>
      <c r="J414" s="6" t="s">
        <v>2209</v>
      </c>
      <c r="K414" s="7">
        <f t="shared" si="2"/>
        <v>0.7539172396</v>
      </c>
    </row>
    <row r="415">
      <c r="A415" s="4">
        <v>415.0</v>
      </c>
      <c r="B415" s="5" t="s">
        <v>2210</v>
      </c>
      <c r="C415" s="5" t="s">
        <v>2211</v>
      </c>
      <c r="D415" s="5" t="s">
        <v>2212</v>
      </c>
      <c r="E415" s="6" t="s">
        <v>74</v>
      </c>
      <c r="F415" s="6" t="s">
        <v>2213</v>
      </c>
      <c r="G415" s="3" t="str">
        <f>IFERROR(__xludf.DUMMYFUNCTION("REGEXREPLACE(
D415,
""([一-龯々]+)\[([^\]]+)\]"",
""&lt;ruby&gt;$1&lt;rt&gt;$2&lt;/rt&gt;&lt;/ruby&gt;""
)&amp;""&lt;br&gt;&lt;div class=""""audio""""&gt;[sound:""&amp;C415&amp;"".mp3]&lt;/div&gt;"""),"&lt;ruby&gt;親&lt;rt&gt;おや&lt;/rt&gt;&lt;/ruby&gt;&lt;br&gt;&lt;div class=""audio""&gt;[sound:おや.mp3]&lt;/div&gt;")</f>
        <v>&lt;ruby&gt;親&lt;rt&gt;おや&lt;/rt&gt;&lt;/ruby&gt;&lt;br&gt;&lt;div class="audio"&gt;[sound:おや.mp3]&lt;/div&gt;</v>
      </c>
      <c r="H415" s="3" t="str">
        <f t="shared" si="1"/>
        <v>(n): bố mẹ</v>
      </c>
      <c r="I415" s="6" t="s">
        <v>2214</v>
      </c>
      <c r="J415" s="6" t="s">
        <v>2215</v>
      </c>
      <c r="K415" s="7">
        <f t="shared" si="2"/>
        <v>0.7602652056</v>
      </c>
    </row>
    <row r="416">
      <c r="A416" s="4">
        <v>416.0</v>
      </c>
      <c r="B416" s="5" t="s">
        <v>2216</v>
      </c>
      <c r="C416" s="5" t="s">
        <v>2217</v>
      </c>
      <c r="D416" s="5" t="s">
        <v>2218</v>
      </c>
      <c r="E416" s="6" t="s">
        <v>74</v>
      </c>
      <c r="F416" s="6" t="s">
        <v>2219</v>
      </c>
      <c r="G416" s="3" t="str">
        <f>IFERROR(__xludf.DUMMYFUNCTION("REGEXREPLACE(
D416,
""([一-龯々]+)\[([^\]]+)\]"",
""&lt;ruby&gt;$1&lt;rt&gt;$2&lt;/rt&gt;&lt;/ruby&gt;""
)&amp;""&lt;br&gt;&lt;div class=""""audio""""&gt;[sound:""&amp;C416&amp;"".mp3]&lt;/div&gt;"""),"&lt;ruby&gt;以内&lt;rt&gt;いない&lt;/rt&gt;&lt;/ruby&gt;&lt;br&gt;&lt;div class=""audio""&gt;[sound:いない.mp3]&lt;/div&gt;")</f>
        <v>&lt;ruby&gt;以内&lt;rt&gt;いない&lt;/rt&gt;&lt;/ruby&gt;&lt;br&gt;&lt;div class="audio"&gt;[sound:いない.mp3]&lt;/div&gt;</v>
      </c>
      <c r="H416" s="3" t="str">
        <f t="shared" si="1"/>
        <v>(n): trong vòng</v>
      </c>
      <c r="I416" s="6" t="s">
        <v>2220</v>
      </c>
      <c r="J416" s="6" t="s">
        <v>2221</v>
      </c>
      <c r="K416" s="7">
        <f t="shared" si="2"/>
        <v>0.1152656445</v>
      </c>
    </row>
    <row r="417">
      <c r="A417" s="4">
        <v>417.0</v>
      </c>
      <c r="B417" s="5" t="s">
        <v>2222</v>
      </c>
      <c r="C417" s="5" t="s">
        <v>2223</v>
      </c>
      <c r="D417" s="5" t="s">
        <v>2224</v>
      </c>
      <c r="E417" s="6" t="s">
        <v>85</v>
      </c>
      <c r="F417" s="6" t="s">
        <v>2225</v>
      </c>
      <c r="G417" s="3" t="str">
        <f>IFERROR(__xludf.DUMMYFUNCTION("REGEXREPLACE(
D417,
""([一-龯々]+)\[([^\]]+)\]"",
""&lt;ruby&gt;$1&lt;rt&gt;$2&lt;/rt&gt;&lt;/ruby&gt;""
)&amp;""&lt;br&gt;&lt;div class=""""audio""""&gt;[sound:""&amp;C417&amp;"".mp3]&lt;/div&gt;"""),"&lt;ruby&gt;急&lt;rt&gt;きゅう&lt;/rt&gt;&lt;/ruby&gt;に&lt;br&gt;&lt;div class=""audio""&gt;[sound:きゅうに.mp3]&lt;/div&gt;")</f>
        <v>&lt;ruby&gt;急&lt;rt&gt;きゅう&lt;/rt&gt;&lt;/ruby&gt;に&lt;br&gt;&lt;div class="audio"&gt;[sound:きゅうに.mp3]&lt;/div&gt;</v>
      </c>
      <c r="H417" s="3" t="str">
        <f t="shared" si="1"/>
        <v>(adv): đột nhiên</v>
      </c>
      <c r="I417" s="6" t="s">
        <v>2226</v>
      </c>
      <c r="J417" s="6" t="s">
        <v>2227</v>
      </c>
      <c r="K417" s="7">
        <f t="shared" si="2"/>
        <v>0.4243350069</v>
      </c>
    </row>
    <row r="418">
      <c r="A418" s="4">
        <v>418.0</v>
      </c>
      <c r="B418" s="5" t="s">
        <v>2228</v>
      </c>
      <c r="C418" s="5" t="s">
        <v>2229</v>
      </c>
      <c r="D418" s="5" t="s">
        <v>2228</v>
      </c>
      <c r="E418" s="6" t="s">
        <v>74</v>
      </c>
      <c r="F418" s="6" t="s">
        <v>2230</v>
      </c>
      <c r="G418" s="3" t="str">
        <f>IFERROR(__xludf.DUMMYFUNCTION("REGEXREPLACE(
D418,
""([一-龯々]+)\[([^\]]+)\]"",
""&lt;ruby&gt;$1&lt;rt&gt;$2&lt;/rt&gt;&lt;/ruby&gt;""
)&amp;""&lt;br&gt;&lt;div class=""""audio""""&gt;[sound:""&amp;C418&amp;"".mp3]&lt;/div&gt;"""),"スポーツ&lt;br&gt;&lt;div class=""audio""&gt;[sound:すぽーつ.mp3]&lt;/div&gt;")</f>
        <v>スポーツ&lt;br&gt;&lt;div class="audio"&gt;[sound:すぽーつ.mp3]&lt;/div&gt;</v>
      </c>
      <c r="H418" s="3" t="str">
        <f t="shared" si="1"/>
        <v>(n): thể thao</v>
      </c>
      <c r="I418" s="6" t="s">
        <v>2231</v>
      </c>
      <c r="J418" s="6" t="s">
        <v>2232</v>
      </c>
      <c r="K418" s="7">
        <f t="shared" si="2"/>
        <v>0.7933192045</v>
      </c>
    </row>
    <row r="419">
      <c r="A419" s="4">
        <v>419.0</v>
      </c>
      <c r="B419" s="5" t="s">
        <v>2233</v>
      </c>
      <c r="C419" s="5" t="s">
        <v>2234</v>
      </c>
      <c r="D419" s="5" t="s">
        <v>2235</v>
      </c>
      <c r="E419" s="6" t="s">
        <v>24</v>
      </c>
      <c r="F419" s="6" t="s">
        <v>2236</v>
      </c>
      <c r="G419" s="3" t="str">
        <f>IFERROR(__xludf.DUMMYFUNCTION("REGEXREPLACE(
D419,
""([一-龯々]+)\[([^\]]+)\]"",
""&lt;ruby&gt;$1&lt;rt&gt;$2&lt;/rt&gt;&lt;/ruby&gt;""
)&amp;""&lt;br&gt;&lt;div class=""""audio""""&gt;[sound:""&amp;C419&amp;"".mp3]&lt;/div&gt;"""),"&lt;ruby&gt;得&lt;rt&gt;え&lt;/rt&gt;&lt;/ruby&gt;る&lt;br&gt;&lt;div class=""audio""&gt;[sound:える.mp3]&lt;/div&gt;")</f>
        <v>&lt;ruby&gt;得&lt;rt&gt;え&lt;/rt&gt;&lt;/ruby&gt;る&lt;br&gt;&lt;div class="audio"&gt;[sound:える.mp3]&lt;/div&gt;</v>
      </c>
      <c r="H419" s="3" t="str">
        <f t="shared" si="1"/>
        <v>(v): đạt được</v>
      </c>
      <c r="I419" s="6" t="s">
        <v>2237</v>
      </c>
      <c r="J419" s="6" t="s">
        <v>2238</v>
      </c>
      <c r="K419" s="7">
        <f t="shared" si="2"/>
        <v>0.5991784871</v>
      </c>
    </row>
    <row r="420">
      <c r="A420" s="4">
        <v>420.0</v>
      </c>
      <c r="B420" s="5" t="s">
        <v>2239</v>
      </c>
      <c r="C420" s="5" t="s">
        <v>2239</v>
      </c>
      <c r="D420" s="5" t="s">
        <v>2239</v>
      </c>
      <c r="E420" s="6" t="s">
        <v>74</v>
      </c>
      <c r="F420" s="6" t="s">
        <v>2240</v>
      </c>
      <c r="G420" s="3" t="str">
        <f>IFERROR(__xludf.DUMMYFUNCTION("REGEXREPLACE(
D420,
""([一-龯々]+)\[([^\]]+)\]"",
""&lt;ruby&gt;$1&lt;rt&gt;$2&lt;/rt&gt;&lt;/ruby&gt;""
)&amp;""&lt;br&gt;&lt;div class=""""audio""""&gt;[sound:""&amp;C420&amp;"".mp3]&lt;/div&gt;"""),"うそ&lt;br&gt;&lt;div class=""audio""&gt;[sound:うそ.mp3]&lt;/div&gt;")</f>
        <v>うそ&lt;br&gt;&lt;div class="audio"&gt;[sound:うそ.mp3]&lt;/div&gt;</v>
      </c>
      <c r="H420" s="3" t="str">
        <f t="shared" si="1"/>
        <v>(n): nói dối</v>
      </c>
      <c r="I420" s="6" t="s">
        <v>2241</v>
      </c>
      <c r="J420" s="6" t="s">
        <v>2242</v>
      </c>
      <c r="K420" s="7">
        <f t="shared" si="2"/>
        <v>0.5723728498</v>
      </c>
    </row>
    <row r="421">
      <c r="A421" s="4">
        <v>421.0</v>
      </c>
      <c r="B421" s="5" t="s">
        <v>2243</v>
      </c>
      <c r="C421" s="5" t="s">
        <v>2243</v>
      </c>
      <c r="D421" s="5" t="s">
        <v>2243</v>
      </c>
      <c r="E421" s="6" t="s">
        <v>85</v>
      </c>
      <c r="F421" s="6" t="s">
        <v>2244</v>
      </c>
      <c r="G421" s="3" t="str">
        <f>IFERROR(__xludf.DUMMYFUNCTION("REGEXREPLACE(
D421,
""([一-龯々]+)\[([^\]]+)\]"",
""&lt;ruby&gt;$1&lt;rt&gt;$2&lt;/rt&gt;&lt;/ruby&gt;""
)&amp;""&lt;br&gt;&lt;div class=""""audio""""&gt;[sound:""&amp;C421&amp;"".mp3]&lt;/div&gt;"""),"とにかく&lt;br&gt;&lt;div class=""audio""&gt;[sound:とにかく.mp3]&lt;/div&gt;")</f>
        <v>とにかく&lt;br&gt;&lt;div class="audio"&gt;[sound:とにかく.mp3]&lt;/div&gt;</v>
      </c>
      <c r="H421" s="3" t="str">
        <f t="shared" si="1"/>
        <v>(adv): dù sao</v>
      </c>
      <c r="I421" s="6" t="s">
        <v>2245</v>
      </c>
      <c r="J421" s="6" t="s">
        <v>2246</v>
      </c>
      <c r="K421" s="7">
        <f t="shared" si="2"/>
        <v>0.5802913742</v>
      </c>
    </row>
    <row r="422">
      <c r="A422" s="4">
        <v>422.0</v>
      </c>
      <c r="B422" s="5" t="s">
        <v>2247</v>
      </c>
      <c r="C422" s="5" t="s">
        <v>2248</v>
      </c>
      <c r="D422" s="5" t="s">
        <v>2249</v>
      </c>
      <c r="E422" s="6" t="s">
        <v>74</v>
      </c>
      <c r="F422" s="6" t="s">
        <v>2250</v>
      </c>
      <c r="G422" s="3" t="str">
        <f>IFERROR(__xludf.DUMMYFUNCTION("REGEXREPLACE(
D422,
""([一-龯々]+)\[([^\]]+)\]"",
""&lt;ruby&gt;$1&lt;rt&gt;$2&lt;/rt&gt;&lt;/ruby&gt;""
)&amp;""&lt;br&gt;&lt;div class=""""audio""""&gt;[sound:""&amp;C422&amp;"".mp3]&lt;/div&gt;"""),"&lt;ruby&gt;海&lt;rt&gt;うみ&lt;/rt&gt;&lt;/ruby&gt;&lt;br&gt;&lt;div class=""audio""&gt;[sound:うみ.mp3]&lt;/div&gt;")</f>
        <v>&lt;ruby&gt;海&lt;rt&gt;うみ&lt;/rt&gt;&lt;/ruby&gt;&lt;br&gt;&lt;div class="audio"&gt;[sound:うみ.mp3]&lt;/div&gt;</v>
      </c>
      <c r="H422" s="3" t="str">
        <f t="shared" si="1"/>
        <v>(n): biển</v>
      </c>
      <c r="I422" s="6" t="s">
        <v>2251</v>
      </c>
      <c r="J422" s="6" t="s">
        <v>2252</v>
      </c>
      <c r="K422" s="7">
        <f t="shared" si="2"/>
        <v>0.4420311172</v>
      </c>
    </row>
    <row r="423">
      <c r="A423" s="4">
        <v>423.0</v>
      </c>
      <c r="B423" s="5" t="s">
        <v>2253</v>
      </c>
      <c r="C423" s="5" t="s">
        <v>2253</v>
      </c>
      <c r="D423" s="5" t="s">
        <v>2253</v>
      </c>
      <c r="E423" s="6" t="s">
        <v>85</v>
      </c>
      <c r="F423" s="6" t="s">
        <v>2254</v>
      </c>
      <c r="G423" s="3" t="str">
        <f>IFERROR(__xludf.DUMMYFUNCTION("REGEXREPLACE(
D423,
""([一-龯々]+)\[([^\]]+)\]"",
""&lt;ruby&gt;$1&lt;rt&gt;$2&lt;/rt&gt;&lt;/ruby&gt;""
)&amp;""&lt;br&gt;&lt;div class=""""audio""""&gt;[sound:""&amp;C423&amp;"".mp3]&lt;/div&gt;"""),"もし&lt;br&gt;&lt;div class=""audio""&gt;[sound:もし.mp3]&lt;/div&gt;")</f>
        <v>もし&lt;br&gt;&lt;div class="audio"&gt;[sound:もし.mp3]&lt;/div&gt;</v>
      </c>
      <c r="H423" s="3" t="str">
        <f t="shared" si="1"/>
        <v>(adv): nếu</v>
      </c>
      <c r="I423" s="6" t="s">
        <v>2255</v>
      </c>
      <c r="J423" s="6" t="s">
        <v>2256</v>
      </c>
      <c r="K423" s="7">
        <f t="shared" si="2"/>
        <v>0.7389843519</v>
      </c>
    </row>
    <row r="424">
      <c r="A424" s="4">
        <v>424.0</v>
      </c>
      <c r="B424" s="5" t="s">
        <v>2257</v>
      </c>
      <c r="C424" s="5" t="s">
        <v>2257</v>
      </c>
      <c r="D424" s="5" t="s">
        <v>2257</v>
      </c>
      <c r="E424" s="6" t="s">
        <v>85</v>
      </c>
      <c r="F424" s="6" t="s">
        <v>2258</v>
      </c>
      <c r="G424" s="3" t="str">
        <f>IFERROR(__xludf.DUMMYFUNCTION("REGEXREPLACE(
D424,
""([一-龯々]+)\[([^\]]+)\]"",
""&lt;ruby&gt;$1&lt;rt&gt;$2&lt;/rt&gt;&lt;/ruby&gt;""
)&amp;""&lt;br&gt;&lt;div class=""""audio""""&gt;[sound:""&amp;C424&amp;"".mp3]&lt;/div&gt;"""),"こんなに&lt;br&gt;&lt;div class=""audio""&gt;[sound:こんなに.mp3]&lt;/div&gt;")</f>
        <v>こんなに&lt;br&gt;&lt;div class="audio"&gt;[sound:こんなに.mp3]&lt;/div&gt;</v>
      </c>
      <c r="H424" s="3" t="str">
        <f t="shared" si="1"/>
        <v>(adv): đến thế này</v>
      </c>
      <c r="I424" s="6" t="s">
        <v>2259</v>
      </c>
      <c r="J424" s="6" t="s">
        <v>2260</v>
      </c>
      <c r="K424" s="7">
        <f t="shared" si="2"/>
        <v>0.3205016426</v>
      </c>
    </row>
    <row r="425">
      <c r="A425" s="4">
        <v>425.0</v>
      </c>
      <c r="B425" s="5" t="s">
        <v>2261</v>
      </c>
      <c r="C425" s="5" t="s">
        <v>2261</v>
      </c>
      <c r="D425" s="5" t="s">
        <v>2261</v>
      </c>
      <c r="E425" s="6" t="s">
        <v>85</v>
      </c>
      <c r="F425" s="6" t="s">
        <v>2262</v>
      </c>
      <c r="G425" s="3" t="str">
        <f>IFERROR(__xludf.DUMMYFUNCTION("REGEXREPLACE(
D425,
""([一-龯々]+)\[([^\]]+)\]"",
""&lt;ruby&gt;$1&lt;rt&gt;$2&lt;/rt&gt;&lt;/ruby&gt;""
)&amp;""&lt;br&gt;&lt;div class=""""audio""""&gt;[sound:""&amp;C425&amp;"".mp3]&lt;/div&gt;"""),"やっと&lt;br&gt;&lt;div class=""audio""&gt;[sound:やっと.mp3]&lt;/div&gt;")</f>
        <v>やっと&lt;br&gt;&lt;div class="audio"&gt;[sound:やっと.mp3]&lt;/div&gt;</v>
      </c>
      <c r="H425" s="3" t="str">
        <f t="shared" si="1"/>
        <v>(adv): cuối cùng</v>
      </c>
      <c r="I425" s="6" t="s">
        <v>2263</v>
      </c>
      <c r="J425" s="6" t="s">
        <v>2264</v>
      </c>
      <c r="K425" s="7">
        <f t="shared" si="2"/>
        <v>0.9411664599</v>
      </c>
    </row>
    <row r="426">
      <c r="A426" s="4">
        <v>426.0</v>
      </c>
      <c r="B426" s="5" t="s">
        <v>2265</v>
      </c>
      <c r="C426" s="5" t="s">
        <v>339</v>
      </c>
      <c r="D426" s="5" t="s">
        <v>2266</v>
      </c>
      <c r="E426" s="6" t="s">
        <v>74</v>
      </c>
      <c r="F426" s="6" t="s">
        <v>128</v>
      </c>
      <c r="G426" s="3" t="str">
        <f>IFERROR(__xludf.DUMMYFUNCTION("REGEXREPLACE(
D426,
""([一-龯々]+)\[([^\]]+)\]"",
""&lt;ruby&gt;$1&lt;rt&gt;$2&lt;/rt&gt;&lt;/ruby&gt;""
)&amp;""&lt;br&gt;&lt;div class=""""audio""""&gt;[sound:""&amp;C426&amp;"".mp3]&lt;/div&gt;"""),"&lt;ruby&gt;内&lt;rt&gt;うち&lt;/rt&gt;&lt;/ruby&gt;&lt;br&gt;&lt;div class=""audio""&gt;[sound:うち.mp3]&lt;/div&gt;")</f>
        <v>&lt;ruby&gt;内&lt;rt&gt;うち&lt;/rt&gt;&lt;/ruby&gt;&lt;br&gt;&lt;div class="audio"&gt;[sound:うち.mp3]&lt;/div&gt;</v>
      </c>
      <c r="H426" s="3" t="str">
        <f t="shared" si="1"/>
        <v>(n): bên trong</v>
      </c>
      <c r="I426" s="6" t="s">
        <v>2267</v>
      </c>
      <c r="J426" s="6" t="s">
        <v>2268</v>
      </c>
      <c r="K426" s="7">
        <f t="shared" si="2"/>
        <v>0.5008125469</v>
      </c>
    </row>
    <row r="427">
      <c r="A427" s="4">
        <v>427.0</v>
      </c>
      <c r="B427" s="5" t="s">
        <v>2269</v>
      </c>
      <c r="C427" s="5" t="s">
        <v>2269</v>
      </c>
      <c r="D427" s="5" t="s">
        <v>2269</v>
      </c>
      <c r="E427" s="6" t="s">
        <v>44</v>
      </c>
      <c r="F427" s="6" t="s">
        <v>2270</v>
      </c>
      <c r="G427" s="3" t="str">
        <f>IFERROR(__xludf.DUMMYFUNCTION("REGEXREPLACE(
D427,
""([一-龯々]+)\[([^\]]+)\]"",
""&lt;ruby&gt;$1&lt;rt&gt;$2&lt;/rt&gt;&lt;/ruby&gt;""
)&amp;""&lt;br&gt;&lt;div class=""""audio""""&gt;[sound:""&amp;C427&amp;"".mp3]&lt;/div&gt;"""),"それぞれ&lt;br&gt;&lt;div class=""audio""&gt;[sound:それぞれ.mp3]&lt;/div&gt;")</f>
        <v>それぞれ&lt;br&gt;&lt;div class="audio"&gt;[sound:それぞれ.mp3]&lt;/div&gt;</v>
      </c>
      <c r="H427" s="3" t="str">
        <f t="shared" si="1"/>
        <v>(pron): từng cái</v>
      </c>
      <c r="I427" s="6" t="s">
        <v>2271</v>
      </c>
      <c r="J427" s="6" t="s">
        <v>2272</v>
      </c>
      <c r="K427" s="7">
        <f t="shared" si="2"/>
        <v>0.5275210101</v>
      </c>
    </row>
    <row r="428">
      <c r="A428" s="4">
        <v>428.0</v>
      </c>
      <c r="B428" s="5" t="s">
        <v>2273</v>
      </c>
      <c r="C428" s="5" t="s">
        <v>2274</v>
      </c>
      <c r="D428" s="5" t="s">
        <v>2273</v>
      </c>
      <c r="E428" s="6" t="s">
        <v>74</v>
      </c>
      <c r="F428" s="6" t="s">
        <v>2275</v>
      </c>
      <c r="G428" s="3" t="str">
        <f>IFERROR(__xludf.DUMMYFUNCTION("REGEXREPLACE(
D428,
""([一-龯々]+)\[([^\]]+)\]"",
""&lt;ruby&gt;$1&lt;rt&gt;$2&lt;/rt&gt;&lt;/ruby&gt;""
)&amp;""&lt;br&gt;&lt;div class=""""audio""""&gt;[sound:""&amp;C428&amp;"".mp3]&lt;/div&gt;"""),"レベル&lt;br&gt;&lt;div class=""audio""&gt;[sound:れべる.mp3]&lt;/div&gt;")</f>
        <v>レベル&lt;br&gt;&lt;div class="audio"&gt;[sound:れべる.mp3]&lt;/div&gt;</v>
      </c>
      <c r="H428" s="3" t="str">
        <f t="shared" si="1"/>
        <v>(n): trình độ</v>
      </c>
      <c r="I428" s="6" t="s">
        <v>2276</v>
      </c>
      <c r="J428" s="6" t="s">
        <v>2277</v>
      </c>
      <c r="K428" s="7">
        <f t="shared" si="2"/>
        <v>0.9274306127</v>
      </c>
    </row>
    <row r="429">
      <c r="A429" s="4">
        <v>429.0</v>
      </c>
      <c r="B429" s="5" t="s">
        <v>2278</v>
      </c>
      <c r="C429" s="5" t="s">
        <v>2279</v>
      </c>
      <c r="D429" s="5" t="s">
        <v>2280</v>
      </c>
      <c r="E429" s="6" t="s">
        <v>74</v>
      </c>
      <c r="F429" s="6" t="s">
        <v>2281</v>
      </c>
      <c r="G429" s="3" t="str">
        <f>IFERROR(__xludf.DUMMYFUNCTION("REGEXREPLACE(
D429,
""([一-龯々]+)\[([^\]]+)\]"",
""&lt;ruby&gt;$1&lt;rt&gt;$2&lt;/rt&gt;&lt;/ruby&gt;""
)&amp;""&lt;br&gt;&lt;div class=""""audio""""&gt;[sound:""&amp;C429&amp;"".mp3]&lt;/div&gt;"""),"&lt;ruby&gt;全体&lt;rt&gt;ぜんたい&lt;/rt&gt;&lt;/ruby&gt;&lt;br&gt;&lt;div class=""audio""&gt;[sound:ぜんたい.mp3]&lt;/div&gt;")</f>
        <v>&lt;ruby&gt;全体&lt;rt&gt;ぜんたい&lt;/rt&gt;&lt;/ruby&gt;&lt;br&gt;&lt;div class="audio"&gt;[sound:ぜんたい.mp3]&lt;/div&gt;</v>
      </c>
      <c r="H429" s="3" t="str">
        <f t="shared" si="1"/>
        <v>(n): toàn thể</v>
      </c>
      <c r="I429" s="6" t="s">
        <v>2282</v>
      </c>
      <c r="J429" s="6" t="s">
        <v>2283</v>
      </c>
      <c r="K429" s="7">
        <f t="shared" si="2"/>
        <v>0.7798746396</v>
      </c>
    </row>
    <row r="430">
      <c r="A430" s="4">
        <v>430.0</v>
      </c>
      <c r="B430" s="5" t="s">
        <v>2284</v>
      </c>
      <c r="C430" s="5" t="s">
        <v>2285</v>
      </c>
      <c r="D430" s="5" t="s">
        <v>2286</v>
      </c>
      <c r="E430" s="6" t="s">
        <v>74</v>
      </c>
      <c r="F430" s="6" t="s">
        <v>2287</v>
      </c>
      <c r="G430" s="3" t="str">
        <f>IFERROR(__xludf.DUMMYFUNCTION("REGEXREPLACE(
D430,
""([一-龯々]+)\[([^\]]+)\]"",
""&lt;ruby&gt;$1&lt;rt&gt;$2&lt;/rt&gt;&lt;/ruby&gt;""
)&amp;""&lt;br&gt;&lt;div class=""""audio""""&gt;[sound:""&amp;C430&amp;"".mp3]&lt;/div&gt;"""),"&lt;ruby&gt;力&lt;rt&gt;ちから&lt;/rt&gt;&lt;/ruby&gt;&lt;br&gt;&lt;div class=""audio""&gt;[sound:ちから.mp3]&lt;/div&gt;")</f>
        <v>&lt;ruby&gt;力&lt;rt&gt;ちから&lt;/rt&gt;&lt;/ruby&gt;&lt;br&gt;&lt;div class="audio"&gt;[sound:ちから.mp3]&lt;/div&gt;</v>
      </c>
      <c r="H430" s="3" t="str">
        <f t="shared" si="1"/>
        <v>(n): sức mạnh</v>
      </c>
      <c r="I430" s="6" t="s">
        <v>2288</v>
      </c>
      <c r="J430" s="6" t="s">
        <v>2289</v>
      </c>
      <c r="K430" s="7">
        <f t="shared" si="2"/>
        <v>0.3956995782</v>
      </c>
    </row>
    <row r="431">
      <c r="A431" s="4">
        <v>431.0</v>
      </c>
      <c r="B431" s="5" t="s">
        <v>2290</v>
      </c>
      <c r="C431" s="5" t="s">
        <v>2290</v>
      </c>
      <c r="D431" s="5" t="s">
        <v>2290</v>
      </c>
      <c r="E431" s="6" t="s">
        <v>74</v>
      </c>
      <c r="F431" s="6" t="s">
        <v>2291</v>
      </c>
      <c r="G431" s="3" t="str">
        <f>IFERROR(__xludf.DUMMYFUNCTION("REGEXREPLACE(
D431,
""([一-龯々]+)\[([^\]]+)\]"",
""&lt;ruby&gt;$1&lt;rt&gt;$2&lt;/rt&gt;&lt;/ruby&gt;""
)&amp;""&lt;br&gt;&lt;div class=""""audio""""&gt;[sound:""&amp;C431&amp;"".mp3]&lt;/div&gt;"""),"おかげ&lt;br&gt;&lt;div class=""audio""&gt;[sound:おかげ.mp3]&lt;/div&gt;")</f>
        <v>おかげ&lt;br&gt;&lt;div class="audio"&gt;[sound:おかげ.mp3]&lt;/div&gt;</v>
      </c>
      <c r="H431" s="3" t="str">
        <f t="shared" si="1"/>
        <v>(n): nhờ vào</v>
      </c>
      <c r="I431" s="6" t="s">
        <v>2292</v>
      </c>
      <c r="J431" s="6" t="s">
        <v>2293</v>
      </c>
      <c r="K431" s="7">
        <f t="shared" si="2"/>
        <v>0.672693381</v>
      </c>
    </row>
    <row r="432">
      <c r="A432" s="4">
        <v>432.0</v>
      </c>
      <c r="B432" s="5" t="s">
        <v>2294</v>
      </c>
      <c r="C432" s="5" t="s">
        <v>2294</v>
      </c>
      <c r="D432" s="5" t="s">
        <v>2294</v>
      </c>
      <c r="E432" s="6" t="s">
        <v>44</v>
      </c>
      <c r="F432" s="6" t="s">
        <v>2295</v>
      </c>
      <c r="G432" s="3" t="str">
        <f>IFERROR(__xludf.DUMMYFUNCTION("REGEXREPLACE(
D432,
""([一-龯々]+)\[([^\]]+)\]"",
""&lt;ruby&gt;$1&lt;rt&gt;$2&lt;/rt&gt;&lt;/ruby&gt;""
)&amp;""&lt;br&gt;&lt;div class=""""audio""""&gt;[sound:""&amp;C432&amp;"".mp3]&lt;/div&gt;"""),"どちら&lt;br&gt;&lt;div class=""audio""&gt;[sound:どちら.mp3]&lt;/div&gt;")</f>
        <v>どちら&lt;br&gt;&lt;div class="audio"&gt;[sound:どちら.mp3]&lt;/div&gt;</v>
      </c>
      <c r="H432" s="3" t="str">
        <f t="shared" si="1"/>
        <v>(pron): bên nào</v>
      </c>
      <c r="I432" s="6" t="s">
        <v>2296</v>
      </c>
      <c r="J432" s="6" t="s">
        <v>2297</v>
      </c>
      <c r="K432" s="7">
        <f t="shared" si="2"/>
        <v>0.3337988024</v>
      </c>
    </row>
    <row r="433">
      <c r="A433" s="4">
        <v>433.0</v>
      </c>
      <c r="B433" s="5" t="s">
        <v>2298</v>
      </c>
      <c r="C433" s="5" t="s">
        <v>2298</v>
      </c>
      <c r="D433" s="5" t="s">
        <v>2298</v>
      </c>
      <c r="E433" s="6" t="s">
        <v>90</v>
      </c>
      <c r="F433" s="6" t="s">
        <v>2299</v>
      </c>
      <c r="G433" s="3" t="str">
        <f>IFERROR(__xludf.DUMMYFUNCTION("REGEXREPLACE(
D433,
""([一-龯々]+)\[([^\]]+)\]"",
""&lt;ruby&gt;$1&lt;rt&gt;$2&lt;/rt&gt;&lt;/ruby&gt;""
)&amp;""&lt;br&gt;&lt;div class=""""audio""""&gt;[sound:""&amp;C433&amp;"".mp3]&lt;/div&gt;"""),"または&lt;br&gt;&lt;div class=""audio""&gt;[sound:または.mp3]&lt;/div&gt;")</f>
        <v>または&lt;br&gt;&lt;div class="audio"&gt;[sound:または.mp3]&lt;/div&gt;</v>
      </c>
      <c r="H433" s="3" t="str">
        <f t="shared" si="1"/>
        <v>(conj): hoặc</v>
      </c>
      <c r="I433" s="6" t="s">
        <v>2300</v>
      </c>
      <c r="J433" s="6" t="s">
        <v>2301</v>
      </c>
      <c r="K433" s="7">
        <f t="shared" si="2"/>
        <v>0.509348793</v>
      </c>
    </row>
    <row r="434">
      <c r="A434" s="4">
        <v>434.0</v>
      </c>
      <c r="B434" s="5" t="s">
        <v>2302</v>
      </c>
      <c r="C434" s="5" t="s">
        <v>2303</v>
      </c>
      <c r="D434" s="5" t="s">
        <v>2302</v>
      </c>
      <c r="E434" s="6" t="s">
        <v>74</v>
      </c>
      <c r="F434" s="6" t="s">
        <v>2304</v>
      </c>
      <c r="G434" s="3" t="str">
        <f>IFERROR(__xludf.DUMMYFUNCTION("REGEXREPLACE(
D434,
""([一-龯々]+)\[([^\]]+)\]"",
""&lt;ruby&gt;$1&lt;rt&gt;$2&lt;/rt&gt;&lt;/ruby&gt;""
)&amp;""&lt;br&gt;&lt;div class=""""audio""""&gt;[sound:""&amp;C434&amp;"".mp3]&lt;/div&gt;"""),"テスト&lt;br&gt;&lt;div class=""audio""&gt;[sound:てすと.mp3]&lt;/div&gt;")</f>
        <v>テスト&lt;br&gt;&lt;div class="audio"&gt;[sound:てすと.mp3]&lt;/div&gt;</v>
      </c>
      <c r="H434" s="3" t="str">
        <f t="shared" si="1"/>
        <v>(n): bài kiểm tra</v>
      </c>
      <c r="I434" s="6" t="s">
        <v>2305</v>
      </c>
      <c r="J434" s="6" t="s">
        <v>2306</v>
      </c>
      <c r="K434" s="7">
        <f t="shared" si="2"/>
        <v>0.7157955446</v>
      </c>
    </row>
    <row r="435">
      <c r="A435" s="4">
        <v>435.0</v>
      </c>
      <c r="B435" s="5" t="s">
        <v>2307</v>
      </c>
      <c r="C435" s="5" t="s">
        <v>2308</v>
      </c>
      <c r="D435" s="5" t="s">
        <v>2309</v>
      </c>
      <c r="E435" s="6" t="s">
        <v>74</v>
      </c>
      <c r="F435" s="6" t="s">
        <v>2310</v>
      </c>
      <c r="G435" s="3" t="str">
        <f>IFERROR(__xludf.DUMMYFUNCTION("REGEXREPLACE(
D435,
""([一-龯々]+)\[([^\]]+)\]"",
""&lt;ruby&gt;$1&lt;rt&gt;$2&lt;/rt&gt;&lt;/ruby&gt;""
)&amp;""&lt;br&gt;&lt;div class=""""audio""""&gt;[sound:""&amp;C435&amp;"".mp3]&lt;/div&gt;"""),"&lt;ruby&gt;企業&lt;rt&gt;きぎょう&lt;/rt&gt;&lt;/ruby&gt;&lt;br&gt;&lt;div class=""audio""&gt;[sound:きぎょう.mp3]&lt;/div&gt;")</f>
        <v>&lt;ruby&gt;企業&lt;rt&gt;きぎょう&lt;/rt&gt;&lt;/ruby&gt;&lt;br&gt;&lt;div class="audio"&gt;[sound:きぎょう.mp3]&lt;/div&gt;</v>
      </c>
      <c r="H435" s="3" t="str">
        <f t="shared" si="1"/>
        <v>(n): doanh nghiệp</v>
      </c>
      <c r="I435" s="6" t="s">
        <v>2311</v>
      </c>
      <c r="J435" s="6" t="s">
        <v>2312</v>
      </c>
      <c r="K435" s="7">
        <f t="shared" si="2"/>
        <v>0.8921510777</v>
      </c>
    </row>
    <row r="436">
      <c r="A436" s="4">
        <v>436.0</v>
      </c>
      <c r="B436" s="5" t="s">
        <v>2313</v>
      </c>
      <c r="C436" s="5" t="s">
        <v>2313</v>
      </c>
      <c r="D436" s="5" t="s">
        <v>2313</v>
      </c>
      <c r="E436" s="6" t="s">
        <v>24</v>
      </c>
      <c r="F436" s="6" t="s">
        <v>2314</v>
      </c>
      <c r="G436" s="3" t="str">
        <f>IFERROR(__xludf.DUMMYFUNCTION("REGEXREPLACE(
D436,
""([一-龯々]+)\[([^\]]+)\]"",
""&lt;ruby&gt;$1&lt;rt&gt;$2&lt;/rt&gt;&lt;/ruby&gt;""
)&amp;""&lt;br&gt;&lt;div class=""""audio""""&gt;[sound:""&amp;C436&amp;"".mp3]&lt;/div&gt;"""),"しゃべる&lt;br&gt;&lt;div class=""audio""&gt;[sound:しゃべる.mp3]&lt;/div&gt;")</f>
        <v>しゃべる&lt;br&gt;&lt;div class="audio"&gt;[sound:しゃべる.mp3]&lt;/div&gt;</v>
      </c>
      <c r="H436" s="3" t="str">
        <f t="shared" si="1"/>
        <v>(v): nói chuyện</v>
      </c>
      <c r="I436" s="6" t="s">
        <v>2315</v>
      </c>
      <c r="J436" s="6" t="s">
        <v>2316</v>
      </c>
      <c r="K436" s="7">
        <f t="shared" si="2"/>
        <v>0.1822158698</v>
      </c>
    </row>
    <row r="437">
      <c r="A437" s="4">
        <v>437.0</v>
      </c>
      <c r="B437" s="5" t="s">
        <v>2317</v>
      </c>
      <c r="C437" s="5" t="s">
        <v>2318</v>
      </c>
      <c r="D437" s="5" t="s">
        <v>2319</v>
      </c>
      <c r="E437" s="6" t="s">
        <v>74</v>
      </c>
      <c r="F437" s="6" t="s">
        <v>2320</v>
      </c>
      <c r="G437" s="3" t="str">
        <f>IFERROR(__xludf.DUMMYFUNCTION("REGEXREPLACE(
D437,
""([一-龯々]+)\[([^\]]+)\]"",
""&lt;ruby&gt;$1&lt;rt&gt;$2&lt;/rt&gt;&lt;/ruby&gt;""
)&amp;""&lt;br&gt;&lt;div class=""""audio""""&gt;[sound:""&amp;C437&amp;"".mp3]&lt;/div&gt;"""),"&lt;ruby&gt;生活&lt;rt&gt;せいかつ&lt;/rt&gt;&lt;/ruby&gt;&lt;br&gt;&lt;div class=""audio""&gt;[sound:せいかつ.mp3]&lt;/div&gt;")</f>
        <v>&lt;ruby&gt;生活&lt;rt&gt;せいかつ&lt;/rt&gt;&lt;/ruby&gt;&lt;br&gt;&lt;div class="audio"&gt;[sound:せいかつ.mp3]&lt;/div&gt;</v>
      </c>
      <c r="H437" s="3" t="str">
        <f t="shared" si="1"/>
        <v>(n): cuộc sống</v>
      </c>
      <c r="I437" s="6" t="s">
        <v>2321</v>
      </c>
      <c r="J437" s="6" t="s">
        <v>2322</v>
      </c>
      <c r="K437" s="7">
        <f t="shared" si="2"/>
        <v>0.1983399763</v>
      </c>
    </row>
    <row r="438">
      <c r="A438" s="4">
        <v>438.0</v>
      </c>
      <c r="B438" s="5" t="s">
        <v>2323</v>
      </c>
      <c r="C438" s="5" t="s">
        <v>2324</v>
      </c>
      <c r="D438" s="5" t="s">
        <v>2325</v>
      </c>
      <c r="E438" s="6" t="s">
        <v>74</v>
      </c>
      <c r="F438" s="6" t="s">
        <v>2326</v>
      </c>
      <c r="G438" s="3" t="str">
        <f>IFERROR(__xludf.DUMMYFUNCTION("REGEXREPLACE(
D438,
""([一-龯々]+)\[([^\]]+)\]"",
""&lt;ruby&gt;$1&lt;rt&gt;$2&lt;/rt&gt;&lt;/ruby&gt;""
)&amp;""&lt;br&gt;&lt;div class=""""audio""""&gt;[sound:""&amp;C438&amp;"".mp3]&lt;/div&gt;"""),"&lt;ruby&gt;予定&lt;rt&gt;よてい&lt;/rt&gt;&lt;/ruby&gt;&lt;br&gt;&lt;div class=""audio""&gt;[sound:よてい.mp3]&lt;/div&gt;")</f>
        <v>&lt;ruby&gt;予定&lt;rt&gt;よてい&lt;/rt&gt;&lt;/ruby&gt;&lt;br&gt;&lt;div class="audio"&gt;[sound:よてい.mp3]&lt;/div&gt;</v>
      </c>
      <c r="H438" s="3" t="str">
        <f t="shared" si="1"/>
        <v>(n): kế hoạch</v>
      </c>
      <c r="I438" s="6" t="s">
        <v>2327</v>
      </c>
      <c r="J438" s="6" t="s">
        <v>2328</v>
      </c>
      <c r="K438" s="7">
        <f t="shared" si="2"/>
        <v>0.7568953125</v>
      </c>
    </row>
    <row r="439">
      <c r="A439" s="4">
        <v>439.0</v>
      </c>
      <c r="B439" s="5" t="s">
        <v>2329</v>
      </c>
      <c r="C439" s="5" t="s">
        <v>2330</v>
      </c>
      <c r="D439" s="5" t="s">
        <v>2331</v>
      </c>
      <c r="E439" s="6" t="s">
        <v>74</v>
      </c>
      <c r="F439" s="6" t="s">
        <v>200</v>
      </c>
      <c r="G439" s="3" t="str">
        <f>IFERROR(__xludf.DUMMYFUNCTION("REGEXREPLACE(
D439,
""([一-龯々]+)\[([^\]]+)\]"",
""&lt;ruby&gt;$1&lt;rt&gt;$2&lt;/rt&gt;&lt;/ruby&gt;""
)&amp;""&lt;br&gt;&lt;div class=""""audio""""&gt;[sound:""&amp;C439&amp;"".mp3]&lt;/div&gt;"""),"&lt;ruby&gt;以外&lt;rt&gt;いがい&lt;/rt&gt;&lt;/ruby&gt;&lt;br&gt;&lt;div class=""audio""&gt;[sound:いがい.mp3]&lt;/div&gt;")</f>
        <v>&lt;ruby&gt;以外&lt;rt&gt;いがい&lt;/rt&gt;&lt;/ruby&gt;&lt;br&gt;&lt;div class="audio"&gt;[sound:いがい.mp3]&lt;/div&gt;</v>
      </c>
      <c r="H439" s="3" t="str">
        <f t="shared" si="1"/>
        <v>(n): ngoài ra</v>
      </c>
      <c r="I439" s="6" t="s">
        <v>2332</v>
      </c>
      <c r="J439" s="6" t="s">
        <v>2333</v>
      </c>
      <c r="K439" s="7">
        <f t="shared" si="2"/>
        <v>0.1095790556</v>
      </c>
    </row>
    <row r="440">
      <c r="A440" s="4">
        <v>440.0</v>
      </c>
      <c r="B440" s="5" t="s">
        <v>2334</v>
      </c>
      <c r="C440" s="5" t="s">
        <v>2335</v>
      </c>
      <c r="D440" s="5" t="s">
        <v>2336</v>
      </c>
      <c r="E440" s="6" t="s">
        <v>74</v>
      </c>
      <c r="F440" s="6" t="s">
        <v>2337</v>
      </c>
      <c r="G440" s="3" t="str">
        <f>IFERROR(__xludf.DUMMYFUNCTION("REGEXREPLACE(
D440,
""([一-龯々]+)\[([^\]]+)\]"",
""&lt;ruby&gt;$1&lt;rt&gt;$2&lt;/rt&gt;&lt;/ruby&gt;""
)&amp;""&lt;br&gt;&lt;div class=""""audio""""&gt;[sound:""&amp;C440&amp;"".mp3]&lt;/div&gt;"""),"&lt;ruby&gt;後&lt;rt&gt;うし&lt;/rt&gt;&lt;/ruby&gt;ろ&lt;br&gt;&lt;div class=""audio""&gt;[sound:うしろ.mp3]&lt;/div&gt;")</f>
        <v>&lt;ruby&gt;後&lt;rt&gt;うし&lt;/rt&gt;&lt;/ruby&gt;ろ&lt;br&gt;&lt;div class="audio"&gt;[sound:うしろ.mp3]&lt;/div&gt;</v>
      </c>
      <c r="H440" s="3" t="str">
        <f t="shared" si="1"/>
        <v>(n): phía sau</v>
      </c>
      <c r="I440" s="6" t="s">
        <v>2338</v>
      </c>
      <c r="J440" s="6" t="s">
        <v>2339</v>
      </c>
      <c r="K440" s="7">
        <f t="shared" si="2"/>
        <v>0.869322979</v>
      </c>
    </row>
    <row r="441">
      <c r="A441" s="4">
        <v>441.0</v>
      </c>
      <c r="B441" s="5" t="s">
        <v>2340</v>
      </c>
      <c r="C441" s="5" t="s">
        <v>2340</v>
      </c>
      <c r="D441" s="5" t="s">
        <v>2340</v>
      </c>
      <c r="E441" s="6" t="s">
        <v>44</v>
      </c>
      <c r="F441" s="6" t="s">
        <v>2341</v>
      </c>
      <c r="G441" s="3" t="str">
        <f>IFERROR(__xludf.DUMMYFUNCTION("REGEXREPLACE(
D441,
""([一-龯々]+)\[([^\]]+)\]"",
""&lt;ruby&gt;$1&lt;rt&gt;$2&lt;/rt&gt;&lt;/ruby&gt;""
)&amp;""&lt;br&gt;&lt;div class=""""audio""""&gt;[sound:""&amp;C441&amp;"".mp3]&lt;/div&gt;"""),"どれ&lt;br&gt;&lt;div class=""audio""&gt;[sound:どれ.mp3]&lt;/div&gt;")</f>
        <v>どれ&lt;br&gt;&lt;div class="audio"&gt;[sound:どれ.mp3]&lt;/div&gt;</v>
      </c>
      <c r="H441" s="3" t="str">
        <f t="shared" si="1"/>
        <v>(pron): cái nào</v>
      </c>
      <c r="I441" s="6" t="s">
        <v>2342</v>
      </c>
      <c r="J441" s="6" t="s">
        <v>2343</v>
      </c>
      <c r="K441" s="7">
        <f t="shared" si="2"/>
        <v>0.7514599251</v>
      </c>
    </row>
    <row r="442">
      <c r="A442" s="4">
        <v>442.0</v>
      </c>
      <c r="B442" s="5" t="s">
        <v>2344</v>
      </c>
      <c r="C442" s="5" t="s">
        <v>2345</v>
      </c>
      <c r="D442" s="5" t="s">
        <v>2346</v>
      </c>
      <c r="E442" s="6" t="s">
        <v>74</v>
      </c>
      <c r="F442" s="6" t="s">
        <v>2347</v>
      </c>
      <c r="G442" s="3" t="str">
        <f>IFERROR(__xludf.DUMMYFUNCTION("REGEXREPLACE(
D442,
""([一-龯々]+)\[([^\]]+)\]"",
""&lt;ruby&gt;$1&lt;rt&gt;$2&lt;/rt&gt;&lt;/ruby&gt;""
)&amp;""&lt;br&gt;&lt;div class=""""audio""""&gt;[sound:""&amp;C442&amp;"".mp3]&lt;/div&gt;"""),"&lt;ruby&gt;意見&lt;rt&gt;いけん&lt;/rt&gt;&lt;/ruby&gt;&lt;br&gt;&lt;div class=""audio""&gt;[sound:いけん.mp3]&lt;/div&gt;")</f>
        <v>&lt;ruby&gt;意見&lt;rt&gt;いけん&lt;/rt&gt;&lt;/ruby&gt;&lt;br&gt;&lt;div class="audio"&gt;[sound:いけん.mp3]&lt;/div&gt;</v>
      </c>
      <c r="H442" s="3" t="str">
        <f t="shared" si="1"/>
        <v>(n): ý kiến</v>
      </c>
      <c r="I442" s="6" t="s">
        <v>2348</v>
      </c>
      <c r="J442" s="6" t="s">
        <v>2349</v>
      </c>
      <c r="K442" s="7">
        <f t="shared" si="2"/>
        <v>0.2720235923</v>
      </c>
    </row>
    <row r="443">
      <c r="A443" s="4">
        <v>443.0</v>
      </c>
      <c r="B443" s="5" t="s">
        <v>2350</v>
      </c>
      <c r="C443" s="5" t="s">
        <v>2351</v>
      </c>
      <c r="D443" s="5" t="s">
        <v>2352</v>
      </c>
      <c r="E443" s="6" t="s">
        <v>24</v>
      </c>
      <c r="F443" s="6" t="s">
        <v>2353</v>
      </c>
      <c r="G443" s="3" t="str">
        <f>IFERROR(__xludf.DUMMYFUNCTION("REGEXREPLACE(
D443,
""([一-龯々]+)\[([^\]]+)\]"",
""&lt;ruby&gt;$1&lt;rt&gt;$2&lt;/rt&gt;&lt;/ruby&gt;""
)&amp;""&lt;br&gt;&lt;div class=""""audio""""&gt;[sound:""&amp;C443&amp;"".mp3]&lt;/div&gt;"""),"&lt;ruby&gt;違&lt;rt&gt;ちが&lt;/rt&gt;&lt;/ruby&gt;う&lt;br&gt;&lt;div class=""audio""&gt;[sound:ちがう.mp3]&lt;/div&gt;")</f>
        <v>&lt;ruby&gt;違&lt;rt&gt;ちが&lt;/rt&gt;&lt;/ruby&gt;う&lt;br&gt;&lt;div class="audio"&gt;[sound:ちがう.mp3]&lt;/div&gt;</v>
      </c>
      <c r="H443" s="3" t="str">
        <f t="shared" si="1"/>
        <v>(v): khác</v>
      </c>
      <c r="I443" s="6" t="s">
        <v>2354</v>
      </c>
      <c r="J443" s="6" t="s">
        <v>2355</v>
      </c>
      <c r="K443" s="7">
        <f t="shared" si="2"/>
        <v>0.07665974382</v>
      </c>
    </row>
    <row r="444">
      <c r="A444" s="4">
        <v>444.0</v>
      </c>
      <c r="B444" s="5" t="s">
        <v>2356</v>
      </c>
      <c r="C444" s="5" t="s">
        <v>2357</v>
      </c>
      <c r="D444" s="5" t="s">
        <v>2356</v>
      </c>
      <c r="E444" s="6" t="s">
        <v>74</v>
      </c>
      <c r="F444" s="6" t="s">
        <v>2358</v>
      </c>
      <c r="G444" s="3" t="str">
        <f>IFERROR(__xludf.DUMMYFUNCTION("REGEXREPLACE(
D444,
""([一-龯々]+)\[([^\]]+)\]"",
""&lt;ruby&gt;$1&lt;rt&gt;$2&lt;/rt&gt;&lt;/ruby&gt;""
)&amp;""&lt;br&gt;&lt;div class=""""audio""""&gt;[sound:""&amp;C444&amp;"".mp3]&lt;/div&gt;"""),"カード&lt;br&gt;&lt;div class=""audio""&gt;[sound:かーど.mp3]&lt;/div&gt;")</f>
        <v>カード&lt;br&gt;&lt;div class="audio"&gt;[sound:かーど.mp3]&lt;/div&gt;</v>
      </c>
      <c r="H444" s="3" t="str">
        <f t="shared" si="1"/>
        <v>(n): thẻ</v>
      </c>
      <c r="I444" s="6" t="s">
        <v>2359</v>
      </c>
      <c r="J444" s="6" t="s">
        <v>2360</v>
      </c>
      <c r="K444" s="7">
        <f t="shared" si="2"/>
        <v>0.01260773202</v>
      </c>
    </row>
    <row r="445">
      <c r="A445" s="4">
        <v>445.0</v>
      </c>
      <c r="B445" s="5" t="s">
        <v>2361</v>
      </c>
      <c r="C445" s="5" t="s">
        <v>2361</v>
      </c>
      <c r="D445" s="5" t="s">
        <v>2361</v>
      </c>
      <c r="E445" s="6" t="s">
        <v>24</v>
      </c>
      <c r="F445" s="6" t="s">
        <v>2362</v>
      </c>
      <c r="G445" s="3" t="str">
        <f>IFERROR(__xludf.DUMMYFUNCTION("REGEXREPLACE(
D445,
""([一-龯々]+)\[([^\]]+)\]"",
""&lt;ruby&gt;$1&lt;rt&gt;$2&lt;/rt&gt;&lt;/ruby&gt;""
)&amp;""&lt;br&gt;&lt;div class=""""audio""""&gt;[sound:""&amp;C445&amp;"".mp3]&lt;/div&gt;"""),"おる&lt;br&gt;&lt;div class=""audio""&gt;[sound:おる.mp3]&lt;/div&gt;")</f>
        <v>おる&lt;br&gt;&lt;div class="audio"&gt;[sound:おる.mp3]&lt;/div&gt;</v>
      </c>
      <c r="H445" s="3" t="str">
        <f t="shared" si="1"/>
        <v>(v): ở</v>
      </c>
      <c r="I445" s="6" t="s">
        <v>2363</v>
      </c>
      <c r="J445" s="6" t="s">
        <v>2364</v>
      </c>
      <c r="K445" s="7">
        <f t="shared" si="2"/>
        <v>0.4084038498</v>
      </c>
    </row>
    <row r="446">
      <c r="A446" s="4">
        <v>446.0</v>
      </c>
      <c r="B446" s="5" t="s">
        <v>2365</v>
      </c>
      <c r="C446" s="5" t="s">
        <v>2366</v>
      </c>
      <c r="D446" s="5" t="s">
        <v>2367</v>
      </c>
      <c r="E446" s="6" t="s">
        <v>74</v>
      </c>
      <c r="F446" s="6" t="s">
        <v>2368</v>
      </c>
      <c r="G446" s="3" t="str">
        <f>IFERROR(__xludf.DUMMYFUNCTION("REGEXREPLACE(
D446,
""([一-龯々]+)\[([^\]]+)\]"",
""&lt;ruby&gt;$1&lt;rt&gt;$2&lt;/rt&gt;&lt;/ruby&gt;""
)&amp;""&lt;br&gt;&lt;div class=""""audio""""&gt;[sound:""&amp;C446&amp;"".mp3]&lt;/div&gt;"""),"&lt;ruby&gt;二人&lt;rt&gt;ふたり&lt;/rt&gt;&lt;/ruby&gt;&lt;br&gt;&lt;div class=""audio""&gt;[sound:ふたり.mp3]&lt;/div&gt;")</f>
        <v>&lt;ruby&gt;二人&lt;rt&gt;ふたり&lt;/rt&gt;&lt;/ruby&gt;&lt;br&gt;&lt;div class="audio"&gt;[sound:ふたり.mp3]&lt;/div&gt;</v>
      </c>
      <c r="H446" s="3" t="str">
        <f t="shared" si="1"/>
        <v>(n): hai người</v>
      </c>
      <c r="I446" s="6" t="s">
        <v>2369</v>
      </c>
      <c r="J446" s="6" t="s">
        <v>2370</v>
      </c>
      <c r="K446" s="7">
        <f t="shared" si="2"/>
        <v>0.8379752606</v>
      </c>
    </row>
    <row r="447">
      <c r="A447" s="4">
        <v>447.0</v>
      </c>
      <c r="B447" s="5" t="s">
        <v>2371</v>
      </c>
      <c r="C447" s="5" t="s">
        <v>2372</v>
      </c>
      <c r="D447" s="5" t="s">
        <v>2371</v>
      </c>
      <c r="E447" s="6" t="s">
        <v>74</v>
      </c>
      <c r="F447" s="6" t="s">
        <v>2373</v>
      </c>
      <c r="G447" s="3" t="str">
        <f>IFERROR(__xludf.DUMMYFUNCTION("REGEXREPLACE(
D447,
""([一-龯々]+)\[([^\]]+)\]"",
""&lt;ruby&gt;$1&lt;rt&gt;$2&lt;/rt&gt;&lt;/ruby&gt;""
)&amp;""&lt;br&gt;&lt;div class=""""audio""""&gt;[sound:""&amp;C447&amp;"".mp3]&lt;/div&gt;"""),"マンション&lt;br&gt;&lt;div class=""audio""&gt;[sound:まんしょん.mp3]&lt;/div&gt;")</f>
        <v>マンション&lt;br&gt;&lt;div class="audio"&gt;[sound:まんしょん.mp3]&lt;/div&gt;</v>
      </c>
      <c r="H447" s="3" t="str">
        <f t="shared" si="1"/>
        <v>(n): chung cư</v>
      </c>
      <c r="I447" s="6" t="s">
        <v>2374</v>
      </c>
      <c r="J447" s="6" t="s">
        <v>2375</v>
      </c>
      <c r="K447" s="7">
        <f t="shared" si="2"/>
        <v>0.640586101</v>
      </c>
    </row>
    <row r="448">
      <c r="A448" s="4">
        <v>448.0</v>
      </c>
      <c r="B448" s="5" t="s">
        <v>2376</v>
      </c>
      <c r="C448" s="5" t="s">
        <v>2377</v>
      </c>
      <c r="D448" s="5" t="s">
        <v>2378</v>
      </c>
      <c r="E448" s="6" t="s">
        <v>74</v>
      </c>
      <c r="F448" s="6" t="s">
        <v>2379</v>
      </c>
      <c r="G448" s="3" t="str">
        <f>IFERROR(__xludf.DUMMYFUNCTION("REGEXREPLACE(
D448,
""([一-龯々]+)\[([^\]]+)\]"",
""&lt;ruby&gt;$1&lt;rt&gt;$2&lt;/rt&gt;&lt;/ruby&gt;""
)&amp;""&lt;br&gt;&lt;div class=""""audio""""&gt;[sound:""&amp;C448&amp;"".mp3]&lt;/div&gt;"""),"&lt;ruby&gt;円&lt;rt&gt;えん&lt;/rt&gt;&lt;/ruby&gt;&lt;br&gt;&lt;div class=""audio""&gt;[sound:えん.mp3]&lt;/div&gt;")</f>
        <v>&lt;ruby&gt;円&lt;rt&gt;えん&lt;/rt&gt;&lt;/ruby&gt;&lt;br&gt;&lt;div class="audio"&gt;[sound:えん.mp3]&lt;/div&gt;</v>
      </c>
      <c r="H448" s="3" t="str">
        <f t="shared" si="1"/>
        <v>(n): đồng yên</v>
      </c>
      <c r="I448" s="6" t="s">
        <v>2380</v>
      </c>
      <c r="J448" s="6" t="s">
        <v>2381</v>
      </c>
      <c r="K448" s="7">
        <f t="shared" si="2"/>
        <v>0.309908808</v>
      </c>
    </row>
    <row r="449">
      <c r="A449" s="4">
        <v>449.0</v>
      </c>
      <c r="B449" s="5" t="s">
        <v>2382</v>
      </c>
      <c r="C449" s="5" t="s">
        <v>2383</v>
      </c>
      <c r="D449" s="5" t="s">
        <v>2384</v>
      </c>
      <c r="E449" s="6" t="s">
        <v>74</v>
      </c>
      <c r="F449" s="6" t="s">
        <v>2385</v>
      </c>
      <c r="G449" s="3" t="str">
        <f>IFERROR(__xludf.DUMMYFUNCTION("REGEXREPLACE(
D449,
""([一-龯々]+)\[([^\]]+)\]"",
""&lt;ruby&gt;$1&lt;rt&gt;$2&lt;/rt&gt;&lt;/ruby&gt;""
)&amp;""&lt;br&gt;&lt;div class=""""audio""""&gt;[sound:""&amp;C449&amp;"".mp3]&lt;/div&gt;"""),"&lt;ruby&gt;感&lt;rt&gt;かん&lt;/rt&gt;&lt;/ruby&gt;じ&lt;br&gt;&lt;div class=""audio""&gt;[sound:かんじ.mp3]&lt;/div&gt;")</f>
        <v>&lt;ruby&gt;感&lt;rt&gt;かん&lt;/rt&gt;&lt;/ruby&gt;じ&lt;br&gt;&lt;div class="audio"&gt;[sound:かんじ.mp3]&lt;/div&gt;</v>
      </c>
      <c r="H449" s="3" t="str">
        <f t="shared" si="1"/>
        <v>(n): cảm giác</v>
      </c>
      <c r="I449" s="6" t="s">
        <v>2386</v>
      </c>
      <c r="J449" s="6" t="s">
        <v>2387</v>
      </c>
      <c r="K449" s="7">
        <f t="shared" si="2"/>
        <v>0.7612369681</v>
      </c>
    </row>
    <row r="450">
      <c r="A450" s="4">
        <v>450.0</v>
      </c>
      <c r="B450" s="5" t="s">
        <v>2388</v>
      </c>
      <c r="C450" s="5" t="s">
        <v>2388</v>
      </c>
      <c r="D450" s="5" t="s">
        <v>2388</v>
      </c>
      <c r="E450" s="6" t="s">
        <v>90</v>
      </c>
      <c r="F450" s="6" t="s">
        <v>878</v>
      </c>
      <c r="G450" s="3" t="str">
        <f>IFERROR(__xludf.DUMMYFUNCTION("REGEXREPLACE(
D450,
""([一-龯々]+)\[([^\]]+)\]"",
""&lt;ruby&gt;$1&lt;rt&gt;$2&lt;/rt&gt;&lt;/ruby&gt;""
)&amp;""&lt;br&gt;&lt;div class=""""audio""""&gt;[sound:""&amp;C450&amp;"".mp3]&lt;/div&gt;"""),"それでは&lt;br&gt;&lt;div class=""audio""&gt;[sound:それでは.mp3]&lt;/div&gt;")</f>
        <v>それでは&lt;br&gt;&lt;div class="audio"&gt;[sound:それでは.mp3]&lt;/div&gt;</v>
      </c>
      <c r="H450" s="3" t="str">
        <f t="shared" si="1"/>
        <v>(conj): vậy thì</v>
      </c>
      <c r="I450" s="6" t="s">
        <v>2389</v>
      </c>
      <c r="J450" s="6" t="s">
        <v>2390</v>
      </c>
      <c r="K450" s="7">
        <f t="shared" si="2"/>
        <v>0.8612036853</v>
      </c>
    </row>
    <row r="451">
      <c r="A451" s="4">
        <v>451.0</v>
      </c>
      <c r="B451" s="5" t="s">
        <v>2391</v>
      </c>
      <c r="C451" s="5" t="s">
        <v>2391</v>
      </c>
      <c r="D451" s="5" t="s">
        <v>2391</v>
      </c>
      <c r="E451" s="6" t="s">
        <v>11</v>
      </c>
      <c r="F451" s="6" t="s">
        <v>2392</v>
      </c>
      <c r="G451" s="3" t="str">
        <f>IFERROR(__xludf.DUMMYFUNCTION("REGEXREPLACE(
D451,
""([一-龯々]+)\[([^\]]+)\]"",
""&lt;ruby&gt;$1&lt;rt&gt;$2&lt;/rt&gt;&lt;/ruby&gt;""
)&amp;""&lt;br&gt;&lt;div class=""""audio""""&gt;[sound:""&amp;C451&amp;"".mp3]&lt;/div&gt;"""),"うまい&lt;br&gt;&lt;div class=""audio""&gt;[sound:うまい.mp3]&lt;/div&gt;")</f>
        <v>うまい&lt;br&gt;&lt;div class="audio"&gt;[sound:うまい.mp3]&lt;/div&gt;</v>
      </c>
      <c r="H451" s="3" t="str">
        <f t="shared" si="1"/>
        <v>(adj): ngon</v>
      </c>
      <c r="I451" s="6" t="s">
        <v>2393</v>
      </c>
      <c r="J451" s="6" t="s">
        <v>2394</v>
      </c>
      <c r="K451" s="7">
        <f t="shared" si="2"/>
        <v>0.8740746936</v>
      </c>
    </row>
    <row r="452">
      <c r="A452" s="4">
        <v>452.0</v>
      </c>
      <c r="B452" s="5" t="s">
        <v>2395</v>
      </c>
      <c r="C452" s="5" t="s">
        <v>2396</v>
      </c>
      <c r="D452" s="5" t="s">
        <v>2395</v>
      </c>
      <c r="E452" s="6" t="s">
        <v>74</v>
      </c>
      <c r="F452" s="6" t="s">
        <v>2397</v>
      </c>
      <c r="G452" s="3" t="str">
        <f>IFERROR(__xludf.DUMMYFUNCTION("REGEXREPLACE(
D452,
""([一-龯々]+)\[([^\]]+)\]"",
""&lt;ruby&gt;$1&lt;rt&gt;$2&lt;/rt&gt;&lt;/ruby&gt;""
)&amp;""&lt;br&gt;&lt;div class=""""audio""""&gt;[sound:""&amp;C452&amp;"".mp3]&lt;/div&gt;"""),"トイレ&lt;br&gt;&lt;div class=""audio""&gt;[sound:といれ.mp3]&lt;/div&gt;")</f>
        <v>トイレ&lt;br&gt;&lt;div class="audio"&gt;[sound:といれ.mp3]&lt;/div&gt;</v>
      </c>
      <c r="H452" s="3" t="str">
        <f t="shared" si="1"/>
        <v>(n): nhà vệ sinh</v>
      </c>
      <c r="I452" s="6" t="s">
        <v>2398</v>
      </c>
      <c r="J452" s="6" t="s">
        <v>2399</v>
      </c>
      <c r="K452" s="7">
        <f t="shared" si="2"/>
        <v>0.9619288968</v>
      </c>
    </row>
    <row r="453">
      <c r="A453" s="4">
        <v>453.0</v>
      </c>
      <c r="B453" s="5" t="s">
        <v>2400</v>
      </c>
      <c r="C453" s="5" t="s">
        <v>2401</v>
      </c>
      <c r="D453" s="5" t="s">
        <v>2402</v>
      </c>
      <c r="E453" s="6" t="s">
        <v>74</v>
      </c>
      <c r="F453" s="6" t="s">
        <v>2403</v>
      </c>
      <c r="G453" s="3" t="str">
        <f>IFERROR(__xludf.DUMMYFUNCTION("REGEXREPLACE(
D453,
""([一-龯々]+)\[([^\]]+)\]"",
""&lt;ruby&gt;$1&lt;rt&gt;$2&lt;/rt&gt;&lt;/ruby&gt;""
)&amp;""&lt;br&gt;&lt;div class=""""audio""""&gt;[sound:""&amp;C453&amp;"".mp3]&lt;/div&gt;"""),"&lt;ruby&gt;休&lt;rt&gt;やす&lt;/rt&gt;&lt;/ruby&gt;み&lt;br&gt;&lt;div class=""audio""&gt;[sound:やすみ.mp3]&lt;/div&gt;")</f>
        <v>&lt;ruby&gt;休&lt;rt&gt;やす&lt;/rt&gt;&lt;/ruby&gt;み&lt;br&gt;&lt;div class="audio"&gt;[sound:やすみ.mp3]&lt;/div&gt;</v>
      </c>
      <c r="H453" s="3" t="str">
        <f t="shared" si="1"/>
        <v>(n): nghỉ ngơi</v>
      </c>
      <c r="I453" s="6" t="s">
        <v>2404</v>
      </c>
      <c r="J453" s="6" t="s">
        <v>2405</v>
      </c>
      <c r="K453" s="7">
        <f t="shared" si="2"/>
        <v>0.1888228243</v>
      </c>
    </row>
    <row r="454">
      <c r="A454" s="4">
        <v>454.0</v>
      </c>
      <c r="B454" s="5" t="s">
        <v>2406</v>
      </c>
      <c r="C454" s="5" t="s">
        <v>2406</v>
      </c>
      <c r="D454" s="5" t="s">
        <v>2406</v>
      </c>
      <c r="E454" s="6" t="s">
        <v>85</v>
      </c>
      <c r="F454" s="6" t="s">
        <v>2407</v>
      </c>
      <c r="G454" s="3" t="str">
        <f>IFERROR(__xludf.DUMMYFUNCTION("REGEXREPLACE(
D454,
""([一-龯々]+)\[([^\]]+)\]"",
""&lt;ruby&gt;$1&lt;rt&gt;$2&lt;/rt&gt;&lt;/ruby&gt;""
)&amp;""&lt;br&gt;&lt;div class=""""audio""""&gt;[sound:""&amp;C454&amp;"".mp3]&lt;/div&gt;"""),"ただ&lt;br&gt;&lt;div class=""audio""&gt;[sound:ただ.mp3]&lt;/div&gt;")</f>
        <v>ただ&lt;br&gt;&lt;div class="audio"&gt;[sound:ただ.mp3]&lt;/div&gt;</v>
      </c>
      <c r="H454" s="3" t="str">
        <f t="shared" si="1"/>
        <v>(adv): miễn phí</v>
      </c>
      <c r="I454" s="6" t="s">
        <v>2408</v>
      </c>
      <c r="J454" s="6" t="s">
        <v>2409</v>
      </c>
      <c r="K454" s="7">
        <f t="shared" si="2"/>
        <v>0.266910933</v>
      </c>
    </row>
    <row r="455">
      <c r="A455" s="4">
        <v>455.0</v>
      </c>
      <c r="B455" s="5" t="s">
        <v>2410</v>
      </c>
      <c r="C455" s="5" t="s">
        <v>2411</v>
      </c>
      <c r="D455" s="5" t="s">
        <v>2410</v>
      </c>
      <c r="E455" s="6" t="s">
        <v>74</v>
      </c>
      <c r="F455" s="6" t="s">
        <v>2412</v>
      </c>
      <c r="G455" s="3" t="str">
        <f>IFERROR(__xludf.DUMMYFUNCTION("REGEXREPLACE(
D455,
""([一-龯々]+)\[([^\]]+)\]"",
""&lt;ruby&gt;$1&lt;rt&gt;$2&lt;/rt&gt;&lt;/ruby&gt;""
)&amp;""&lt;br&gt;&lt;div class=""""audio""""&gt;[sound:""&amp;C455&amp;"".mp3]&lt;/div&gt;"""),"ページ&lt;br&gt;&lt;div class=""audio""&gt;[sound:ぺーじ.mp3]&lt;/div&gt;")</f>
        <v>ページ&lt;br&gt;&lt;div class="audio"&gt;[sound:ぺーじ.mp3]&lt;/div&gt;</v>
      </c>
      <c r="H455" s="3" t="str">
        <f t="shared" si="1"/>
        <v>(n): trang</v>
      </c>
      <c r="I455" s="6" t="s">
        <v>2413</v>
      </c>
      <c r="J455" s="6" t="s">
        <v>2414</v>
      </c>
      <c r="K455" s="7">
        <f t="shared" si="2"/>
        <v>0.9381487877</v>
      </c>
    </row>
    <row r="456">
      <c r="A456" s="4">
        <v>456.0</v>
      </c>
      <c r="B456" s="5" t="s">
        <v>2415</v>
      </c>
      <c r="C456" s="5" t="s">
        <v>2416</v>
      </c>
      <c r="D456" s="5" t="s">
        <v>2415</v>
      </c>
      <c r="E456" s="6" t="s">
        <v>74</v>
      </c>
      <c r="F456" s="6" t="s">
        <v>2417</v>
      </c>
      <c r="G456" s="3" t="str">
        <f>IFERROR(__xludf.DUMMYFUNCTION("REGEXREPLACE(
D456,
""([一-龯々]+)\[([^\]]+)\]"",
""&lt;ruby&gt;$1&lt;rt&gt;$2&lt;/rt&gt;&lt;/ruby&gt;""
)&amp;""&lt;br&gt;&lt;div class=""""audio""""&gt;[sound:""&amp;C456&amp;"".mp3]&lt;/div&gt;"""),"クラス&lt;br&gt;&lt;div class=""audio""&gt;[sound:くらす.mp3]&lt;/div&gt;")</f>
        <v>クラス&lt;br&gt;&lt;div class="audio"&gt;[sound:くらす.mp3]&lt;/div&gt;</v>
      </c>
      <c r="H456" s="3" t="str">
        <f t="shared" si="1"/>
        <v>(n): lớp</v>
      </c>
      <c r="I456" s="6" t="s">
        <v>2418</v>
      </c>
      <c r="J456" s="6" t="s">
        <v>2419</v>
      </c>
      <c r="K456" s="7">
        <f t="shared" si="2"/>
        <v>0.9267072254</v>
      </c>
    </row>
    <row r="457">
      <c r="A457" s="4">
        <v>457.0</v>
      </c>
      <c r="B457" s="5" t="s">
        <v>2420</v>
      </c>
      <c r="C457" s="5" t="s">
        <v>2421</v>
      </c>
      <c r="D457" s="5" t="s">
        <v>2422</v>
      </c>
      <c r="E457" s="6" t="s">
        <v>58</v>
      </c>
      <c r="F457" s="6" t="s">
        <v>81</v>
      </c>
      <c r="G457" s="3" t="str">
        <f>IFERROR(__xludf.DUMMYFUNCTION("REGEXREPLACE(
D457,
""([一-龯々]+)\[([^\]]+)\]"",
""&lt;ruby&gt;$1&lt;rt&gt;$2&lt;/rt&gt;&lt;/ruby&gt;""
)&amp;""&lt;br&gt;&lt;div class=""""audio""""&gt;[sound:""&amp;C457&amp;"".mp3]&lt;/div&gt;"""),"&lt;ruby&gt;五&lt;rt&gt;ご&lt;/rt&gt;&lt;/ruby&gt;&lt;br&gt;&lt;div class=""audio""&gt;[sound:ご.mp3]&lt;/div&gt;")</f>
        <v>&lt;ruby&gt;五&lt;rt&gt;ご&lt;/rt&gt;&lt;/ruby&gt;&lt;br&gt;&lt;div class="audio"&gt;[sound:ご.mp3]&lt;/div&gt;</v>
      </c>
      <c r="H457" s="3" t="str">
        <f t="shared" si="1"/>
        <v>(num): năm</v>
      </c>
      <c r="I457" s="6" t="s">
        <v>2423</v>
      </c>
      <c r="J457" s="6" t="s">
        <v>2424</v>
      </c>
      <c r="K457" s="7">
        <f t="shared" si="2"/>
        <v>0.4639172826</v>
      </c>
    </row>
    <row r="458">
      <c r="A458" s="4">
        <v>458.0</v>
      </c>
      <c r="B458" s="5" t="s">
        <v>2425</v>
      </c>
      <c r="C458" s="5" t="s">
        <v>2426</v>
      </c>
      <c r="D458" s="5" t="s">
        <v>2427</v>
      </c>
      <c r="E458" s="6" t="s">
        <v>74</v>
      </c>
      <c r="F458" s="6" t="s">
        <v>2428</v>
      </c>
      <c r="G458" s="3" t="str">
        <f>IFERROR(__xludf.DUMMYFUNCTION("REGEXREPLACE(
D458,
""([一-龯々]+)\[([^\]]+)\]"",
""&lt;ruby&gt;$1&lt;rt&gt;$2&lt;/rt&gt;&lt;/ruby&gt;""
)&amp;""&lt;br&gt;&lt;div class=""""audio""""&gt;[sound:""&amp;C458&amp;"".mp3]&lt;/div&gt;"""),"&lt;ruby&gt;市場&lt;rt&gt;いちば&lt;/rt&gt;&lt;/ruby&gt;&lt;br&gt;&lt;div class=""audio""&gt;[sound:いちば.mp3]&lt;/div&gt;")</f>
        <v>&lt;ruby&gt;市場&lt;rt&gt;いちば&lt;/rt&gt;&lt;/ruby&gt;&lt;br&gt;&lt;div class="audio"&gt;[sound:いちば.mp3]&lt;/div&gt;</v>
      </c>
      <c r="H458" s="3" t="str">
        <f t="shared" si="1"/>
        <v>(n): chợ</v>
      </c>
      <c r="I458" s="6" t="s">
        <v>2429</v>
      </c>
      <c r="J458" s="6" t="s">
        <v>2430</v>
      </c>
      <c r="K458" s="7">
        <f t="shared" si="2"/>
        <v>0.3419513085</v>
      </c>
    </row>
    <row r="459">
      <c r="A459" s="4">
        <v>459.0</v>
      </c>
      <c r="B459" s="5" t="s">
        <v>2431</v>
      </c>
      <c r="C459" s="5" t="s">
        <v>2432</v>
      </c>
      <c r="D459" s="5" t="s">
        <v>2433</v>
      </c>
      <c r="E459" s="6" t="s">
        <v>74</v>
      </c>
      <c r="F459" s="6" t="s">
        <v>2434</v>
      </c>
      <c r="G459" s="3" t="str">
        <f>IFERROR(__xludf.DUMMYFUNCTION("REGEXREPLACE(
D459,
""([一-龯々]+)\[([^\]]+)\]"",
""&lt;ruby&gt;$1&lt;rt&gt;$2&lt;/rt&gt;&lt;/ruby&gt;""
)&amp;""&lt;br&gt;&lt;div class=""""audio""""&gt;[sound:""&amp;C459&amp;"".mp3]&lt;/div&gt;"""),"&lt;ruby&gt;仕方&lt;rt&gt;しかた&lt;/rt&gt;&lt;/ruby&gt;&lt;br&gt;&lt;div class=""audio""&gt;[sound:しかた.mp3]&lt;/div&gt;")</f>
        <v>&lt;ruby&gt;仕方&lt;rt&gt;しかた&lt;/rt&gt;&lt;/ruby&gt;&lt;br&gt;&lt;div class="audio"&gt;[sound:しかた.mp3]&lt;/div&gt;</v>
      </c>
      <c r="H459" s="3" t="str">
        <f t="shared" si="1"/>
        <v>(n): cách làm</v>
      </c>
      <c r="I459" s="6" t="s">
        <v>2435</v>
      </c>
      <c r="J459" s="6" t="s">
        <v>2436</v>
      </c>
      <c r="K459" s="7">
        <f t="shared" si="2"/>
        <v>0.8575315345</v>
      </c>
    </row>
    <row r="460">
      <c r="A460" s="4">
        <v>460.0</v>
      </c>
      <c r="B460" s="5" t="s">
        <v>2437</v>
      </c>
      <c r="C460" s="5" t="s">
        <v>2438</v>
      </c>
      <c r="D460" s="5" t="s">
        <v>2439</v>
      </c>
      <c r="E460" s="6" t="s">
        <v>74</v>
      </c>
      <c r="F460" s="6" t="s">
        <v>2440</v>
      </c>
      <c r="G460" s="3" t="str">
        <f>IFERROR(__xludf.DUMMYFUNCTION("REGEXREPLACE(
D460,
""([一-龯々]+)\[([^\]]+)\]"",
""&lt;ruby&gt;$1&lt;rt&gt;$2&lt;/rt&gt;&lt;/ruby&gt;""
)&amp;""&lt;br&gt;&lt;div class=""""audio""""&gt;[sound:""&amp;C460&amp;"".mp3]&lt;/div&gt;"""),"&lt;ruby&gt;技術&lt;rt&gt;ぎじゅつ&lt;/rt&gt;&lt;/ruby&gt;&lt;br&gt;&lt;div class=""audio""&gt;[sound:ぎじゅつ.mp3]&lt;/div&gt;")</f>
        <v>&lt;ruby&gt;技術&lt;rt&gt;ぎじゅつ&lt;/rt&gt;&lt;/ruby&gt;&lt;br&gt;&lt;div class="audio"&gt;[sound:ぎじゅつ.mp3]&lt;/div&gt;</v>
      </c>
      <c r="H460" s="3" t="str">
        <f t="shared" si="1"/>
        <v>(n): kỹ thuật</v>
      </c>
      <c r="I460" s="6" t="s">
        <v>2441</v>
      </c>
      <c r="J460" s="6" t="s">
        <v>2442</v>
      </c>
      <c r="K460" s="7">
        <f t="shared" si="2"/>
        <v>0.2798863131</v>
      </c>
    </row>
    <row r="461">
      <c r="A461" s="4">
        <v>461.0</v>
      </c>
      <c r="B461" s="5" t="s">
        <v>2443</v>
      </c>
      <c r="C461" s="5" t="s">
        <v>2444</v>
      </c>
      <c r="D461" s="5" t="s">
        <v>2445</v>
      </c>
      <c r="E461" s="6" t="s">
        <v>74</v>
      </c>
      <c r="F461" s="6" t="s">
        <v>2446</v>
      </c>
      <c r="G461" s="3" t="str">
        <f>IFERROR(__xludf.DUMMYFUNCTION("REGEXREPLACE(
D461,
""([一-龯々]+)\[([^\]]+)\]"",
""&lt;ruby&gt;$1&lt;rt&gt;$2&lt;/rt&gt;&lt;/ruby&gt;""
)&amp;""&lt;br&gt;&lt;div class=""""audio""""&gt;[sound:""&amp;C461&amp;"".mp3]&lt;/div&gt;"""),"&lt;ruby&gt;言葉&lt;rt&gt;ことば&lt;/rt&gt;&lt;/ruby&gt;&lt;br&gt;&lt;div class=""audio""&gt;[sound:ことば.mp3]&lt;/div&gt;")</f>
        <v>&lt;ruby&gt;言葉&lt;rt&gt;ことば&lt;/rt&gt;&lt;/ruby&gt;&lt;br&gt;&lt;div class="audio"&gt;[sound:ことば.mp3]&lt;/div&gt;</v>
      </c>
      <c r="H461" s="3" t="str">
        <f t="shared" si="1"/>
        <v>(n): ngôn ngữ</v>
      </c>
      <c r="I461" s="6" t="s">
        <v>2447</v>
      </c>
      <c r="J461" s="6" t="s">
        <v>2448</v>
      </c>
      <c r="K461" s="7">
        <f t="shared" si="2"/>
        <v>0.3011470281</v>
      </c>
    </row>
    <row r="462">
      <c r="A462" s="4">
        <v>462.0</v>
      </c>
      <c r="B462" s="5" t="s">
        <v>2449</v>
      </c>
      <c r="C462" s="5" t="s">
        <v>2450</v>
      </c>
      <c r="D462" s="5" t="s">
        <v>2449</v>
      </c>
      <c r="E462" s="6" t="s">
        <v>74</v>
      </c>
      <c r="F462" s="6" t="s">
        <v>2451</v>
      </c>
      <c r="G462" s="3" t="str">
        <f>IFERROR(__xludf.DUMMYFUNCTION("REGEXREPLACE(
D462,
""([一-龯々]+)\[([^\]]+)\]"",
""&lt;ruby&gt;$1&lt;rt&gt;$2&lt;/rt&gt;&lt;/ruby&gt;""
)&amp;""&lt;br&gt;&lt;div class=""""audio""""&gt;[sound:""&amp;C462&amp;"".mp3]&lt;/div&gt;"""),"サービス&lt;br&gt;&lt;div class=""audio""&gt;[sound:さーびす.mp3]&lt;/div&gt;")</f>
        <v>サービス&lt;br&gt;&lt;div class="audio"&gt;[sound:さーびす.mp3]&lt;/div&gt;</v>
      </c>
      <c r="H462" s="3" t="str">
        <f t="shared" si="1"/>
        <v>(n): dịch vụ</v>
      </c>
      <c r="I462" s="6" t="s">
        <v>2452</v>
      </c>
      <c r="J462" s="6" t="s">
        <v>2453</v>
      </c>
      <c r="K462" s="7">
        <f t="shared" si="2"/>
        <v>0.03516755632</v>
      </c>
    </row>
    <row r="463">
      <c r="A463" s="4">
        <v>463.0</v>
      </c>
      <c r="B463" s="5" t="s">
        <v>2454</v>
      </c>
      <c r="C463" s="5" t="s">
        <v>2454</v>
      </c>
      <c r="D463" s="5" t="s">
        <v>2454</v>
      </c>
      <c r="E463" s="6" t="s">
        <v>74</v>
      </c>
      <c r="F463" s="6" t="s">
        <v>2455</v>
      </c>
      <c r="G463" s="3" t="str">
        <f>IFERROR(__xludf.DUMMYFUNCTION("REGEXREPLACE(
D463,
""([一-龯々]+)\[([^\]]+)\]"",
""&lt;ruby&gt;$1&lt;rt&gt;$2&lt;/rt&gt;&lt;/ruby&gt;""
)&amp;""&lt;br&gt;&lt;div class=""""audio""""&gt;[sound:""&amp;C463&amp;"".mp3]&lt;/div&gt;"""),"データ&lt;br&gt;&lt;div class=""audio""&gt;[sound:データ.mp3]&lt;/div&gt;")</f>
        <v>データ&lt;br&gt;&lt;div class="audio"&gt;[sound:データ.mp3]&lt;/div&gt;</v>
      </c>
      <c r="H463" s="3" t="str">
        <f t="shared" si="1"/>
        <v>(n): dữ liệu</v>
      </c>
      <c r="I463" s="6" t="s">
        <v>2456</v>
      </c>
      <c r="J463" s="6" t="s">
        <v>2457</v>
      </c>
      <c r="K463" s="7">
        <f t="shared" si="2"/>
        <v>0.3543096264</v>
      </c>
    </row>
    <row r="464">
      <c r="A464" s="4">
        <v>464.0</v>
      </c>
      <c r="B464" s="5" t="s">
        <v>2458</v>
      </c>
      <c r="C464" s="5" t="s">
        <v>2459</v>
      </c>
      <c r="D464" s="5" t="s">
        <v>2460</v>
      </c>
      <c r="E464" s="6" t="s">
        <v>58</v>
      </c>
      <c r="F464" s="6" t="s">
        <v>2461</v>
      </c>
      <c r="G464" s="3" t="str">
        <f>IFERROR(__xludf.DUMMYFUNCTION("REGEXREPLACE(
D464,
""([一-龯々]+)\[([^\]]+)\]"",
""&lt;ruby&gt;$1&lt;rt&gt;$2&lt;/rt&gt;&lt;/ruby&gt;""
)&amp;""&lt;br&gt;&lt;div class=""""audio""""&gt;[sound:""&amp;C464&amp;"".mp3]&lt;/div&gt;"""),"&lt;ruby&gt;二&lt;rt&gt;ふた&lt;/rt&gt;&lt;/ruby&gt;つ&lt;br&gt;&lt;div class=""audio""&gt;[sound:ふたつ.mp3]&lt;/div&gt;")</f>
        <v>&lt;ruby&gt;二&lt;rt&gt;ふた&lt;/rt&gt;&lt;/ruby&gt;つ&lt;br&gt;&lt;div class="audio"&gt;[sound:ふたつ.mp3]&lt;/div&gt;</v>
      </c>
      <c r="H464" s="3" t="str">
        <f t="shared" si="1"/>
        <v>(num): hai cái</v>
      </c>
      <c r="I464" s="6" t="s">
        <v>2462</v>
      </c>
      <c r="J464" s="6" t="s">
        <v>2463</v>
      </c>
      <c r="K464" s="7">
        <f t="shared" si="2"/>
        <v>0.865739458</v>
      </c>
    </row>
    <row r="465">
      <c r="A465" s="4">
        <v>465.0</v>
      </c>
      <c r="B465" s="5" t="s">
        <v>2464</v>
      </c>
      <c r="C465" s="5" t="s">
        <v>2464</v>
      </c>
      <c r="D465" s="5" t="s">
        <v>2464</v>
      </c>
      <c r="E465" s="6" t="s">
        <v>74</v>
      </c>
      <c r="F465" s="6" t="s">
        <v>2465</v>
      </c>
      <c r="G465" s="3" t="str">
        <f>IFERROR(__xludf.DUMMYFUNCTION("REGEXREPLACE(
D465,
""([一-龯々]+)\[([^\]]+)\]"",
""&lt;ruby&gt;$1&lt;rt&gt;$2&lt;/rt&gt;&lt;/ruby&gt;""
)&amp;""&lt;br&gt;&lt;div class=""""audio""""&gt;[sound:""&amp;C465&amp;"".mp3]&lt;/div&gt;"""),"つもり&lt;br&gt;&lt;div class=""audio""&gt;[sound:つもり.mp3]&lt;/div&gt;")</f>
        <v>つもり&lt;br&gt;&lt;div class="audio"&gt;[sound:つもり.mp3]&lt;/div&gt;</v>
      </c>
      <c r="H465" s="3" t="str">
        <f t="shared" si="1"/>
        <v>(n): định</v>
      </c>
      <c r="I465" s="6" t="s">
        <v>2466</v>
      </c>
      <c r="J465" s="6" t="s">
        <v>2467</v>
      </c>
      <c r="K465" s="7">
        <f t="shared" si="2"/>
        <v>0.7830370405</v>
      </c>
    </row>
    <row r="466">
      <c r="A466" s="4">
        <v>466.0</v>
      </c>
      <c r="B466" s="5" t="s">
        <v>2468</v>
      </c>
      <c r="C466" s="5" t="s">
        <v>67</v>
      </c>
      <c r="D466" s="5" t="s">
        <v>2469</v>
      </c>
      <c r="E466" s="6" t="s">
        <v>24</v>
      </c>
      <c r="F466" s="6" t="s">
        <v>68</v>
      </c>
      <c r="G466" s="3" t="str">
        <f>IFERROR(__xludf.DUMMYFUNCTION("REGEXREPLACE(
D466,
""([一-龯々]+)\[([^\]]+)\]"",
""&lt;ruby&gt;$1&lt;rt&gt;$2&lt;/rt&gt;&lt;/ruby&gt;""
)&amp;""&lt;br&gt;&lt;div class=""""audio""""&gt;[sound:""&amp;C466&amp;"".mp3]&lt;/div&gt;"""),"&lt;ruby&gt;為&lt;rt&gt;す&lt;/rt&gt;&lt;/ruby&gt;る&lt;br&gt;&lt;div class=""audio""&gt;[sound:する.mp3]&lt;/div&gt;")</f>
        <v>&lt;ruby&gt;為&lt;rt&gt;す&lt;/rt&gt;&lt;/ruby&gt;る&lt;br&gt;&lt;div class="audio"&gt;[sound:する.mp3]&lt;/div&gt;</v>
      </c>
      <c r="H466" s="3" t="str">
        <f t="shared" si="1"/>
        <v>(v): làm</v>
      </c>
      <c r="I466" s="6" t="s">
        <v>2470</v>
      </c>
      <c r="J466" s="6" t="s">
        <v>2471</v>
      </c>
      <c r="K466" s="7">
        <f t="shared" si="2"/>
        <v>0.258037185</v>
      </c>
    </row>
    <row r="467">
      <c r="A467" s="4">
        <v>467.0</v>
      </c>
      <c r="B467" s="5" t="s">
        <v>2472</v>
      </c>
      <c r="C467" s="5" t="s">
        <v>2473</v>
      </c>
      <c r="D467" s="5" t="s">
        <v>2474</v>
      </c>
      <c r="E467" s="6" t="s">
        <v>74</v>
      </c>
      <c r="F467" s="6" t="s">
        <v>2353</v>
      </c>
      <c r="G467" s="3" t="str">
        <f>IFERROR(__xludf.DUMMYFUNCTION("REGEXREPLACE(
D467,
""([一-龯々]+)\[([^\]]+)\]"",
""&lt;ruby&gt;$1&lt;rt&gt;$2&lt;/rt&gt;&lt;/ruby&gt;""
)&amp;""&lt;br&gt;&lt;div class=""""audio""""&gt;[sound:""&amp;C467&amp;"".mp3]&lt;/div&gt;"""),"&lt;ruby&gt;他&lt;rt&gt;ほか&lt;/rt&gt;&lt;/ruby&gt;&lt;br&gt;&lt;div class=""audio""&gt;[sound:ほか.mp3]&lt;/div&gt;")</f>
        <v>&lt;ruby&gt;他&lt;rt&gt;ほか&lt;/rt&gt;&lt;/ruby&gt;&lt;br&gt;&lt;div class="audio"&gt;[sound:ほか.mp3]&lt;/div&gt;</v>
      </c>
      <c r="H467" s="3" t="str">
        <f t="shared" si="1"/>
        <v>(n): khác</v>
      </c>
      <c r="I467" s="6" t="s">
        <v>2475</v>
      </c>
      <c r="J467" s="6" t="s">
        <v>2476</v>
      </c>
      <c r="K467" s="7">
        <f t="shared" si="2"/>
        <v>0.5075979674</v>
      </c>
    </row>
    <row r="468">
      <c r="A468" s="4">
        <v>468.0</v>
      </c>
      <c r="B468" s="5" t="s">
        <v>2477</v>
      </c>
      <c r="C468" s="5" t="s">
        <v>2477</v>
      </c>
      <c r="D468" s="5" t="s">
        <v>2477</v>
      </c>
      <c r="E468" s="6" t="s">
        <v>44</v>
      </c>
      <c r="F468" s="6" t="s">
        <v>144</v>
      </c>
      <c r="G468" s="3" t="str">
        <f>IFERROR(__xludf.DUMMYFUNCTION("REGEXREPLACE(
D468,
""([一-龯々]+)\[([^\]]+)\]"",
""&lt;ruby&gt;$1&lt;rt&gt;$2&lt;/rt&gt;&lt;/ruby&gt;""
)&amp;""&lt;br&gt;&lt;div class=""""audio""""&gt;[sound:""&amp;C468&amp;"".mp3]&lt;/div&gt;"""),"こっち&lt;br&gt;&lt;div class=""audio""&gt;[sound:こっち.mp3]&lt;/div&gt;")</f>
        <v>こっち&lt;br&gt;&lt;div class="audio"&gt;[sound:こっち.mp3]&lt;/div&gt;</v>
      </c>
      <c r="H468" s="3" t="str">
        <f t="shared" si="1"/>
        <v>(pron): đây</v>
      </c>
      <c r="I468" s="6" t="s">
        <v>2478</v>
      </c>
      <c r="J468" s="6" t="s">
        <v>2479</v>
      </c>
      <c r="K468" s="7">
        <f t="shared" si="2"/>
        <v>0.2413092218</v>
      </c>
    </row>
    <row r="469">
      <c r="A469" s="4">
        <v>469.0</v>
      </c>
      <c r="B469" s="5" t="s">
        <v>2480</v>
      </c>
      <c r="C469" s="5" t="s">
        <v>2481</v>
      </c>
      <c r="D469" s="5" t="s">
        <v>2482</v>
      </c>
      <c r="E469" s="6" t="s">
        <v>24</v>
      </c>
      <c r="F469" s="6" t="s">
        <v>2483</v>
      </c>
      <c r="G469" s="3" t="str">
        <f>IFERROR(__xludf.DUMMYFUNCTION("REGEXREPLACE(
D469,
""([一-龯々]+)\[([^\]]+)\]"",
""&lt;ruby&gt;$1&lt;rt&gt;$2&lt;/rt&gt;&lt;/ruby&gt;""
)&amp;""&lt;br&gt;&lt;div class=""""audio""""&gt;[sound:""&amp;C469&amp;"".mp3]&lt;/div&gt;"""),"&lt;ruby&gt;届&lt;rt&gt;とど&lt;/rt&gt;&lt;/ruby&gt;く&lt;br&gt;&lt;div class=""audio""&gt;[sound:とどく.mp3]&lt;/div&gt;")</f>
        <v>&lt;ruby&gt;届&lt;rt&gt;とど&lt;/rt&gt;&lt;/ruby&gt;く&lt;br&gt;&lt;div class="audio"&gt;[sound:とどく.mp3]&lt;/div&gt;</v>
      </c>
      <c r="H469" s="3" t="str">
        <f t="shared" si="1"/>
        <v>(v): tới</v>
      </c>
      <c r="I469" s="6" t="s">
        <v>2484</v>
      </c>
      <c r="J469" s="6" t="s">
        <v>2485</v>
      </c>
      <c r="K469" s="7">
        <f t="shared" si="2"/>
        <v>0.9264466165</v>
      </c>
    </row>
    <row r="470">
      <c r="A470" s="4">
        <v>470.0</v>
      </c>
      <c r="B470" s="5" t="s">
        <v>2486</v>
      </c>
      <c r="C470" s="5" t="s">
        <v>2487</v>
      </c>
      <c r="D470" s="5" t="s">
        <v>2488</v>
      </c>
      <c r="E470" s="6" t="s">
        <v>11</v>
      </c>
      <c r="F470" s="6" t="s">
        <v>2489</v>
      </c>
      <c r="G470" s="3" t="str">
        <f>IFERROR(__xludf.DUMMYFUNCTION("REGEXREPLACE(
D470,
""([一-龯々]+)\[([^\]]+)\]"",
""&lt;ruby&gt;$1&lt;rt&gt;$2&lt;/rt&gt;&lt;/ruby&gt;""
)&amp;""&lt;br&gt;&lt;div class=""""audio""""&gt;[sound:""&amp;C470&amp;"".mp3]&lt;/div&gt;"""),"&lt;ruby&gt;近&lt;rt&gt;ちか&lt;/rt&gt;&lt;/ruby&gt;い&lt;br&gt;&lt;div class=""audio""&gt;[sound:ちかい.mp3]&lt;/div&gt;")</f>
        <v>&lt;ruby&gt;近&lt;rt&gt;ちか&lt;/rt&gt;&lt;/ruby&gt;い&lt;br&gt;&lt;div class="audio"&gt;[sound:ちかい.mp3]&lt;/div&gt;</v>
      </c>
      <c r="H470" s="3" t="str">
        <f t="shared" si="1"/>
        <v>(adj): gần</v>
      </c>
      <c r="I470" s="6" t="s">
        <v>2490</v>
      </c>
      <c r="J470" s="6" t="s">
        <v>2491</v>
      </c>
      <c r="K470" s="7">
        <f t="shared" si="2"/>
        <v>0.3740135476</v>
      </c>
    </row>
    <row r="471">
      <c r="A471" s="4">
        <v>471.0</v>
      </c>
      <c r="B471" s="5" t="s">
        <v>2492</v>
      </c>
      <c r="C471" s="5" t="s">
        <v>2493</v>
      </c>
      <c r="D471" s="5" t="s">
        <v>2492</v>
      </c>
      <c r="E471" s="6" t="s">
        <v>74</v>
      </c>
      <c r="F471" s="6" t="s">
        <v>2494</v>
      </c>
      <c r="G471" s="3" t="str">
        <f>IFERROR(__xludf.DUMMYFUNCTION("REGEXREPLACE(
D471,
""([一-龯々]+)\[([^\]]+)\]"",
""&lt;ruby&gt;$1&lt;rt&gt;$2&lt;/rt&gt;&lt;/ruby&gt;""
)&amp;""&lt;br&gt;&lt;div class=""""audio""""&gt;[sound:""&amp;C471&amp;"".mp3]&lt;/div&gt;"""),"グループ&lt;br&gt;&lt;div class=""audio""&gt;[sound:ぐるーぷ.mp3]&lt;/div&gt;")</f>
        <v>グループ&lt;br&gt;&lt;div class="audio"&gt;[sound:ぐるーぷ.mp3]&lt;/div&gt;</v>
      </c>
      <c r="H471" s="3" t="str">
        <f t="shared" si="1"/>
        <v>(n): nhóm</v>
      </c>
      <c r="I471" s="6" t="s">
        <v>2495</v>
      </c>
      <c r="J471" s="6" t="s">
        <v>2496</v>
      </c>
      <c r="K471" s="7">
        <f t="shared" si="2"/>
        <v>0.285256733</v>
      </c>
    </row>
    <row r="472">
      <c r="A472" s="4">
        <v>472.0</v>
      </c>
      <c r="B472" s="5" t="s">
        <v>2497</v>
      </c>
      <c r="C472" s="5" t="s">
        <v>2498</v>
      </c>
      <c r="D472" s="5" t="s">
        <v>2499</v>
      </c>
      <c r="E472" s="6" t="s">
        <v>24</v>
      </c>
      <c r="F472" s="6" t="s">
        <v>2500</v>
      </c>
      <c r="G472" s="3" t="str">
        <f>IFERROR(__xludf.DUMMYFUNCTION("REGEXREPLACE(
D472,
""([一-龯々]+)\[([^\]]+)\]"",
""&lt;ruby&gt;$1&lt;rt&gt;$2&lt;/rt&gt;&lt;/ruby&gt;""
)&amp;""&lt;br&gt;&lt;div class=""""audio""""&gt;[sound:""&amp;C472&amp;"".mp3]&lt;/div&gt;"""),"&lt;ruby&gt;払&lt;rt&gt;はら&lt;/rt&gt;&lt;/ruby&gt;う&lt;br&gt;&lt;div class=""audio""&gt;[sound:はらう.mp3]&lt;/div&gt;")</f>
        <v>&lt;ruby&gt;払&lt;rt&gt;はら&lt;/rt&gt;&lt;/ruby&gt;う&lt;br&gt;&lt;div class="audio"&gt;[sound:はらう.mp3]&lt;/div&gt;</v>
      </c>
      <c r="H472" s="3" t="str">
        <f t="shared" si="1"/>
        <v>(v): chi trả</v>
      </c>
      <c r="I472" s="6" t="s">
        <v>2501</v>
      </c>
      <c r="J472" s="6" t="s">
        <v>2502</v>
      </c>
      <c r="K472" s="7">
        <f t="shared" si="2"/>
        <v>0.639639309</v>
      </c>
    </row>
    <row r="473">
      <c r="A473" s="4">
        <v>473.0</v>
      </c>
      <c r="B473" s="5" t="s">
        <v>2503</v>
      </c>
      <c r="C473" s="5" t="s">
        <v>2503</v>
      </c>
      <c r="D473" s="5" t="s">
        <v>2503</v>
      </c>
      <c r="E473" s="6" t="s">
        <v>33</v>
      </c>
      <c r="F473" s="6" t="s">
        <v>1336</v>
      </c>
      <c r="G473" s="3" t="str">
        <f>IFERROR(__xludf.DUMMYFUNCTION("REGEXREPLACE(
D473,
""([一-龯々]+)\[([^\]]+)\]"",
""&lt;ruby&gt;$1&lt;rt&gt;$2&lt;/rt&gt;&lt;/ruby&gt;""
)&amp;""&lt;br&gt;&lt;div class=""""audio""""&gt;[sound:""&amp;C473&amp;"".mp3]&lt;/div&gt;"""),"あ&lt;br&gt;&lt;div class=""audio""&gt;[sound:あ.mp3]&lt;/div&gt;")</f>
        <v>あ&lt;br&gt;&lt;div class="audio"&gt;[sound:あ.mp3]&lt;/div&gt;</v>
      </c>
      <c r="H473" s="3" t="str">
        <f t="shared" si="1"/>
        <v>(int): a</v>
      </c>
      <c r="I473" s="6" t="s">
        <v>2504</v>
      </c>
      <c r="J473" s="6" t="s">
        <v>2505</v>
      </c>
      <c r="K473" s="7">
        <f t="shared" si="2"/>
        <v>0.1332186421</v>
      </c>
    </row>
    <row r="474">
      <c r="A474" s="4">
        <v>474.0</v>
      </c>
      <c r="B474" s="5" t="s">
        <v>2506</v>
      </c>
      <c r="C474" s="5" t="s">
        <v>2507</v>
      </c>
      <c r="D474" s="5" t="s">
        <v>2508</v>
      </c>
      <c r="E474" s="6" t="s">
        <v>58</v>
      </c>
      <c r="F474" s="6" t="s">
        <v>2509</v>
      </c>
      <c r="G474" s="3" t="str">
        <f>IFERROR(__xludf.DUMMYFUNCTION("REGEXREPLACE(
D474,
""([一-龯々]+)\[([^\]]+)\]"",
""&lt;ruby&gt;$1&lt;rt&gt;$2&lt;/rt&gt;&lt;/ruby&gt;""
)&amp;""&lt;br&gt;&lt;div class=""""audio""""&gt;[sound:""&amp;C474&amp;"".mp3]&lt;/div&gt;"""),"&lt;ruby&gt;万&lt;rt&gt;まん&lt;/rt&gt;&lt;/ruby&gt;&lt;br&gt;&lt;div class=""audio""&gt;[sound:まん.mp3]&lt;/div&gt;")</f>
        <v>&lt;ruby&gt;万&lt;rt&gt;まん&lt;/rt&gt;&lt;/ruby&gt;&lt;br&gt;&lt;div class="audio"&gt;[sound:まん.mp3]&lt;/div&gt;</v>
      </c>
      <c r="H474" s="3" t="str">
        <f t="shared" si="1"/>
        <v>(num): vạn</v>
      </c>
      <c r="I474" s="6" t="s">
        <v>2510</v>
      </c>
      <c r="J474" s="6" t="s">
        <v>2511</v>
      </c>
      <c r="K474" s="7">
        <f t="shared" si="2"/>
        <v>0.1167047787</v>
      </c>
    </row>
    <row r="475">
      <c r="A475" s="4">
        <v>475.0</v>
      </c>
      <c r="B475" s="5" t="s">
        <v>2512</v>
      </c>
      <c r="C475" s="5" t="s">
        <v>2513</v>
      </c>
      <c r="D475" s="5" t="s">
        <v>2512</v>
      </c>
      <c r="E475" s="6" t="s">
        <v>74</v>
      </c>
      <c r="F475" s="6" t="s">
        <v>848</v>
      </c>
      <c r="G475" s="3" t="str">
        <f>IFERROR(__xludf.DUMMYFUNCTION("REGEXREPLACE(
D475,
""([一-龯々]+)\[([^\]]+)\]"",
""&lt;ruby&gt;$1&lt;rt&gt;$2&lt;/rt&gt;&lt;/ruby&gt;""
)&amp;""&lt;br&gt;&lt;div class=""""audio""""&gt;[sound:""&amp;C475&amp;"".mp3]&lt;/div&gt;"""),"ママ&lt;br&gt;&lt;div class=""audio""&gt;[sound:まま.mp3]&lt;/div&gt;")</f>
        <v>ママ&lt;br&gt;&lt;div class="audio"&gt;[sound:まま.mp3]&lt;/div&gt;</v>
      </c>
      <c r="H475" s="3" t="str">
        <f t="shared" si="1"/>
        <v>(n): mẹ</v>
      </c>
      <c r="I475" s="6" t="s">
        <v>2514</v>
      </c>
      <c r="J475" s="6" t="s">
        <v>2515</v>
      </c>
      <c r="K475" s="7">
        <f t="shared" si="2"/>
        <v>0.928281844</v>
      </c>
    </row>
    <row r="476">
      <c r="A476" s="4">
        <v>476.0</v>
      </c>
      <c r="B476" s="5" t="s">
        <v>2516</v>
      </c>
      <c r="C476" s="5" t="s">
        <v>2517</v>
      </c>
      <c r="D476" s="5" t="s">
        <v>2518</v>
      </c>
      <c r="E476" s="6" t="s">
        <v>74</v>
      </c>
      <c r="F476" s="6" t="s">
        <v>2519</v>
      </c>
      <c r="G476" s="3" t="str">
        <f>IFERROR(__xludf.DUMMYFUNCTION("REGEXREPLACE(
D476,
""([一-龯々]+)\[([^\]]+)\]"",
""&lt;ruby&gt;$1&lt;rt&gt;$2&lt;/rt&gt;&lt;/ruby&gt;""
)&amp;""&lt;br&gt;&lt;div class=""""audio""""&gt;[sound:""&amp;C476&amp;"".mp3]&lt;/div&gt;"""),"&lt;ruby&gt;事業&lt;rt&gt;じぎょう&lt;/rt&gt;&lt;/ruby&gt;&lt;br&gt;&lt;div class=""audio""&gt;[sound:じぎょう.mp3]&lt;/div&gt;")</f>
        <v>&lt;ruby&gt;事業&lt;rt&gt;じぎょう&lt;/rt&gt;&lt;/ruby&gt;&lt;br&gt;&lt;div class="audio"&gt;[sound:じぎょう.mp3]&lt;/div&gt;</v>
      </c>
      <c r="H476" s="3" t="str">
        <f t="shared" si="1"/>
        <v>(n): công việc kinh doanh</v>
      </c>
      <c r="I476" s="6" t="s">
        <v>2520</v>
      </c>
      <c r="J476" s="6" t="s">
        <v>2521</v>
      </c>
      <c r="K476" s="7">
        <f t="shared" si="2"/>
        <v>0.3079656505</v>
      </c>
    </row>
    <row r="477">
      <c r="A477" s="4">
        <v>477.0</v>
      </c>
      <c r="B477" s="5" t="s">
        <v>2522</v>
      </c>
      <c r="C477" s="5" t="s">
        <v>2523</v>
      </c>
      <c r="D477" s="5" t="s">
        <v>2522</v>
      </c>
      <c r="E477" s="6" t="s">
        <v>74</v>
      </c>
      <c r="F477" s="6" t="s">
        <v>2524</v>
      </c>
      <c r="G477" s="3" t="str">
        <f>IFERROR(__xludf.DUMMYFUNCTION("REGEXREPLACE(
D477,
""([一-龯々]+)\[([^\]]+)\]"",
""&lt;ruby&gt;$1&lt;rt&gt;$2&lt;/rt&gt;&lt;/ruby&gt;""
)&amp;""&lt;br&gt;&lt;div class=""""audio""""&gt;[sound:""&amp;C477&amp;"".mp3]&lt;/div&gt;"""),"メーカー&lt;br&gt;&lt;div class=""audio""&gt;[sound:めーかー.mp3]&lt;/div&gt;")</f>
        <v>メーカー&lt;br&gt;&lt;div class="audio"&gt;[sound:めーかー.mp3]&lt;/div&gt;</v>
      </c>
      <c r="H477" s="3" t="str">
        <f t="shared" si="1"/>
        <v>(n): nhà sản xuất</v>
      </c>
      <c r="I477" s="6" t="s">
        <v>2525</v>
      </c>
      <c r="J477" s="6" t="s">
        <v>2526</v>
      </c>
      <c r="K477" s="7">
        <f t="shared" si="2"/>
        <v>0.9065428517</v>
      </c>
    </row>
    <row r="478">
      <c r="A478" s="4">
        <v>478.0</v>
      </c>
      <c r="B478" s="5" t="s">
        <v>2527</v>
      </c>
      <c r="C478" s="5" t="s">
        <v>2528</v>
      </c>
      <c r="D478" s="5" t="s">
        <v>2529</v>
      </c>
      <c r="E478" s="6" t="s">
        <v>74</v>
      </c>
      <c r="F478" s="6" t="s">
        <v>2530</v>
      </c>
      <c r="G478" s="3" t="str">
        <f>IFERROR(__xludf.DUMMYFUNCTION("REGEXREPLACE(
D478,
""([一-龯々]+)\[([^\]]+)\]"",
""&lt;ruby&gt;$1&lt;rt&gt;$2&lt;/rt&gt;&lt;/ruby&gt;""
)&amp;""&lt;br&gt;&lt;div class=""""audio""""&gt;[sound:""&amp;C478&amp;"".mp3]&lt;/div&gt;"""),"&lt;ruby&gt;動&lt;rt&gt;うご&lt;/rt&gt;&lt;/ruby&gt;き&lt;br&gt;&lt;div class=""audio""&gt;[sound:うごき.mp3]&lt;/div&gt;")</f>
        <v>&lt;ruby&gt;動&lt;rt&gt;うご&lt;/rt&gt;&lt;/ruby&gt;き&lt;br&gt;&lt;div class="audio"&gt;[sound:うごき.mp3]&lt;/div&gt;</v>
      </c>
      <c r="H478" s="3" t="str">
        <f t="shared" si="1"/>
        <v>(n): chuyển động</v>
      </c>
      <c r="I478" s="6" t="s">
        <v>2531</v>
      </c>
      <c r="J478" s="6" t="s">
        <v>2532</v>
      </c>
      <c r="K478" s="7">
        <f t="shared" si="2"/>
        <v>0.6350412429</v>
      </c>
    </row>
    <row r="479">
      <c r="A479" s="4">
        <v>479.0</v>
      </c>
      <c r="B479" s="5" t="s">
        <v>2533</v>
      </c>
      <c r="C479" s="5" t="s">
        <v>2534</v>
      </c>
      <c r="D479" s="5" t="s">
        <v>2533</v>
      </c>
      <c r="E479" s="6" t="s">
        <v>74</v>
      </c>
      <c r="F479" s="6" t="s">
        <v>2535</v>
      </c>
      <c r="G479" s="3" t="str">
        <f>IFERROR(__xludf.DUMMYFUNCTION("REGEXREPLACE(
D479,
""([一-龯々]+)\[([^\]]+)\]"",
""&lt;ruby&gt;$1&lt;rt&gt;$2&lt;/rt&gt;&lt;/ruby&gt;""
)&amp;""&lt;br&gt;&lt;div class=""""audio""""&gt;[sound:""&amp;C479&amp;"".mp3]&lt;/div&gt;"""),"オンライン&lt;br&gt;&lt;div class=""audio""&gt;[sound:おんらいん.mp3]&lt;/div&gt;")</f>
        <v>オンライン&lt;br&gt;&lt;div class="audio"&gt;[sound:おんらいん.mp3]&lt;/div&gt;</v>
      </c>
      <c r="H479" s="3" t="str">
        <f t="shared" si="1"/>
        <v>(n): trực tuyến</v>
      </c>
      <c r="I479" s="6" t="s">
        <v>2536</v>
      </c>
      <c r="J479" s="6" t="s">
        <v>2537</v>
      </c>
      <c r="K479" s="7">
        <f t="shared" si="2"/>
        <v>0.7593106481</v>
      </c>
    </row>
    <row r="480">
      <c r="A480" s="4">
        <v>480.0</v>
      </c>
      <c r="B480" s="5" t="s">
        <v>2538</v>
      </c>
      <c r="C480" s="5" t="s">
        <v>2539</v>
      </c>
      <c r="D480" s="5" t="s">
        <v>2538</v>
      </c>
      <c r="E480" s="6" t="s">
        <v>74</v>
      </c>
      <c r="F480" s="6" t="s">
        <v>2540</v>
      </c>
      <c r="G480" s="3" t="str">
        <f>IFERROR(__xludf.DUMMYFUNCTION("REGEXREPLACE(
D480,
""([一-龯々]+)\[([^\]]+)\]"",
""&lt;ruby&gt;$1&lt;rt&gt;$2&lt;/rt&gt;&lt;/ruby&gt;""
)&amp;""&lt;br&gt;&lt;div class=""""audio""""&gt;[sound:""&amp;C480&amp;"".mp3]&lt;/div&gt;"""),"サイズ&lt;br&gt;&lt;div class=""audio""&gt;[sound:さいず.mp3]&lt;/div&gt;")</f>
        <v>サイズ&lt;br&gt;&lt;div class="audio"&gt;[sound:さいず.mp3]&lt;/div&gt;</v>
      </c>
      <c r="H480" s="3" t="str">
        <f t="shared" si="1"/>
        <v>(n): kích thước</v>
      </c>
      <c r="I480" s="6" t="s">
        <v>2541</v>
      </c>
      <c r="J480" s="6" t="s">
        <v>2542</v>
      </c>
      <c r="K480" s="7">
        <f t="shared" si="2"/>
        <v>0.1128644313</v>
      </c>
    </row>
    <row r="481">
      <c r="A481" s="4">
        <v>481.0</v>
      </c>
      <c r="B481" s="5" t="s">
        <v>2543</v>
      </c>
      <c r="C481" s="5" t="s">
        <v>2544</v>
      </c>
      <c r="D481" s="5" t="s">
        <v>2543</v>
      </c>
      <c r="E481" s="6" t="s">
        <v>74</v>
      </c>
      <c r="F481" s="6" t="s">
        <v>2545</v>
      </c>
      <c r="G481" s="3" t="str">
        <f>IFERROR(__xludf.DUMMYFUNCTION("REGEXREPLACE(
D481,
""([一-龯々]+)\[([^\]]+)\]"",
""&lt;ruby&gt;$1&lt;rt&gt;$2&lt;/rt&gt;&lt;/ruby&gt;""
)&amp;""&lt;br&gt;&lt;div class=""""audio""""&gt;[sound:""&amp;C481&amp;"".mp3]&lt;/div&gt;"""),"コメント&lt;br&gt;&lt;div class=""audio""&gt;[sound:こめんと.mp3]&lt;/div&gt;")</f>
        <v>コメント&lt;br&gt;&lt;div class="audio"&gt;[sound:こめんと.mp3]&lt;/div&gt;</v>
      </c>
      <c r="H481" s="3" t="str">
        <f t="shared" si="1"/>
        <v>(n): bình luận</v>
      </c>
      <c r="I481" s="6" t="s">
        <v>2546</v>
      </c>
      <c r="J481" s="6" t="s">
        <v>2547</v>
      </c>
      <c r="K481" s="7">
        <f t="shared" si="2"/>
        <v>0.008478058696</v>
      </c>
    </row>
    <row r="482">
      <c r="A482" s="4">
        <v>482.0</v>
      </c>
      <c r="B482" s="5" t="s">
        <v>2548</v>
      </c>
      <c r="C482" s="5" t="s">
        <v>2549</v>
      </c>
      <c r="D482" s="5" t="s">
        <v>2550</v>
      </c>
      <c r="E482" s="6" t="s">
        <v>74</v>
      </c>
      <c r="F482" s="6" t="s">
        <v>2551</v>
      </c>
      <c r="G482" s="3" t="str">
        <f>IFERROR(__xludf.DUMMYFUNCTION("REGEXREPLACE(
D482,
""([一-龯々]+)\[([^\]]+)\]"",
""&lt;ruby&gt;$1&lt;rt&gt;$2&lt;/rt&gt;&lt;/ruby&gt;""
)&amp;""&lt;br&gt;&lt;div class=""""audio""""&gt;[sound:""&amp;C482&amp;"".mp3]&lt;/div&gt;"""),"&lt;ruby&gt;業務&lt;rt&gt;ぎょうむ&lt;/rt&gt;&lt;/ruby&gt;&lt;br&gt;&lt;div class=""audio""&gt;[sound:ぎょうむ.mp3]&lt;/div&gt;")</f>
        <v>&lt;ruby&gt;業務&lt;rt&gt;ぎょうむ&lt;/rt&gt;&lt;/ruby&gt;&lt;br&gt;&lt;div class="audio"&gt;[sound:ぎょうむ.mp3]&lt;/div&gt;</v>
      </c>
      <c r="H482" s="3" t="str">
        <f t="shared" si="1"/>
        <v>(n): nghiệp vụ</v>
      </c>
      <c r="I482" s="6" t="s">
        <v>2552</v>
      </c>
      <c r="J482" s="6" t="s">
        <v>2553</v>
      </c>
      <c r="K482" s="7">
        <f t="shared" si="2"/>
        <v>0.2278396702</v>
      </c>
    </row>
    <row r="483">
      <c r="A483" s="4">
        <v>483.0</v>
      </c>
      <c r="B483" s="5" t="s">
        <v>2554</v>
      </c>
      <c r="C483" s="5" t="s">
        <v>2555</v>
      </c>
      <c r="D483" s="5" t="s">
        <v>2556</v>
      </c>
      <c r="E483" s="6" t="s">
        <v>74</v>
      </c>
      <c r="F483" s="6" t="s">
        <v>2557</v>
      </c>
      <c r="G483" s="3" t="str">
        <f>IFERROR(__xludf.DUMMYFUNCTION("REGEXREPLACE(
D483,
""([一-龯々]+)\[([^\]]+)\]"",
""&lt;ruby&gt;$1&lt;rt&gt;$2&lt;/rt&gt;&lt;/ruby&gt;""
)&amp;""&lt;br&gt;&lt;div class=""""audio""""&gt;[sound:""&amp;C483&amp;"".mp3]&lt;/div&gt;"""),"&lt;ruby&gt;財政&lt;rt&gt;ざいせい&lt;/rt&gt;&lt;/ruby&gt;&lt;br&gt;&lt;div class=""audio""&gt;[sound:ざいせい.mp3]&lt;/div&gt;")</f>
        <v>&lt;ruby&gt;財政&lt;rt&gt;ざいせい&lt;/rt&gt;&lt;/ruby&gt;&lt;br&gt;&lt;div class="audio"&gt;[sound:ざいせい.mp3]&lt;/div&gt;</v>
      </c>
      <c r="H483" s="3" t="str">
        <f t="shared" si="1"/>
        <v>(n): tài chính</v>
      </c>
      <c r="I483" s="6" t="s">
        <v>2558</v>
      </c>
      <c r="J483" s="6" t="s">
        <v>2559</v>
      </c>
      <c r="K483" s="7">
        <f t="shared" si="2"/>
        <v>0.2337547924</v>
      </c>
    </row>
    <row r="484">
      <c r="A484" s="4">
        <v>484.0</v>
      </c>
      <c r="B484" s="5" t="s">
        <v>2560</v>
      </c>
      <c r="C484" s="5" t="s">
        <v>2561</v>
      </c>
      <c r="D484" s="5" t="s">
        <v>2562</v>
      </c>
      <c r="E484" s="6" t="s">
        <v>74</v>
      </c>
      <c r="F484" s="6" t="s">
        <v>2563</v>
      </c>
      <c r="G484" s="3" t="str">
        <f>IFERROR(__xludf.DUMMYFUNCTION("REGEXREPLACE(
D484,
""([一-龯々]+)\[([^\]]+)\]"",
""&lt;ruby&gt;$1&lt;rt&gt;$2&lt;/rt&gt;&lt;/ruby&gt;""
)&amp;""&lt;br&gt;&lt;div class=""""audio""""&gt;[sound:""&amp;C484&amp;"".mp3]&lt;/div&gt;"""),"&lt;ruby&gt;保険&lt;rt&gt;ほけん&lt;/rt&gt;&lt;/ruby&gt;&lt;br&gt;&lt;div class=""audio""&gt;[sound:ほけん.mp3]&lt;/div&gt;")</f>
        <v>&lt;ruby&gt;保険&lt;rt&gt;ほけん&lt;/rt&gt;&lt;/ruby&gt;&lt;br&gt;&lt;div class="audio"&gt;[sound:ほけん.mp3]&lt;/div&gt;</v>
      </c>
      <c r="H484" s="3" t="str">
        <f t="shared" si="1"/>
        <v>(n): bảo hiểm</v>
      </c>
      <c r="I484" s="6" t="s">
        <v>2564</v>
      </c>
      <c r="J484" s="6" t="s">
        <v>2565</v>
      </c>
      <c r="K484" s="7">
        <f t="shared" si="2"/>
        <v>0.7467389237</v>
      </c>
    </row>
    <row r="485">
      <c r="A485" s="4">
        <v>485.0</v>
      </c>
      <c r="B485" s="5" t="s">
        <v>2566</v>
      </c>
      <c r="C485" s="5" t="s">
        <v>2567</v>
      </c>
      <c r="D485" s="5" t="s">
        <v>2568</v>
      </c>
      <c r="E485" s="6" t="s">
        <v>74</v>
      </c>
      <c r="F485" s="6" t="s">
        <v>2569</v>
      </c>
      <c r="G485" s="3" t="str">
        <f>IFERROR(__xludf.DUMMYFUNCTION("REGEXREPLACE(
D485,
""([一-龯々]+)\[([^\]]+)\]"",
""&lt;ruby&gt;$1&lt;rt&gt;$2&lt;/rt&gt;&lt;/ruby&gt;""
)&amp;""&lt;br&gt;&lt;div class=""""audio""""&gt;[sound:""&amp;C485&amp;"".mp3]&lt;/div&gt;"""),"&lt;ruby&gt;規定&lt;rt&gt;きてい&lt;/rt&gt;&lt;/ruby&gt;&lt;br&gt;&lt;div class=""audio""&gt;[sound:きてい.mp3]&lt;/div&gt;")</f>
        <v>&lt;ruby&gt;規定&lt;rt&gt;きてい&lt;/rt&gt;&lt;/ruby&gt;&lt;br&gt;&lt;div class="audio"&gt;[sound:きてい.mp3]&lt;/div&gt;</v>
      </c>
      <c r="H485" s="3" t="str">
        <f t="shared" si="1"/>
        <v>(n): quy định</v>
      </c>
      <c r="I485" s="6" t="s">
        <v>2570</v>
      </c>
      <c r="J485" s="6" t="s">
        <v>2571</v>
      </c>
      <c r="K485" s="7">
        <f t="shared" si="2"/>
        <v>0.1842746767</v>
      </c>
    </row>
    <row r="486">
      <c r="A486" s="4">
        <v>486.0</v>
      </c>
      <c r="B486" s="5" t="s">
        <v>2572</v>
      </c>
      <c r="C486" s="5" t="s">
        <v>2573</v>
      </c>
      <c r="D486" s="5" t="s">
        <v>2574</v>
      </c>
      <c r="E486" s="6" t="s">
        <v>24</v>
      </c>
      <c r="F486" s="6" t="s">
        <v>2575</v>
      </c>
      <c r="G486" s="3" t="str">
        <f>IFERROR(__xludf.DUMMYFUNCTION("REGEXREPLACE(
D486,
""([一-龯々]+)\[([^\]]+)\]"",
""&lt;ruby&gt;$1&lt;rt&gt;$2&lt;/rt&gt;&lt;/ruby&gt;""
)&amp;""&lt;br&gt;&lt;div class=""""audio""""&gt;[sound:""&amp;C486&amp;"".mp3]&lt;/div&gt;"""),"&lt;ruby&gt;訪&lt;rt&gt;おとず&lt;/rt&gt;&lt;/ruby&gt;れる&lt;br&gt;&lt;div class=""audio""&gt;[sound:おとずれる.mp3]&lt;/div&gt;")</f>
        <v>&lt;ruby&gt;訪&lt;rt&gt;おとず&lt;/rt&gt;&lt;/ruby&gt;れる&lt;br&gt;&lt;div class="audio"&gt;[sound:おとずれる.mp3]&lt;/div&gt;</v>
      </c>
      <c r="H486" s="3" t="str">
        <f t="shared" si="1"/>
        <v>(v): ghé thăm</v>
      </c>
      <c r="I486" s="6" t="s">
        <v>2576</v>
      </c>
      <c r="J486" s="6" t="s">
        <v>2577</v>
      </c>
      <c r="K486" s="7">
        <f t="shared" si="2"/>
        <v>0.6006805071</v>
      </c>
    </row>
    <row r="487">
      <c r="A487" s="4">
        <v>487.0</v>
      </c>
      <c r="B487" s="5" t="s">
        <v>2578</v>
      </c>
      <c r="C487" s="5" t="s">
        <v>2579</v>
      </c>
      <c r="D487" s="5" t="s">
        <v>2580</v>
      </c>
      <c r="E487" s="6" t="s">
        <v>74</v>
      </c>
      <c r="F487" s="6" t="s">
        <v>2581</v>
      </c>
      <c r="G487" s="3" t="str">
        <f>IFERROR(__xludf.DUMMYFUNCTION("REGEXREPLACE(
D487,
""([一-龯々]+)\[([^\]]+)\]"",
""&lt;ruby&gt;$1&lt;rt&gt;$2&lt;/rt&gt;&lt;/ruby&gt;""
)&amp;""&lt;br&gt;&lt;div class=""""audio""""&gt;[sound:""&amp;C487&amp;"".mp3]&lt;/div&gt;"""),"&lt;ruby&gt;美&lt;rt&gt;び&lt;/rt&gt;&lt;/ruby&gt;&lt;br&gt;&lt;div class=""audio""&gt;[sound:び.mp3]&lt;/div&gt;")</f>
        <v>&lt;ruby&gt;美&lt;rt&gt;び&lt;/rt&gt;&lt;/ruby&gt;&lt;br&gt;&lt;div class="audio"&gt;[sound:び.mp3]&lt;/div&gt;</v>
      </c>
      <c r="H487" s="3" t="str">
        <f t="shared" si="1"/>
        <v>(n): vẻ đẹp</v>
      </c>
      <c r="I487" s="6" t="s">
        <v>2582</v>
      </c>
      <c r="J487" s="6" t="s">
        <v>2583</v>
      </c>
      <c r="K487" s="7">
        <f t="shared" si="2"/>
        <v>0.955392369</v>
      </c>
    </row>
    <row r="488">
      <c r="A488" s="4">
        <v>488.0</v>
      </c>
      <c r="B488" s="5" t="s">
        <v>2584</v>
      </c>
      <c r="C488" s="5" t="s">
        <v>2585</v>
      </c>
      <c r="D488" s="5" t="s">
        <v>2586</v>
      </c>
      <c r="E488" s="6" t="s">
        <v>24</v>
      </c>
      <c r="F488" s="6" t="s">
        <v>2587</v>
      </c>
      <c r="G488" s="3" t="str">
        <f>IFERROR(__xludf.DUMMYFUNCTION("REGEXREPLACE(
D488,
""([一-龯々]+)\[([^\]]+)\]"",
""&lt;ruby&gt;$1&lt;rt&gt;$2&lt;/rt&gt;&lt;/ruby&gt;""
)&amp;""&lt;br&gt;&lt;div class=""""audio""""&gt;[sound:""&amp;C488&amp;"".mp3]&lt;/div&gt;"""),"&lt;ruby&gt;要&lt;rt&gt;よう&lt;/rt&gt;&lt;/ruby&gt;する&lt;br&gt;&lt;div class=""audio""&gt;[sound:ようする.mp3]&lt;/div&gt;")</f>
        <v>&lt;ruby&gt;要&lt;rt&gt;よう&lt;/rt&gt;&lt;/ruby&gt;する&lt;br&gt;&lt;div class="audio"&gt;[sound:ようする.mp3]&lt;/div&gt;</v>
      </c>
      <c r="H488" s="3" t="str">
        <f t="shared" si="1"/>
        <v>(v): cần có</v>
      </c>
      <c r="I488" s="6" t="s">
        <v>2588</v>
      </c>
      <c r="J488" s="6" t="s">
        <v>2589</v>
      </c>
      <c r="K488" s="7">
        <f t="shared" si="2"/>
        <v>0.2186582122</v>
      </c>
    </row>
    <row r="489">
      <c r="A489" s="4">
        <v>489.0</v>
      </c>
      <c r="B489" s="5" t="s">
        <v>2590</v>
      </c>
      <c r="C489" s="5" t="s">
        <v>2591</v>
      </c>
      <c r="D489" s="5" t="s">
        <v>2592</v>
      </c>
      <c r="E489" s="6" t="s">
        <v>74</v>
      </c>
      <c r="F489" s="6" t="s">
        <v>2593</v>
      </c>
      <c r="G489" s="3" t="str">
        <f>IFERROR(__xludf.DUMMYFUNCTION("REGEXREPLACE(
D489,
""([一-龯々]+)\[([^\]]+)\]"",
""&lt;ruby&gt;$1&lt;rt&gt;$2&lt;/rt&gt;&lt;/ruby&gt;""
)&amp;""&lt;br&gt;&lt;div class=""""audio""""&gt;[sound:""&amp;C489&amp;"".mp3]&lt;/div&gt;"""),"&lt;ruby&gt;規模&lt;rt&gt;きぼ&lt;/rt&gt;&lt;/ruby&gt;&lt;br&gt;&lt;div class=""audio""&gt;[sound:きぼ.mp3]&lt;/div&gt;")</f>
        <v>&lt;ruby&gt;規模&lt;rt&gt;きぼ&lt;/rt&gt;&lt;/ruby&gt;&lt;br&gt;&lt;div class="audio"&gt;[sound:きぼ.mp3]&lt;/div&gt;</v>
      </c>
      <c r="H489" s="3" t="str">
        <f t="shared" si="1"/>
        <v>(n): quy mô</v>
      </c>
      <c r="I489" s="6" t="s">
        <v>2594</v>
      </c>
      <c r="J489" s="6" t="s">
        <v>2595</v>
      </c>
      <c r="K489" s="7">
        <f t="shared" si="2"/>
        <v>0.6855834851</v>
      </c>
    </row>
    <row r="490">
      <c r="A490" s="4">
        <v>490.0</v>
      </c>
      <c r="B490" s="5" t="s">
        <v>2596</v>
      </c>
      <c r="C490" s="5" t="s">
        <v>2597</v>
      </c>
      <c r="D490" s="5" t="s">
        <v>2598</v>
      </c>
      <c r="E490" s="6" t="s">
        <v>74</v>
      </c>
      <c r="F490" s="6" t="s">
        <v>2599</v>
      </c>
      <c r="G490" s="3" t="str">
        <f>IFERROR(__xludf.DUMMYFUNCTION("REGEXREPLACE(
D490,
""([一-龯々]+)\[([^\]]+)\]"",
""&lt;ruby&gt;$1&lt;rt&gt;$2&lt;/rt&gt;&lt;/ruby&gt;""
)&amp;""&lt;br&gt;&lt;div class=""""audio""""&gt;[sound:""&amp;C490&amp;"".mp3]&lt;/div&gt;"""),"&lt;ruby&gt;資金&lt;rt&gt;しきん&lt;/rt&gt;&lt;/ruby&gt;&lt;br&gt;&lt;div class=""audio""&gt;[sound:しきん.mp3]&lt;/div&gt;")</f>
        <v>&lt;ruby&gt;資金&lt;rt&gt;しきん&lt;/rt&gt;&lt;/ruby&gt;&lt;br&gt;&lt;div class="audio"&gt;[sound:しきん.mp3]&lt;/div&gt;</v>
      </c>
      <c r="H490" s="3" t="str">
        <f t="shared" si="1"/>
        <v>(n): vốn</v>
      </c>
      <c r="I490" s="6" t="s">
        <v>2600</v>
      </c>
      <c r="J490" s="6" t="s">
        <v>2601</v>
      </c>
      <c r="K490" s="7">
        <f t="shared" si="2"/>
        <v>0.1547724367</v>
      </c>
    </row>
    <row r="491">
      <c r="A491" s="4">
        <v>491.0</v>
      </c>
      <c r="B491" s="5" t="s">
        <v>2602</v>
      </c>
      <c r="C491" s="5" t="s">
        <v>2603</v>
      </c>
      <c r="D491" s="5" t="s">
        <v>2604</v>
      </c>
      <c r="E491" s="6" t="s">
        <v>74</v>
      </c>
      <c r="F491" s="6" t="s">
        <v>2605</v>
      </c>
      <c r="G491" s="3" t="str">
        <f>IFERROR(__xludf.DUMMYFUNCTION("REGEXREPLACE(
D491,
""([一-龯々]+)\[([^\]]+)\]"",
""&lt;ruby&gt;$1&lt;rt&gt;$2&lt;/rt&gt;&lt;/ruby&gt;""
)&amp;""&lt;br&gt;&lt;div class=""""audio""""&gt;[sound:""&amp;C491&amp;"".mp3]&lt;/div&gt;"""),"&lt;ruby&gt;政治&lt;rt&gt;せいじ&lt;/rt&gt;&lt;/ruby&gt;&lt;br&gt;&lt;div class=""audio""&gt;[sound:せいじ.mp3]&lt;/div&gt;")</f>
        <v>&lt;ruby&gt;政治&lt;rt&gt;せいじ&lt;/rt&gt;&lt;/ruby&gt;&lt;br&gt;&lt;div class="audio"&gt;[sound:せいじ.mp3]&lt;/div&gt;</v>
      </c>
      <c r="H491" s="3" t="str">
        <f t="shared" si="1"/>
        <v>(n): chính trị</v>
      </c>
      <c r="I491" s="6" t="s">
        <v>2606</v>
      </c>
      <c r="J491" s="6" t="s">
        <v>2607</v>
      </c>
      <c r="K491" s="7">
        <f t="shared" si="2"/>
        <v>0.9378222905</v>
      </c>
    </row>
    <row r="492">
      <c r="A492" s="4">
        <v>492.0</v>
      </c>
      <c r="B492" s="5" t="s">
        <v>2608</v>
      </c>
      <c r="C492" s="5" t="s">
        <v>2609</v>
      </c>
      <c r="D492" s="5" t="s">
        <v>2610</v>
      </c>
      <c r="E492" s="6" t="s">
        <v>74</v>
      </c>
      <c r="F492" s="6" t="s">
        <v>2611</v>
      </c>
      <c r="G492" s="3" t="str">
        <f>IFERROR(__xludf.DUMMYFUNCTION("REGEXREPLACE(
D492,
""([一-龯々]+)\[([^\]]+)\]"",
""&lt;ruby&gt;$1&lt;rt&gt;$2&lt;/rt&gt;&lt;/ruby&gt;""
)&amp;""&lt;br&gt;&lt;div class=""""audio""""&gt;[sound:""&amp;C492&amp;"".mp3]&lt;/div&gt;"""),"&lt;ruby&gt;同様&lt;rt&gt;どうよう&lt;/rt&gt;&lt;/ruby&gt;&lt;br&gt;&lt;div class=""audio""&gt;[sound:どうよう.mp3]&lt;/div&gt;")</f>
        <v>&lt;ruby&gt;同様&lt;rt&gt;どうよう&lt;/rt&gt;&lt;/ruby&gt;&lt;br&gt;&lt;div class="audio"&gt;[sound:どうよう.mp3]&lt;/div&gt;</v>
      </c>
      <c r="H492" s="3" t="str">
        <f t="shared" si="1"/>
        <v>(n): tương tự</v>
      </c>
      <c r="I492" s="6" t="s">
        <v>2612</v>
      </c>
      <c r="J492" s="6" t="s">
        <v>2613</v>
      </c>
      <c r="K492" s="7">
        <f t="shared" si="2"/>
        <v>0.5674452914</v>
      </c>
    </row>
    <row r="493">
      <c r="A493" s="4">
        <v>493.0</v>
      </c>
      <c r="B493" s="5" t="s">
        <v>2614</v>
      </c>
      <c r="C493" s="5" t="s">
        <v>2615</v>
      </c>
      <c r="D493" s="5" t="s">
        <v>2616</v>
      </c>
      <c r="E493" s="6" t="s">
        <v>74</v>
      </c>
      <c r="F493" s="6" t="s">
        <v>2617</v>
      </c>
      <c r="G493" s="3" t="str">
        <f>IFERROR(__xludf.DUMMYFUNCTION("REGEXREPLACE(
D493,
""([一-龯々]+)\[([^\]]+)\]"",
""&lt;ruby&gt;$1&lt;rt&gt;$2&lt;/rt&gt;&lt;/ruby&gt;""
)&amp;""&lt;br&gt;&lt;div class=""""audio""""&gt;[sound:""&amp;C493&amp;"".mp3]&lt;/div&gt;"""),"&lt;ruby&gt;基本&lt;rt&gt;きほん&lt;/rt&gt;&lt;/ruby&gt;&lt;br&gt;&lt;div class=""audio""&gt;[sound:きほん.mp3]&lt;/div&gt;")</f>
        <v>&lt;ruby&gt;基本&lt;rt&gt;きほん&lt;/rt&gt;&lt;/ruby&gt;&lt;br&gt;&lt;div class="audio"&gt;[sound:きほん.mp3]&lt;/div&gt;</v>
      </c>
      <c r="H493" s="3" t="str">
        <f t="shared" si="1"/>
        <v>(n): cơ bản</v>
      </c>
      <c r="I493" s="6" t="s">
        <v>2618</v>
      </c>
      <c r="J493" s="6" t="s">
        <v>2619</v>
      </c>
      <c r="K493" s="7">
        <f t="shared" si="2"/>
        <v>0.08733218615</v>
      </c>
    </row>
    <row r="494">
      <c r="A494" s="4">
        <v>494.0</v>
      </c>
      <c r="B494" s="5" t="s">
        <v>2620</v>
      </c>
      <c r="C494" s="5" t="s">
        <v>2621</v>
      </c>
      <c r="D494" s="5" t="s">
        <v>2622</v>
      </c>
      <c r="E494" s="6" t="s">
        <v>74</v>
      </c>
      <c r="F494" s="6" t="s">
        <v>2623</v>
      </c>
      <c r="G494" s="3" t="str">
        <f>IFERROR(__xludf.DUMMYFUNCTION("REGEXREPLACE(
D494,
""([一-龯々]+)\[([^\]]+)\]"",
""&lt;ruby&gt;$1&lt;rt&gt;$2&lt;/rt&gt;&lt;/ruby&gt;""
)&amp;""&lt;br&gt;&lt;div class=""""audio""""&gt;[sound:""&amp;C494&amp;"".mp3]&lt;/div&gt;"""),"&lt;ruby&gt;報告&lt;rt&gt;ほうこく&lt;/rt&gt;&lt;/ruby&gt;&lt;br&gt;&lt;div class=""audio""&gt;[sound:ほうこく.mp3]&lt;/div&gt;")</f>
        <v>&lt;ruby&gt;報告&lt;rt&gt;ほうこく&lt;/rt&gt;&lt;/ruby&gt;&lt;br&gt;&lt;div class="audio"&gt;[sound:ほうこく.mp3]&lt;/div&gt;</v>
      </c>
      <c r="H494" s="3" t="str">
        <f t="shared" si="1"/>
        <v>(n): báo cáo</v>
      </c>
      <c r="I494" s="6" t="s">
        <v>2624</v>
      </c>
      <c r="J494" s="6" t="s">
        <v>2625</v>
      </c>
      <c r="K494" s="7">
        <f t="shared" si="2"/>
        <v>0.9004860243</v>
      </c>
    </row>
    <row r="495">
      <c r="A495" s="4">
        <v>495.0</v>
      </c>
      <c r="B495" s="5" t="s">
        <v>2626</v>
      </c>
      <c r="C495" s="5" t="s">
        <v>2627</v>
      </c>
      <c r="D495" s="5" t="s">
        <v>2628</v>
      </c>
      <c r="E495" s="6" t="s">
        <v>74</v>
      </c>
      <c r="F495" s="6" t="s">
        <v>2629</v>
      </c>
      <c r="G495" s="3" t="str">
        <f>IFERROR(__xludf.DUMMYFUNCTION("REGEXREPLACE(
D495,
""([一-龯々]+)\[([^\]]+)\]"",
""&lt;ruby&gt;$1&lt;rt&gt;$2&lt;/rt&gt;&lt;/ruby&gt;""
)&amp;""&lt;br&gt;&lt;div class=""""audio""""&gt;[sound:""&amp;C495&amp;"".mp3]&lt;/div&gt;"""),"&lt;ruby&gt;気&lt;rt&gt;き&lt;/rt&gt;&lt;/ruby&gt;&lt;br&gt;&lt;div class=""audio""&gt;[sound:き.mp3]&lt;/div&gt;")</f>
        <v>&lt;ruby&gt;気&lt;rt&gt;き&lt;/rt&gt;&lt;/ruby&gt;&lt;br&gt;&lt;div class="audio"&gt;[sound:き.mp3]&lt;/div&gt;</v>
      </c>
      <c r="H495" s="3" t="str">
        <f t="shared" si="1"/>
        <v>(n): tinh thần</v>
      </c>
      <c r="I495" s="6" t="s">
        <v>2630</v>
      </c>
      <c r="J495" s="6" t="s">
        <v>2631</v>
      </c>
      <c r="K495" s="7">
        <f t="shared" si="2"/>
        <v>0.6090033277</v>
      </c>
    </row>
    <row r="496">
      <c r="A496" s="4">
        <v>496.0</v>
      </c>
      <c r="B496" s="5" t="s">
        <v>2632</v>
      </c>
      <c r="C496" s="5" t="s">
        <v>2633</v>
      </c>
      <c r="D496" s="5" t="s">
        <v>2634</v>
      </c>
      <c r="E496" s="6" t="s">
        <v>74</v>
      </c>
      <c r="F496" s="6" t="s">
        <v>2635</v>
      </c>
      <c r="G496" s="3" t="str">
        <f>IFERROR(__xludf.DUMMYFUNCTION("REGEXREPLACE(
D496,
""([一-龯々]+)\[([^\]]+)\]"",
""&lt;ruby&gt;$1&lt;rt&gt;$2&lt;/rt&gt;&lt;/ruby&gt;""
)&amp;""&lt;br&gt;&lt;div class=""""audio""""&gt;[sound:""&amp;C496&amp;"".mp3]&lt;/div&gt;"""),"&lt;ruby&gt;夢&lt;rt&gt;ゆめ&lt;/rt&gt;&lt;/ruby&gt;&lt;br&gt;&lt;div class=""audio""&gt;[sound:ゆめ.mp3]&lt;/div&gt;")</f>
        <v>&lt;ruby&gt;夢&lt;rt&gt;ゆめ&lt;/rt&gt;&lt;/ruby&gt;&lt;br&gt;&lt;div class="audio"&gt;[sound:ゆめ.mp3]&lt;/div&gt;</v>
      </c>
      <c r="H496" s="3" t="str">
        <f t="shared" si="1"/>
        <v>(n): giấc mơ</v>
      </c>
      <c r="I496" s="6" t="s">
        <v>2636</v>
      </c>
      <c r="J496" s="6" t="s">
        <v>2637</v>
      </c>
      <c r="K496" s="7">
        <f t="shared" si="2"/>
        <v>0.8960434333</v>
      </c>
    </row>
    <row r="497">
      <c r="A497" s="4">
        <v>497.0</v>
      </c>
      <c r="B497" s="5" t="s">
        <v>2638</v>
      </c>
      <c r="C497" s="5" t="s">
        <v>2639</v>
      </c>
      <c r="D497" s="5" t="s">
        <v>2640</v>
      </c>
      <c r="E497" s="6" t="s">
        <v>74</v>
      </c>
      <c r="F497" s="6" t="s">
        <v>2641</v>
      </c>
      <c r="G497" s="3" t="str">
        <f>IFERROR(__xludf.DUMMYFUNCTION("REGEXREPLACE(
D497,
""([一-龯々]+)\[([^\]]+)\]"",
""&lt;ruby&gt;$1&lt;rt&gt;$2&lt;/rt&gt;&lt;/ruby&gt;""
)&amp;""&lt;br&gt;&lt;div class=""""audio""""&gt;[sound:""&amp;C497&amp;"".mp3]&lt;/div&gt;"""),"&lt;ruby&gt;外国&lt;rt&gt;がいこく&lt;/rt&gt;&lt;/ruby&gt;&lt;br&gt;&lt;div class=""audio""&gt;[sound:がいこく.mp3]&lt;/div&gt;")</f>
        <v>&lt;ruby&gt;外国&lt;rt&gt;がいこく&lt;/rt&gt;&lt;/ruby&gt;&lt;br&gt;&lt;div class="audio"&gt;[sound:がいこく.mp3]&lt;/div&gt;</v>
      </c>
      <c r="H497" s="3" t="str">
        <f t="shared" si="1"/>
        <v>(n): nước ngoài</v>
      </c>
      <c r="I497" s="6" t="s">
        <v>2642</v>
      </c>
      <c r="J497" s="6" t="s">
        <v>2643</v>
      </c>
      <c r="K497" s="7">
        <f t="shared" si="2"/>
        <v>0.3119965288</v>
      </c>
    </row>
    <row r="498">
      <c r="A498" s="4">
        <v>498.0</v>
      </c>
      <c r="B498" s="5" t="s">
        <v>2644</v>
      </c>
      <c r="C498" s="5" t="s">
        <v>2645</v>
      </c>
      <c r="D498" s="5" t="s">
        <v>2646</v>
      </c>
      <c r="E498" s="6" t="s">
        <v>74</v>
      </c>
      <c r="F498" s="6" t="s">
        <v>2647</v>
      </c>
      <c r="G498" s="3" t="str">
        <f>IFERROR(__xludf.DUMMYFUNCTION("REGEXREPLACE(
D498,
""([一-龯々]+)\[([^\]]+)\]"",
""&lt;ruby&gt;$1&lt;rt&gt;$2&lt;/rt&gt;&lt;/ruby&gt;""
)&amp;""&lt;br&gt;&lt;div class=""""audio""""&gt;[sound:""&amp;C498&amp;"".mp3]&lt;/div&gt;"""),"&lt;ruby&gt;授業&lt;rt&gt;じゅぎょう&lt;/rt&gt;&lt;/ruby&gt;&lt;br&gt;&lt;div class=""audio""&gt;[sound:じゅぎょう.mp3]&lt;/div&gt;")</f>
        <v>&lt;ruby&gt;授業&lt;rt&gt;じゅぎょう&lt;/rt&gt;&lt;/ruby&gt;&lt;br&gt;&lt;div class="audio"&gt;[sound:じゅぎょう.mp3]&lt;/div&gt;</v>
      </c>
      <c r="H498" s="3" t="str">
        <f t="shared" si="1"/>
        <v>(n): tiết học</v>
      </c>
      <c r="I498" s="6" t="s">
        <v>2648</v>
      </c>
      <c r="J498" s="6" t="s">
        <v>2649</v>
      </c>
      <c r="K498" s="7">
        <f t="shared" si="2"/>
        <v>0.07749602932</v>
      </c>
    </row>
    <row r="499">
      <c r="A499" s="4">
        <v>499.0</v>
      </c>
      <c r="B499" s="5" t="s">
        <v>2650</v>
      </c>
      <c r="C499" s="5" t="s">
        <v>2651</v>
      </c>
      <c r="D499" s="5" t="s">
        <v>2652</v>
      </c>
      <c r="E499" s="6" t="s">
        <v>24</v>
      </c>
      <c r="F499" s="6" t="s">
        <v>212</v>
      </c>
      <c r="G499" s="3" t="str">
        <f>IFERROR(__xludf.DUMMYFUNCTION("REGEXREPLACE(
D499,
""([一-龯々]+)\[([^\]]+)\]"",
""&lt;ruby&gt;$1&lt;rt&gt;$2&lt;/rt&gt;&lt;/ruby&gt;""
)&amp;""&lt;br&gt;&lt;div class=""""audio""""&gt;[sound:""&amp;C499&amp;"".mp3]&lt;/div&gt;"""),"&lt;ruby&gt;取&lt;rt&gt;と&lt;/rt&gt;&lt;/ruby&gt;り&lt;ruby&gt;上&lt;rt&gt;あ&lt;/rt&gt;&lt;/ruby&gt;げる&lt;br&gt;&lt;div class=""audio""&gt;[sound:とりあげる.mp3]&lt;/div&gt;")</f>
        <v>&lt;ruby&gt;取&lt;rt&gt;と&lt;/rt&gt;&lt;/ruby&gt;り&lt;ruby&gt;上&lt;rt&gt;あ&lt;/rt&gt;&lt;/ruby&gt;げる&lt;br&gt;&lt;div class="audio"&gt;[sound:とりあげる.mp3]&lt;/div&gt;</v>
      </c>
      <c r="H499" s="3" t="str">
        <f t="shared" si="1"/>
        <v>(v): lấy</v>
      </c>
      <c r="I499" s="6" t="s">
        <v>2653</v>
      </c>
      <c r="J499" s="6" t="s">
        <v>2654</v>
      </c>
      <c r="K499" s="7">
        <f t="shared" si="2"/>
        <v>0.9281715341</v>
      </c>
    </row>
    <row r="500">
      <c r="A500" s="4">
        <v>500.0</v>
      </c>
      <c r="B500" s="5" t="s">
        <v>2655</v>
      </c>
      <c r="C500" s="5" t="s">
        <v>2656</v>
      </c>
      <c r="D500" s="5" t="s">
        <v>2657</v>
      </c>
      <c r="E500" s="6" t="s">
        <v>74</v>
      </c>
      <c r="F500" s="6" t="s">
        <v>2658</v>
      </c>
      <c r="G500" s="3" t="str">
        <f>IFERROR(__xludf.DUMMYFUNCTION("REGEXREPLACE(
D500,
""([一-龯々]+)\[([^\]]+)\]"",
""&lt;ruby&gt;$1&lt;rt&gt;$2&lt;/rt&gt;&lt;/ruby&gt;""
)&amp;""&lt;br&gt;&lt;div class=""""audio""""&gt;[sound:""&amp;C500&amp;"".mp3]&lt;/div&gt;"""),"&lt;ruby&gt;客&lt;rt&gt;きゃく&lt;/rt&gt;&lt;/ruby&gt;&lt;br&gt;&lt;div class=""audio""&gt;[sound:きゃく.mp3]&lt;/div&gt;")</f>
        <v>&lt;ruby&gt;客&lt;rt&gt;きゃく&lt;/rt&gt;&lt;/ruby&gt;&lt;br&gt;&lt;div class="audio"&gt;[sound:きゃく.mp3]&lt;/div&gt;</v>
      </c>
      <c r="H500" s="3" t="str">
        <f t="shared" si="1"/>
        <v>(n): khách</v>
      </c>
      <c r="I500" s="6" t="s">
        <v>2659</v>
      </c>
      <c r="J500" s="6" t="s">
        <v>2660</v>
      </c>
      <c r="K500" s="7">
        <f t="shared" si="2"/>
        <v>0.8935737362</v>
      </c>
    </row>
    <row r="501">
      <c r="A501" s="4">
        <v>501.0</v>
      </c>
      <c r="B501" s="5" t="s">
        <v>2661</v>
      </c>
      <c r="C501" s="5" t="s">
        <v>2662</v>
      </c>
      <c r="D501" s="5" t="s">
        <v>2663</v>
      </c>
      <c r="E501" s="6" t="s">
        <v>74</v>
      </c>
      <c r="F501" s="6" t="s">
        <v>2664</v>
      </c>
      <c r="G501" s="3" t="str">
        <f>IFERROR(__xludf.DUMMYFUNCTION("REGEXREPLACE(
D501,
""([一-龯々]+)\[([^\]]+)\]"",
""&lt;ruby&gt;$1&lt;rt&gt;$2&lt;/rt&gt;&lt;/ruby&gt;""
)&amp;""&lt;br&gt;&lt;div class=""""audio""""&gt;[sound:""&amp;C501&amp;"".mp3]&lt;/div&gt;"""),"&lt;ruby&gt;新聞&lt;rt&gt;しんぶん&lt;/rt&gt;&lt;/ruby&gt;&lt;br&gt;&lt;div class=""audio""&gt;[sound:しんぶん.mp3]&lt;/div&gt;")</f>
        <v>&lt;ruby&gt;新聞&lt;rt&gt;しんぶん&lt;/rt&gt;&lt;/ruby&gt;&lt;br&gt;&lt;div class="audio"&gt;[sound:しんぶん.mp3]&lt;/div&gt;</v>
      </c>
      <c r="H501" s="3" t="str">
        <f t="shared" si="1"/>
        <v>(n): báo</v>
      </c>
      <c r="I501" s="6" t="s">
        <v>2665</v>
      </c>
      <c r="J501" s="6" t="s">
        <v>2666</v>
      </c>
      <c r="K501" s="7">
        <f t="shared" si="2"/>
        <v>0.3501882672</v>
      </c>
    </row>
    <row r="502">
      <c r="A502" s="4">
        <v>502.0</v>
      </c>
      <c r="B502" s="5" t="s">
        <v>2667</v>
      </c>
      <c r="C502" s="5" t="s">
        <v>2668</v>
      </c>
      <c r="D502" s="5" t="s">
        <v>2669</v>
      </c>
      <c r="E502" s="6" t="s">
        <v>74</v>
      </c>
      <c r="F502" s="6" t="s">
        <v>1933</v>
      </c>
      <c r="G502" s="3" t="str">
        <f>IFERROR(__xludf.DUMMYFUNCTION("REGEXREPLACE(
D502,
""([一-龯々]+)\[([^\]]+)\]"",
""&lt;ruby&gt;$1&lt;rt&gt;$2&lt;/rt&gt;&lt;/ruby&gt;""
)&amp;""&lt;br&gt;&lt;div class=""""audio""""&gt;[sound:""&amp;C502&amp;"".mp3]&lt;/div&gt;"""),"&lt;ruby&gt;酒&lt;rt&gt;さけ&lt;/rt&gt;&lt;/ruby&gt;&lt;br&gt;&lt;div class=""audio""&gt;[sound:さけ.mp3]&lt;/div&gt;")</f>
        <v>&lt;ruby&gt;酒&lt;rt&gt;さけ&lt;/rt&gt;&lt;/ruby&gt;&lt;br&gt;&lt;div class="audio"&gt;[sound:さけ.mp3]&lt;/div&gt;</v>
      </c>
      <c r="H502" s="3" t="str">
        <f t="shared" si="1"/>
        <v>(n): rượu</v>
      </c>
      <c r="I502" s="6" t="s">
        <v>2670</v>
      </c>
      <c r="J502" s="6" t="s">
        <v>2671</v>
      </c>
      <c r="K502" s="7">
        <f t="shared" si="2"/>
        <v>0.4589800522</v>
      </c>
    </row>
    <row r="503">
      <c r="A503" s="4">
        <v>503.0</v>
      </c>
      <c r="B503" s="5" t="s">
        <v>2672</v>
      </c>
      <c r="C503" s="5" t="s">
        <v>2673</v>
      </c>
      <c r="D503" s="5" t="s">
        <v>2674</v>
      </c>
      <c r="E503" s="6" t="s">
        <v>74</v>
      </c>
      <c r="F503" s="6" t="s">
        <v>1639</v>
      </c>
      <c r="G503" s="3" t="str">
        <f>IFERROR(__xludf.DUMMYFUNCTION("REGEXREPLACE(
D503,
""([一-龯々]+)\[([^\]]+)\]"",
""&lt;ruby&gt;$1&lt;rt&gt;$2&lt;/rt&gt;&lt;/ruby&gt;""
)&amp;""&lt;br&gt;&lt;div class=""""audio""""&gt;[sound:""&amp;C503&amp;"".mp3]&lt;/div&gt;"""),"&lt;ruby&gt;導入&lt;rt&gt;どうにゅう&lt;/rt&gt;&lt;/ruby&gt;&lt;br&gt;&lt;div class=""audio""&gt;[sound:どうにゅう.mp3]&lt;/div&gt;")</f>
        <v>&lt;ruby&gt;導入&lt;rt&gt;どうにゅう&lt;/rt&gt;&lt;/ruby&gt;&lt;br&gt;&lt;div class="audio"&gt;[sound:どうにゅう.mp3]&lt;/div&gt;</v>
      </c>
      <c r="H503" s="3" t="str">
        <f t="shared" si="1"/>
        <v>(n): giới thiệu</v>
      </c>
      <c r="I503" s="6" t="s">
        <v>2675</v>
      </c>
      <c r="J503" s="6" t="s">
        <v>2676</v>
      </c>
      <c r="K503" s="7">
        <f t="shared" si="2"/>
        <v>0.5127490493</v>
      </c>
    </row>
    <row r="504">
      <c r="A504" s="4">
        <v>504.0</v>
      </c>
      <c r="B504" s="5" t="s">
        <v>2677</v>
      </c>
      <c r="C504" s="5" t="s">
        <v>2678</v>
      </c>
      <c r="D504" s="5" t="s">
        <v>2679</v>
      </c>
      <c r="E504" s="6" t="s">
        <v>74</v>
      </c>
      <c r="F504" s="6" t="s">
        <v>2680</v>
      </c>
      <c r="G504" s="3" t="str">
        <f>IFERROR(__xludf.DUMMYFUNCTION("REGEXREPLACE(
D504,
""([一-龯々]+)\[([^\]]+)\]"",
""&lt;ruby&gt;$1&lt;rt&gt;$2&lt;/rt&gt;&lt;/ruby&gt;""
)&amp;""&lt;br&gt;&lt;div class=""""audio""""&gt;[sound:""&amp;C504&amp;"".mp3]&lt;/div&gt;"""),"&lt;ruby&gt;都&lt;rt&gt;みやこ&lt;/rt&gt;&lt;/ruby&gt;&lt;br&gt;&lt;div class=""audio""&gt;[sound:みやこ.mp3]&lt;/div&gt;")</f>
        <v>&lt;ruby&gt;都&lt;rt&gt;みやこ&lt;/rt&gt;&lt;/ruby&gt;&lt;br&gt;&lt;div class="audio"&gt;[sound:みやこ.mp3]&lt;/div&gt;</v>
      </c>
      <c r="H504" s="3" t="str">
        <f t="shared" si="1"/>
        <v>(n): thủ đô</v>
      </c>
      <c r="I504" s="6" t="s">
        <v>2681</v>
      </c>
      <c r="J504" s="6" t="s">
        <v>2682</v>
      </c>
      <c r="K504" s="7">
        <f t="shared" si="2"/>
        <v>0.9851287083</v>
      </c>
    </row>
    <row r="505">
      <c r="A505" s="4">
        <v>505.0</v>
      </c>
      <c r="B505" s="5" t="s">
        <v>2683</v>
      </c>
      <c r="C505" s="5" t="s">
        <v>2684</v>
      </c>
      <c r="D505" s="5" t="s">
        <v>2685</v>
      </c>
      <c r="E505" s="6" t="s">
        <v>74</v>
      </c>
      <c r="F505" s="6" t="s">
        <v>2686</v>
      </c>
      <c r="G505" s="3" t="str">
        <f>IFERROR(__xludf.DUMMYFUNCTION("REGEXREPLACE(
D505,
""([一-龯々]+)\[([^\]]+)\]"",
""&lt;ruby&gt;$1&lt;rt&gt;$2&lt;/rt&gt;&lt;/ruby&gt;""
)&amp;""&lt;br&gt;&lt;div class=""""audio""""&gt;[sound:""&amp;C505&amp;"".mp3]&lt;/div&gt;"""),"&lt;ruby&gt;立場&lt;rt&gt;たちば&lt;/rt&gt;&lt;/ruby&gt;&lt;br&gt;&lt;div class=""audio""&gt;[sound:たちば.mp3]&lt;/div&gt;")</f>
        <v>&lt;ruby&gt;立場&lt;rt&gt;たちば&lt;/rt&gt;&lt;/ruby&gt;&lt;br&gt;&lt;div class="audio"&gt;[sound:たちば.mp3]&lt;/div&gt;</v>
      </c>
      <c r="H505" s="3" t="str">
        <f t="shared" si="1"/>
        <v>(n): lập trường</v>
      </c>
      <c r="I505" s="6" t="s">
        <v>2687</v>
      </c>
      <c r="J505" s="6" t="s">
        <v>2688</v>
      </c>
      <c r="K505" s="7">
        <f t="shared" si="2"/>
        <v>0.8979271211</v>
      </c>
    </row>
    <row r="506">
      <c r="A506" s="4">
        <v>506.0</v>
      </c>
      <c r="B506" s="5" t="s">
        <v>2689</v>
      </c>
      <c r="C506" s="5" t="s">
        <v>2690</v>
      </c>
      <c r="D506" s="5" t="s">
        <v>2691</v>
      </c>
      <c r="E506" s="6" t="s">
        <v>74</v>
      </c>
      <c r="F506" s="6" t="s">
        <v>2692</v>
      </c>
      <c r="G506" s="3" t="str">
        <f>IFERROR(__xludf.DUMMYFUNCTION("REGEXREPLACE(
D506,
""([一-龯々]+)\[([^\]]+)\]"",
""&lt;ruby&gt;$1&lt;rt&gt;$2&lt;/rt&gt;&lt;/ruby&gt;""
)&amp;""&lt;br&gt;&lt;div class=""""audio""""&gt;[sound:""&amp;C506&amp;"".mp3]&lt;/div&gt;"""),"&lt;ruby&gt;面&lt;rt&gt;めん&lt;/rt&gt;&lt;/ruby&gt;&lt;br&gt;&lt;div class=""audio""&gt;[sound:めん.mp3]&lt;/div&gt;")</f>
        <v>&lt;ruby&gt;面&lt;rt&gt;めん&lt;/rt&gt;&lt;/ruby&gt;&lt;br&gt;&lt;div class="audio"&gt;[sound:めん.mp3]&lt;/div&gt;</v>
      </c>
      <c r="H506" s="3" t="str">
        <f t="shared" si="1"/>
        <v>(n): mặt</v>
      </c>
      <c r="I506" s="6" t="s">
        <v>2693</v>
      </c>
      <c r="J506" s="6" t="s">
        <v>2694</v>
      </c>
      <c r="K506" s="7">
        <f t="shared" si="2"/>
        <v>0.6190788387</v>
      </c>
    </row>
    <row r="507">
      <c r="A507" s="4">
        <v>507.0</v>
      </c>
      <c r="B507" s="5" t="s">
        <v>2695</v>
      </c>
      <c r="C507" s="5" t="s">
        <v>2696</v>
      </c>
      <c r="D507" s="5" t="s">
        <v>2697</v>
      </c>
      <c r="E507" s="6" t="s">
        <v>74</v>
      </c>
      <c r="F507" s="6" t="s">
        <v>2698</v>
      </c>
      <c r="G507" s="3" t="str">
        <f>IFERROR(__xludf.DUMMYFUNCTION("REGEXREPLACE(
D507,
""([一-龯々]+)\[([^\]]+)\]"",
""&lt;ruby&gt;$1&lt;rt&gt;$2&lt;/rt&gt;&lt;/ruby&gt;""
)&amp;""&lt;br&gt;&lt;div class=""""audio""""&gt;[sound:""&amp;C507&amp;"".mp3]&lt;/div&gt;"""),"&lt;ruby&gt;役&lt;rt&gt;やく&lt;/rt&gt;&lt;/ruby&gt;&lt;br&gt;&lt;div class=""audio""&gt;[sound:やく.mp3]&lt;/div&gt;")</f>
        <v>&lt;ruby&gt;役&lt;rt&gt;やく&lt;/rt&gt;&lt;/ruby&gt;&lt;br&gt;&lt;div class="audio"&gt;[sound:やく.mp3]&lt;/div&gt;</v>
      </c>
      <c r="H507" s="3" t="str">
        <f t="shared" si="1"/>
        <v>(n): vai trò</v>
      </c>
      <c r="I507" s="6" t="s">
        <v>2699</v>
      </c>
      <c r="J507" s="6" t="s">
        <v>2700</v>
      </c>
      <c r="K507" s="7">
        <f t="shared" si="2"/>
        <v>0.8574285822</v>
      </c>
    </row>
    <row r="508">
      <c r="A508" s="4">
        <v>508.0</v>
      </c>
      <c r="B508" s="5" t="s">
        <v>2701</v>
      </c>
      <c r="C508" s="5" t="s">
        <v>2702</v>
      </c>
      <c r="D508" s="5" t="s">
        <v>2703</v>
      </c>
      <c r="E508" s="6" t="s">
        <v>74</v>
      </c>
      <c r="F508" s="6" t="s">
        <v>1508</v>
      </c>
      <c r="G508" s="3" t="str">
        <f>IFERROR(__xludf.DUMMYFUNCTION("REGEXREPLACE(
D508,
""([一-龯々]+)\[([^\]]+)\]"",
""&lt;ruby&gt;$1&lt;rt&gt;$2&lt;/rt&gt;&lt;/ruby&gt;""
)&amp;""&lt;br&gt;&lt;div class=""""audio""""&gt;[sound:""&amp;C508&amp;"".mp3]&lt;/div&gt;"""),"&lt;ruby&gt;程&lt;rt&gt;ほど&lt;/rt&gt;&lt;/ruby&gt;&lt;br&gt;&lt;div class=""audio""&gt;[sound:ほど.mp3]&lt;/div&gt;")</f>
        <v>&lt;ruby&gt;程&lt;rt&gt;ほど&lt;/rt&gt;&lt;/ruby&gt;&lt;br&gt;&lt;div class="audio"&gt;[sound:ほど.mp3]&lt;/div&gt;</v>
      </c>
      <c r="H508" s="3" t="str">
        <f t="shared" si="1"/>
        <v>(n): mức độ</v>
      </c>
      <c r="I508" s="6" t="s">
        <v>2704</v>
      </c>
      <c r="J508" s="6" t="s">
        <v>2705</v>
      </c>
      <c r="K508" s="7">
        <f t="shared" si="2"/>
        <v>0.1292296817</v>
      </c>
    </row>
    <row r="509">
      <c r="A509" s="4">
        <v>509.0</v>
      </c>
      <c r="B509" s="5" t="s">
        <v>2706</v>
      </c>
      <c r="C509" s="5" t="s">
        <v>2707</v>
      </c>
      <c r="D509" s="5" t="s">
        <v>2708</v>
      </c>
      <c r="E509" s="6" t="s">
        <v>85</v>
      </c>
      <c r="F509" s="6" t="s">
        <v>604</v>
      </c>
      <c r="G509" s="3" t="str">
        <f>IFERROR(__xludf.DUMMYFUNCTION("REGEXREPLACE(
D509,
""([一-龯々]+)\[([^\]]+)\]"",
""&lt;ruby&gt;$1&lt;rt&gt;$2&lt;/rt&gt;&lt;/ruby&gt;""
)&amp;""&lt;br&gt;&lt;div class=""""audio""""&gt;[sound:""&amp;C509&amp;"".mp3]&lt;/div&gt;"""),"&lt;ruby&gt;非常&lt;rt&gt;ひじょう&lt;/rt&gt;&lt;/ruby&gt;に&lt;br&gt;&lt;div class=""audio""&gt;[sound:ひじょうに.mp3]&lt;/div&gt;")</f>
        <v>&lt;ruby&gt;非常&lt;rt&gt;ひじょう&lt;/rt&gt;&lt;/ruby&gt;に&lt;br&gt;&lt;div class="audio"&gt;[sound:ひじょうに.mp3]&lt;/div&gt;</v>
      </c>
      <c r="H509" s="3" t="str">
        <f t="shared" si="1"/>
        <v>(adv): rất</v>
      </c>
      <c r="I509" s="6" t="s">
        <v>2709</v>
      </c>
      <c r="J509" s="6" t="s">
        <v>2710</v>
      </c>
      <c r="K509" s="7">
        <f t="shared" si="2"/>
        <v>0.01865972971</v>
      </c>
    </row>
    <row r="510">
      <c r="A510" s="4">
        <v>510.0</v>
      </c>
      <c r="B510" s="5" t="s">
        <v>2711</v>
      </c>
      <c r="C510" s="5" t="s">
        <v>2712</v>
      </c>
      <c r="D510" s="5" t="s">
        <v>2713</v>
      </c>
      <c r="E510" s="6" t="s">
        <v>74</v>
      </c>
      <c r="F510" s="6" t="s">
        <v>2714</v>
      </c>
      <c r="G510" s="3" t="str">
        <f>IFERROR(__xludf.DUMMYFUNCTION("REGEXREPLACE(
D510,
""([一-龯々]+)\[([^\]]+)\]"",
""&lt;ruby&gt;$1&lt;rt&gt;$2&lt;/rt&gt;&lt;/ruby&gt;""
)&amp;""&lt;br&gt;&lt;div class=""""audio""""&gt;[sound:""&amp;C510&amp;"".mp3]&lt;/div&gt;"""),"&lt;ruby&gt;対象&lt;rt&gt;たいしょう&lt;/rt&gt;&lt;/ruby&gt;&lt;br&gt;&lt;div class=""audio""&gt;[sound:たいしょう.mp3]&lt;/div&gt;")</f>
        <v>&lt;ruby&gt;対象&lt;rt&gt;たいしょう&lt;/rt&gt;&lt;/ruby&gt;&lt;br&gt;&lt;div class="audio"&gt;[sound:たいしょう.mp3]&lt;/div&gt;</v>
      </c>
      <c r="H510" s="3" t="str">
        <f t="shared" si="1"/>
        <v>(n): đối tượng</v>
      </c>
      <c r="I510" s="6" t="s">
        <v>2715</v>
      </c>
      <c r="J510" s="6" t="s">
        <v>2716</v>
      </c>
      <c r="K510" s="7">
        <f t="shared" si="2"/>
        <v>0.1508312541</v>
      </c>
    </row>
    <row r="511">
      <c r="A511" s="4">
        <v>511.0</v>
      </c>
      <c r="B511" s="5" t="s">
        <v>2717</v>
      </c>
      <c r="C511" s="5" t="s">
        <v>2718</v>
      </c>
      <c r="D511" s="5" t="s">
        <v>2719</v>
      </c>
      <c r="E511" s="6" t="s">
        <v>74</v>
      </c>
      <c r="F511" s="6" t="s">
        <v>2720</v>
      </c>
      <c r="G511" s="3" t="str">
        <f>IFERROR(__xludf.DUMMYFUNCTION("REGEXREPLACE(
D511,
""([一-龯々]+)\[([^\]]+)\]"",
""&lt;ruby&gt;$1&lt;rt&gt;$2&lt;/rt&gt;&lt;/ruby&gt;""
)&amp;""&lt;br&gt;&lt;div class=""""audio""""&gt;[sound:""&amp;C511&amp;"".mp3]&lt;/div&gt;"""),"&lt;ruby&gt;形&lt;rt&gt;かたち&lt;/rt&gt;&lt;/ruby&gt;&lt;br&gt;&lt;div class=""audio""&gt;[sound:かたち.mp3]&lt;/div&gt;")</f>
        <v>&lt;ruby&gt;形&lt;rt&gt;かたち&lt;/rt&gt;&lt;/ruby&gt;&lt;br&gt;&lt;div class="audio"&gt;[sound:かたち.mp3]&lt;/div&gt;</v>
      </c>
      <c r="H511" s="3" t="str">
        <f t="shared" si="1"/>
        <v>(n): hình dáng</v>
      </c>
      <c r="I511" s="6" t="s">
        <v>2721</v>
      </c>
      <c r="J511" s="6" t="s">
        <v>2722</v>
      </c>
      <c r="K511" s="7">
        <f t="shared" si="2"/>
        <v>0.5684374258</v>
      </c>
    </row>
    <row r="512">
      <c r="A512" s="4">
        <v>512.0</v>
      </c>
      <c r="B512" s="5" t="s">
        <v>2723</v>
      </c>
      <c r="C512" s="5" t="s">
        <v>2724</v>
      </c>
      <c r="D512" s="5" t="s">
        <v>2725</v>
      </c>
      <c r="E512" s="6" t="s">
        <v>74</v>
      </c>
      <c r="F512" s="6" t="s">
        <v>2726</v>
      </c>
      <c r="G512" s="3" t="str">
        <f>IFERROR(__xludf.DUMMYFUNCTION("REGEXREPLACE(
D512,
""([一-龯々]+)\[([^\]]+)\]"",
""&lt;ruby&gt;$1&lt;rt&gt;$2&lt;/rt&gt;&lt;/ruby&gt;""
)&amp;""&lt;br&gt;&lt;div class=""""audio""""&gt;[sound:""&amp;C512&amp;"".mp3]&lt;/div&gt;"""),"&lt;ruby&gt;教育&lt;rt&gt;きょういく&lt;/rt&gt;&lt;/ruby&gt;&lt;br&gt;&lt;div class=""audio""&gt;[sound:きょういく.mp3]&lt;/div&gt;")</f>
        <v>&lt;ruby&gt;教育&lt;rt&gt;きょういく&lt;/rt&gt;&lt;/ruby&gt;&lt;br&gt;&lt;div class="audio"&gt;[sound:きょういく.mp3]&lt;/div&gt;</v>
      </c>
      <c r="H512" s="3" t="str">
        <f t="shared" si="1"/>
        <v>(n): giáo dục</v>
      </c>
      <c r="I512" s="6" t="s">
        <v>2727</v>
      </c>
      <c r="J512" s="6" t="s">
        <v>2728</v>
      </c>
      <c r="K512" s="7">
        <f t="shared" si="2"/>
        <v>0.06900949661</v>
      </c>
    </row>
    <row r="513">
      <c r="A513" s="4">
        <v>513.0</v>
      </c>
      <c r="B513" s="5" t="s">
        <v>2729</v>
      </c>
      <c r="C513" s="5" t="s">
        <v>2730</v>
      </c>
      <c r="D513" s="5" t="s">
        <v>2731</v>
      </c>
      <c r="E513" s="6" t="s">
        <v>24</v>
      </c>
      <c r="F513" s="6" t="s">
        <v>2732</v>
      </c>
      <c r="G513" s="3" t="str">
        <f>IFERROR(__xludf.DUMMYFUNCTION("REGEXREPLACE(
D513,
""([一-龯々]+)\[([^\]]+)\]"",
""&lt;ruby&gt;$1&lt;rt&gt;$2&lt;/rt&gt;&lt;/ruby&gt;""
)&amp;""&lt;br&gt;&lt;div class=""""audio""""&gt;[sound:""&amp;C513&amp;"".mp3]&lt;/div&gt;"""),"&lt;ruby&gt;見&lt;rt&gt;み&lt;/rt&gt;&lt;/ruby&gt;せる&lt;br&gt;&lt;div class=""audio""&gt;[sound:みせる.mp3]&lt;/div&gt;")</f>
        <v>&lt;ruby&gt;見&lt;rt&gt;み&lt;/rt&gt;&lt;/ruby&gt;せる&lt;br&gt;&lt;div class="audio"&gt;[sound:みせる.mp3]&lt;/div&gt;</v>
      </c>
      <c r="H513" s="3" t="str">
        <f t="shared" si="1"/>
        <v>(v): cho xem</v>
      </c>
      <c r="I513" s="6" t="s">
        <v>2733</v>
      </c>
      <c r="J513" s="6" t="s">
        <v>2734</v>
      </c>
      <c r="K513" s="7">
        <f t="shared" si="2"/>
        <v>0.9820335309</v>
      </c>
    </row>
    <row r="514">
      <c r="A514" s="4">
        <v>514.0</v>
      </c>
      <c r="B514" s="5" t="s">
        <v>2735</v>
      </c>
      <c r="C514" s="5" t="s">
        <v>2736</v>
      </c>
      <c r="D514" s="5" t="s">
        <v>2737</v>
      </c>
      <c r="E514" s="6" t="s">
        <v>85</v>
      </c>
      <c r="F514" s="6" t="s">
        <v>2738</v>
      </c>
      <c r="G514" s="3" t="str">
        <f>IFERROR(__xludf.DUMMYFUNCTION("REGEXREPLACE(
D514,
""([一-龯々]+)\[([^\]]+)\]"",
""&lt;ruby&gt;$1&lt;rt&gt;$2&lt;/rt&gt;&lt;/ruby&gt;""
)&amp;""&lt;br&gt;&lt;div class=""""audio""""&gt;[sound:""&amp;C514&amp;"".mp3]&lt;/div&gt;"""),"&lt;ruby&gt;大体&lt;rt&gt;だいたい&lt;/rt&gt;&lt;/ruby&gt;&lt;br&gt;&lt;div class=""audio""&gt;[sound:だいたい.mp3]&lt;/div&gt;")</f>
        <v>&lt;ruby&gt;大体&lt;rt&gt;だいたい&lt;/rt&gt;&lt;/ruby&gt;&lt;br&gt;&lt;div class="audio"&gt;[sound:だいたい.mp3]&lt;/div&gt;</v>
      </c>
      <c r="H514" s="3" t="str">
        <f t="shared" si="1"/>
        <v>(adv): đại khái</v>
      </c>
      <c r="I514" s="6" t="s">
        <v>2739</v>
      </c>
      <c r="J514" s="6" t="s">
        <v>2740</v>
      </c>
      <c r="K514" s="7">
        <f t="shared" si="2"/>
        <v>0.9360549868</v>
      </c>
    </row>
    <row r="515">
      <c r="A515" s="4">
        <v>515.0</v>
      </c>
      <c r="B515" s="5" t="s">
        <v>2741</v>
      </c>
      <c r="C515" s="5" t="s">
        <v>2742</v>
      </c>
      <c r="D515" s="5" t="s">
        <v>2743</v>
      </c>
      <c r="E515" s="6" t="s">
        <v>74</v>
      </c>
      <c r="F515" s="6" t="s">
        <v>2744</v>
      </c>
      <c r="G515" s="3" t="str">
        <f>IFERROR(__xludf.DUMMYFUNCTION("REGEXREPLACE(
D515,
""([一-龯々]+)\[([^\]]+)\]"",
""&lt;ruby&gt;$1&lt;rt&gt;$2&lt;/rt&gt;&lt;/ruby&gt;""
)&amp;""&lt;br&gt;&lt;div class=""""audio""""&gt;[sound:""&amp;C515&amp;"".mp3]&lt;/div&gt;"""),"&lt;ruby&gt;安心&lt;rt&gt;あんしん&lt;/rt&gt;&lt;/ruby&gt;&lt;br&gt;&lt;div class=""audio""&gt;[sound:あんしん.mp3]&lt;/div&gt;")</f>
        <v>&lt;ruby&gt;安心&lt;rt&gt;あんしん&lt;/rt&gt;&lt;/ruby&gt;&lt;br&gt;&lt;div class="audio"&gt;[sound:あんしん.mp3]&lt;/div&gt;</v>
      </c>
      <c r="H515" s="3" t="str">
        <f t="shared" si="1"/>
        <v>(n): an tâm</v>
      </c>
      <c r="I515" s="6" t="s">
        <v>2745</v>
      </c>
      <c r="J515" s="6" t="s">
        <v>2746</v>
      </c>
      <c r="K515" s="7">
        <f t="shared" si="2"/>
        <v>0.03305558351</v>
      </c>
    </row>
    <row r="516">
      <c r="A516" s="4">
        <v>516.0</v>
      </c>
      <c r="B516" s="5" t="s">
        <v>2747</v>
      </c>
      <c r="C516" s="5" t="s">
        <v>2696</v>
      </c>
      <c r="D516" s="5" t="s">
        <v>2748</v>
      </c>
      <c r="E516" s="6" t="s">
        <v>74</v>
      </c>
      <c r="F516" s="6" t="s">
        <v>2749</v>
      </c>
      <c r="G516" s="3" t="str">
        <f>IFERROR(__xludf.DUMMYFUNCTION("REGEXREPLACE(
D516,
""([一-龯々]+)\[([^\]]+)\]"",
""&lt;ruby&gt;$1&lt;rt&gt;$2&lt;/rt&gt;&lt;/ruby&gt;""
)&amp;""&lt;br&gt;&lt;div class=""""audio""""&gt;[sound:""&amp;C516&amp;"".mp3]&lt;/div&gt;"""),"&lt;ruby&gt;約&lt;rt&gt;やく&lt;/rt&gt;&lt;/ruby&gt;&lt;br&gt;&lt;div class=""audio""&gt;[sound:やく.mp3]&lt;/div&gt;")</f>
        <v>&lt;ruby&gt;約&lt;rt&gt;やく&lt;/rt&gt;&lt;/ruby&gt;&lt;br&gt;&lt;div class="audio"&gt;[sound:やく.mp3]&lt;/div&gt;</v>
      </c>
      <c r="H516" s="3" t="str">
        <f t="shared" si="1"/>
        <v>(n): khoảng</v>
      </c>
      <c r="I516" s="6" t="s">
        <v>2750</v>
      </c>
      <c r="J516" s="6" t="s">
        <v>2751</v>
      </c>
      <c r="K516" s="7">
        <f t="shared" si="2"/>
        <v>0.5355632517</v>
      </c>
    </row>
    <row r="517">
      <c r="A517" s="4">
        <v>517.0</v>
      </c>
      <c r="B517" s="5" t="s">
        <v>2752</v>
      </c>
      <c r="C517" s="5" t="s">
        <v>2753</v>
      </c>
      <c r="D517" s="5" t="s">
        <v>2754</v>
      </c>
      <c r="E517" s="6" t="s">
        <v>24</v>
      </c>
      <c r="F517" s="6" t="s">
        <v>2755</v>
      </c>
      <c r="G517" s="3" t="str">
        <f>IFERROR(__xludf.DUMMYFUNCTION("REGEXREPLACE(
D517,
""([一-龯々]+)\[([^\]]+)\]"",
""&lt;ruby&gt;$1&lt;rt&gt;$2&lt;/rt&gt;&lt;/ruby&gt;""
)&amp;""&lt;br&gt;&lt;div class=""""audio""""&gt;[sound:""&amp;C517&amp;"".mp3]&lt;/div&gt;"""),"&lt;ruby&gt;含&lt;rt&gt;ふく&lt;/rt&gt;&lt;/ruby&gt;む&lt;br&gt;&lt;div class=""audio""&gt;[sound:ふくむ.mp3]&lt;/div&gt;")</f>
        <v>&lt;ruby&gt;含&lt;rt&gt;ふく&lt;/rt&gt;&lt;/ruby&gt;む&lt;br&gt;&lt;div class="audio"&gt;[sound:ふくむ.mp3]&lt;/div&gt;</v>
      </c>
      <c r="H517" s="3" t="str">
        <f t="shared" si="1"/>
        <v>(v): bao gồm</v>
      </c>
      <c r="I517" s="6" t="s">
        <v>2756</v>
      </c>
      <c r="J517" s="6" t="s">
        <v>2757</v>
      </c>
      <c r="K517" s="7">
        <f t="shared" si="2"/>
        <v>0.6316289096</v>
      </c>
    </row>
    <row r="518">
      <c r="A518" s="4">
        <v>518.0</v>
      </c>
      <c r="B518" s="5" t="s">
        <v>2758</v>
      </c>
      <c r="C518" s="5" t="s">
        <v>2759</v>
      </c>
      <c r="D518" s="5" t="s">
        <v>2760</v>
      </c>
      <c r="E518" s="6" t="s">
        <v>24</v>
      </c>
      <c r="F518" s="6" t="s">
        <v>2761</v>
      </c>
      <c r="G518" s="3" t="str">
        <f>IFERROR(__xludf.DUMMYFUNCTION("REGEXREPLACE(
D518,
""([一-龯々]+)\[([^\]]+)\]"",
""&lt;ruby&gt;$1&lt;rt&gt;$2&lt;/rt&gt;&lt;/ruby&gt;""
)&amp;""&lt;br&gt;&lt;div class=""""audio""""&gt;[sound:""&amp;C518&amp;"".mp3]&lt;/div&gt;"""),"&lt;ruby&gt;売&lt;rt&gt;う&lt;/rt&gt;&lt;/ruby&gt;れる&lt;br&gt;&lt;div class=""audio""&gt;[sound:うれる.mp3]&lt;/div&gt;")</f>
        <v>&lt;ruby&gt;売&lt;rt&gt;う&lt;/rt&gt;&lt;/ruby&gt;れる&lt;br&gt;&lt;div class="audio"&gt;[sound:うれる.mp3]&lt;/div&gt;</v>
      </c>
      <c r="H518" s="3" t="str">
        <f t="shared" si="1"/>
        <v>(v): bán chạy</v>
      </c>
      <c r="I518" s="6" t="s">
        <v>2762</v>
      </c>
      <c r="J518" s="6" t="s">
        <v>2763</v>
      </c>
      <c r="K518" s="7">
        <f t="shared" si="2"/>
        <v>0.08915159334</v>
      </c>
    </row>
    <row r="519">
      <c r="A519" s="4">
        <v>519.0</v>
      </c>
      <c r="B519" s="5" t="s">
        <v>2764</v>
      </c>
      <c r="C519" s="5" t="s">
        <v>2765</v>
      </c>
      <c r="D519" s="5" t="s">
        <v>2766</v>
      </c>
      <c r="E519" s="6" t="s">
        <v>74</v>
      </c>
      <c r="F519" s="6" t="s">
        <v>2767</v>
      </c>
      <c r="G519" s="3" t="str">
        <f>IFERROR(__xludf.DUMMYFUNCTION("REGEXREPLACE(
D519,
""([一-龯々]+)\[([^\]]+)\]"",
""&lt;ruby&gt;$1&lt;rt&gt;$2&lt;/rt&gt;&lt;/ruby&gt;""
)&amp;""&lt;br&gt;&lt;div class=""""audio""""&gt;[sound:""&amp;C519&amp;"".mp3]&lt;/div&gt;"""),"&lt;ruby&gt;知識&lt;rt&gt;ちしき&lt;/rt&gt;&lt;/ruby&gt;&lt;br&gt;&lt;div class=""audio""&gt;[sound:ちしき.mp3]&lt;/div&gt;")</f>
        <v>&lt;ruby&gt;知識&lt;rt&gt;ちしき&lt;/rt&gt;&lt;/ruby&gt;&lt;br&gt;&lt;div class="audio"&gt;[sound:ちしき.mp3]&lt;/div&gt;</v>
      </c>
      <c r="H519" s="3" t="str">
        <f t="shared" si="1"/>
        <v>(n): kiến thức</v>
      </c>
      <c r="I519" s="6" t="s">
        <v>2768</v>
      </c>
      <c r="J519" s="6" t="s">
        <v>2769</v>
      </c>
      <c r="K519" s="7">
        <f t="shared" si="2"/>
        <v>0.09778284153</v>
      </c>
    </row>
    <row r="520">
      <c r="A520" s="4">
        <v>520.0</v>
      </c>
      <c r="B520" s="5" t="s">
        <v>2770</v>
      </c>
      <c r="C520" s="5" t="s">
        <v>2771</v>
      </c>
      <c r="D520" s="5" t="s">
        <v>2772</v>
      </c>
      <c r="E520" s="6" t="s">
        <v>74</v>
      </c>
      <c r="F520" s="6" t="s">
        <v>2773</v>
      </c>
      <c r="G520" s="3" t="str">
        <f>IFERROR(__xludf.DUMMYFUNCTION("REGEXREPLACE(
D520,
""([一-龯々]+)\[([^\]]+)\]"",
""&lt;ruby&gt;$1&lt;rt&gt;$2&lt;/rt&gt;&lt;/ruby&gt;""
)&amp;""&lt;br&gt;&lt;div class=""""audio""""&gt;[sound:""&amp;C520&amp;"".mp3]&lt;/div&gt;"""),"&lt;ruby&gt;帰&lt;rt&gt;かえ&lt;/rt&gt;&lt;/ruby&gt;り&lt;br&gt;&lt;div class=""audio""&gt;[sound:かえり.mp3]&lt;/div&gt;")</f>
        <v>&lt;ruby&gt;帰&lt;rt&gt;かえ&lt;/rt&gt;&lt;/ruby&gt;り&lt;br&gt;&lt;div class="audio"&gt;[sound:かえり.mp3]&lt;/div&gt;</v>
      </c>
      <c r="H520" s="3" t="str">
        <f t="shared" si="1"/>
        <v>(n): chiều về</v>
      </c>
      <c r="I520" s="6" t="s">
        <v>2774</v>
      </c>
      <c r="J520" s="6" t="s">
        <v>2775</v>
      </c>
      <c r="K520" s="7">
        <f t="shared" si="2"/>
        <v>0.5005442724</v>
      </c>
    </row>
    <row r="521">
      <c r="A521" s="4">
        <v>521.0</v>
      </c>
      <c r="B521" s="5" t="s">
        <v>2776</v>
      </c>
      <c r="C521" s="5" t="s">
        <v>2777</v>
      </c>
      <c r="D521" s="5" t="s">
        <v>2778</v>
      </c>
      <c r="E521" s="6" t="s">
        <v>74</v>
      </c>
      <c r="F521" s="6" t="s">
        <v>2779</v>
      </c>
      <c r="G521" s="3" t="str">
        <f>IFERROR(__xludf.DUMMYFUNCTION("REGEXREPLACE(
D521,
""([一-龯々]+)\[([^\]]+)\]"",
""&lt;ruby&gt;$1&lt;rt&gt;$2&lt;/rt&gt;&lt;/ruby&gt;""
)&amp;""&lt;br&gt;&lt;div class=""""audio""""&gt;[sound:""&amp;C521&amp;"".mp3]&lt;/div&gt;"""),"&lt;ruby&gt;毎日&lt;rt&gt;まいにち&lt;/rt&gt;&lt;/ruby&gt;&lt;br&gt;&lt;div class=""audio""&gt;[sound:まいにち.mp3]&lt;/div&gt;")</f>
        <v>&lt;ruby&gt;毎日&lt;rt&gt;まいにち&lt;/rt&gt;&lt;/ruby&gt;&lt;br&gt;&lt;div class="audio"&gt;[sound:まいにち.mp3]&lt;/div&gt;</v>
      </c>
      <c r="H521" s="3" t="str">
        <f t="shared" si="1"/>
        <v>(n): mỗi ngày</v>
      </c>
      <c r="I521" s="6" t="s">
        <v>2780</v>
      </c>
      <c r="J521" s="6" t="s">
        <v>2781</v>
      </c>
      <c r="K521" s="7">
        <f t="shared" si="2"/>
        <v>0.9902984815</v>
      </c>
    </row>
    <row r="522">
      <c r="A522" s="4">
        <v>522.0</v>
      </c>
      <c r="B522" s="5" t="s">
        <v>2782</v>
      </c>
      <c r="C522" s="5" t="s">
        <v>2783</v>
      </c>
      <c r="D522" s="5" t="s">
        <v>2784</v>
      </c>
      <c r="E522" s="6" t="s">
        <v>24</v>
      </c>
      <c r="F522" s="6" t="s">
        <v>2785</v>
      </c>
      <c r="G522" s="3" t="str">
        <f>IFERROR(__xludf.DUMMYFUNCTION("REGEXREPLACE(
D522,
""([一-龯々]+)\[([^\]]+)\]"",
""&lt;ruby&gt;$1&lt;rt&gt;$2&lt;/rt&gt;&lt;/ruby&gt;""
)&amp;""&lt;br&gt;&lt;div class=""""audio""""&gt;[sound:""&amp;C522&amp;"".mp3]&lt;/div&gt;"""),"&lt;ruby&gt;落&lt;rt&gt;おと&lt;/rt&gt;&lt;/ruby&gt;す&lt;br&gt;&lt;div class=""audio""&gt;[sound:おとす.mp3]&lt;/div&gt;")</f>
        <v>&lt;ruby&gt;落&lt;rt&gt;おと&lt;/rt&gt;&lt;/ruby&gt;す&lt;br&gt;&lt;div class="audio"&gt;[sound:おとす.mp3]&lt;/div&gt;</v>
      </c>
      <c r="H522" s="3" t="str">
        <f t="shared" si="1"/>
        <v>(v): đánh rơi</v>
      </c>
      <c r="I522" s="6" t="s">
        <v>2786</v>
      </c>
      <c r="J522" s="6" t="s">
        <v>2787</v>
      </c>
      <c r="K522" s="7">
        <f t="shared" si="2"/>
        <v>0.1235727887</v>
      </c>
    </row>
    <row r="523">
      <c r="A523" s="4">
        <v>523.0</v>
      </c>
      <c r="B523" s="5" t="s">
        <v>2788</v>
      </c>
      <c r="C523" s="5" t="s">
        <v>2789</v>
      </c>
      <c r="D523" s="5" t="s">
        <v>2790</v>
      </c>
      <c r="E523" s="6" t="s">
        <v>85</v>
      </c>
      <c r="F523" s="6" t="s">
        <v>2791</v>
      </c>
      <c r="G523" s="3" t="str">
        <f>IFERROR(__xludf.DUMMYFUNCTION("REGEXREPLACE(
D523,
""([一-龯々]+)\[([^\]]+)\]"",
""&lt;ruby&gt;$1&lt;rt&gt;$2&lt;/rt&gt;&lt;/ruby&gt;""
)&amp;""&lt;br&gt;&lt;div class=""""audio""""&gt;[sound:""&amp;C523&amp;"".mp3]&lt;/div&gt;"""),"&lt;ruby&gt;実&lt;rt&gt;じつ&lt;/rt&gt;&lt;/ruby&gt;は&lt;br&gt;&lt;div class=""audio""&gt;[sound:じつは.mp3]&lt;/div&gt;")</f>
        <v>&lt;ruby&gt;実&lt;rt&gt;じつ&lt;/rt&gt;&lt;/ruby&gt;は&lt;br&gt;&lt;div class="audio"&gt;[sound:じつは.mp3]&lt;/div&gt;</v>
      </c>
      <c r="H523" s="3" t="str">
        <f t="shared" si="1"/>
        <v>(adv): thực ra</v>
      </c>
      <c r="I523" s="6" t="s">
        <v>2792</v>
      </c>
      <c r="J523" s="6" t="s">
        <v>2793</v>
      </c>
      <c r="K523" s="7">
        <f t="shared" si="2"/>
        <v>0.138119722</v>
      </c>
    </row>
    <row r="524">
      <c r="A524" s="4">
        <v>524.0</v>
      </c>
      <c r="B524" s="5" t="s">
        <v>2794</v>
      </c>
      <c r="C524" s="5" t="s">
        <v>2795</v>
      </c>
      <c r="D524" s="5" t="s">
        <v>2796</v>
      </c>
      <c r="E524" s="6" t="s">
        <v>74</v>
      </c>
      <c r="F524" s="6" t="s">
        <v>2797</v>
      </c>
      <c r="G524" s="3" t="str">
        <f>IFERROR(__xludf.DUMMYFUNCTION("REGEXREPLACE(
D524,
""([一-龯々]+)\[([^\]]+)\]"",
""&lt;ruby&gt;$1&lt;rt&gt;$2&lt;/rt&gt;&lt;/ruby&gt;""
)&amp;""&lt;br&gt;&lt;div class=""""audio""""&gt;[sound:""&amp;C524&amp;"".mp3]&lt;/div&gt;"""),"&lt;ruby&gt;反抗&lt;rt&gt;はんこう&lt;/rt&gt;&lt;/ruby&gt;&lt;br&gt;&lt;div class=""audio""&gt;[sound:はんこう.mp3]&lt;/div&gt;")</f>
        <v>&lt;ruby&gt;反抗&lt;rt&gt;はんこう&lt;/rt&gt;&lt;/ruby&gt;&lt;br&gt;&lt;div class="audio"&gt;[sound:はんこう.mp3]&lt;/div&gt;</v>
      </c>
      <c r="H524" s="3" t="str">
        <f t="shared" si="1"/>
        <v>(n): phản kháng</v>
      </c>
      <c r="I524" s="6" t="s">
        <v>2798</v>
      </c>
      <c r="J524" s="6" t="s">
        <v>2799</v>
      </c>
      <c r="K524" s="7">
        <f t="shared" si="2"/>
        <v>0.07996389988</v>
      </c>
    </row>
    <row r="525">
      <c r="A525" s="4">
        <v>525.0</v>
      </c>
      <c r="B525" s="5" t="s">
        <v>2800</v>
      </c>
      <c r="C525" s="5" t="s">
        <v>2801</v>
      </c>
      <c r="D525" s="5" t="s">
        <v>2802</v>
      </c>
      <c r="E525" s="6" t="s">
        <v>24</v>
      </c>
      <c r="F525" s="6" t="s">
        <v>2803</v>
      </c>
      <c r="G525" s="3" t="str">
        <f>IFERROR(__xludf.DUMMYFUNCTION("REGEXREPLACE(
D525,
""([一-龯々]+)\[([^\]]+)\]"",
""&lt;ruby&gt;$1&lt;rt&gt;$2&lt;/rt&gt;&lt;/ruby&gt;""
)&amp;""&lt;br&gt;&lt;div class=""""audio""""&gt;[sound:""&amp;C525&amp;"".mp3]&lt;/div&gt;"""),"&lt;ruby&gt;頑張&lt;rt&gt;がんば&lt;/rt&gt;&lt;/ruby&gt;る&lt;br&gt;&lt;div class=""audio""&gt;[sound:がんばる.mp3]&lt;/div&gt;")</f>
        <v>&lt;ruby&gt;頑張&lt;rt&gt;がんば&lt;/rt&gt;&lt;/ruby&gt;る&lt;br&gt;&lt;div class="audio"&gt;[sound:がんばる.mp3]&lt;/div&gt;</v>
      </c>
      <c r="H525" s="3" t="str">
        <f t="shared" si="1"/>
        <v>(v): cố gắng</v>
      </c>
      <c r="I525" s="6" t="s">
        <v>2804</v>
      </c>
      <c r="J525" s="6" t="s">
        <v>2805</v>
      </c>
      <c r="K525" s="7">
        <f t="shared" si="2"/>
        <v>0.3244572506</v>
      </c>
    </row>
    <row r="526">
      <c r="A526" s="4">
        <v>526.0</v>
      </c>
      <c r="B526" s="5" t="s">
        <v>2806</v>
      </c>
      <c r="C526" s="5" t="s">
        <v>2807</v>
      </c>
      <c r="D526" s="5" t="s">
        <v>2808</v>
      </c>
      <c r="E526" s="6" t="s">
        <v>11</v>
      </c>
      <c r="F526" s="6" t="s">
        <v>2809</v>
      </c>
      <c r="G526" s="3" t="str">
        <f>IFERROR(__xludf.DUMMYFUNCTION("REGEXREPLACE(
D526,
""([一-龯々]+)\[([^\]]+)\]"",
""&lt;ruby&gt;$1&lt;rt&gt;$2&lt;/rt&gt;&lt;/ruby&gt;""
)&amp;""&lt;br&gt;&lt;div class=""""audio""""&gt;[sound:""&amp;C526&amp;"".mp3]&lt;/div&gt;"""),"&lt;ruby&gt;当然&lt;rt&gt;とうぜん&lt;/rt&gt;&lt;/ruby&gt;&lt;br&gt;&lt;div class=""audio""&gt;[sound:とうぜん.mp3]&lt;/div&gt;")</f>
        <v>&lt;ruby&gt;当然&lt;rt&gt;とうぜん&lt;/rt&gt;&lt;/ruby&gt;&lt;br&gt;&lt;div class="audio"&gt;[sound:とうぜん.mp3]&lt;/div&gt;</v>
      </c>
      <c r="H526" s="3" t="str">
        <f t="shared" si="1"/>
        <v>(adj): đương nhiên</v>
      </c>
      <c r="I526" s="6" t="s">
        <v>2810</v>
      </c>
      <c r="J526" s="6" t="s">
        <v>2811</v>
      </c>
      <c r="K526" s="7">
        <f t="shared" si="2"/>
        <v>0.2226918502</v>
      </c>
    </row>
    <row r="527">
      <c r="A527" s="4">
        <v>527.0</v>
      </c>
      <c r="B527" s="5" t="s">
        <v>2812</v>
      </c>
      <c r="C527" s="5" t="s">
        <v>2813</v>
      </c>
      <c r="D527" s="5" t="s">
        <v>2814</v>
      </c>
      <c r="E527" s="6" t="s">
        <v>11</v>
      </c>
      <c r="F527" s="6" t="s">
        <v>2815</v>
      </c>
      <c r="G527" s="3" t="str">
        <f>IFERROR(__xludf.DUMMYFUNCTION("REGEXREPLACE(
D527,
""([一-龯々]+)\[([^\]]+)\]"",
""&lt;ruby&gt;$1&lt;rt&gt;$2&lt;/rt&gt;&lt;/ruby&gt;""
)&amp;""&lt;br&gt;&lt;div class=""""audio""""&gt;[sound:""&amp;C527&amp;"".mp3]&lt;/div&gt;"""),"&lt;ruby&gt;相当&lt;rt&gt;そうとう&lt;/rt&gt;&lt;/ruby&gt;&lt;br&gt;&lt;div class=""audio""&gt;[sound:そうとう.mp3]&lt;/div&gt;")</f>
        <v>&lt;ruby&gt;相当&lt;rt&gt;そうとう&lt;/rt&gt;&lt;/ruby&gt;&lt;br&gt;&lt;div class="audio"&gt;[sound:そうとう.mp3]&lt;/div&gt;</v>
      </c>
      <c r="H527" s="3" t="str">
        <f t="shared" si="1"/>
        <v>(adj): tương đương</v>
      </c>
      <c r="I527" s="6" t="s">
        <v>2816</v>
      </c>
      <c r="J527" s="6" t="s">
        <v>2817</v>
      </c>
      <c r="K527" s="7">
        <f t="shared" si="2"/>
        <v>0.3687477767</v>
      </c>
    </row>
    <row r="528">
      <c r="A528" s="4">
        <v>528.0</v>
      </c>
      <c r="B528" s="5" t="s">
        <v>2818</v>
      </c>
      <c r="C528" s="5" t="s">
        <v>2819</v>
      </c>
      <c r="D528" s="5" t="s">
        <v>2820</v>
      </c>
      <c r="E528" s="6" t="s">
        <v>24</v>
      </c>
      <c r="F528" s="6" t="s">
        <v>2821</v>
      </c>
      <c r="G528" s="3" t="str">
        <f>IFERROR(__xludf.DUMMYFUNCTION("REGEXREPLACE(
D528,
""([一-龯々]+)\[([^\]]+)\]"",
""&lt;ruby&gt;$1&lt;rt&gt;$2&lt;/rt&gt;&lt;/ruby&gt;""
)&amp;""&lt;br&gt;&lt;div class=""""audio""""&gt;[sound:""&amp;C528&amp;"".mp3]&lt;/div&gt;"""),"&lt;ruby&gt;住&lt;rt&gt;す&lt;/rt&gt;&lt;/ruby&gt;む&lt;br&gt;&lt;div class=""audio""&gt;[sound:すむ.mp3]&lt;/div&gt;")</f>
        <v>&lt;ruby&gt;住&lt;rt&gt;す&lt;/rt&gt;&lt;/ruby&gt;む&lt;br&gt;&lt;div class="audio"&gt;[sound:すむ.mp3]&lt;/div&gt;</v>
      </c>
      <c r="H528" s="3" t="str">
        <f t="shared" si="1"/>
        <v>(v): sống</v>
      </c>
      <c r="I528" s="6" t="s">
        <v>2822</v>
      </c>
      <c r="J528" s="6" t="s">
        <v>2823</v>
      </c>
      <c r="K528" s="7">
        <f t="shared" si="2"/>
        <v>0.1022876524</v>
      </c>
    </row>
    <row r="529">
      <c r="A529" s="4">
        <v>529.0</v>
      </c>
      <c r="B529" s="5" t="s">
        <v>2824</v>
      </c>
      <c r="C529" s="5" t="s">
        <v>2825</v>
      </c>
      <c r="D529" s="5" t="s">
        <v>2826</v>
      </c>
      <c r="E529" s="6" t="s">
        <v>74</v>
      </c>
      <c r="F529" s="6" t="s">
        <v>2827</v>
      </c>
      <c r="G529" s="3" t="str">
        <f>IFERROR(__xludf.DUMMYFUNCTION("REGEXREPLACE(
D529,
""([一-龯々]+)\[([^\]]+)\]"",
""&lt;ruby&gt;$1&lt;rt&gt;$2&lt;/rt&gt;&lt;/ruby&gt;""
)&amp;""&lt;br&gt;&lt;div class=""""audio""""&gt;[sound:""&amp;C529&amp;"".mp3]&lt;/div&gt;"""),"&lt;ruby&gt;時代&lt;rt&gt;じだい&lt;/rt&gt;&lt;/ruby&gt;&lt;br&gt;&lt;div class=""audio""&gt;[sound:じだい.mp3]&lt;/div&gt;")</f>
        <v>&lt;ruby&gt;時代&lt;rt&gt;じだい&lt;/rt&gt;&lt;/ruby&gt;&lt;br&gt;&lt;div class="audio"&gt;[sound:じだい.mp3]&lt;/div&gt;</v>
      </c>
      <c r="H529" s="3" t="str">
        <f t="shared" si="1"/>
        <v>(n): thời đại</v>
      </c>
      <c r="I529" s="6" t="s">
        <v>2828</v>
      </c>
      <c r="J529" s="6" t="s">
        <v>2829</v>
      </c>
      <c r="K529" s="7">
        <f t="shared" si="2"/>
        <v>0.5576130571</v>
      </c>
    </row>
    <row r="530">
      <c r="A530" s="4">
        <v>530.0</v>
      </c>
      <c r="B530" s="5" t="s">
        <v>2830</v>
      </c>
      <c r="C530" s="5" t="s">
        <v>2831</v>
      </c>
      <c r="D530" s="5" t="s">
        <v>2832</v>
      </c>
      <c r="E530" s="6" t="s">
        <v>11</v>
      </c>
      <c r="F530" s="6" t="s">
        <v>423</v>
      </c>
      <c r="G530" s="3" t="str">
        <f>IFERROR(__xludf.DUMMYFUNCTION("REGEXREPLACE(
D530,
""([一-龯々]+)\[([^\]]+)\]"",
""&lt;ruby&gt;$1&lt;rt&gt;$2&lt;/rt&gt;&lt;/ruby&gt;""
)&amp;""&lt;br&gt;&lt;div class=""""audio""""&gt;[sound:""&amp;C530&amp;"".mp3]&lt;/div&gt;"""),"&lt;ruby&gt;大&lt;rt&gt;だい&lt;/rt&gt;&lt;/ruby&gt;&lt;br&gt;&lt;div class=""audio""&gt;[sound:だい.mp3]&lt;/div&gt;")</f>
        <v>&lt;ruby&gt;大&lt;rt&gt;だい&lt;/rt&gt;&lt;/ruby&gt;&lt;br&gt;&lt;div class="audio"&gt;[sound:だい.mp3]&lt;/div&gt;</v>
      </c>
      <c r="H530" s="3" t="str">
        <f t="shared" si="1"/>
        <v>(adj): lớn</v>
      </c>
      <c r="I530" s="6" t="s">
        <v>2833</v>
      </c>
      <c r="J530" s="6" t="s">
        <v>2834</v>
      </c>
      <c r="K530" s="7">
        <f t="shared" si="2"/>
        <v>0.2360828417</v>
      </c>
    </row>
    <row r="531">
      <c r="A531" s="4">
        <v>531.0</v>
      </c>
      <c r="B531" s="5" t="s">
        <v>2835</v>
      </c>
      <c r="C531" s="5" t="s">
        <v>2836</v>
      </c>
      <c r="D531" s="5" t="s">
        <v>2837</v>
      </c>
      <c r="E531" s="6" t="s">
        <v>74</v>
      </c>
      <c r="F531" s="6" t="s">
        <v>2838</v>
      </c>
      <c r="G531" s="3" t="str">
        <f>IFERROR(__xludf.DUMMYFUNCTION("REGEXREPLACE(
D531,
""([一-龯々]+)\[([^\]]+)\]"",
""&lt;ruby&gt;$1&lt;rt&gt;$2&lt;/rt&gt;&lt;/ruby&gt;""
)&amp;""&lt;br&gt;&lt;div class=""""audio""""&gt;[sound:""&amp;C531&amp;"".mp3]&lt;/div&gt;"""),"&lt;ruby&gt;風&lt;rt&gt;かぜ&lt;/rt&gt;&lt;/ruby&gt;&lt;br&gt;&lt;div class=""audio""&gt;[sound:かぜ.mp3]&lt;/div&gt;")</f>
        <v>&lt;ruby&gt;風&lt;rt&gt;かぜ&lt;/rt&gt;&lt;/ruby&gt;&lt;br&gt;&lt;div class="audio"&gt;[sound:かぜ.mp3]&lt;/div&gt;</v>
      </c>
      <c r="H531" s="3" t="str">
        <f t="shared" si="1"/>
        <v>(n): gió</v>
      </c>
      <c r="I531" s="6" t="s">
        <v>2839</v>
      </c>
      <c r="J531" s="6" t="s">
        <v>2840</v>
      </c>
      <c r="K531" s="7">
        <f t="shared" si="2"/>
        <v>0.364965066</v>
      </c>
    </row>
    <row r="532">
      <c r="A532" s="4">
        <v>532.0</v>
      </c>
      <c r="B532" s="5" t="s">
        <v>2841</v>
      </c>
      <c r="C532" s="5" t="s">
        <v>2842</v>
      </c>
      <c r="D532" s="5" t="s">
        <v>2843</v>
      </c>
      <c r="E532" s="6" t="s">
        <v>11</v>
      </c>
      <c r="F532" s="6" t="s">
        <v>2844</v>
      </c>
      <c r="G532" s="3" t="str">
        <f>IFERROR(__xludf.DUMMYFUNCTION("REGEXREPLACE(
D532,
""([一-龯々]+)\[([^\]]+)\]"",
""&lt;ruby&gt;$1&lt;rt&gt;$2&lt;/rt&gt;&lt;/ruby&gt;""
)&amp;""&lt;br&gt;&lt;div class=""""audio""""&gt;[sound:""&amp;C532&amp;"".mp3]&lt;/div&gt;"""),"&lt;ruby&gt;簡単&lt;rt&gt;かんたん&lt;/rt&gt;&lt;/ruby&gt;&lt;br&gt;&lt;div class=""audio""&gt;[sound:かんたん.mp3]&lt;/div&gt;")</f>
        <v>&lt;ruby&gt;簡単&lt;rt&gt;かんたん&lt;/rt&gt;&lt;/ruby&gt;&lt;br&gt;&lt;div class="audio"&gt;[sound:かんたん.mp3]&lt;/div&gt;</v>
      </c>
      <c r="H532" s="3" t="str">
        <f t="shared" si="1"/>
        <v>(adj): đơn giản</v>
      </c>
      <c r="I532" s="6" t="s">
        <v>2845</v>
      </c>
      <c r="J532" s="6" t="s">
        <v>2846</v>
      </c>
      <c r="K532" s="7">
        <f t="shared" si="2"/>
        <v>0.6713022611</v>
      </c>
    </row>
    <row r="533">
      <c r="A533" s="4">
        <v>533.0</v>
      </c>
      <c r="B533" s="5" t="s">
        <v>2847</v>
      </c>
      <c r="C533" s="5" t="s">
        <v>2847</v>
      </c>
      <c r="D533" s="5" t="s">
        <v>2847</v>
      </c>
      <c r="E533" s="6" t="s">
        <v>85</v>
      </c>
      <c r="F533" s="6" t="s">
        <v>2848</v>
      </c>
      <c r="G533" s="3" t="str">
        <f>IFERROR(__xludf.DUMMYFUNCTION("REGEXREPLACE(
D533,
""([一-龯々]+)\[([^\]]+)\]"",
""&lt;ruby&gt;$1&lt;rt&gt;$2&lt;/rt&gt;&lt;/ruby&gt;""
)&amp;""&lt;br&gt;&lt;div class=""""audio""""&gt;[sound:""&amp;C533&amp;"".mp3]&lt;/div&gt;"""),"はっきり&lt;br&gt;&lt;div class=""audio""&gt;[sound:はっきり.mp3]&lt;/div&gt;")</f>
        <v>はっきり&lt;br&gt;&lt;div class="audio"&gt;[sound:はっきり.mp3]&lt;/div&gt;</v>
      </c>
      <c r="H533" s="3" t="str">
        <f t="shared" si="1"/>
        <v>(adv): rõ ràng</v>
      </c>
      <c r="I533" s="6" t="s">
        <v>2849</v>
      </c>
      <c r="J533" s="6" t="s">
        <v>2850</v>
      </c>
      <c r="K533" s="7">
        <f t="shared" si="2"/>
        <v>0.7486220782</v>
      </c>
    </row>
    <row r="534">
      <c r="A534" s="4">
        <v>534.0</v>
      </c>
      <c r="B534" s="5" t="s">
        <v>2851</v>
      </c>
      <c r="C534" s="5" t="s">
        <v>2852</v>
      </c>
      <c r="D534" s="5" t="s">
        <v>2853</v>
      </c>
      <c r="E534" s="6" t="s">
        <v>24</v>
      </c>
      <c r="F534" s="6" t="s">
        <v>2854</v>
      </c>
      <c r="G534" s="3" t="str">
        <f>IFERROR(__xludf.DUMMYFUNCTION("REGEXREPLACE(
D534,
""([一-龯々]+)\[([^\]]+)\]"",
""&lt;ruby&gt;$1&lt;rt&gt;$2&lt;/rt&gt;&lt;/ruby&gt;""
)&amp;""&lt;br&gt;&lt;div class=""""audio""""&gt;[sound:""&amp;C534&amp;"".mp3]&lt;/div&gt;"""),"&lt;ruby&gt;示&lt;rt&gt;しめ&lt;/rt&gt;&lt;/ruby&gt;す&lt;br&gt;&lt;div class=""audio""&gt;[sound:しめす.mp3]&lt;/div&gt;")</f>
        <v>&lt;ruby&gt;示&lt;rt&gt;しめ&lt;/rt&gt;&lt;/ruby&gt;す&lt;br&gt;&lt;div class="audio"&gt;[sound:しめす.mp3]&lt;/div&gt;</v>
      </c>
      <c r="H534" s="3" t="str">
        <f t="shared" si="1"/>
        <v>(v): cho thấy</v>
      </c>
      <c r="I534" s="6" t="s">
        <v>2855</v>
      </c>
      <c r="J534" s="6" t="s">
        <v>2856</v>
      </c>
      <c r="K534" s="7">
        <f t="shared" si="2"/>
        <v>0.1677174118</v>
      </c>
    </row>
    <row r="535">
      <c r="A535" s="4">
        <v>535.0</v>
      </c>
      <c r="B535" s="5" t="s">
        <v>2857</v>
      </c>
      <c r="C535" s="5" t="s">
        <v>2858</v>
      </c>
      <c r="D535" s="5" t="s">
        <v>2859</v>
      </c>
      <c r="E535" s="6" t="s">
        <v>74</v>
      </c>
      <c r="F535" s="6" t="s">
        <v>2860</v>
      </c>
      <c r="G535" s="3" t="str">
        <f>IFERROR(__xludf.DUMMYFUNCTION("REGEXREPLACE(
D535,
""([一-龯々]+)\[([^\]]+)\]"",
""&lt;ruby&gt;$1&lt;rt&gt;$2&lt;/rt&gt;&lt;/ruby&gt;""
)&amp;""&lt;br&gt;&lt;div class=""""audio""""&gt;[sound:""&amp;C535&amp;"".mp3]&lt;/div&gt;"""),"&lt;ruby&gt;自然&lt;rt&gt;しぜん&lt;/rt&gt;&lt;/ruby&gt;&lt;br&gt;&lt;div class=""audio""&gt;[sound:しぜん.mp3]&lt;/div&gt;")</f>
        <v>&lt;ruby&gt;自然&lt;rt&gt;しぜん&lt;/rt&gt;&lt;/ruby&gt;&lt;br&gt;&lt;div class="audio"&gt;[sound:しぜん.mp3]&lt;/div&gt;</v>
      </c>
      <c r="H535" s="3" t="str">
        <f t="shared" si="1"/>
        <v>(n): tự nhiên</v>
      </c>
      <c r="I535" s="6" t="s">
        <v>2861</v>
      </c>
      <c r="J535" s="6" t="s">
        <v>2862</v>
      </c>
      <c r="K535" s="7">
        <f t="shared" si="2"/>
        <v>0.544552582</v>
      </c>
    </row>
    <row r="536">
      <c r="A536" s="4">
        <v>536.0</v>
      </c>
      <c r="B536" s="5" t="s">
        <v>2863</v>
      </c>
      <c r="C536" s="5" t="s">
        <v>2864</v>
      </c>
      <c r="D536" s="5" t="s">
        <v>2865</v>
      </c>
      <c r="E536" s="6" t="s">
        <v>74</v>
      </c>
      <c r="F536" s="6" t="s">
        <v>2866</v>
      </c>
      <c r="G536" s="3" t="str">
        <f>IFERROR(__xludf.DUMMYFUNCTION("REGEXREPLACE(
D536,
""([一-龯々]+)\[([^\]]+)\]"",
""&lt;ruby&gt;$1&lt;rt&gt;$2&lt;/rt&gt;&lt;/ruby&gt;""
)&amp;""&lt;br&gt;&lt;div class=""""audio""""&gt;[sound:""&amp;C536&amp;"".mp3]&lt;/div&gt;"""),"&lt;ruby&gt;姿&lt;rt&gt;すがた&lt;/rt&gt;&lt;/ruby&gt;&lt;br&gt;&lt;div class=""audio""&gt;[sound:すがた.mp3]&lt;/div&gt;")</f>
        <v>&lt;ruby&gt;姿&lt;rt&gt;すがた&lt;/rt&gt;&lt;/ruby&gt;&lt;br&gt;&lt;div class="audio"&gt;[sound:すがた.mp3]&lt;/div&gt;</v>
      </c>
      <c r="H536" s="3" t="str">
        <f t="shared" si="1"/>
        <v>(n): dáng vẻ</v>
      </c>
      <c r="I536" s="6" t="s">
        <v>2867</v>
      </c>
      <c r="J536" s="6" t="s">
        <v>2868</v>
      </c>
      <c r="K536" s="7">
        <f t="shared" si="2"/>
        <v>0.2778614277</v>
      </c>
    </row>
    <row r="537">
      <c r="A537" s="4">
        <v>537.0</v>
      </c>
      <c r="B537" s="5" t="s">
        <v>2869</v>
      </c>
      <c r="C537" s="5" t="s">
        <v>2870</v>
      </c>
      <c r="D537" s="5" t="s">
        <v>2871</v>
      </c>
      <c r="E537" s="6" t="s">
        <v>24</v>
      </c>
      <c r="F537" s="6" t="s">
        <v>2872</v>
      </c>
      <c r="G537" s="3" t="str">
        <f>IFERROR(__xludf.DUMMYFUNCTION("REGEXREPLACE(
D537,
""([一-龯々]+)\[([^\]]+)\]"",
""&lt;ruby&gt;$1&lt;rt&gt;$2&lt;/rt&gt;&lt;/ruby&gt;""
)&amp;""&lt;br&gt;&lt;div class=""""audio""""&gt;[sound:""&amp;C537&amp;"".mp3]&lt;/div&gt;"""),"&lt;ruby&gt;届&lt;rt&gt;とど&lt;/rt&gt;&lt;/ruby&gt;ける&lt;br&gt;&lt;div class=""audio""&gt;[sound:とどける.mp3]&lt;/div&gt;")</f>
        <v>&lt;ruby&gt;届&lt;rt&gt;とど&lt;/rt&gt;&lt;/ruby&gt;ける&lt;br&gt;&lt;div class="audio"&gt;[sound:とどける.mp3]&lt;/div&gt;</v>
      </c>
      <c r="H537" s="3" t="str">
        <f t="shared" si="1"/>
        <v>(v): gửi đến</v>
      </c>
      <c r="I537" s="6" t="s">
        <v>2873</v>
      </c>
      <c r="J537" s="6" t="s">
        <v>2874</v>
      </c>
      <c r="K537" s="7">
        <f t="shared" si="2"/>
        <v>0.3315990632</v>
      </c>
    </row>
    <row r="538">
      <c r="A538" s="4">
        <v>538.0</v>
      </c>
      <c r="B538" s="5" t="s">
        <v>2875</v>
      </c>
      <c r="C538" s="5" t="s">
        <v>2876</v>
      </c>
      <c r="D538" s="5" t="s">
        <v>2877</v>
      </c>
      <c r="E538" s="6" t="s">
        <v>74</v>
      </c>
      <c r="F538" s="6" t="s">
        <v>303</v>
      </c>
      <c r="G538" s="3" t="str">
        <f>IFERROR(__xludf.DUMMYFUNCTION("REGEXREPLACE(
D538,
""([一-龯々]+)\[([^\]]+)\]"",
""&lt;ruby&gt;$1&lt;rt&gt;$2&lt;/rt&gt;&lt;/ruby&gt;""
)&amp;""&lt;br&gt;&lt;div class=""""audio""""&gt;[sound:""&amp;C538&amp;"".mp3]&lt;/div&gt;"""),"&lt;ruby&gt;開始&lt;rt&gt;かいし&lt;/rt&gt;&lt;/ruby&gt;&lt;br&gt;&lt;div class=""audio""&gt;[sound:かいし.mp3]&lt;/div&gt;")</f>
        <v>&lt;ruby&gt;開始&lt;rt&gt;かいし&lt;/rt&gt;&lt;/ruby&gt;&lt;br&gt;&lt;div class="audio"&gt;[sound:かいし.mp3]&lt;/div&gt;</v>
      </c>
      <c r="H538" s="3" t="str">
        <f t="shared" si="1"/>
        <v>(n): bắt đầu</v>
      </c>
      <c r="I538" s="6" t="s">
        <v>2878</v>
      </c>
      <c r="J538" s="6" t="s">
        <v>2879</v>
      </c>
      <c r="K538" s="7">
        <f t="shared" si="2"/>
        <v>0.4743468558</v>
      </c>
    </row>
    <row r="539">
      <c r="A539" s="4">
        <v>539.0</v>
      </c>
      <c r="B539" s="5" t="s">
        <v>2880</v>
      </c>
      <c r="C539" s="5" t="s">
        <v>2881</v>
      </c>
      <c r="D539" s="5" t="s">
        <v>2882</v>
      </c>
      <c r="E539" s="6" t="s">
        <v>74</v>
      </c>
      <c r="F539" s="6" t="s">
        <v>2883</v>
      </c>
      <c r="G539" s="3" t="str">
        <f>IFERROR(__xludf.DUMMYFUNCTION("REGEXREPLACE(
D539,
""([一-龯々]+)\[([^\]]+)\]"",
""&lt;ruby&gt;$1&lt;rt&gt;$2&lt;/rt&gt;&lt;/ruby&gt;""
)&amp;""&lt;br&gt;&lt;div class=""""audio""""&gt;[sound:""&amp;C539&amp;"".mp3]&lt;/div&gt;"""),"&lt;ruby&gt;量&lt;rt&gt;りょう&lt;/rt&gt;&lt;/ruby&gt;&lt;br&gt;&lt;div class=""audio""&gt;[sound:りょう.mp3]&lt;/div&gt;")</f>
        <v>&lt;ruby&gt;量&lt;rt&gt;りょう&lt;/rt&gt;&lt;/ruby&gt;&lt;br&gt;&lt;div class="audio"&gt;[sound:りょう.mp3]&lt;/div&gt;</v>
      </c>
      <c r="H539" s="3" t="str">
        <f t="shared" si="1"/>
        <v>(n): lượng</v>
      </c>
      <c r="I539" s="6" t="s">
        <v>2884</v>
      </c>
      <c r="J539" s="6" t="s">
        <v>2885</v>
      </c>
      <c r="K539" s="7">
        <f t="shared" si="2"/>
        <v>0.7938182964</v>
      </c>
    </row>
    <row r="540">
      <c r="A540" s="4">
        <v>540.0</v>
      </c>
      <c r="B540" s="5" t="s">
        <v>2886</v>
      </c>
      <c r="C540" s="5" t="s">
        <v>2887</v>
      </c>
      <c r="D540" s="5" t="s">
        <v>2888</v>
      </c>
      <c r="E540" s="6" t="s">
        <v>74</v>
      </c>
      <c r="F540" s="6" t="s">
        <v>2889</v>
      </c>
      <c r="G540" s="3" t="str">
        <f>IFERROR(__xludf.DUMMYFUNCTION("REGEXREPLACE(
D540,
""([一-龯々]+)\[([^\]]+)\]"",
""&lt;ruby&gt;$1&lt;rt&gt;$2&lt;/rt&gt;&lt;/ruby&gt;""
)&amp;""&lt;br&gt;&lt;div class=""""audio""""&gt;[sound:""&amp;C540&amp;"".mp3]&lt;/div&gt;"""),"&lt;ruby&gt;夏&lt;rt&gt;なつ&lt;/rt&gt;&lt;/ruby&gt;&lt;br&gt;&lt;div class=""audio""&gt;[sound:なつ.mp3]&lt;/div&gt;")</f>
        <v>&lt;ruby&gt;夏&lt;rt&gt;なつ&lt;/rt&gt;&lt;/ruby&gt;&lt;br&gt;&lt;div class="audio"&gt;[sound:なつ.mp3]&lt;/div&gt;</v>
      </c>
      <c r="H540" s="3" t="str">
        <f t="shared" si="1"/>
        <v>(n): mùa hè</v>
      </c>
      <c r="I540" s="6" t="s">
        <v>2890</v>
      </c>
      <c r="J540" s="6" t="s">
        <v>2891</v>
      </c>
      <c r="K540" s="7">
        <f t="shared" si="2"/>
        <v>0.1445006637</v>
      </c>
    </row>
    <row r="541">
      <c r="A541" s="4">
        <v>541.0</v>
      </c>
      <c r="B541" s="5" t="s">
        <v>2892</v>
      </c>
      <c r="C541" s="5" t="s">
        <v>2893</v>
      </c>
      <c r="D541" s="5" t="s">
        <v>2894</v>
      </c>
      <c r="E541" s="6" t="s">
        <v>74</v>
      </c>
      <c r="F541" s="6" t="s">
        <v>2895</v>
      </c>
      <c r="G541" s="3" t="str">
        <f>IFERROR(__xludf.DUMMYFUNCTION("REGEXREPLACE(
D541,
""([一-龯々]+)\[([^\]]+)\]"",
""&lt;ruby&gt;$1&lt;rt&gt;$2&lt;/rt&gt;&lt;/ruby&gt;""
)&amp;""&lt;br&gt;&lt;div class=""""audio""""&gt;[sound:""&amp;C541&amp;"".mp3]&lt;/div&gt;"""),"&lt;ruby&gt;電気&lt;rt&gt;でんき&lt;/rt&gt;&lt;/ruby&gt;&lt;br&gt;&lt;div class=""audio""&gt;[sound:でんき.mp3]&lt;/div&gt;")</f>
        <v>&lt;ruby&gt;電気&lt;rt&gt;でんき&lt;/rt&gt;&lt;/ruby&gt;&lt;br&gt;&lt;div class="audio"&gt;[sound:でんき.mp3]&lt;/div&gt;</v>
      </c>
      <c r="H541" s="3" t="str">
        <f t="shared" si="1"/>
        <v>(n): điện</v>
      </c>
      <c r="I541" s="6" t="s">
        <v>2896</v>
      </c>
      <c r="J541" s="6" t="s">
        <v>2897</v>
      </c>
      <c r="K541" s="7">
        <f t="shared" si="2"/>
        <v>0.9521077081</v>
      </c>
    </row>
    <row r="542">
      <c r="A542" s="4">
        <v>542.0</v>
      </c>
      <c r="B542" s="5" t="s">
        <v>2898</v>
      </c>
      <c r="C542" s="5" t="s">
        <v>2899</v>
      </c>
      <c r="D542" s="5" t="s">
        <v>2900</v>
      </c>
      <c r="E542" s="6" t="s">
        <v>74</v>
      </c>
      <c r="F542" s="6" t="s">
        <v>2075</v>
      </c>
      <c r="G542" s="3" t="str">
        <f>IFERROR(__xludf.DUMMYFUNCTION("REGEXREPLACE(
D542,
""([一-龯々]+)\[([^\]]+)\]"",
""&lt;ruby&gt;$1&lt;rt&gt;$2&lt;/rt&gt;&lt;/ruby&gt;""
)&amp;""&lt;br&gt;&lt;div class=""""audio""""&gt;[sound:""&amp;C542&amp;"".mp3]&lt;/div&gt;"""),"&lt;ruby&gt;建物&lt;rt&gt;たてもの&lt;/rt&gt;&lt;/ruby&gt;&lt;br&gt;&lt;div class=""audio""&gt;[sound:たてもの.mp3]&lt;/div&gt;")</f>
        <v>&lt;ruby&gt;建物&lt;rt&gt;たてもの&lt;/rt&gt;&lt;/ruby&gt;&lt;br&gt;&lt;div class="audio"&gt;[sound:たてもの.mp3]&lt;/div&gt;</v>
      </c>
      <c r="H542" s="3" t="str">
        <f t="shared" si="1"/>
        <v>(n): tòa nhà</v>
      </c>
      <c r="I542" s="6" t="s">
        <v>2901</v>
      </c>
      <c r="J542" s="6" t="s">
        <v>2902</v>
      </c>
      <c r="K542" s="7">
        <f t="shared" si="2"/>
        <v>0.450345544</v>
      </c>
    </row>
    <row r="543">
      <c r="A543" s="4">
        <v>543.0</v>
      </c>
      <c r="B543" s="5" t="s">
        <v>2903</v>
      </c>
      <c r="C543" s="5" t="s">
        <v>2904</v>
      </c>
      <c r="D543" s="5" t="s">
        <v>2905</v>
      </c>
      <c r="E543" s="6" t="s">
        <v>74</v>
      </c>
      <c r="F543" s="6" t="s">
        <v>2906</v>
      </c>
      <c r="G543" s="3" t="str">
        <f>IFERROR(__xludf.DUMMYFUNCTION("REGEXREPLACE(
D543,
""([一-龯々]+)\[([^\]]+)\]"",
""&lt;ruby&gt;$1&lt;rt&gt;$2&lt;/rt&gt;&lt;/ruby&gt;""
)&amp;""&lt;br&gt;&lt;div class=""""audio""""&gt;[sound:""&amp;C543&amp;"".mp3]&lt;/div&gt;"""),"&lt;ruby&gt;薬&lt;rt&gt;くすり&lt;/rt&gt;&lt;/ruby&gt;&lt;br&gt;&lt;div class=""audio""&gt;[sound:くすり.mp3]&lt;/div&gt;")</f>
        <v>&lt;ruby&gt;薬&lt;rt&gt;くすり&lt;/rt&gt;&lt;/ruby&gt;&lt;br&gt;&lt;div class="audio"&gt;[sound:くすり.mp3]&lt;/div&gt;</v>
      </c>
      <c r="H543" s="3" t="str">
        <f t="shared" si="1"/>
        <v>(n): thuốc</v>
      </c>
      <c r="I543" s="6" t="s">
        <v>2907</v>
      </c>
      <c r="J543" s="6" t="s">
        <v>2908</v>
      </c>
      <c r="K543" s="7">
        <f t="shared" si="2"/>
        <v>0.5123851183</v>
      </c>
    </row>
    <row r="544">
      <c r="A544" s="4">
        <v>544.0</v>
      </c>
      <c r="B544" s="5" t="s">
        <v>2909</v>
      </c>
      <c r="C544" s="5" t="s">
        <v>2910</v>
      </c>
      <c r="D544" s="5" t="s">
        <v>2911</v>
      </c>
      <c r="E544" s="6" t="s">
        <v>74</v>
      </c>
      <c r="F544" s="6" t="s">
        <v>2912</v>
      </c>
      <c r="G544" s="3" t="str">
        <f>IFERROR(__xludf.DUMMYFUNCTION("REGEXREPLACE(
D544,
""([一-龯々]+)\[([^\]]+)\]"",
""&lt;ruby&gt;$1&lt;rt&gt;$2&lt;/rt&gt;&lt;/ruby&gt;""
)&amp;""&lt;br&gt;&lt;div class=""""audio""""&gt;[sound:""&amp;C544&amp;"".mp3]&lt;/div&gt;"""),"&lt;ruby&gt;色&lt;rt&gt;いろ&lt;/rt&gt;&lt;/ruby&gt;&lt;br&gt;&lt;div class=""audio""&gt;[sound:いろ.mp3]&lt;/div&gt;")</f>
        <v>&lt;ruby&gt;色&lt;rt&gt;いろ&lt;/rt&gt;&lt;/ruby&gt;&lt;br&gt;&lt;div class="audio"&gt;[sound:いろ.mp3]&lt;/div&gt;</v>
      </c>
      <c r="H544" s="3" t="str">
        <f t="shared" si="1"/>
        <v>(n): màu</v>
      </c>
      <c r="I544" s="6" t="s">
        <v>2913</v>
      </c>
      <c r="J544" s="6" t="s">
        <v>2914</v>
      </c>
      <c r="K544" s="7">
        <f t="shared" si="2"/>
        <v>0.5230447595</v>
      </c>
    </row>
    <row r="545">
      <c r="A545" s="4">
        <v>545.0</v>
      </c>
      <c r="B545" s="5" t="s">
        <v>2915</v>
      </c>
      <c r="C545" s="5" t="s">
        <v>351</v>
      </c>
      <c r="D545" s="5" t="s">
        <v>2916</v>
      </c>
      <c r="E545" s="6" t="s">
        <v>24</v>
      </c>
      <c r="F545" s="6" t="s">
        <v>2917</v>
      </c>
      <c r="G545" s="3" t="str">
        <f>IFERROR(__xludf.DUMMYFUNCTION("REGEXREPLACE(
D545,
""([一-龯々]+)\[([^\]]+)\]"",
""&lt;ruby&gt;$1&lt;rt&gt;$2&lt;/rt&gt;&lt;/ruby&gt;""
)&amp;""&lt;br&gt;&lt;div class=""""audio""""&gt;[sound:""&amp;C545&amp;"".mp3]&lt;/div&gt;"""),"&lt;ruby&gt;着&lt;rt&gt;つ&lt;/rt&gt;&lt;/ruby&gt;ける&lt;br&gt;&lt;div class=""audio""&gt;[sound:つける.mp3]&lt;/div&gt;")</f>
        <v>&lt;ruby&gt;着&lt;rt&gt;つ&lt;/rt&gt;&lt;/ruby&gt;ける&lt;br&gt;&lt;div class="audio"&gt;[sound:つける.mp3]&lt;/div&gt;</v>
      </c>
      <c r="H545" s="3" t="str">
        <f t="shared" si="1"/>
        <v>(v): đeo</v>
      </c>
      <c r="I545" s="6" t="s">
        <v>2918</v>
      </c>
      <c r="J545" s="6" t="s">
        <v>2919</v>
      </c>
      <c r="K545" s="7">
        <f t="shared" si="2"/>
        <v>0.02820168353</v>
      </c>
    </row>
    <row r="546">
      <c r="A546" s="4">
        <v>546.0</v>
      </c>
      <c r="B546" s="5" t="s">
        <v>2920</v>
      </c>
      <c r="C546" s="5" t="s">
        <v>2921</v>
      </c>
      <c r="D546" s="5" t="s">
        <v>2922</v>
      </c>
      <c r="E546" s="6" t="s">
        <v>11</v>
      </c>
      <c r="F546" s="6" t="s">
        <v>2923</v>
      </c>
      <c r="G546" s="3" t="str">
        <f>IFERROR(__xludf.DUMMYFUNCTION("REGEXREPLACE(
D546,
""([一-龯々]+)\[([^\]]+)\]"",
""&lt;ruby&gt;$1&lt;rt&gt;$2&lt;/rt&gt;&lt;/ruby&gt;""
)&amp;""&lt;br&gt;&lt;div class=""""audio""""&gt;[sound:""&amp;C546&amp;"".mp3]&lt;/div&gt;"""),"&lt;ruby&gt;若&lt;rt&gt;わか&lt;/rt&gt;&lt;/ruby&gt;い&lt;br&gt;&lt;div class=""audio""&gt;[sound:わかい.mp3]&lt;/div&gt;")</f>
        <v>&lt;ruby&gt;若&lt;rt&gt;わか&lt;/rt&gt;&lt;/ruby&gt;い&lt;br&gt;&lt;div class="audio"&gt;[sound:わかい.mp3]&lt;/div&gt;</v>
      </c>
      <c r="H546" s="3" t="str">
        <f t="shared" si="1"/>
        <v>(adj): trẻ</v>
      </c>
      <c r="I546" s="6" t="s">
        <v>2924</v>
      </c>
      <c r="J546" s="6" t="s">
        <v>2925</v>
      </c>
      <c r="K546" s="7">
        <f t="shared" si="2"/>
        <v>0.339548542</v>
      </c>
    </row>
    <row r="547">
      <c r="A547" s="4">
        <v>547.0</v>
      </c>
      <c r="B547" s="5" t="s">
        <v>2926</v>
      </c>
      <c r="C547" s="5" t="s">
        <v>2927</v>
      </c>
      <c r="D547" s="5" t="s">
        <v>2928</v>
      </c>
      <c r="E547" s="6" t="s">
        <v>11</v>
      </c>
      <c r="F547" s="6" t="s">
        <v>2929</v>
      </c>
      <c r="G547" s="3" t="str">
        <f>IFERROR(__xludf.DUMMYFUNCTION("REGEXREPLACE(
D547,
""([一-龯々]+)\[([^\]]+)\]"",
""&lt;ruby&gt;$1&lt;rt&gt;$2&lt;/rt&gt;&lt;/ruby&gt;""
)&amp;""&lt;br&gt;&lt;div class=""""audio""""&gt;[sound:""&amp;C547&amp;"".mp3]&lt;/div&gt;"""),"&lt;ruby&gt;弱&lt;rt&gt;よわ&lt;/rt&gt;&lt;/ruby&gt;い&lt;br&gt;&lt;div class=""audio""&gt;[sound:よわい.mp3]&lt;/div&gt;")</f>
        <v>&lt;ruby&gt;弱&lt;rt&gt;よわ&lt;/rt&gt;&lt;/ruby&gt;い&lt;br&gt;&lt;div class="audio"&gt;[sound:よわい.mp3]&lt;/div&gt;</v>
      </c>
      <c r="H547" s="3" t="str">
        <f t="shared" si="1"/>
        <v>(adj): yếu</v>
      </c>
      <c r="I547" s="6" t="s">
        <v>2930</v>
      </c>
      <c r="J547" s="6" t="s">
        <v>2931</v>
      </c>
      <c r="K547" s="7">
        <f t="shared" si="2"/>
        <v>0.09835998109</v>
      </c>
    </row>
    <row r="548">
      <c r="A548" s="4">
        <v>548.0</v>
      </c>
      <c r="B548" s="5" t="s">
        <v>2932</v>
      </c>
      <c r="C548" s="5" t="s">
        <v>2933</v>
      </c>
      <c r="D548" s="5" t="s">
        <v>2932</v>
      </c>
      <c r="E548" s="6" t="s">
        <v>74</v>
      </c>
      <c r="F548" s="6" t="s">
        <v>2934</v>
      </c>
      <c r="G548" s="3" t="str">
        <f>IFERROR(__xludf.DUMMYFUNCTION("REGEXREPLACE(
D548,
""([一-龯々]+)\[([^\]]+)\]"",
""&lt;ruby&gt;$1&lt;rt&gt;$2&lt;/rt&gt;&lt;/ruby&gt;""
)&amp;""&lt;br&gt;&lt;div class=""""audio""""&gt;[sound:""&amp;C548&amp;"".mp3]&lt;/div&gt;"""),"パーティー&lt;br&gt;&lt;div class=""audio""&gt;[sound:ぱーてぃー.mp3]&lt;/div&gt;")</f>
        <v>パーティー&lt;br&gt;&lt;div class="audio"&gt;[sound:ぱーてぃー.mp3]&lt;/div&gt;</v>
      </c>
      <c r="H548" s="3" t="str">
        <f t="shared" si="1"/>
        <v>(n): tiệc</v>
      </c>
      <c r="I548" s="6" t="s">
        <v>2935</v>
      </c>
      <c r="J548" s="6" t="s">
        <v>2936</v>
      </c>
      <c r="K548" s="7">
        <f t="shared" si="2"/>
        <v>0.607713519</v>
      </c>
    </row>
    <row r="549">
      <c r="A549" s="4">
        <v>549.0</v>
      </c>
      <c r="B549" s="5" t="s">
        <v>2937</v>
      </c>
      <c r="C549" s="5" t="s">
        <v>1649</v>
      </c>
      <c r="D549" s="5" t="s">
        <v>2938</v>
      </c>
      <c r="E549" s="6" t="s">
        <v>24</v>
      </c>
      <c r="F549" s="6" t="s">
        <v>2939</v>
      </c>
      <c r="G549" s="3" t="str">
        <f>IFERROR(__xludf.DUMMYFUNCTION("REGEXREPLACE(
D549,
""([一-龯々]+)\[([^\]]+)\]"",
""&lt;ruby&gt;$1&lt;rt&gt;$2&lt;/rt&gt;&lt;/ruby&gt;""
)&amp;""&lt;br&gt;&lt;div class=""""audio""""&gt;[sound:""&amp;C549&amp;"".mp3]&lt;/div&gt;"""),"&lt;ruby&gt;建&lt;rt&gt;た&lt;/rt&gt;&lt;/ruby&gt;てる&lt;br&gt;&lt;div class=""audio""&gt;[sound:たてる.mp3]&lt;/div&gt;")</f>
        <v>&lt;ruby&gt;建&lt;rt&gt;た&lt;/rt&gt;&lt;/ruby&gt;てる&lt;br&gt;&lt;div class="audio"&gt;[sound:たてる.mp3]&lt;/div&gt;</v>
      </c>
      <c r="H549" s="3" t="str">
        <f t="shared" si="1"/>
        <v>(v): xây dựng</v>
      </c>
      <c r="I549" s="6" t="s">
        <v>2940</v>
      </c>
      <c r="J549" s="6" t="s">
        <v>2941</v>
      </c>
      <c r="K549" s="7">
        <f t="shared" si="2"/>
        <v>0.6150821682</v>
      </c>
    </row>
    <row r="550">
      <c r="A550" s="4">
        <v>550.0</v>
      </c>
      <c r="B550" s="5" t="s">
        <v>2942</v>
      </c>
      <c r="C550" s="5" t="s">
        <v>2943</v>
      </c>
      <c r="D550" s="5" t="s">
        <v>2944</v>
      </c>
      <c r="E550" s="6" t="s">
        <v>24</v>
      </c>
      <c r="F550" s="6" t="s">
        <v>2945</v>
      </c>
      <c r="G550" s="3" t="str">
        <f>IFERROR(__xludf.DUMMYFUNCTION("REGEXREPLACE(
D550,
""([一-龯々]+)\[([^\]]+)\]"",
""&lt;ruby&gt;$1&lt;rt&gt;$2&lt;/rt&gt;&lt;/ruby&gt;""
)&amp;""&lt;br&gt;&lt;div class=""""audio""""&gt;[sound:""&amp;C550&amp;"".mp3]&lt;/div&gt;"""),"&lt;ruby&gt;振&lt;rt&gt;ふ&lt;/rt&gt;&lt;/ruby&gt;る&lt;br&gt;&lt;div class=""audio""&gt;[sound:ふる.mp3]&lt;/div&gt;")</f>
        <v>&lt;ruby&gt;振&lt;rt&gt;ふ&lt;/rt&gt;&lt;/ruby&gt;る&lt;br&gt;&lt;div class="audio"&gt;[sound:ふる.mp3]&lt;/div&gt;</v>
      </c>
      <c r="H550" s="3" t="str">
        <f t="shared" si="1"/>
        <v>(v): vẫy</v>
      </c>
      <c r="I550" s="6" t="s">
        <v>2946</v>
      </c>
      <c r="J550" s="6" t="s">
        <v>2947</v>
      </c>
      <c r="K550" s="7">
        <f t="shared" si="2"/>
        <v>0.5851252799</v>
      </c>
    </row>
    <row r="551">
      <c r="A551" s="4">
        <v>551.0</v>
      </c>
      <c r="B551" s="5" t="s">
        <v>2948</v>
      </c>
      <c r="C551" s="5" t="s">
        <v>2949</v>
      </c>
      <c r="D551" s="5" t="s">
        <v>2950</v>
      </c>
      <c r="E551" s="6" t="s">
        <v>24</v>
      </c>
      <c r="F551" s="6" t="s">
        <v>1497</v>
      </c>
      <c r="G551" s="3" t="str">
        <f>IFERROR(__xludf.DUMMYFUNCTION("REGEXREPLACE(
D551,
""([一-龯々]+)\[([^\]]+)\]"",
""&lt;ruby&gt;$1&lt;rt&gt;$2&lt;/rt&gt;&lt;/ruby&gt;""
)&amp;""&lt;br&gt;&lt;div class=""""audio""""&gt;[sound:""&amp;C551&amp;"".mp3]&lt;/div&gt;"""),"&lt;ruby&gt;開&lt;rt&gt;あ&lt;/rt&gt;&lt;/ruby&gt;ける&lt;br&gt;&lt;div class=""audio""&gt;[sound:あける.mp3]&lt;/div&gt;")</f>
        <v>&lt;ruby&gt;開&lt;rt&gt;あ&lt;/rt&gt;&lt;/ruby&gt;ける&lt;br&gt;&lt;div class="audio"&gt;[sound:あける.mp3]&lt;/div&gt;</v>
      </c>
      <c r="H551" s="3" t="str">
        <f t="shared" si="1"/>
        <v>(v): mở</v>
      </c>
      <c r="I551" s="6" t="s">
        <v>2951</v>
      </c>
      <c r="J551" s="6" t="s">
        <v>2952</v>
      </c>
      <c r="K551" s="7">
        <f t="shared" si="2"/>
        <v>0.2988412888</v>
      </c>
    </row>
    <row r="552">
      <c r="A552" s="4">
        <v>552.0</v>
      </c>
      <c r="B552" s="5" t="s">
        <v>2953</v>
      </c>
      <c r="C552" s="5" t="s">
        <v>2954</v>
      </c>
      <c r="D552" s="5" t="s">
        <v>2955</v>
      </c>
      <c r="E552" s="6" t="s">
        <v>24</v>
      </c>
      <c r="F552" s="6" t="s">
        <v>2956</v>
      </c>
      <c r="G552" s="3" t="str">
        <f>IFERROR(__xludf.DUMMYFUNCTION("REGEXREPLACE(
D552,
""([一-龯々]+)\[([^\]]+)\]"",
""&lt;ruby&gt;$1&lt;rt&gt;$2&lt;/rt&gt;&lt;/ruby&gt;""
)&amp;""&lt;br&gt;&lt;div class=""""audio""""&gt;[sound:""&amp;C552&amp;"".mp3]&lt;/div&gt;"""),"&lt;ruby&gt;保&lt;rt&gt;たも&lt;/rt&gt;&lt;/ruby&gt;つ&lt;br&gt;&lt;div class=""audio""&gt;[sound:たもつ.mp3]&lt;/div&gt;")</f>
        <v>&lt;ruby&gt;保&lt;rt&gt;たも&lt;/rt&gt;&lt;/ruby&gt;つ&lt;br&gt;&lt;div class="audio"&gt;[sound:たもつ.mp3]&lt;/div&gt;</v>
      </c>
      <c r="H552" s="3" t="str">
        <f t="shared" si="1"/>
        <v>(v): giữ vững</v>
      </c>
      <c r="I552" s="6" t="s">
        <v>2957</v>
      </c>
      <c r="J552" s="6" t="s">
        <v>2958</v>
      </c>
      <c r="K552" s="7">
        <f t="shared" si="2"/>
        <v>0.574865117</v>
      </c>
    </row>
    <row r="553">
      <c r="A553" s="4">
        <v>553.0</v>
      </c>
      <c r="B553" s="5" t="s">
        <v>2959</v>
      </c>
      <c r="C553" s="5" t="s">
        <v>2960</v>
      </c>
      <c r="D553" s="5" t="s">
        <v>2961</v>
      </c>
      <c r="E553" s="6" t="s">
        <v>74</v>
      </c>
      <c r="F553" s="6" t="s">
        <v>2962</v>
      </c>
      <c r="G553" s="3" t="str">
        <f>IFERROR(__xludf.DUMMYFUNCTION("REGEXREPLACE(
D553,
""([一-龯々]+)\[([^\]]+)\]"",
""&lt;ruby&gt;$1&lt;rt&gt;$2&lt;/rt&gt;&lt;/ruby&gt;""
)&amp;""&lt;br&gt;&lt;div class=""""audio""""&gt;[sound:""&amp;C553&amp;"".mp3]&lt;/div&gt;"""),"&lt;ruby&gt;政策&lt;rt&gt;せいさく&lt;/rt&gt;&lt;/ruby&gt;&lt;br&gt;&lt;div class=""audio""&gt;[sound:せいさく.mp3]&lt;/div&gt;")</f>
        <v>&lt;ruby&gt;政策&lt;rt&gt;せいさく&lt;/rt&gt;&lt;/ruby&gt;&lt;br&gt;&lt;div class="audio"&gt;[sound:せいさく.mp3]&lt;/div&gt;</v>
      </c>
      <c r="H553" s="3" t="str">
        <f t="shared" si="1"/>
        <v>(n): chính sách</v>
      </c>
      <c r="I553" s="6" t="s">
        <v>2963</v>
      </c>
      <c r="J553" s="6" t="s">
        <v>2964</v>
      </c>
      <c r="K553" s="7">
        <f t="shared" si="2"/>
        <v>0.7585831811</v>
      </c>
    </row>
    <row r="554">
      <c r="A554" s="4">
        <v>554.0</v>
      </c>
      <c r="B554" s="5" t="s">
        <v>2965</v>
      </c>
      <c r="C554" s="5" t="s">
        <v>2966</v>
      </c>
      <c r="D554" s="5" t="s">
        <v>2967</v>
      </c>
      <c r="E554" s="6" t="s">
        <v>74</v>
      </c>
      <c r="F554" s="6" t="s">
        <v>2968</v>
      </c>
      <c r="G554" s="3" t="str">
        <f>IFERROR(__xludf.DUMMYFUNCTION("REGEXREPLACE(
D554,
""([一-龯々]+)\[([^\]]+)\]"",
""&lt;ruby&gt;$1&lt;rt&gt;$2&lt;/rt&gt;&lt;/ruby&gt;""
)&amp;""&lt;br&gt;&lt;div class=""""audio""""&gt;[sound:""&amp;C554&amp;"".mp3]&lt;/div&gt;"""),"&lt;ruby&gt;実践&lt;rt&gt;じっせん&lt;/rt&gt;&lt;/ruby&gt;&lt;br&gt;&lt;div class=""audio""&gt;[sound:じっせん.mp3]&lt;/div&gt;")</f>
        <v>&lt;ruby&gt;実践&lt;rt&gt;じっせん&lt;/rt&gt;&lt;/ruby&gt;&lt;br&gt;&lt;div class="audio"&gt;[sound:じっせん.mp3]&lt;/div&gt;</v>
      </c>
      <c r="H554" s="3" t="str">
        <f t="shared" si="1"/>
        <v>(n): thực tiễn</v>
      </c>
      <c r="I554" s="6" t="s">
        <v>2969</v>
      </c>
      <c r="J554" s="6" t="s">
        <v>2970</v>
      </c>
      <c r="K554" s="7">
        <f t="shared" si="2"/>
        <v>0.8052878585</v>
      </c>
    </row>
    <row r="555">
      <c r="A555" s="4">
        <v>555.0</v>
      </c>
      <c r="B555" s="5" t="s">
        <v>2971</v>
      </c>
      <c r="C555" s="5" t="s">
        <v>2972</v>
      </c>
      <c r="D555" s="5" t="s">
        <v>2973</v>
      </c>
      <c r="E555" s="6" t="s">
        <v>74</v>
      </c>
      <c r="F555" s="6" t="s">
        <v>2974</v>
      </c>
      <c r="G555" s="3" t="str">
        <f>IFERROR(__xludf.DUMMYFUNCTION("REGEXREPLACE(
D555,
""([一-龯々]+)\[([^\]]+)\]"",
""&lt;ruby&gt;$1&lt;rt&gt;$2&lt;/rt&gt;&lt;/ruby&gt;""
)&amp;""&lt;br&gt;&lt;div class=""""audio""""&gt;[sound:""&amp;C555&amp;"".mp3]&lt;/div&gt;"""),"&lt;ruby&gt;周囲&lt;rt&gt;しゅうい&lt;/rt&gt;&lt;/ruby&gt;&lt;br&gt;&lt;div class=""audio""&gt;[sound:しゅうい.mp3]&lt;/div&gt;")</f>
        <v>&lt;ruby&gt;周囲&lt;rt&gt;しゅうい&lt;/rt&gt;&lt;/ruby&gt;&lt;br&gt;&lt;div class="audio"&gt;[sound:しゅうい.mp3]&lt;/div&gt;</v>
      </c>
      <c r="H555" s="3" t="str">
        <f t="shared" si="1"/>
        <v>(n): chu vi</v>
      </c>
      <c r="I555" s="6" t="s">
        <v>2975</v>
      </c>
      <c r="J555" s="6" t="s">
        <v>2976</v>
      </c>
      <c r="K555" s="7">
        <f t="shared" si="2"/>
        <v>0.9102922304</v>
      </c>
    </row>
    <row r="556">
      <c r="A556" s="4">
        <v>556.0</v>
      </c>
      <c r="B556" s="5" t="s">
        <v>2977</v>
      </c>
      <c r="C556" s="5" t="s">
        <v>2978</v>
      </c>
      <c r="D556" s="5" t="s">
        <v>2979</v>
      </c>
      <c r="E556" s="6" t="s">
        <v>74</v>
      </c>
      <c r="F556" s="6" t="s">
        <v>2980</v>
      </c>
      <c r="G556" s="3" t="str">
        <f>IFERROR(__xludf.DUMMYFUNCTION("REGEXREPLACE(
D556,
""([一-龯々]+)\[([^\]]+)\]"",
""&lt;ruby&gt;$1&lt;rt&gt;$2&lt;/rt&gt;&lt;/ruby&gt;""
)&amp;""&lt;br&gt;&lt;div class=""""audio""""&gt;[sound:""&amp;C556&amp;"".mp3]&lt;/div&gt;"""),"&lt;ruby&gt;政府&lt;rt&gt;せいふ&lt;/rt&gt;&lt;/ruby&gt;&lt;br&gt;&lt;div class=""audio""&gt;[sound:せいふ.mp3]&lt;/div&gt;")</f>
        <v>&lt;ruby&gt;政府&lt;rt&gt;せいふ&lt;/rt&gt;&lt;/ruby&gt;&lt;br&gt;&lt;div class="audio"&gt;[sound:せいふ.mp3]&lt;/div&gt;</v>
      </c>
      <c r="H556" s="3" t="str">
        <f t="shared" si="1"/>
        <v>(n): chính phủ</v>
      </c>
      <c r="I556" s="6" t="s">
        <v>2981</v>
      </c>
      <c r="J556" s="6" t="s">
        <v>2982</v>
      </c>
      <c r="K556" s="7">
        <f t="shared" si="2"/>
        <v>0.01539869233</v>
      </c>
    </row>
    <row r="557">
      <c r="A557" s="4">
        <v>557.0</v>
      </c>
      <c r="B557" s="5" t="s">
        <v>2983</v>
      </c>
      <c r="C557" s="5" t="s">
        <v>2984</v>
      </c>
      <c r="D557" s="5" t="s">
        <v>2985</v>
      </c>
      <c r="E557" s="6" t="s">
        <v>74</v>
      </c>
      <c r="F557" s="6" t="s">
        <v>2986</v>
      </c>
      <c r="G557" s="3" t="str">
        <f>IFERROR(__xludf.DUMMYFUNCTION("REGEXREPLACE(
D557,
""([一-龯々]+)\[([^\]]+)\]"",
""&lt;ruby&gt;$1&lt;rt&gt;$2&lt;/rt&gt;&lt;/ruby&gt;""
)&amp;""&lt;br&gt;&lt;div class=""""audio""""&gt;[sound:""&amp;C557&amp;"".mp3]&lt;/div&gt;"""),"&lt;ruby&gt;昨日&lt;rt&gt;きのう&lt;/rt&gt;&lt;/ruby&gt;&lt;br&gt;&lt;div class=""audio""&gt;[sound:きのう.mp3]&lt;/div&gt;")</f>
        <v>&lt;ruby&gt;昨日&lt;rt&gt;きのう&lt;/rt&gt;&lt;/ruby&gt;&lt;br&gt;&lt;div class="audio"&gt;[sound:きのう.mp3]&lt;/div&gt;</v>
      </c>
      <c r="H557" s="3" t="str">
        <f t="shared" si="1"/>
        <v>(n): hôm qua</v>
      </c>
      <c r="I557" s="6" t="s">
        <v>2987</v>
      </c>
      <c r="J557" s="6" t="s">
        <v>2988</v>
      </c>
      <c r="K557" s="7">
        <f t="shared" si="2"/>
        <v>0.2853909371</v>
      </c>
    </row>
    <row r="558">
      <c r="A558" s="4">
        <v>558.0</v>
      </c>
      <c r="B558" s="5" t="s">
        <v>2989</v>
      </c>
      <c r="C558" s="5" t="s">
        <v>2990</v>
      </c>
      <c r="D558" s="5" t="s">
        <v>2991</v>
      </c>
      <c r="E558" s="6" t="s">
        <v>24</v>
      </c>
      <c r="F558" s="6" t="s">
        <v>2992</v>
      </c>
      <c r="G558" s="3" t="str">
        <f>IFERROR(__xludf.DUMMYFUNCTION("REGEXREPLACE(
D558,
""([一-龯々]+)\[([^\]]+)\]"",
""&lt;ruby&gt;$1&lt;rt&gt;$2&lt;/rt&gt;&lt;/ruby&gt;""
)&amp;""&lt;br&gt;&lt;div class=""""audio""""&gt;[sound:""&amp;C558&amp;"".mp3]&lt;/div&gt;"""),"&lt;ruby&gt;取&lt;rt&gt;と&lt;/rt&gt;&lt;/ruby&gt;り&lt;ruby&gt;入&lt;rt&gt;い&lt;/rt&gt;&lt;/ruby&gt;れる&lt;br&gt;&lt;div class=""audio""&gt;[sound:とりいれる.mp3]&lt;/div&gt;")</f>
        <v>&lt;ruby&gt;取&lt;rt&gt;と&lt;/rt&gt;&lt;/ruby&gt;り&lt;ruby&gt;入&lt;rt&gt;い&lt;/rt&gt;&lt;/ruby&gt;れる&lt;br&gt;&lt;div class="audio"&gt;[sound:とりいれる.mp3]&lt;/div&gt;</v>
      </c>
      <c r="H558" s="3" t="str">
        <f t="shared" si="1"/>
        <v>(v): áp dụng</v>
      </c>
      <c r="I558" s="6" t="s">
        <v>2993</v>
      </c>
      <c r="J558" s="6" t="s">
        <v>2994</v>
      </c>
      <c r="K558" s="7">
        <f t="shared" si="2"/>
        <v>0.6656412472</v>
      </c>
    </row>
    <row r="559">
      <c r="A559" s="4">
        <v>559.0</v>
      </c>
      <c r="B559" s="5" t="s">
        <v>2995</v>
      </c>
      <c r="C559" s="5" t="s">
        <v>2996</v>
      </c>
      <c r="D559" s="5" t="s">
        <v>2997</v>
      </c>
      <c r="E559" s="6" t="s">
        <v>74</v>
      </c>
      <c r="F559" s="6" t="s">
        <v>2998</v>
      </c>
      <c r="G559" s="3" t="str">
        <f>IFERROR(__xludf.DUMMYFUNCTION("REGEXREPLACE(
D559,
""([一-龯々]+)\[([^\]]+)\]"",
""&lt;ruby&gt;$1&lt;rt&gt;$2&lt;/rt&gt;&lt;/ruby&gt;""
)&amp;""&lt;br&gt;&lt;div class=""""audio""""&gt;[sound:""&amp;C559&amp;"".mp3]&lt;/div&gt;"""),"&lt;ruby&gt;妻&lt;rt&gt;つま&lt;/rt&gt;&lt;/ruby&gt;&lt;br&gt;&lt;div class=""audio""&gt;[sound:つま.mp3]&lt;/div&gt;")</f>
        <v>&lt;ruby&gt;妻&lt;rt&gt;つま&lt;/rt&gt;&lt;/ruby&gt;&lt;br&gt;&lt;div class="audio"&gt;[sound:つま.mp3]&lt;/div&gt;</v>
      </c>
      <c r="H559" s="3" t="str">
        <f t="shared" si="1"/>
        <v>(n): vợ</v>
      </c>
      <c r="I559" s="6" t="s">
        <v>2999</v>
      </c>
      <c r="J559" s="6" t="s">
        <v>3000</v>
      </c>
      <c r="K559" s="7">
        <f t="shared" si="2"/>
        <v>0.02912786751</v>
      </c>
    </row>
    <row r="560">
      <c r="A560" s="4">
        <v>560.0</v>
      </c>
      <c r="B560" s="5" t="s">
        <v>3001</v>
      </c>
      <c r="C560" s="5" t="s">
        <v>3002</v>
      </c>
      <c r="D560" s="5" t="s">
        <v>3003</v>
      </c>
      <c r="E560" s="6" t="s">
        <v>24</v>
      </c>
      <c r="F560" s="6" t="s">
        <v>3004</v>
      </c>
      <c r="G560" s="3" t="str">
        <f>IFERROR(__xludf.DUMMYFUNCTION("REGEXREPLACE(
D560,
""([一-龯々]+)\[([^\]]+)\]"",
""&lt;ruby&gt;$1&lt;rt&gt;$2&lt;/rt&gt;&lt;/ruby&gt;""
)&amp;""&lt;br&gt;&lt;div class=""""audio""""&gt;[sound:""&amp;C560&amp;"".mp3]&lt;/div&gt;"""),"&lt;ruby&gt;学&lt;rt&gt;まな&lt;/rt&gt;&lt;/ruby&gt;ぶ&lt;br&gt;&lt;div class=""audio""&gt;[sound:まなぶ.mp3]&lt;/div&gt;")</f>
        <v>&lt;ruby&gt;学&lt;rt&gt;まな&lt;/rt&gt;&lt;/ruby&gt;ぶ&lt;br&gt;&lt;div class="audio"&gt;[sound:まなぶ.mp3]&lt;/div&gt;</v>
      </c>
      <c r="H560" s="3" t="str">
        <f t="shared" si="1"/>
        <v>(v): học</v>
      </c>
      <c r="I560" s="6" t="s">
        <v>3005</v>
      </c>
      <c r="J560" s="6" t="s">
        <v>3006</v>
      </c>
      <c r="K560" s="7">
        <f t="shared" si="2"/>
        <v>0.6869705697</v>
      </c>
    </row>
    <row r="561">
      <c r="A561" s="4">
        <v>561.0</v>
      </c>
      <c r="B561" s="5" t="s">
        <v>3007</v>
      </c>
      <c r="C561" s="5" t="s">
        <v>3008</v>
      </c>
      <c r="D561" s="5" t="s">
        <v>3009</v>
      </c>
      <c r="E561" s="6" t="s">
        <v>74</v>
      </c>
      <c r="F561" s="6" t="s">
        <v>3010</v>
      </c>
      <c r="G561" s="3" t="str">
        <f>IFERROR(__xludf.DUMMYFUNCTION("REGEXREPLACE(
D561,
""([一-龯々]+)\[([^\]]+)\]"",
""&lt;ruby&gt;$1&lt;rt&gt;$2&lt;/rt&gt;&lt;/ruby&gt;""
)&amp;""&lt;br&gt;&lt;div class=""""audio""""&gt;[sound:""&amp;C561&amp;"".mp3]&lt;/div&gt;"""),"&lt;ruby&gt;安定&lt;rt&gt;あんてい&lt;/rt&gt;&lt;/ruby&gt;&lt;br&gt;&lt;div class=""audio""&gt;[sound:あんてい.mp3]&lt;/div&gt;")</f>
        <v>&lt;ruby&gt;安定&lt;rt&gt;あんてい&lt;/rt&gt;&lt;/ruby&gt;&lt;br&gt;&lt;div class="audio"&gt;[sound:あんてい.mp3]&lt;/div&gt;</v>
      </c>
      <c r="H561" s="3" t="str">
        <f t="shared" si="1"/>
        <v>(n): ổn định</v>
      </c>
      <c r="I561" s="6" t="s">
        <v>3011</v>
      </c>
      <c r="J561" s="6" t="s">
        <v>3012</v>
      </c>
      <c r="K561" s="7">
        <f t="shared" si="2"/>
        <v>0.8968493587</v>
      </c>
    </row>
    <row r="562">
      <c r="A562" s="4">
        <v>562.0</v>
      </c>
      <c r="B562" s="5" t="s">
        <v>3013</v>
      </c>
      <c r="C562" s="5" t="s">
        <v>3014</v>
      </c>
      <c r="D562" s="5" t="s">
        <v>3015</v>
      </c>
      <c r="E562" s="6" t="s">
        <v>24</v>
      </c>
      <c r="F562" s="6" t="s">
        <v>3016</v>
      </c>
      <c r="G562" s="3" t="str">
        <f>IFERROR(__xludf.DUMMYFUNCTION("REGEXREPLACE(
D562,
""([一-龯々]+)\[([^\]]+)\]"",
""&lt;ruby&gt;$1&lt;rt&gt;$2&lt;/rt&gt;&lt;/ruby&gt;""
)&amp;""&lt;br&gt;&lt;div class=""""audio""""&gt;[sound:""&amp;C562&amp;"".mp3]&lt;/div&gt;"""),"&lt;ruby&gt;吹&lt;rt&gt;ふ&lt;/rt&gt;&lt;/ruby&gt;く&lt;br&gt;&lt;div class=""audio""&gt;[sound:ふく.mp3]&lt;/div&gt;")</f>
        <v>&lt;ruby&gt;吹&lt;rt&gt;ふ&lt;/rt&gt;&lt;/ruby&gt;く&lt;br&gt;&lt;div class="audio"&gt;[sound:ふく.mp3]&lt;/div&gt;</v>
      </c>
      <c r="H562" s="3" t="str">
        <f t="shared" si="1"/>
        <v>(v): thổi</v>
      </c>
      <c r="I562" s="6" t="s">
        <v>3017</v>
      </c>
      <c r="J562" s="6" t="s">
        <v>3018</v>
      </c>
      <c r="K562" s="7">
        <f t="shared" si="2"/>
        <v>0.8082397743</v>
      </c>
    </row>
    <row r="563">
      <c r="A563" s="4">
        <v>563.0</v>
      </c>
      <c r="B563" s="5" t="s">
        <v>3019</v>
      </c>
      <c r="C563" s="5" t="s">
        <v>3020</v>
      </c>
      <c r="D563" s="5" t="s">
        <v>3021</v>
      </c>
      <c r="E563" s="6" t="s">
        <v>74</v>
      </c>
      <c r="F563" s="6" t="s">
        <v>3022</v>
      </c>
      <c r="G563" s="3" t="str">
        <f>IFERROR(__xludf.DUMMYFUNCTION("REGEXREPLACE(
D563,
""([一-龯々]+)\[([^\]]+)\]"",
""&lt;ruby&gt;$1&lt;rt&gt;$2&lt;/rt&gt;&lt;/ruby&gt;""
)&amp;""&lt;br&gt;&lt;div class=""""audio""""&gt;[sound:""&amp;C563&amp;"".mp3]&lt;/div&gt;"""),"&lt;ruby&gt;字&lt;rt&gt;じ&lt;/rt&gt;&lt;/ruby&gt;&lt;br&gt;&lt;div class=""audio""&gt;[sound:じ.mp3]&lt;/div&gt;")</f>
        <v>&lt;ruby&gt;字&lt;rt&gt;じ&lt;/rt&gt;&lt;/ruby&gt;&lt;br&gt;&lt;div class="audio"&gt;[sound:じ.mp3]&lt;/div&gt;</v>
      </c>
      <c r="H563" s="3" t="str">
        <f t="shared" si="1"/>
        <v>(n): chữ</v>
      </c>
      <c r="I563" s="6" t="s">
        <v>3023</v>
      </c>
      <c r="J563" s="6" t="s">
        <v>3024</v>
      </c>
      <c r="K563" s="7">
        <f t="shared" si="2"/>
        <v>0.4249343791</v>
      </c>
    </row>
    <row r="564">
      <c r="A564" s="4">
        <v>564.0</v>
      </c>
      <c r="B564" s="5" t="s">
        <v>3025</v>
      </c>
      <c r="C564" s="5" t="s">
        <v>3026</v>
      </c>
      <c r="D564" s="5" t="s">
        <v>3027</v>
      </c>
      <c r="E564" s="6" t="s">
        <v>74</v>
      </c>
      <c r="F564" s="6" t="s">
        <v>3028</v>
      </c>
      <c r="G564" s="3" t="str">
        <f>IFERROR(__xludf.DUMMYFUNCTION("REGEXREPLACE(
D564,
""([一-龯々]+)\[([^\]]+)\]"",
""&lt;ruby&gt;$1&lt;rt&gt;$2&lt;/rt&gt;&lt;/ruby&gt;""
)&amp;""&lt;br&gt;&lt;div class=""""audio""""&gt;[sound:""&amp;C564&amp;"".mp3]&lt;/div&gt;"""),"&lt;ruby&gt;料理&lt;rt&gt;りょうり&lt;/rt&gt;&lt;/ruby&gt;&lt;br&gt;&lt;div class=""audio""&gt;[sound:りょうり.mp3]&lt;/div&gt;")</f>
        <v>&lt;ruby&gt;料理&lt;rt&gt;りょうり&lt;/rt&gt;&lt;/ruby&gt;&lt;br&gt;&lt;div class="audio"&gt;[sound:りょうり.mp3]&lt;/div&gt;</v>
      </c>
      <c r="H564" s="3" t="str">
        <f t="shared" si="1"/>
        <v>(n): món ăn</v>
      </c>
      <c r="I564" s="6" t="s">
        <v>3029</v>
      </c>
      <c r="J564" s="6" t="s">
        <v>3030</v>
      </c>
      <c r="K564" s="7">
        <f t="shared" si="2"/>
        <v>0.0805615258</v>
      </c>
    </row>
    <row r="565">
      <c r="A565" s="4">
        <v>565.0</v>
      </c>
      <c r="B565" s="5" t="s">
        <v>3031</v>
      </c>
      <c r="C565" s="5" t="s">
        <v>3032</v>
      </c>
      <c r="D565" s="5" t="s">
        <v>3033</v>
      </c>
      <c r="E565" s="6" t="s">
        <v>74</v>
      </c>
      <c r="F565" s="6" t="s">
        <v>3034</v>
      </c>
      <c r="G565" s="3" t="str">
        <f>IFERROR(__xludf.DUMMYFUNCTION("REGEXREPLACE(
D565,
""([一-龯々]+)\[([^\]]+)\]"",
""&lt;ruby&gt;$1&lt;rt&gt;$2&lt;/rt&gt;&lt;/ruby&gt;""
)&amp;""&lt;br&gt;&lt;div class=""""audio""""&gt;[sound:""&amp;C565&amp;"".mp3]&lt;/div&gt;"""),"&lt;ruby&gt;審査&lt;rt&gt;しんさ&lt;/rt&gt;&lt;/ruby&gt;&lt;br&gt;&lt;div class=""audio""&gt;[sound:しんさ.mp3]&lt;/div&gt;")</f>
        <v>&lt;ruby&gt;審査&lt;rt&gt;しんさ&lt;/rt&gt;&lt;/ruby&gt;&lt;br&gt;&lt;div class="audio"&gt;[sound:しんさ.mp3]&lt;/div&gt;</v>
      </c>
      <c r="H565" s="3" t="str">
        <f t="shared" si="1"/>
        <v>(n): thẩm định</v>
      </c>
      <c r="I565" s="6" t="s">
        <v>3035</v>
      </c>
      <c r="J565" s="6" t="s">
        <v>3036</v>
      </c>
      <c r="K565" s="7">
        <f t="shared" si="2"/>
        <v>0.508398659</v>
      </c>
    </row>
    <row r="566">
      <c r="A566" s="4">
        <v>566.0</v>
      </c>
      <c r="B566" s="5" t="s">
        <v>3037</v>
      </c>
      <c r="C566" s="5" t="s">
        <v>3038</v>
      </c>
      <c r="D566" s="5" t="s">
        <v>3039</v>
      </c>
      <c r="E566" s="6" t="s">
        <v>74</v>
      </c>
      <c r="F566" s="6" t="s">
        <v>1793</v>
      </c>
      <c r="G566" s="3" t="str">
        <f>IFERROR(__xludf.DUMMYFUNCTION("REGEXREPLACE(
D566,
""([一-龯々]+)\[([^\]]+)\]"",
""&lt;ruby&gt;$1&lt;rt&gt;$2&lt;/rt&gt;&lt;/ruby&gt;""
)&amp;""&lt;br&gt;&lt;div class=""""audio""""&gt;[sound:""&amp;C566&amp;"".mp3]&lt;/div&gt;"""),"&lt;ruby&gt;従業員&lt;rt&gt;じゅうぎょういん&lt;/rt&gt;&lt;/ruby&gt;&lt;br&gt;&lt;div class=""audio""&gt;[sound:じゅうぎょういん.mp3]&lt;/div&gt;")</f>
        <v>&lt;ruby&gt;従業員&lt;rt&gt;じゅうぎょういん&lt;/rt&gt;&lt;/ruby&gt;&lt;br&gt;&lt;div class="audio"&gt;[sound:じゅうぎょういん.mp3]&lt;/div&gt;</v>
      </c>
      <c r="H566" s="3" t="str">
        <f t="shared" si="1"/>
        <v>(n): nhân viên</v>
      </c>
      <c r="I566" s="6" t="s">
        <v>3040</v>
      </c>
      <c r="J566" s="6" t="s">
        <v>1795</v>
      </c>
      <c r="K566" s="7">
        <f t="shared" si="2"/>
        <v>0.3929226952</v>
      </c>
    </row>
    <row r="567">
      <c r="A567" s="4">
        <v>567.0</v>
      </c>
      <c r="B567" s="5" t="s">
        <v>3041</v>
      </c>
      <c r="C567" s="5" t="s">
        <v>3042</v>
      </c>
      <c r="D567" s="5" t="s">
        <v>3043</v>
      </c>
      <c r="E567" s="6" t="s">
        <v>74</v>
      </c>
      <c r="F567" s="6" t="s">
        <v>3044</v>
      </c>
      <c r="G567" s="3" t="str">
        <f>IFERROR(__xludf.DUMMYFUNCTION("REGEXREPLACE(
D567,
""([一-龯々]+)\[([^\]]+)\]"",
""&lt;ruby&gt;$1&lt;rt&gt;$2&lt;/rt&gt;&lt;/ruby&gt;""
)&amp;""&lt;br&gt;&lt;div class=""""audio""""&gt;[sound:""&amp;C567&amp;"".mp3]&lt;/div&gt;"""),"&lt;ruby&gt;失敗&lt;rt&gt;しっぱい&lt;/rt&gt;&lt;/ruby&gt;&lt;br&gt;&lt;div class=""audio""&gt;[sound:しっぱい.mp3]&lt;/div&gt;")</f>
        <v>&lt;ruby&gt;失敗&lt;rt&gt;しっぱい&lt;/rt&gt;&lt;/ruby&gt;&lt;br&gt;&lt;div class="audio"&gt;[sound:しっぱい.mp3]&lt;/div&gt;</v>
      </c>
      <c r="H567" s="3" t="str">
        <f t="shared" si="1"/>
        <v>(n): thất bại</v>
      </c>
      <c r="I567" s="6" t="s">
        <v>3045</v>
      </c>
      <c r="J567" s="6" t="s">
        <v>3046</v>
      </c>
      <c r="K567" s="7">
        <f t="shared" si="2"/>
        <v>0.6370586884</v>
      </c>
    </row>
    <row r="568">
      <c r="A568" s="4">
        <v>568.0</v>
      </c>
      <c r="B568" s="5" t="s">
        <v>3047</v>
      </c>
      <c r="C568" s="5" t="s">
        <v>3048</v>
      </c>
      <c r="D568" s="5" t="s">
        <v>3049</v>
      </c>
      <c r="E568" s="6" t="s">
        <v>24</v>
      </c>
      <c r="F568" s="6" t="s">
        <v>3050</v>
      </c>
      <c r="G568" s="3" t="str">
        <f>IFERROR(__xludf.DUMMYFUNCTION("REGEXREPLACE(
D568,
""([一-龯々]+)\[([^\]]+)\]"",
""&lt;ruby&gt;$1&lt;rt&gt;$2&lt;/rt&gt;&lt;/ruby&gt;""
)&amp;""&lt;br&gt;&lt;div class=""""audio""""&gt;[sound:""&amp;C568&amp;"".mp3]&lt;/div&gt;"""),"&lt;ruby&gt;喜&lt;rt&gt;よろこ&lt;/rt&gt;&lt;/ruby&gt;ぶ&lt;br&gt;&lt;div class=""audio""&gt;[sound:よろこぶ.mp3]&lt;/div&gt;")</f>
        <v>&lt;ruby&gt;喜&lt;rt&gt;よろこ&lt;/rt&gt;&lt;/ruby&gt;ぶ&lt;br&gt;&lt;div class="audio"&gt;[sound:よろこぶ.mp3]&lt;/div&gt;</v>
      </c>
      <c r="H568" s="3" t="str">
        <f t="shared" si="1"/>
        <v>(v): vui mừng</v>
      </c>
      <c r="I568" s="6" t="s">
        <v>3051</v>
      </c>
      <c r="J568" s="6" t="s">
        <v>3052</v>
      </c>
      <c r="K568" s="7">
        <f t="shared" si="2"/>
        <v>0.7695654654</v>
      </c>
    </row>
    <row r="569">
      <c r="A569" s="4">
        <v>569.0</v>
      </c>
      <c r="B569" s="5" t="s">
        <v>3053</v>
      </c>
      <c r="C569" s="5" t="s">
        <v>3054</v>
      </c>
      <c r="D569" s="5" t="s">
        <v>3055</v>
      </c>
      <c r="E569" s="6" t="s">
        <v>24</v>
      </c>
      <c r="F569" s="6" t="s">
        <v>3056</v>
      </c>
      <c r="G569" s="3" t="str">
        <f>IFERROR(__xludf.DUMMYFUNCTION("REGEXREPLACE(
D569,
""([一-龯々]+)\[([^\]]+)\]"",
""&lt;ruby&gt;$1&lt;rt&gt;$2&lt;/rt&gt;&lt;/ruby&gt;""
)&amp;""&lt;br&gt;&lt;div class=""""audio""""&gt;[sound:""&amp;C569&amp;"".mp3]&lt;/div&gt;"""),"&lt;ruby&gt;探&lt;rt&gt;さが&lt;/rt&gt;&lt;/ruby&gt;す&lt;br&gt;&lt;div class=""audio""&gt;[sound:さがす.mp3]&lt;/div&gt;")</f>
        <v>&lt;ruby&gt;探&lt;rt&gt;さが&lt;/rt&gt;&lt;/ruby&gt;す&lt;br&gt;&lt;div class="audio"&gt;[sound:さがす.mp3]&lt;/div&gt;</v>
      </c>
      <c r="H569" s="3" t="str">
        <f t="shared" si="1"/>
        <v>(v): tìm kiếm</v>
      </c>
      <c r="I569" s="6" t="s">
        <v>3057</v>
      </c>
      <c r="J569" s="6" t="s">
        <v>3058</v>
      </c>
      <c r="K569" s="7">
        <f t="shared" si="2"/>
        <v>0.008139503991</v>
      </c>
    </row>
    <row r="570">
      <c r="A570" s="4">
        <v>570.0</v>
      </c>
      <c r="B570" s="5" t="s">
        <v>3059</v>
      </c>
      <c r="C570" s="5" t="s">
        <v>3060</v>
      </c>
      <c r="D570" s="5" t="s">
        <v>3061</v>
      </c>
      <c r="E570" s="6" t="s">
        <v>74</v>
      </c>
      <c r="F570" s="6" t="s">
        <v>3062</v>
      </c>
      <c r="G570" s="3" t="str">
        <f>IFERROR(__xludf.DUMMYFUNCTION("REGEXREPLACE(
D570,
""([一-龯々]+)\[([^\]]+)\]"",
""&lt;ruby&gt;$1&lt;rt&gt;$2&lt;/rt&gt;&lt;/ruby&gt;""
)&amp;""&lt;br&gt;&lt;div class=""""audio""""&gt;[sound:""&amp;C570&amp;"".mp3]&lt;/div&gt;"""),"&lt;ruby&gt;否定&lt;rt&gt;ひてい&lt;/rt&gt;&lt;/ruby&gt;&lt;br&gt;&lt;div class=""audio""&gt;[sound:ひてい.mp3]&lt;/div&gt;")</f>
        <v>&lt;ruby&gt;否定&lt;rt&gt;ひてい&lt;/rt&gt;&lt;/ruby&gt;&lt;br&gt;&lt;div class="audio"&gt;[sound:ひてい.mp3]&lt;/div&gt;</v>
      </c>
      <c r="H570" s="3" t="str">
        <f t="shared" si="1"/>
        <v>(n): phủ định</v>
      </c>
      <c r="I570" s="6" t="s">
        <v>3063</v>
      </c>
      <c r="J570" s="6" t="s">
        <v>3064</v>
      </c>
      <c r="K570" s="7">
        <f t="shared" si="2"/>
        <v>0.6082588146</v>
      </c>
    </row>
    <row r="571">
      <c r="A571" s="4">
        <v>571.0</v>
      </c>
      <c r="B571" s="5" t="s">
        <v>3065</v>
      </c>
      <c r="C571" s="5" t="s">
        <v>3066</v>
      </c>
      <c r="D571" s="5" t="s">
        <v>3067</v>
      </c>
      <c r="E571" s="6" t="s">
        <v>11</v>
      </c>
      <c r="F571" s="6" t="s">
        <v>3068</v>
      </c>
      <c r="G571" s="3" t="str">
        <f>IFERROR(__xludf.DUMMYFUNCTION("REGEXREPLACE(
D571,
""([一-龯々]+)\[([^\]]+)\]"",
""&lt;ruby&gt;$1&lt;rt&gt;$2&lt;/rt&gt;&lt;/ruby&gt;""
)&amp;""&lt;br&gt;&lt;div class=""""audio""""&gt;[sound:""&amp;C571&amp;"".mp3]&lt;/div&gt;"""),"&lt;ruby&gt;早&lt;rt&gt;はや&lt;/rt&gt;&lt;/ruby&gt;い&lt;br&gt;&lt;div class=""audio""&gt;[sound:はやい.mp3]&lt;/div&gt;")</f>
        <v>&lt;ruby&gt;早&lt;rt&gt;はや&lt;/rt&gt;&lt;/ruby&gt;い&lt;br&gt;&lt;div class="audio"&gt;[sound:はやい.mp3]&lt;/div&gt;</v>
      </c>
      <c r="H571" s="3" t="str">
        <f t="shared" si="1"/>
        <v>(adj): sớm</v>
      </c>
      <c r="I571" s="6" t="s">
        <v>3069</v>
      </c>
      <c r="J571" s="6" t="s">
        <v>3070</v>
      </c>
      <c r="K571" s="7">
        <f t="shared" si="2"/>
        <v>0.07987761063</v>
      </c>
    </row>
    <row r="572">
      <c r="A572" s="4">
        <v>572.0</v>
      </c>
      <c r="B572" s="5" t="s">
        <v>3071</v>
      </c>
      <c r="C572" s="5" t="s">
        <v>3072</v>
      </c>
      <c r="D572" s="5" t="s">
        <v>3073</v>
      </c>
      <c r="E572" s="6" t="s">
        <v>74</v>
      </c>
      <c r="F572" s="6" t="s">
        <v>3074</v>
      </c>
      <c r="G572" s="3" t="str">
        <f>IFERROR(__xludf.DUMMYFUNCTION("REGEXREPLACE(
D572,
""([一-龯々]+)\[([^\]]+)\]"",
""&lt;ruby&gt;$1&lt;rt&gt;$2&lt;/rt&gt;&lt;/ruby&gt;""
)&amp;""&lt;br&gt;&lt;div class=""""audio""""&gt;[sound:""&amp;C572&amp;"".mp3]&lt;/div&gt;"""),"&lt;ruby&gt;完成&lt;rt&gt;かんせい&lt;/rt&gt;&lt;/ruby&gt;&lt;br&gt;&lt;div class=""audio""&gt;[sound:かんせい.mp3]&lt;/div&gt;")</f>
        <v>&lt;ruby&gt;完成&lt;rt&gt;かんせい&lt;/rt&gt;&lt;/ruby&gt;&lt;br&gt;&lt;div class="audio"&gt;[sound:かんせい.mp3]&lt;/div&gt;</v>
      </c>
      <c r="H572" s="3" t="str">
        <f t="shared" si="1"/>
        <v>(n): hoàn thành</v>
      </c>
      <c r="I572" s="6" t="s">
        <v>3075</v>
      </c>
      <c r="J572" s="6" t="s">
        <v>3076</v>
      </c>
      <c r="K572" s="7">
        <f t="shared" si="2"/>
        <v>0.8894521632</v>
      </c>
    </row>
    <row r="573">
      <c r="A573" s="4">
        <v>573.0</v>
      </c>
      <c r="B573" s="5" t="s">
        <v>3077</v>
      </c>
      <c r="C573" s="5" t="s">
        <v>3078</v>
      </c>
      <c r="D573" s="5" t="s">
        <v>3079</v>
      </c>
      <c r="E573" s="6" t="s">
        <v>24</v>
      </c>
      <c r="F573" s="6" t="s">
        <v>3080</v>
      </c>
      <c r="G573" s="3" t="str">
        <f>IFERROR(__xludf.DUMMYFUNCTION("REGEXREPLACE(
D573,
""([一-龯々]+)\[([^\]]+)\]"",
""&lt;ruby&gt;$1&lt;rt&gt;$2&lt;/rt&gt;&lt;/ruby&gt;""
)&amp;""&lt;br&gt;&lt;div class=""""audio""""&gt;[sound:""&amp;C573&amp;"".mp3]&lt;/div&gt;"""),"&lt;ruby&gt;基&lt;rt&gt;もと&lt;/rt&gt;&lt;/ruby&gt;づく&lt;br&gt;&lt;div class=""audio""&gt;[sound:もとづく.mp3]&lt;/div&gt;")</f>
        <v>&lt;ruby&gt;基&lt;rt&gt;もと&lt;/rt&gt;&lt;/ruby&gt;づく&lt;br&gt;&lt;div class="audio"&gt;[sound:もとづく.mp3]&lt;/div&gt;</v>
      </c>
      <c r="H573" s="3" t="str">
        <f t="shared" si="1"/>
        <v>(v): dựa trên</v>
      </c>
      <c r="I573" s="6" t="s">
        <v>3081</v>
      </c>
      <c r="J573" s="6" t="s">
        <v>3082</v>
      </c>
      <c r="K573" s="7">
        <f t="shared" si="2"/>
        <v>0.9957104243</v>
      </c>
    </row>
    <row r="574">
      <c r="A574" s="4">
        <v>574.0</v>
      </c>
      <c r="B574" s="5" t="s">
        <v>3083</v>
      </c>
      <c r="C574" s="5" t="s">
        <v>3084</v>
      </c>
      <c r="D574" s="5" t="s">
        <v>3085</v>
      </c>
      <c r="E574" s="6" t="s">
        <v>74</v>
      </c>
      <c r="F574" s="6" t="s">
        <v>3086</v>
      </c>
      <c r="G574" s="3" t="str">
        <f>IFERROR(__xludf.DUMMYFUNCTION("REGEXREPLACE(
D574,
""([一-龯々]+)\[([^\]]+)\]"",
""&lt;ruby&gt;$1&lt;rt&gt;$2&lt;/rt&gt;&lt;/ruby&gt;""
)&amp;""&lt;br&gt;&lt;div class=""""audio""""&gt;[sound:""&amp;C574&amp;"".mp3]&lt;/div&gt;"""),"&lt;ruby&gt;歴史&lt;rt&gt;れきし&lt;/rt&gt;&lt;/ruby&gt;&lt;br&gt;&lt;div class=""audio""&gt;[sound:れきし.mp3]&lt;/div&gt;")</f>
        <v>&lt;ruby&gt;歴史&lt;rt&gt;れきし&lt;/rt&gt;&lt;/ruby&gt;&lt;br&gt;&lt;div class="audio"&gt;[sound:れきし.mp3]&lt;/div&gt;</v>
      </c>
      <c r="H574" s="3" t="str">
        <f t="shared" si="1"/>
        <v>(n): lịch sử</v>
      </c>
      <c r="I574" s="6" t="s">
        <v>3087</v>
      </c>
      <c r="J574" s="6" t="s">
        <v>3088</v>
      </c>
      <c r="K574" s="7">
        <f t="shared" si="2"/>
        <v>0.7174388568</v>
      </c>
    </row>
    <row r="575">
      <c r="A575" s="4">
        <v>575.0</v>
      </c>
      <c r="B575" s="5" t="s">
        <v>3089</v>
      </c>
      <c r="C575" s="5" t="s">
        <v>3090</v>
      </c>
      <c r="D575" s="5" t="s">
        <v>3091</v>
      </c>
      <c r="E575" s="6" t="s">
        <v>74</v>
      </c>
      <c r="F575" s="6" t="s">
        <v>3092</v>
      </c>
      <c r="G575" s="3" t="str">
        <f>IFERROR(__xludf.DUMMYFUNCTION("REGEXREPLACE(
D575,
""([一-龯々]+)\[([^\]]+)\]"",
""&lt;ruby&gt;$1&lt;rt&gt;$2&lt;/rt&gt;&lt;/ruby&gt;""
)&amp;""&lt;br&gt;&lt;div class=""""audio""""&gt;[sound:""&amp;C575&amp;"".mp3]&lt;/div&gt;"""),"&lt;ruby&gt;季節&lt;rt&gt;きせつ&lt;/rt&gt;&lt;/ruby&gt;&lt;br&gt;&lt;div class=""audio""&gt;[sound:きせつ.mp3]&lt;/div&gt;")</f>
        <v>&lt;ruby&gt;季節&lt;rt&gt;きせつ&lt;/rt&gt;&lt;/ruby&gt;&lt;br&gt;&lt;div class="audio"&gt;[sound:きせつ.mp3]&lt;/div&gt;</v>
      </c>
      <c r="H575" s="3" t="str">
        <f t="shared" si="1"/>
        <v>(n): mùa</v>
      </c>
      <c r="I575" s="6" t="s">
        <v>3093</v>
      </c>
      <c r="J575" s="6" t="s">
        <v>3094</v>
      </c>
      <c r="K575" s="7">
        <f t="shared" si="2"/>
        <v>0.7828755179</v>
      </c>
    </row>
    <row r="576">
      <c r="A576" s="4">
        <v>576.0</v>
      </c>
      <c r="B576" s="5" t="s">
        <v>3095</v>
      </c>
      <c r="C576" s="5" t="s">
        <v>3096</v>
      </c>
      <c r="D576" s="5" t="s">
        <v>3097</v>
      </c>
      <c r="E576" s="6" t="s">
        <v>74</v>
      </c>
      <c r="F576" s="6" t="s">
        <v>1833</v>
      </c>
      <c r="G576" s="3" t="str">
        <f>IFERROR(__xludf.DUMMYFUNCTION("REGEXREPLACE(
D576,
""([一-龯々]+)\[([^\]]+)\]"",
""&lt;ruby&gt;$1&lt;rt&gt;$2&lt;/rt&gt;&lt;/ruby&gt;""
)&amp;""&lt;br&gt;&lt;div class=""""audio""""&gt;[sound:""&amp;C576&amp;"".mp3]&lt;/div&gt;"""),"&lt;ruby&gt;土&lt;rt&gt;つち&lt;/rt&gt;&lt;/ruby&gt;&lt;br&gt;&lt;div class=""audio""&gt;[sound:つち.mp3]&lt;/div&gt;")</f>
        <v>&lt;ruby&gt;土&lt;rt&gt;つち&lt;/rt&gt;&lt;/ruby&gt;&lt;br&gt;&lt;div class="audio"&gt;[sound:つち.mp3]&lt;/div&gt;</v>
      </c>
      <c r="H576" s="3" t="str">
        <f t="shared" si="1"/>
        <v>(n): đất</v>
      </c>
      <c r="I576" s="6" t="s">
        <v>3098</v>
      </c>
      <c r="J576" s="6" t="s">
        <v>3099</v>
      </c>
      <c r="K576" s="7">
        <f t="shared" si="2"/>
        <v>0.3821900999</v>
      </c>
    </row>
    <row r="577">
      <c r="A577" s="4">
        <v>577.0</v>
      </c>
      <c r="B577" s="5" t="s">
        <v>3100</v>
      </c>
      <c r="C577" s="5" t="s">
        <v>3101</v>
      </c>
      <c r="D577" s="5" t="s">
        <v>3102</v>
      </c>
      <c r="E577" s="6" t="s">
        <v>74</v>
      </c>
      <c r="F577" s="6" t="s">
        <v>3103</v>
      </c>
      <c r="G577" s="3" t="str">
        <f>IFERROR(__xludf.DUMMYFUNCTION("REGEXREPLACE(
D577,
""([一-龯々]+)\[([^\]]+)\]"",
""&lt;ruby&gt;$1&lt;rt&gt;$2&lt;/rt&gt;&lt;/ruby&gt;""
)&amp;""&lt;br&gt;&lt;div class=""""audio""""&gt;[sound:""&amp;C577&amp;"".mp3]&lt;/div&gt;"""),"&lt;ruby&gt;意図&lt;rt&gt;いと&lt;/rt&gt;&lt;/ruby&gt;&lt;br&gt;&lt;div class=""audio""&gt;[sound:いと.mp3]&lt;/div&gt;")</f>
        <v>&lt;ruby&gt;意図&lt;rt&gt;いと&lt;/rt&gt;&lt;/ruby&gt;&lt;br&gt;&lt;div class="audio"&gt;[sound:いと.mp3]&lt;/div&gt;</v>
      </c>
      <c r="H577" s="3" t="str">
        <f t="shared" si="1"/>
        <v>(n): ý đồ</v>
      </c>
      <c r="I577" s="6" t="s">
        <v>3104</v>
      </c>
      <c r="J577" s="6" t="s">
        <v>3105</v>
      </c>
      <c r="K577" s="7">
        <f t="shared" si="2"/>
        <v>0.6066116308</v>
      </c>
    </row>
    <row r="578">
      <c r="A578" s="4">
        <v>578.0</v>
      </c>
      <c r="B578" s="5" t="s">
        <v>3106</v>
      </c>
      <c r="C578" s="5" t="s">
        <v>3107</v>
      </c>
      <c r="D578" s="5" t="s">
        <v>3108</v>
      </c>
      <c r="E578" s="6" t="s">
        <v>24</v>
      </c>
      <c r="F578" s="6" t="s">
        <v>3109</v>
      </c>
      <c r="G578" s="3" t="str">
        <f>IFERROR(__xludf.DUMMYFUNCTION("REGEXREPLACE(
D578,
""([一-龯々]+)\[([^\]]+)\]"",
""&lt;ruby&gt;$1&lt;rt&gt;$2&lt;/rt&gt;&lt;/ruby&gt;""
)&amp;""&lt;br&gt;&lt;div class=""""audio""""&gt;[sound:""&amp;C578&amp;"".mp3]&lt;/div&gt;"""),"&lt;ruby&gt;集&lt;rt&gt;あつ&lt;/rt&gt;&lt;/ruby&gt;まる&lt;br&gt;&lt;div class=""audio""&gt;[sound:あつまる.mp3]&lt;/div&gt;")</f>
        <v>&lt;ruby&gt;集&lt;rt&gt;あつ&lt;/rt&gt;&lt;/ruby&gt;まる&lt;br&gt;&lt;div class="audio"&gt;[sound:あつまる.mp3]&lt;/div&gt;</v>
      </c>
      <c r="H578" s="3" t="str">
        <f t="shared" si="1"/>
        <v>(v): tập trung</v>
      </c>
      <c r="I578" s="6" t="s">
        <v>3110</v>
      </c>
      <c r="J578" s="6" t="s">
        <v>3111</v>
      </c>
      <c r="K578" s="7">
        <f t="shared" si="2"/>
        <v>0.818710687</v>
      </c>
    </row>
    <row r="579">
      <c r="A579" s="4">
        <v>579.0</v>
      </c>
      <c r="B579" s="5" t="s">
        <v>3112</v>
      </c>
      <c r="C579" s="5" t="s">
        <v>3113</v>
      </c>
      <c r="D579" s="5" t="s">
        <v>3114</v>
      </c>
      <c r="E579" s="6" t="s">
        <v>74</v>
      </c>
      <c r="F579" s="6" t="s">
        <v>3115</v>
      </c>
      <c r="G579" s="3" t="str">
        <f>IFERROR(__xludf.DUMMYFUNCTION("REGEXREPLACE(
D579,
""([一-龯々]+)\[([^\]]+)\]"",
""&lt;ruby&gt;$1&lt;rt&gt;$2&lt;/rt&gt;&lt;/ruby&gt;""
)&amp;""&lt;br&gt;&lt;div class=""""audio""""&gt;[sound:""&amp;C579&amp;"".mp3]&lt;/div&gt;"""),"ご&lt;ruby&gt;主人&lt;rt&gt;しゅじん&lt;/rt&gt;&lt;/ruby&gt;&lt;br&gt;&lt;div class=""audio""&gt;[sound:ごしゅじん.mp3]&lt;/div&gt;")</f>
        <v>ご&lt;ruby&gt;主人&lt;rt&gt;しゅじん&lt;/rt&gt;&lt;/ruby&gt;&lt;br&gt;&lt;div class="audio"&gt;[sound:ごしゅじん.mp3]&lt;/div&gt;</v>
      </c>
      <c r="H579" s="3" t="str">
        <f t="shared" si="1"/>
        <v>(n): chồng</v>
      </c>
      <c r="I579" s="6" t="s">
        <v>3116</v>
      </c>
      <c r="J579" s="6" t="s">
        <v>3117</v>
      </c>
      <c r="K579" s="7">
        <f t="shared" si="2"/>
        <v>0.3887299534</v>
      </c>
    </row>
    <row r="580">
      <c r="A580" s="4">
        <v>580.0</v>
      </c>
      <c r="B580" s="5" t="s">
        <v>3118</v>
      </c>
      <c r="C580" s="5" t="s">
        <v>3119</v>
      </c>
      <c r="D580" s="5" t="s">
        <v>3120</v>
      </c>
      <c r="E580" s="6" t="s">
        <v>74</v>
      </c>
      <c r="F580" s="6" t="s">
        <v>3121</v>
      </c>
      <c r="G580" s="3" t="str">
        <f>IFERROR(__xludf.DUMMYFUNCTION("REGEXREPLACE(
D580,
""([一-龯々]+)\[([^\]]+)\]"",
""&lt;ruby&gt;$1&lt;rt&gt;$2&lt;/rt&gt;&lt;/ruby&gt;""
)&amp;""&lt;br&gt;&lt;div class=""""audio""""&gt;[sound:""&amp;C580&amp;"".mp3]&lt;/div&gt;"""),"この&lt;ruby&gt;頃&lt;rt&gt;ころ&lt;/rt&gt;&lt;/ruby&gt;&lt;br&gt;&lt;div class=""audio""&gt;[sound:このころ.mp3]&lt;/div&gt;")</f>
        <v>この&lt;ruby&gt;頃&lt;rt&gt;ころ&lt;/rt&gt;&lt;/ruby&gt;&lt;br&gt;&lt;div class="audio"&gt;[sound:このころ.mp3]&lt;/div&gt;</v>
      </c>
      <c r="H580" s="3" t="str">
        <f t="shared" si="1"/>
        <v>(n): gần đây</v>
      </c>
      <c r="I580" s="6" t="s">
        <v>3122</v>
      </c>
      <c r="J580" s="6" t="s">
        <v>3123</v>
      </c>
      <c r="K580" s="7">
        <f t="shared" si="2"/>
        <v>0.8319978992</v>
      </c>
    </row>
    <row r="581">
      <c r="A581" s="4">
        <v>581.0</v>
      </c>
      <c r="B581" s="5" t="s">
        <v>3124</v>
      </c>
      <c r="C581" s="5" t="s">
        <v>3125</v>
      </c>
      <c r="D581" s="5" t="s">
        <v>3126</v>
      </c>
      <c r="E581" s="6" t="s">
        <v>74</v>
      </c>
      <c r="F581" s="6" t="s">
        <v>3127</v>
      </c>
      <c r="G581" s="3" t="str">
        <f>IFERROR(__xludf.DUMMYFUNCTION("REGEXREPLACE(
D581,
""([一-龯々]+)\[([^\]]+)\]"",
""&lt;ruby&gt;$1&lt;rt&gt;$2&lt;/rt&gt;&lt;/ruby&gt;""
)&amp;""&lt;br&gt;&lt;div class=""""audio""""&gt;[sound:""&amp;C581&amp;"".mp3]&lt;/div&gt;"""),"&lt;ruby&gt;表&lt;rt&gt;おもて&lt;/rt&gt;&lt;/ruby&gt;&lt;br&gt;&lt;div class=""audio""&gt;[sound:おもて.mp3]&lt;/div&gt;")</f>
        <v>&lt;ruby&gt;表&lt;rt&gt;おもて&lt;/rt&gt;&lt;/ruby&gt;&lt;br&gt;&lt;div class="audio"&gt;[sound:おもて.mp3]&lt;/div&gt;</v>
      </c>
      <c r="H581" s="3" t="str">
        <f t="shared" si="1"/>
        <v>(n): mặt ngoài</v>
      </c>
      <c r="I581" s="6" t="s">
        <v>3128</v>
      </c>
      <c r="J581" s="6" t="s">
        <v>220</v>
      </c>
      <c r="K581" s="7">
        <f t="shared" si="2"/>
        <v>0.2273035369</v>
      </c>
    </row>
    <row r="582">
      <c r="A582" s="4">
        <v>582.0</v>
      </c>
      <c r="B582" s="5" t="s">
        <v>3129</v>
      </c>
      <c r="C582" s="5" t="s">
        <v>3130</v>
      </c>
      <c r="D582" s="5" t="s">
        <v>3131</v>
      </c>
      <c r="E582" s="6" t="s">
        <v>74</v>
      </c>
      <c r="F582" s="6" t="s">
        <v>3132</v>
      </c>
      <c r="G582" s="3" t="str">
        <f>IFERROR(__xludf.DUMMYFUNCTION("REGEXREPLACE(
D582,
""([一-龯々]+)\[([^\]]+)\]"",
""&lt;ruby&gt;$1&lt;rt&gt;$2&lt;/rt&gt;&lt;/ruby&gt;""
)&amp;""&lt;br&gt;&lt;div class=""""audio""""&gt;[sound:""&amp;C582&amp;"".mp3]&lt;/div&gt;"""),"お&lt;ruby&gt;菓子&lt;rt&gt;かし&lt;/rt&gt;&lt;/ruby&gt;&lt;br&gt;&lt;div class=""audio""&gt;[sound:おかし.mp3]&lt;/div&gt;")</f>
        <v>お&lt;ruby&gt;菓子&lt;rt&gt;かし&lt;/rt&gt;&lt;/ruby&gt;&lt;br&gt;&lt;div class="audio"&gt;[sound:おかし.mp3]&lt;/div&gt;</v>
      </c>
      <c r="H582" s="3" t="str">
        <f t="shared" si="1"/>
        <v>(n): bánh kẹo</v>
      </c>
      <c r="I582" s="6" t="s">
        <v>3133</v>
      </c>
      <c r="J582" s="6" t="s">
        <v>3134</v>
      </c>
      <c r="K582" s="7">
        <f t="shared" si="2"/>
        <v>0.5204621539</v>
      </c>
    </row>
    <row r="583">
      <c r="A583" s="4">
        <v>583.0</v>
      </c>
      <c r="B583" s="5" t="s">
        <v>3135</v>
      </c>
      <c r="C583" s="5" t="s">
        <v>3136</v>
      </c>
      <c r="D583" s="5" t="s">
        <v>3137</v>
      </c>
      <c r="E583" s="6" t="s">
        <v>74</v>
      </c>
      <c r="F583" s="6" t="s">
        <v>3138</v>
      </c>
      <c r="G583" s="3" t="str">
        <f>IFERROR(__xludf.DUMMYFUNCTION("REGEXREPLACE(
D583,
""([一-龯々]+)\[([^\]]+)\]"",
""&lt;ruby&gt;$1&lt;rt&gt;$2&lt;/rt&gt;&lt;/ruby&gt;""
)&amp;""&lt;br&gt;&lt;div class=""""audio""""&gt;[sound:""&amp;C583&amp;"".mp3]&lt;/div&gt;"""),"&lt;ruby&gt;依存&lt;rt&gt;いぞん&lt;/rt&gt;&lt;/ruby&gt;&lt;br&gt;&lt;div class=""audio""&gt;[sound:いぞん.mp3]&lt;/div&gt;")</f>
        <v>&lt;ruby&gt;依存&lt;rt&gt;いぞん&lt;/rt&gt;&lt;/ruby&gt;&lt;br&gt;&lt;div class="audio"&gt;[sound:いぞん.mp3]&lt;/div&gt;</v>
      </c>
      <c r="H583" s="3" t="str">
        <f t="shared" si="1"/>
        <v>(n): sự phụ thuộc</v>
      </c>
      <c r="I583" s="6" t="s">
        <v>3139</v>
      </c>
      <c r="J583" s="6" t="s">
        <v>3140</v>
      </c>
      <c r="K583" s="7">
        <f t="shared" si="2"/>
        <v>0.6859250396</v>
      </c>
    </row>
    <row r="584">
      <c r="A584" s="4">
        <v>584.0</v>
      </c>
      <c r="B584" s="5" t="s">
        <v>3141</v>
      </c>
      <c r="C584" s="5" t="s">
        <v>3142</v>
      </c>
      <c r="D584" s="5" t="s">
        <v>3143</v>
      </c>
      <c r="E584" s="6" t="s">
        <v>24</v>
      </c>
      <c r="F584" s="6" t="s">
        <v>3144</v>
      </c>
      <c r="G584" s="3" t="str">
        <f>IFERROR(__xludf.DUMMYFUNCTION("REGEXREPLACE(
D584,
""([一-龯々]+)\[([^\]]+)\]"",
""&lt;ruby&gt;$1&lt;rt&gt;$2&lt;/rt&gt;&lt;/ruby&gt;""
)&amp;""&lt;br&gt;&lt;div class=""""audio""""&gt;[sound:""&amp;C584&amp;"".mp3]&lt;/div&gt;"""),"&lt;ruby&gt;限&lt;rt&gt;かぎ&lt;/rt&gt;&lt;/ruby&gt;る&lt;br&gt;&lt;div class=""audio""&gt;[sound:かぎる.mp3]&lt;/div&gt;")</f>
        <v>&lt;ruby&gt;限&lt;rt&gt;かぎ&lt;/rt&gt;&lt;/ruby&gt;る&lt;br&gt;&lt;div class="audio"&gt;[sound:かぎる.mp3]&lt;/div&gt;</v>
      </c>
      <c r="H584" s="3" t="str">
        <f t="shared" si="1"/>
        <v>(v): giới hạn</v>
      </c>
      <c r="I584" s="6" t="s">
        <v>3145</v>
      </c>
      <c r="J584" s="6" t="s">
        <v>3146</v>
      </c>
      <c r="K584" s="7">
        <f t="shared" si="2"/>
        <v>0.8176258364</v>
      </c>
    </row>
    <row r="585">
      <c r="A585" s="4">
        <v>585.0</v>
      </c>
      <c r="B585" s="5" t="s">
        <v>3147</v>
      </c>
      <c r="C585" s="5" t="s">
        <v>3148</v>
      </c>
      <c r="D585" s="5" t="s">
        <v>3149</v>
      </c>
      <c r="E585" s="6" t="s">
        <v>74</v>
      </c>
      <c r="F585" s="6" t="s">
        <v>3150</v>
      </c>
      <c r="G585" s="3" t="str">
        <f>IFERROR(__xludf.DUMMYFUNCTION("REGEXREPLACE(
D585,
""([一-龯々]+)\[([^\]]+)\]"",
""&lt;ruby&gt;$1&lt;rt&gt;$2&lt;/rt&gt;&lt;/ruby&gt;""
)&amp;""&lt;br&gt;&lt;div class=""""audio""""&gt;[sound:""&amp;C585&amp;"".mp3]&lt;/div&gt;"""),"&lt;ruby&gt;神&lt;rt&gt;かみ&lt;/rt&gt;&lt;/ruby&gt;&lt;br&gt;&lt;div class=""audio""&gt;[sound:かみ.mp3]&lt;/div&gt;")</f>
        <v>&lt;ruby&gt;神&lt;rt&gt;かみ&lt;/rt&gt;&lt;/ruby&gt;&lt;br&gt;&lt;div class="audio"&gt;[sound:かみ.mp3]&lt;/div&gt;</v>
      </c>
      <c r="H585" s="3" t="str">
        <f t="shared" si="1"/>
        <v>(n): thần</v>
      </c>
      <c r="I585" s="6" t="s">
        <v>3151</v>
      </c>
      <c r="J585" s="6" t="s">
        <v>3152</v>
      </c>
      <c r="K585" s="7">
        <f t="shared" si="2"/>
        <v>0.7628537651</v>
      </c>
    </row>
    <row r="586">
      <c r="A586" s="4">
        <v>586.0</v>
      </c>
      <c r="B586" s="5" t="s">
        <v>3153</v>
      </c>
      <c r="C586" s="5" t="s">
        <v>3154</v>
      </c>
      <c r="D586" s="5" t="s">
        <v>3155</v>
      </c>
      <c r="E586" s="6" t="s">
        <v>74</v>
      </c>
      <c r="F586" s="6" t="s">
        <v>3156</v>
      </c>
      <c r="G586" s="3" t="str">
        <f>IFERROR(__xludf.DUMMYFUNCTION("REGEXREPLACE(
D586,
""([一-龯々]+)\[([^\]]+)\]"",
""&lt;ruby&gt;$1&lt;rt&gt;$2&lt;/rt&gt;&lt;/ruby&gt;""
)&amp;""&lt;br&gt;&lt;div class=""""audio""""&gt;[sound:""&amp;C586&amp;"".mp3]&lt;/div&gt;"""),"&lt;ruby&gt;外国人&lt;rt&gt;がいこくじん&lt;/rt&gt;&lt;/ruby&gt;&lt;br&gt;&lt;div class=""audio""&gt;[sound:がいこくじん.mp3]&lt;/div&gt;")</f>
        <v>&lt;ruby&gt;外国人&lt;rt&gt;がいこくじん&lt;/rt&gt;&lt;/ruby&gt;&lt;br&gt;&lt;div class="audio"&gt;[sound:がいこくじん.mp3]&lt;/div&gt;</v>
      </c>
      <c r="H586" s="3" t="str">
        <f t="shared" si="1"/>
        <v>(n): người nước ngoài</v>
      </c>
      <c r="I586" s="6" t="s">
        <v>3157</v>
      </c>
      <c r="J586" s="6" t="s">
        <v>3158</v>
      </c>
      <c r="K586" s="7">
        <f t="shared" si="2"/>
        <v>0.1578121423</v>
      </c>
    </row>
    <row r="587">
      <c r="A587" s="4">
        <v>587.0</v>
      </c>
      <c r="B587" s="5" t="s">
        <v>3159</v>
      </c>
      <c r="C587" s="5" t="s">
        <v>3160</v>
      </c>
      <c r="D587" s="5" t="s">
        <v>3161</v>
      </c>
      <c r="E587" s="6" t="s">
        <v>74</v>
      </c>
      <c r="F587" s="6" t="s">
        <v>3162</v>
      </c>
      <c r="G587" s="3" t="str">
        <f>IFERROR(__xludf.DUMMYFUNCTION("REGEXREPLACE(
D587,
""([一-龯々]+)\[([^\]]+)\]"",
""&lt;ruby&gt;$1&lt;rt&gt;$2&lt;/rt&gt;&lt;/ruby&gt;""
)&amp;""&lt;br&gt;&lt;div class=""""audio""""&gt;[sound:""&amp;C587&amp;"".mp3]&lt;/div&gt;"""),"&lt;ruby&gt;差&lt;rt&gt;さ&lt;/rt&gt;&lt;/ruby&gt;&lt;br&gt;&lt;div class=""audio""&gt;[sound:さ.mp3]&lt;/div&gt;")</f>
        <v>&lt;ruby&gt;差&lt;rt&gt;さ&lt;/rt&gt;&lt;/ruby&gt;&lt;br&gt;&lt;div class="audio"&gt;[sound:さ.mp3]&lt;/div&gt;</v>
      </c>
      <c r="H587" s="3" t="str">
        <f t="shared" si="1"/>
        <v>(n): sự khác biệt</v>
      </c>
      <c r="I587" s="6" t="s">
        <v>3163</v>
      </c>
      <c r="J587" s="6" t="s">
        <v>3164</v>
      </c>
      <c r="K587" s="7">
        <f t="shared" si="2"/>
        <v>0.2619828851</v>
      </c>
    </row>
    <row r="588">
      <c r="A588" s="4">
        <v>588.0</v>
      </c>
      <c r="B588" s="5" t="s">
        <v>3165</v>
      </c>
      <c r="C588" s="5" t="s">
        <v>3166</v>
      </c>
      <c r="D588" s="5" t="s">
        <v>3167</v>
      </c>
      <c r="E588" s="6" t="s">
        <v>74</v>
      </c>
      <c r="F588" s="6" t="s">
        <v>3168</v>
      </c>
      <c r="G588" s="3" t="str">
        <f>IFERROR(__xludf.DUMMYFUNCTION("REGEXREPLACE(
D588,
""([一-龯々]+)\[([^\]]+)\]"",
""&lt;ruby&gt;$1&lt;rt&gt;$2&lt;/rt&gt;&lt;/ruby&gt;""
)&amp;""&lt;br&gt;&lt;div class=""""audio""""&gt;[sound:""&amp;C588&amp;"".mp3]&lt;/div&gt;"""),"&lt;ruby&gt;性&lt;rt&gt;せい&lt;/rt&gt;&lt;/ruby&gt;&lt;br&gt;&lt;div class=""audio""&gt;[sound:せい.mp3]&lt;/div&gt;")</f>
        <v>&lt;ruby&gt;性&lt;rt&gt;せい&lt;/rt&gt;&lt;/ruby&gt;&lt;br&gt;&lt;div class="audio"&gt;[sound:せい.mp3]&lt;/div&gt;</v>
      </c>
      <c r="H588" s="3" t="str">
        <f t="shared" si="1"/>
        <v>(n): giới tính</v>
      </c>
      <c r="I588" s="6" t="s">
        <v>3169</v>
      </c>
      <c r="J588" s="6" t="s">
        <v>3170</v>
      </c>
      <c r="K588" s="7">
        <f t="shared" si="2"/>
        <v>0.7112516131</v>
      </c>
    </row>
    <row r="589">
      <c r="A589" s="4">
        <v>589.0</v>
      </c>
      <c r="B589" s="5" t="s">
        <v>3171</v>
      </c>
      <c r="C589" s="5" t="s">
        <v>3172</v>
      </c>
      <c r="D589" s="5" t="s">
        <v>3173</v>
      </c>
      <c r="E589" s="6" t="s">
        <v>74</v>
      </c>
      <c r="F589" s="6" t="s">
        <v>3174</v>
      </c>
      <c r="G589" s="3" t="str">
        <f>IFERROR(__xludf.DUMMYFUNCTION("REGEXREPLACE(
D589,
""([一-龯々]+)\[([^\]]+)\]"",
""&lt;ruby&gt;$1&lt;rt&gt;$2&lt;/rt&gt;&lt;/ruby&gt;""
)&amp;""&lt;br&gt;&lt;div class=""""audio""""&gt;[sound:""&amp;C589&amp;"".mp3]&lt;/div&gt;"""),"&lt;ruby&gt;雰囲気&lt;rt&gt;ふんいき&lt;/rt&gt;&lt;/ruby&gt;&lt;br&gt;&lt;div class=""audio""&gt;[sound:ふんいき.mp3]&lt;/div&gt;")</f>
        <v>&lt;ruby&gt;雰囲気&lt;rt&gt;ふんいき&lt;/rt&gt;&lt;/ruby&gt;&lt;br&gt;&lt;div class="audio"&gt;[sound:ふんいき.mp3]&lt;/div&gt;</v>
      </c>
      <c r="H589" s="3" t="str">
        <f t="shared" si="1"/>
        <v>(n): bầu không khí</v>
      </c>
      <c r="I589" s="6" t="s">
        <v>3175</v>
      </c>
      <c r="J589" s="6" t="s">
        <v>3176</v>
      </c>
      <c r="K589" s="7">
        <f t="shared" si="2"/>
        <v>0.131601336</v>
      </c>
    </row>
    <row r="590">
      <c r="A590" s="4">
        <v>590.0</v>
      </c>
      <c r="B590" s="5" t="s">
        <v>3177</v>
      </c>
      <c r="C590" s="5" t="s">
        <v>3178</v>
      </c>
      <c r="D590" s="5" t="s">
        <v>3179</v>
      </c>
      <c r="E590" s="6" t="s">
        <v>74</v>
      </c>
      <c r="F590" s="6" t="s">
        <v>3180</v>
      </c>
      <c r="G590" s="3" t="str">
        <f>IFERROR(__xludf.DUMMYFUNCTION("REGEXREPLACE(
D590,
""([一-龯々]+)\[([^\]]+)\]"",
""&lt;ruby&gt;$1&lt;rt&gt;$2&lt;/rt&gt;&lt;/ruby&gt;""
)&amp;""&lt;br&gt;&lt;div class=""""audio""""&gt;[sound:""&amp;C590&amp;"".mp3]&lt;/div&gt;"""),"&lt;ruby&gt;移動&lt;rt&gt;いどう&lt;/rt&gt;&lt;/ruby&gt;&lt;br&gt;&lt;div class=""audio""&gt;[sound:いどう.mp3]&lt;/div&gt;")</f>
        <v>&lt;ruby&gt;移動&lt;rt&gt;いどう&lt;/rt&gt;&lt;/ruby&gt;&lt;br&gt;&lt;div class="audio"&gt;[sound:いどう.mp3]&lt;/div&gt;</v>
      </c>
      <c r="H590" s="3" t="str">
        <f t="shared" si="1"/>
        <v>(n): di chuyển</v>
      </c>
      <c r="I590" s="6" t="s">
        <v>3181</v>
      </c>
      <c r="J590" s="6" t="s">
        <v>3182</v>
      </c>
      <c r="K590" s="7">
        <f t="shared" si="2"/>
        <v>0.01058011821</v>
      </c>
    </row>
    <row r="591">
      <c r="A591" s="4">
        <v>591.0</v>
      </c>
      <c r="B591" s="5" t="s">
        <v>3183</v>
      </c>
      <c r="C591" s="5" t="s">
        <v>3183</v>
      </c>
      <c r="D591" s="5" t="s">
        <v>3183</v>
      </c>
      <c r="E591" s="6" t="s">
        <v>85</v>
      </c>
      <c r="F591" s="6" t="s">
        <v>3184</v>
      </c>
      <c r="G591" s="3" t="str">
        <f>IFERROR(__xludf.DUMMYFUNCTION("REGEXREPLACE(
D591,
""([一-龯々]+)\[([^\]]+)\]"",
""&lt;ruby&gt;$1&lt;rt&gt;$2&lt;/rt&gt;&lt;/ruby&gt;""
)&amp;""&lt;br&gt;&lt;div class=""""audio""""&gt;[sound:""&amp;C591&amp;"".mp3]&lt;/div&gt;"""),"いつか&lt;br&gt;&lt;div class=""audio""&gt;[sound:いつか.mp3]&lt;/div&gt;")</f>
        <v>いつか&lt;br&gt;&lt;div class="audio"&gt;[sound:いつか.mp3]&lt;/div&gt;</v>
      </c>
      <c r="H591" s="3" t="str">
        <f t="shared" si="1"/>
        <v>(adv): lúc nào đó</v>
      </c>
      <c r="I591" s="6" t="s">
        <v>3185</v>
      </c>
      <c r="J591" s="6" t="s">
        <v>3186</v>
      </c>
      <c r="K591" s="7">
        <f t="shared" si="2"/>
        <v>0.8292229232</v>
      </c>
    </row>
    <row r="592">
      <c r="A592" s="4">
        <v>592.0</v>
      </c>
      <c r="B592" s="5" t="s">
        <v>3187</v>
      </c>
      <c r="C592" s="5" t="s">
        <v>3188</v>
      </c>
      <c r="D592" s="5" t="s">
        <v>3189</v>
      </c>
      <c r="E592" s="6" t="s">
        <v>74</v>
      </c>
      <c r="F592" s="6" t="s">
        <v>3190</v>
      </c>
      <c r="G592" s="3" t="str">
        <f>IFERROR(__xludf.DUMMYFUNCTION("REGEXREPLACE(
D592,
""([一-龯々]+)\[([^\]]+)\]"",
""&lt;ruby&gt;$1&lt;rt&gt;$2&lt;/rt&gt;&lt;/ruby&gt;""
)&amp;""&lt;br&gt;&lt;div class=""""audio""""&gt;[sound:""&amp;C592&amp;"".mp3]&lt;/div&gt;"""),"&lt;ruby&gt;年間&lt;rt&gt;ねんかん&lt;/rt&gt;&lt;/ruby&gt;&lt;br&gt;&lt;div class=""audio""&gt;[sound:ねんかん.mp3]&lt;/div&gt;")</f>
        <v>&lt;ruby&gt;年間&lt;rt&gt;ねんかん&lt;/rt&gt;&lt;/ruby&gt;&lt;br&gt;&lt;div class="audio"&gt;[sound:ねんかん.mp3]&lt;/div&gt;</v>
      </c>
      <c r="H592" s="3" t="str">
        <f t="shared" si="1"/>
        <v>(n): trong năm</v>
      </c>
      <c r="I592" s="6" t="s">
        <v>3191</v>
      </c>
      <c r="J592" s="6" t="s">
        <v>3192</v>
      </c>
      <c r="K592" s="7">
        <f t="shared" si="2"/>
        <v>0.7652072702</v>
      </c>
    </row>
    <row r="593">
      <c r="A593" s="4">
        <v>593.0</v>
      </c>
      <c r="B593" s="5" t="s">
        <v>3193</v>
      </c>
      <c r="C593" s="5" t="s">
        <v>3194</v>
      </c>
      <c r="D593" s="5" t="s">
        <v>3193</v>
      </c>
      <c r="E593" s="6" t="s">
        <v>74</v>
      </c>
      <c r="F593" s="6" t="s">
        <v>3195</v>
      </c>
      <c r="G593" s="3" t="str">
        <f>IFERROR(__xludf.DUMMYFUNCTION("REGEXREPLACE(
D593,
""([一-龯々]+)\[([^\]]+)\]"",
""&lt;ruby&gt;$1&lt;rt&gt;$2&lt;/rt&gt;&lt;/ruby&gt;""
)&amp;""&lt;br&gt;&lt;div class=""""audio""""&gt;[sound:""&amp;C593&amp;"".mp3]&lt;/div&gt;"""),"アパート&lt;br&gt;&lt;div class=""audio""&gt;[sound:あぱーと.mp3]&lt;/div&gt;")</f>
        <v>アパート&lt;br&gt;&lt;div class="audio"&gt;[sound:あぱーと.mp3]&lt;/div&gt;</v>
      </c>
      <c r="H593" s="3" t="str">
        <f t="shared" si="1"/>
        <v>(n): căn hộ</v>
      </c>
      <c r="I593" s="6" t="s">
        <v>3196</v>
      </c>
      <c r="J593" s="6" t="s">
        <v>3197</v>
      </c>
      <c r="K593" s="7">
        <f t="shared" si="2"/>
        <v>0.8302529016</v>
      </c>
    </row>
    <row r="594">
      <c r="A594" s="4">
        <v>594.0</v>
      </c>
      <c r="B594" s="5" t="s">
        <v>3198</v>
      </c>
      <c r="C594" s="5" t="s">
        <v>3199</v>
      </c>
      <c r="D594" s="5" t="s">
        <v>3200</v>
      </c>
      <c r="E594" s="6" t="s">
        <v>74</v>
      </c>
      <c r="F594" s="6" t="s">
        <v>3201</v>
      </c>
      <c r="G594" s="3" t="str">
        <f>IFERROR(__xludf.DUMMYFUNCTION("REGEXREPLACE(
D594,
""([一-龯々]+)\[([^\]]+)\]"",
""&lt;ruby&gt;$1&lt;rt&gt;$2&lt;/rt&gt;&lt;/ruby&gt;""
)&amp;""&lt;br&gt;&lt;div class=""""audio""""&gt;[sound:""&amp;C594&amp;"".mp3]&lt;/div&gt;"""),"&lt;ruby&gt;活動&lt;rt&gt;かつどう&lt;/rt&gt;&lt;/ruby&gt;&lt;br&gt;&lt;div class=""audio""&gt;[sound:かつどう.mp3]&lt;/div&gt;")</f>
        <v>&lt;ruby&gt;活動&lt;rt&gt;かつどう&lt;/rt&gt;&lt;/ruby&gt;&lt;br&gt;&lt;div class="audio"&gt;[sound:かつどう.mp3]&lt;/div&gt;</v>
      </c>
      <c r="H594" s="3" t="str">
        <f t="shared" si="1"/>
        <v>(n): hoạt động</v>
      </c>
      <c r="I594" s="6" t="s">
        <v>3202</v>
      </c>
      <c r="J594" s="6" t="s">
        <v>3203</v>
      </c>
      <c r="K594" s="7">
        <f t="shared" si="2"/>
        <v>0.2217605104</v>
      </c>
    </row>
    <row r="595">
      <c r="A595" s="4">
        <v>595.0</v>
      </c>
      <c r="B595" s="5" t="s">
        <v>3204</v>
      </c>
      <c r="C595" s="5" t="s">
        <v>3205</v>
      </c>
      <c r="D595" s="5" t="s">
        <v>3206</v>
      </c>
      <c r="E595" s="6" t="s">
        <v>74</v>
      </c>
      <c r="F595" s="6" t="s">
        <v>3207</v>
      </c>
      <c r="G595" s="3" t="str">
        <f>IFERROR(__xludf.DUMMYFUNCTION("REGEXREPLACE(
D595,
""([一-龯々]+)\[([^\]]+)\]"",
""&lt;ruby&gt;$1&lt;rt&gt;$2&lt;/rt&gt;&lt;/ruby&gt;""
)&amp;""&lt;br&gt;&lt;div class=""""audio""""&gt;[sound:""&amp;C595&amp;"".mp3]&lt;/div&gt;"""),"&lt;ruby&gt;科学&lt;rt&gt;かがく&lt;/rt&gt;&lt;/ruby&gt;&lt;br&gt;&lt;div class=""audio""&gt;[sound:かがく.mp3]&lt;/div&gt;")</f>
        <v>&lt;ruby&gt;科学&lt;rt&gt;かがく&lt;/rt&gt;&lt;/ruby&gt;&lt;br&gt;&lt;div class="audio"&gt;[sound:かがく.mp3]&lt;/div&gt;</v>
      </c>
      <c r="H595" s="3" t="str">
        <f t="shared" si="1"/>
        <v>(n): khoa học</v>
      </c>
      <c r="I595" s="6" t="s">
        <v>3208</v>
      </c>
      <c r="J595" s="6" t="s">
        <v>3209</v>
      </c>
      <c r="K595" s="7">
        <f t="shared" si="2"/>
        <v>0.3970307292</v>
      </c>
    </row>
    <row r="596">
      <c r="A596" s="4">
        <v>596.0</v>
      </c>
      <c r="B596" s="5" t="s">
        <v>3210</v>
      </c>
      <c r="C596" s="5" t="s">
        <v>3210</v>
      </c>
      <c r="D596" s="5" t="s">
        <v>3210</v>
      </c>
      <c r="E596" s="6" t="s">
        <v>11</v>
      </c>
      <c r="F596" s="6" t="s">
        <v>863</v>
      </c>
      <c r="G596" s="3" t="str">
        <f>IFERROR(__xludf.DUMMYFUNCTION("REGEXREPLACE(
D596,
""([一-龯々]+)\[([^\]]+)\]"",
""&lt;ruby&gt;$1&lt;rt&gt;$2&lt;/rt&gt;&lt;/ruby&gt;""
)&amp;""&lt;br&gt;&lt;div class=""""audio""""&gt;[sound:""&amp;C596&amp;"".mp3]&lt;/div&gt;"""),"あんな&lt;br&gt;&lt;div class=""audio""&gt;[sound:あんな.mp3]&lt;/div&gt;")</f>
        <v>あんな&lt;br&gt;&lt;div class="audio"&gt;[sound:あんな.mp3]&lt;/div&gt;</v>
      </c>
      <c r="H596" s="3" t="str">
        <f t="shared" si="1"/>
        <v>(adj): như thế</v>
      </c>
      <c r="I596" s="6" t="s">
        <v>3211</v>
      </c>
      <c r="J596" s="6" t="s">
        <v>3212</v>
      </c>
      <c r="K596" s="7">
        <f t="shared" si="2"/>
        <v>0.1451375691</v>
      </c>
    </row>
    <row r="597">
      <c r="A597" s="4">
        <v>597.0</v>
      </c>
      <c r="B597" s="5" t="s">
        <v>3213</v>
      </c>
      <c r="C597" s="5" t="s">
        <v>3214</v>
      </c>
      <c r="D597" s="5" t="s">
        <v>3215</v>
      </c>
      <c r="E597" s="6" t="s">
        <v>74</v>
      </c>
      <c r="F597" s="6" t="s">
        <v>3216</v>
      </c>
      <c r="G597" s="3" t="str">
        <f>IFERROR(__xludf.DUMMYFUNCTION("REGEXREPLACE(
D597,
""([一-龯々]+)\[([^\]]+)\]"",
""&lt;ruby&gt;$1&lt;rt&gt;$2&lt;/rt&gt;&lt;/ruby&gt;""
)&amp;""&lt;br&gt;&lt;div class=""""audio""""&gt;[sound:""&amp;C597&amp;"".mp3]&lt;/div&gt;"""),"&lt;ruby&gt;工場&lt;rt&gt;こうじょう&lt;/rt&gt;&lt;/ruby&gt;&lt;br&gt;&lt;div class=""audio""&gt;[sound:こうじょう.mp3]&lt;/div&gt;")</f>
        <v>&lt;ruby&gt;工場&lt;rt&gt;こうじょう&lt;/rt&gt;&lt;/ruby&gt;&lt;br&gt;&lt;div class="audio"&gt;[sound:こうじょう.mp3]&lt;/div&gt;</v>
      </c>
      <c r="H597" s="3" t="str">
        <f t="shared" si="1"/>
        <v>(n): nhà máy</v>
      </c>
      <c r="I597" s="6" t="s">
        <v>3217</v>
      </c>
      <c r="J597" s="6" t="s">
        <v>3218</v>
      </c>
      <c r="K597" s="7">
        <f t="shared" si="2"/>
        <v>0.7380200169</v>
      </c>
    </row>
    <row r="598">
      <c r="A598" s="4">
        <v>598.0</v>
      </c>
      <c r="B598" s="5" t="s">
        <v>3219</v>
      </c>
      <c r="C598" s="5" t="s">
        <v>3220</v>
      </c>
      <c r="D598" s="5" t="s">
        <v>3221</v>
      </c>
      <c r="E598" s="6" t="s">
        <v>74</v>
      </c>
      <c r="F598" s="6" t="s">
        <v>3222</v>
      </c>
      <c r="G598" s="3" t="str">
        <f>IFERROR(__xludf.DUMMYFUNCTION("REGEXREPLACE(
D598,
""([一-龯々]+)\[([^\]]+)\]"",
""&lt;ruby&gt;$1&lt;rt&gt;$2&lt;/rt&gt;&lt;/ruby&gt;""
)&amp;""&lt;br&gt;&lt;div class=""""audio""""&gt;[sound:""&amp;C598&amp;"".mp3]&lt;/div&gt;"""),"&lt;ruby&gt;年度&lt;rt&gt;ねんど&lt;/rt&gt;&lt;/ruby&gt;&lt;br&gt;&lt;div class=""audio""&gt;[sound:ねんど.mp3]&lt;/div&gt;")</f>
        <v>&lt;ruby&gt;年度&lt;rt&gt;ねんど&lt;/rt&gt;&lt;/ruby&gt;&lt;br&gt;&lt;div class="audio"&gt;[sound:ねんど.mp3]&lt;/div&gt;</v>
      </c>
      <c r="H598" s="3" t="str">
        <f t="shared" si="1"/>
        <v>(n): niên khóa</v>
      </c>
      <c r="I598" s="6" t="s">
        <v>3223</v>
      </c>
      <c r="J598" s="6" t="s">
        <v>3224</v>
      </c>
      <c r="K598" s="7">
        <f t="shared" si="2"/>
        <v>0.76113768</v>
      </c>
    </row>
    <row r="599">
      <c r="A599" s="4">
        <v>599.0</v>
      </c>
      <c r="B599" s="5" t="s">
        <v>3225</v>
      </c>
      <c r="C599" s="5" t="s">
        <v>3226</v>
      </c>
      <c r="D599" s="5" t="s">
        <v>3227</v>
      </c>
      <c r="E599" s="6" t="s">
        <v>74</v>
      </c>
      <c r="F599" s="6" t="s">
        <v>3228</v>
      </c>
      <c r="G599" s="3" t="str">
        <f>IFERROR(__xludf.DUMMYFUNCTION("REGEXREPLACE(
D599,
""([一-龯々]+)\[([^\]]+)\]"",
""&lt;ruby&gt;$1&lt;rt&gt;$2&lt;/rt&gt;&lt;/ruby&gt;""
)&amp;""&lt;br&gt;&lt;div class=""""audio""""&gt;[sound:""&amp;C599&amp;"".mp3]&lt;/div&gt;"""),"&lt;ruby&gt;左&lt;rt&gt;ひだり&lt;/rt&gt;&lt;/ruby&gt;&lt;br&gt;&lt;div class=""audio""&gt;[sound:ひだり.mp3]&lt;/div&gt;")</f>
        <v>&lt;ruby&gt;左&lt;rt&gt;ひだり&lt;/rt&gt;&lt;/ruby&gt;&lt;br&gt;&lt;div class="audio"&gt;[sound:ひだり.mp3]&lt;/div&gt;</v>
      </c>
      <c r="H599" s="3" t="str">
        <f t="shared" si="1"/>
        <v>(n): bên trái</v>
      </c>
      <c r="I599" s="6" t="s">
        <v>3229</v>
      </c>
      <c r="J599" s="6" t="s">
        <v>3230</v>
      </c>
      <c r="K599" s="7">
        <f t="shared" si="2"/>
        <v>0.7429363253</v>
      </c>
    </row>
    <row r="600">
      <c r="A600" s="4">
        <v>600.0</v>
      </c>
      <c r="B600" s="5" t="s">
        <v>3231</v>
      </c>
      <c r="C600" s="5" t="s">
        <v>3232</v>
      </c>
      <c r="D600" s="5" t="s">
        <v>3233</v>
      </c>
      <c r="E600" s="6" t="s">
        <v>44</v>
      </c>
      <c r="F600" s="6" t="s">
        <v>498</v>
      </c>
      <c r="G600" s="3" t="str">
        <f>IFERROR(__xludf.DUMMYFUNCTION("REGEXREPLACE(
D600,
""([一-龯々]+)\[([^\]]+)\]"",
""&lt;ruby&gt;$1&lt;rt&gt;$2&lt;/rt&gt;&lt;/ruby&gt;""
)&amp;""&lt;br&gt;&lt;div class=""""audio""""&gt;[sound:""&amp;C600&amp;"".mp3]&lt;/div&gt;"""),"&lt;ruby&gt;自身&lt;rt&gt;じしん&lt;/rt&gt;&lt;/ruby&gt;&lt;br&gt;&lt;div class=""audio""&gt;[sound:じしん.mp3]&lt;/div&gt;")</f>
        <v>&lt;ruby&gt;自身&lt;rt&gt;じしん&lt;/rt&gt;&lt;/ruby&gt;&lt;br&gt;&lt;div class="audio"&gt;[sound:じしん.mp3]&lt;/div&gt;</v>
      </c>
      <c r="H600" s="3" t="str">
        <f t="shared" si="1"/>
        <v>(pron): bản thân</v>
      </c>
      <c r="I600" s="6" t="s">
        <v>3234</v>
      </c>
      <c r="J600" s="6" t="s">
        <v>3235</v>
      </c>
      <c r="K600" s="7">
        <f t="shared" si="2"/>
        <v>0.2918219362</v>
      </c>
    </row>
    <row r="601">
      <c r="A601" s="4">
        <v>601.0</v>
      </c>
      <c r="B601" s="5" t="s">
        <v>3236</v>
      </c>
      <c r="C601" s="5" t="s">
        <v>3237</v>
      </c>
      <c r="D601" s="5" t="s">
        <v>3236</v>
      </c>
      <c r="E601" s="6" t="s">
        <v>74</v>
      </c>
      <c r="F601" s="6" t="s">
        <v>3238</v>
      </c>
      <c r="G601" s="3" t="str">
        <f>IFERROR(__xludf.DUMMYFUNCTION("REGEXREPLACE(
D601,
""([一-龯々]+)\[([^\]]+)\]"",
""&lt;ruby&gt;$1&lt;rt&gt;$2&lt;/rt&gt;&lt;/ruby&gt;""
)&amp;""&lt;br&gt;&lt;div class=""""audio""""&gt;[sound:""&amp;C601&amp;"".mp3]&lt;/div&gt;"""),"エネルギー&lt;br&gt;&lt;div class=""audio""&gt;[sound:えねるぎー.mp3]&lt;/div&gt;")</f>
        <v>エネルギー&lt;br&gt;&lt;div class="audio"&gt;[sound:えねるぎー.mp3]&lt;/div&gt;</v>
      </c>
      <c r="H601" s="3" t="str">
        <f t="shared" si="1"/>
        <v>(n): năng lượng</v>
      </c>
      <c r="I601" s="6" t="s">
        <v>3239</v>
      </c>
      <c r="J601" s="6" t="s">
        <v>3240</v>
      </c>
      <c r="K601" s="7">
        <f t="shared" si="2"/>
        <v>0.8098527267</v>
      </c>
    </row>
    <row r="602">
      <c r="A602" s="4">
        <v>602.0</v>
      </c>
      <c r="B602" s="5" t="s">
        <v>3241</v>
      </c>
      <c r="C602" s="5" t="s">
        <v>3242</v>
      </c>
      <c r="D602" s="5" t="s">
        <v>3243</v>
      </c>
      <c r="E602" s="6" t="s">
        <v>74</v>
      </c>
      <c r="F602" s="6" t="s">
        <v>3244</v>
      </c>
      <c r="G602" s="3" t="str">
        <f>IFERROR(__xludf.DUMMYFUNCTION("REGEXREPLACE(
D602,
""([一-龯々]+)\[([^\]]+)\]"",
""&lt;ruby&gt;$1&lt;rt&gt;$2&lt;/rt&gt;&lt;/ruby&gt;""
)&amp;""&lt;br&gt;&lt;div class=""""audio""""&gt;[sound:""&amp;C602&amp;"".mp3]&lt;/div&gt;"""),"&lt;ruby&gt;表現&lt;rt&gt;ひょうげん&lt;/rt&gt;&lt;/ruby&gt;&lt;br&gt;&lt;div class=""audio""&gt;[sound:ひょうげん.mp3]&lt;/div&gt;")</f>
        <v>&lt;ruby&gt;表現&lt;rt&gt;ひょうげん&lt;/rt&gt;&lt;/ruby&gt;&lt;br&gt;&lt;div class="audio"&gt;[sound:ひょうげん.mp3]&lt;/div&gt;</v>
      </c>
      <c r="H602" s="3" t="str">
        <f t="shared" si="1"/>
        <v>(n): biểu hiện</v>
      </c>
      <c r="I602" s="6" t="s">
        <v>3245</v>
      </c>
      <c r="J602" s="6" t="s">
        <v>3246</v>
      </c>
      <c r="K602" s="7">
        <f t="shared" si="2"/>
        <v>0.830433879</v>
      </c>
    </row>
    <row r="603">
      <c r="A603" s="4">
        <v>603.0</v>
      </c>
      <c r="B603" s="5" t="s">
        <v>3247</v>
      </c>
      <c r="C603" s="5" t="s">
        <v>3248</v>
      </c>
      <c r="D603" s="5" t="s">
        <v>3249</v>
      </c>
      <c r="E603" s="6" t="s">
        <v>74</v>
      </c>
      <c r="F603" s="6" t="s">
        <v>3250</v>
      </c>
      <c r="G603" s="3" t="str">
        <f>IFERROR(__xludf.DUMMYFUNCTION("REGEXREPLACE(
D603,
""([一-龯々]+)\[([^\]]+)\]"",
""&lt;ruby&gt;$1&lt;rt&gt;$2&lt;/rt&gt;&lt;/ruby&gt;""
)&amp;""&lt;br&gt;&lt;div class=""""audio""""&gt;[sound:""&amp;C603&amp;"".mp3]&lt;/div&gt;"""),"&lt;ruby&gt;興味&lt;rt&gt;きょうみ&lt;/rt&gt;&lt;/ruby&gt;&lt;br&gt;&lt;div class=""audio""&gt;[sound:きょうみ.mp3]&lt;/div&gt;")</f>
        <v>&lt;ruby&gt;興味&lt;rt&gt;きょうみ&lt;/rt&gt;&lt;/ruby&gt;&lt;br&gt;&lt;div class="audio"&gt;[sound:きょうみ.mp3]&lt;/div&gt;</v>
      </c>
      <c r="H603" s="3" t="str">
        <f t="shared" si="1"/>
        <v>(n): hứng thú</v>
      </c>
      <c r="I603" s="6" t="s">
        <v>3251</v>
      </c>
      <c r="J603" s="6" t="s">
        <v>3252</v>
      </c>
      <c r="K603" s="7">
        <f t="shared" si="2"/>
        <v>0.5693742066</v>
      </c>
    </row>
    <row r="604">
      <c r="A604" s="4">
        <v>604.0</v>
      </c>
      <c r="B604" s="5" t="s">
        <v>3253</v>
      </c>
      <c r="C604" s="5" t="s">
        <v>3254</v>
      </c>
      <c r="D604" s="5" t="s">
        <v>3255</v>
      </c>
      <c r="E604" s="6" t="s">
        <v>85</v>
      </c>
      <c r="F604" s="6" t="s">
        <v>3256</v>
      </c>
      <c r="G604" s="3" t="str">
        <f>IFERROR(__xludf.DUMMYFUNCTION("REGEXREPLACE(
D604,
""([一-龯々]+)\[([^\]]+)\]"",
""&lt;ruby&gt;$1&lt;rt&gt;$2&lt;/rt&gt;&lt;/ruby&gt;""
)&amp;""&lt;br&gt;&lt;div class=""""audio""""&gt;[sound:""&amp;C604&amp;"".mp3]&lt;/div&gt;"""),"&lt;ruby&gt;結局&lt;rt&gt;けっきょく&lt;/rt&gt;&lt;/ruby&gt;&lt;br&gt;&lt;div class=""audio""&gt;[sound:けっきょく.mp3]&lt;/div&gt;")</f>
        <v>&lt;ruby&gt;結局&lt;rt&gt;けっきょく&lt;/rt&gt;&lt;/ruby&gt;&lt;br&gt;&lt;div class="audio"&gt;[sound:けっきょく.mp3]&lt;/div&gt;</v>
      </c>
      <c r="H604" s="3" t="str">
        <f t="shared" si="1"/>
        <v>(adv): kết cục</v>
      </c>
      <c r="I604" s="6" t="s">
        <v>3257</v>
      </c>
      <c r="J604" s="6" t="s">
        <v>3258</v>
      </c>
      <c r="K604" s="7">
        <f t="shared" si="2"/>
        <v>0.6237758452</v>
      </c>
    </row>
    <row r="605">
      <c r="A605" s="4">
        <v>605.0</v>
      </c>
      <c r="B605" s="5" t="s">
        <v>3259</v>
      </c>
      <c r="C605" s="5" t="s">
        <v>3260</v>
      </c>
      <c r="D605" s="5" t="s">
        <v>3261</v>
      </c>
      <c r="E605" s="6" t="s">
        <v>74</v>
      </c>
      <c r="F605" s="6" t="s">
        <v>842</v>
      </c>
      <c r="G605" s="3" t="str">
        <f>IFERROR(__xludf.DUMMYFUNCTION("REGEXREPLACE(
D605,
""([一-龯々]+)\[([^\]]+)\]"",
""&lt;ruby&gt;$1&lt;rt&gt;$2&lt;/rt&gt;&lt;/ruby&gt;""
)&amp;""&lt;br&gt;&lt;div class=""""audio""""&gt;[sound:""&amp;C605&amp;"".mp3]&lt;/div&gt;"""),"&lt;ruby&gt;父&lt;rt&gt;ちち&lt;/rt&gt;&lt;/ruby&gt;&lt;br&gt;&lt;div class=""audio""&gt;[sound:ちち.mp3]&lt;/div&gt;")</f>
        <v>&lt;ruby&gt;父&lt;rt&gt;ちち&lt;/rt&gt;&lt;/ruby&gt;&lt;br&gt;&lt;div class="audio"&gt;[sound:ちち.mp3]&lt;/div&gt;</v>
      </c>
      <c r="H605" s="3" t="str">
        <f t="shared" si="1"/>
        <v>(n): bố</v>
      </c>
      <c r="I605" s="6" t="s">
        <v>3262</v>
      </c>
      <c r="J605" s="6" t="s">
        <v>3263</v>
      </c>
      <c r="K605" s="7">
        <f t="shared" si="2"/>
        <v>0.9465198754</v>
      </c>
    </row>
    <row r="606">
      <c r="A606" s="4">
        <v>606.0</v>
      </c>
      <c r="B606" s="5" t="s">
        <v>3264</v>
      </c>
      <c r="C606" s="5" t="s">
        <v>3265</v>
      </c>
      <c r="D606" s="5" t="s">
        <v>3266</v>
      </c>
      <c r="E606" s="6" t="s">
        <v>74</v>
      </c>
      <c r="F606" s="6" t="s">
        <v>3267</v>
      </c>
      <c r="G606" s="3" t="str">
        <f>IFERROR(__xludf.DUMMYFUNCTION("REGEXREPLACE(
D606,
""([一-龯々]+)\[([^\]]+)\]"",
""&lt;ruby&gt;$1&lt;rt&gt;$2&lt;/rt&gt;&lt;/ruby&gt;""
)&amp;""&lt;br&gt;&lt;div class=""""audio""""&gt;[sound:""&amp;C606&amp;"".mp3]&lt;/div&gt;"""),"&lt;ruby&gt;合計&lt;rt&gt;ごうけい&lt;/rt&gt;&lt;/ruby&gt;&lt;br&gt;&lt;div class=""audio""&gt;[sound:ごうけい.mp3]&lt;/div&gt;")</f>
        <v>&lt;ruby&gt;合計&lt;rt&gt;ごうけい&lt;/rt&gt;&lt;/ruby&gt;&lt;br&gt;&lt;div class="audio"&gt;[sound:ごうけい.mp3]&lt;/div&gt;</v>
      </c>
      <c r="H606" s="3" t="str">
        <f t="shared" si="1"/>
        <v>(n): tổng cộng</v>
      </c>
      <c r="I606" s="6" t="s">
        <v>3268</v>
      </c>
      <c r="J606" s="6" t="s">
        <v>3269</v>
      </c>
      <c r="K606" s="7">
        <f t="shared" si="2"/>
        <v>0.5643908371</v>
      </c>
    </row>
    <row r="607">
      <c r="A607" s="4">
        <v>607.0</v>
      </c>
      <c r="B607" s="5" t="s">
        <v>3270</v>
      </c>
      <c r="C607" s="5" t="s">
        <v>3271</v>
      </c>
      <c r="D607" s="5" t="s">
        <v>3272</v>
      </c>
      <c r="E607" s="6" t="s">
        <v>74</v>
      </c>
      <c r="F607" s="6" t="s">
        <v>3273</v>
      </c>
      <c r="G607" s="3" t="str">
        <f>IFERROR(__xludf.DUMMYFUNCTION("REGEXREPLACE(
D607,
""([一-龯々]+)\[([^\]]+)\]"",
""&lt;ruby&gt;$1&lt;rt&gt;$2&lt;/rt&gt;&lt;/ruby&gt;""
)&amp;""&lt;br&gt;&lt;div class=""""audio""""&gt;[sound:""&amp;C607&amp;"".mp3]&lt;/div&gt;"""),"&lt;ruby&gt;朝&lt;rt&gt;あさ&lt;/rt&gt;&lt;/ruby&gt;&lt;br&gt;&lt;div class=""audio""&gt;[sound:あさ.mp3]&lt;/div&gt;")</f>
        <v>&lt;ruby&gt;朝&lt;rt&gt;あさ&lt;/rt&gt;&lt;/ruby&gt;&lt;br&gt;&lt;div class="audio"&gt;[sound:あさ.mp3]&lt;/div&gt;</v>
      </c>
      <c r="H607" s="3" t="str">
        <f t="shared" si="1"/>
        <v>(n): buổi sáng</v>
      </c>
      <c r="I607" s="6" t="s">
        <v>3274</v>
      </c>
      <c r="J607" s="6" t="s">
        <v>3275</v>
      </c>
      <c r="K607" s="7">
        <f t="shared" si="2"/>
        <v>0.3238161891</v>
      </c>
    </row>
    <row r="608">
      <c r="A608" s="4">
        <v>608.0</v>
      </c>
      <c r="B608" s="5" t="s">
        <v>3276</v>
      </c>
      <c r="C608" s="5" t="s">
        <v>3277</v>
      </c>
      <c r="D608" s="5" t="s">
        <v>3278</v>
      </c>
      <c r="E608" s="6" t="s">
        <v>74</v>
      </c>
      <c r="F608" s="6" t="s">
        <v>675</v>
      </c>
      <c r="G608" s="3" t="str">
        <f>IFERROR(__xludf.DUMMYFUNCTION("REGEXREPLACE(
D608,
""([一-龯々]+)\[([^\]]+)\]"",
""&lt;ruby&gt;$1&lt;rt&gt;$2&lt;/rt&gt;&lt;/ruby&gt;""
)&amp;""&lt;br&gt;&lt;div class=""""audio""""&gt;[sound:""&amp;C608&amp;"".mp3]&lt;/div&gt;"""),"&lt;ruby&gt;使用&lt;rt&gt;しよう&lt;/rt&gt;&lt;/ruby&gt;&lt;br&gt;&lt;div class=""audio""&gt;[sound:しよう.mp3]&lt;/div&gt;")</f>
        <v>&lt;ruby&gt;使用&lt;rt&gt;しよう&lt;/rt&gt;&lt;/ruby&gt;&lt;br&gt;&lt;div class="audio"&gt;[sound:しよう.mp3]&lt;/div&gt;</v>
      </c>
      <c r="H608" s="3" t="str">
        <f t="shared" si="1"/>
        <v>(n): sử dụng</v>
      </c>
      <c r="I608" s="6" t="s">
        <v>3279</v>
      </c>
      <c r="J608" s="6" t="s">
        <v>3280</v>
      </c>
      <c r="K608" s="7">
        <f t="shared" si="2"/>
        <v>0.1288796993</v>
      </c>
    </row>
    <row r="609">
      <c r="A609" s="4">
        <v>609.0</v>
      </c>
      <c r="B609" s="5" t="s">
        <v>3281</v>
      </c>
      <c r="C609" s="5" t="s">
        <v>3282</v>
      </c>
      <c r="D609" s="5" t="s">
        <v>3283</v>
      </c>
      <c r="E609" s="6" t="s">
        <v>74</v>
      </c>
      <c r="F609" s="6" t="s">
        <v>3284</v>
      </c>
      <c r="G609" s="3" t="str">
        <f>IFERROR(__xludf.DUMMYFUNCTION("REGEXREPLACE(
D609,
""([一-龯々]+)\[([^\]]+)\]"",
""&lt;ruby&gt;$1&lt;rt&gt;$2&lt;/rt&gt;&lt;/ruby&gt;""
)&amp;""&lt;br&gt;&lt;div class=""""audio""""&gt;[sound:""&amp;C609&amp;"".mp3]&lt;/div&gt;"""),"&lt;ruby&gt;窓&lt;rt&gt;まど&lt;/rt&gt;&lt;/ruby&gt;&lt;br&gt;&lt;div class=""audio""&gt;[sound:まど.mp3]&lt;/div&gt;")</f>
        <v>&lt;ruby&gt;窓&lt;rt&gt;まど&lt;/rt&gt;&lt;/ruby&gt;&lt;br&gt;&lt;div class="audio"&gt;[sound:まど.mp3]&lt;/div&gt;</v>
      </c>
      <c r="H609" s="3" t="str">
        <f t="shared" si="1"/>
        <v>(n): cửa sổ</v>
      </c>
      <c r="I609" s="6" t="s">
        <v>3285</v>
      </c>
      <c r="J609" s="6" t="s">
        <v>3286</v>
      </c>
      <c r="K609" s="7">
        <f t="shared" si="2"/>
        <v>0.1232311788</v>
      </c>
    </row>
    <row r="610">
      <c r="A610" s="4">
        <v>610.0</v>
      </c>
      <c r="B610" s="5" t="s">
        <v>3287</v>
      </c>
      <c r="C610" s="5" t="s">
        <v>3287</v>
      </c>
      <c r="D610" s="5" t="s">
        <v>3287</v>
      </c>
      <c r="E610" s="6" t="s">
        <v>85</v>
      </c>
      <c r="F610" s="6" t="s">
        <v>515</v>
      </c>
      <c r="G610" s="3" t="str">
        <f>IFERROR(__xludf.DUMMYFUNCTION("REGEXREPLACE(
D610,
""([一-龯々]+)\[([^\]]+)\]"",
""&lt;ruby&gt;$1&lt;rt&gt;$2&lt;/rt&gt;&lt;/ruby&gt;""
)&amp;""&lt;br&gt;&lt;div class=""""audio""""&gt;[sound:""&amp;C610&amp;"".mp3]&lt;/div&gt;"""),"こうして&lt;br&gt;&lt;div class=""audio""&gt;[sound:こうして.mp3]&lt;/div&gt;")</f>
        <v>こうして&lt;br&gt;&lt;div class="audio"&gt;[sound:こうして.mp3]&lt;/div&gt;</v>
      </c>
      <c r="H610" s="3" t="str">
        <f t="shared" si="1"/>
        <v>(adv): như thế này</v>
      </c>
      <c r="I610" s="6" t="s">
        <v>3288</v>
      </c>
      <c r="J610" s="6" t="s">
        <v>3289</v>
      </c>
      <c r="K610" s="7">
        <f t="shared" si="2"/>
        <v>0.7464435562</v>
      </c>
    </row>
    <row r="611">
      <c r="A611" s="4">
        <v>611.0</v>
      </c>
      <c r="B611" s="5" t="s">
        <v>3290</v>
      </c>
      <c r="C611" s="5" t="s">
        <v>3291</v>
      </c>
      <c r="D611" s="5" t="s">
        <v>3292</v>
      </c>
      <c r="E611" s="6" t="s">
        <v>74</v>
      </c>
      <c r="F611" s="6" t="s">
        <v>3293</v>
      </c>
      <c r="G611" s="3" t="str">
        <f>IFERROR(__xludf.DUMMYFUNCTION("REGEXREPLACE(
D611,
""([一-龯々]+)\[([^\]]+)\]"",
""&lt;ruby&gt;$1&lt;rt&gt;$2&lt;/rt&gt;&lt;/ruby&gt;""
)&amp;""&lt;br&gt;&lt;div class=""""audio""""&gt;[sound:""&amp;C611&amp;"".mp3]&lt;/div&gt;"""),"&lt;ruby&gt;瞬間&lt;rt&gt;しゅんかん&lt;/rt&gt;&lt;/ruby&gt;&lt;br&gt;&lt;div class=""audio""&gt;[sound:しゅんかん.mp3]&lt;/div&gt;")</f>
        <v>&lt;ruby&gt;瞬間&lt;rt&gt;しゅんかん&lt;/rt&gt;&lt;/ruby&gt;&lt;br&gt;&lt;div class="audio"&gt;[sound:しゅんかん.mp3]&lt;/div&gt;</v>
      </c>
      <c r="H611" s="3" t="str">
        <f t="shared" si="1"/>
        <v>(n): khoảnh khắc</v>
      </c>
      <c r="I611" s="6" t="s">
        <v>3294</v>
      </c>
      <c r="J611" s="6" t="s">
        <v>3295</v>
      </c>
      <c r="K611" s="7">
        <f t="shared" si="2"/>
        <v>0.9070391983</v>
      </c>
    </row>
    <row r="612">
      <c r="A612" s="4">
        <v>612.0</v>
      </c>
      <c r="B612" s="5" t="s">
        <v>3296</v>
      </c>
      <c r="C612" s="5" t="s">
        <v>3297</v>
      </c>
      <c r="D612" s="5" t="s">
        <v>3296</v>
      </c>
      <c r="E612" s="6" t="s">
        <v>74</v>
      </c>
      <c r="F612" s="6" t="s">
        <v>2181</v>
      </c>
      <c r="G612" s="3" t="str">
        <f>IFERROR(__xludf.DUMMYFUNCTION("REGEXREPLACE(
D612,
""([一-龯々]+)\[([^\]]+)\]"",
""&lt;ruby&gt;$1&lt;rt&gt;$2&lt;/rt&gt;&lt;/ruby&gt;""
)&amp;""&lt;br&gt;&lt;div class=""""audio""""&gt;[sound:""&amp;C612&amp;"".mp3]&lt;/div&gt;"""),"センター&lt;br&gt;&lt;div class=""audio""&gt;[sound:せんたー.mp3]&lt;/div&gt;")</f>
        <v>センター&lt;br&gt;&lt;div class="audio"&gt;[sound:せんたー.mp3]&lt;/div&gt;</v>
      </c>
      <c r="H612" s="3" t="str">
        <f t="shared" si="1"/>
        <v>(n): trung tâm</v>
      </c>
      <c r="I612" s="6" t="s">
        <v>3298</v>
      </c>
      <c r="J612" s="6" t="s">
        <v>3299</v>
      </c>
      <c r="K612" s="7">
        <f t="shared" si="2"/>
        <v>0.8356665763</v>
      </c>
    </row>
    <row r="613">
      <c r="A613" s="4">
        <v>613.0</v>
      </c>
      <c r="B613" s="5" t="s">
        <v>3300</v>
      </c>
      <c r="C613" s="5" t="s">
        <v>3301</v>
      </c>
      <c r="D613" s="5" t="s">
        <v>3302</v>
      </c>
      <c r="E613" s="6" t="s">
        <v>74</v>
      </c>
      <c r="F613" s="6" t="s">
        <v>3303</v>
      </c>
      <c r="G613" s="3" t="str">
        <f>IFERROR(__xludf.DUMMYFUNCTION("REGEXREPLACE(
D613,
""([一-龯々]+)\[([^\]]+)\]"",
""&lt;ruby&gt;$1&lt;rt&gt;$2&lt;/rt&gt;&lt;/ruby&gt;""
)&amp;""&lt;br&gt;&lt;div class=""""audio""""&gt;[sound:""&amp;C613&amp;"".mp3]&lt;/div&gt;"""),"&lt;ruby&gt;行動&lt;rt&gt;こうどう&lt;/rt&gt;&lt;/ruby&gt;&lt;br&gt;&lt;div class=""audio""&gt;[sound:こうどう.mp3]&lt;/div&gt;")</f>
        <v>&lt;ruby&gt;行動&lt;rt&gt;こうどう&lt;/rt&gt;&lt;/ruby&gt;&lt;br&gt;&lt;div class="audio"&gt;[sound:こうどう.mp3]&lt;/div&gt;</v>
      </c>
      <c r="H613" s="3" t="str">
        <f t="shared" si="1"/>
        <v>(n): hành động</v>
      </c>
      <c r="I613" s="6" t="s">
        <v>3304</v>
      </c>
      <c r="J613" s="6" t="s">
        <v>3305</v>
      </c>
      <c r="K613" s="7">
        <f t="shared" si="2"/>
        <v>0.8086923755</v>
      </c>
    </row>
    <row r="614">
      <c r="A614" s="4">
        <v>614.0</v>
      </c>
      <c r="B614" s="5" t="s">
        <v>3306</v>
      </c>
      <c r="C614" s="5" t="s">
        <v>3307</v>
      </c>
      <c r="D614" s="5" t="s">
        <v>3308</v>
      </c>
      <c r="E614" s="6" t="s">
        <v>74</v>
      </c>
      <c r="F614" s="6" t="s">
        <v>3309</v>
      </c>
      <c r="G614" s="3" t="str">
        <f>IFERROR(__xludf.DUMMYFUNCTION("REGEXREPLACE(
D614,
""([一-龯々]+)\[([^\]]+)\]"",
""&lt;ruby&gt;$1&lt;rt&gt;$2&lt;/rt&gt;&lt;/ruby&gt;""
)&amp;""&lt;br&gt;&lt;div class=""""audio""""&gt;[sound:""&amp;C614&amp;"".mp3]&lt;/div&gt;"""),"&lt;ruby&gt;会議&lt;rt&gt;かいぎ&lt;/rt&gt;&lt;/ruby&gt;&lt;br&gt;&lt;div class=""audio""&gt;[sound:かいぎ.mp3]&lt;/div&gt;")</f>
        <v>&lt;ruby&gt;会議&lt;rt&gt;かいぎ&lt;/rt&gt;&lt;/ruby&gt;&lt;br&gt;&lt;div class="audio"&gt;[sound:かいぎ.mp3]&lt;/div&gt;</v>
      </c>
      <c r="H614" s="3" t="str">
        <f t="shared" si="1"/>
        <v>(n): hội nghị</v>
      </c>
      <c r="I614" s="6" t="s">
        <v>3310</v>
      </c>
      <c r="J614" s="6" t="s">
        <v>3311</v>
      </c>
      <c r="K614" s="7">
        <f t="shared" si="2"/>
        <v>0.528152767</v>
      </c>
    </row>
    <row r="615">
      <c r="A615" s="4">
        <v>615.0</v>
      </c>
      <c r="B615" s="5" t="s">
        <v>3312</v>
      </c>
      <c r="C615" s="5" t="s">
        <v>3313</v>
      </c>
      <c r="D615" s="5" t="s">
        <v>3314</v>
      </c>
      <c r="E615" s="6" t="s">
        <v>85</v>
      </c>
      <c r="F615" s="6" t="s">
        <v>3315</v>
      </c>
      <c r="G615" s="3" t="str">
        <f>IFERROR(__xludf.DUMMYFUNCTION("REGEXREPLACE(
D615,
""([一-龯々]+)\[([^\]]+)\]"",
""&lt;ruby&gt;$1&lt;rt&gt;$2&lt;/rt&gt;&lt;/ruby&gt;""
)&amp;""&lt;br&gt;&lt;div class=""""audio""""&gt;[sound:""&amp;C615&amp;"".mp3]&lt;/div&gt;"""),"&lt;ruby&gt;特&lt;rt&gt;とく&lt;/rt&gt;&lt;/ruby&gt;に&lt;br&gt;&lt;div class=""audio""&gt;[sound:とくに.mp3]&lt;/div&gt;")</f>
        <v>&lt;ruby&gt;特&lt;rt&gt;とく&lt;/rt&gt;&lt;/ruby&gt;に&lt;br&gt;&lt;div class="audio"&gt;[sound:とくに.mp3]&lt;/div&gt;</v>
      </c>
      <c r="H615" s="3" t="str">
        <f t="shared" si="1"/>
        <v>(adv): đặc biệt</v>
      </c>
      <c r="I615" s="6" t="s">
        <v>3316</v>
      </c>
      <c r="J615" s="6" t="s">
        <v>3317</v>
      </c>
      <c r="K615" s="7">
        <f t="shared" si="2"/>
        <v>0.397610444</v>
      </c>
    </row>
    <row r="616">
      <c r="A616" s="4">
        <v>616.0</v>
      </c>
      <c r="B616" s="5" t="s">
        <v>3318</v>
      </c>
      <c r="C616" s="5" t="s">
        <v>3319</v>
      </c>
      <c r="D616" s="5" t="s">
        <v>3320</v>
      </c>
      <c r="E616" s="6" t="s">
        <v>24</v>
      </c>
      <c r="F616" s="6" t="s">
        <v>3321</v>
      </c>
      <c r="G616" s="3" t="str">
        <f>IFERROR(__xludf.DUMMYFUNCTION("REGEXREPLACE(
D616,
""([一-龯々]+)\[([^\]]+)\]"",
""&lt;ruby&gt;$1&lt;rt&gt;$2&lt;/rt&gt;&lt;/ruby&gt;""
)&amp;""&lt;br&gt;&lt;div class=""""audio""""&gt;[sound:""&amp;C616&amp;"".mp3]&lt;/div&gt;"""),"&lt;ruby&gt;歩&lt;rt&gt;ある&lt;/rt&gt;&lt;/ruby&gt;く&lt;br&gt;&lt;div class=""audio""&gt;[sound:あるく.mp3]&lt;/div&gt;")</f>
        <v>&lt;ruby&gt;歩&lt;rt&gt;ある&lt;/rt&gt;&lt;/ruby&gt;く&lt;br&gt;&lt;div class="audio"&gt;[sound:あるく.mp3]&lt;/div&gt;</v>
      </c>
      <c r="H616" s="3" t="str">
        <f t="shared" si="1"/>
        <v>(v): đi bộ</v>
      </c>
      <c r="I616" s="6" t="s">
        <v>3322</v>
      </c>
      <c r="J616" s="6" t="s">
        <v>3323</v>
      </c>
      <c r="K616" s="7">
        <f t="shared" si="2"/>
        <v>0.5035323461</v>
      </c>
    </row>
    <row r="617">
      <c r="A617" s="4">
        <v>617.0</v>
      </c>
      <c r="B617" s="5" t="s">
        <v>3324</v>
      </c>
      <c r="C617" s="5" t="s">
        <v>3325</v>
      </c>
      <c r="D617" s="5" t="s">
        <v>3326</v>
      </c>
      <c r="E617" s="6" t="s">
        <v>74</v>
      </c>
      <c r="F617" s="6" t="s">
        <v>3327</v>
      </c>
      <c r="G617" s="3" t="str">
        <f>IFERROR(__xludf.DUMMYFUNCTION("REGEXREPLACE(
D617,
""([一-龯々]+)\[([^\]]+)\]"",
""&lt;ruby&gt;$1&lt;rt&gt;$2&lt;/rt&gt;&lt;/ruby&gt;""
)&amp;""&lt;br&gt;&lt;div class=""""audio""""&gt;[sound:""&amp;C617&amp;"".mp3]&lt;/div&gt;"""),"&lt;ruby&gt;午後&lt;rt&gt;ごご&lt;/rt&gt;&lt;/ruby&gt;&lt;br&gt;&lt;div class=""audio""&gt;[sound:ごご.mp3]&lt;/div&gt;")</f>
        <v>&lt;ruby&gt;午後&lt;rt&gt;ごご&lt;/rt&gt;&lt;/ruby&gt;&lt;br&gt;&lt;div class="audio"&gt;[sound:ごご.mp3]&lt;/div&gt;</v>
      </c>
      <c r="H617" s="3" t="str">
        <f t="shared" si="1"/>
        <v>(n): buổi chiều</v>
      </c>
      <c r="I617" s="6" t="s">
        <v>3328</v>
      </c>
      <c r="J617" s="6" t="s">
        <v>3329</v>
      </c>
      <c r="K617" s="7">
        <f t="shared" si="2"/>
        <v>0.8129295123</v>
      </c>
    </row>
    <row r="618">
      <c r="A618" s="4">
        <v>618.0</v>
      </c>
      <c r="B618" s="5" t="s">
        <v>3330</v>
      </c>
      <c r="C618" s="5" t="s">
        <v>3331</v>
      </c>
      <c r="D618" s="5" t="s">
        <v>3332</v>
      </c>
      <c r="E618" s="6" t="s">
        <v>24</v>
      </c>
      <c r="F618" s="6" t="s">
        <v>3056</v>
      </c>
      <c r="G618" s="3" t="str">
        <f>IFERROR(__xludf.DUMMYFUNCTION("REGEXREPLACE(
D618,
""([一-龯々]+)\[([^\]]+)\]"",
""&lt;ruby&gt;$1&lt;rt&gt;$2&lt;/rt&gt;&lt;/ruby&gt;""
)&amp;""&lt;br&gt;&lt;div class=""""audio""""&gt;[sound:""&amp;C618&amp;"".mp3]&lt;/div&gt;"""),"&lt;ruby&gt;求&lt;rt&gt;もと&lt;/rt&gt;&lt;/ruby&gt;める&lt;br&gt;&lt;div class=""audio""&gt;[sound:もとめる.mp3]&lt;/div&gt;")</f>
        <v>&lt;ruby&gt;求&lt;rt&gt;もと&lt;/rt&gt;&lt;/ruby&gt;める&lt;br&gt;&lt;div class="audio"&gt;[sound:もとめる.mp3]&lt;/div&gt;</v>
      </c>
      <c r="H618" s="3" t="str">
        <f t="shared" si="1"/>
        <v>(v): tìm kiếm</v>
      </c>
      <c r="I618" s="6" t="s">
        <v>3333</v>
      </c>
      <c r="J618" s="6" t="s">
        <v>3334</v>
      </c>
      <c r="K618" s="7">
        <f t="shared" si="2"/>
        <v>0.8183195089</v>
      </c>
    </row>
    <row r="619">
      <c r="A619" s="4">
        <v>619.0</v>
      </c>
      <c r="B619" s="5" t="s">
        <v>3335</v>
      </c>
      <c r="C619" s="5" t="s">
        <v>3336</v>
      </c>
      <c r="D619" s="5" t="s">
        <v>3337</v>
      </c>
      <c r="E619" s="6" t="s">
        <v>74</v>
      </c>
      <c r="F619" s="6" t="s">
        <v>3338</v>
      </c>
      <c r="G619" s="3" t="str">
        <f>IFERROR(__xludf.DUMMYFUNCTION("REGEXREPLACE(
D619,
""([一-龯々]+)\[([^\]]+)\]"",
""&lt;ruby&gt;$1&lt;rt&gt;$2&lt;/rt&gt;&lt;/ruby&gt;""
)&amp;""&lt;br&gt;&lt;div class=""""audio""""&gt;[sound:""&amp;C619&amp;"".mp3]&lt;/div&gt;"""),"&lt;ruby&gt;現在&lt;rt&gt;げんざい&lt;/rt&gt;&lt;/ruby&gt;&lt;br&gt;&lt;div class=""audio""&gt;[sound:げんざい.mp3]&lt;/div&gt;")</f>
        <v>&lt;ruby&gt;現在&lt;rt&gt;げんざい&lt;/rt&gt;&lt;/ruby&gt;&lt;br&gt;&lt;div class="audio"&gt;[sound:げんざい.mp3]&lt;/div&gt;</v>
      </c>
      <c r="H619" s="3" t="str">
        <f t="shared" si="1"/>
        <v>(n): hiện tại</v>
      </c>
      <c r="I619" s="6" t="s">
        <v>3339</v>
      </c>
      <c r="J619" s="6" t="s">
        <v>3340</v>
      </c>
      <c r="K619" s="7">
        <f t="shared" si="2"/>
        <v>0.4802421964</v>
      </c>
    </row>
    <row r="620">
      <c r="A620" s="4">
        <v>620.0</v>
      </c>
      <c r="B620" s="5" t="s">
        <v>3341</v>
      </c>
      <c r="C620" s="5" t="s">
        <v>3342</v>
      </c>
      <c r="D620" s="5" t="s">
        <v>3343</v>
      </c>
      <c r="E620" s="6" t="s">
        <v>74</v>
      </c>
      <c r="F620" s="6" t="s">
        <v>3344</v>
      </c>
      <c r="G620" s="3" t="str">
        <f>IFERROR(__xludf.DUMMYFUNCTION("REGEXREPLACE(
D620,
""([一-龯々]+)\[([^\]]+)\]"",
""&lt;ruby&gt;$1&lt;rt&gt;$2&lt;/rt&gt;&lt;/ruby&gt;""
)&amp;""&lt;br&gt;&lt;div class=""""audio""""&gt;[sound:""&amp;C620&amp;"".mp3]&lt;/div&gt;"""),"&lt;ruby&gt;空&lt;rt&gt;そら&lt;/rt&gt;&lt;/ruby&gt;&lt;br&gt;&lt;div class=""audio""&gt;[sound:そら.mp3]&lt;/div&gt;")</f>
        <v>&lt;ruby&gt;空&lt;rt&gt;そら&lt;/rt&gt;&lt;/ruby&gt;&lt;br&gt;&lt;div class="audio"&gt;[sound:そら.mp3]&lt;/div&gt;</v>
      </c>
      <c r="H620" s="3" t="str">
        <f t="shared" si="1"/>
        <v>(n): bầu trời</v>
      </c>
      <c r="I620" s="6" t="s">
        <v>3345</v>
      </c>
      <c r="J620" s="6" t="s">
        <v>3346</v>
      </c>
      <c r="K620" s="7">
        <f t="shared" si="2"/>
        <v>0.1260153542</v>
      </c>
    </row>
    <row r="621">
      <c r="A621" s="4">
        <v>621.0</v>
      </c>
      <c r="B621" s="5" t="s">
        <v>3347</v>
      </c>
      <c r="C621" s="5" t="s">
        <v>3347</v>
      </c>
      <c r="D621" s="5" t="s">
        <v>3347</v>
      </c>
      <c r="E621" s="6" t="s">
        <v>85</v>
      </c>
      <c r="F621" s="6" t="s">
        <v>3348</v>
      </c>
      <c r="G621" s="3" t="str">
        <f>IFERROR(__xludf.DUMMYFUNCTION("REGEXREPLACE(
D621,
""([一-龯々]+)\[([^\]]+)\]"",
""&lt;ruby&gt;$1&lt;rt&gt;$2&lt;/rt&gt;&lt;/ruby&gt;""
)&amp;""&lt;br&gt;&lt;div class=""""audio""""&gt;[sound:""&amp;C621&amp;"".mp3]&lt;/div&gt;"""),"さっき&lt;br&gt;&lt;div class=""audio""&gt;[sound:さっき.mp3]&lt;/div&gt;")</f>
        <v>さっき&lt;br&gt;&lt;div class="audio"&gt;[sound:さっき.mp3]&lt;/div&gt;</v>
      </c>
      <c r="H621" s="3" t="str">
        <f t="shared" si="1"/>
        <v>(adv): vừa nãy</v>
      </c>
      <c r="I621" s="6" t="s">
        <v>3349</v>
      </c>
      <c r="J621" s="6" t="s">
        <v>3350</v>
      </c>
      <c r="K621" s="7">
        <f t="shared" si="2"/>
        <v>0.9649137719</v>
      </c>
    </row>
    <row r="622">
      <c r="A622" s="4">
        <v>622.0</v>
      </c>
      <c r="B622" s="5" t="s">
        <v>3351</v>
      </c>
      <c r="C622" s="5" t="s">
        <v>3352</v>
      </c>
      <c r="D622" s="5" t="s">
        <v>3353</v>
      </c>
      <c r="E622" s="6" t="s">
        <v>24</v>
      </c>
      <c r="F622" s="6" t="s">
        <v>3354</v>
      </c>
      <c r="G622" s="3" t="str">
        <f>IFERROR(__xludf.DUMMYFUNCTION("REGEXREPLACE(
D622,
""([一-龯々]+)\[([^\]]+)\]"",
""&lt;ruby&gt;$1&lt;rt&gt;$2&lt;/rt&gt;&lt;/ruby&gt;""
)&amp;""&lt;br&gt;&lt;div class=""""audio""""&gt;[sound:""&amp;C622&amp;"".mp3]&lt;/div&gt;"""),"&lt;ruby&gt;伝&lt;rt&gt;つた&lt;/rt&gt;&lt;/ruby&gt;わる&lt;br&gt;&lt;div class=""audio""&gt;[sound:つたわる.mp3]&lt;/div&gt;")</f>
        <v>&lt;ruby&gt;伝&lt;rt&gt;つた&lt;/rt&gt;&lt;/ruby&gt;わる&lt;br&gt;&lt;div class="audio"&gt;[sound:つたわる.mp3]&lt;/div&gt;</v>
      </c>
      <c r="H622" s="3" t="str">
        <f t="shared" si="1"/>
        <v>(v): được truyền đạt</v>
      </c>
      <c r="I622" s="6" t="s">
        <v>3355</v>
      </c>
      <c r="J622" s="6" t="s">
        <v>3356</v>
      </c>
      <c r="K622" s="7">
        <f t="shared" si="2"/>
        <v>0.09071434339</v>
      </c>
    </row>
    <row r="623">
      <c r="A623" s="4">
        <v>623.0</v>
      </c>
      <c r="B623" s="5" t="s">
        <v>3357</v>
      </c>
      <c r="C623" s="5" t="s">
        <v>3358</v>
      </c>
      <c r="D623" s="5" t="s">
        <v>3359</v>
      </c>
      <c r="E623" s="6" t="s">
        <v>74</v>
      </c>
      <c r="F623" s="6" t="s">
        <v>3360</v>
      </c>
      <c r="G623" s="3" t="str">
        <f>IFERROR(__xludf.DUMMYFUNCTION("REGEXREPLACE(
D623,
""([一-龯々]+)\[([^\]]+)\]"",
""&lt;ruby&gt;$1&lt;rt&gt;$2&lt;/rt&gt;&lt;/ruby&gt;""
)&amp;""&lt;br&gt;&lt;div class=""""audio""""&gt;[sound:""&amp;C623&amp;"".mp3]&lt;/div&gt;"""),"&lt;ruby&gt;受付&lt;rt&gt;うけつけ&lt;/rt&gt;&lt;/ruby&gt;&lt;br&gt;&lt;div class=""audio""&gt;[sound:うけつけ.mp3]&lt;/div&gt;")</f>
        <v>&lt;ruby&gt;受付&lt;rt&gt;うけつけ&lt;/rt&gt;&lt;/ruby&gt;&lt;br&gt;&lt;div class="audio"&gt;[sound:うけつけ.mp3]&lt;/div&gt;</v>
      </c>
      <c r="H623" s="3" t="str">
        <f t="shared" si="1"/>
        <v>(n): quầy lễ tân</v>
      </c>
      <c r="I623" s="6" t="s">
        <v>3361</v>
      </c>
      <c r="J623" s="6" t="s">
        <v>3362</v>
      </c>
      <c r="K623" s="7">
        <f t="shared" si="2"/>
        <v>0.4814894652</v>
      </c>
    </row>
    <row r="624">
      <c r="A624" s="4">
        <v>624.0</v>
      </c>
      <c r="B624" s="5" t="s">
        <v>3363</v>
      </c>
      <c r="C624" s="5" t="s">
        <v>3364</v>
      </c>
      <c r="D624" s="5" t="s">
        <v>3365</v>
      </c>
      <c r="E624" s="6" t="s">
        <v>24</v>
      </c>
      <c r="F624" s="6" t="s">
        <v>3366</v>
      </c>
      <c r="G624" s="3" t="str">
        <f>IFERROR(__xludf.DUMMYFUNCTION("REGEXREPLACE(
D624,
""([一-龯々]+)\[([^\]]+)\]"",
""&lt;ruby&gt;$1&lt;rt&gt;$2&lt;/rt&gt;&lt;/ruby&gt;""
)&amp;""&lt;br&gt;&lt;div class=""""audio""""&gt;[sound:""&amp;C624&amp;"".mp3]&lt;/div&gt;"""),"&lt;ruby&gt;決&lt;rt&gt;き&lt;/rt&gt;&lt;/ruby&gt;める&lt;br&gt;&lt;div class=""audio""&gt;[sound:きめる.mp3]&lt;/div&gt;")</f>
        <v>&lt;ruby&gt;決&lt;rt&gt;き&lt;/rt&gt;&lt;/ruby&gt;める&lt;br&gt;&lt;div class="audio"&gt;[sound:きめる.mp3]&lt;/div&gt;</v>
      </c>
      <c r="H624" s="3" t="str">
        <f t="shared" si="1"/>
        <v>(v): quyết định</v>
      </c>
      <c r="I624" s="6" t="s">
        <v>3367</v>
      </c>
      <c r="J624" s="6" t="s">
        <v>3368</v>
      </c>
      <c r="K624" s="7">
        <f t="shared" si="2"/>
        <v>0.002424916186</v>
      </c>
    </row>
    <row r="625">
      <c r="A625" s="4">
        <v>625.0</v>
      </c>
      <c r="B625" s="5" t="s">
        <v>3369</v>
      </c>
      <c r="C625" s="5" t="s">
        <v>3370</v>
      </c>
      <c r="D625" s="5" t="s">
        <v>3371</v>
      </c>
      <c r="E625" s="6" t="s">
        <v>74</v>
      </c>
      <c r="F625" s="6" t="s">
        <v>1216</v>
      </c>
      <c r="G625" s="3" t="str">
        <f>IFERROR(__xludf.DUMMYFUNCTION("REGEXREPLACE(
D625,
""([一-龯々]+)\[([^\]]+)\]"",
""&lt;ruby&gt;$1&lt;rt&gt;$2&lt;/rt&gt;&lt;/ruby&gt;""
)&amp;""&lt;br&gt;&lt;div class=""""audio""""&gt;[sound:""&amp;C625&amp;"".mp3]&lt;/div&gt;"""),"&lt;ruby&gt;経営&lt;rt&gt;けいえい&lt;/rt&gt;&lt;/ruby&gt;&lt;br&gt;&lt;div class=""audio""&gt;[sound:けいえい.mp3]&lt;/div&gt;")</f>
        <v>&lt;ruby&gt;経営&lt;rt&gt;けいえい&lt;/rt&gt;&lt;/ruby&gt;&lt;br&gt;&lt;div class="audio"&gt;[sound:けいえい.mp3]&lt;/div&gt;</v>
      </c>
      <c r="H625" s="3" t="str">
        <f t="shared" si="1"/>
        <v>(n): kinh doanh</v>
      </c>
      <c r="I625" s="6" t="s">
        <v>3372</v>
      </c>
      <c r="J625" s="6" t="s">
        <v>3373</v>
      </c>
      <c r="K625" s="7">
        <f t="shared" si="2"/>
        <v>0.4399637813</v>
      </c>
    </row>
    <row r="626">
      <c r="A626" s="4">
        <v>626.0</v>
      </c>
      <c r="B626" s="5" t="s">
        <v>3374</v>
      </c>
      <c r="C626" s="5" t="s">
        <v>3375</v>
      </c>
      <c r="D626" s="5" t="s">
        <v>3374</v>
      </c>
      <c r="E626" s="6" t="s">
        <v>74</v>
      </c>
      <c r="F626" s="6" t="s">
        <v>3376</v>
      </c>
      <c r="G626" s="3" t="str">
        <f>IFERROR(__xludf.DUMMYFUNCTION("REGEXREPLACE(
D626,
""([一-龯々]+)\[([^\]]+)\]"",
""&lt;ruby&gt;$1&lt;rt&gt;$2&lt;/rt&gt;&lt;/ruby&gt;""
)&amp;""&lt;br&gt;&lt;div class=""""audio""""&gt;[sound:""&amp;C626&amp;"".mp3]&lt;/div&gt;"""),"パーセント&lt;br&gt;&lt;div class=""audio""&gt;[sound:ぱーせんと.mp3]&lt;/div&gt;")</f>
        <v>パーセント&lt;br&gt;&lt;div class="audio"&gt;[sound:ぱーせんと.mp3]&lt;/div&gt;</v>
      </c>
      <c r="H626" s="3" t="str">
        <f t="shared" si="1"/>
        <v>(n): phần trăm</v>
      </c>
      <c r="I626" s="6" t="s">
        <v>3377</v>
      </c>
      <c r="J626" s="6" t="s">
        <v>3378</v>
      </c>
      <c r="K626" s="7">
        <f t="shared" si="2"/>
        <v>0.8486106205</v>
      </c>
    </row>
    <row r="627">
      <c r="A627" s="4">
        <v>627.0</v>
      </c>
      <c r="B627" s="5" t="s">
        <v>3379</v>
      </c>
      <c r="C627" s="5" t="s">
        <v>3380</v>
      </c>
      <c r="D627" s="5" t="s">
        <v>3381</v>
      </c>
      <c r="E627" s="6" t="s">
        <v>74</v>
      </c>
      <c r="F627" s="6" t="s">
        <v>3382</v>
      </c>
      <c r="G627" s="3" t="str">
        <f>IFERROR(__xludf.DUMMYFUNCTION("REGEXREPLACE(
D627,
""([一-龯々]+)\[([^\]]+)\]"",
""&lt;ruby&gt;$1&lt;rt&gt;$2&lt;/rt&gt;&lt;/ruby&gt;""
)&amp;""&lt;br&gt;&lt;div class=""""audio""""&gt;[sound:""&amp;C627&amp;"".mp3]&lt;/div&gt;"""),"&lt;ruby&gt;中学&lt;rt&gt;ちゅうがく&lt;/rt&gt;&lt;/ruby&gt;&lt;br&gt;&lt;div class=""audio""&gt;[sound:ちゅうがく.mp3]&lt;/div&gt;")</f>
        <v>&lt;ruby&gt;中学&lt;rt&gt;ちゅうがく&lt;/rt&gt;&lt;/ruby&gt;&lt;br&gt;&lt;div class="audio"&gt;[sound:ちゅうがく.mp3]&lt;/div&gt;</v>
      </c>
      <c r="H627" s="3" t="str">
        <f t="shared" si="1"/>
        <v>(n): trung học</v>
      </c>
      <c r="I627" s="6" t="s">
        <v>3383</v>
      </c>
      <c r="J627" s="6" t="s">
        <v>3384</v>
      </c>
      <c r="K627" s="7">
        <f t="shared" si="2"/>
        <v>0.7883335493</v>
      </c>
    </row>
    <row r="628">
      <c r="A628" s="4">
        <v>628.0</v>
      </c>
      <c r="B628" s="5" t="s">
        <v>3385</v>
      </c>
      <c r="C628" s="5" t="s">
        <v>3386</v>
      </c>
      <c r="D628" s="5" t="s">
        <v>3387</v>
      </c>
      <c r="E628" s="6" t="s">
        <v>11</v>
      </c>
      <c r="F628" s="6" t="s">
        <v>3388</v>
      </c>
      <c r="G628" s="3" t="str">
        <f>IFERROR(__xludf.DUMMYFUNCTION("REGEXREPLACE(
D628,
""([一-龯々]+)\[([^\]]+)\]"",
""&lt;ruby&gt;$1&lt;rt&gt;$2&lt;/rt&gt;&lt;/ruby&gt;""
)&amp;""&lt;br&gt;&lt;div class=""""audio""""&gt;[sound:""&amp;C628&amp;"".mp3]&lt;/div&gt;"""),"&lt;ruby&gt;大好&lt;rt&gt;だいす&lt;/rt&gt;&lt;/ruby&gt;き&lt;br&gt;&lt;div class=""audio""&gt;[sound:だいすき.mp3]&lt;/div&gt;")</f>
        <v>&lt;ruby&gt;大好&lt;rt&gt;だいす&lt;/rt&gt;&lt;/ruby&gt;き&lt;br&gt;&lt;div class="audio"&gt;[sound:だいすき.mp3]&lt;/div&gt;</v>
      </c>
      <c r="H628" s="3" t="str">
        <f t="shared" si="1"/>
        <v>(adj): rất thích</v>
      </c>
      <c r="I628" s="6" t="s">
        <v>3389</v>
      </c>
      <c r="J628" s="6" t="s">
        <v>3390</v>
      </c>
      <c r="K628" s="7">
        <f t="shared" si="2"/>
        <v>0.2004809781</v>
      </c>
    </row>
    <row r="629">
      <c r="A629" s="4">
        <v>629.0</v>
      </c>
      <c r="B629" s="5" t="s">
        <v>3391</v>
      </c>
      <c r="C629" s="5" t="s">
        <v>3392</v>
      </c>
      <c r="D629" s="5" t="s">
        <v>3393</v>
      </c>
      <c r="E629" s="6" t="s">
        <v>74</v>
      </c>
      <c r="F629" s="6" t="s">
        <v>3394</v>
      </c>
      <c r="G629" s="3" t="str">
        <f>IFERROR(__xludf.DUMMYFUNCTION("REGEXREPLACE(
D629,
""([一-龯々]+)\[([^\]]+)\]"",
""&lt;ruby&gt;$1&lt;rt&gt;$2&lt;/rt&gt;&lt;/ruby&gt;""
)&amp;""&lt;br&gt;&lt;div class=""""audio""""&gt;[sound:""&amp;C629&amp;"".mp3]&lt;/div&gt;"""),"&lt;ruby&gt;回復&lt;rt&gt;かいふく&lt;/rt&gt;&lt;/ruby&gt;&lt;br&gt;&lt;div class=""audio""&gt;[sound:かいふく.mp3]&lt;/div&gt;")</f>
        <v>&lt;ruby&gt;回復&lt;rt&gt;かいふく&lt;/rt&gt;&lt;/ruby&gt;&lt;br&gt;&lt;div class="audio"&gt;[sound:かいふく.mp3]&lt;/div&gt;</v>
      </c>
      <c r="H629" s="3" t="str">
        <f t="shared" si="1"/>
        <v>(n): hồi phục</v>
      </c>
      <c r="I629" s="6" t="s">
        <v>3395</v>
      </c>
      <c r="J629" s="6" t="s">
        <v>3396</v>
      </c>
      <c r="K629" s="7">
        <f t="shared" si="2"/>
        <v>0.1320972609</v>
      </c>
    </row>
    <row r="630">
      <c r="A630" s="4">
        <v>630.0</v>
      </c>
      <c r="B630" s="5" t="s">
        <v>3397</v>
      </c>
      <c r="C630" s="5" t="s">
        <v>3398</v>
      </c>
      <c r="D630" s="5" t="s">
        <v>3399</v>
      </c>
      <c r="E630" s="6" t="s">
        <v>74</v>
      </c>
      <c r="F630" s="6" t="s">
        <v>3400</v>
      </c>
      <c r="G630" s="3" t="str">
        <f>IFERROR(__xludf.DUMMYFUNCTION("REGEXREPLACE(
D630,
""([一-龯々]+)\[([^\]]+)\]"",
""&lt;ruby&gt;$1&lt;rt&gt;$2&lt;/rt&gt;&lt;/ruby&gt;""
)&amp;""&lt;br&gt;&lt;div class=""""audio""""&gt;[sound:""&amp;C630&amp;"".mp3]&lt;/div&gt;"""),"&lt;ruby&gt;能力&lt;rt&gt;のうりょく&lt;/rt&gt;&lt;/ruby&gt;&lt;br&gt;&lt;div class=""audio""&gt;[sound:のうりょく.mp3]&lt;/div&gt;")</f>
        <v>&lt;ruby&gt;能力&lt;rt&gt;のうりょく&lt;/rt&gt;&lt;/ruby&gt;&lt;br&gt;&lt;div class="audio"&gt;[sound:のうりょく.mp3]&lt;/div&gt;</v>
      </c>
      <c r="H630" s="3" t="str">
        <f t="shared" si="1"/>
        <v>(n): năng lực</v>
      </c>
      <c r="I630" s="6" t="s">
        <v>3401</v>
      </c>
      <c r="J630" s="6" t="s">
        <v>3402</v>
      </c>
      <c r="K630" s="7">
        <f t="shared" si="2"/>
        <v>0.8798192909</v>
      </c>
    </row>
    <row r="631">
      <c r="A631" s="4">
        <v>631.0</v>
      </c>
      <c r="B631" s="5" t="s">
        <v>3403</v>
      </c>
      <c r="C631" s="5" t="s">
        <v>3404</v>
      </c>
      <c r="D631" s="5" t="s">
        <v>3405</v>
      </c>
      <c r="E631" s="6" t="s">
        <v>74</v>
      </c>
      <c r="F631" s="6" t="s">
        <v>3406</v>
      </c>
      <c r="G631" s="3" t="str">
        <f>IFERROR(__xludf.DUMMYFUNCTION("REGEXREPLACE(
D631,
""([一-龯々]+)\[([^\]]+)\]"",
""&lt;ruby&gt;$1&lt;rt&gt;$2&lt;/rt&gt;&lt;/ruby&gt;""
)&amp;""&lt;br&gt;&lt;div class=""""audio""""&gt;[sound:""&amp;C631&amp;"".mp3]&lt;/div&gt;"""),"&lt;ruby&gt;音&lt;rt&gt;おと&lt;/rt&gt;&lt;/ruby&gt;&lt;br&gt;&lt;div class=""audio""&gt;[sound:おと.mp3]&lt;/div&gt;")</f>
        <v>&lt;ruby&gt;音&lt;rt&gt;おと&lt;/rt&gt;&lt;/ruby&gt;&lt;br&gt;&lt;div class="audio"&gt;[sound:おと.mp3]&lt;/div&gt;</v>
      </c>
      <c r="H631" s="3" t="str">
        <f t="shared" si="1"/>
        <v>(n): âm thanh</v>
      </c>
      <c r="I631" s="6" t="s">
        <v>3407</v>
      </c>
      <c r="J631" s="6" t="s">
        <v>3408</v>
      </c>
      <c r="K631" s="7">
        <f t="shared" si="2"/>
        <v>0.9535149317</v>
      </c>
    </row>
    <row r="632">
      <c r="A632" s="4">
        <v>632.0</v>
      </c>
      <c r="B632" s="5" t="s">
        <v>3409</v>
      </c>
      <c r="C632" s="5" t="s">
        <v>3410</v>
      </c>
      <c r="D632" s="5" t="s">
        <v>3411</v>
      </c>
      <c r="E632" s="6" t="s">
        <v>74</v>
      </c>
      <c r="F632" s="6" t="s">
        <v>3412</v>
      </c>
      <c r="G632" s="3" t="str">
        <f>IFERROR(__xludf.DUMMYFUNCTION("REGEXREPLACE(
D632,
""([一-龯々]+)\[([^\]]+)\]"",
""&lt;ruby&gt;$1&lt;rt&gt;$2&lt;/rt&gt;&lt;/ruby&gt;""
)&amp;""&lt;br&gt;&lt;div class=""""audio""""&gt;[sound:""&amp;C632&amp;"".mp3]&lt;/div&gt;"""),"&lt;ruby&gt;土曜日&lt;rt&gt;どようび&lt;/rt&gt;&lt;/ruby&gt;&lt;br&gt;&lt;div class=""audio""&gt;[sound:どようび.mp3]&lt;/div&gt;")</f>
        <v>&lt;ruby&gt;土曜日&lt;rt&gt;どようび&lt;/rt&gt;&lt;/ruby&gt;&lt;br&gt;&lt;div class="audio"&gt;[sound:どようび.mp3]&lt;/div&gt;</v>
      </c>
      <c r="H632" s="3" t="str">
        <f t="shared" si="1"/>
        <v>(n): thứ bảy</v>
      </c>
      <c r="I632" s="6" t="s">
        <v>3413</v>
      </c>
      <c r="J632" s="6" t="s">
        <v>3414</v>
      </c>
      <c r="K632" s="7">
        <f t="shared" si="2"/>
        <v>0.2062602513</v>
      </c>
    </row>
    <row r="633">
      <c r="A633" s="4">
        <v>633.0</v>
      </c>
      <c r="B633" s="5" t="s">
        <v>3415</v>
      </c>
      <c r="C633" s="5" t="s">
        <v>3416</v>
      </c>
      <c r="D633" s="5" t="s">
        <v>3417</v>
      </c>
      <c r="E633" s="6" t="s">
        <v>74</v>
      </c>
      <c r="F633" s="6" t="s">
        <v>3418</v>
      </c>
      <c r="G633" s="3" t="str">
        <f>IFERROR(__xludf.DUMMYFUNCTION("REGEXREPLACE(
D633,
""([一-龯々]+)\[([^\]]+)\]"",
""&lt;ruby&gt;$1&lt;rt&gt;$2&lt;/rt&gt;&lt;/ruby&gt;""
)&amp;""&lt;br&gt;&lt;div class=""""audio""""&gt;[sound:""&amp;C633&amp;"".mp3]&lt;/div&gt;"""),"&lt;ruby&gt;秋&lt;rt&gt;あき&lt;/rt&gt;&lt;/ruby&gt;&lt;br&gt;&lt;div class=""audio""&gt;[sound:あき.mp3]&lt;/div&gt;")</f>
        <v>&lt;ruby&gt;秋&lt;rt&gt;あき&lt;/rt&gt;&lt;/ruby&gt;&lt;br&gt;&lt;div class="audio"&gt;[sound:あき.mp3]&lt;/div&gt;</v>
      </c>
      <c r="H633" s="3" t="str">
        <f t="shared" si="1"/>
        <v>(n): mùa thu</v>
      </c>
      <c r="I633" s="6" t="s">
        <v>3419</v>
      </c>
      <c r="J633" s="6" t="s">
        <v>3420</v>
      </c>
      <c r="K633" s="7">
        <f t="shared" si="2"/>
        <v>0.1979500148</v>
      </c>
    </row>
    <row r="634">
      <c r="A634" s="4">
        <v>634.0</v>
      </c>
      <c r="B634" s="5" t="s">
        <v>3421</v>
      </c>
      <c r="C634" s="5" t="s">
        <v>3422</v>
      </c>
      <c r="D634" s="5" t="s">
        <v>3423</v>
      </c>
      <c r="E634" s="6" t="s">
        <v>24</v>
      </c>
      <c r="F634" s="6" t="s">
        <v>3424</v>
      </c>
      <c r="G634" s="3" t="str">
        <f>IFERROR(__xludf.DUMMYFUNCTION("REGEXREPLACE(
D634,
""([一-龯々]+)\[([^\]]+)\]"",
""&lt;ruby&gt;$1&lt;rt&gt;$2&lt;/rt&gt;&lt;/ruby&gt;""
)&amp;""&lt;br&gt;&lt;div class=""""audio""""&gt;[sound:""&amp;C634&amp;"".mp3]&lt;/div&gt;"""),"&lt;ruby&gt;頼&lt;rt&gt;たの&lt;/rt&gt;&lt;/ruby&gt;む&lt;br&gt;&lt;div class=""audio""&gt;[sound:たのむ.mp3]&lt;/div&gt;")</f>
        <v>&lt;ruby&gt;頼&lt;rt&gt;たの&lt;/rt&gt;&lt;/ruby&gt;む&lt;br&gt;&lt;div class="audio"&gt;[sound:たのむ.mp3]&lt;/div&gt;</v>
      </c>
      <c r="H634" s="3" t="str">
        <f t="shared" si="1"/>
        <v>(v): nhờ cậy</v>
      </c>
      <c r="I634" s="6" t="s">
        <v>3425</v>
      </c>
      <c r="J634" s="6" t="s">
        <v>3426</v>
      </c>
      <c r="K634" s="7">
        <f t="shared" si="2"/>
        <v>0.7376806599</v>
      </c>
    </row>
    <row r="635">
      <c r="A635" s="4">
        <v>635.0</v>
      </c>
      <c r="B635" s="5" t="s">
        <v>3427</v>
      </c>
      <c r="C635" s="5" t="s">
        <v>3427</v>
      </c>
      <c r="D635" s="5" t="s">
        <v>3427</v>
      </c>
      <c r="E635" s="6" t="s">
        <v>90</v>
      </c>
      <c r="F635" s="6" t="s">
        <v>1015</v>
      </c>
      <c r="G635" s="3" t="str">
        <f>IFERROR(__xludf.DUMMYFUNCTION("REGEXREPLACE(
D635,
""([一-龯々]+)\[([^\]]+)\]"",
""&lt;ruby&gt;$1&lt;rt&gt;$2&lt;/rt&gt;&lt;/ruby&gt;""
)&amp;""&lt;br&gt;&lt;div class=""""audio""""&gt;[sound:""&amp;C635&amp;"".mp3]&lt;/div&gt;"""),"そのため&lt;br&gt;&lt;div class=""audio""&gt;[sound:そのため.mp3]&lt;/div&gt;")</f>
        <v>そのため&lt;br&gt;&lt;div class="audio"&gt;[sound:そのため.mp3]&lt;/div&gt;</v>
      </c>
      <c r="H635" s="3" t="str">
        <f t="shared" si="1"/>
        <v>(conj): do đó</v>
      </c>
      <c r="I635" s="6" t="s">
        <v>3428</v>
      </c>
      <c r="J635" s="6" t="s">
        <v>3429</v>
      </c>
      <c r="K635" s="7">
        <f t="shared" si="2"/>
        <v>0.9760497331</v>
      </c>
    </row>
    <row r="636">
      <c r="A636" s="4">
        <v>636.0</v>
      </c>
      <c r="B636" s="5" t="s">
        <v>3430</v>
      </c>
      <c r="C636" s="5" t="s">
        <v>3431</v>
      </c>
      <c r="D636" s="5" t="s">
        <v>3432</v>
      </c>
      <c r="E636" s="6" t="s">
        <v>74</v>
      </c>
      <c r="F636" s="6" t="s">
        <v>3433</v>
      </c>
      <c r="G636" s="3" t="str">
        <f>IFERROR(__xludf.DUMMYFUNCTION("REGEXREPLACE(
D636,
""([一-龯々]+)\[([^\]]+)\]"",
""&lt;ruby&gt;$1&lt;rt&gt;$2&lt;/rt&gt;&lt;/ruby&gt;""
)&amp;""&lt;br&gt;&lt;div class=""""audio""""&gt;[sound:""&amp;C636&amp;"".mp3]&lt;/div&gt;"""),"&lt;ruby&gt;週&lt;rt&gt;しゅう&lt;/rt&gt;&lt;/ruby&gt;&lt;br&gt;&lt;div class=""audio""&gt;[sound:しゅう.mp3]&lt;/div&gt;")</f>
        <v>&lt;ruby&gt;週&lt;rt&gt;しゅう&lt;/rt&gt;&lt;/ruby&gt;&lt;br&gt;&lt;div class="audio"&gt;[sound:しゅう.mp3]&lt;/div&gt;</v>
      </c>
      <c r="H636" s="3" t="str">
        <f t="shared" si="1"/>
        <v>(n): tuần</v>
      </c>
      <c r="I636" s="6" t="s">
        <v>3434</v>
      </c>
      <c r="J636" s="6" t="s">
        <v>3435</v>
      </c>
      <c r="K636" s="7">
        <f t="shared" si="2"/>
        <v>0.4376267874</v>
      </c>
    </row>
    <row r="637">
      <c r="A637" s="4">
        <v>637.0</v>
      </c>
      <c r="B637" s="5" t="s">
        <v>3436</v>
      </c>
      <c r="C637" s="5" t="s">
        <v>3436</v>
      </c>
      <c r="D637" s="5" t="s">
        <v>3436</v>
      </c>
      <c r="E637" s="6" t="s">
        <v>90</v>
      </c>
      <c r="F637" s="6" t="s">
        <v>3437</v>
      </c>
      <c r="G637" s="3" t="str">
        <f>IFERROR(__xludf.DUMMYFUNCTION("REGEXREPLACE(
D637,
""([一-龯々]+)\[([^\]]+)\]"",
""&lt;ruby&gt;$1&lt;rt&gt;$2&lt;/rt&gt;&lt;/ruby&gt;""
)&amp;""&lt;br&gt;&lt;div class=""""audio""""&gt;[sound:""&amp;C637&amp;"".mp3]&lt;/div&gt;"""),"それでも&lt;br&gt;&lt;div class=""audio""&gt;[sound:それでも.mp3]&lt;/div&gt;")</f>
        <v>それでも&lt;br&gt;&lt;div class="audio"&gt;[sound:それでも.mp3]&lt;/div&gt;</v>
      </c>
      <c r="H637" s="3" t="str">
        <f t="shared" si="1"/>
        <v>(conj): mặc dù vậy</v>
      </c>
      <c r="I637" s="6" t="s">
        <v>3438</v>
      </c>
      <c r="J637" s="6" t="s">
        <v>3439</v>
      </c>
      <c r="K637" s="7">
        <f t="shared" si="2"/>
        <v>0.7865741753</v>
      </c>
    </row>
    <row r="638">
      <c r="A638" s="4">
        <v>638.0</v>
      </c>
      <c r="B638" s="5" t="s">
        <v>3440</v>
      </c>
      <c r="C638" s="5" t="s">
        <v>3441</v>
      </c>
      <c r="D638" s="5" t="s">
        <v>3442</v>
      </c>
      <c r="E638" s="6" t="s">
        <v>74</v>
      </c>
      <c r="F638" s="6" t="s">
        <v>3443</v>
      </c>
      <c r="G638" s="3" t="str">
        <f>IFERROR(__xludf.DUMMYFUNCTION("REGEXREPLACE(
D638,
""([一-龯々]+)\[([^\]]+)\]"",
""&lt;ruby&gt;$1&lt;rt&gt;$2&lt;/rt&gt;&lt;/ruby&gt;""
)&amp;""&lt;br&gt;&lt;div class=""""audio""""&gt;[sound:""&amp;C638&amp;"".mp3]&lt;/div&gt;"""),"&lt;ruby&gt;事務所&lt;rt&gt;じむしょ&lt;/rt&gt;&lt;/ruby&gt;&lt;br&gt;&lt;div class=""audio""&gt;[sound:じむしょ.mp3]&lt;/div&gt;")</f>
        <v>&lt;ruby&gt;事務所&lt;rt&gt;じむしょ&lt;/rt&gt;&lt;/ruby&gt;&lt;br&gt;&lt;div class="audio"&gt;[sound:じむしょ.mp3]&lt;/div&gt;</v>
      </c>
      <c r="H638" s="3" t="str">
        <f t="shared" si="1"/>
        <v>(n): văn phòng</v>
      </c>
      <c r="I638" s="6" t="s">
        <v>3444</v>
      </c>
      <c r="J638" s="6" t="s">
        <v>3445</v>
      </c>
      <c r="K638" s="7">
        <f t="shared" si="2"/>
        <v>0.5914762148</v>
      </c>
    </row>
    <row r="639">
      <c r="A639" s="4">
        <v>639.0</v>
      </c>
      <c r="B639" s="5" t="s">
        <v>3446</v>
      </c>
      <c r="C639" s="5" t="s">
        <v>3447</v>
      </c>
      <c r="D639" s="5" t="s">
        <v>3448</v>
      </c>
      <c r="E639" s="6" t="s">
        <v>74</v>
      </c>
      <c r="F639" s="6" t="s">
        <v>3449</v>
      </c>
      <c r="G639" s="3" t="str">
        <f>IFERROR(__xludf.DUMMYFUNCTION("REGEXREPLACE(
D639,
""([一-龯々]+)\[([^\]]+)\]"",
""&lt;ruby&gt;$1&lt;rt&gt;$2&lt;/rt&gt;&lt;/ruby&gt;""
)&amp;""&lt;br&gt;&lt;div class=""""audio""""&gt;[sound:""&amp;C639&amp;"".mp3]&lt;/div&gt;"""),"&lt;ruby&gt;以前&lt;rt&gt;いぜん&lt;/rt&gt;&lt;/ruby&gt;&lt;br&gt;&lt;div class=""audio""&gt;[sound:いぜん.mp3]&lt;/div&gt;")</f>
        <v>&lt;ruby&gt;以前&lt;rt&gt;いぜん&lt;/rt&gt;&lt;/ruby&gt;&lt;br&gt;&lt;div class="audio"&gt;[sound:いぜん.mp3]&lt;/div&gt;</v>
      </c>
      <c r="H639" s="3" t="str">
        <f t="shared" si="1"/>
        <v>(n): trước đây</v>
      </c>
      <c r="I639" s="6" t="s">
        <v>3450</v>
      </c>
      <c r="J639" s="6" t="s">
        <v>3451</v>
      </c>
      <c r="K639" s="7">
        <f t="shared" si="2"/>
        <v>0.08618333016</v>
      </c>
    </row>
    <row r="640">
      <c r="A640" s="4">
        <v>640.0</v>
      </c>
      <c r="B640" s="5" t="s">
        <v>3452</v>
      </c>
      <c r="C640" s="5" t="s">
        <v>3453</v>
      </c>
      <c r="D640" s="5" t="s">
        <v>3454</v>
      </c>
      <c r="E640" s="6" t="s">
        <v>74</v>
      </c>
      <c r="F640" s="6" t="s">
        <v>3455</v>
      </c>
      <c r="G640" s="3" t="str">
        <f>IFERROR(__xludf.DUMMYFUNCTION("REGEXREPLACE(
D640,
""([一-龯々]+)\[([^\]]+)\]"",
""&lt;ruby&gt;$1&lt;rt&gt;$2&lt;/rt&gt;&lt;/ruby&gt;""
)&amp;""&lt;br&gt;&lt;div class=""""audio""""&gt;[sound:""&amp;C640&amp;"".mp3]&lt;/div&gt;"""),"&lt;ruby&gt;一般&lt;rt&gt;いっぱん&lt;/rt&gt;&lt;/ruby&gt;&lt;br&gt;&lt;div class=""audio""&gt;[sound:いっぱん.mp3]&lt;/div&gt;")</f>
        <v>&lt;ruby&gt;一般&lt;rt&gt;いっぱん&lt;/rt&gt;&lt;/ruby&gt;&lt;br&gt;&lt;div class="audio"&gt;[sound:いっぱん.mp3]&lt;/div&gt;</v>
      </c>
      <c r="H640" s="3" t="str">
        <f t="shared" si="1"/>
        <v>(n): phổ biến</v>
      </c>
      <c r="I640" s="6" t="s">
        <v>3456</v>
      </c>
      <c r="J640" s="6" t="s">
        <v>3457</v>
      </c>
      <c r="K640" s="7">
        <f t="shared" si="2"/>
        <v>0.08345753386</v>
      </c>
    </row>
    <row r="641">
      <c r="A641" s="4">
        <v>641.0</v>
      </c>
      <c r="B641" s="5" t="s">
        <v>3458</v>
      </c>
      <c r="C641" s="5" t="s">
        <v>3459</v>
      </c>
      <c r="D641" s="5" t="s">
        <v>3460</v>
      </c>
      <c r="E641" s="6" t="s">
        <v>24</v>
      </c>
      <c r="F641" s="6" t="s">
        <v>3461</v>
      </c>
      <c r="G641" s="3" t="str">
        <f>IFERROR(__xludf.DUMMYFUNCTION("REGEXREPLACE(
D641,
""([一-龯々]+)\[([^\]]+)\]"",
""&lt;ruby&gt;$1&lt;rt&gt;$2&lt;/rt&gt;&lt;/ruby&gt;""
)&amp;""&lt;br&gt;&lt;div class=""""audio""""&gt;[sound:""&amp;C641&amp;"".mp3]&lt;/div&gt;"""),"&lt;ruby&gt;集&lt;rt&gt;あつ&lt;/rt&gt;&lt;/ruby&gt;める&lt;br&gt;&lt;div class=""audio""&gt;[sound:あつめる.mp3]&lt;/div&gt;")</f>
        <v>&lt;ruby&gt;集&lt;rt&gt;あつ&lt;/rt&gt;&lt;/ruby&gt;める&lt;br&gt;&lt;div class="audio"&gt;[sound:あつめる.mp3]&lt;/div&gt;</v>
      </c>
      <c r="H641" s="3" t="str">
        <f t="shared" si="1"/>
        <v>(v): thu thập</v>
      </c>
      <c r="I641" s="6" t="s">
        <v>3462</v>
      </c>
      <c r="J641" s="6" t="s">
        <v>3463</v>
      </c>
      <c r="K641" s="7">
        <f t="shared" si="2"/>
        <v>0.01337457154</v>
      </c>
    </row>
    <row r="642">
      <c r="A642" s="4">
        <v>642.0</v>
      </c>
      <c r="B642" s="5" t="s">
        <v>3464</v>
      </c>
      <c r="C642" s="5" t="s">
        <v>3465</v>
      </c>
      <c r="D642" s="5" t="s">
        <v>3466</v>
      </c>
      <c r="E642" s="6" t="s">
        <v>11</v>
      </c>
      <c r="F642" s="6" t="s">
        <v>3467</v>
      </c>
      <c r="G642" s="3" t="str">
        <f>IFERROR(__xludf.DUMMYFUNCTION("REGEXREPLACE(
D642,
""([一-龯々]+)\[([^\]]+)\]"",
""&lt;ruby&gt;$1&lt;rt&gt;$2&lt;/rt&gt;&lt;/ruby&gt;""
)&amp;""&lt;br&gt;&lt;div class=""""audio""""&gt;[sound:""&amp;C642&amp;"".mp3]&lt;/div&gt;"""),"&lt;ruby&gt;容易&lt;rt&gt;ようい&lt;/rt&gt;&lt;/ruby&gt;&lt;br&gt;&lt;div class=""audio""&gt;[sound:ようい.mp3]&lt;/div&gt;")</f>
        <v>&lt;ruby&gt;容易&lt;rt&gt;ようい&lt;/rt&gt;&lt;/ruby&gt;&lt;br&gt;&lt;div class="audio"&gt;[sound:ようい.mp3]&lt;/div&gt;</v>
      </c>
      <c r="H642" s="3" t="str">
        <f t="shared" si="1"/>
        <v>(adj): dễ dàng</v>
      </c>
      <c r="I642" s="6" t="s">
        <v>3468</v>
      </c>
      <c r="J642" s="6" t="s">
        <v>3469</v>
      </c>
      <c r="K642" s="7">
        <f t="shared" si="2"/>
        <v>0.7039813203</v>
      </c>
    </row>
    <row r="643">
      <c r="A643" s="4">
        <v>643.0</v>
      </c>
      <c r="B643" s="5" t="s">
        <v>3470</v>
      </c>
      <c r="C643" s="5" t="s">
        <v>3471</v>
      </c>
      <c r="D643" s="5" t="s">
        <v>3472</v>
      </c>
      <c r="E643" s="6" t="s">
        <v>11</v>
      </c>
      <c r="F643" s="6" t="s">
        <v>3473</v>
      </c>
      <c r="G643" s="3" t="str">
        <f>IFERROR(__xludf.DUMMYFUNCTION("REGEXREPLACE(
D643,
""([一-龯々]+)\[([^\]]+)\]"",
""&lt;ruby&gt;$1&lt;rt&gt;$2&lt;/rt&gt;&lt;/ruby&gt;""
)&amp;""&lt;br&gt;&lt;div class=""""audio""""&gt;[sound:""&amp;C643&amp;"".mp3]&lt;/div&gt;"""),"&lt;ruby&gt;面白&lt;rt&gt;おもしろ&lt;/rt&gt;&lt;/ruby&gt;い&lt;br&gt;&lt;div class=""audio""&gt;[sound:おもしろい.mp3]&lt;/div&gt;")</f>
        <v>&lt;ruby&gt;面白&lt;rt&gt;おもしろ&lt;/rt&gt;&lt;/ruby&gt;い&lt;br&gt;&lt;div class="audio"&gt;[sound:おもしろい.mp3]&lt;/div&gt;</v>
      </c>
      <c r="H643" s="3" t="str">
        <f t="shared" si="1"/>
        <v>(adj): thú vị</v>
      </c>
      <c r="I643" s="6" t="s">
        <v>3474</v>
      </c>
      <c r="J643" s="6" t="s">
        <v>3475</v>
      </c>
      <c r="K643" s="7">
        <f t="shared" si="2"/>
        <v>0.8611061062</v>
      </c>
    </row>
    <row r="644">
      <c r="A644" s="4">
        <v>644.0</v>
      </c>
      <c r="B644" s="5" t="s">
        <v>3476</v>
      </c>
      <c r="C644" s="5" t="s">
        <v>3477</v>
      </c>
      <c r="D644" s="5" t="s">
        <v>3478</v>
      </c>
      <c r="E644" s="6" t="s">
        <v>74</v>
      </c>
      <c r="F644" s="6" t="s">
        <v>3479</v>
      </c>
      <c r="G644" s="3" t="str">
        <f>IFERROR(__xludf.DUMMYFUNCTION("REGEXREPLACE(
D644,
""([一-龯々]+)\[([^\]]+)\]"",
""&lt;ruby&gt;$1&lt;rt&gt;$2&lt;/rt&gt;&lt;/ruby&gt;""
)&amp;""&lt;br&gt;&lt;div class=""""audio""""&gt;[sound:""&amp;C644&amp;"".mp3]&lt;/div&gt;"""),"&lt;ruby&gt;食事&lt;rt&gt;しょくじ&lt;/rt&gt;&lt;/ruby&gt;&lt;br&gt;&lt;div class=""audio""&gt;[sound:しょくじ.mp3]&lt;/div&gt;")</f>
        <v>&lt;ruby&gt;食事&lt;rt&gt;しょくじ&lt;/rt&gt;&lt;/ruby&gt;&lt;br&gt;&lt;div class="audio"&gt;[sound:しょくじ.mp3]&lt;/div&gt;</v>
      </c>
      <c r="H644" s="3" t="str">
        <f t="shared" si="1"/>
        <v>(n): bữa ăn</v>
      </c>
      <c r="I644" s="6" t="s">
        <v>3480</v>
      </c>
      <c r="J644" s="6" t="s">
        <v>3481</v>
      </c>
      <c r="K644" s="7">
        <f t="shared" si="2"/>
        <v>0.4233569256</v>
      </c>
    </row>
    <row r="645">
      <c r="A645" s="4">
        <v>645.0</v>
      </c>
      <c r="B645" s="5" t="s">
        <v>3482</v>
      </c>
      <c r="C645" s="5" t="s">
        <v>1111</v>
      </c>
      <c r="D645" s="5" t="s">
        <v>3483</v>
      </c>
      <c r="E645" s="6" t="s">
        <v>74</v>
      </c>
      <c r="F645" s="6" t="s">
        <v>75</v>
      </c>
      <c r="G645" s="3" t="str">
        <f>IFERROR(__xludf.DUMMYFUNCTION("REGEXREPLACE(
D645,
""([一-龯々]+)\[([^\]]+)\]"",
""&lt;ruby&gt;$1&lt;rt&gt;$2&lt;/rt&gt;&lt;/ruby&gt;""
)&amp;""&lt;br&gt;&lt;div class=""""audio""""&gt;[sound:""&amp;C645&amp;"".mp3]&lt;/div&gt;"""),"&lt;ruby&gt;者&lt;rt&gt;もの&lt;/rt&gt;&lt;/ruby&gt;&lt;br&gt;&lt;div class=""audio""&gt;[sound:もの.mp3]&lt;/div&gt;")</f>
        <v>&lt;ruby&gt;者&lt;rt&gt;もの&lt;/rt&gt;&lt;/ruby&gt;&lt;br&gt;&lt;div class="audio"&gt;[sound:もの.mp3]&lt;/div&gt;</v>
      </c>
      <c r="H645" s="3" t="str">
        <f t="shared" si="1"/>
        <v>(n): người</v>
      </c>
      <c r="I645" s="6" t="s">
        <v>3484</v>
      </c>
      <c r="J645" s="6" t="s">
        <v>3485</v>
      </c>
      <c r="K645" s="7">
        <f t="shared" si="2"/>
        <v>0.4366360696</v>
      </c>
    </row>
    <row r="646">
      <c r="A646" s="4">
        <v>646.0</v>
      </c>
      <c r="B646" s="5" t="s">
        <v>3486</v>
      </c>
      <c r="C646" s="5" t="s">
        <v>3486</v>
      </c>
      <c r="D646" s="5" t="s">
        <v>3486</v>
      </c>
      <c r="E646" s="6" t="s">
        <v>85</v>
      </c>
      <c r="F646" s="6" t="s">
        <v>3487</v>
      </c>
      <c r="G646" s="3" t="str">
        <f>IFERROR(__xludf.DUMMYFUNCTION("REGEXREPLACE(
D646,
""([一-龯々]+)\[([^\]]+)\]"",
""&lt;ruby&gt;$1&lt;rt&gt;$2&lt;/rt&gt;&lt;/ruby&gt;""
)&amp;""&lt;br&gt;&lt;div class=""""audio""""&gt;[sound:""&amp;C646&amp;"".mp3]&lt;/div&gt;"""),"どんなに&lt;br&gt;&lt;div class=""audio""&gt;[sound:どんなに.mp3]&lt;/div&gt;")</f>
        <v>どんなに&lt;br&gt;&lt;div class="audio"&gt;[sound:どんなに.mp3]&lt;/div&gt;</v>
      </c>
      <c r="H646" s="3" t="str">
        <f t="shared" si="1"/>
        <v>(adv): đến mức nào</v>
      </c>
      <c r="I646" s="6" t="s">
        <v>3488</v>
      </c>
      <c r="J646" s="6" t="s">
        <v>3489</v>
      </c>
      <c r="K646" s="7">
        <f t="shared" si="2"/>
        <v>0.3143879415</v>
      </c>
    </row>
    <row r="647">
      <c r="A647" s="4">
        <v>647.0</v>
      </c>
      <c r="B647" s="5" t="s">
        <v>3490</v>
      </c>
      <c r="C647" s="5" t="s">
        <v>3490</v>
      </c>
      <c r="D647" s="5" t="s">
        <v>3490</v>
      </c>
      <c r="E647" s="6" t="s">
        <v>85</v>
      </c>
      <c r="F647" s="6" t="s">
        <v>2225</v>
      </c>
      <c r="G647" s="3" t="str">
        <f>IFERROR(__xludf.DUMMYFUNCTION("REGEXREPLACE(
D647,
""([一-龯々]+)\[([^\]]+)\]"",
""&lt;ruby&gt;$1&lt;rt&gt;$2&lt;/rt&gt;&lt;/ruby&gt;""
)&amp;""&lt;br&gt;&lt;div class=""""audio""""&gt;[sound:""&amp;C647&amp;"".mp3]&lt;/div&gt;"""),"いきなり&lt;br&gt;&lt;div class=""audio""&gt;[sound:いきなり.mp3]&lt;/div&gt;")</f>
        <v>いきなり&lt;br&gt;&lt;div class="audio"&gt;[sound:いきなり.mp3]&lt;/div&gt;</v>
      </c>
      <c r="H647" s="3" t="str">
        <f t="shared" si="1"/>
        <v>(adv): đột nhiên</v>
      </c>
      <c r="I647" s="6" t="s">
        <v>3491</v>
      </c>
      <c r="J647" s="6" t="s">
        <v>3492</v>
      </c>
      <c r="K647" s="7">
        <f t="shared" si="2"/>
        <v>0.6510756694</v>
      </c>
    </row>
    <row r="648">
      <c r="A648" s="4">
        <v>648.0</v>
      </c>
      <c r="B648" s="5" t="s">
        <v>3493</v>
      </c>
      <c r="C648" s="5" t="s">
        <v>3494</v>
      </c>
      <c r="D648" s="5" t="s">
        <v>3495</v>
      </c>
      <c r="E648" s="6" t="s">
        <v>74</v>
      </c>
      <c r="F648" s="6" t="s">
        <v>3496</v>
      </c>
      <c r="G648" s="3" t="str">
        <f>IFERROR(__xludf.DUMMYFUNCTION("REGEXREPLACE(
D648,
""([一-龯々]+)\[([^\]]+)\]"",
""&lt;ruby&gt;$1&lt;rt&gt;$2&lt;/rt&gt;&lt;/ruby&gt;""
)&amp;""&lt;br&gt;&lt;div class=""""audio""""&gt;[sound:""&amp;C648&amp;"".mp3]&lt;/div&gt;"""),"&lt;ruby&gt;全国&lt;rt&gt;ぜんこく&lt;/rt&gt;&lt;/ruby&gt;&lt;br&gt;&lt;div class=""audio""&gt;[sound:ぜんこく.mp3]&lt;/div&gt;")</f>
        <v>&lt;ruby&gt;全国&lt;rt&gt;ぜんこく&lt;/rt&gt;&lt;/ruby&gt;&lt;br&gt;&lt;div class="audio"&gt;[sound:ぜんこく.mp3]&lt;/div&gt;</v>
      </c>
      <c r="H648" s="3" t="str">
        <f t="shared" si="1"/>
        <v>(n): toàn quốc</v>
      </c>
      <c r="I648" s="6" t="s">
        <v>3497</v>
      </c>
      <c r="J648" s="6" t="s">
        <v>3498</v>
      </c>
      <c r="K648" s="7">
        <f t="shared" si="2"/>
        <v>0.3811864493</v>
      </c>
    </row>
    <row r="649">
      <c r="A649" s="4">
        <v>649.0</v>
      </c>
      <c r="B649" s="5" t="s">
        <v>3499</v>
      </c>
      <c r="C649" s="5" t="s">
        <v>3500</v>
      </c>
      <c r="D649" s="5" t="s">
        <v>3501</v>
      </c>
      <c r="E649" s="6" t="s">
        <v>24</v>
      </c>
      <c r="F649" s="6" t="s">
        <v>3502</v>
      </c>
      <c r="G649" s="3" t="str">
        <f>IFERROR(__xludf.DUMMYFUNCTION("REGEXREPLACE(
D649,
""([一-龯々]+)\[([^\]]+)\]"",
""&lt;ruby&gt;$1&lt;rt&gt;$2&lt;/rt&gt;&lt;/ruby&gt;""
)&amp;""&lt;br&gt;&lt;div class=""""audio""""&gt;[sound:""&amp;C649&amp;"".mp3]&lt;/div&gt;"""),"&lt;ruby&gt;戦&lt;rt&gt;たたか&lt;/rt&gt;&lt;/ruby&gt;う&lt;br&gt;&lt;div class=""audio""&gt;[sound:たたかう.mp3]&lt;/div&gt;")</f>
        <v>&lt;ruby&gt;戦&lt;rt&gt;たたか&lt;/rt&gt;&lt;/ruby&gt;う&lt;br&gt;&lt;div class="audio"&gt;[sound:たたかう.mp3]&lt;/div&gt;</v>
      </c>
      <c r="H649" s="3" t="str">
        <f t="shared" si="1"/>
        <v>(v): chiến đấu</v>
      </c>
      <c r="I649" s="6" t="s">
        <v>3503</v>
      </c>
      <c r="J649" s="6" t="s">
        <v>3504</v>
      </c>
      <c r="K649" s="7">
        <f t="shared" si="2"/>
        <v>0.6515406573</v>
      </c>
    </row>
    <row r="650">
      <c r="A650" s="4">
        <v>650.0</v>
      </c>
      <c r="B650" s="5" t="s">
        <v>3505</v>
      </c>
      <c r="C650" s="5" t="s">
        <v>3506</v>
      </c>
      <c r="D650" s="5" t="s">
        <v>3507</v>
      </c>
      <c r="E650" s="6" t="s">
        <v>74</v>
      </c>
      <c r="F650" s="6" t="s">
        <v>2629</v>
      </c>
      <c r="G650" s="3" t="str">
        <f>IFERROR(__xludf.DUMMYFUNCTION("REGEXREPLACE(
D650,
""([一-龯々]+)\[([^\]]+)\]"",
""&lt;ruby&gt;$1&lt;rt&gt;$2&lt;/rt&gt;&lt;/ruby&gt;""
)&amp;""&lt;br&gt;&lt;div class=""""audio""""&gt;[sound:""&amp;C650&amp;"".mp3]&lt;/div&gt;"""),"&lt;ruby&gt;精神&lt;rt&gt;せいしん&lt;/rt&gt;&lt;/ruby&gt;&lt;br&gt;&lt;div class=""audio""&gt;[sound:せいしん.mp3]&lt;/div&gt;")</f>
        <v>&lt;ruby&gt;精神&lt;rt&gt;せいしん&lt;/rt&gt;&lt;/ruby&gt;&lt;br&gt;&lt;div class="audio"&gt;[sound:せいしん.mp3]&lt;/div&gt;</v>
      </c>
      <c r="H650" s="3" t="str">
        <f t="shared" si="1"/>
        <v>(n): tinh thần</v>
      </c>
      <c r="I650" s="6" t="s">
        <v>3508</v>
      </c>
      <c r="J650" s="6" t="s">
        <v>3509</v>
      </c>
      <c r="K650" s="7">
        <f t="shared" si="2"/>
        <v>0.6315834235</v>
      </c>
    </row>
    <row r="651">
      <c r="A651" s="4">
        <v>651.0</v>
      </c>
      <c r="B651" s="5" t="s">
        <v>3510</v>
      </c>
      <c r="C651" s="5" t="s">
        <v>3511</v>
      </c>
      <c r="D651" s="5" t="s">
        <v>3512</v>
      </c>
      <c r="E651" s="6" t="s">
        <v>74</v>
      </c>
      <c r="F651" s="6" t="s">
        <v>1571</v>
      </c>
      <c r="G651" s="3" t="str">
        <f>IFERROR(__xludf.DUMMYFUNCTION("REGEXREPLACE(
D651,
""([一-龯々]+)\[([^\]]+)\]"",
""&lt;ruby&gt;$1&lt;rt&gt;$2&lt;/rt&gt;&lt;/ruby&gt;""
)&amp;""&lt;br&gt;&lt;div class=""""audio""""&gt;[sound:""&amp;C651&amp;"".mp3]&lt;/div&gt;"""),"&lt;ruby&gt;関連&lt;rt&gt;かんれん&lt;/rt&gt;&lt;/ruby&gt;&lt;br&gt;&lt;div class=""audio""&gt;[sound:かんれん.mp3]&lt;/div&gt;")</f>
        <v>&lt;ruby&gt;関連&lt;rt&gt;かんれん&lt;/rt&gt;&lt;/ruby&gt;&lt;br&gt;&lt;div class="audio"&gt;[sound:かんれん.mp3]&lt;/div&gt;</v>
      </c>
      <c r="H651" s="3" t="str">
        <f t="shared" si="1"/>
        <v>(n): liên quan</v>
      </c>
      <c r="I651" s="6" t="s">
        <v>3513</v>
      </c>
      <c r="J651" s="6" t="s">
        <v>3514</v>
      </c>
      <c r="K651" s="7">
        <f t="shared" si="2"/>
        <v>0.1051610868</v>
      </c>
    </row>
    <row r="652">
      <c r="A652" s="4">
        <v>652.0</v>
      </c>
      <c r="B652" s="5" t="s">
        <v>3515</v>
      </c>
      <c r="C652" s="5" t="s">
        <v>3516</v>
      </c>
      <c r="D652" s="5" t="s">
        <v>3515</v>
      </c>
      <c r="E652" s="6" t="s">
        <v>74</v>
      </c>
      <c r="F652" s="6" t="s">
        <v>1076</v>
      </c>
      <c r="G652" s="3" t="str">
        <f>IFERROR(__xludf.DUMMYFUNCTION("REGEXREPLACE(
D652,
""([一-龯々]+)\[([^\]]+)\]"",
""&lt;ruby&gt;$1&lt;rt&gt;$2&lt;/rt&gt;&lt;/ruby&gt;""
)&amp;""&lt;br&gt;&lt;div class=""""audio""""&gt;[sound:""&amp;C652&amp;"".mp3]&lt;/div&gt;"""),"アップ&lt;br&gt;&lt;div class=""audio""&gt;[sound:あっぷ.mp3]&lt;/div&gt;")</f>
        <v>アップ&lt;br&gt;&lt;div class="audio"&gt;[sound:あっぷ.mp3]&lt;/div&gt;</v>
      </c>
      <c r="H652" s="3" t="str">
        <f t="shared" si="1"/>
        <v>(n): tăng lên</v>
      </c>
      <c r="I652" s="6" t="s">
        <v>3517</v>
      </c>
      <c r="J652" s="6" t="s">
        <v>3518</v>
      </c>
      <c r="K652" s="7">
        <f t="shared" si="2"/>
        <v>0.5706187157</v>
      </c>
    </row>
    <row r="653">
      <c r="A653" s="4">
        <v>653.0</v>
      </c>
      <c r="B653" s="5" t="s">
        <v>3519</v>
      </c>
      <c r="C653" s="5" t="s">
        <v>3520</v>
      </c>
      <c r="D653" s="5" t="s">
        <v>3521</v>
      </c>
      <c r="E653" s="6" t="s">
        <v>74</v>
      </c>
      <c r="F653" s="6" t="s">
        <v>3522</v>
      </c>
      <c r="G653" s="3" t="str">
        <f>IFERROR(__xludf.DUMMYFUNCTION("REGEXREPLACE(
D653,
""([一-龯々]+)\[([^\]]+)\]"",
""&lt;ruby&gt;$1&lt;rt&gt;$2&lt;/rt&gt;&lt;/ruby&gt;""
)&amp;""&lt;br&gt;&lt;div class=""""audio""""&gt;[sound:""&amp;C653&amp;"".mp3]&lt;/div&gt;"""),"&lt;ruby&gt;内容&lt;rt&gt;ないよう&lt;/rt&gt;&lt;/ruby&gt;&lt;br&gt;&lt;div class=""audio""&gt;[sound:ないよう.mp3]&lt;/div&gt;")</f>
        <v>&lt;ruby&gt;内容&lt;rt&gt;ないよう&lt;/rt&gt;&lt;/ruby&gt;&lt;br&gt;&lt;div class="audio"&gt;[sound:ないよう.mp3]&lt;/div&gt;</v>
      </c>
      <c r="H653" s="3" t="str">
        <f t="shared" si="1"/>
        <v>(n): nội dung</v>
      </c>
      <c r="I653" s="6" t="s">
        <v>3523</v>
      </c>
      <c r="J653" s="6" t="s">
        <v>3524</v>
      </c>
      <c r="K653" s="7">
        <f t="shared" si="2"/>
        <v>0.1292685917</v>
      </c>
    </row>
    <row r="654">
      <c r="A654" s="4">
        <v>654.0</v>
      </c>
      <c r="B654" s="5" t="s">
        <v>3525</v>
      </c>
      <c r="C654" s="5" t="s">
        <v>3526</v>
      </c>
      <c r="D654" s="5" t="s">
        <v>3527</v>
      </c>
      <c r="E654" s="6" t="s">
        <v>24</v>
      </c>
      <c r="F654" s="6" t="s">
        <v>3528</v>
      </c>
      <c r="G654" s="3" t="str">
        <f>IFERROR(__xludf.DUMMYFUNCTION("REGEXREPLACE(
D654,
""([一-龯々]+)\[([^\]]+)\]"",
""&lt;ruby&gt;$1&lt;rt&gt;$2&lt;/rt&gt;&lt;/ruby&gt;""
)&amp;""&lt;br&gt;&lt;div class=""""audio""""&gt;[sound:""&amp;C654&amp;"".mp3]&lt;/div&gt;"""),"&lt;ruby&gt;願&lt;rt&gt;ねが&lt;/rt&gt;&lt;/ruby&gt;う&lt;br&gt;&lt;div class=""audio""&gt;[sound:ねがう.mp3]&lt;/div&gt;")</f>
        <v>&lt;ruby&gt;願&lt;rt&gt;ねが&lt;/rt&gt;&lt;/ruby&gt;う&lt;br&gt;&lt;div class="audio"&gt;[sound:ねがう.mp3]&lt;/div&gt;</v>
      </c>
      <c r="H654" s="3" t="str">
        <f t="shared" si="1"/>
        <v>(v): mong ước</v>
      </c>
      <c r="I654" s="6" t="s">
        <v>3529</v>
      </c>
      <c r="J654" s="6" t="s">
        <v>3530</v>
      </c>
      <c r="K654" s="7">
        <f t="shared" si="2"/>
        <v>0.9757801321</v>
      </c>
    </row>
    <row r="655">
      <c r="A655" s="4">
        <v>655.0</v>
      </c>
      <c r="B655" s="5" t="s">
        <v>3531</v>
      </c>
      <c r="C655" s="5" t="s">
        <v>3531</v>
      </c>
      <c r="D655" s="5" t="s">
        <v>3531</v>
      </c>
      <c r="E655" s="6" t="s">
        <v>11</v>
      </c>
      <c r="F655" s="6" t="s">
        <v>3532</v>
      </c>
      <c r="G655" s="3" t="str">
        <f>IFERROR(__xludf.DUMMYFUNCTION("REGEXREPLACE(
D655,
""([一-龯々]+)\[([^\]]+)\]"",
""&lt;ruby&gt;$1&lt;rt&gt;$2&lt;/rt&gt;&lt;/ruby&gt;""
)&amp;""&lt;br&gt;&lt;div class=""""audio""""&gt;[sound:""&amp;C655&amp;"".mp3]&lt;/div&gt;"""),"ひどい&lt;br&gt;&lt;div class=""audio""&gt;[sound:ひどい.mp3]&lt;/div&gt;")</f>
        <v>ひどい&lt;br&gt;&lt;div class="audio"&gt;[sound:ひどい.mp3]&lt;/div&gt;</v>
      </c>
      <c r="H655" s="3" t="str">
        <f t="shared" si="1"/>
        <v>(adj): tồi tệ</v>
      </c>
      <c r="I655" s="6" t="s">
        <v>3533</v>
      </c>
      <c r="J655" s="6" t="s">
        <v>3534</v>
      </c>
      <c r="K655" s="7">
        <f t="shared" si="2"/>
        <v>0.05164409215</v>
      </c>
    </row>
    <row r="656">
      <c r="A656" s="4">
        <v>656.0</v>
      </c>
      <c r="B656" s="5" t="s">
        <v>3535</v>
      </c>
      <c r="C656" s="5" t="s">
        <v>3536</v>
      </c>
      <c r="D656" s="5" t="s">
        <v>3537</v>
      </c>
      <c r="E656" s="6" t="s">
        <v>11</v>
      </c>
      <c r="F656" s="6" t="s">
        <v>3538</v>
      </c>
      <c r="G656" s="3" t="str">
        <f>IFERROR(__xludf.DUMMYFUNCTION("REGEXREPLACE(
D656,
""([一-龯々]+)\[([^\]]+)\]"",
""&lt;ruby&gt;$1&lt;rt&gt;$2&lt;/rt&gt;&lt;/ruby&gt;""
)&amp;""&lt;br&gt;&lt;div class=""""audio""""&gt;[sound:""&amp;C656&amp;"".mp3]&lt;/div&gt;"""),"&lt;ruby&gt;低&lt;rt&gt;ひく&lt;/rt&gt;&lt;/ruby&gt;い&lt;br&gt;&lt;div class=""audio""&gt;[sound:ひくい.mp3]&lt;/div&gt;")</f>
        <v>&lt;ruby&gt;低&lt;rt&gt;ひく&lt;/rt&gt;&lt;/ruby&gt;い&lt;br&gt;&lt;div class="audio"&gt;[sound:ひくい.mp3]&lt;/div&gt;</v>
      </c>
      <c r="H656" s="3" t="str">
        <f t="shared" si="1"/>
        <v>(adj): thấp</v>
      </c>
      <c r="I656" s="6" t="s">
        <v>3539</v>
      </c>
      <c r="J656" s="6" t="s">
        <v>3540</v>
      </c>
      <c r="K656" s="7">
        <f t="shared" si="2"/>
        <v>0.502058034</v>
      </c>
    </row>
    <row r="657">
      <c r="A657" s="4">
        <v>657.0</v>
      </c>
      <c r="B657" s="5" t="s">
        <v>3541</v>
      </c>
      <c r="C657" s="5" t="s">
        <v>3542</v>
      </c>
      <c r="D657" s="5" t="s">
        <v>3541</v>
      </c>
      <c r="E657" s="6" t="s">
        <v>74</v>
      </c>
      <c r="F657" s="6" t="s">
        <v>3543</v>
      </c>
      <c r="G657" s="3" t="str">
        <f>IFERROR(__xludf.DUMMYFUNCTION("REGEXREPLACE(
D657,
""([一-龯々]+)\[([^\]]+)\]"",
""&lt;ruby&gt;$1&lt;rt&gt;$2&lt;/rt&gt;&lt;/ruby&gt;""
)&amp;""&lt;br&gt;&lt;div class=""""audio""""&gt;[sound:""&amp;C657&amp;"".mp3]&lt;/div&gt;"""),"ドラマ&lt;br&gt;&lt;div class=""audio""&gt;[sound:どらま.mp3]&lt;/div&gt;")</f>
        <v>ドラマ&lt;br&gt;&lt;div class="audio"&gt;[sound:どらま.mp3]&lt;/div&gt;</v>
      </c>
      <c r="H657" s="3" t="str">
        <f t="shared" si="1"/>
        <v>(n): phim truyền hình</v>
      </c>
      <c r="I657" s="6" t="s">
        <v>3544</v>
      </c>
      <c r="J657" s="6" t="s">
        <v>3545</v>
      </c>
      <c r="K657" s="7">
        <f t="shared" si="2"/>
        <v>0.0977223651</v>
      </c>
    </row>
    <row r="658">
      <c r="A658" s="4">
        <v>658.0</v>
      </c>
      <c r="B658" s="5" t="s">
        <v>3546</v>
      </c>
      <c r="C658" s="5" t="s">
        <v>3547</v>
      </c>
      <c r="D658" s="5" t="s">
        <v>3548</v>
      </c>
      <c r="E658" s="6" t="s">
        <v>74</v>
      </c>
      <c r="F658" s="6" t="s">
        <v>3549</v>
      </c>
      <c r="G658" s="3" t="str">
        <f>IFERROR(__xludf.DUMMYFUNCTION("REGEXREPLACE(
D658,
""([一-龯々]+)\[([^\]]+)\]"",
""&lt;ruby&gt;$1&lt;rt&gt;$2&lt;/rt&gt;&lt;/ruby&gt;""
)&amp;""&lt;br&gt;&lt;div class=""""audio""""&gt;[sound:""&amp;C658&amp;"".mp3]&lt;/div&gt;"""),"&lt;ruby&gt;中学校&lt;rt&gt;ちゅうがっこう&lt;/rt&gt;&lt;/ruby&gt;&lt;br&gt;&lt;div class=""audio""&gt;[sound:ちゅうがっこう.mp3]&lt;/div&gt;")</f>
        <v>&lt;ruby&gt;中学校&lt;rt&gt;ちゅうがっこう&lt;/rt&gt;&lt;/ruby&gt;&lt;br&gt;&lt;div class="audio"&gt;[sound:ちゅうがっこう.mp3]&lt;/div&gt;</v>
      </c>
      <c r="H658" s="3" t="str">
        <f t="shared" si="1"/>
        <v>(n): trường trung học</v>
      </c>
      <c r="I658" s="6" t="s">
        <v>3550</v>
      </c>
      <c r="J658" s="6" t="s">
        <v>3551</v>
      </c>
      <c r="K658" s="7">
        <f t="shared" si="2"/>
        <v>0.8457479512</v>
      </c>
    </row>
    <row r="659">
      <c r="A659" s="4">
        <v>659.0</v>
      </c>
      <c r="B659" s="5" t="s">
        <v>3552</v>
      </c>
      <c r="C659" s="5" t="s">
        <v>3552</v>
      </c>
      <c r="D659" s="5" t="s">
        <v>3552</v>
      </c>
      <c r="E659" s="6" t="s">
        <v>85</v>
      </c>
      <c r="F659" s="6" t="s">
        <v>3553</v>
      </c>
      <c r="G659" s="3" t="str">
        <f>IFERROR(__xludf.DUMMYFUNCTION("REGEXREPLACE(
D659,
""([一-龯々]+)\[([^\]]+)\]"",
""&lt;ruby&gt;$1&lt;rt&gt;$2&lt;/rt&gt;&lt;/ruby&gt;""
)&amp;""&lt;br&gt;&lt;div class=""""audio""""&gt;[sound:""&amp;C659&amp;"".mp3]&lt;/div&gt;"""),"それほど&lt;br&gt;&lt;div class=""audio""&gt;[sound:それほど.mp3]&lt;/div&gt;")</f>
        <v>それほど&lt;br&gt;&lt;div class="audio"&gt;[sound:それほど.mp3]&lt;/div&gt;</v>
      </c>
      <c r="H659" s="3" t="str">
        <f t="shared" si="1"/>
        <v>(adv): đến mức đó</v>
      </c>
      <c r="I659" s="6" t="s">
        <v>3554</v>
      </c>
      <c r="J659" s="6" t="s">
        <v>3555</v>
      </c>
      <c r="K659" s="7">
        <f t="shared" si="2"/>
        <v>0.1101832646</v>
      </c>
    </row>
    <row r="660">
      <c r="A660" s="4">
        <v>660.0</v>
      </c>
      <c r="B660" s="5" t="s">
        <v>3556</v>
      </c>
      <c r="C660" s="5" t="s">
        <v>3557</v>
      </c>
      <c r="D660" s="5" t="s">
        <v>3558</v>
      </c>
      <c r="E660" s="6" t="s">
        <v>24</v>
      </c>
      <c r="F660" s="6" t="s">
        <v>3559</v>
      </c>
      <c r="G660" s="3" t="str">
        <f>IFERROR(__xludf.DUMMYFUNCTION("REGEXREPLACE(
D660,
""([一-龯々]+)\[([^\]]+)\]"",
""&lt;ruby&gt;$1&lt;rt&gt;$2&lt;/rt&gt;&lt;/ruby&gt;""
)&amp;""&lt;br&gt;&lt;div class=""""audio""""&gt;[sound:""&amp;C660&amp;"".mp3]&lt;/div&gt;"""),"&lt;ruby&gt;信&lt;rt&gt;しん&lt;/rt&gt;&lt;/ruby&gt;じる&lt;br&gt;&lt;div class=""audio""&gt;[sound:しんじる.mp3]&lt;/div&gt;")</f>
        <v>&lt;ruby&gt;信&lt;rt&gt;しん&lt;/rt&gt;&lt;/ruby&gt;じる&lt;br&gt;&lt;div class="audio"&gt;[sound:しんじる.mp3]&lt;/div&gt;</v>
      </c>
      <c r="H660" s="3" t="str">
        <f t="shared" si="1"/>
        <v>(v): tin tưởng</v>
      </c>
      <c r="I660" s="6" t="s">
        <v>3560</v>
      </c>
      <c r="J660" s="6" t="s">
        <v>3561</v>
      </c>
      <c r="K660" s="7">
        <f t="shared" si="2"/>
        <v>0.9376522349</v>
      </c>
    </row>
    <row r="661">
      <c r="A661" s="4">
        <v>661.0</v>
      </c>
      <c r="B661" s="5" t="s">
        <v>3562</v>
      </c>
      <c r="C661" s="5" t="s">
        <v>3563</v>
      </c>
      <c r="D661" s="5" t="s">
        <v>3564</v>
      </c>
      <c r="E661" s="6" t="s">
        <v>74</v>
      </c>
      <c r="F661" s="6" t="s">
        <v>3565</v>
      </c>
      <c r="G661" s="3" t="str">
        <f>IFERROR(__xludf.DUMMYFUNCTION("REGEXREPLACE(
D661,
""([一-龯々]+)\[([^\]]+)\]"",
""&lt;ruby&gt;$1&lt;rt&gt;$2&lt;/rt&gt;&lt;/ruby&gt;""
)&amp;""&lt;br&gt;&lt;div class=""""audio""""&gt;[sound:""&amp;C661&amp;"".mp3]&lt;/div&gt;"""),"&lt;ruby&gt;状況&lt;rt&gt;じょうきょう&lt;/rt&gt;&lt;/ruby&gt;&lt;br&gt;&lt;div class=""audio""&gt;[sound:じょうきょう.mp3]&lt;/div&gt;")</f>
        <v>&lt;ruby&gt;状況&lt;rt&gt;じょうきょう&lt;/rt&gt;&lt;/ruby&gt;&lt;br&gt;&lt;div class="audio"&gt;[sound:じょうきょう.mp3]&lt;/div&gt;</v>
      </c>
      <c r="H661" s="3" t="str">
        <f t="shared" si="1"/>
        <v>(n): tình hình</v>
      </c>
      <c r="I661" s="6" t="s">
        <v>3566</v>
      </c>
      <c r="J661" s="6" t="s">
        <v>3567</v>
      </c>
      <c r="K661" s="7">
        <f t="shared" si="2"/>
        <v>0.08560856234</v>
      </c>
    </row>
    <row r="662">
      <c r="A662" s="4">
        <v>662.0</v>
      </c>
      <c r="B662" s="5" t="s">
        <v>3568</v>
      </c>
      <c r="C662" s="5" t="s">
        <v>3569</v>
      </c>
      <c r="D662" s="5" t="s">
        <v>3570</v>
      </c>
      <c r="E662" s="6" t="s">
        <v>11</v>
      </c>
      <c r="F662" s="6" t="s">
        <v>2032</v>
      </c>
      <c r="G662" s="3" t="str">
        <f>IFERROR(__xludf.DUMMYFUNCTION("REGEXREPLACE(
D662,
""([一-龯々]+)\[([^\]]+)\]"",
""&lt;ruby&gt;$1&lt;rt&gt;$2&lt;/rt&gt;&lt;/ruby&gt;""
)&amp;""&lt;br&gt;&lt;div class=""""audio""""&gt;[sound:""&amp;C662&amp;"".mp3]&lt;/div&gt;"""),"&lt;ruby&gt;素晴&lt;rt&gt;すば&lt;/rt&gt;&lt;/ruby&gt;らしい&lt;br&gt;&lt;div class=""audio""&gt;[sound:すばらしい.mp3]&lt;/div&gt;")</f>
        <v>&lt;ruby&gt;素晴&lt;rt&gt;すば&lt;/rt&gt;&lt;/ruby&gt;らしい&lt;br&gt;&lt;div class="audio"&gt;[sound:すばらしい.mp3]&lt;/div&gt;</v>
      </c>
      <c r="H662" s="3" t="str">
        <f t="shared" si="1"/>
        <v>(adj): tuyệt vời</v>
      </c>
      <c r="I662" s="6" t="s">
        <v>3571</v>
      </c>
      <c r="J662" s="6" t="s">
        <v>3572</v>
      </c>
      <c r="K662" s="7">
        <f t="shared" si="2"/>
        <v>0.8344097733</v>
      </c>
    </row>
    <row r="663">
      <c r="A663" s="4">
        <v>663.0</v>
      </c>
      <c r="B663" s="5" t="s">
        <v>3573</v>
      </c>
      <c r="C663" s="5" t="s">
        <v>3573</v>
      </c>
      <c r="D663" s="5" t="s">
        <v>3573</v>
      </c>
      <c r="E663" s="6" t="s">
        <v>74</v>
      </c>
      <c r="F663" s="6" t="s">
        <v>3574</v>
      </c>
      <c r="G663" s="3" t="str">
        <f>IFERROR(__xludf.DUMMYFUNCTION("REGEXREPLACE(
D663,
""([一-龯々]+)\[([^\]]+)\]"",
""&lt;ruby&gt;$1&lt;rt&gt;$2&lt;/rt&gt;&lt;/ruby&gt;""
)&amp;""&lt;br&gt;&lt;div class=""""audio""""&gt;[sound:""&amp;C663&amp;"".mp3]&lt;/div&gt;"""),"そば&lt;br&gt;&lt;div class=""audio""&gt;[sound:そば.mp3]&lt;/div&gt;")</f>
        <v>そば&lt;br&gt;&lt;div class="audio"&gt;[sound:そば.mp3]&lt;/div&gt;</v>
      </c>
      <c r="H663" s="3" t="str">
        <f t="shared" si="1"/>
        <v>(n): bên cạnh</v>
      </c>
      <c r="I663" s="6" t="s">
        <v>3575</v>
      </c>
      <c r="J663" s="6" t="s">
        <v>3576</v>
      </c>
      <c r="K663" s="7">
        <f t="shared" si="2"/>
        <v>0.1911671214</v>
      </c>
    </row>
    <row r="664">
      <c r="A664" s="4">
        <v>664.0</v>
      </c>
      <c r="B664" s="5" t="s">
        <v>3577</v>
      </c>
      <c r="C664" s="5" t="s">
        <v>3578</v>
      </c>
      <c r="D664" s="5" t="s">
        <v>3577</v>
      </c>
      <c r="E664" s="6" t="s">
        <v>74</v>
      </c>
      <c r="F664" s="6" t="s">
        <v>3579</v>
      </c>
      <c r="G664" s="3" t="str">
        <f>IFERROR(__xludf.DUMMYFUNCTION("REGEXREPLACE(
D664,
""([一-龯々]+)\[([^\]]+)\]"",
""&lt;ruby&gt;$1&lt;rt&gt;$2&lt;/rt&gt;&lt;/ruby&gt;""
)&amp;""&lt;br&gt;&lt;div class=""""audio""""&gt;[sound:""&amp;C664&amp;"".mp3]&lt;/div&gt;"""),"デザイン&lt;br&gt;&lt;div class=""audio""&gt;[sound:でざいん.mp3]&lt;/div&gt;")</f>
        <v>デザイン&lt;br&gt;&lt;div class="audio"&gt;[sound:でざいん.mp3]&lt;/div&gt;</v>
      </c>
      <c r="H664" s="3" t="str">
        <f t="shared" si="1"/>
        <v>(n): thiết kế</v>
      </c>
      <c r="I664" s="6" t="s">
        <v>3580</v>
      </c>
      <c r="J664" s="6" t="s">
        <v>3581</v>
      </c>
      <c r="K664" s="7">
        <f t="shared" si="2"/>
        <v>0.6047535396</v>
      </c>
    </row>
    <row r="665">
      <c r="A665" s="4">
        <v>665.0</v>
      </c>
      <c r="B665" s="5" t="s">
        <v>3582</v>
      </c>
      <c r="C665" s="5" t="s">
        <v>3583</v>
      </c>
      <c r="D665" s="5" t="s">
        <v>3584</v>
      </c>
      <c r="E665" s="6" t="s">
        <v>85</v>
      </c>
      <c r="F665" s="6" t="s">
        <v>3585</v>
      </c>
      <c r="G665" s="3" t="str">
        <f>IFERROR(__xludf.DUMMYFUNCTION("REGEXREPLACE(
D665,
""([一-龯々]+)\[([^\]]+)\]"",
""&lt;ruby&gt;$1&lt;rt&gt;$2&lt;/rt&gt;&lt;/ruby&gt;""
)&amp;""&lt;br&gt;&lt;div class=""""audio""""&gt;[sound:""&amp;C665&amp;"".mp3]&lt;/div&gt;"""),"&lt;ruby&gt;一応&lt;rt&gt;いちおう&lt;/rt&gt;&lt;/ruby&gt;&lt;br&gt;&lt;div class=""audio""&gt;[sound:いちおう.mp3]&lt;/div&gt;")</f>
        <v>&lt;ruby&gt;一応&lt;rt&gt;いちおう&lt;/rt&gt;&lt;/ruby&gt;&lt;br&gt;&lt;div class="audio"&gt;[sound:いちおう.mp3]&lt;/div&gt;</v>
      </c>
      <c r="H665" s="3" t="str">
        <f t="shared" si="1"/>
        <v>(adv): tạm thời</v>
      </c>
      <c r="I665" s="6" t="s">
        <v>3586</v>
      </c>
      <c r="J665" s="6" t="s">
        <v>3587</v>
      </c>
      <c r="K665" s="7">
        <f t="shared" si="2"/>
        <v>0.7330574679</v>
      </c>
    </row>
    <row r="666">
      <c r="A666" s="4">
        <v>666.0</v>
      </c>
      <c r="B666" s="5" t="s">
        <v>3588</v>
      </c>
      <c r="C666" s="5" t="s">
        <v>3588</v>
      </c>
      <c r="D666" s="5" t="s">
        <v>3588</v>
      </c>
      <c r="E666" s="6" t="s">
        <v>90</v>
      </c>
      <c r="F666" s="6" t="s">
        <v>506</v>
      </c>
      <c r="G666" s="3" t="str">
        <f>IFERROR(__xludf.DUMMYFUNCTION("REGEXREPLACE(
D666,
""([一-龯々]+)\[([^\]]+)\]"",
""&lt;ruby&gt;$1&lt;rt&gt;$2&lt;/rt&gt;&lt;/ruby&gt;""
)&amp;""&lt;br&gt;&lt;div class=""""audio""""&gt;[sound:""&amp;C666&amp;"".mp3]&lt;/div&gt;"""),"しかも&lt;br&gt;&lt;div class=""audio""&gt;[sound:しかも.mp3]&lt;/div&gt;")</f>
        <v>しかも&lt;br&gt;&lt;div class="audio"&gt;[sound:しかも.mp3]&lt;/div&gt;</v>
      </c>
      <c r="H666" s="3" t="str">
        <f t="shared" si="1"/>
        <v>(conj): hơn nữa</v>
      </c>
      <c r="I666" s="6" t="s">
        <v>3589</v>
      </c>
      <c r="J666" s="6" t="s">
        <v>3590</v>
      </c>
      <c r="K666" s="7">
        <f t="shared" si="2"/>
        <v>0.8673175897</v>
      </c>
    </row>
    <row r="667">
      <c r="A667" s="4">
        <v>667.0</v>
      </c>
      <c r="B667" s="5" t="s">
        <v>3591</v>
      </c>
      <c r="C667" s="5" t="s">
        <v>3591</v>
      </c>
      <c r="D667" s="5" t="s">
        <v>3591</v>
      </c>
      <c r="E667" s="6" t="s">
        <v>85</v>
      </c>
      <c r="F667" s="6" t="s">
        <v>2803</v>
      </c>
      <c r="G667" s="3" t="str">
        <f>IFERROR(__xludf.DUMMYFUNCTION("REGEXREPLACE(
D667,
""([一-龯々]+)\[([^\]]+)\]"",
""&lt;ruby&gt;$1&lt;rt&gt;$2&lt;/rt&gt;&lt;/ruby&gt;""
)&amp;""&lt;br&gt;&lt;div class=""""audio""""&gt;[sound:""&amp;C667&amp;"".mp3]&lt;/div&gt;"""),"できるだけ&lt;br&gt;&lt;div class=""audio""&gt;[sound:できるだけ.mp3]&lt;/div&gt;")</f>
        <v>できるだけ&lt;br&gt;&lt;div class="audio"&gt;[sound:できるだけ.mp3]&lt;/div&gt;</v>
      </c>
      <c r="H667" s="3" t="str">
        <f t="shared" si="1"/>
        <v>(adv): cố gắng</v>
      </c>
      <c r="I667" s="6" t="s">
        <v>3592</v>
      </c>
      <c r="J667" s="6" t="s">
        <v>3593</v>
      </c>
      <c r="K667" s="7">
        <f t="shared" si="2"/>
        <v>0.4722524809</v>
      </c>
    </row>
    <row r="668">
      <c r="A668" s="4">
        <v>668.0</v>
      </c>
      <c r="B668" s="5" t="s">
        <v>3594</v>
      </c>
      <c r="C668" s="5" t="s">
        <v>3595</v>
      </c>
      <c r="D668" s="5" t="s">
        <v>3596</v>
      </c>
      <c r="E668" s="6" t="s">
        <v>74</v>
      </c>
      <c r="F668" s="6" t="s">
        <v>675</v>
      </c>
      <c r="G668" s="3" t="str">
        <f>IFERROR(__xludf.DUMMYFUNCTION("REGEXREPLACE(
D668,
""([一-龯々]+)\[([^\]]+)\]"",
""&lt;ruby&gt;$1&lt;rt&gt;$2&lt;/rt&gt;&lt;/ruby&gt;""
)&amp;""&lt;br&gt;&lt;div class=""""audio""""&gt;[sound:""&amp;C668&amp;"".mp3]&lt;/div&gt;"""),"&lt;ruby&gt;利用&lt;rt&gt;りよう&lt;/rt&gt;&lt;/ruby&gt;&lt;br&gt;&lt;div class=""audio""&gt;[sound:りよう.mp3]&lt;/div&gt;")</f>
        <v>&lt;ruby&gt;利用&lt;rt&gt;りよう&lt;/rt&gt;&lt;/ruby&gt;&lt;br&gt;&lt;div class="audio"&gt;[sound:りよう.mp3]&lt;/div&gt;</v>
      </c>
      <c r="H668" s="3" t="str">
        <f t="shared" si="1"/>
        <v>(n): sử dụng</v>
      </c>
      <c r="I668" s="6" t="s">
        <v>3597</v>
      </c>
      <c r="J668" s="6" t="s">
        <v>3598</v>
      </c>
      <c r="K668" s="7">
        <f t="shared" si="2"/>
        <v>0.6080687678</v>
      </c>
    </row>
    <row r="669">
      <c r="A669" s="4">
        <v>669.0</v>
      </c>
      <c r="B669" s="5" t="s">
        <v>3599</v>
      </c>
      <c r="C669" s="5" t="s">
        <v>3600</v>
      </c>
      <c r="D669" s="5" t="s">
        <v>3601</v>
      </c>
      <c r="E669" s="6" t="s">
        <v>11</v>
      </c>
      <c r="F669" s="6" t="s">
        <v>3602</v>
      </c>
      <c r="G669" s="3" t="str">
        <f>IFERROR(__xludf.DUMMYFUNCTION("REGEXREPLACE(
D669,
""([一-龯々]+)\[([^\]]+)\]"",
""&lt;ruby&gt;$1&lt;rt&gt;$2&lt;/rt&gt;&lt;/ruby&gt;""
)&amp;""&lt;br&gt;&lt;div class=""""audio""""&gt;[sound:""&amp;C669&amp;"".mp3]&lt;/div&gt;"""),"&lt;ruby&gt;忙&lt;rt&gt;いそが&lt;/rt&gt;&lt;/ruby&gt;しい&lt;br&gt;&lt;div class=""audio""&gt;[sound:いそがしい.mp3]&lt;/div&gt;")</f>
        <v>&lt;ruby&gt;忙&lt;rt&gt;いそが&lt;/rt&gt;&lt;/ruby&gt;しい&lt;br&gt;&lt;div class="audio"&gt;[sound:いそがしい.mp3]&lt;/div&gt;</v>
      </c>
      <c r="H669" s="3" t="str">
        <f t="shared" si="1"/>
        <v>(adj): bận rộn</v>
      </c>
      <c r="I669" s="6" t="s">
        <v>3603</v>
      </c>
      <c r="J669" s="6" t="s">
        <v>3604</v>
      </c>
      <c r="K669" s="7">
        <f t="shared" si="2"/>
        <v>0.6096553298</v>
      </c>
    </row>
    <row r="670">
      <c r="A670" s="4">
        <v>670.0</v>
      </c>
      <c r="B670" s="5" t="s">
        <v>3605</v>
      </c>
      <c r="C670" s="5" t="s">
        <v>3606</v>
      </c>
      <c r="D670" s="5" t="s">
        <v>3605</v>
      </c>
      <c r="E670" s="6" t="s">
        <v>74</v>
      </c>
      <c r="F670" s="6" t="s">
        <v>3607</v>
      </c>
      <c r="G670" s="3" t="str">
        <f>IFERROR(__xludf.DUMMYFUNCTION("REGEXREPLACE(
D670,
""([一-龯々]+)\[([^\]]+)\]"",
""&lt;ruby&gt;$1&lt;rt&gt;$2&lt;/rt&gt;&lt;/ruby&gt;""
)&amp;""&lt;br&gt;&lt;div class=""""audio""""&gt;[sound:""&amp;C670&amp;"".mp3]&lt;/div&gt;"""),"タイプ&lt;br&gt;&lt;div class=""audio""&gt;[sound:たいぷ.mp3]&lt;/div&gt;")</f>
        <v>タイプ&lt;br&gt;&lt;div class="audio"&gt;[sound:たいぷ.mp3]&lt;/div&gt;</v>
      </c>
      <c r="H670" s="3" t="str">
        <f t="shared" si="1"/>
        <v>(n): kiểu</v>
      </c>
      <c r="I670" s="6" t="s">
        <v>3608</v>
      </c>
      <c r="J670" s="6" t="s">
        <v>3609</v>
      </c>
      <c r="K670" s="7">
        <f t="shared" si="2"/>
        <v>0.196535204</v>
      </c>
    </row>
    <row r="671">
      <c r="A671" s="4">
        <v>671.0</v>
      </c>
      <c r="B671" s="5" t="s">
        <v>3610</v>
      </c>
      <c r="C671" s="5" t="s">
        <v>3611</v>
      </c>
      <c r="D671" s="5" t="s">
        <v>3612</v>
      </c>
      <c r="E671" s="6" t="s">
        <v>74</v>
      </c>
      <c r="F671" s="6" t="s">
        <v>3613</v>
      </c>
      <c r="G671" s="3" t="str">
        <f>IFERROR(__xludf.DUMMYFUNCTION("REGEXREPLACE(
D671,
""([一-龯々]+)\[([^\]]+)\]"",
""&lt;ruby&gt;$1&lt;rt&gt;$2&lt;/rt&gt;&lt;/ruby&gt;""
)&amp;""&lt;br&gt;&lt;div class=""""audio""""&gt;[sound:""&amp;C671&amp;"".mp3]&lt;/div&gt;"""),"&lt;ruby&gt;組&lt;rt&gt;くみ&lt;/rt&gt;&lt;/ruby&gt;&lt;br&gt;&lt;div class=""audio""&gt;[sound:くみ.mp3]&lt;/div&gt;")</f>
        <v>&lt;ruby&gt;組&lt;rt&gt;くみ&lt;/rt&gt;&lt;/ruby&gt;&lt;br&gt;&lt;div class="audio"&gt;[sound:くみ.mp3]&lt;/div&gt;</v>
      </c>
      <c r="H671" s="3" t="str">
        <f t="shared" si="1"/>
        <v>(n): tổ</v>
      </c>
      <c r="I671" s="6" t="s">
        <v>3614</v>
      </c>
      <c r="J671" s="6" t="s">
        <v>3615</v>
      </c>
      <c r="K671" s="7">
        <f t="shared" si="2"/>
        <v>0.5329046231</v>
      </c>
    </row>
    <row r="672">
      <c r="A672" s="4">
        <v>672.0</v>
      </c>
      <c r="B672" s="5" t="s">
        <v>3616</v>
      </c>
      <c r="C672" s="5" t="s">
        <v>3617</v>
      </c>
      <c r="D672" s="5" t="s">
        <v>3618</v>
      </c>
      <c r="E672" s="6" t="s">
        <v>74</v>
      </c>
      <c r="F672" s="6" t="s">
        <v>3619</v>
      </c>
      <c r="G672" s="3" t="str">
        <f>IFERROR(__xludf.DUMMYFUNCTION("REGEXREPLACE(
D672,
""([一-龯々]+)\[([^\]]+)\]"",
""&lt;ruby&gt;$1&lt;rt&gt;$2&lt;/rt&gt;&lt;/ruby&gt;""
)&amp;""&lt;br&gt;&lt;div class=""""audio""""&gt;[sound:""&amp;C672&amp;"".mp3]&lt;/div&gt;"""),"&lt;ruby&gt;方法&lt;rt&gt;ほうほう&lt;/rt&gt;&lt;/ruby&gt;&lt;br&gt;&lt;div class=""audio""&gt;[sound:ほうほう.mp3]&lt;/div&gt;")</f>
        <v>&lt;ruby&gt;方法&lt;rt&gt;ほうほう&lt;/rt&gt;&lt;/ruby&gt;&lt;br&gt;&lt;div class="audio"&gt;[sound:ほうほう.mp3]&lt;/div&gt;</v>
      </c>
      <c r="H672" s="3" t="str">
        <f t="shared" si="1"/>
        <v>(n): phương pháp</v>
      </c>
      <c r="I672" s="6" t="s">
        <v>3620</v>
      </c>
      <c r="J672" s="6" t="s">
        <v>3621</v>
      </c>
      <c r="K672" s="7">
        <f t="shared" si="2"/>
        <v>0.9168725137</v>
      </c>
    </row>
    <row r="673">
      <c r="A673" s="4">
        <v>673.0</v>
      </c>
      <c r="B673" s="5" t="s">
        <v>3622</v>
      </c>
      <c r="C673" s="5" t="s">
        <v>3622</v>
      </c>
      <c r="D673" s="5" t="s">
        <v>3622</v>
      </c>
      <c r="E673" s="6" t="s">
        <v>85</v>
      </c>
      <c r="F673" s="6" t="s">
        <v>3623</v>
      </c>
      <c r="G673" s="3" t="str">
        <f>IFERROR(__xludf.DUMMYFUNCTION("REGEXREPLACE(
D673,
""([一-龯々]+)\[([^\]]+)\]"",
""&lt;ruby&gt;$1&lt;rt&gt;$2&lt;/rt&gt;&lt;/ruby&gt;""
)&amp;""&lt;br&gt;&lt;div class=""""audio""""&gt;[sound:""&amp;C673&amp;"".mp3]&lt;/div&gt;"""),"ちゃんと&lt;br&gt;&lt;div class=""audio""&gt;[sound:ちゃんと.mp3]&lt;/div&gt;")</f>
        <v>ちゃんと&lt;br&gt;&lt;div class="audio"&gt;[sound:ちゃんと.mp3]&lt;/div&gt;</v>
      </c>
      <c r="H673" s="3" t="str">
        <f t="shared" si="1"/>
        <v>(adv): đàng hoàng</v>
      </c>
      <c r="I673" s="6" t="s">
        <v>3624</v>
      </c>
      <c r="J673" s="6" t="s">
        <v>3625</v>
      </c>
      <c r="K673" s="7">
        <f t="shared" si="2"/>
        <v>0.07471036036</v>
      </c>
    </row>
    <row r="674">
      <c r="A674" s="4">
        <v>674.0</v>
      </c>
      <c r="B674" s="5" t="s">
        <v>3626</v>
      </c>
      <c r="C674" s="5" t="s">
        <v>3627</v>
      </c>
      <c r="D674" s="5" t="s">
        <v>3626</v>
      </c>
      <c r="E674" s="6" t="s">
        <v>74</v>
      </c>
      <c r="F674" s="6" t="s">
        <v>3628</v>
      </c>
      <c r="G674" s="3" t="str">
        <f>IFERROR(__xludf.DUMMYFUNCTION("REGEXREPLACE(
D674,
""([一-龯々]+)\[([^\]]+)\]"",
""&lt;ruby&gt;$1&lt;rt&gt;$2&lt;/rt&gt;&lt;/ruby&gt;""
)&amp;""&lt;br&gt;&lt;div class=""""audio""""&gt;[sound:""&amp;C674&amp;"".mp3]&lt;/div&gt;"""),"モデル&lt;br&gt;&lt;div class=""audio""&gt;[sound:もでる.mp3]&lt;/div&gt;")</f>
        <v>モデル&lt;br&gt;&lt;div class="audio"&gt;[sound:もでる.mp3]&lt;/div&gt;</v>
      </c>
      <c r="H674" s="3" t="str">
        <f t="shared" si="1"/>
        <v>(n): người mẫu</v>
      </c>
      <c r="I674" s="6" t="s">
        <v>3629</v>
      </c>
      <c r="J674" s="6" t="s">
        <v>3630</v>
      </c>
      <c r="K674" s="7">
        <f t="shared" si="2"/>
        <v>0.9467105031</v>
      </c>
    </row>
    <row r="675">
      <c r="A675" s="4">
        <v>675.0</v>
      </c>
      <c r="B675" s="5" t="s">
        <v>3631</v>
      </c>
      <c r="C675" s="5" t="s">
        <v>3632</v>
      </c>
      <c r="D675" s="5" t="s">
        <v>3633</v>
      </c>
      <c r="E675" s="6" t="s">
        <v>74</v>
      </c>
      <c r="F675" s="6" t="s">
        <v>3634</v>
      </c>
      <c r="G675" s="3" t="str">
        <f>IFERROR(__xludf.DUMMYFUNCTION("REGEXREPLACE(
D675,
""([一-龯々]+)\[([^\]]+)\]"",
""&lt;ruby&gt;$1&lt;rt&gt;$2&lt;/rt&gt;&lt;/ruby&gt;""
)&amp;""&lt;br&gt;&lt;div class=""""audio""""&gt;[sound:""&amp;C675&amp;"".mp3]&lt;/div&gt;"""),"&lt;ruby&gt;練習&lt;rt&gt;れんしゅう&lt;/rt&gt;&lt;/ruby&gt;&lt;br&gt;&lt;div class=""audio""&gt;[sound:れんしゅう.mp3]&lt;/div&gt;")</f>
        <v>&lt;ruby&gt;練習&lt;rt&gt;れんしゅう&lt;/rt&gt;&lt;/ruby&gt;&lt;br&gt;&lt;div class="audio"&gt;[sound:れんしゅう.mp3]&lt;/div&gt;</v>
      </c>
      <c r="H675" s="3" t="str">
        <f t="shared" si="1"/>
        <v>(n): luyện tập</v>
      </c>
      <c r="I675" s="6" t="s">
        <v>3635</v>
      </c>
      <c r="J675" s="6" t="s">
        <v>3636</v>
      </c>
      <c r="K675" s="7">
        <f t="shared" si="2"/>
        <v>0.07482639775</v>
      </c>
    </row>
    <row r="676">
      <c r="A676" s="4">
        <v>676.0</v>
      </c>
      <c r="B676" s="5" t="s">
        <v>3637</v>
      </c>
      <c r="C676" s="5" t="s">
        <v>3638</v>
      </c>
      <c r="D676" s="5" t="s">
        <v>3639</v>
      </c>
      <c r="E676" s="6" t="s">
        <v>74</v>
      </c>
      <c r="F676" s="6" t="s">
        <v>3640</v>
      </c>
      <c r="G676" s="3" t="str">
        <f>IFERROR(__xludf.DUMMYFUNCTION("REGEXREPLACE(
D676,
""([一-龯々]+)\[([^\]]+)\]"",
""&lt;ruby&gt;$1&lt;rt&gt;$2&lt;/rt&gt;&lt;/ruby&gt;""
)&amp;""&lt;br&gt;&lt;div class=""""audio""""&gt;[sound:""&amp;C676&amp;"".mp3]&lt;/div&gt;"""),"&lt;ruby&gt;都合&lt;rt&gt;つごう&lt;/rt&gt;&lt;/ruby&gt;&lt;br&gt;&lt;div class=""audio""&gt;[sound:つごう.mp3]&lt;/div&gt;")</f>
        <v>&lt;ruby&gt;都合&lt;rt&gt;つごう&lt;/rt&gt;&lt;/ruby&gt;&lt;br&gt;&lt;div class="audio"&gt;[sound:つごう.mp3]&lt;/div&gt;</v>
      </c>
      <c r="H676" s="3" t="str">
        <f t="shared" si="1"/>
        <v>(n): hoàn cảnh</v>
      </c>
      <c r="I676" s="6" t="s">
        <v>3641</v>
      </c>
      <c r="J676" s="6" t="s">
        <v>3642</v>
      </c>
      <c r="K676" s="7">
        <f t="shared" si="2"/>
        <v>0.2460389069</v>
      </c>
    </row>
    <row r="677">
      <c r="A677" s="4">
        <v>677.0</v>
      </c>
      <c r="B677" s="5" t="s">
        <v>3643</v>
      </c>
      <c r="C677" s="5" t="s">
        <v>3644</v>
      </c>
      <c r="D677" s="5" t="s">
        <v>3645</v>
      </c>
      <c r="E677" s="6" t="s">
        <v>74</v>
      </c>
      <c r="F677" s="6" t="s">
        <v>1314</v>
      </c>
      <c r="G677" s="3" t="str">
        <f>IFERROR(__xludf.DUMMYFUNCTION("REGEXREPLACE(
D677,
""([一-龯々]+)\[([^\]]+)\]"",
""&lt;ruby&gt;$1&lt;rt&gt;$2&lt;/rt&gt;&lt;/ruby&gt;""
)&amp;""&lt;br&gt;&lt;div class=""""audio""""&gt;[sound:""&amp;C677&amp;"".mp3]&lt;/div&gt;"""),"&lt;ruby&gt;終&lt;rt&gt;お&lt;/rt&gt;&lt;/ruby&gt;わり&lt;br&gt;&lt;div class=""audio""&gt;[sound:おわり.mp3]&lt;/div&gt;")</f>
        <v>&lt;ruby&gt;終&lt;rt&gt;お&lt;/rt&gt;&lt;/ruby&gt;わり&lt;br&gt;&lt;div class="audio"&gt;[sound:おわり.mp3]&lt;/div&gt;</v>
      </c>
      <c r="H677" s="3" t="str">
        <f t="shared" si="1"/>
        <v>(n): kết thúc</v>
      </c>
      <c r="I677" s="6" t="s">
        <v>3646</v>
      </c>
      <c r="J677" s="6" t="s">
        <v>3647</v>
      </c>
      <c r="K677" s="7">
        <f t="shared" si="2"/>
        <v>0.6647679037</v>
      </c>
    </row>
    <row r="678">
      <c r="A678" s="4">
        <v>678.0</v>
      </c>
      <c r="B678" s="5" t="s">
        <v>3648</v>
      </c>
      <c r="C678" s="5" t="s">
        <v>3649</v>
      </c>
      <c r="D678" s="5" t="s">
        <v>3650</v>
      </c>
      <c r="E678" s="6" t="s">
        <v>24</v>
      </c>
      <c r="F678" s="6" t="s">
        <v>3651</v>
      </c>
      <c r="G678" s="3" t="str">
        <f>IFERROR(__xludf.DUMMYFUNCTION("REGEXREPLACE(
D678,
""([一-龯々]+)\[([^\]]+)\]"",
""&lt;ruby&gt;$1&lt;rt&gt;$2&lt;/rt&gt;&lt;/ruby&gt;""
)&amp;""&lt;br&gt;&lt;div class=""""audio""""&gt;[sound:""&amp;C678&amp;"".mp3]&lt;/div&gt;"""),"&lt;ruby&gt;進&lt;rt&gt;すす&lt;/rt&gt;&lt;/ruby&gt;む&lt;br&gt;&lt;div class=""audio""&gt;[sound:すすむ.mp3]&lt;/div&gt;")</f>
        <v>&lt;ruby&gt;進&lt;rt&gt;すす&lt;/rt&gt;&lt;/ruby&gt;む&lt;br&gt;&lt;div class="audio"&gt;[sound:すすむ.mp3]&lt;/div&gt;</v>
      </c>
      <c r="H678" s="3" t="str">
        <f t="shared" si="1"/>
        <v>(v): tiến lên</v>
      </c>
      <c r="I678" s="6" t="s">
        <v>3652</v>
      </c>
      <c r="J678" s="6" t="s">
        <v>3653</v>
      </c>
      <c r="K678" s="7">
        <f t="shared" si="2"/>
        <v>0.780628976</v>
      </c>
    </row>
    <row r="679">
      <c r="A679" s="4">
        <v>679.0</v>
      </c>
      <c r="B679" s="5" t="s">
        <v>3654</v>
      </c>
      <c r="C679" s="5" t="s">
        <v>3655</v>
      </c>
      <c r="D679" s="5" t="s">
        <v>3656</v>
      </c>
      <c r="E679" s="6" t="s">
        <v>74</v>
      </c>
      <c r="F679" s="6" t="s">
        <v>3657</v>
      </c>
      <c r="G679" s="3" t="str">
        <f>IFERROR(__xludf.DUMMYFUNCTION("REGEXREPLACE(
D679,
""([一-龯々]+)\[([^\]]+)\]"",
""&lt;ruby&gt;$1&lt;rt&gt;$2&lt;/rt&gt;&lt;/ruby&gt;""
)&amp;""&lt;br&gt;&lt;div class=""""audio""""&gt;[sound:""&amp;C679&amp;"".mp3]&lt;/div&gt;"""),"&lt;ruby&gt;組織&lt;rt&gt;そしき&lt;/rt&gt;&lt;/ruby&gt;&lt;br&gt;&lt;div class=""audio""&gt;[sound:そしき.mp3]&lt;/div&gt;")</f>
        <v>&lt;ruby&gt;組織&lt;rt&gt;そしき&lt;/rt&gt;&lt;/ruby&gt;&lt;br&gt;&lt;div class="audio"&gt;[sound:そしき.mp3]&lt;/div&gt;</v>
      </c>
      <c r="H679" s="3" t="str">
        <f t="shared" si="1"/>
        <v>(n): tổ chức</v>
      </c>
      <c r="I679" s="6" t="s">
        <v>3658</v>
      </c>
      <c r="J679" s="6" t="s">
        <v>3659</v>
      </c>
      <c r="K679" s="7">
        <f t="shared" si="2"/>
        <v>0.05948354359</v>
      </c>
    </row>
    <row r="680">
      <c r="A680" s="4">
        <v>680.0</v>
      </c>
      <c r="B680" s="5" t="s">
        <v>3660</v>
      </c>
      <c r="C680" s="5" t="s">
        <v>3661</v>
      </c>
      <c r="D680" s="5" t="s">
        <v>3662</v>
      </c>
      <c r="E680" s="6" t="s">
        <v>24</v>
      </c>
      <c r="F680" s="6" t="s">
        <v>3663</v>
      </c>
      <c r="G680" s="3" t="str">
        <f>IFERROR(__xludf.DUMMYFUNCTION("REGEXREPLACE(
D680,
""([一-龯々]+)\[([^\]]+)\]"",
""&lt;ruby&gt;$1&lt;rt&gt;$2&lt;/rt&gt;&lt;/ruby&gt;""
)&amp;""&lt;br&gt;&lt;div class=""""audio""""&gt;[sound:""&amp;C680&amp;"".mp3]&lt;/div&gt;"""),"&lt;ruby&gt;覚&lt;rt&gt;おぼ&lt;/rt&gt;&lt;/ruby&gt;える&lt;br&gt;&lt;div class=""audio""&gt;[sound:おぼえる.mp3]&lt;/div&gt;")</f>
        <v>&lt;ruby&gt;覚&lt;rt&gt;おぼ&lt;/rt&gt;&lt;/ruby&gt;える&lt;br&gt;&lt;div class="audio"&gt;[sound:おぼえる.mp3]&lt;/div&gt;</v>
      </c>
      <c r="H680" s="3" t="str">
        <f t="shared" si="1"/>
        <v>(v): ghi nhớ</v>
      </c>
      <c r="I680" s="6" t="s">
        <v>3664</v>
      </c>
      <c r="J680" s="6" t="s">
        <v>3665</v>
      </c>
      <c r="K680" s="7">
        <f t="shared" si="2"/>
        <v>0.4982813936</v>
      </c>
    </row>
    <row r="681">
      <c r="A681" s="4">
        <v>681.0</v>
      </c>
      <c r="B681" s="5" t="s">
        <v>3666</v>
      </c>
      <c r="C681" s="5" t="s">
        <v>3667</v>
      </c>
      <c r="D681" s="5" t="s">
        <v>3668</v>
      </c>
      <c r="E681" s="6" t="s">
        <v>11</v>
      </c>
      <c r="F681" s="6" t="s">
        <v>3669</v>
      </c>
      <c r="G681" s="3" t="str">
        <f>IFERROR(__xludf.DUMMYFUNCTION("REGEXREPLACE(
D681,
""([一-龯々]+)\[([^\]]+)\]"",
""&lt;ruby&gt;$1&lt;rt&gt;$2&lt;/rt&gt;&lt;/ruby&gt;""
)&amp;""&lt;br&gt;&lt;div class=""""audio""""&gt;[sound:""&amp;C681&amp;"".mp3]&lt;/div&gt;"""),"&lt;ruby&gt;結構&lt;rt&gt;けっこう&lt;/rt&gt;&lt;/ruby&gt;&lt;br&gt;&lt;div class=""audio""&gt;[sound:けっこう.mp3]&lt;/div&gt;")</f>
        <v>&lt;ruby&gt;結構&lt;rt&gt;けっこう&lt;/rt&gt;&lt;/ruby&gt;&lt;br&gt;&lt;div class="audio"&gt;[sound:けっこう.mp3]&lt;/div&gt;</v>
      </c>
      <c r="H681" s="3" t="str">
        <f t="shared" si="1"/>
        <v>(adj): được</v>
      </c>
      <c r="I681" s="6" t="s">
        <v>3670</v>
      </c>
      <c r="J681" s="6" t="s">
        <v>3671</v>
      </c>
      <c r="K681" s="7">
        <f t="shared" si="2"/>
        <v>0.09983614941</v>
      </c>
    </row>
    <row r="682">
      <c r="A682" s="4">
        <v>682.0</v>
      </c>
      <c r="B682" s="5" t="s">
        <v>3672</v>
      </c>
      <c r="C682" s="5" t="s">
        <v>2943</v>
      </c>
      <c r="D682" s="5" t="s">
        <v>3673</v>
      </c>
      <c r="E682" s="6" t="s">
        <v>24</v>
      </c>
      <c r="F682" s="6" t="s">
        <v>3674</v>
      </c>
      <c r="G682" s="3" t="str">
        <f>IFERROR(__xludf.DUMMYFUNCTION("REGEXREPLACE(
D682,
""([一-龯々]+)\[([^\]]+)\]"",
""&lt;ruby&gt;$1&lt;rt&gt;$2&lt;/rt&gt;&lt;/ruby&gt;""
)&amp;""&lt;br&gt;&lt;div class=""""audio""""&gt;[sound:""&amp;C682&amp;"".mp3]&lt;/div&gt;"""),"&lt;ruby&gt;降&lt;rt&gt;ふ&lt;/rt&gt;&lt;/ruby&gt;る&lt;br&gt;&lt;div class=""audio""&gt;[sound:ふる.mp3]&lt;/div&gt;")</f>
        <v>&lt;ruby&gt;降&lt;rt&gt;ふ&lt;/rt&gt;&lt;/ruby&gt;る&lt;br&gt;&lt;div class="audio"&gt;[sound:ふる.mp3]&lt;/div&gt;</v>
      </c>
      <c r="H682" s="3" t="str">
        <f t="shared" si="1"/>
        <v>(v): rơi</v>
      </c>
      <c r="I682" s="6" t="s">
        <v>3675</v>
      </c>
      <c r="J682" s="6" t="s">
        <v>3676</v>
      </c>
      <c r="K682" s="7">
        <f t="shared" si="2"/>
        <v>0.4282973548</v>
      </c>
    </row>
    <row r="683">
      <c r="A683" s="4">
        <v>683.0</v>
      </c>
      <c r="B683" s="5" t="s">
        <v>3677</v>
      </c>
      <c r="C683" s="5" t="s">
        <v>3678</v>
      </c>
      <c r="D683" s="5" t="s">
        <v>3679</v>
      </c>
      <c r="E683" s="6" t="s">
        <v>24</v>
      </c>
      <c r="F683" s="6" t="s">
        <v>2530</v>
      </c>
      <c r="G683" s="3" t="str">
        <f>IFERROR(__xludf.DUMMYFUNCTION("REGEXREPLACE(
D683,
""([一-龯々]+)\[([^\]]+)\]"",
""&lt;ruby&gt;$1&lt;rt&gt;$2&lt;/rt&gt;&lt;/ruby&gt;""
)&amp;""&lt;br&gt;&lt;div class=""""audio""""&gt;[sound:""&amp;C683&amp;"".mp3]&lt;/div&gt;"""),"&lt;ruby&gt;動&lt;rt&gt;うご&lt;/rt&gt;&lt;/ruby&gt;く&lt;br&gt;&lt;div class=""audio""&gt;[sound:うごく.mp3]&lt;/div&gt;")</f>
        <v>&lt;ruby&gt;動&lt;rt&gt;うご&lt;/rt&gt;&lt;/ruby&gt;く&lt;br&gt;&lt;div class="audio"&gt;[sound:うごく.mp3]&lt;/div&gt;</v>
      </c>
      <c r="H683" s="3" t="str">
        <f t="shared" si="1"/>
        <v>(v): chuyển động</v>
      </c>
      <c r="I683" s="6" t="s">
        <v>3680</v>
      </c>
      <c r="J683" s="6" t="s">
        <v>3681</v>
      </c>
      <c r="K683" s="7">
        <f t="shared" si="2"/>
        <v>0.1535035375</v>
      </c>
    </row>
    <row r="684">
      <c r="A684" s="4">
        <v>684.0</v>
      </c>
      <c r="B684" s="5" t="s">
        <v>3682</v>
      </c>
      <c r="C684" s="5" t="s">
        <v>3683</v>
      </c>
      <c r="D684" s="5" t="s">
        <v>3682</v>
      </c>
      <c r="E684" s="6" t="s">
        <v>74</v>
      </c>
      <c r="F684" s="6" t="s">
        <v>3684</v>
      </c>
      <c r="G684" s="3" t="str">
        <f>IFERROR(__xludf.DUMMYFUNCTION("REGEXREPLACE(
D684,
""([一-龯々]+)\[([^\]]+)\]"",
""&lt;ruby&gt;$1&lt;rt&gt;$2&lt;/rt&gt;&lt;/ruby&gt;""
)&amp;""&lt;br&gt;&lt;div class=""""audio""""&gt;[sound:""&amp;C684&amp;"".mp3]&lt;/div&gt;"""),"ストレス&lt;br&gt;&lt;div class=""audio""&gt;[sound:すとれす.mp3]&lt;/div&gt;")</f>
        <v>ストレス&lt;br&gt;&lt;div class="audio"&gt;[sound:すとれす.mp3]&lt;/div&gt;</v>
      </c>
      <c r="H684" s="3" t="str">
        <f t="shared" si="1"/>
        <v>(n): căng thẳng</v>
      </c>
      <c r="I684" s="6" t="s">
        <v>3685</v>
      </c>
      <c r="J684" s="6" t="s">
        <v>3686</v>
      </c>
      <c r="K684" s="7">
        <f t="shared" si="2"/>
        <v>0.689871851</v>
      </c>
    </row>
    <row r="685">
      <c r="A685" s="4">
        <v>685.0</v>
      </c>
      <c r="B685" s="5" t="s">
        <v>3687</v>
      </c>
      <c r="C685" s="5" t="s">
        <v>3688</v>
      </c>
      <c r="D685" s="5" t="s">
        <v>3689</v>
      </c>
      <c r="E685" s="6" t="s">
        <v>74</v>
      </c>
      <c r="F685" s="6" t="s">
        <v>3690</v>
      </c>
      <c r="G685" s="3" t="str">
        <f>IFERROR(__xludf.DUMMYFUNCTION("REGEXREPLACE(
D685,
""([一-龯々]+)\[([^\]]+)\]"",
""&lt;ruby&gt;$1&lt;rt&gt;$2&lt;/rt&gt;&lt;/ruby&gt;""
)&amp;""&lt;br&gt;&lt;div class=""""audio""""&gt;[sound:""&amp;C685&amp;"".mp3]&lt;/div&gt;"""),"&lt;ruby&gt;交通&lt;rt&gt;こうつう&lt;/rt&gt;&lt;/ruby&gt;&lt;br&gt;&lt;div class=""audio""&gt;[sound:こうつう.mp3]&lt;/div&gt;")</f>
        <v>&lt;ruby&gt;交通&lt;rt&gt;こうつう&lt;/rt&gt;&lt;/ruby&gt;&lt;br&gt;&lt;div class="audio"&gt;[sound:こうつう.mp3]&lt;/div&gt;</v>
      </c>
      <c r="H685" s="3" t="str">
        <f t="shared" si="1"/>
        <v>(n): giao thông</v>
      </c>
      <c r="I685" s="6" t="s">
        <v>3691</v>
      </c>
      <c r="J685" s="6" t="s">
        <v>3692</v>
      </c>
      <c r="K685" s="7">
        <f t="shared" si="2"/>
        <v>0.7624789425</v>
      </c>
    </row>
    <row r="686">
      <c r="A686" s="4">
        <v>686.0</v>
      </c>
      <c r="B686" s="5" t="s">
        <v>3693</v>
      </c>
      <c r="C686" s="5" t="s">
        <v>3694</v>
      </c>
      <c r="D686" s="5" t="s">
        <v>3695</v>
      </c>
      <c r="E686" s="6" t="s">
        <v>74</v>
      </c>
      <c r="F686" s="6" t="s">
        <v>3640</v>
      </c>
      <c r="G686" s="3" t="str">
        <f>IFERROR(__xludf.DUMMYFUNCTION("REGEXREPLACE(
D686,
""([一-龯々]+)\[([^\]]+)\]"",
""&lt;ruby&gt;$1&lt;rt&gt;$2&lt;/rt&gt;&lt;/ruby&gt;""
)&amp;""&lt;br&gt;&lt;div class=""""audio""""&gt;[sound:""&amp;C686&amp;"".mp3]&lt;/div&gt;"""),"&lt;ruby&gt;事情&lt;rt&gt;じじょう&lt;/rt&gt;&lt;/ruby&gt;&lt;br&gt;&lt;div class=""audio""&gt;[sound:じじょう.mp3]&lt;/div&gt;")</f>
        <v>&lt;ruby&gt;事情&lt;rt&gt;じじょう&lt;/rt&gt;&lt;/ruby&gt;&lt;br&gt;&lt;div class="audio"&gt;[sound:じじょう.mp3]&lt;/div&gt;</v>
      </c>
      <c r="H686" s="3" t="str">
        <f t="shared" si="1"/>
        <v>(n): hoàn cảnh</v>
      </c>
      <c r="I686" s="6" t="s">
        <v>3696</v>
      </c>
      <c r="J686" s="6" t="s">
        <v>3697</v>
      </c>
      <c r="K686" s="7">
        <f t="shared" si="2"/>
        <v>0.4066143036</v>
      </c>
    </row>
    <row r="687">
      <c r="A687" s="4">
        <v>687.0</v>
      </c>
      <c r="B687" s="5" t="s">
        <v>3698</v>
      </c>
      <c r="C687" s="5" t="s">
        <v>3699</v>
      </c>
      <c r="D687" s="5" t="s">
        <v>3700</v>
      </c>
      <c r="E687" s="6" t="s">
        <v>85</v>
      </c>
      <c r="F687" s="6" t="s">
        <v>2225</v>
      </c>
      <c r="G687" s="3" t="str">
        <f>IFERROR(__xludf.DUMMYFUNCTION("REGEXREPLACE(
D687,
""([一-龯々]+)\[([^\]]+)\]"",
""&lt;ruby&gt;$1&lt;rt&gt;$2&lt;/rt&gt;&lt;/ruby&gt;""
)&amp;""&lt;br&gt;&lt;div class=""""audio""""&gt;[sound:""&amp;C687&amp;"".mp3]&lt;/div&gt;"""),"&lt;ruby&gt;突然&lt;rt&gt;とつぜん&lt;/rt&gt;&lt;/ruby&gt;&lt;br&gt;&lt;div class=""audio""&gt;[sound:とつぜん.mp3]&lt;/div&gt;")</f>
        <v>&lt;ruby&gt;突然&lt;rt&gt;とつぜん&lt;/rt&gt;&lt;/ruby&gt;&lt;br&gt;&lt;div class="audio"&gt;[sound:とつぜん.mp3]&lt;/div&gt;</v>
      </c>
      <c r="H687" s="3" t="str">
        <f t="shared" si="1"/>
        <v>(adv): đột nhiên</v>
      </c>
      <c r="I687" s="6" t="s">
        <v>3701</v>
      </c>
      <c r="J687" s="6" t="s">
        <v>2227</v>
      </c>
      <c r="K687" s="7">
        <f t="shared" si="2"/>
        <v>0.08854622712</v>
      </c>
    </row>
    <row r="688">
      <c r="A688" s="4">
        <v>688.0</v>
      </c>
      <c r="B688" s="5" t="s">
        <v>3702</v>
      </c>
      <c r="C688" s="5" t="s">
        <v>3703</v>
      </c>
      <c r="D688" s="5" t="s">
        <v>3704</v>
      </c>
      <c r="E688" s="6" t="s">
        <v>24</v>
      </c>
      <c r="F688" s="6" t="s">
        <v>3705</v>
      </c>
      <c r="G688" s="3" t="str">
        <f>IFERROR(__xludf.DUMMYFUNCTION("REGEXREPLACE(
D688,
""([一-龯々]+)\[([^\]]+)\]"",
""&lt;ruby&gt;$1&lt;rt&gt;$2&lt;/rt&gt;&lt;/ruby&gt;""
)&amp;""&lt;br&gt;&lt;div class=""""audio""""&gt;[sound:""&amp;C688&amp;"".mp3]&lt;/div&gt;"""),"&lt;ruby&gt;認&lt;rt&gt;みと&lt;/rt&gt;&lt;/ruby&gt;める&lt;br&gt;&lt;div class=""audio""&gt;[sound:みとめる.mp3]&lt;/div&gt;")</f>
        <v>&lt;ruby&gt;認&lt;rt&gt;みと&lt;/rt&gt;&lt;/ruby&gt;める&lt;br&gt;&lt;div class="audio"&gt;[sound:みとめる.mp3]&lt;/div&gt;</v>
      </c>
      <c r="H688" s="3" t="str">
        <f t="shared" si="1"/>
        <v>(v): công nhận</v>
      </c>
      <c r="I688" s="6" t="s">
        <v>3706</v>
      </c>
      <c r="J688" s="6" t="s">
        <v>3707</v>
      </c>
      <c r="K688" s="7">
        <f t="shared" si="2"/>
        <v>0.9432438191</v>
      </c>
    </row>
    <row r="689">
      <c r="A689" s="4">
        <v>689.0</v>
      </c>
      <c r="B689" s="5" t="s">
        <v>3708</v>
      </c>
      <c r="C689" s="5" t="s">
        <v>3709</v>
      </c>
      <c r="D689" s="5" t="s">
        <v>3710</v>
      </c>
      <c r="E689" s="6" t="s">
        <v>74</v>
      </c>
      <c r="F689" s="6" t="s">
        <v>3711</v>
      </c>
      <c r="G689" s="3" t="str">
        <f>IFERROR(__xludf.DUMMYFUNCTION("REGEXREPLACE(
D689,
""([一-龯々]+)\[([^\]]+)\]"",
""&lt;ruby&gt;$1&lt;rt&gt;$2&lt;/rt&gt;&lt;/ruby&gt;""
)&amp;""&lt;br&gt;&lt;div class=""""audio""""&gt;[sound:""&amp;C689&amp;"".mp3]&lt;/div&gt;"""),"&lt;ruby&gt;席&lt;rt&gt;せき&lt;/rt&gt;&lt;/ruby&gt;&lt;br&gt;&lt;div class=""audio""&gt;[sound:せき.mp3]&lt;/div&gt;")</f>
        <v>&lt;ruby&gt;席&lt;rt&gt;せき&lt;/rt&gt;&lt;/ruby&gt;&lt;br&gt;&lt;div class="audio"&gt;[sound:せき.mp3]&lt;/div&gt;</v>
      </c>
      <c r="H689" s="3" t="str">
        <f t="shared" si="1"/>
        <v>(n): chỗ ngồi</v>
      </c>
      <c r="I689" s="6" t="s">
        <v>3712</v>
      </c>
      <c r="J689" s="6" t="s">
        <v>3713</v>
      </c>
      <c r="K689" s="7">
        <f t="shared" si="2"/>
        <v>0.4228772373</v>
      </c>
    </row>
    <row r="690">
      <c r="A690" s="4">
        <v>690.0</v>
      </c>
      <c r="B690" s="5" t="s">
        <v>3714</v>
      </c>
      <c r="C690" s="5" t="s">
        <v>3715</v>
      </c>
      <c r="D690" s="5" t="s">
        <v>3716</v>
      </c>
      <c r="E690" s="6" t="s">
        <v>74</v>
      </c>
      <c r="F690" s="6" t="s">
        <v>3717</v>
      </c>
      <c r="G690" s="3" t="str">
        <f>IFERROR(__xludf.DUMMYFUNCTION("REGEXREPLACE(
D690,
""([一-龯々]+)\[([^\]]+)\]"",
""&lt;ruby&gt;$1&lt;rt&gt;$2&lt;/rt&gt;&lt;/ruby&gt;""
)&amp;""&lt;br&gt;&lt;div class=""""audio""""&gt;[sound:""&amp;C690&amp;"".mp3]&lt;/div&gt;"""),"&lt;ruby&gt;数&lt;rt&gt;かず&lt;/rt&gt;&lt;/ruby&gt;&lt;br&gt;&lt;div class=""audio""&gt;[sound:かず.mp3]&lt;/div&gt;")</f>
        <v>&lt;ruby&gt;数&lt;rt&gt;かず&lt;/rt&gt;&lt;/ruby&gt;&lt;br&gt;&lt;div class="audio"&gt;[sound:かず.mp3]&lt;/div&gt;</v>
      </c>
      <c r="H690" s="3" t="str">
        <f t="shared" si="1"/>
        <v>(n): số lượng</v>
      </c>
      <c r="I690" s="6" t="s">
        <v>3718</v>
      </c>
      <c r="J690" s="6" t="s">
        <v>3719</v>
      </c>
      <c r="K690" s="7">
        <f t="shared" si="2"/>
        <v>0.2459428692</v>
      </c>
    </row>
    <row r="691">
      <c r="A691" s="4">
        <v>691.0</v>
      </c>
      <c r="B691" s="5" t="s">
        <v>3720</v>
      </c>
      <c r="C691" s="5" t="s">
        <v>3721</v>
      </c>
      <c r="D691" s="5" t="s">
        <v>3722</v>
      </c>
      <c r="E691" s="6" t="s">
        <v>74</v>
      </c>
      <c r="F691" s="6" t="s">
        <v>3723</v>
      </c>
      <c r="G691" s="3" t="str">
        <f>IFERROR(__xludf.DUMMYFUNCTION("REGEXREPLACE(
D691,
""([一-龯々]+)\[([^\]]+)\]"",
""&lt;ruby&gt;$1&lt;rt&gt;$2&lt;/rt&gt;&lt;/ruby&gt;""
)&amp;""&lt;br&gt;&lt;div class=""""audio""""&gt;[sound:""&amp;C691&amp;"".mp3]&lt;/div&gt;"""),"&lt;ruby&gt;西&lt;rt&gt;にし&lt;/rt&gt;&lt;/ruby&gt;&lt;br&gt;&lt;div class=""audio""&gt;[sound:にし.mp3]&lt;/div&gt;")</f>
        <v>&lt;ruby&gt;西&lt;rt&gt;にし&lt;/rt&gt;&lt;/ruby&gt;&lt;br&gt;&lt;div class="audio"&gt;[sound:にし.mp3]&lt;/div&gt;</v>
      </c>
      <c r="H691" s="3" t="str">
        <f t="shared" si="1"/>
        <v>(n): phía tây</v>
      </c>
      <c r="I691" s="6" t="s">
        <v>3724</v>
      </c>
      <c r="J691" s="6" t="s">
        <v>3725</v>
      </c>
      <c r="K691" s="7">
        <f t="shared" si="2"/>
        <v>0.914314186</v>
      </c>
    </row>
    <row r="692">
      <c r="A692" s="4">
        <v>692.0</v>
      </c>
      <c r="B692" s="5" t="s">
        <v>3726</v>
      </c>
      <c r="C692" s="5" t="s">
        <v>3727</v>
      </c>
      <c r="D692" s="5" t="s">
        <v>3728</v>
      </c>
      <c r="E692" s="6" t="s">
        <v>74</v>
      </c>
      <c r="F692" s="6" t="s">
        <v>3729</v>
      </c>
      <c r="G692" s="3" t="str">
        <f>IFERROR(__xludf.DUMMYFUNCTION("REGEXREPLACE(
D692,
""([一-龯々]+)\[([^\]]+)\]"",
""&lt;ruby&gt;$1&lt;rt&gt;$2&lt;/rt&gt;&lt;/ruby&gt;""
)&amp;""&lt;br&gt;&lt;div class=""""audio""""&gt;[sound:""&amp;C692&amp;"".mp3]&lt;/div&gt;"""),"&lt;ruby&gt;当時&lt;rt&gt;とうじ&lt;/rt&gt;&lt;/ruby&gt;&lt;br&gt;&lt;div class=""audio""&gt;[sound:とうじ.mp3]&lt;/div&gt;")</f>
        <v>&lt;ruby&gt;当時&lt;rt&gt;とうじ&lt;/rt&gt;&lt;/ruby&gt;&lt;br&gt;&lt;div class="audio"&gt;[sound:とうじ.mp3]&lt;/div&gt;</v>
      </c>
      <c r="H692" s="3" t="str">
        <f t="shared" si="1"/>
        <v>(n): lúc đó</v>
      </c>
      <c r="I692" s="6" t="s">
        <v>3730</v>
      </c>
      <c r="J692" s="6" t="s">
        <v>3731</v>
      </c>
      <c r="K692" s="7">
        <f t="shared" si="2"/>
        <v>0.6972670963</v>
      </c>
    </row>
    <row r="693">
      <c r="A693" s="4">
        <v>693.0</v>
      </c>
      <c r="B693" s="5" t="s">
        <v>3732</v>
      </c>
      <c r="C693" s="5" t="s">
        <v>3732</v>
      </c>
      <c r="D693" s="5" t="s">
        <v>3732</v>
      </c>
      <c r="E693" s="6" t="s">
        <v>90</v>
      </c>
      <c r="F693" s="6" t="s">
        <v>3733</v>
      </c>
      <c r="G693" s="3" t="str">
        <f>IFERROR(__xludf.DUMMYFUNCTION("REGEXREPLACE(
D693,
""([一-龯々]+)\[([^\]]+)\]"",
""&lt;ruby&gt;$1&lt;rt&gt;$2&lt;/rt&gt;&lt;/ruby&gt;""
)&amp;""&lt;br&gt;&lt;div class=""""audio""""&gt;[sound:""&amp;C693&amp;"".mp3]&lt;/div&gt;"""),"すると&lt;br&gt;&lt;div class=""audio""&gt;[sound:すると.mp3]&lt;/div&gt;")</f>
        <v>すると&lt;br&gt;&lt;div class="audio"&gt;[sound:すると.mp3]&lt;/div&gt;</v>
      </c>
      <c r="H693" s="3" t="str">
        <f t="shared" si="1"/>
        <v>(conj): thế là</v>
      </c>
      <c r="I693" s="6" t="s">
        <v>3734</v>
      </c>
      <c r="J693" s="6" t="s">
        <v>3735</v>
      </c>
      <c r="K693" s="7">
        <f t="shared" si="2"/>
        <v>0.05815679202</v>
      </c>
    </row>
    <row r="694">
      <c r="A694" s="4">
        <v>694.0</v>
      </c>
      <c r="B694" s="5" t="s">
        <v>3736</v>
      </c>
      <c r="C694" s="5" t="s">
        <v>3737</v>
      </c>
      <c r="D694" s="5" t="s">
        <v>3738</v>
      </c>
      <c r="E694" s="6" t="s">
        <v>74</v>
      </c>
      <c r="F694" s="6" t="s">
        <v>3739</v>
      </c>
      <c r="G694" s="3" t="str">
        <f>IFERROR(__xludf.DUMMYFUNCTION("REGEXREPLACE(
D694,
""([一-龯々]+)\[([^\]]+)\]"",
""&lt;ruby&gt;$1&lt;rt&gt;$2&lt;/rt&gt;&lt;/ruby&gt;""
)&amp;""&lt;br&gt;&lt;div class=""""audio""""&gt;[sound:""&amp;C694&amp;"".mp3]&lt;/div&gt;"""),"&lt;ruby&gt;対&lt;rt&gt;たい&lt;/rt&gt;&lt;/ruby&gt;&lt;br&gt;&lt;div class=""audio""&gt;[sound:たい.mp3]&lt;/div&gt;")</f>
        <v>&lt;ruby&gt;対&lt;rt&gt;たい&lt;/rt&gt;&lt;/ruby&gt;&lt;br&gt;&lt;div class="audio"&gt;[sound:たい.mp3]&lt;/div&gt;</v>
      </c>
      <c r="H694" s="3" t="str">
        <f t="shared" si="1"/>
        <v>(n): đối</v>
      </c>
      <c r="I694" s="6" t="s">
        <v>3740</v>
      </c>
      <c r="J694" s="6" t="s">
        <v>3741</v>
      </c>
      <c r="K694" s="7">
        <f t="shared" si="2"/>
        <v>0.9354070494</v>
      </c>
    </row>
    <row r="695">
      <c r="A695" s="4">
        <v>695.0</v>
      </c>
      <c r="B695" s="5" t="s">
        <v>3742</v>
      </c>
      <c r="C695" s="5" t="s">
        <v>3743</v>
      </c>
      <c r="D695" s="5" t="s">
        <v>3744</v>
      </c>
      <c r="E695" s="6" t="s">
        <v>74</v>
      </c>
      <c r="F695" s="6" t="s">
        <v>3745</v>
      </c>
      <c r="G695" s="3" t="str">
        <f>IFERROR(__xludf.DUMMYFUNCTION("REGEXREPLACE(
D695,
""([一-龯々]+)\[([^\]]+)\]"",
""&lt;ruby&gt;$1&lt;rt&gt;$2&lt;/rt&gt;&lt;/ruby&gt;""
)&amp;""&lt;br&gt;&lt;div class=""""audio""""&gt;[sound:""&amp;C695&amp;"".mp3]&lt;/div&gt;"""),"&lt;ruby&gt;男&lt;rt&gt;おとこ&lt;/rt&gt;&lt;/ruby&gt;&lt;br&gt;&lt;div class=""audio""&gt;[sound:おとこ.mp3]&lt;/div&gt;")</f>
        <v>&lt;ruby&gt;男&lt;rt&gt;おとこ&lt;/rt&gt;&lt;/ruby&gt;&lt;br&gt;&lt;div class="audio"&gt;[sound:おとこ.mp3]&lt;/div&gt;</v>
      </c>
      <c r="H695" s="3" t="str">
        <f t="shared" si="1"/>
        <v>(n): nam</v>
      </c>
      <c r="I695" s="6" t="s">
        <v>3746</v>
      </c>
      <c r="J695" s="6" t="s">
        <v>3747</v>
      </c>
      <c r="K695" s="7">
        <f t="shared" si="2"/>
        <v>0.1516916482</v>
      </c>
    </row>
    <row r="696">
      <c r="A696" s="4">
        <v>696.0</v>
      </c>
      <c r="B696" s="5" t="s">
        <v>3748</v>
      </c>
      <c r="C696" s="5" t="s">
        <v>3749</v>
      </c>
      <c r="D696" s="5" t="s">
        <v>3750</v>
      </c>
      <c r="E696" s="6" t="s">
        <v>24</v>
      </c>
      <c r="F696" s="6" t="s">
        <v>3751</v>
      </c>
      <c r="G696" s="3" t="str">
        <f>IFERROR(__xludf.DUMMYFUNCTION("REGEXREPLACE(
D696,
""([一-龯々]+)\[([^\]]+)\]"",
""&lt;ruby&gt;$1&lt;rt&gt;$2&lt;/rt&gt;&lt;/ruby&gt;""
)&amp;""&lt;br&gt;&lt;div class=""""audio""""&gt;[sound:""&amp;C696&amp;"".mp3]&lt;/div&gt;"""),"&lt;ruby&gt;過&lt;rt&gt;す&lt;/rt&gt;&lt;/ruby&gt;ぎる&lt;br&gt;&lt;div class=""audio""&gt;[sound:すぎる.mp3]&lt;/div&gt;")</f>
        <v>&lt;ruby&gt;過&lt;rt&gt;す&lt;/rt&gt;&lt;/ruby&gt;ぎる&lt;br&gt;&lt;div class="audio"&gt;[sound:すぎる.mp3]&lt;/div&gt;</v>
      </c>
      <c r="H696" s="3" t="str">
        <f t="shared" si="1"/>
        <v>(v): quá</v>
      </c>
      <c r="I696" s="6" t="s">
        <v>3752</v>
      </c>
      <c r="J696" s="6" t="s">
        <v>3753</v>
      </c>
      <c r="K696" s="7">
        <f t="shared" si="2"/>
        <v>0.759613924</v>
      </c>
    </row>
    <row r="697">
      <c r="A697" s="4">
        <v>697.0</v>
      </c>
      <c r="B697" s="5" t="s">
        <v>3754</v>
      </c>
      <c r="C697" s="5" t="s">
        <v>3755</v>
      </c>
      <c r="D697" s="5" t="s">
        <v>3756</v>
      </c>
      <c r="E697" s="6" t="s">
        <v>74</v>
      </c>
      <c r="F697" s="6" t="s">
        <v>3757</v>
      </c>
      <c r="G697" s="3" t="str">
        <f>IFERROR(__xludf.DUMMYFUNCTION("REGEXREPLACE(
D697,
""([一-龯々]+)\[([^\]]+)\]"",
""&lt;ruby&gt;$1&lt;rt&gt;$2&lt;/rt&gt;&lt;/ruby&gt;""
)&amp;""&lt;br&gt;&lt;div class=""""audio""""&gt;[sound:""&amp;C697&amp;"".mp3]&lt;/div&gt;"""),"&lt;ruby&gt;環境&lt;rt&gt;かんきょう&lt;/rt&gt;&lt;/ruby&gt;&lt;br&gt;&lt;div class=""audio""&gt;[sound:かんきょう.mp3]&lt;/div&gt;")</f>
        <v>&lt;ruby&gt;環境&lt;rt&gt;かんきょう&lt;/rt&gt;&lt;/ruby&gt;&lt;br&gt;&lt;div class="audio"&gt;[sound:かんきょう.mp3]&lt;/div&gt;</v>
      </c>
      <c r="H697" s="3" t="str">
        <f t="shared" si="1"/>
        <v>(n): môi trường</v>
      </c>
      <c r="I697" s="6" t="s">
        <v>3758</v>
      </c>
      <c r="J697" s="6" t="s">
        <v>3759</v>
      </c>
      <c r="K697" s="7">
        <f t="shared" si="2"/>
        <v>0.8457238066</v>
      </c>
    </row>
    <row r="698">
      <c r="A698" s="4">
        <v>698.0</v>
      </c>
      <c r="B698" s="5" t="s">
        <v>3760</v>
      </c>
      <c r="C698" s="5" t="s">
        <v>3760</v>
      </c>
      <c r="D698" s="5" t="s">
        <v>3760</v>
      </c>
      <c r="E698" s="6" t="s">
        <v>85</v>
      </c>
      <c r="F698" s="6" t="s">
        <v>3761</v>
      </c>
      <c r="G698" s="3" t="str">
        <f>IFERROR(__xludf.DUMMYFUNCTION("REGEXREPLACE(
D698,
""([一-龯々]+)\[([^\]]+)\]"",
""&lt;ruby&gt;$1&lt;rt&gt;$2&lt;/rt&gt;&lt;/ruby&gt;""
)&amp;""&lt;br&gt;&lt;div class=""""audio""""&gt;[sound:""&amp;C698&amp;"".mp3]&lt;/div&gt;"""),"きちんと&lt;br&gt;&lt;div class=""audio""&gt;[sound:きちんと.mp3]&lt;/div&gt;")</f>
        <v>きちんと&lt;br&gt;&lt;div class="audio"&gt;[sound:きちんと.mp3]&lt;/div&gt;</v>
      </c>
      <c r="H698" s="3" t="str">
        <f t="shared" si="1"/>
        <v>(adv): ngay ngắn</v>
      </c>
      <c r="I698" s="6" t="s">
        <v>3762</v>
      </c>
      <c r="J698" s="6" t="s">
        <v>3763</v>
      </c>
      <c r="K698" s="7">
        <f t="shared" si="2"/>
        <v>0.100493183</v>
      </c>
    </row>
    <row r="699">
      <c r="A699" s="4">
        <v>699.0</v>
      </c>
      <c r="B699" s="5" t="s">
        <v>3764</v>
      </c>
      <c r="C699" s="5" t="s">
        <v>3765</v>
      </c>
      <c r="D699" s="5" t="s">
        <v>3766</v>
      </c>
      <c r="E699" s="6" t="s">
        <v>74</v>
      </c>
      <c r="F699" s="6" t="s">
        <v>3767</v>
      </c>
      <c r="G699" s="3" t="str">
        <f>IFERROR(__xludf.DUMMYFUNCTION("REGEXREPLACE(
D699,
""([一-龯々]+)\[([^\]]+)\]"",
""&lt;ruby&gt;$1&lt;rt&gt;$2&lt;/rt&gt;&lt;/ruby&gt;""
)&amp;""&lt;br&gt;&lt;div class=""""audio""""&gt;[sound:""&amp;C699&amp;"".mp3]&lt;/div&gt;"""),"&lt;ruby&gt;今月&lt;rt&gt;こんげつ&lt;/rt&gt;&lt;/ruby&gt;&lt;br&gt;&lt;div class=""audio""&gt;[sound:こんげつ.mp3]&lt;/div&gt;")</f>
        <v>&lt;ruby&gt;今月&lt;rt&gt;こんげつ&lt;/rt&gt;&lt;/ruby&gt;&lt;br&gt;&lt;div class="audio"&gt;[sound:こんげつ.mp3]&lt;/div&gt;</v>
      </c>
      <c r="H699" s="3" t="str">
        <f t="shared" si="1"/>
        <v>(n): tháng này</v>
      </c>
      <c r="I699" s="6" t="s">
        <v>3768</v>
      </c>
      <c r="J699" s="6" t="s">
        <v>3769</v>
      </c>
      <c r="K699" s="7">
        <f t="shared" si="2"/>
        <v>0.5375703439</v>
      </c>
    </row>
    <row r="700">
      <c r="A700" s="4">
        <v>700.0</v>
      </c>
      <c r="B700" s="5" t="s">
        <v>3770</v>
      </c>
      <c r="C700" s="5" t="s">
        <v>3771</v>
      </c>
      <c r="D700" s="5" t="s">
        <v>3772</v>
      </c>
      <c r="E700" s="6" t="s">
        <v>85</v>
      </c>
      <c r="F700" s="6" t="s">
        <v>3773</v>
      </c>
      <c r="G700" s="3" t="str">
        <f>IFERROR(__xludf.DUMMYFUNCTION("REGEXREPLACE(
D700,
""([一-龯々]+)\[([^\]]+)\]"",
""&lt;ruby&gt;$1&lt;rt&gt;$2&lt;/rt&gt;&lt;/ruby&gt;""
)&amp;""&lt;br&gt;&lt;div class=""""audio""""&gt;[sound:""&amp;C700&amp;"".mp3]&lt;/div&gt;"""),"&lt;ruby&gt;例&lt;rt&gt;たと&lt;/rt&gt;&lt;/ruby&gt;えば&lt;br&gt;&lt;div class=""audio""&gt;[sound:たとえば.mp3]&lt;/div&gt;")</f>
        <v>&lt;ruby&gt;例&lt;rt&gt;たと&lt;/rt&gt;&lt;/ruby&gt;えば&lt;br&gt;&lt;div class="audio"&gt;[sound:たとえば.mp3]&lt;/div&gt;</v>
      </c>
      <c r="H700" s="3" t="str">
        <f t="shared" si="1"/>
        <v>(adv): ví dụ như</v>
      </c>
      <c r="I700" s="6" t="s">
        <v>3774</v>
      </c>
      <c r="J700" s="6" t="s">
        <v>3775</v>
      </c>
      <c r="K700" s="7">
        <f t="shared" si="2"/>
        <v>0.2055196757</v>
      </c>
    </row>
    <row r="701">
      <c r="A701" s="4">
        <v>701.0</v>
      </c>
      <c r="B701" s="5" t="s">
        <v>3776</v>
      </c>
      <c r="C701" s="5" t="s">
        <v>3777</v>
      </c>
      <c r="D701" s="5" t="s">
        <v>3778</v>
      </c>
      <c r="E701" s="6" t="s">
        <v>11</v>
      </c>
      <c r="F701" s="6" t="s">
        <v>3779</v>
      </c>
      <c r="G701" s="3" t="str">
        <f>IFERROR(__xludf.DUMMYFUNCTION("REGEXREPLACE(
D701,
""([一-龯々]+)\[([^\]]+)\]"",
""&lt;ruby&gt;$1&lt;rt&gt;$2&lt;/rt&gt;&lt;/ruby&gt;""
)&amp;""&lt;br&gt;&lt;div class=""""audio""""&gt;[sound:""&amp;C701&amp;"".mp3]&lt;/div&gt;"""),"&lt;ruby&gt;元気&lt;rt&gt;げんき&lt;/rt&gt;&lt;/ruby&gt;&lt;br&gt;&lt;div class=""audio""&gt;[sound:げんき.mp3]&lt;/div&gt;")</f>
        <v>&lt;ruby&gt;元気&lt;rt&gt;げんき&lt;/rt&gt;&lt;/ruby&gt;&lt;br&gt;&lt;div class="audio"&gt;[sound:げんき.mp3]&lt;/div&gt;</v>
      </c>
      <c r="H701" s="3" t="str">
        <f t="shared" si="1"/>
        <v>(adj): khỏe mạnh</v>
      </c>
      <c r="I701" s="6" t="s">
        <v>3780</v>
      </c>
      <c r="J701" s="6" t="s">
        <v>3781</v>
      </c>
      <c r="K701" s="7">
        <f t="shared" si="2"/>
        <v>0.7980470909</v>
      </c>
    </row>
    <row r="702">
      <c r="A702" s="4">
        <v>702.0</v>
      </c>
      <c r="B702" s="5" t="s">
        <v>3782</v>
      </c>
      <c r="C702" s="5" t="s">
        <v>3783</v>
      </c>
      <c r="D702" s="5" t="s">
        <v>3784</v>
      </c>
      <c r="E702" s="6" t="s">
        <v>24</v>
      </c>
      <c r="F702" s="6" t="s">
        <v>3785</v>
      </c>
      <c r="G702" s="3" t="str">
        <f>IFERROR(__xludf.DUMMYFUNCTION("REGEXREPLACE(
D702,
""([一-龯々]+)\[([^\]]+)\]"",
""&lt;ruby&gt;$1&lt;rt&gt;$2&lt;/rt&gt;&lt;/ruby&gt;""
)&amp;""&lt;br&gt;&lt;div class=""""audio""""&gt;[sound:""&amp;C702&amp;"".mp3]&lt;/div&gt;"""),"&lt;ruby&gt;思&lt;rt&gt;おも&lt;/rt&gt;&lt;/ruby&gt;い&lt;ruby&gt;出&lt;rt&gt;だ&lt;/rt&gt;&lt;/ruby&gt;す&lt;br&gt;&lt;div class=""audio""&gt;[sound:おもいだす.mp3]&lt;/div&gt;")</f>
        <v>&lt;ruby&gt;思&lt;rt&gt;おも&lt;/rt&gt;&lt;/ruby&gt;い&lt;ruby&gt;出&lt;rt&gt;だ&lt;/rt&gt;&lt;/ruby&gt;す&lt;br&gt;&lt;div class="audio"&gt;[sound:おもいだす.mp3]&lt;/div&gt;</v>
      </c>
      <c r="H702" s="3" t="str">
        <f t="shared" si="1"/>
        <v>(v): nhớ lại</v>
      </c>
      <c r="I702" s="6" t="s">
        <v>3786</v>
      </c>
      <c r="J702" s="6" t="s">
        <v>3787</v>
      </c>
      <c r="K702" s="7">
        <f t="shared" si="2"/>
        <v>0.6345438299</v>
      </c>
    </row>
    <row r="703">
      <c r="A703" s="4">
        <v>703.0</v>
      </c>
      <c r="B703" s="5" t="s">
        <v>3788</v>
      </c>
      <c r="C703" s="5" t="s">
        <v>3789</v>
      </c>
      <c r="D703" s="5" t="s">
        <v>3790</v>
      </c>
      <c r="E703" s="6" t="s">
        <v>74</v>
      </c>
      <c r="F703" s="6" t="s">
        <v>3791</v>
      </c>
      <c r="G703" s="3" t="str">
        <f>IFERROR(__xludf.DUMMYFUNCTION("REGEXREPLACE(
D703,
""([一-龯々]+)\[([^\]]+)\]"",
""&lt;ruby&gt;$1&lt;rt&gt;$2&lt;/rt&gt;&lt;/ruby&gt;""
)&amp;""&lt;br&gt;&lt;div class=""""audio""""&gt;[sound:""&amp;C703&amp;"".mp3]&lt;/div&gt;"""),"&lt;ruby&gt;態度&lt;rt&gt;たいど&lt;/rt&gt;&lt;/ruby&gt;&lt;br&gt;&lt;div class=""audio""&gt;[sound:たいど.mp3]&lt;/div&gt;")</f>
        <v>&lt;ruby&gt;態度&lt;rt&gt;たいど&lt;/rt&gt;&lt;/ruby&gt;&lt;br&gt;&lt;div class="audio"&gt;[sound:たいど.mp3]&lt;/div&gt;</v>
      </c>
      <c r="H703" s="3" t="str">
        <f t="shared" si="1"/>
        <v>(n): thái độ</v>
      </c>
      <c r="I703" s="6" t="s">
        <v>3792</v>
      </c>
      <c r="J703" s="6" t="s">
        <v>3793</v>
      </c>
      <c r="K703" s="7">
        <f t="shared" si="2"/>
        <v>0.3937419386</v>
      </c>
    </row>
    <row r="704">
      <c r="A704" s="4">
        <v>704.0</v>
      </c>
      <c r="B704" s="5" t="s">
        <v>3794</v>
      </c>
      <c r="C704" s="5" t="s">
        <v>3795</v>
      </c>
      <c r="D704" s="5" t="s">
        <v>3794</v>
      </c>
      <c r="E704" s="6" t="s">
        <v>74</v>
      </c>
      <c r="F704" s="6" t="s">
        <v>3796</v>
      </c>
      <c r="G704" s="3" t="str">
        <f>IFERROR(__xludf.DUMMYFUNCTION("REGEXREPLACE(
D704,
""([一-龯々]+)\[([^\]]+)\]"",
""&lt;ruby&gt;$1&lt;rt&gt;$2&lt;/rt&gt;&lt;/ruby&gt;""
)&amp;""&lt;br&gt;&lt;div class=""""audio""""&gt;[sound:""&amp;C704&amp;"".mp3]&lt;/div&gt;"""),"テーマ&lt;br&gt;&lt;div class=""audio""&gt;[sound:てーま.mp3]&lt;/div&gt;")</f>
        <v>テーマ&lt;br&gt;&lt;div class="audio"&gt;[sound:てーま.mp3]&lt;/div&gt;</v>
      </c>
      <c r="H704" s="3" t="str">
        <f t="shared" si="1"/>
        <v>(n): chủ đề</v>
      </c>
      <c r="I704" s="6" t="s">
        <v>3797</v>
      </c>
      <c r="J704" s="6" t="s">
        <v>3798</v>
      </c>
      <c r="K704" s="7">
        <f t="shared" si="2"/>
        <v>0.4133738946</v>
      </c>
    </row>
    <row r="705">
      <c r="A705" s="4">
        <v>705.0</v>
      </c>
      <c r="B705" s="5" t="s">
        <v>3799</v>
      </c>
      <c r="C705" s="5" t="s">
        <v>3148</v>
      </c>
      <c r="D705" s="5" t="s">
        <v>3800</v>
      </c>
      <c r="E705" s="6" t="s">
        <v>74</v>
      </c>
      <c r="F705" s="6" t="s">
        <v>3801</v>
      </c>
      <c r="G705" s="3" t="str">
        <f>IFERROR(__xludf.DUMMYFUNCTION("REGEXREPLACE(
D705,
""([一-龯々]+)\[([^\]]+)\]"",
""&lt;ruby&gt;$1&lt;rt&gt;$2&lt;/rt&gt;&lt;/ruby&gt;""
)&amp;""&lt;br&gt;&lt;div class=""""audio""""&gt;[sound:""&amp;C705&amp;"".mp3]&lt;/div&gt;"""),"&lt;ruby&gt;紙&lt;rt&gt;かみ&lt;/rt&gt;&lt;/ruby&gt;&lt;br&gt;&lt;div class=""audio""&gt;[sound:かみ.mp3]&lt;/div&gt;")</f>
        <v>&lt;ruby&gt;紙&lt;rt&gt;かみ&lt;/rt&gt;&lt;/ruby&gt;&lt;br&gt;&lt;div class="audio"&gt;[sound:かみ.mp3]&lt;/div&gt;</v>
      </c>
      <c r="H705" s="3" t="str">
        <f t="shared" si="1"/>
        <v>(n): giấy</v>
      </c>
      <c r="I705" s="6" t="s">
        <v>3802</v>
      </c>
      <c r="J705" s="6" t="s">
        <v>3803</v>
      </c>
      <c r="K705" s="7">
        <f t="shared" si="2"/>
        <v>0.05026914227</v>
      </c>
    </row>
    <row r="706">
      <c r="A706" s="4">
        <v>706.0</v>
      </c>
      <c r="B706" s="5" t="s">
        <v>3804</v>
      </c>
      <c r="C706" s="5" t="s">
        <v>3805</v>
      </c>
      <c r="D706" s="5" t="s">
        <v>3804</v>
      </c>
      <c r="E706" s="6" t="s">
        <v>74</v>
      </c>
      <c r="F706" s="6" t="s">
        <v>3806</v>
      </c>
      <c r="G706" s="3" t="str">
        <f>IFERROR(__xludf.DUMMYFUNCTION("REGEXREPLACE(
D706,
""([一-龯々]+)\[([^\]]+)\]"",
""&lt;ruby&gt;$1&lt;rt&gt;$2&lt;/rt&gt;&lt;/ruby&gt;""
)&amp;""&lt;br&gt;&lt;div class=""""audio""""&gt;[sound:""&amp;C706&amp;"".mp3]&lt;/div&gt;"""),"チーム&lt;br&gt;&lt;div class=""audio""&gt;[sound:ちーむ.mp3]&lt;/div&gt;")</f>
        <v>チーム&lt;br&gt;&lt;div class="audio"&gt;[sound:ちーむ.mp3]&lt;/div&gt;</v>
      </c>
      <c r="H706" s="3" t="str">
        <f t="shared" si="1"/>
        <v>(n): đội</v>
      </c>
      <c r="I706" s="6" t="s">
        <v>3807</v>
      </c>
      <c r="J706" s="6" t="s">
        <v>3808</v>
      </c>
      <c r="K706" s="7">
        <f t="shared" si="2"/>
        <v>0.1199903613</v>
      </c>
    </row>
    <row r="707">
      <c r="A707" s="4">
        <v>707.0</v>
      </c>
      <c r="B707" s="5" t="s">
        <v>3809</v>
      </c>
      <c r="C707" s="5" t="s">
        <v>3810</v>
      </c>
      <c r="D707" s="5" t="s">
        <v>3811</v>
      </c>
      <c r="E707" s="6" t="s">
        <v>74</v>
      </c>
      <c r="F707" s="6" t="s">
        <v>3812</v>
      </c>
      <c r="G707" s="3" t="str">
        <f>IFERROR(__xludf.DUMMYFUNCTION("REGEXREPLACE(
D707,
""([一-龯々]+)\[([^\]]+)\]"",
""&lt;ruby&gt;$1&lt;rt&gt;$2&lt;/rt&gt;&lt;/ruby&gt;""
)&amp;""&lt;br&gt;&lt;div class=""""audio""""&gt;[sound:""&amp;C707&amp;"".mp3]&lt;/div&gt;"""),"&lt;ruby&gt;説明&lt;rt&gt;せつめい&lt;/rt&gt;&lt;/ruby&gt;&lt;br&gt;&lt;div class=""audio""&gt;[sound:せつめい.mp3]&lt;/div&gt;")</f>
        <v>&lt;ruby&gt;説明&lt;rt&gt;せつめい&lt;/rt&gt;&lt;/ruby&gt;&lt;br&gt;&lt;div class="audio"&gt;[sound:せつめい.mp3]&lt;/div&gt;</v>
      </c>
      <c r="H707" s="3" t="str">
        <f t="shared" si="1"/>
        <v>(n): giải thích</v>
      </c>
      <c r="I707" s="6" t="s">
        <v>3813</v>
      </c>
      <c r="J707" s="6" t="s">
        <v>3814</v>
      </c>
      <c r="K707" s="7">
        <f t="shared" si="2"/>
        <v>0.6493061092</v>
      </c>
    </row>
    <row r="708">
      <c r="A708" s="4">
        <v>708.0</v>
      </c>
      <c r="B708" s="5" t="s">
        <v>3815</v>
      </c>
      <c r="C708" s="5" t="s">
        <v>3816</v>
      </c>
      <c r="D708" s="5" t="s">
        <v>3817</v>
      </c>
      <c r="E708" s="6" t="s">
        <v>74</v>
      </c>
      <c r="F708" s="6" t="s">
        <v>2181</v>
      </c>
      <c r="G708" s="3" t="str">
        <f>IFERROR(__xludf.DUMMYFUNCTION("REGEXREPLACE(
D708,
""([一-龯々]+)\[([^\]]+)\]"",
""&lt;ruby&gt;$1&lt;rt&gt;$2&lt;/rt&gt;&lt;/ruby&gt;""
)&amp;""&lt;br&gt;&lt;div class=""""audio""""&gt;[sound:""&amp;C708&amp;"".mp3]&lt;/div&gt;"""),"&lt;ruby&gt;中央&lt;rt&gt;ちゅうおう&lt;/rt&gt;&lt;/ruby&gt;&lt;br&gt;&lt;div class=""audio""&gt;[sound:ちゅうおう.mp3]&lt;/div&gt;")</f>
        <v>&lt;ruby&gt;中央&lt;rt&gt;ちゅうおう&lt;/rt&gt;&lt;/ruby&gt;&lt;br&gt;&lt;div class="audio"&gt;[sound:ちゅうおう.mp3]&lt;/div&gt;</v>
      </c>
      <c r="H708" s="3" t="str">
        <f t="shared" si="1"/>
        <v>(n): trung tâm</v>
      </c>
      <c r="I708" s="6" t="s">
        <v>3818</v>
      </c>
      <c r="J708" s="6" t="s">
        <v>3819</v>
      </c>
      <c r="K708" s="7">
        <f t="shared" si="2"/>
        <v>0.7199602974</v>
      </c>
    </row>
    <row r="709">
      <c r="A709" s="4">
        <v>709.0</v>
      </c>
      <c r="B709" s="5" t="s">
        <v>3820</v>
      </c>
      <c r="C709" s="5" t="s">
        <v>3821</v>
      </c>
      <c r="D709" s="5" t="s">
        <v>3822</v>
      </c>
      <c r="E709" s="6" t="s">
        <v>74</v>
      </c>
      <c r="F709" s="6" t="s">
        <v>1444</v>
      </c>
      <c r="G709" s="3" t="str">
        <f>IFERROR(__xludf.DUMMYFUNCTION("REGEXREPLACE(
D709,
""([一-龯々]+)\[([^\]]+)\]"",
""&lt;ruby&gt;$1&lt;rt&gt;$2&lt;/rt&gt;&lt;/ruby&gt;""
)&amp;""&lt;br&gt;&lt;div class=""""audio""""&gt;[sound:""&amp;C709&amp;"".mp3]&lt;/div&gt;"""),"&lt;ruby&gt;今後&lt;rt&gt;こんご&lt;/rt&gt;&lt;/ruby&gt;&lt;br&gt;&lt;div class=""audio""&gt;[sound:こんご.mp3]&lt;/div&gt;")</f>
        <v>&lt;ruby&gt;今後&lt;rt&gt;こんご&lt;/rt&gt;&lt;/ruby&gt;&lt;br&gt;&lt;div class="audio"&gt;[sound:こんご.mp3]&lt;/div&gt;</v>
      </c>
      <c r="H709" s="3" t="str">
        <f t="shared" si="1"/>
        <v>(n): tương lai</v>
      </c>
      <c r="I709" s="6" t="s">
        <v>3823</v>
      </c>
      <c r="J709" s="6" t="s">
        <v>3824</v>
      </c>
      <c r="K709" s="7">
        <f t="shared" si="2"/>
        <v>0.512224879</v>
      </c>
    </row>
    <row r="710">
      <c r="A710" s="4">
        <v>710.0</v>
      </c>
      <c r="B710" s="5" t="s">
        <v>3825</v>
      </c>
      <c r="C710" s="5" t="s">
        <v>3826</v>
      </c>
      <c r="D710" s="5" t="s">
        <v>3827</v>
      </c>
      <c r="E710" s="6" t="s">
        <v>85</v>
      </c>
      <c r="F710" s="6" t="s">
        <v>86</v>
      </c>
      <c r="G710" s="3" t="str">
        <f>IFERROR(__xludf.DUMMYFUNCTION("REGEXREPLACE(
D710,
""([一-龯々]+)\[([^\]]+)\]"",
""&lt;ruby&gt;$1&lt;rt&gt;$2&lt;/rt&gt;&lt;/ruby&gt;""
)&amp;""&lt;br&gt;&lt;div class=""""audio""""&gt;[sound:""&amp;C710&amp;"".mp3]&lt;/div&gt;"""),"&lt;ruby&gt;常&lt;rt&gt;つね&lt;/rt&gt;&lt;/ruby&gt;に&lt;br&gt;&lt;div class=""audio""&gt;[sound:つねに.mp3]&lt;/div&gt;")</f>
        <v>&lt;ruby&gt;常&lt;rt&gt;つね&lt;/rt&gt;&lt;/ruby&gt;に&lt;br&gt;&lt;div class="audio"&gt;[sound:つねに.mp3]&lt;/div&gt;</v>
      </c>
      <c r="H710" s="3" t="str">
        <f t="shared" si="1"/>
        <v>(adv): luôn luôn</v>
      </c>
      <c r="I710" s="6" t="s">
        <v>3828</v>
      </c>
      <c r="J710" s="6" t="s">
        <v>3829</v>
      </c>
      <c r="K710" s="7">
        <f t="shared" si="2"/>
        <v>0.3956780325</v>
      </c>
    </row>
    <row r="711">
      <c r="A711" s="4">
        <v>711.0</v>
      </c>
      <c r="B711" s="5" t="s">
        <v>3830</v>
      </c>
      <c r="C711" s="5" t="s">
        <v>3830</v>
      </c>
      <c r="D711" s="5" t="s">
        <v>3830</v>
      </c>
      <c r="E711" s="6" t="s">
        <v>74</v>
      </c>
      <c r="F711" s="6" t="s">
        <v>3831</v>
      </c>
      <c r="G711" s="3" t="str">
        <f>IFERROR(__xludf.DUMMYFUNCTION("REGEXREPLACE(
D711,
""([一-龯々]+)\[([^\]]+)\]"",
""&lt;ruby&gt;$1&lt;rt&gt;$2&lt;/rt&gt;&lt;/ruby&gt;""
)&amp;""&lt;br&gt;&lt;div class=""""audio""""&gt;[sound:""&amp;C711&amp;"".mp3]&lt;/div&gt;"""),"きっかけ&lt;br&gt;&lt;div class=""audio""&gt;[sound:きっかけ.mp3]&lt;/div&gt;")</f>
        <v>きっかけ&lt;br&gt;&lt;div class="audio"&gt;[sound:きっかけ.mp3]&lt;/div&gt;</v>
      </c>
      <c r="H711" s="3" t="str">
        <f t="shared" si="1"/>
        <v>(n): cơ duyên</v>
      </c>
      <c r="I711" s="6" t="s">
        <v>3832</v>
      </c>
      <c r="J711" s="6" t="s">
        <v>3833</v>
      </c>
      <c r="K711" s="7">
        <f t="shared" si="2"/>
        <v>0.1993643877</v>
      </c>
    </row>
    <row r="712">
      <c r="A712" s="4">
        <v>712.0</v>
      </c>
      <c r="B712" s="5" t="s">
        <v>3834</v>
      </c>
      <c r="C712" s="5" t="s">
        <v>3835</v>
      </c>
      <c r="D712" s="5" t="s">
        <v>3834</v>
      </c>
      <c r="E712" s="6" t="s">
        <v>74</v>
      </c>
      <c r="F712" s="6" t="s">
        <v>3836</v>
      </c>
      <c r="G712" s="3" t="str">
        <f>IFERROR(__xludf.DUMMYFUNCTION("REGEXREPLACE(
D712,
""([一-龯々]+)\[([^\]]+)\]"",
""&lt;ruby&gt;$1&lt;rt&gt;$2&lt;/rt&gt;&lt;/ruby&gt;""
)&amp;""&lt;br&gt;&lt;div class=""""audio""""&gt;[sound:""&amp;C712&amp;"".mp3]&lt;/div&gt;"""),"バッグ&lt;br&gt;&lt;div class=""audio""&gt;[sound:ばっぐ.mp3]&lt;/div&gt;")</f>
        <v>バッグ&lt;br&gt;&lt;div class="audio"&gt;[sound:ばっぐ.mp3]&lt;/div&gt;</v>
      </c>
      <c r="H712" s="3" t="str">
        <f t="shared" si="1"/>
        <v>(n): túi xách</v>
      </c>
      <c r="I712" s="6" t="s">
        <v>3837</v>
      </c>
      <c r="J712" s="6" t="s">
        <v>3838</v>
      </c>
      <c r="K712" s="7">
        <f t="shared" si="2"/>
        <v>0.2767970159</v>
      </c>
    </row>
    <row r="713">
      <c r="A713" s="4">
        <v>713.0</v>
      </c>
      <c r="B713" s="5" t="s">
        <v>3839</v>
      </c>
      <c r="C713" s="5" t="s">
        <v>3840</v>
      </c>
      <c r="D713" s="5" t="s">
        <v>3839</v>
      </c>
      <c r="E713" s="6" t="s">
        <v>74</v>
      </c>
      <c r="F713" s="6" t="s">
        <v>3841</v>
      </c>
      <c r="G713" s="3" t="str">
        <f>IFERROR(__xludf.DUMMYFUNCTION("REGEXREPLACE(
D713,
""([一-龯々]+)\[([^\]]+)\]"",
""&lt;ruby&gt;$1&lt;rt&gt;$2&lt;/rt&gt;&lt;/ruby&gt;""
)&amp;""&lt;br&gt;&lt;div class=""""audio""""&gt;[sound:""&amp;C713&amp;"".mp3]&lt;/div&gt;"""),"ルール&lt;br&gt;&lt;div class=""audio""&gt;[sound:るーる.mp3]&lt;/div&gt;")</f>
        <v>ルール&lt;br&gt;&lt;div class="audio"&gt;[sound:るーる.mp3]&lt;/div&gt;</v>
      </c>
      <c r="H713" s="3" t="str">
        <f t="shared" si="1"/>
        <v>(n): quy tắc</v>
      </c>
      <c r="I713" s="6" t="s">
        <v>3842</v>
      </c>
      <c r="J713" s="6" t="s">
        <v>3843</v>
      </c>
      <c r="K713" s="7">
        <f t="shared" si="2"/>
        <v>0.4528914739</v>
      </c>
    </row>
    <row r="714">
      <c r="A714" s="4">
        <v>714.0</v>
      </c>
      <c r="B714" s="5" t="s">
        <v>3844</v>
      </c>
      <c r="C714" s="5" t="s">
        <v>3845</v>
      </c>
      <c r="D714" s="5" t="s">
        <v>3846</v>
      </c>
      <c r="E714" s="6" t="s">
        <v>74</v>
      </c>
      <c r="F714" s="6" t="s">
        <v>1897</v>
      </c>
      <c r="G714" s="3" t="str">
        <f>IFERROR(__xludf.DUMMYFUNCTION("REGEXREPLACE(
D714,
""([一-龯々]+)\[([^\]]+)\]"",
""&lt;ruby&gt;$1&lt;rt&gt;$2&lt;/rt&gt;&lt;/ruby&gt;""
)&amp;""&lt;br&gt;&lt;div class=""""audio""""&gt;[sound:""&amp;C714&amp;"".mp3]&lt;/div&gt;"""),"&lt;ruby&gt;実&lt;rt&gt;じつ&lt;/rt&gt;&lt;/ruby&gt;&lt;br&gt;&lt;div class=""audio""&gt;[sound:じつ.mp3]&lt;/div&gt;")</f>
        <v>&lt;ruby&gt;実&lt;rt&gt;じつ&lt;/rt&gt;&lt;/ruby&gt;&lt;br&gt;&lt;div class="audio"&gt;[sound:じつ.mp3]&lt;/div&gt;</v>
      </c>
      <c r="H714" s="3" t="str">
        <f t="shared" si="1"/>
        <v>(n): thực tế</v>
      </c>
      <c r="I714" s="6" t="s">
        <v>3847</v>
      </c>
      <c r="J714" s="6" t="s">
        <v>3848</v>
      </c>
      <c r="K714" s="7">
        <f t="shared" si="2"/>
        <v>0.05339497724</v>
      </c>
    </row>
    <row r="715">
      <c r="A715" s="4">
        <v>715.0</v>
      </c>
      <c r="B715" s="5" t="s">
        <v>3849</v>
      </c>
      <c r="C715" s="5" t="s">
        <v>1501</v>
      </c>
      <c r="D715" s="5" t="s">
        <v>3850</v>
      </c>
      <c r="E715" s="6" t="s">
        <v>74</v>
      </c>
      <c r="F715" s="6" t="s">
        <v>3607</v>
      </c>
      <c r="G715" s="3" t="str">
        <f>IFERROR(__xludf.DUMMYFUNCTION("REGEXREPLACE(
D715,
""([一-龯々]+)\[([^\]]+)\]"",
""&lt;ruby&gt;$1&lt;rt&gt;$2&lt;/rt&gt;&lt;/ruby&gt;""
)&amp;""&lt;br&gt;&lt;div class=""""audio""""&gt;[sound:""&amp;C715&amp;"".mp3]&lt;/div&gt;"""),"&lt;ruby&gt;型&lt;rt&gt;かた&lt;/rt&gt;&lt;/ruby&gt;&lt;br&gt;&lt;div class=""audio""&gt;[sound:かた.mp3]&lt;/div&gt;")</f>
        <v>&lt;ruby&gt;型&lt;rt&gt;かた&lt;/rt&gt;&lt;/ruby&gt;&lt;br&gt;&lt;div class="audio"&gt;[sound:かた.mp3]&lt;/div&gt;</v>
      </c>
      <c r="H715" s="3" t="str">
        <f t="shared" si="1"/>
        <v>(n): kiểu</v>
      </c>
      <c r="I715" s="6" t="s">
        <v>3851</v>
      </c>
      <c r="J715" s="6" t="s">
        <v>3852</v>
      </c>
      <c r="K715" s="7">
        <f t="shared" si="2"/>
        <v>0.592339507</v>
      </c>
    </row>
    <row r="716">
      <c r="A716" s="4">
        <v>716.0</v>
      </c>
      <c r="B716" s="5" t="s">
        <v>3853</v>
      </c>
      <c r="C716" s="5" t="s">
        <v>3854</v>
      </c>
      <c r="D716" s="5" t="s">
        <v>3855</v>
      </c>
      <c r="E716" s="6" t="s">
        <v>24</v>
      </c>
      <c r="F716" s="6" t="s">
        <v>3856</v>
      </c>
      <c r="G716" s="3" t="str">
        <f>IFERROR(__xludf.DUMMYFUNCTION("REGEXREPLACE(
D716,
""([一-龯々]+)\[([^\]]+)\]"",
""&lt;ruby&gt;$1&lt;rt&gt;$2&lt;/rt&gt;&lt;/ruby&gt;""
)&amp;""&lt;br&gt;&lt;div class=""""audio""""&gt;[sound:""&amp;C716&amp;"".mp3]&lt;/div&gt;"""),"&lt;ruby&gt;手伝&lt;rt&gt;てつだ&lt;/rt&gt;&lt;/ruby&gt;う&lt;br&gt;&lt;div class=""audio""&gt;[sound:てつだう.mp3]&lt;/div&gt;")</f>
        <v>&lt;ruby&gt;手伝&lt;rt&gt;てつだ&lt;/rt&gt;&lt;/ruby&gt;う&lt;br&gt;&lt;div class="audio"&gt;[sound:てつだう.mp3]&lt;/div&gt;</v>
      </c>
      <c r="H716" s="3" t="str">
        <f t="shared" si="1"/>
        <v>(v): giúp</v>
      </c>
      <c r="I716" s="6" t="s">
        <v>3857</v>
      </c>
      <c r="J716" s="6" t="s">
        <v>3858</v>
      </c>
      <c r="K716" s="7">
        <f t="shared" si="2"/>
        <v>0.693911605</v>
      </c>
    </row>
    <row r="717">
      <c r="A717" s="4">
        <v>717.0</v>
      </c>
      <c r="B717" s="5" t="s">
        <v>3859</v>
      </c>
      <c r="C717" s="5" t="s">
        <v>3859</v>
      </c>
      <c r="D717" s="5" t="s">
        <v>3859</v>
      </c>
      <c r="E717" s="6" t="s">
        <v>74</v>
      </c>
      <c r="F717" s="6" t="s">
        <v>3860</v>
      </c>
      <c r="G717" s="3" t="str">
        <f>IFERROR(__xludf.DUMMYFUNCTION("REGEXREPLACE(
D717,
""([一-龯々]+)\[([^\]]+)\]"",
""&lt;ruby&gt;$1&lt;rt&gt;$2&lt;/rt&gt;&lt;/ruby&gt;""
)&amp;""&lt;br&gt;&lt;div class=""""audio""""&gt;[sound:""&amp;C717&amp;"".mp3]&lt;/div&gt;"""),"おじいさん&lt;br&gt;&lt;div class=""audio""&gt;[sound:おじいさん.mp3]&lt;/div&gt;")</f>
        <v>おじいさん&lt;br&gt;&lt;div class="audio"&gt;[sound:おじいさん.mp3]&lt;/div&gt;</v>
      </c>
      <c r="H717" s="3" t="str">
        <f t="shared" si="1"/>
        <v>(n): ông</v>
      </c>
      <c r="I717" s="6" t="s">
        <v>3861</v>
      </c>
      <c r="J717" s="6" t="s">
        <v>3862</v>
      </c>
      <c r="K717" s="7">
        <f t="shared" si="2"/>
        <v>0.5979886119</v>
      </c>
    </row>
    <row r="718">
      <c r="A718" s="4">
        <v>718.0</v>
      </c>
      <c r="B718" s="5" t="s">
        <v>3863</v>
      </c>
      <c r="C718" s="5" t="s">
        <v>3864</v>
      </c>
      <c r="D718" s="5" t="s">
        <v>3865</v>
      </c>
      <c r="E718" s="6" t="s">
        <v>74</v>
      </c>
      <c r="F718" s="6" t="s">
        <v>2171</v>
      </c>
      <c r="G718" s="3" t="str">
        <f>IFERROR(__xludf.DUMMYFUNCTION("REGEXREPLACE(
D718,
""([一-龯々]+)\[([^\]]+)\]"",
""&lt;ruby&gt;$1&lt;rt&gt;$2&lt;/rt&gt;&lt;/ruby&gt;""
)&amp;""&lt;br&gt;&lt;div class=""""audio""""&gt;[sound:""&amp;C718&amp;"".mp3]&lt;/div&gt;"""),"&lt;ruby&gt;為&lt;rt&gt;ため&lt;/rt&gt;&lt;/ruby&gt;&lt;br&gt;&lt;div class=""audio""&gt;[sound:ため.mp3]&lt;/div&gt;")</f>
        <v>&lt;ruby&gt;為&lt;rt&gt;ため&lt;/rt&gt;&lt;/ruby&gt;&lt;br&gt;&lt;div class="audio"&gt;[sound:ため.mp3]&lt;/div&gt;</v>
      </c>
      <c r="H718" s="3" t="str">
        <f t="shared" si="1"/>
        <v>(n): vì</v>
      </c>
      <c r="I718" s="6" t="s">
        <v>3866</v>
      </c>
      <c r="J718" s="6" t="s">
        <v>3867</v>
      </c>
      <c r="K718" s="7">
        <f t="shared" si="2"/>
        <v>0.479724601</v>
      </c>
    </row>
    <row r="719">
      <c r="A719" s="4">
        <v>719.0</v>
      </c>
      <c r="B719" s="5" t="s">
        <v>3868</v>
      </c>
      <c r="C719" s="5" t="s">
        <v>3869</v>
      </c>
      <c r="D719" s="5" t="s">
        <v>3870</v>
      </c>
      <c r="E719" s="6" t="s">
        <v>74</v>
      </c>
      <c r="F719" s="6" t="s">
        <v>3871</v>
      </c>
      <c r="G719" s="3" t="str">
        <f>IFERROR(__xludf.DUMMYFUNCTION("REGEXREPLACE(
D719,
""([一-龯々]+)\[([^\]]+)\]"",
""&lt;ruby&gt;$1&lt;rt&gt;$2&lt;/rt&gt;&lt;/ruby&gt;""
)&amp;""&lt;br&gt;&lt;div class=""""audio""""&gt;[sound:""&amp;C719&amp;"".mp3]&lt;/div&gt;"""),"&lt;ruby&gt;小学校&lt;rt&gt;しょうがっこう&lt;/rt&gt;&lt;/ruby&gt;&lt;br&gt;&lt;div class=""audio""&gt;[sound:しょうがっこう.mp3]&lt;/div&gt;")</f>
        <v>&lt;ruby&gt;小学校&lt;rt&gt;しょうがっこう&lt;/rt&gt;&lt;/ruby&gt;&lt;br&gt;&lt;div class="audio"&gt;[sound:しょうがっこう.mp3]&lt;/div&gt;</v>
      </c>
      <c r="H719" s="3" t="str">
        <f t="shared" si="1"/>
        <v>(n): trường tiểu học</v>
      </c>
      <c r="I719" s="6" t="s">
        <v>3872</v>
      </c>
      <c r="J719" s="6" t="s">
        <v>3873</v>
      </c>
      <c r="K719" s="7">
        <f t="shared" si="2"/>
        <v>0.004080943989</v>
      </c>
    </row>
    <row r="720">
      <c r="A720" s="4">
        <v>720.0</v>
      </c>
      <c r="B720" s="5" t="s">
        <v>3874</v>
      </c>
      <c r="C720" s="5" t="s">
        <v>3875</v>
      </c>
      <c r="D720" s="5" t="s">
        <v>3874</v>
      </c>
      <c r="E720" s="6" t="s">
        <v>74</v>
      </c>
      <c r="F720" s="6" t="s">
        <v>3876</v>
      </c>
      <c r="G720" s="3" t="str">
        <f>IFERROR(__xludf.DUMMYFUNCTION("REGEXREPLACE(
D720,
""([一-龯々]+)\[([^\]]+)\]"",
""&lt;ruby&gt;$1&lt;rt&gt;$2&lt;/rt&gt;&lt;/ruby&gt;""
)&amp;""&lt;br&gt;&lt;div class=""""audio""""&gt;[sound:""&amp;C720&amp;"".mp3]&lt;/div&gt;"""),"メンバー&lt;br&gt;&lt;div class=""audio""&gt;[sound:めんばー.mp3]&lt;/div&gt;")</f>
        <v>メンバー&lt;br&gt;&lt;div class="audio"&gt;[sound:めんばー.mp3]&lt;/div&gt;</v>
      </c>
      <c r="H720" s="3" t="str">
        <f t="shared" si="1"/>
        <v>(n): thành viên</v>
      </c>
      <c r="I720" s="6" t="s">
        <v>3877</v>
      </c>
      <c r="J720" s="6" t="s">
        <v>3878</v>
      </c>
      <c r="K720" s="7">
        <f t="shared" si="2"/>
        <v>0.968517415</v>
      </c>
    </row>
    <row r="721">
      <c r="A721" s="4">
        <v>721.0</v>
      </c>
      <c r="B721" s="5" t="s">
        <v>3879</v>
      </c>
      <c r="C721" s="5" t="s">
        <v>3880</v>
      </c>
      <c r="D721" s="5" t="s">
        <v>3879</v>
      </c>
      <c r="E721" s="6" t="s">
        <v>74</v>
      </c>
      <c r="F721" s="6" t="s">
        <v>3881</v>
      </c>
      <c r="G721" s="3" t="str">
        <f>IFERROR(__xludf.DUMMYFUNCTION("REGEXREPLACE(
D721,
""([一-龯々]+)\[([^\]]+)\]"",
""&lt;ruby&gt;$1&lt;rt&gt;$2&lt;/rt&gt;&lt;/ruby&gt;""
)&amp;""&lt;br&gt;&lt;div class=""""audio""""&gt;[sound:""&amp;C721&amp;"".mp3]&lt;/div&gt;"""),"ケーキ&lt;br&gt;&lt;div class=""audio""&gt;[sound:けーき.mp3]&lt;/div&gt;")</f>
        <v>ケーキ&lt;br&gt;&lt;div class="audio"&gt;[sound:けーき.mp3]&lt;/div&gt;</v>
      </c>
      <c r="H721" s="3" t="str">
        <f t="shared" si="1"/>
        <v>(n): bánh ngọt</v>
      </c>
      <c r="I721" s="6" t="s">
        <v>3882</v>
      </c>
      <c r="J721" s="6" t="s">
        <v>3883</v>
      </c>
      <c r="K721" s="7">
        <f t="shared" si="2"/>
        <v>0.4903930588</v>
      </c>
    </row>
    <row r="722">
      <c r="A722" s="4">
        <v>722.0</v>
      </c>
      <c r="B722" s="5" t="s">
        <v>3884</v>
      </c>
      <c r="C722" s="5" t="s">
        <v>3885</v>
      </c>
      <c r="D722" s="5" t="s">
        <v>3886</v>
      </c>
      <c r="E722" s="6" t="s">
        <v>74</v>
      </c>
      <c r="F722" s="6" t="s">
        <v>3887</v>
      </c>
      <c r="G722" s="3" t="str">
        <f>IFERROR(__xludf.DUMMYFUNCTION("REGEXREPLACE(
D722,
""([一-龯々]+)\[([^\]]+)\]"",
""&lt;ruby&gt;$1&lt;rt&gt;$2&lt;/rt&gt;&lt;/ruby&gt;""
)&amp;""&lt;br&gt;&lt;div class=""""audio""""&gt;[sound:""&amp;C722&amp;"".mp3]&lt;/div&gt;"""),"&lt;ruby&gt;人気&lt;rt&gt;にんき&lt;/rt&gt;&lt;/ruby&gt;&lt;br&gt;&lt;div class=""audio""&gt;[sound:にんき.mp3]&lt;/div&gt;")</f>
        <v>&lt;ruby&gt;人気&lt;rt&gt;にんき&lt;/rt&gt;&lt;/ruby&gt;&lt;br&gt;&lt;div class="audio"&gt;[sound:にんき.mp3]&lt;/div&gt;</v>
      </c>
      <c r="H722" s="3" t="str">
        <f t="shared" si="1"/>
        <v>(n): nổi tiếng</v>
      </c>
      <c r="I722" s="6" t="s">
        <v>3888</v>
      </c>
      <c r="J722" s="6" t="s">
        <v>3889</v>
      </c>
      <c r="K722" s="7">
        <f t="shared" si="2"/>
        <v>0.2985985239</v>
      </c>
    </row>
    <row r="723">
      <c r="A723" s="4">
        <v>723.0</v>
      </c>
      <c r="B723" s="5" t="s">
        <v>3890</v>
      </c>
      <c r="C723" s="5" t="s">
        <v>3891</v>
      </c>
      <c r="D723" s="5" t="s">
        <v>3890</v>
      </c>
      <c r="E723" s="6" t="s">
        <v>74</v>
      </c>
      <c r="F723" s="6" t="s">
        <v>3892</v>
      </c>
      <c r="G723" s="3" t="str">
        <f>IFERROR(__xludf.DUMMYFUNCTION("REGEXREPLACE(
D723,
""([一-龯々]+)\[([^\]]+)\]"",
""&lt;ruby&gt;$1&lt;rt&gt;$2&lt;/rt&gt;&lt;/ruby&gt;""
)&amp;""&lt;br&gt;&lt;div class=""""audio""""&gt;[sound:""&amp;C723&amp;"".mp3]&lt;/div&gt;"""),"レストラン&lt;br&gt;&lt;div class=""audio""&gt;[sound:れすとらん.mp3]&lt;/div&gt;")</f>
        <v>レストラン&lt;br&gt;&lt;div class="audio"&gt;[sound:れすとらん.mp3]&lt;/div&gt;</v>
      </c>
      <c r="H723" s="3" t="str">
        <f t="shared" si="1"/>
        <v>(n): nhà hàng</v>
      </c>
      <c r="I723" s="6" t="s">
        <v>3893</v>
      </c>
      <c r="J723" s="6" t="s">
        <v>3894</v>
      </c>
      <c r="K723" s="7">
        <f t="shared" si="2"/>
        <v>0.07898724387</v>
      </c>
    </row>
    <row r="724">
      <c r="A724" s="4">
        <v>724.0</v>
      </c>
      <c r="B724" s="5" t="s">
        <v>3895</v>
      </c>
      <c r="C724" s="5" t="s">
        <v>3896</v>
      </c>
      <c r="D724" s="5" t="s">
        <v>3897</v>
      </c>
      <c r="E724" s="6" t="s">
        <v>24</v>
      </c>
      <c r="F724" s="6" t="s">
        <v>3898</v>
      </c>
      <c r="G724" s="3" t="str">
        <f>IFERROR(__xludf.DUMMYFUNCTION("REGEXREPLACE(
D724,
""([一-龯々]+)\[([^\]]+)\]"",
""&lt;ruby&gt;$1&lt;rt&gt;$2&lt;/rt&gt;&lt;/ruby&gt;""
)&amp;""&lt;br&gt;&lt;div class=""""audio""""&gt;[sound:""&amp;C724&amp;"".mp3]&lt;/div&gt;"""),"&lt;ruby&gt;並&lt;rt&gt;なら&lt;/rt&gt;&lt;/ruby&gt;ぶ&lt;br&gt;&lt;div class=""audio""&gt;[sound:ならぶ.mp3]&lt;/div&gt;")</f>
        <v>&lt;ruby&gt;並&lt;rt&gt;なら&lt;/rt&gt;&lt;/ruby&gt;ぶ&lt;br&gt;&lt;div class="audio"&gt;[sound:ならぶ.mp3]&lt;/div&gt;</v>
      </c>
      <c r="H724" s="3" t="str">
        <f t="shared" si="1"/>
        <v>(v): xếp hàng</v>
      </c>
      <c r="I724" s="6" t="s">
        <v>3899</v>
      </c>
      <c r="J724" s="6" t="s">
        <v>3900</v>
      </c>
      <c r="K724" s="7">
        <f t="shared" si="2"/>
        <v>0.01344175491</v>
      </c>
    </row>
    <row r="725">
      <c r="A725" s="4">
        <v>725.0</v>
      </c>
      <c r="B725" s="5" t="s">
        <v>3901</v>
      </c>
      <c r="C725" s="5" t="s">
        <v>3902</v>
      </c>
      <c r="D725" s="5" t="s">
        <v>3903</v>
      </c>
      <c r="E725" s="6" t="s">
        <v>74</v>
      </c>
      <c r="F725" s="6" t="s">
        <v>3904</v>
      </c>
      <c r="G725" s="3" t="str">
        <f>IFERROR(__xludf.DUMMYFUNCTION("REGEXREPLACE(
D725,
""([一-龯々]+)\[([^\]]+)\]"",
""&lt;ruby&gt;$1&lt;rt&gt;$2&lt;/rt&gt;&lt;/ruby&gt;""
)&amp;""&lt;br&gt;&lt;div class=""""audio""""&gt;[sound:""&amp;C725&amp;"".mp3]&lt;/div&gt;"""),"&lt;ruby&gt;契約&lt;rt&gt;けいやく&lt;/rt&gt;&lt;/ruby&gt;&lt;br&gt;&lt;div class=""audio""&gt;[sound:けいやく.mp3]&lt;/div&gt;")</f>
        <v>&lt;ruby&gt;契約&lt;rt&gt;けいやく&lt;/rt&gt;&lt;/ruby&gt;&lt;br&gt;&lt;div class="audio"&gt;[sound:けいやく.mp3]&lt;/div&gt;</v>
      </c>
      <c r="H725" s="3" t="str">
        <f t="shared" si="1"/>
        <v>(n): hợp đồng</v>
      </c>
      <c r="I725" s="6" t="s">
        <v>3905</v>
      </c>
      <c r="J725" s="6" t="s">
        <v>3906</v>
      </c>
      <c r="K725" s="7">
        <f t="shared" si="2"/>
        <v>0.1882274732</v>
      </c>
    </row>
    <row r="726">
      <c r="A726" s="4">
        <v>726.0</v>
      </c>
      <c r="B726" s="5" t="s">
        <v>3907</v>
      </c>
      <c r="C726" s="5" t="s">
        <v>3908</v>
      </c>
      <c r="D726" s="5" t="s">
        <v>3909</v>
      </c>
      <c r="E726" s="6" t="s">
        <v>24</v>
      </c>
      <c r="F726" s="6" t="s">
        <v>3910</v>
      </c>
      <c r="G726" s="3" t="str">
        <f>IFERROR(__xludf.DUMMYFUNCTION("REGEXREPLACE(
D726,
""([一-龯々]+)\[([^\]]+)\]"",
""&lt;ruby&gt;$1&lt;rt&gt;$2&lt;/rt&gt;&lt;/ruby&gt;""
)&amp;""&lt;br&gt;&lt;div class=""""audio""""&gt;[sound:""&amp;C726&amp;"".mp3]&lt;/div&gt;"""),"&lt;ruby&gt;見&lt;rt&gt;み&lt;/rt&gt;&lt;/ruby&gt;つける&lt;br&gt;&lt;div class=""audio""&gt;[sound:みつける.mp3]&lt;/div&gt;")</f>
        <v>&lt;ruby&gt;見&lt;rt&gt;み&lt;/rt&gt;&lt;/ruby&gt;つける&lt;br&gt;&lt;div class="audio"&gt;[sound:みつける.mp3]&lt;/div&gt;</v>
      </c>
      <c r="H726" s="3" t="str">
        <f t="shared" si="1"/>
        <v>(v): tìm thấy</v>
      </c>
      <c r="I726" s="6" t="s">
        <v>3911</v>
      </c>
      <c r="J726" s="6" t="s">
        <v>3912</v>
      </c>
      <c r="K726" s="7">
        <f t="shared" si="2"/>
        <v>0.7154351079</v>
      </c>
    </row>
    <row r="727">
      <c r="A727" s="4">
        <v>727.0</v>
      </c>
      <c r="B727" s="5" t="s">
        <v>3913</v>
      </c>
      <c r="C727" s="5" t="s">
        <v>3914</v>
      </c>
      <c r="D727" s="5" t="s">
        <v>3915</v>
      </c>
      <c r="E727" s="6" t="s">
        <v>85</v>
      </c>
      <c r="F727" s="6" t="s">
        <v>3916</v>
      </c>
      <c r="G727" s="3" t="str">
        <f>IFERROR(__xludf.DUMMYFUNCTION("REGEXREPLACE(
D727,
""([一-龯々]+)\[([^\]]+)\]"",
""&lt;ruby&gt;$1&lt;rt&gt;$2&lt;/rt&gt;&lt;/ruby&gt;""
)&amp;""&lt;br&gt;&lt;div class=""""audio""""&gt;[sound:""&amp;C727&amp;"".mp3]&lt;/div&gt;"""),"&lt;ruby&gt;初&lt;rt&gt;はじ&lt;/rt&gt;&lt;/ruby&gt;めて&lt;br&gt;&lt;div class=""audio""&gt;[sound:はじめて.mp3]&lt;/div&gt;")</f>
        <v>&lt;ruby&gt;初&lt;rt&gt;はじ&lt;/rt&gt;&lt;/ruby&gt;めて&lt;br&gt;&lt;div class="audio"&gt;[sound:はじめて.mp3]&lt;/div&gt;</v>
      </c>
      <c r="H727" s="3" t="str">
        <f t="shared" si="1"/>
        <v>(adv): lần đầu</v>
      </c>
      <c r="I727" s="6" t="s">
        <v>3917</v>
      </c>
      <c r="J727" s="6" t="s">
        <v>3918</v>
      </c>
      <c r="K727" s="7">
        <f t="shared" si="2"/>
        <v>0.4966960761</v>
      </c>
    </row>
    <row r="728">
      <c r="A728" s="4">
        <v>728.0</v>
      </c>
      <c r="B728" s="5" t="s">
        <v>3919</v>
      </c>
      <c r="C728" s="5" t="s">
        <v>3920</v>
      </c>
      <c r="D728" s="5" t="s">
        <v>3921</v>
      </c>
      <c r="E728" s="6" t="s">
        <v>58</v>
      </c>
      <c r="F728" s="6" t="s">
        <v>3922</v>
      </c>
      <c r="G728" s="3" t="str">
        <f>IFERROR(__xludf.DUMMYFUNCTION("REGEXREPLACE(
D728,
""([一-龯々]+)\[([^\]]+)\]"",
""&lt;ruby&gt;$1&lt;rt&gt;$2&lt;/rt&gt;&lt;/ruby&gt;""
)&amp;""&lt;br&gt;&lt;div class=""""audio""""&gt;[sound:""&amp;C728&amp;"".mp3]&lt;/div&gt;"""),"&lt;ruby&gt;十&lt;rt&gt;じゅう&lt;/rt&gt;&lt;/ruby&gt;&lt;br&gt;&lt;div class=""audio""&gt;[sound:じゅう.mp3]&lt;/div&gt;")</f>
        <v>&lt;ruby&gt;十&lt;rt&gt;じゅう&lt;/rt&gt;&lt;/ruby&gt;&lt;br&gt;&lt;div class="audio"&gt;[sound:じゅう.mp3]&lt;/div&gt;</v>
      </c>
      <c r="H728" s="3" t="str">
        <f t="shared" si="1"/>
        <v>(num): số mười</v>
      </c>
      <c r="I728" s="6" t="s">
        <v>3923</v>
      </c>
      <c r="J728" s="6" t="s">
        <v>3924</v>
      </c>
      <c r="K728" s="7">
        <f t="shared" si="2"/>
        <v>0.8237878316</v>
      </c>
    </row>
    <row r="729">
      <c r="A729" s="4">
        <v>729.0</v>
      </c>
      <c r="B729" s="5" t="s">
        <v>3925</v>
      </c>
      <c r="C729" s="5" t="s">
        <v>3926</v>
      </c>
      <c r="D729" s="5" t="s">
        <v>3927</v>
      </c>
      <c r="E729" s="6" t="s">
        <v>24</v>
      </c>
      <c r="F729" s="6" t="s">
        <v>3928</v>
      </c>
      <c r="G729" s="3" t="str">
        <f>IFERROR(__xludf.DUMMYFUNCTION("REGEXREPLACE(
D729,
""([一-龯々]+)\[([^\]]+)\]"",
""&lt;ruby&gt;$1&lt;rt&gt;$2&lt;/rt&gt;&lt;/ruby&gt;""
)&amp;""&lt;br&gt;&lt;div class=""""audio""""&gt;[sound:""&amp;C729&amp;"".mp3]&lt;/div&gt;"""),"&lt;ruby&gt;応&lt;rt&gt;おう&lt;/rt&gt;&lt;/ruby&gt;じる&lt;br&gt;&lt;div class=""audio""&gt;[sound:おうじる.mp3]&lt;/div&gt;")</f>
        <v>&lt;ruby&gt;応&lt;rt&gt;おう&lt;/rt&gt;&lt;/ruby&gt;じる&lt;br&gt;&lt;div class="audio"&gt;[sound:おうじる.mp3]&lt;/div&gt;</v>
      </c>
      <c r="H729" s="3" t="str">
        <f t="shared" si="1"/>
        <v>(v): đáp ứng</v>
      </c>
      <c r="I729" s="6" t="s">
        <v>3929</v>
      </c>
      <c r="J729" s="6" t="s">
        <v>3930</v>
      </c>
      <c r="K729" s="7">
        <f t="shared" si="2"/>
        <v>0.8569282559</v>
      </c>
    </row>
    <row r="730">
      <c r="A730" s="4">
        <v>730.0</v>
      </c>
      <c r="B730" s="5" t="s">
        <v>3931</v>
      </c>
      <c r="C730" s="5" t="s">
        <v>3932</v>
      </c>
      <c r="D730" s="5" t="s">
        <v>3933</v>
      </c>
      <c r="E730" s="6" t="s">
        <v>24</v>
      </c>
      <c r="F730" s="6" t="s">
        <v>3934</v>
      </c>
      <c r="G730" s="3" t="str">
        <f>IFERROR(__xludf.DUMMYFUNCTION("REGEXREPLACE(
D730,
""([一-龯々]+)\[([^\]]+)\]"",
""&lt;ruby&gt;$1&lt;rt&gt;$2&lt;/rt&gt;&lt;/ruby&gt;""
)&amp;""&lt;br&gt;&lt;div class=""""audio""""&gt;[sound:""&amp;C730&amp;"".mp3]&lt;/div&gt;"""),"&lt;ruby&gt;戻&lt;rt&gt;もど&lt;/rt&gt;&lt;/ruby&gt;す&lt;br&gt;&lt;div class=""audio""&gt;[sound:もどす.mp3]&lt;/div&gt;")</f>
        <v>&lt;ruby&gt;戻&lt;rt&gt;もど&lt;/rt&gt;&lt;/ruby&gt;す&lt;br&gt;&lt;div class="audio"&gt;[sound:もどす.mp3]&lt;/div&gt;</v>
      </c>
      <c r="H730" s="3" t="str">
        <f t="shared" si="1"/>
        <v>(v): trả lại</v>
      </c>
      <c r="I730" s="6" t="s">
        <v>3935</v>
      </c>
      <c r="J730" s="6" t="s">
        <v>3936</v>
      </c>
      <c r="K730" s="7">
        <f t="shared" si="2"/>
        <v>0.3155064037</v>
      </c>
    </row>
    <row r="731">
      <c r="A731" s="4">
        <v>731.0</v>
      </c>
      <c r="B731" s="5" t="s">
        <v>3937</v>
      </c>
      <c r="C731" s="5" t="s">
        <v>3938</v>
      </c>
      <c r="D731" s="5" t="s">
        <v>3939</v>
      </c>
      <c r="E731" s="6" t="s">
        <v>74</v>
      </c>
      <c r="F731" s="6" t="s">
        <v>3940</v>
      </c>
      <c r="G731" s="3" t="str">
        <f>IFERROR(__xludf.DUMMYFUNCTION("REGEXREPLACE(
D731,
""([一-龯々]+)\[([^\]]+)\]"",
""&lt;ruby&gt;$1&lt;rt&gt;$2&lt;/rt&gt;&lt;/ruby&gt;""
)&amp;""&lt;br&gt;&lt;div class=""""audio""""&gt;[sound:""&amp;C731&amp;"".mp3]&lt;/div&gt;"""),"&lt;ruby&gt;約束&lt;rt&gt;やくそく&lt;/rt&gt;&lt;/ruby&gt;&lt;br&gt;&lt;div class=""audio""&gt;[sound:やくそく.mp3]&lt;/div&gt;")</f>
        <v>&lt;ruby&gt;約束&lt;rt&gt;やくそく&lt;/rt&gt;&lt;/ruby&gt;&lt;br&gt;&lt;div class="audio"&gt;[sound:やくそく.mp3]&lt;/div&gt;</v>
      </c>
      <c r="H731" s="3" t="str">
        <f t="shared" si="1"/>
        <v>(n): lời hứa</v>
      </c>
      <c r="I731" s="6" t="s">
        <v>3941</v>
      </c>
      <c r="J731" s="6" t="s">
        <v>3942</v>
      </c>
      <c r="K731" s="7">
        <f t="shared" si="2"/>
        <v>0.05746354597</v>
      </c>
    </row>
    <row r="732">
      <c r="A732" s="4">
        <v>732.0</v>
      </c>
      <c r="B732" s="5" t="s">
        <v>3943</v>
      </c>
      <c r="C732" s="5" t="s">
        <v>3944</v>
      </c>
      <c r="D732" s="5" t="s">
        <v>3945</v>
      </c>
      <c r="E732" s="6" t="s">
        <v>74</v>
      </c>
      <c r="F732" s="6" t="s">
        <v>3946</v>
      </c>
      <c r="G732" s="3" t="str">
        <f>IFERROR(__xludf.DUMMYFUNCTION("REGEXREPLACE(
D732,
""([一-龯々]+)\[([^\]]+)\]"",
""&lt;ruby&gt;$1&lt;rt&gt;$2&lt;/rt&gt;&lt;/ruby&gt;""
)&amp;""&lt;br&gt;&lt;div class=""""audio""""&gt;[sound:""&amp;C732&amp;"".mp3]&lt;/div&gt;"""),"&lt;ruby&gt;自動車&lt;rt&gt;じどうしゃ&lt;/rt&gt;&lt;/ruby&gt;&lt;br&gt;&lt;div class=""audio""&gt;[sound:じどうしゃ.mp3]&lt;/div&gt;")</f>
        <v>&lt;ruby&gt;自動車&lt;rt&gt;じどうしゃ&lt;/rt&gt;&lt;/ruby&gt;&lt;br&gt;&lt;div class="audio"&gt;[sound:じどうしゃ.mp3]&lt;/div&gt;</v>
      </c>
      <c r="H732" s="3" t="str">
        <f t="shared" si="1"/>
        <v>(n): xe ô tô</v>
      </c>
      <c r="I732" s="6" t="s">
        <v>3947</v>
      </c>
      <c r="J732" s="6" t="s">
        <v>3948</v>
      </c>
      <c r="K732" s="7">
        <f t="shared" si="2"/>
        <v>0.9501966435</v>
      </c>
    </row>
    <row r="733">
      <c r="A733" s="4">
        <v>733.0</v>
      </c>
      <c r="B733" s="5" t="s">
        <v>3949</v>
      </c>
      <c r="C733" s="5" t="s">
        <v>3950</v>
      </c>
      <c r="D733" s="5" t="s">
        <v>3949</v>
      </c>
      <c r="E733" s="6" t="s">
        <v>74</v>
      </c>
      <c r="F733" s="6" t="s">
        <v>3951</v>
      </c>
      <c r="G733" s="3" t="str">
        <f>IFERROR(__xludf.DUMMYFUNCTION("REGEXREPLACE(
D733,
""([一-龯々]+)\[([^\]]+)\]"",
""&lt;ruby&gt;$1&lt;rt&gt;$2&lt;/rt&gt;&lt;/ruby&gt;""
)&amp;""&lt;br&gt;&lt;div class=""""audio""""&gt;[sound:""&amp;C733&amp;"".mp3]&lt;/div&gt;"""),"ベッド&lt;br&gt;&lt;div class=""audio""&gt;[sound:べっど.mp3]&lt;/div&gt;")</f>
        <v>ベッド&lt;br&gt;&lt;div class="audio"&gt;[sound:べっど.mp3]&lt;/div&gt;</v>
      </c>
      <c r="H733" s="3" t="str">
        <f t="shared" si="1"/>
        <v>(n): giường</v>
      </c>
      <c r="I733" s="6" t="s">
        <v>3952</v>
      </c>
      <c r="J733" s="6" t="s">
        <v>3953</v>
      </c>
      <c r="K733" s="7">
        <f t="shared" si="2"/>
        <v>0.449292784</v>
      </c>
    </row>
    <row r="734">
      <c r="A734" s="4">
        <v>734.0</v>
      </c>
      <c r="B734" s="5" t="s">
        <v>3954</v>
      </c>
      <c r="C734" s="5" t="s">
        <v>3955</v>
      </c>
      <c r="D734" s="5" t="s">
        <v>3956</v>
      </c>
      <c r="E734" s="6" t="s">
        <v>74</v>
      </c>
      <c r="F734" s="6" t="s">
        <v>3957</v>
      </c>
      <c r="G734" s="3" t="str">
        <f>IFERROR(__xludf.DUMMYFUNCTION("REGEXREPLACE(
D734,
""([一-龯々]+)\[([^\]]+)\]"",
""&lt;ruby&gt;$1&lt;rt&gt;$2&lt;/rt&gt;&lt;/ruby&gt;""
)&amp;""&lt;br&gt;&lt;div class=""""audio""""&gt;[sound:""&amp;C734&amp;"".mp3]&lt;/div&gt;"""),"&lt;ruby&gt;全&lt;rt&gt;すべ&lt;/rt&gt;&lt;/ruby&gt;て&lt;br&gt;&lt;div class=""audio""&gt;[sound:すべて.mp3]&lt;/div&gt;")</f>
        <v>&lt;ruby&gt;全&lt;rt&gt;すべ&lt;/rt&gt;&lt;/ruby&gt;て&lt;br&gt;&lt;div class="audio"&gt;[sound:すべて.mp3]&lt;/div&gt;</v>
      </c>
      <c r="H734" s="3" t="str">
        <f t="shared" si="1"/>
        <v>(n): tất cả</v>
      </c>
      <c r="I734" s="6" t="s">
        <v>3958</v>
      </c>
      <c r="J734" s="6" t="s">
        <v>3959</v>
      </c>
      <c r="K734" s="7">
        <f t="shared" si="2"/>
        <v>0.327184126</v>
      </c>
    </row>
    <row r="735">
      <c r="A735" s="4">
        <v>735.0</v>
      </c>
      <c r="B735" s="5" t="s">
        <v>3960</v>
      </c>
      <c r="C735" s="5" t="s">
        <v>3961</v>
      </c>
      <c r="D735" s="5" t="s">
        <v>3962</v>
      </c>
      <c r="E735" s="6" t="s">
        <v>11</v>
      </c>
      <c r="F735" s="6" t="s">
        <v>3963</v>
      </c>
      <c r="G735" s="3" t="str">
        <f>IFERROR(__xludf.DUMMYFUNCTION("REGEXREPLACE(
D735,
""([一-龯々]+)\[([^\]]+)\]"",
""&lt;ruby&gt;$1&lt;rt&gt;$2&lt;/rt&gt;&lt;/ruby&gt;""
)&amp;""&lt;br&gt;&lt;div class=""""audio""""&gt;[sound:""&amp;C735&amp;"".mp3]&lt;/div&gt;"""),"&lt;ruby&gt;十分&lt;rt&gt;じゅうぶん&lt;/rt&gt;&lt;/ruby&gt;&lt;br&gt;&lt;div class=""audio""&gt;[sound:じゅうぶん.mp3]&lt;/div&gt;")</f>
        <v>&lt;ruby&gt;十分&lt;rt&gt;じゅうぶん&lt;/rt&gt;&lt;/ruby&gt;&lt;br&gt;&lt;div class="audio"&gt;[sound:じゅうぶん.mp3]&lt;/div&gt;</v>
      </c>
      <c r="H735" s="3" t="str">
        <f t="shared" si="1"/>
        <v>(adj): đầy đủ</v>
      </c>
      <c r="I735" s="6" t="s">
        <v>3964</v>
      </c>
      <c r="J735" s="6" t="s">
        <v>3965</v>
      </c>
      <c r="K735" s="7">
        <f t="shared" si="2"/>
        <v>0.6701742985</v>
      </c>
    </row>
    <row r="736">
      <c r="A736" s="4">
        <v>736.0</v>
      </c>
      <c r="B736" s="5" t="s">
        <v>3966</v>
      </c>
      <c r="C736" s="5" t="s">
        <v>3967</v>
      </c>
      <c r="D736" s="5" t="s">
        <v>3968</v>
      </c>
      <c r="E736" s="6" t="s">
        <v>74</v>
      </c>
      <c r="F736" s="6" t="s">
        <v>3969</v>
      </c>
      <c r="G736" s="3" t="str">
        <f>IFERROR(__xludf.DUMMYFUNCTION("REGEXREPLACE(
D736,
""([一-龯々]+)\[([^\]]+)\]"",
""&lt;ruby&gt;$1&lt;rt&gt;$2&lt;/rt&gt;&lt;/ruby&gt;""
)&amp;""&lt;br&gt;&lt;div class=""""audio""""&gt;[sound:""&amp;C736&amp;"".mp3]&lt;/div&gt;"""),"&lt;ruby&gt;注意&lt;rt&gt;ちゅうい&lt;/rt&gt;&lt;/ruby&gt;&lt;br&gt;&lt;div class=""audio""&gt;[sound:ちゅうい.mp3]&lt;/div&gt;")</f>
        <v>&lt;ruby&gt;注意&lt;rt&gt;ちゅうい&lt;/rt&gt;&lt;/ruby&gt;&lt;br&gt;&lt;div class="audio"&gt;[sound:ちゅうい.mp3]&lt;/div&gt;</v>
      </c>
      <c r="H736" s="3" t="str">
        <f t="shared" si="1"/>
        <v>(n): chú ý</v>
      </c>
      <c r="I736" s="6" t="s">
        <v>3970</v>
      </c>
      <c r="J736" s="6" t="s">
        <v>3971</v>
      </c>
      <c r="K736" s="7">
        <f t="shared" si="2"/>
        <v>0.4832065882</v>
      </c>
    </row>
    <row r="737">
      <c r="A737" s="4">
        <v>737.0</v>
      </c>
      <c r="B737" s="5" t="s">
        <v>3972</v>
      </c>
      <c r="C737" s="5" t="s">
        <v>3973</v>
      </c>
      <c r="D737" s="5" t="s">
        <v>3974</v>
      </c>
      <c r="E737" s="6" t="s">
        <v>24</v>
      </c>
      <c r="F737" s="6" t="s">
        <v>3975</v>
      </c>
      <c r="G737" s="3" t="str">
        <f>IFERROR(__xludf.DUMMYFUNCTION("REGEXREPLACE(
D737,
""([一-龯々]+)\[([^\]]+)\]"",
""&lt;ruby&gt;$1&lt;rt&gt;$2&lt;/rt&gt;&lt;/ruby&gt;""
)&amp;""&lt;br&gt;&lt;div class=""""audio""""&gt;[sound:""&amp;C737&amp;"".mp3]&lt;/div&gt;"""),"&lt;ruby&gt;走&lt;rt&gt;はし&lt;/rt&gt;&lt;/ruby&gt;る&lt;br&gt;&lt;div class=""audio""&gt;[sound:はしる.mp3]&lt;/div&gt;")</f>
        <v>&lt;ruby&gt;走&lt;rt&gt;はし&lt;/rt&gt;&lt;/ruby&gt;る&lt;br&gt;&lt;div class="audio"&gt;[sound:はしる.mp3]&lt;/div&gt;</v>
      </c>
      <c r="H737" s="3" t="str">
        <f t="shared" si="1"/>
        <v>(v): chạy</v>
      </c>
      <c r="I737" s="6" t="s">
        <v>3976</v>
      </c>
      <c r="J737" s="6" t="s">
        <v>3977</v>
      </c>
      <c r="K737" s="7">
        <f t="shared" si="2"/>
        <v>0.4614514665</v>
      </c>
    </row>
    <row r="738">
      <c r="A738" s="4">
        <v>738.0</v>
      </c>
      <c r="B738" s="5" t="s">
        <v>3978</v>
      </c>
      <c r="C738" s="5" t="s">
        <v>3978</v>
      </c>
      <c r="D738" s="5" t="s">
        <v>3978</v>
      </c>
      <c r="E738" s="6" t="s">
        <v>85</v>
      </c>
      <c r="F738" s="6" t="s">
        <v>3979</v>
      </c>
      <c r="G738" s="3" t="str">
        <f>IFERROR(__xludf.DUMMYFUNCTION("REGEXREPLACE(
D738,
""([一-龯々]+)\[([^\]]+)\]"",
""&lt;ruby&gt;$1&lt;rt&gt;$2&lt;/rt&gt;&lt;/ruby&gt;""
)&amp;""&lt;br&gt;&lt;div class=""""audio""""&gt;[sound:""&amp;C738&amp;"".mp3]&lt;/div&gt;"""),"もうすぐ&lt;br&gt;&lt;div class=""audio""&gt;[sound:もうすぐ.mp3]&lt;/div&gt;")</f>
        <v>もうすぐ&lt;br&gt;&lt;div class="audio"&gt;[sound:もうすぐ.mp3]&lt;/div&gt;</v>
      </c>
      <c r="H738" s="3" t="str">
        <f t="shared" si="1"/>
        <v>(adv): sắp</v>
      </c>
      <c r="I738" s="6" t="s">
        <v>3980</v>
      </c>
      <c r="J738" s="6" t="s">
        <v>3981</v>
      </c>
      <c r="K738" s="7">
        <f t="shared" si="2"/>
        <v>0.2249731045</v>
      </c>
    </row>
    <row r="739">
      <c r="A739" s="4">
        <v>739.0</v>
      </c>
      <c r="B739" s="5" t="s">
        <v>3982</v>
      </c>
      <c r="C739" s="5" t="s">
        <v>3983</v>
      </c>
      <c r="D739" s="5" t="s">
        <v>3984</v>
      </c>
      <c r="E739" s="6" t="s">
        <v>24</v>
      </c>
      <c r="F739" s="6" t="s">
        <v>3985</v>
      </c>
      <c r="G739" s="3" t="str">
        <f>IFERROR(__xludf.DUMMYFUNCTION("REGEXREPLACE(
D739,
""([一-龯々]+)\[([^\]]+)\]"",
""&lt;ruby&gt;$1&lt;rt&gt;$2&lt;/rt&gt;&lt;/ruby&gt;""
)&amp;""&lt;br&gt;&lt;div class=""""audio""""&gt;[sound:""&amp;C739&amp;"".mp3]&lt;/div&gt;"""),"&lt;ruby&gt;送&lt;rt&gt;おく&lt;/rt&gt;&lt;/ruby&gt;る&lt;br&gt;&lt;div class=""audio""&gt;[sound:おくる.mp3]&lt;/div&gt;")</f>
        <v>&lt;ruby&gt;送&lt;rt&gt;おく&lt;/rt&gt;&lt;/ruby&gt;る&lt;br&gt;&lt;div class="audio"&gt;[sound:おくる.mp3]&lt;/div&gt;</v>
      </c>
      <c r="H739" s="3" t="str">
        <f t="shared" si="1"/>
        <v>(v): gửi</v>
      </c>
      <c r="I739" s="6" t="s">
        <v>3986</v>
      </c>
      <c r="J739" s="6" t="s">
        <v>3987</v>
      </c>
      <c r="K739" s="7">
        <f t="shared" si="2"/>
        <v>0.8739942827</v>
      </c>
    </row>
    <row r="740">
      <c r="A740" s="4">
        <v>740.0</v>
      </c>
      <c r="B740" s="5" t="s">
        <v>3988</v>
      </c>
      <c r="C740" s="5" t="s">
        <v>3989</v>
      </c>
      <c r="D740" s="5" t="s">
        <v>3990</v>
      </c>
      <c r="E740" s="6" t="s">
        <v>44</v>
      </c>
      <c r="F740" s="6" t="s">
        <v>3991</v>
      </c>
      <c r="G740" s="3" t="str">
        <f>IFERROR(__xludf.DUMMYFUNCTION("REGEXREPLACE(
D740,
""([一-龯々]+)\[([^\]]+)\]"",
""&lt;ruby&gt;$1&lt;rt&gt;$2&lt;/rt&gt;&lt;/ruby&gt;""
)&amp;""&lt;br&gt;&lt;div class=""""audio""""&gt;[sound:""&amp;C740&amp;"".mp3]&lt;/div&gt;"""),"&lt;ruby&gt;彼&lt;rt&gt;かれ&lt;/rt&gt;&lt;/ruby&gt;ら&lt;br&gt;&lt;div class=""audio""&gt;[sound:かれら.mp3]&lt;/div&gt;")</f>
        <v>&lt;ruby&gt;彼&lt;rt&gt;かれ&lt;/rt&gt;&lt;/ruby&gt;ら&lt;br&gt;&lt;div class="audio"&gt;[sound:かれら.mp3]&lt;/div&gt;</v>
      </c>
      <c r="H740" s="3" t="str">
        <f t="shared" si="1"/>
        <v>(pron): họ</v>
      </c>
      <c r="I740" s="6" t="s">
        <v>3992</v>
      </c>
      <c r="J740" s="6" t="s">
        <v>3993</v>
      </c>
      <c r="K740" s="7">
        <f t="shared" si="2"/>
        <v>0.1955920628</v>
      </c>
    </row>
    <row r="741">
      <c r="A741" s="4">
        <v>741.0</v>
      </c>
      <c r="B741" s="5" t="s">
        <v>3994</v>
      </c>
      <c r="C741" s="5" t="s">
        <v>3994</v>
      </c>
      <c r="D741" s="5" t="s">
        <v>3994</v>
      </c>
      <c r="E741" s="6" t="s">
        <v>85</v>
      </c>
      <c r="F741" s="6" t="s">
        <v>3995</v>
      </c>
      <c r="G741" s="3" t="str">
        <f>IFERROR(__xludf.DUMMYFUNCTION("REGEXREPLACE(
D741,
""([一-龯々]+)\[([^\]]+)\]"",
""&lt;ruby&gt;$1&lt;rt&gt;$2&lt;/rt&gt;&lt;/ruby&gt;""
)&amp;""&lt;br&gt;&lt;div class=""""audio""""&gt;[sound:""&amp;C741&amp;"".mp3]&lt;/div&gt;"""),"なにも&lt;br&gt;&lt;div class=""audio""&gt;[sound:なにも.mp3]&lt;/div&gt;")</f>
        <v>なにも&lt;br&gt;&lt;div class="audio"&gt;[sound:なにも.mp3]&lt;/div&gt;</v>
      </c>
      <c r="H741" s="3" t="str">
        <f t="shared" si="1"/>
        <v>(adv): không gì</v>
      </c>
      <c r="I741" s="6" t="s">
        <v>3996</v>
      </c>
      <c r="J741" s="6" t="s">
        <v>3997</v>
      </c>
      <c r="K741" s="7">
        <f t="shared" si="2"/>
        <v>0.7029054594</v>
      </c>
    </row>
    <row r="742">
      <c r="A742" s="4">
        <v>742.0</v>
      </c>
      <c r="B742" s="5" t="s">
        <v>3998</v>
      </c>
      <c r="C742" s="5" t="s">
        <v>3999</v>
      </c>
      <c r="D742" s="5" t="s">
        <v>3998</v>
      </c>
      <c r="E742" s="6" t="s">
        <v>74</v>
      </c>
      <c r="F742" s="6" t="s">
        <v>4000</v>
      </c>
      <c r="G742" s="3" t="str">
        <f>IFERROR(__xludf.DUMMYFUNCTION("REGEXREPLACE(
D742,
""([一-龯々]+)\[([^\]]+)\]"",
""&lt;ruby&gt;$1&lt;rt&gt;$2&lt;/rt&gt;&lt;/ruby&gt;""
)&amp;""&lt;br&gt;&lt;div class=""""audio""""&gt;[sound:""&amp;C742&amp;"".mp3]&lt;/div&gt;"""),"バランス&lt;br&gt;&lt;div class=""audio""&gt;[sound:ばらんす.mp3]&lt;/div&gt;")</f>
        <v>バランス&lt;br&gt;&lt;div class="audio"&gt;[sound:ばらんす.mp3]&lt;/div&gt;</v>
      </c>
      <c r="H742" s="3" t="str">
        <f t="shared" si="1"/>
        <v>(n): cân bằng</v>
      </c>
      <c r="I742" s="6" t="s">
        <v>4001</v>
      </c>
      <c r="J742" s="6" t="s">
        <v>4002</v>
      </c>
      <c r="K742" s="7">
        <f t="shared" si="2"/>
        <v>0.817748454</v>
      </c>
    </row>
    <row r="743">
      <c r="A743" s="4">
        <v>743.0</v>
      </c>
      <c r="B743" s="5" t="s">
        <v>4003</v>
      </c>
      <c r="C743" s="5" t="s">
        <v>4003</v>
      </c>
      <c r="D743" s="5" t="s">
        <v>4003</v>
      </c>
      <c r="E743" s="6" t="s">
        <v>85</v>
      </c>
      <c r="F743" s="6" t="s">
        <v>4004</v>
      </c>
      <c r="G743" s="3" t="str">
        <f>IFERROR(__xludf.DUMMYFUNCTION("REGEXREPLACE(
D743,
""([一-龯々]+)\[([^\]]+)\]"",
""&lt;ruby&gt;$1&lt;rt&gt;$2&lt;/rt&gt;&lt;/ruby&gt;""
)&amp;""&lt;br&gt;&lt;div class=""""audio""""&gt;[sound:""&amp;C743&amp;"".mp3]&lt;/div&gt;"""),"ゆっくりと&lt;br&gt;&lt;div class=""audio""&gt;[sound:ゆっくりと.mp3]&lt;/div&gt;")</f>
        <v>ゆっくりと&lt;br&gt;&lt;div class="audio"&gt;[sound:ゆっくりと.mp3]&lt;/div&gt;</v>
      </c>
      <c r="H743" s="3" t="str">
        <f t="shared" si="1"/>
        <v>(adv): chậm rãi</v>
      </c>
      <c r="I743" s="6" t="s">
        <v>4005</v>
      </c>
      <c r="J743" s="6" t="s">
        <v>4006</v>
      </c>
      <c r="K743" s="7">
        <f t="shared" si="2"/>
        <v>0.4279987331</v>
      </c>
    </row>
    <row r="744">
      <c r="A744" s="4">
        <v>744.0</v>
      </c>
      <c r="B744" s="5" t="s">
        <v>4007</v>
      </c>
      <c r="C744" s="5" t="s">
        <v>4008</v>
      </c>
      <c r="D744" s="5" t="s">
        <v>4009</v>
      </c>
      <c r="E744" s="6" t="s">
        <v>74</v>
      </c>
      <c r="F744" s="6" t="s">
        <v>4010</v>
      </c>
      <c r="G744" s="3" t="str">
        <f>IFERROR(__xludf.DUMMYFUNCTION("REGEXREPLACE(
D744,
""([一-龯々]+)\[([^\]]+)\]"",
""&lt;ruby&gt;$1&lt;rt&gt;$2&lt;/rt&gt;&lt;/ruby&gt;""
)&amp;""&lt;br&gt;&lt;div class=""""audio""""&gt;[sound:""&amp;C744&amp;"".mp3]&lt;/div&gt;"""),"&lt;ruby&gt;代&lt;rt&gt;か&lt;/rt&gt;&lt;/ruby&gt;わり&lt;br&gt;&lt;div class=""audio""&gt;[sound:かわり.mp3]&lt;/div&gt;")</f>
        <v>&lt;ruby&gt;代&lt;rt&gt;か&lt;/rt&gt;&lt;/ruby&gt;わり&lt;br&gt;&lt;div class="audio"&gt;[sound:かわり.mp3]&lt;/div&gt;</v>
      </c>
      <c r="H744" s="3" t="str">
        <f t="shared" si="1"/>
        <v>(n): thay thế</v>
      </c>
      <c r="I744" s="6" t="s">
        <v>4011</v>
      </c>
      <c r="J744" s="6" t="s">
        <v>4012</v>
      </c>
      <c r="K744" s="7">
        <f t="shared" si="2"/>
        <v>0.8381951728</v>
      </c>
    </row>
    <row r="745">
      <c r="A745" s="4">
        <v>745.0</v>
      </c>
      <c r="B745" s="5" t="s">
        <v>4013</v>
      </c>
      <c r="C745" s="5" t="s">
        <v>4014</v>
      </c>
      <c r="D745" s="5" t="s">
        <v>4015</v>
      </c>
      <c r="E745" s="6" t="s">
        <v>24</v>
      </c>
      <c r="F745" s="6" t="s">
        <v>4016</v>
      </c>
      <c r="G745" s="3" t="str">
        <f>IFERROR(__xludf.DUMMYFUNCTION("REGEXREPLACE(
D745,
""([一-龯々]+)\[([^\]]+)\]"",
""&lt;ruby&gt;$1&lt;rt&gt;$2&lt;/rt&gt;&lt;/ruby&gt;""
)&amp;""&lt;br&gt;&lt;div class=""""audio""""&gt;[sound:""&amp;C745&amp;"".mp3]&lt;/div&gt;"""),"&lt;ruby&gt;与&lt;rt&gt;あた&lt;/rt&gt;&lt;/ruby&gt;える&lt;br&gt;&lt;div class=""audio""&gt;[sound:あたえる.mp3]&lt;/div&gt;")</f>
        <v>&lt;ruby&gt;与&lt;rt&gt;あた&lt;/rt&gt;&lt;/ruby&gt;える&lt;br&gt;&lt;div class="audio"&gt;[sound:あたえる.mp3]&lt;/div&gt;</v>
      </c>
      <c r="H745" s="3" t="str">
        <f t="shared" si="1"/>
        <v>(v): ban cho</v>
      </c>
      <c r="I745" s="6" t="s">
        <v>4017</v>
      </c>
      <c r="J745" s="6" t="s">
        <v>4018</v>
      </c>
      <c r="K745" s="7">
        <f t="shared" si="2"/>
        <v>0.1252164774</v>
      </c>
    </row>
    <row r="746">
      <c r="A746" s="4">
        <v>746.0</v>
      </c>
      <c r="B746" s="5" t="s">
        <v>4019</v>
      </c>
      <c r="C746" s="5" t="s">
        <v>4020</v>
      </c>
      <c r="D746" s="5" t="s">
        <v>4021</v>
      </c>
      <c r="E746" s="6" t="s">
        <v>85</v>
      </c>
      <c r="F746" s="6" t="s">
        <v>4022</v>
      </c>
      <c r="G746" s="3" t="str">
        <f>IFERROR(__xludf.DUMMYFUNCTION("REGEXREPLACE(
D746,
""([一-龯々]+)\[([^\]]+)\]"",
""&lt;ruby&gt;$1&lt;rt&gt;$2&lt;/rt&gt;&lt;/ruby&gt;""
)&amp;""&lt;br&gt;&lt;div class=""""audio""""&gt;[sound:""&amp;C746&amp;"".mp3]&lt;/div&gt;"""),"&lt;ruby&gt;主&lt;rt&gt;おも&lt;/rt&gt;&lt;/ruby&gt;に&lt;br&gt;&lt;div class=""audio""&gt;[sound:おもに.mp3]&lt;/div&gt;")</f>
        <v>&lt;ruby&gt;主&lt;rt&gt;おも&lt;/rt&gt;&lt;/ruby&gt;に&lt;br&gt;&lt;div class="audio"&gt;[sound:おもに.mp3]&lt;/div&gt;</v>
      </c>
      <c r="H746" s="3" t="str">
        <f t="shared" si="1"/>
        <v>(adv): chủ yếu</v>
      </c>
      <c r="I746" s="6" t="s">
        <v>4023</v>
      </c>
      <c r="J746" s="6" t="s">
        <v>4024</v>
      </c>
      <c r="K746" s="7">
        <f t="shared" si="2"/>
        <v>0.6443705999</v>
      </c>
    </row>
    <row r="747">
      <c r="A747" s="4">
        <v>747.0</v>
      </c>
      <c r="B747" s="5" t="s">
        <v>4025</v>
      </c>
      <c r="C747" s="5" t="s">
        <v>4026</v>
      </c>
      <c r="D747" s="5" t="s">
        <v>4027</v>
      </c>
      <c r="E747" s="6" t="s">
        <v>74</v>
      </c>
      <c r="F747" s="6" t="s">
        <v>4028</v>
      </c>
      <c r="G747" s="3" t="str">
        <f>IFERROR(__xludf.DUMMYFUNCTION("REGEXREPLACE(
D747,
""([一-龯々]+)\[([^\]]+)\]"",
""&lt;ruby&gt;$1&lt;rt&gt;$2&lt;/rt&gt;&lt;/ruby&gt;""
)&amp;""&lt;br&gt;&lt;div class=""""audio""""&gt;[sound:""&amp;C747&amp;"".mp3]&lt;/div&gt;"""),"&lt;ruby&gt;事件&lt;rt&gt;じけん&lt;/rt&gt;&lt;/ruby&gt;&lt;br&gt;&lt;div class=""audio""&gt;[sound:じけん.mp3]&lt;/div&gt;")</f>
        <v>&lt;ruby&gt;事件&lt;rt&gt;じけん&lt;/rt&gt;&lt;/ruby&gt;&lt;br&gt;&lt;div class="audio"&gt;[sound:じけん.mp3]&lt;/div&gt;</v>
      </c>
      <c r="H747" s="3" t="str">
        <f t="shared" si="1"/>
        <v>(n): sự kiện</v>
      </c>
      <c r="I747" s="6" t="s">
        <v>4029</v>
      </c>
      <c r="J747" s="6" t="s">
        <v>4030</v>
      </c>
      <c r="K747" s="7">
        <f t="shared" si="2"/>
        <v>0.06267764506</v>
      </c>
    </row>
    <row r="748">
      <c r="A748" s="4">
        <v>748.0</v>
      </c>
      <c r="B748" s="5" t="s">
        <v>4031</v>
      </c>
      <c r="C748" s="5" t="s">
        <v>4031</v>
      </c>
      <c r="D748" s="5" t="s">
        <v>4031</v>
      </c>
      <c r="E748" s="6" t="s">
        <v>44</v>
      </c>
      <c r="F748" s="6" t="s">
        <v>4032</v>
      </c>
      <c r="G748" s="3" t="str">
        <f>IFERROR(__xludf.DUMMYFUNCTION("REGEXREPLACE(
D748,
""([一-龯々]+)\[([^\]]+)\]"",
""&lt;ruby&gt;$1&lt;rt&gt;$2&lt;/rt&gt;&lt;/ruby&gt;""
)&amp;""&lt;br&gt;&lt;div class=""""audio""""&gt;[sound:""&amp;C748&amp;"".mp3]&lt;/div&gt;"""),"どこか&lt;br&gt;&lt;div class=""audio""&gt;[sound:どこか.mp3]&lt;/div&gt;")</f>
        <v>どこか&lt;br&gt;&lt;div class="audio"&gt;[sound:どこか.mp3]&lt;/div&gt;</v>
      </c>
      <c r="H748" s="3" t="str">
        <f t="shared" si="1"/>
        <v>(pron): đâu đó</v>
      </c>
      <c r="I748" s="6" t="s">
        <v>4033</v>
      </c>
      <c r="J748" s="6" t="s">
        <v>4034</v>
      </c>
      <c r="K748" s="7">
        <f t="shared" si="2"/>
        <v>0.8396468114</v>
      </c>
    </row>
    <row r="749">
      <c r="A749" s="4">
        <v>749.0</v>
      </c>
      <c r="B749" s="5" t="s">
        <v>4035</v>
      </c>
      <c r="C749" s="5" t="s">
        <v>4035</v>
      </c>
      <c r="D749" s="5" t="s">
        <v>4035</v>
      </c>
      <c r="E749" s="6" t="s">
        <v>11</v>
      </c>
      <c r="F749" s="6" t="s">
        <v>4036</v>
      </c>
      <c r="G749" s="3" t="str">
        <f>IFERROR(__xludf.DUMMYFUNCTION("REGEXREPLACE(
D749,
""([一-龯々]+)\[([^\]]+)\]"",
""&lt;ruby&gt;$1&lt;rt&gt;$2&lt;/rt&gt;&lt;/ruby&gt;""
)&amp;""&lt;br&gt;&lt;div class=""""audio""""&gt;[sound:""&amp;C749&amp;"".mp3]&lt;/div&gt;"""),"うるさい&lt;br&gt;&lt;div class=""audio""&gt;[sound:うるさい.mp3]&lt;/div&gt;")</f>
        <v>うるさい&lt;br&gt;&lt;div class="audio"&gt;[sound:うるさい.mp3]&lt;/div&gt;</v>
      </c>
      <c r="H749" s="3" t="str">
        <f t="shared" si="1"/>
        <v>(adj): ồn ào</v>
      </c>
      <c r="I749" s="6" t="s">
        <v>4037</v>
      </c>
      <c r="J749" s="6" t="s">
        <v>4038</v>
      </c>
      <c r="K749" s="7">
        <f t="shared" si="2"/>
        <v>0.01662991712</v>
      </c>
    </row>
    <row r="750">
      <c r="A750" s="4">
        <v>750.0</v>
      </c>
      <c r="B750" s="5" t="s">
        <v>4039</v>
      </c>
      <c r="C750" s="5" t="s">
        <v>4040</v>
      </c>
      <c r="D750" s="5" t="s">
        <v>4041</v>
      </c>
      <c r="E750" s="6" t="s">
        <v>74</v>
      </c>
      <c r="F750" s="6" t="s">
        <v>4042</v>
      </c>
      <c r="G750" s="3" t="str">
        <f>IFERROR(__xludf.DUMMYFUNCTION("REGEXREPLACE(
D750,
""([一-龯々]+)\[([^\]]+)\]"",
""&lt;ruby&gt;$1&lt;rt&gt;$2&lt;/rt&gt;&lt;/ruby&gt;""
)&amp;""&lt;br&gt;&lt;div class=""""audio""""&gt;[sound:""&amp;C750&amp;"".mp3]&lt;/div&gt;"""),"&lt;ruby&gt;理由&lt;rt&gt;りゆう&lt;/rt&gt;&lt;/ruby&gt;&lt;br&gt;&lt;div class=""audio""&gt;[sound:りゆう.mp3]&lt;/div&gt;")</f>
        <v>&lt;ruby&gt;理由&lt;rt&gt;りゆう&lt;/rt&gt;&lt;/ruby&gt;&lt;br&gt;&lt;div class="audio"&gt;[sound:りゆう.mp3]&lt;/div&gt;</v>
      </c>
      <c r="H750" s="3" t="str">
        <f t="shared" si="1"/>
        <v>(n): lý do</v>
      </c>
      <c r="I750" s="6" t="s">
        <v>4043</v>
      </c>
      <c r="J750" s="6" t="s">
        <v>4044</v>
      </c>
      <c r="K750" s="7">
        <f t="shared" si="2"/>
        <v>0.5818600097</v>
      </c>
    </row>
    <row r="751">
      <c r="A751" s="4">
        <v>751.0</v>
      </c>
      <c r="B751" s="5" t="s">
        <v>4045</v>
      </c>
      <c r="C751" s="5" t="s">
        <v>4046</v>
      </c>
      <c r="D751" s="5" t="s">
        <v>4047</v>
      </c>
      <c r="E751" s="6" t="s">
        <v>24</v>
      </c>
      <c r="F751" s="6" t="s">
        <v>4048</v>
      </c>
      <c r="G751" s="3" t="str">
        <f>IFERROR(__xludf.DUMMYFUNCTION("REGEXREPLACE(
D751,
""([一-龯々]+)\[([^\]]+)\]"",
""&lt;ruby&gt;$1&lt;rt&gt;$2&lt;/rt&gt;&lt;/ruby&gt;""
)&amp;""&lt;br&gt;&lt;div class=""""audio""""&gt;[sound:""&amp;C751&amp;"".mp3]&lt;/div&gt;"""),"&lt;ruby&gt;失&lt;rt&gt;うしな&lt;/rt&gt;&lt;/ruby&gt;う&lt;br&gt;&lt;div class=""audio""&gt;[sound:うしなう.mp3]&lt;/div&gt;")</f>
        <v>&lt;ruby&gt;失&lt;rt&gt;うしな&lt;/rt&gt;&lt;/ruby&gt;う&lt;br&gt;&lt;div class="audio"&gt;[sound:うしなう.mp3]&lt;/div&gt;</v>
      </c>
      <c r="H751" s="3" t="str">
        <f t="shared" si="1"/>
        <v>(v): mất</v>
      </c>
      <c r="I751" s="6" t="s">
        <v>4049</v>
      </c>
      <c r="J751" s="6" t="s">
        <v>4050</v>
      </c>
      <c r="K751" s="7">
        <f t="shared" si="2"/>
        <v>0.7030418566</v>
      </c>
    </row>
    <row r="752">
      <c r="A752" s="4">
        <v>752.0</v>
      </c>
      <c r="B752" s="5" t="s">
        <v>4051</v>
      </c>
      <c r="C752" s="5" t="s">
        <v>4052</v>
      </c>
      <c r="D752" s="5" t="s">
        <v>4053</v>
      </c>
      <c r="E752" s="6" t="s">
        <v>85</v>
      </c>
      <c r="F752" s="6" t="s">
        <v>2489</v>
      </c>
      <c r="G752" s="3" t="str">
        <f>IFERROR(__xludf.DUMMYFUNCTION("REGEXREPLACE(
D752,
""([一-龯々]+)\[([^\]]+)\]"",
""&lt;ruby&gt;$1&lt;rt&gt;$2&lt;/rt&gt;&lt;/ruby&gt;""
)&amp;""&lt;br&gt;&lt;div class=""""audio""""&gt;[sound:""&amp;C752&amp;"".mp3]&lt;/div&gt;"""),"&lt;ruby&gt;近&lt;rt&gt;ちか&lt;/rt&gt;&lt;/ruby&gt;く&lt;br&gt;&lt;div class=""audio""&gt;[sound:ちかく.mp3]&lt;/div&gt;")</f>
        <v>&lt;ruby&gt;近&lt;rt&gt;ちか&lt;/rt&gt;&lt;/ruby&gt;く&lt;br&gt;&lt;div class="audio"&gt;[sound:ちかく.mp3]&lt;/div&gt;</v>
      </c>
      <c r="H752" s="3" t="str">
        <f t="shared" si="1"/>
        <v>(adv): gần</v>
      </c>
      <c r="I752" s="6" t="s">
        <v>4054</v>
      </c>
      <c r="J752" s="6" t="s">
        <v>4055</v>
      </c>
      <c r="K752" s="7">
        <f t="shared" si="2"/>
        <v>0.8215073005</v>
      </c>
    </row>
    <row r="753">
      <c r="A753" s="4">
        <v>753.0</v>
      </c>
      <c r="B753" s="5" t="s">
        <v>4056</v>
      </c>
      <c r="C753" s="5" t="s">
        <v>4057</v>
      </c>
      <c r="D753" s="5" t="s">
        <v>4056</v>
      </c>
      <c r="E753" s="6" t="s">
        <v>74</v>
      </c>
      <c r="F753" s="6" t="s">
        <v>4058</v>
      </c>
      <c r="G753" s="3" t="str">
        <f>IFERROR(__xludf.DUMMYFUNCTION("REGEXREPLACE(
D753,
""([一-龯々]+)\[([^\]]+)\]"",
""&lt;ruby&gt;$1&lt;rt&gt;$2&lt;/rt&gt;&lt;/ruby&gt;""
)&amp;""&lt;br&gt;&lt;div class=""""audio""""&gt;[sound:""&amp;C753&amp;"".mp3]&lt;/div&gt;"""),"プレゼント&lt;br&gt;&lt;div class=""audio""&gt;[sound:ぷれぜんと.mp3]&lt;/div&gt;")</f>
        <v>プレゼント&lt;br&gt;&lt;div class="audio"&gt;[sound:ぷれぜんと.mp3]&lt;/div&gt;</v>
      </c>
      <c r="H753" s="3" t="str">
        <f t="shared" si="1"/>
        <v>(n): quà tặng</v>
      </c>
      <c r="I753" s="6" t="s">
        <v>4059</v>
      </c>
      <c r="J753" s="6" t="s">
        <v>4060</v>
      </c>
      <c r="K753" s="7">
        <f t="shared" si="2"/>
        <v>0.2888581925</v>
      </c>
    </row>
    <row r="754">
      <c r="A754" s="4">
        <v>754.0</v>
      </c>
      <c r="B754" s="5" t="s">
        <v>4061</v>
      </c>
      <c r="C754" s="5" t="s">
        <v>4062</v>
      </c>
      <c r="D754" s="5" t="s">
        <v>4061</v>
      </c>
      <c r="E754" s="6" t="s">
        <v>74</v>
      </c>
      <c r="F754" s="6" t="s">
        <v>4063</v>
      </c>
      <c r="G754" s="3" t="str">
        <f>IFERROR(__xludf.DUMMYFUNCTION("REGEXREPLACE(
D754,
""([一-龯々]+)\[([^\]]+)\]"",
""&lt;ruby&gt;$1&lt;rt&gt;$2&lt;/rt&gt;&lt;/ruby&gt;""
)&amp;""&lt;br&gt;&lt;div class=""""audio""""&gt;[sound:""&amp;C754&amp;"".mp3]&lt;/div&gt;"""),"ペット&lt;br&gt;&lt;div class=""audio""&gt;[sound:ぺっと.mp3]&lt;/div&gt;")</f>
        <v>ペット&lt;br&gt;&lt;div class="audio"&gt;[sound:ぺっと.mp3]&lt;/div&gt;</v>
      </c>
      <c r="H754" s="3" t="str">
        <f t="shared" si="1"/>
        <v>(n): thú cưng</v>
      </c>
      <c r="I754" s="6" t="s">
        <v>4064</v>
      </c>
      <c r="J754" s="6" t="s">
        <v>4065</v>
      </c>
      <c r="K754" s="7">
        <f t="shared" si="2"/>
        <v>0.0605713078</v>
      </c>
    </row>
    <row r="755">
      <c r="A755" s="4">
        <v>755.0</v>
      </c>
      <c r="B755" s="5" t="s">
        <v>4066</v>
      </c>
      <c r="C755" s="5" t="s">
        <v>4067</v>
      </c>
      <c r="D755" s="5" t="s">
        <v>4068</v>
      </c>
      <c r="E755" s="6" t="s">
        <v>74</v>
      </c>
      <c r="F755" s="6" t="s">
        <v>4069</v>
      </c>
      <c r="G755" s="3" t="str">
        <f>IFERROR(__xludf.DUMMYFUNCTION("REGEXREPLACE(
D755,
""([一-龯々]+)\[([^\]]+)\]"",
""&lt;ruby&gt;$1&lt;rt&gt;$2&lt;/rt&gt;&lt;/ruby&gt;""
)&amp;""&lt;br&gt;&lt;div class=""""audio""""&gt;[sound:""&amp;C755&amp;"".mp3]&lt;/div&gt;"""),"&lt;ruby&gt;自転車&lt;rt&gt;じてんしゃ&lt;/rt&gt;&lt;/ruby&gt;&lt;br&gt;&lt;div class=""audio""&gt;[sound:じてんしゃ.mp3]&lt;/div&gt;")</f>
        <v>&lt;ruby&gt;自転車&lt;rt&gt;じてんしゃ&lt;/rt&gt;&lt;/ruby&gt;&lt;br&gt;&lt;div class="audio"&gt;[sound:じてんしゃ.mp3]&lt;/div&gt;</v>
      </c>
      <c r="H755" s="3" t="str">
        <f t="shared" si="1"/>
        <v>(n): xe đạp</v>
      </c>
      <c r="I755" s="6" t="s">
        <v>4070</v>
      </c>
      <c r="J755" s="6" t="s">
        <v>4071</v>
      </c>
      <c r="K755" s="7">
        <f t="shared" si="2"/>
        <v>0.3451228141</v>
      </c>
    </row>
    <row r="756">
      <c r="A756" s="4">
        <v>756.0</v>
      </c>
      <c r="B756" s="5" t="s">
        <v>4072</v>
      </c>
      <c r="C756" s="5" t="s">
        <v>4073</v>
      </c>
      <c r="D756" s="5" t="s">
        <v>4074</v>
      </c>
      <c r="E756" s="6" t="s">
        <v>58</v>
      </c>
      <c r="F756" s="6" t="s">
        <v>4075</v>
      </c>
      <c r="G756" s="3" t="str">
        <f>IFERROR(__xludf.DUMMYFUNCTION("REGEXREPLACE(
D756,
""([一-龯々]+)\[([^\]]+)\]"",
""&lt;ruby&gt;$1&lt;rt&gt;$2&lt;/rt&gt;&lt;/ruby&gt;""
)&amp;""&lt;br&gt;&lt;div class=""""audio""""&gt;[sound:""&amp;C756&amp;"".mp3]&lt;/div&gt;"""),"&lt;ruby&gt;九&lt;rt&gt;きゅう&lt;/rt&gt;&lt;/ruby&gt;&lt;br&gt;&lt;div class=""audio""&gt;[sound:きゅう.mp3]&lt;/div&gt;")</f>
        <v>&lt;ruby&gt;九&lt;rt&gt;きゅう&lt;/rt&gt;&lt;/ruby&gt;&lt;br&gt;&lt;div class="audio"&gt;[sound:きゅう.mp3]&lt;/div&gt;</v>
      </c>
      <c r="H756" s="3" t="str">
        <f t="shared" si="1"/>
        <v>(num): chín</v>
      </c>
      <c r="I756" s="6" t="s">
        <v>4076</v>
      </c>
      <c r="J756" s="6" t="s">
        <v>4077</v>
      </c>
      <c r="K756" s="7">
        <f t="shared" si="2"/>
        <v>0.4077382409</v>
      </c>
    </row>
    <row r="757">
      <c r="A757" s="4">
        <v>757.0</v>
      </c>
      <c r="B757" s="5" t="s">
        <v>4078</v>
      </c>
      <c r="C757" s="5" t="s">
        <v>4078</v>
      </c>
      <c r="D757" s="5" t="s">
        <v>4078</v>
      </c>
      <c r="E757" s="6" t="s">
        <v>24</v>
      </c>
      <c r="F757" s="6" t="s">
        <v>184</v>
      </c>
      <c r="G757" s="3" t="str">
        <f>IFERROR(__xludf.DUMMYFUNCTION("REGEXREPLACE(
D757,
""([一-龯々]+)\[([^\]]+)\]"",
""&lt;ruby&gt;$1&lt;rt&gt;$2&lt;/rt&gt;&lt;/ruby&gt;""
)&amp;""&lt;br&gt;&lt;div class=""""audio""""&gt;[sound:""&amp;C757&amp;"".mp3]&lt;/div&gt;"""),"おっしゃる&lt;br&gt;&lt;div class=""audio""&gt;[sound:おっしゃる.mp3]&lt;/div&gt;")</f>
        <v>おっしゃる&lt;br&gt;&lt;div class="audio"&gt;[sound:おっしゃる.mp3]&lt;/div&gt;</v>
      </c>
      <c r="H757" s="3" t="str">
        <f t="shared" si="1"/>
        <v>(v): nói</v>
      </c>
      <c r="I757" s="6" t="s">
        <v>4079</v>
      </c>
      <c r="J757" s="6" t="s">
        <v>4080</v>
      </c>
      <c r="K757" s="7">
        <f t="shared" si="2"/>
        <v>0.1574465005</v>
      </c>
    </row>
    <row r="758">
      <c r="A758" s="4">
        <v>758.0</v>
      </c>
      <c r="B758" s="5" t="s">
        <v>4081</v>
      </c>
      <c r="C758" s="5" t="s">
        <v>4082</v>
      </c>
      <c r="D758" s="5" t="s">
        <v>4083</v>
      </c>
      <c r="E758" s="6" t="s">
        <v>24</v>
      </c>
      <c r="F758" s="6" t="s">
        <v>4084</v>
      </c>
      <c r="G758" s="3" t="str">
        <f>IFERROR(__xludf.DUMMYFUNCTION("REGEXREPLACE(
D758,
""([一-龯々]+)\[([^\]]+)\]"",
""&lt;ruby&gt;$1&lt;rt&gt;$2&lt;/rt&gt;&lt;/ruby&gt;""
)&amp;""&lt;br&gt;&lt;div class=""""audio""""&gt;[sound:""&amp;C758&amp;"".mp3]&lt;/div&gt;"""),"&lt;ruby&gt;乗&lt;rt&gt;の&lt;/rt&gt;&lt;/ruby&gt;せる&lt;br&gt;&lt;div class=""audio""&gt;[sound:のせる.mp3]&lt;/div&gt;")</f>
        <v>&lt;ruby&gt;乗&lt;rt&gt;の&lt;/rt&gt;&lt;/ruby&gt;せる&lt;br&gt;&lt;div class="audio"&gt;[sound:のせる.mp3]&lt;/div&gt;</v>
      </c>
      <c r="H758" s="3" t="str">
        <f t="shared" si="1"/>
        <v>(v): chở</v>
      </c>
      <c r="I758" s="6" t="s">
        <v>4085</v>
      </c>
      <c r="J758" s="6" t="s">
        <v>4086</v>
      </c>
      <c r="K758" s="7">
        <f t="shared" si="2"/>
        <v>0.1763142338</v>
      </c>
    </row>
    <row r="759">
      <c r="A759" s="4">
        <v>759.0</v>
      </c>
      <c r="B759" s="5" t="s">
        <v>4087</v>
      </c>
      <c r="C759" s="5" t="s">
        <v>4088</v>
      </c>
      <c r="D759" s="5" t="s">
        <v>4089</v>
      </c>
      <c r="E759" s="6" t="s">
        <v>44</v>
      </c>
      <c r="F759" s="6" t="s">
        <v>4090</v>
      </c>
      <c r="G759" s="3" t="str">
        <f>IFERROR(__xludf.DUMMYFUNCTION("REGEXREPLACE(
D759,
""([一-龯々]+)\[([^\]]+)\]"",
""&lt;ruby&gt;$1&lt;rt&gt;$2&lt;/rt&gt;&lt;/ruby&gt;""
)&amp;""&lt;br&gt;&lt;div class=""""audio""""&gt;[sound:""&amp;C759&amp;"".mp3]&lt;/div&gt;"""),"&lt;ruby&gt;誰&lt;rt&gt;だれ&lt;/rt&gt;&lt;/ruby&gt;&lt;br&gt;&lt;div class=""audio""&gt;[sound:だれ.mp3]&lt;/div&gt;")</f>
        <v>&lt;ruby&gt;誰&lt;rt&gt;だれ&lt;/rt&gt;&lt;/ruby&gt;&lt;br&gt;&lt;div class="audio"&gt;[sound:だれ.mp3]&lt;/div&gt;</v>
      </c>
      <c r="H759" s="3" t="str">
        <f t="shared" si="1"/>
        <v>(pron): ai</v>
      </c>
      <c r="I759" s="6" t="s">
        <v>4091</v>
      </c>
      <c r="J759" s="6" t="s">
        <v>4092</v>
      </c>
      <c r="K759" s="7">
        <f t="shared" si="2"/>
        <v>0.2959796621</v>
      </c>
    </row>
    <row r="760">
      <c r="A760" s="4">
        <v>760.0</v>
      </c>
      <c r="B760" s="5" t="s">
        <v>4093</v>
      </c>
      <c r="C760" s="5" t="s">
        <v>4094</v>
      </c>
      <c r="D760" s="5" t="s">
        <v>4093</v>
      </c>
      <c r="E760" s="6" t="s">
        <v>74</v>
      </c>
      <c r="F760" s="6" t="s">
        <v>4095</v>
      </c>
      <c r="G760" s="3" t="str">
        <f>IFERROR(__xludf.DUMMYFUNCTION("REGEXREPLACE(
D760,
""([一-龯々]+)\[([^\]]+)\]"",
""&lt;ruby&gt;$1&lt;rt&gt;$2&lt;/rt&gt;&lt;/ruby&gt;""
)&amp;""&lt;br&gt;&lt;div class=""""audio""""&gt;[sound:""&amp;C760&amp;"".mp3]&lt;/div&gt;"""),"メッセージ&lt;br&gt;&lt;div class=""audio""&gt;[sound:めっせーじ.mp3]&lt;/div&gt;")</f>
        <v>メッセージ&lt;br&gt;&lt;div class="audio"&gt;[sound:めっせーじ.mp3]&lt;/div&gt;</v>
      </c>
      <c r="H760" s="3" t="str">
        <f t="shared" si="1"/>
        <v>(n): tin nhắn</v>
      </c>
      <c r="I760" s="6" t="s">
        <v>4096</v>
      </c>
      <c r="J760" s="6" t="s">
        <v>4097</v>
      </c>
      <c r="K760" s="7">
        <f t="shared" si="2"/>
        <v>0.7810513067</v>
      </c>
    </row>
    <row r="761">
      <c r="A761" s="4">
        <v>761.0</v>
      </c>
      <c r="B761" s="5" t="s">
        <v>4098</v>
      </c>
      <c r="C761" s="5" t="s">
        <v>4099</v>
      </c>
      <c r="D761" s="5" t="s">
        <v>4098</v>
      </c>
      <c r="E761" s="6" t="s">
        <v>74</v>
      </c>
      <c r="F761" s="6" t="s">
        <v>4100</v>
      </c>
      <c r="G761" s="3" t="str">
        <f>IFERROR(__xludf.DUMMYFUNCTION("REGEXREPLACE(
D761,
""([一-龯々]+)\[([^\]]+)\]"",
""&lt;ruby&gt;$1&lt;rt&gt;$2&lt;/rt&gt;&lt;/ruby&gt;""
)&amp;""&lt;br&gt;&lt;div class=""""audio""""&gt;[sound:""&amp;C761&amp;"".mp3]&lt;/div&gt;"""),"メニュー&lt;br&gt;&lt;div class=""audio""&gt;[sound:めにゅー.mp3]&lt;/div&gt;")</f>
        <v>メニュー&lt;br&gt;&lt;div class="audio"&gt;[sound:めにゅー.mp3]&lt;/div&gt;</v>
      </c>
      <c r="H761" s="3" t="str">
        <f t="shared" si="1"/>
        <v>(n): thực đơn</v>
      </c>
      <c r="I761" s="6" t="s">
        <v>4101</v>
      </c>
      <c r="J761" s="6" t="s">
        <v>4102</v>
      </c>
      <c r="K761" s="7">
        <f t="shared" si="2"/>
        <v>0.2485882525</v>
      </c>
    </row>
    <row r="762">
      <c r="A762" s="4">
        <v>762.0</v>
      </c>
      <c r="B762" s="5" t="s">
        <v>4103</v>
      </c>
      <c r="C762" s="5" t="s">
        <v>4104</v>
      </c>
      <c r="D762" s="5" t="s">
        <v>4105</v>
      </c>
      <c r="E762" s="6" t="s">
        <v>24</v>
      </c>
      <c r="F762" s="6" t="s">
        <v>4106</v>
      </c>
      <c r="G762" s="3" t="str">
        <f>IFERROR(__xludf.DUMMYFUNCTION("REGEXREPLACE(
D762,
""([一-龯々]+)\[([^\]]+)\]"",
""&lt;ruby&gt;$1&lt;rt&gt;$2&lt;/rt&gt;&lt;/ruby&gt;""
)&amp;""&lt;br&gt;&lt;div class=""""audio""""&gt;[sound:""&amp;C762&amp;"".mp3]&lt;/div&gt;"""),"&lt;ruby&gt;下&lt;rt&gt;さ&lt;/rt&gt;&lt;/ruby&gt;げる&lt;br&gt;&lt;div class=""audio""&gt;[sound:さげる.mp3]&lt;/div&gt;")</f>
        <v>&lt;ruby&gt;下&lt;rt&gt;さ&lt;/rt&gt;&lt;/ruby&gt;げる&lt;br&gt;&lt;div class="audio"&gt;[sound:さげる.mp3]&lt;/div&gt;</v>
      </c>
      <c r="H762" s="3" t="str">
        <f t="shared" si="1"/>
        <v>(v): hạ xuống</v>
      </c>
      <c r="I762" s="6" t="s">
        <v>4107</v>
      </c>
      <c r="J762" s="6" t="s">
        <v>4108</v>
      </c>
      <c r="K762" s="7">
        <f t="shared" si="2"/>
        <v>0.2911269474</v>
      </c>
    </row>
    <row r="763">
      <c r="A763" s="4">
        <v>763.0</v>
      </c>
      <c r="B763" s="5" t="s">
        <v>4109</v>
      </c>
      <c r="C763" s="5" t="s">
        <v>4110</v>
      </c>
      <c r="D763" s="5" t="s">
        <v>4111</v>
      </c>
      <c r="E763" s="6" t="s">
        <v>74</v>
      </c>
      <c r="F763" s="6" t="s">
        <v>4112</v>
      </c>
      <c r="G763" s="3" t="str">
        <f>IFERROR(__xludf.DUMMYFUNCTION("REGEXREPLACE(
D763,
""([一-龯々]+)\[([^\]]+)\]"",
""&lt;ruby&gt;$1&lt;rt&gt;$2&lt;/rt&gt;&lt;/ruby&gt;""
)&amp;""&lt;br&gt;&lt;div class=""""audio""""&gt;[sound:""&amp;C763&amp;"".mp3]&lt;/div&gt;"""),"&lt;ruby&gt;町&lt;rt&gt;まち&lt;/rt&gt;&lt;/ruby&gt;&lt;br&gt;&lt;div class=""audio""&gt;[sound:まち.mp3]&lt;/div&gt;")</f>
        <v>&lt;ruby&gt;町&lt;rt&gt;まち&lt;/rt&gt;&lt;/ruby&gt;&lt;br&gt;&lt;div class="audio"&gt;[sound:まち.mp3]&lt;/div&gt;</v>
      </c>
      <c r="H763" s="3" t="str">
        <f t="shared" si="1"/>
        <v>(n): thị trấn</v>
      </c>
      <c r="I763" s="6" t="s">
        <v>4113</v>
      </c>
      <c r="J763" s="6" t="s">
        <v>4114</v>
      </c>
      <c r="K763" s="7">
        <f t="shared" si="2"/>
        <v>0.6718974465</v>
      </c>
    </row>
    <row r="764">
      <c r="A764" s="4">
        <v>764.0</v>
      </c>
      <c r="B764" s="5" t="s">
        <v>4115</v>
      </c>
      <c r="C764" s="5" t="s">
        <v>4116</v>
      </c>
      <c r="D764" s="5" t="s">
        <v>4117</v>
      </c>
      <c r="E764" s="6" t="s">
        <v>74</v>
      </c>
      <c r="F764" s="6" t="s">
        <v>444</v>
      </c>
      <c r="G764" s="3" t="str">
        <f>IFERROR(__xludf.DUMMYFUNCTION("REGEXREPLACE(
D764,
""([一-龯々]+)\[([^\]]+)\]"",
""&lt;ruby&gt;$1&lt;rt&gt;$2&lt;/rt&gt;&lt;/ruby&gt;""
)&amp;""&lt;br&gt;&lt;div class=""""audio""""&gt;[sound:""&amp;C764&amp;"".mp3]&lt;/div&gt;"""),"&lt;ruby&gt;考&lt;rt&gt;かんが&lt;/rt&gt;&lt;/ruby&gt;え&lt;br&gt;&lt;div class=""audio""&gt;[sound:かんがえ.mp3]&lt;/div&gt;")</f>
        <v>&lt;ruby&gt;考&lt;rt&gt;かんが&lt;/rt&gt;&lt;/ruby&gt;え&lt;br&gt;&lt;div class="audio"&gt;[sound:かんがえ.mp3]&lt;/div&gt;</v>
      </c>
      <c r="H764" s="3" t="str">
        <f t="shared" si="1"/>
        <v>(n): suy nghĩ</v>
      </c>
      <c r="I764" s="6" t="s">
        <v>4118</v>
      </c>
      <c r="J764" s="6" t="s">
        <v>4119</v>
      </c>
      <c r="K764" s="7">
        <f t="shared" si="2"/>
        <v>0.3185615538</v>
      </c>
    </row>
    <row r="765">
      <c r="A765" s="4">
        <v>765.0</v>
      </c>
      <c r="B765" s="5" t="s">
        <v>4120</v>
      </c>
      <c r="C765" s="5" t="s">
        <v>4121</v>
      </c>
      <c r="D765" s="5" t="s">
        <v>4122</v>
      </c>
      <c r="E765" s="6" t="s">
        <v>74</v>
      </c>
      <c r="F765" s="6" t="s">
        <v>2326</v>
      </c>
      <c r="G765" s="3" t="str">
        <f>IFERROR(__xludf.DUMMYFUNCTION("REGEXREPLACE(
D765,
""([一-龯々]+)\[([^\]]+)\]"",
""&lt;ruby&gt;$1&lt;rt&gt;$2&lt;/rt&gt;&lt;/ruby&gt;""
)&amp;""&lt;br&gt;&lt;div class=""""audio""""&gt;[sound:""&amp;C765&amp;"".mp3]&lt;/div&gt;"""),"&lt;ruby&gt;計画&lt;rt&gt;けいかく&lt;/rt&gt;&lt;/ruby&gt;&lt;br&gt;&lt;div class=""audio""&gt;[sound:けいかく.mp3]&lt;/div&gt;")</f>
        <v>&lt;ruby&gt;計画&lt;rt&gt;けいかく&lt;/rt&gt;&lt;/ruby&gt;&lt;br&gt;&lt;div class="audio"&gt;[sound:けいかく.mp3]&lt;/div&gt;</v>
      </c>
      <c r="H765" s="3" t="str">
        <f t="shared" si="1"/>
        <v>(n): kế hoạch</v>
      </c>
      <c r="I765" s="6" t="s">
        <v>4123</v>
      </c>
      <c r="J765" s="6" t="s">
        <v>4124</v>
      </c>
      <c r="K765" s="7">
        <f t="shared" si="2"/>
        <v>0.05295309474</v>
      </c>
    </row>
    <row r="766">
      <c r="A766" s="4">
        <v>766.0</v>
      </c>
      <c r="B766" s="5" t="s">
        <v>4125</v>
      </c>
      <c r="C766" s="5" t="s">
        <v>4126</v>
      </c>
      <c r="D766" s="5" t="s">
        <v>4127</v>
      </c>
      <c r="E766" s="6" t="s">
        <v>24</v>
      </c>
      <c r="F766" s="6" t="s">
        <v>4128</v>
      </c>
      <c r="G766" s="3" t="str">
        <f>IFERROR(__xludf.DUMMYFUNCTION("REGEXREPLACE(
D766,
""([一-龯々]+)\[([^\]]+)\]"",
""&lt;ruby&gt;$1&lt;rt&gt;$2&lt;/rt&gt;&lt;/ruby&gt;""
)&amp;""&lt;br&gt;&lt;div class=""""audio""""&gt;[sound:""&amp;C766&amp;"".mp3]&lt;/div&gt;"""),"&lt;ruby&gt;起&lt;rt&gt;お&lt;/rt&gt;&lt;/ruby&gt;きる&lt;br&gt;&lt;div class=""audio""&gt;[sound:おきる.mp3]&lt;/div&gt;")</f>
        <v>&lt;ruby&gt;起&lt;rt&gt;お&lt;/rt&gt;&lt;/ruby&gt;きる&lt;br&gt;&lt;div class="audio"&gt;[sound:おきる.mp3]&lt;/div&gt;</v>
      </c>
      <c r="H766" s="3" t="str">
        <f t="shared" si="1"/>
        <v>(v): thức dậy</v>
      </c>
      <c r="I766" s="6" t="s">
        <v>4129</v>
      </c>
      <c r="J766" s="6" t="s">
        <v>4130</v>
      </c>
      <c r="K766" s="7">
        <f t="shared" si="2"/>
        <v>0.4224146023</v>
      </c>
    </row>
    <row r="767">
      <c r="A767" s="4">
        <v>767.0</v>
      </c>
      <c r="B767" s="5" t="s">
        <v>4131</v>
      </c>
      <c r="C767" s="5" t="s">
        <v>4132</v>
      </c>
      <c r="D767" s="5" t="s">
        <v>4133</v>
      </c>
      <c r="E767" s="6" t="s">
        <v>24</v>
      </c>
      <c r="F767" s="6" t="s">
        <v>4134</v>
      </c>
      <c r="G767" s="3" t="str">
        <f>IFERROR(__xludf.DUMMYFUNCTION("REGEXREPLACE(
D767,
""([一-龯々]+)\[([^\]]+)\]"",
""&lt;ruby&gt;$1&lt;rt&gt;$2&lt;/rt&gt;&lt;/ruby&gt;""
)&amp;""&lt;br&gt;&lt;div class=""""audio""""&gt;[sound:""&amp;C767&amp;"".mp3]&lt;/div&gt;"""),"&lt;ruby&gt;広&lt;rt&gt;ひろ&lt;/rt&gt;&lt;/ruby&gt;げる&lt;br&gt;&lt;div class=""audio""&gt;[sound:ひろげる.mp3]&lt;/div&gt;")</f>
        <v>&lt;ruby&gt;広&lt;rt&gt;ひろ&lt;/rt&gt;&lt;/ruby&gt;げる&lt;br&gt;&lt;div class="audio"&gt;[sound:ひろげる.mp3]&lt;/div&gt;</v>
      </c>
      <c r="H767" s="3" t="str">
        <f t="shared" si="1"/>
        <v>(v): mở rộng</v>
      </c>
      <c r="I767" s="6" t="s">
        <v>4135</v>
      </c>
      <c r="J767" s="6" t="s">
        <v>4136</v>
      </c>
      <c r="K767" s="7">
        <f t="shared" si="2"/>
        <v>0.8902805575</v>
      </c>
    </row>
    <row r="768">
      <c r="A768" s="4">
        <v>768.0</v>
      </c>
      <c r="B768" s="5" t="s">
        <v>4137</v>
      </c>
      <c r="C768" s="5" t="s">
        <v>4138</v>
      </c>
      <c r="D768" s="5" t="s">
        <v>4137</v>
      </c>
      <c r="E768" s="6" t="s">
        <v>74</v>
      </c>
      <c r="F768" s="6" t="s">
        <v>4139</v>
      </c>
      <c r="G768" s="3" t="str">
        <f>IFERROR(__xludf.DUMMYFUNCTION("REGEXREPLACE(
D768,
""([一-龯々]+)\[([^\]]+)\]"",
""&lt;ruby&gt;$1&lt;rt&gt;$2&lt;/rt&gt;&lt;/ruby&gt;""
)&amp;""&lt;br&gt;&lt;div class=""""audio""""&gt;[sound:""&amp;C768&amp;"".mp3]&lt;/div&gt;"""),"ホーム&lt;br&gt;&lt;div class=""audio""&gt;[sound:ほーむ.mp3]&lt;/div&gt;")</f>
        <v>ホーム&lt;br&gt;&lt;div class="audio"&gt;[sound:ほーむ.mp3]&lt;/div&gt;</v>
      </c>
      <c r="H768" s="3" t="str">
        <f t="shared" si="1"/>
        <v>(n): sân ga</v>
      </c>
      <c r="I768" s="6" t="s">
        <v>4140</v>
      </c>
      <c r="J768" s="6" t="s">
        <v>4141</v>
      </c>
      <c r="K768" s="7">
        <f t="shared" si="2"/>
        <v>0.4253064324</v>
      </c>
    </row>
    <row r="769">
      <c r="A769" s="4">
        <v>769.0</v>
      </c>
      <c r="B769" s="5" t="s">
        <v>4142</v>
      </c>
      <c r="C769" s="5" t="s">
        <v>4143</v>
      </c>
      <c r="D769" s="5" t="s">
        <v>4144</v>
      </c>
      <c r="E769" s="6" t="s">
        <v>74</v>
      </c>
      <c r="F769" s="6" t="s">
        <v>4145</v>
      </c>
      <c r="G769" s="3" t="str">
        <f>IFERROR(__xludf.DUMMYFUNCTION("REGEXREPLACE(
D769,
""([一-龯々]+)\[([^\]]+)\]"",
""&lt;ruby&gt;$1&lt;rt&gt;$2&lt;/rt&gt;&lt;/ruby&gt;""
)&amp;""&lt;br&gt;&lt;div class=""""audio""""&gt;[sound:""&amp;C769&amp;"".mp3]&lt;/div&gt;"""),"&lt;ruby&gt;線&lt;rt&gt;せん&lt;/rt&gt;&lt;/ruby&gt;&lt;br&gt;&lt;div class=""audio""&gt;[sound:せん.mp3]&lt;/div&gt;")</f>
        <v>&lt;ruby&gt;線&lt;rt&gt;せん&lt;/rt&gt;&lt;/ruby&gt;&lt;br&gt;&lt;div class="audio"&gt;[sound:せん.mp3]&lt;/div&gt;</v>
      </c>
      <c r="H769" s="3" t="str">
        <f t="shared" si="1"/>
        <v>(n): đường</v>
      </c>
      <c r="I769" s="6" t="s">
        <v>4146</v>
      </c>
      <c r="J769" s="6" t="s">
        <v>4147</v>
      </c>
      <c r="K769" s="7">
        <f t="shared" si="2"/>
        <v>0.6910355657</v>
      </c>
    </row>
    <row r="770">
      <c r="A770" s="4">
        <v>770.0</v>
      </c>
      <c r="B770" s="5" t="s">
        <v>4148</v>
      </c>
      <c r="C770" s="5" t="s">
        <v>4149</v>
      </c>
      <c r="D770" s="5" t="s">
        <v>4150</v>
      </c>
      <c r="E770" s="6" t="s">
        <v>11</v>
      </c>
      <c r="F770" s="6" t="s">
        <v>4151</v>
      </c>
      <c r="G770" s="3" t="str">
        <f>IFERROR(__xludf.DUMMYFUNCTION("REGEXREPLACE(
D770,
""([一-龯々]+)\[([^\]]+)\]"",
""&lt;ruby&gt;$1&lt;rt&gt;$2&lt;/rt&gt;&lt;/ruby&gt;""
)&amp;""&lt;br&gt;&lt;div class=""""audio""""&gt;[sound:""&amp;C770&amp;"".mp3]&lt;/div&gt;"""),"&lt;ruby&gt;短&lt;rt&gt;みじか&lt;/rt&gt;&lt;/ruby&gt;い&lt;br&gt;&lt;div class=""audio""&gt;[sound:みじかい.mp3]&lt;/div&gt;")</f>
        <v>&lt;ruby&gt;短&lt;rt&gt;みじか&lt;/rt&gt;&lt;/ruby&gt;い&lt;br&gt;&lt;div class="audio"&gt;[sound:みじかい.mp3]&lt;/div&gt;</v>
      </c>
      <c r="H770" s="3" t="str">
        <f t="shared" si="1"/>
        <v>(adj): ngắn</v>
      </c>
      <c r="I770" s="6" t="s">
        <v>4152</v>
      </c>
      <c r="J770" s="6" t="s">
        <v>4153</v>
      </c>
      <c r="K770" s="7">
        <f t="shared" si="2"/>
        <v>0.8344242968</v>
      </c>
    </row>
    <row r="771">
      <c r="A771" s="4">
        <v>771.0</v>
      </c>
      <c r="B771" s="5" t="s">
        <v>4154</v>
      </c>
      <c r="C771" s="5" t="s">
        <v>4155</v>
      </c>
      <c r="D771" s="5" t="s">
        <v>4156</v>
      </c>
      <c r="E771" s="6" t="s">
        <v>24</v>
      </c>
      <c r="F771" s="6" t="s">
        <v>4157</v>
      </c>
      <c r="G771" s="3" t="str">
        <f>IFERROR(__xludf.DUMMYFUNCTION("REGEXREPLACE(
D771,
""([一-龯々]+)\[([^\]]+)\]"",
""&lt;ruby&gt;$1&lt;rt&gt;$2&lt;/rt&gt;&lt;/ruby&gt;""
)&amp;""&lt;br&gt;&lt;div class=""""audio""""&gt;[sound:""&amp;C771&amp;"".mp3]&lt;/div&gt;"""),"&lt;ruby&gt;結&lt;rt&gt;むす&lt;/rt&gt;&lt;/ruby&gt;ぶ&lt;br&gt;&lt;div class=""audio""&gt;[sound:むすぶ.mp3]&lt;/div&gt;")</f>
        <v>&lt;ruby&gt;結&lt;rt&gt;むす&lt;/rt&gt;&lt;/ruby&gt;ぶ&lt;br&gt;&lt;div class="audio"&gt;[sound:むすぶ.mp3]&lt;/div&gt;</v>
      </c>
      <c r="H771" s="3" t="str">
        <f t="shared" si="1"/>
        <v>(v): buộc</v>
      </c>
      <c r="I771" s="6" t="s">
        <v>4158</v>
      </c>
      <c r="J771" s="6" t="s">
        <v>4159</v>
      </c>
      <c r="K771" s="7">
        <f t="shared" si="2"/>
        <v>0.3878158242</v>
      </c>
    </row>
    <row r="772">
      <c r="A772" s="4">
        <v>772.0</v>
      </c>
      <c r="B772" s="5" t="s">
        <v>4160</v>
      </c>
      <c r="C772" s="5" t="s">
        <v>4161</v>
      </c>
      <c r="D772" s="5" t="s">
        <v>4162</v>
      </c>
      <c r="E772" s="6" t="s">
        <v>74</v>
      </c>
      <c r="F772" s="6" t="s">
        <v>4163</v>
      </c>
      <c r="G772" s="3" t="str">
        <f>IFERROR(__xludf.DUMMYFUNCTION("REGEXREPLACE(
D772,
""([一-龯々]+)\[([^\]]+)\]"",
""&lt;ruby&gt;$1&lt;rt&gt;$2&lt;/rt&gt;&lt;/ruby&gt;""
)&amp;""&lt;br&gt;&lt;div class=""""audio""""&gt;[sound:""&amp;C772&amp;"".mp3]&lt;/div&gt;"""),"&lt;ruby&gt;写真&lt;rt&gt;しゃしん&lt;/rt&gt;&lt;/ruby&gt;&lt;br&gt;&lt;div class=""audio""&gt;[sound:しゃしん.mp3]&lt;/div&gt;")</f>
        <v>&lt;ruby&gt;写真&lt;rt&gt;しゃしん&lt;/rt&gt;&lt;/ruby&gt;&lt;br&gt;&lt;div class="audio"&gt;[sound:しゃしん.mp3]&lt;/div&gt;</v>
      </c>
      <c r="H772" s="3" t="str">
        <f t="shared" si="1"/>
        <v>(n): ảnh</v>
      </c>
      <c r="I772" s="6" t="s">
        <v>4164</v>
      </c>
      <c r="J772" s="6" t="s">
        <v>4165</v>
      </c>
      <c r="K772" s="7">
        <f t="shared" si="2"/>
        <v>0.3765737016</v>
      </c>
    </row>
    <row r="773">
      <c r="A773" s="4">
        <v>773.0</v>
      </c>
      <c r="B773" s="5" t="s">
        <v>4166</v>
      </c>
      <c r="C773" s="5" t="s">
        <v>1330</v>
      </c>
      <c r="D773" s="5" t="s">
        <v>4167</v>
      </c>
      <c r="E773" s="6" t="s">
        <v>24</v>
      </c>
      <c r="F773" s="6" t="s">
        <v>4168</v>
      </c>
      <c r="G773" s="3" t="str">
        <f>IFERROR(__xludf.DUMMYFUNCTION("REGEXREPLACE(
D773,
""([一-龯々]+)\[([^\]]+)\]"",
""&lt;ruby&gt;$1&lt;rt&gt;$2&lt;/rt&gt;&lt;/ruby&gt;""
)&amp;""&lt;br&gt;&lt;div class=""""audio""""&gt;[sound:""&amp;C773&amp;"".mp3]&lt;/div&gt;"""),"&lt;ruby&gt;切&lt;rt&gt;き&lt;/rt&gt;&lt;/ruby&gt;る&lt;br&gt;&lt;div class=""audio""&gt;[sound:きる.mp3]&lt;/div&gt;")</f>
        <v>&lt;ruby&gt;切&lt;rt&gt;き&lt;/rt&gt;&lt;/ruby&gt;る&lt;br&gt;&lt;div class="audio"&gt;[sound:きる.mp3]&lt;/div&gt;</v>
      </c>
      <c r="H773" s="3" t="str">
        <f t="shared" si="1"/>
        <v>(v): cắt</v>
      </c>
      <c r="I773" s="6" t="s">
        <v>4169</v>
      </c>
      <c r="J773" s="6" t="s">
        <v>4170</v>
      </c>
      <c r="K773" s="7">
        <f t="shared" si="2"/>
        <v>0.1547274565</v>
      </c>
    </row>
    <row r="774">
      <c r="A774" s="4">
        <v>774.0</v>
      </c>
      <c r="B774" s="5" t="s">
        <v>4171</v>
      </c>
      <c r="C774" s="5" t="s">
        <v>4172</v>
      </c>
      <c r="D774" s="5" t="s">
        <v>4173</v>
      </c>
      <c r="E774" s="6" t="s">
        <v>24</v>
      </c>
      <c r="F774" s="6" t="s">
        <v>711</v>
      </c>
      <c r="G774" s="3" t="str">
        <f>IFERROR(__xludf.DUMMYFUNCTION("REGEXREPLACE(
D774,
""([一-龯々]+)\[([^\]]+)\]"",
""&lt;ruby&gt;$1&lt;rt&gt;$2&lt;/rt&gt;&lt;/ruby&gt;""
)&amp;""&lt;br&gt;&lt;div class=""""audio""""&gt;[sound:""&amp;C774&amp;"".mp3]&lt;/div&gt;"""),"&lt;ruby&gt;眠&lt;rt&gt;ねむ&lt;/rt&gt;&lt;/ruby&gt;る&lt;br&gt;&lt;div class=""audio""&gt;[sound:ねむる.mp3]&lt;/div&gt;")</f>
        <v>&lt;ruby&gt;眠&lt;rt&gt;ねむ&lt;/rt&gt;&lt;/ruby&gt;る&lt;br&gt;&lt;div class="audio"&gt;[sound:ねむる.mp3]&lt;/div&gt;</v>
      </c>
      <c r="H774" s="3" t="str">
        <f t="shared" si="1"/>
        <v>(v): ngủ</v>
      </c>
      <c r="I774" s="6" t="s">
        <v>4174</v>
      </c>
      <c r="J774" s="6" t="s">
        <v>4175</v>
      </c>
      <c r="K774" s="7">
        <f t="shared" si="2"/>
        <v>0.7665350404</v>
      </c>
    </row>
    <row r="775">
      <c r="A775" s="4">
        <v>775.0</v>
      </c>
      <c r="B775" s="5" t="s">
        <v>4176</v>
      </c>
      <c r="C775" s="5" t="s">
        <v>4177</v>
      </c>
      <c r="D775" s="5" t="s">
        <v>4178</v>
      </c>
      <c r="E775" s="6" t="s">
        <v>74</v>
      </c>
      <c r="F775" s="6" t="s">
        <v>4179</v>
      </c>
      <c r="G775" s="3" t="str">
        <f>IFERROR(__xludf.DUMMYFUNCTION("REGEXREPLACE(
D775,
""([一-龯々]+)\[([^\]]+)\]"",
""&lt;ruby&gt;$1&lt;rt&gt;$2&lt;/rt&gt;&lt;/ruby&gt;""
)&amp;""&lt;br&gt;&lt;div class=""""audio""""&gt;[sound:""&amp;C775&amp;"".mp3]&lt;/div&gt;"""),"&lt;ruby&gt;事故&lt;rt&gt;じこ&lt;/rt&gt;&lt;/ruby&gt;&lt;br&gt;&lt;div class=""audio""&gt;[sound:じこ.mp3]&lt;/div&gt;")</f>
        <v>&lt;ruby&gt;事故&lt;rt&gt;じこ&lt;/rt&gt;&lt;/ruby&gt;&lt;br&gt;&lt;div class="audio"&gt;[sound:じこ.mp3]&lt;/div&gt;</v>
      </c>
      <c r="H775" s="3" t="str">
        <f t="shared" si="1"/>
        <v>(n): tai nạn</v>
      </c>
      <c r="I775" s="6" t="s">
        <v>4180</v>
      </c>
      <c r="J775" s="6" t="s">
        <v>4181</v>
      </c>
      <c r="K775" s="7">
        <f t="shared" si="2"/>
        <v>0.9508002508</v>
      </c>
    </row>
    <row r="776">
      <c r="A776" s="4">
        <v>776.0</v>
      </c>
      <c r="B776" s="5" t="s">
        <v>4182</v>
      </c>
      <c r="C776" s="5" t="s">
        <v>4183</v>
      </c>
      <c r="D776" s="5" t="s">
        <v>4184</v>
      </c>
      <c r="E776" s="6" t="s">
        <v>74</v>
      </c>
      <c r="F776" s="6" t="s">
        <v>4185</v>
      </c>
      <c r="G776" s="3" t="str">
        <f>IFERROR(__xludf.DUMMYFUNCTION("REGEXREPLACE(
D776,
""([一-龯々]+)\[([^\]]+)\]"",
""&lt;ruby&gt;$1&lt;rt&gt;$2&lt;/rt&gt;&lt;/ruby&gt;""
)&amp;""&lt;br&gt;&lt;div class=""""audio""""&gt;[sound:""&amp;C776&amp;"".mp3]&lt;/div&gt;"""),"&lt;ruby&gt;図&lt;rt&gt;ず&lt;/rt&gt;&lt;/ruby&gt;&lt;br&gt;&lt;div class=""audio""&gt;[sound:ず.mp3]&lt;/div&gt;")</f>
        <v>&lt;ruby&gt;図&lt;rt&gt;ず&lt;/rt&gt;&lt;/ruby&gt;&lt;br&gt;&lt;div class="audio"&gt;[sound:ず.mp3]&lt;/div&gt;</v>
      </c>
      <c r="H776" s="3" t="str">
        <f t="shared" si="1"/>
        <v>(n): hình vẽ</v>
      </c>
      <c r="I776" s="6" t="s">
        <v>4186</v>
      </c>
      <c r="J776" s="6" t="s">
        <v>4187</v>
      </c>
      <c r="K776" s="7">
        <f t="shared" si="2"/>
        <v>0.5786149074</v>
      </c>
    </row>
    <row r="777">
      <c r="A777" s="4">
        <v>777.0</v>
      </c>
      <c r="B777" s="5" t="s">
        <v>4188</v>
      </c>
      <c r="C777" s="5" t="s">
        <v>4189</v>
      </c>
      <c r="D777" s="5" t="s">
        <v>4190</v>
      </c>
      <c r="E777" s="6" t="s">
        <v>11</v>
      </c>
      <c r="F777" s="6" t="s">
        <v>4191</v>
      </c>
      <c r="G777" s="3" t="str">
        <f>IFERROR(__xludf.DUMMYFUNCTION("REGEXREPLACE(
D777,
""([一-龯々]+)\[([^\]]+)\]"",
""&lt;ruby&gt;$1&lt;rt&gt;$2&lt;/rt&gt;&lt;/ruby&gt;""
)&amp;""&lt;br&gt;&lt;div class=""""audio""""&gt;[sound:""&amp;C777&amp;"".mp3]&lt;/div&gt;"""),"&lt;ruby&gt;上手&lt;rt&gt;じょうず&lt;/rt&gt;&lt;/ruby&gt;&lt;br&gt;&lt;div class=""audio""&gt;[sound:じょうず.mp3]&lt;/div&gt;")</f>
        <v>&lt;ruby&gt;上手&lt;rt&gt;じょうず&lt;/rt&gt;&lt;/ruby&gt;&lt;br&gt;&lt;div class="audio"&gt;[sound:じょうず.mp3]&lt;/div&gt;</v>
      </c>
      <c r="H777" s="3" t="str">
        <f t="shared" si="1"/>
        <v>(adj): giỏi</v>
      </c>
      <c r="I777" s="6" t="s">
        <v>4192</v>
      </c>
      <c r="J777" s="6" t="s">
        <v>4193</v>
      </c>
      <c r="K777" s="7">
        <f t="shared" si="2"/>
        <v>0.546263182</v>
      </c>
    </row>
    <row r="778">
      <c r="A778" s="4">
        <v>778.0</v>
      </c>
      <c r="B778" s="5" t="s">
        <v>4194</v>
      </c>
      <c r="C778" s="5" t="s">
        <v>23</v>
      </c>
      <c r="D778" s="5" t="s">
        <v>4195</v>
      </c>
      <c r="E778" s="6" t="s">
        <v>24</v>
      </c>
      <c r="F778" s="6" t="s">
        <v>4196</v>
      </c>
      <c r="G778" s="3" t="str">
        <f>IFERROR(__xludf.DUMMYFUNCTION("REGEXREPLACE(
D778,
""([一-龯々]+)\[([^\]]+)\]"",
""&lt;ruby&gt;$1&lt;rt&gt;$2&lt;/rt&gt;&lt;/ruby&gt;""
)&amp;""&lt;br&gt;&lt;div class=""""audio""""&gt;[sound:""&amp;C778&amp;"".mp3]&lt;/div&gt;"""),"&lt;ruby&gt;挙&lt;rt&gt;あ&lt;/rt&gt;&lt;/ruby&gt;げる&lt;br&gt;&lt;div class=""audio""&gt;[sound:あげる.mp3]&lt;/div&gt;")</f>
        <v>&lt;ruby&gt;挙&lt;rt&gt;あ&lt;/rt&gt;&lt;/ruby&gt;げる&lt;br&gt;&lt;div class="audio"&gt;[sound:あげる.mp3]&lt;/div&gt;</v>
      </c>
      <c r="H778" s="3" t="str">
        <f t="shared" si="1"/>
        <v>(v): nâng</v>
      </c>
      <c r="I778" s="6" t="s">
        <v>4197</v>
      </c>
      <c r="J778" s="6" t="s">
        <v>4198</v>
      </c>
      <c r="K778" s="7">
        <f t="shared" si="2"/>
        <v>0.1595993616</v>
      </c>
    </row>
    <row r="779">
      <c r="A779" s="4">
        <v>779.0</v>
      </c>
      <c r="B779" s="5" t="s">
        <v>4199</v>
      </c>
      <c r="C779" s="5" t="s">
        <v>4200</v>
      </c>
      <c r="D779" s="5" t="s">
        <v>4201</v>
      </c>
      <c r="E779" s="6" t="s">
        <v>11</v>
      </c>
      <c r="F779" s="6" t="s">
        <v>2392</v>
      </c>
      <c r="G779" s="3" t="str">
        <f>IFERROR(__xludf.DUMMYFUNCTION("REGEXREPLACE(
D779,
""([一-龯々]+)\[([^\]]+)\]"",
""&lt;ruby&gt;$1&lt;rt&gt;$2&lt;/rt&gt;&lt;/ruby&gt;""
)&amp;""&lt;br&gt;&lt;div class=""""audio""""&gt;[sound:""&amp;C779&amp;"".mp3]&lt;/div&gt;"""),"&lt;ruby&gt;美味&lt;rt&gt;おい&lt;/rt&gt;&lt;/ruby&gt;しい&lt;br&gt;&lt;div class=""audio""&gt;[sound:おいしい.mp3]&lt;/div&gt;")</f>
        <v>&lt;ruby&gt;美味&lt;rt&gt;おい&lt;/rt&gt;&lt;/ruby&gt;しい&lt;br&gt;&lt;div class="audio"&gt;[sound:おいしい.mp3]&lt;/div&gt;</v>
      </c>
      <c r="H779" s="3" t="str">
        <f t="shared" si="1"/>
        <v>(adj): ngon</v>
      </c>
      <c r="I779" s="6" t="s">
        <v>4202</v>
      </c>
      <c r="J779" s="6" t="s">
        <v>4203</v>
      </c>
      <c r="K779" s="7">
        <f t="shared" si="2"/>
        <v>0.8530982338</v>
      </c>
    </row>
    <row r="780">
      <c r="A780" s="4">
        <v>780.0</v>
      </c>
      <c r="B780" s="5" t="s">
        <v>4204</v>
      </c>
      <c r="C780" s="5" t="s">
        <v>4205</v>
      </c>
      <c r="D780" s="5" t="s">
        <v>4204</v>
      </c>
      <c r="E780" s="6" t="s">
        <v>74</v>
      </c>
      <c r="F780" s="6" t="s">
        <v>4206</v>
      </c>
      <c r="G780" s="3" t="str">
        <f>IFERROR(__xludf.DUMMYFUNCTION("REGEXREPLACE(
D780,
""([一-龯々]+)\[([^\]]+)\]"",
""&lt;ruby&gt;$1&lt;rt&gt;$2&lt;/rt&gt;&lt;/ruby&gt;""
)&amp;""&lt;br&gt;&lt;div class=""""audio""""&gt;[sound:""&amp;C780&amp;"".mp3]&lt;/div&gt;"""),"パターン&lt;br&gt;&lt;div class=""audio""&gt;[sound:ぱたーん.mp3]&lt;/div&gt;")</f>
        <v>パターン&lt;br&gt;&lt;div class="audio"&gt;[sound:ぱたーん.mp3]&lt;/div&gt;</v>
      </c>
      <c r="H780" s="3" t="str">
        <f t="shared" si="1"/>
        <v>(n): mẫu</v>
      </c>
      <c r="I780" s="6" t="s">
        <v>4207</v>
      </c>
      <c r="J780" s="6" t="s">
        <v>4208</v>
      </c>
      <c r="K780" s="7">
        <f t="shared" si="2"/>
        <v>0.1622036533</v>
      </c>
    </row>
    <row r="781">
      <c r="A781" s="4">
        <v>781.0</v>
      </c>
      <c r="B781" s="5" t="s">
        <v>4209</v>
      </c>
      <c r="C781" s="5" t="s">
        <v>4210</v>
      </c>
      <c r="D781" s="5" t="s">
        <v>4211</v>
      </c>
      <c r="E781" s="6" t="s">
        <v>74</v>
      </c>
      <c r="F781" s="6" t="s">
        <v>4212</v>
      </c>
      <c r="G781" s="3" t="str">
        <f>IFERROR(__xludf.DUMMYFUNCTION("REGEXREPLACE(
D781,
""([一-龯々]+)\[([^\]]+)\]"",
""&lt;ruby&gt;$1&lt;rt&gt;$2&lt;/rt&gt;&lt;/ruby&gt;""
)&amp;""&lt;br&gt;&lt;div class=""""audio""""&gt;[sound:""&amp;C781&amp;"".mp3]&lt;/div&gt;"""),"&lt;ruby&gt;米&lt;rt&gt;こめ&lt;/rt&gt;&lt;/ruby&gt;&lt;br&gt;&lt;div class=""audio""&gt;[sound:こめ.mp3]&lt;/div&gt;")</f>
        <v>&lt;ruby&gt;米&lt;rt&gt;こめ&lt;/rt&gt;&lt;/ruby&gt;&lt;br&gt;&lt;div class="audio"&gt;[sound:こめ.mp3]&lt;/div&gt;</v>
      </c>
      <c r="H781" s="3" t="str">
        <f t="shared" si="1"/>
        <v>(n): gạo</v>
      </c>
      <c r="I781" s="6" t="s">
        <v>4213</v>
      </c>
      <c r="J781" s="6" t="s">
        <v>4214</v>
      </c>
      <c r="K781" s="7">
        <f t="shared" si="2"/>
        <v>0.3483813598</v>
      </c>
    </row>
    <row r="782">
      <c r="A782" s="4">
        <v>782.0</v>
      </c>
      <c r="B782" s="5" t="s">
        <v>4215</v>
      </c>
      <c r="C782" s="5" t="s">
        <v>4215</v>
      </c>
      <c r="D782" s="5" t="s">
        <v>4215</v>
      </c>
      <c r="E782" s="6" t="s">
        <v>24</v>
      </c>
      <c r="F782" s="6" t="s">
        <v>4216</v>
      </c>
      <c r="G782" s="3" t="str">
        <f>IFERROR(__xludf.DUMMYFUNCTION("REGEXREPLACE(
D782,
""([一-龯々]+)\[([^\]]+)\]"",
""&lt;ruby&gt;$1&lt;rt&gt;$2&lt;/rt&gt;&lt;/ruby&gt;""
)&amp;""&lt;br&gt;&lt;div class=""""audio""""&gt;[sound:""&amp;C782&amp;"".mp3]&lt;/div&gt;"""),"ぶつかる&lt;br&gt;&lt;div class=""audio""&gt;[sound:ぶつかる.mp3]&lt;/div&gt;")</f>
        <v>ぶつかる&lt;br&gt;&lt;div class="audio"&gt;[sound:ぶつかる.mp3]&lt;/div&gt;</v>
      </c>
      <c r="H782" s="3" t="str">
        <f t="shared" si="1"/>
        <v>(v): va chạm</v>
      </c>
      <c r="I782" s="6" t="s">
        <v>4217</v>
      </c>
      <c r="J782" s="6" t="s">
        <v>4218</v>
      </c>
      <c r="K782" s="7">
        <f t="shared" si="2"/>
        <v>0.574581049</v>
      </c>
    </row>
    <row r="783">
      <c r="A783" s="4">
        <v>783.0</v>
      </c>
      <c r="B783" s="5" t="s">
        <v>4219</v>
      </c>
      <c r="C783" s="5" t="s">
        <v>4220</v>
      </c>
      <c r="D783" s="5" t="s">
        <v>4221</v>
      </c>
      <c r="E783" s="6" t="s">
        <v>74</v>
      </c>
      <c r="F783" s="6" t="s">
        <v>4222</v>
      </c>
      <c r="G783" s="3" t="str">
        <f>IFERROR(__xludf.DUMMYFUNCTION("REGEXREPLACE(
D783,
""([一-龯々]+)\[([^\]]+)\]"",
""&lt;ruby&gt;$1&lt;rt&gt;$2&lt;/rt&gt;&lt;/ruby&gt;""
)&amp;""&lt;br&gt;&lt;div class=""""audio""""&gt;[sound:""&amp;C783&amp;"".mp3]&lt;/div&gt;"""),"&lt;ruby&gt;事実&lt;rt&gt;じじつ&lt;/rt&gt;&lt;/ruby&gt;&lt;br&gt;&lt;div class=""audio""&gt;[sound:じじつ.mp3]&lt;/div&gt;")</f>
        <v>&lt;ruby&gt;事実&lt;rt&gt;じじつ&lt;/rt&gt;&lt;/ruby&gt;&lt;br&gt;&lt;div class="audio"&gt;[sound:じじつ.mp3]&lt;/div&gt;</v>
      </c>
      <c r="H783" s="3" t="str">
        <f t="shared" si="1"/>
        <v>(n): sự thật</v>
      </c>
      <c r="I783" s="6" t="s">
        <v>4223</v>
      </c>
      <c r="J783" s="6" t="s">
        <v>4224</v>
      </c>
      <c r="K783" s="7">
        <f t="shared" si="2"/>
        <v>0.4630138035</v>
      </c>
    </row>
    <row r="784">
      <c r="A784" s="4">
        <v>784.0</v>
      </c>
      <c r="B784" s="5" t="s">
        <v>4225</v>
      </c>
      <c r="C784" s="5" t="s">
        <v>4226</v>
      </c>
      <c r="D784" s="5" t="s">
        <v>4227</v>
      </c>
      <c r="E784" s="6" t="s">
        <v>74</v>
      </c>
      <c r="F784" s="6" t="s">
        <v>4228</v>
      </c>
      <c r="G784" s="3" t="str">
        <f>IFERROR(__xludf.DUMMYFUNCTION("REGEXREPLACE(
D784,
""([一-龯々]+)\[([^\]]+)\]"",
""&lt;ruby&gt;$1&lt;rt&gt;$2&lt;/rt&gt;&lt;/ruby&gt;""
)&amp;""&lt;br&gt;&lt;div class=""""audio""""&gt;[sound:""&amp;C784&amp;"".mp3]&lt;/div&gt;"""),"&lt;ruby&gt;意識&lt;rt&gt;いしき&lt;/rt&gt;&lt;/ruby&gt;&lt;br&gt;&lt;div class=""audio""&gt;[sound:いしき.mp3]&lt;/div&gt;")</f>
        <v>&lt;ruby&gt;意識&lt;rt&gt;いしき&lt;/rt&gt;&lt;/ruby&gt;&lt;br&gt;&lt;div class="audio"&gt;[sound:いしき.mp3]&lt;/div&gt;</v>
      </c>
      <c r="H784" s="3" t="str">
        <f t="shared" si="1"/>
        <v>(n): ý thức</v>
      </c>
      <c r="I784" s="6" t="s">
        <v>4229</v>
      </c>
      <c r="J784" s="6" t="s">
        <v>4230</v>
      </c>
      <c r="K784" s="7">
        <f t="shared" si="2"/>
        <v>0.234630517</v>
      </c>
    </row>
    <row r="785">
      <c r="A785" s="4">
        <v>785.0</v>
      </c>
      <c r="B785" s="5" t="s">
        <v>4231</v>
      </c>
      <c r="C785" s="5" t="s">
        <v>4232</v>
      </c>
      <c r="D785" s="5" t="s">
        <v>4231</v>
      </c>
      <c r="E785" s="6" t="s">
        <v>74</v>
      </c>
      <c r="F785" s="6" t="s">
        <v>4233</v>
      </c>
      <c r="G785" s="3" t="str">
        <f>IFERROR(__xludf.DUMMYFUNCTION("REGEXREPLACE(
D785,
""([一-龯々]+)\[([^\]]+)\]"",
""&lt;ruby&gt;$1&lt;rt&gt;$2&lt;/rt&gt;&lt;/ruby&gt;""
)&amp;""&lt;br&gt;&lt;div class=""""audio""""&gt;[sound:""&amp;C785&amp;"".mp3]&lt;/div&gt;"""),"ビデオ&lt;br&gt;&lt;div class=""audio""&gt;[sound:びでお.mp3]&lt;/div&gt;")</f>
        <v>ビデオ&lt;br&gt;&lt;div class="audio"&gt;[sound:びでお.mp3]&lt;/div&gt;</v>
      </c>
      <c r="H785" s="3" t="str">
        <f t="shared" si="1"/>
        <v>(n): video</v>
      </c>
      <c r="I785" s="6" t="s">
        <v>4234</v>
      </c>
      <c r="J785" s="6" t="s">
        <v>4235</v>
      </c>
      <c r="K785" s="7">
        <f t="shared" si="2"/>
        <v>0.4284926895</v>
      </c>
    </row>
    <row r="786">
      <c r="A786" s="4">
        <v>786.0</v>
      </c>
      <c r="B786" s="5" t="s">
        <v>4236</v>
      </c>
      <c r="C786" s="5" t="s">
        <v>253</v>
      </c>
      <c r="D786" s="5" t="s">
        <v>4237</v>
      </c>
      <c r="E786" s="6" t="s">
        <v>24</v>
      </c>
      <c r="F786" s="6" t="s">
        <v>254</v>
      </c>
      <c r="G786" s="3" t="str">
        <f>IFERROR(__xludf.DUMMYFUNCTION("REGEXREPLACE(
D786,
""([一-龯々]+)\[([^\]]+)\]"",
""&lt;ruby&gt;$1&lt;rt&gt;$2&lt;/rt&gt;&lt;/ruby&gt;""
)&amp;""&lt;br&gt;&lt;div class=""""audio""""&gt;[sound:""&amp;C786&amp;"".mp3]&lt;/div&gt;"""),"&lt;ruby&gt;掛&lt;rt&gt;か&lt;/rt&gt;&lt;/ruby&gt;ける&lt;br&gt;&lt;div class=""audio""&gt;[sound:かける.mp3]&lt;/div&gt;")</f>
        <v>&lt;ruby&gt;掛&lt;rt&gt;か&lt;/rt&gt;&lt;/ruby&gt;ける&lt;br&gt;&lt;div class="audio"&gt;[sound:かける.mp3]&lt;/div&gt;</v>
      </c>
      <c r="H786" s="3" t="str">
        <f t="shared" si="1"/>
        <v>(v): treo</v>
      </c>
      <c r="I786" s="6" t="s">
        <v>4238</v>
      </c>
      <c r="J786" s="6" t="s">
        <v>4239</v>
      </c>
      <c r="K786" s="7">
        <f t="shared" si="2"/>
        <v>0.2369910065</v>
      </c>
    </row>
    <row r="787">
      <c r="A787" s="4">
        <v>787.0</v>
      </c>
      <c r="B787" s="5" t="s">
        <v>4240</v>
      </c>
      <c r="C787" s="5" t="s">
        <v>4241</v>
      </c>
      <c r="D787" s="5" t="s">
        <v>4242</v>
      </c>
      <c r="E787" s="6" t="s">
        <v>58</v>
      </c>
      <c r="F787" s="6" t="s">
        <v>4243</v>
      </c>
      <c r="G787" s="3" t="str">
        <f>IFERROR(__xludf.DUMMYFUNCTION("REGEXREPLACE(
D787,
""([一-龯々]+)\[([^\]]+)\]"",
""&lt;ruby&gt;$1&lt;rt&gt;$2&lt;/rt&gt;&lt;/ruby&gt;""
)&amp;""&lt;br&gt;&lt;div class=""""audio""""&gt;[sound:""&amp;C787&amp;"".mp3]&lt;/div&gt;"""),"&lt;ruby&gt;七&lt;rt&gt;なな&lt;/rt&gt;&lt;/ruby&gt;&lt;br&gt;&lt;div class=""audio""&gt;[sound:なな.mp3]&lt;/div&gt;")</f>
        <v>&lt;ruby&gt;七&lt;rt&gt;なな&lt;/rt&gt;&lt;/ruby&gt;&lt;br&gt;&lt;div class="audio"&gt;[sound:なな.mp3]&lt;/div&gt;</v>
      </c>
      <c r="H787" s="3" t="str">
        <f t="shared" si="1"/>
        <v>(num): bảy</v>
      </c>
      <c r="I787" s="6" t="s">
        <v>4244</v>
      </c>
      <c r="J787" s="6" t="s">
        <v>4245</v>
      </c>
      <c r="K787" s="7">
        <f t="shared" si="2"/>
        <v>0.1024335186</v>
      </c>
    </row>
    <row r="788">
      <c r="A788" s="4">
        <v>788.0</v>
      </c>
      <c r="B788" s="5" t="s">
        <v>4246</v>
      </c>
      <c r="C788" s="5" t="s">
        <v>4247</v>
      </c>
      <c r="D788" s="5" t="s">
        <v>4248</v>
      </c>
      <c r="E788" s="6" t="s">
        <v>74</v>
      </c>
      <c r="F788" s="6" t="s">
        <v>4249</v>
      </c>
      <c r="G788" s="3" t="str">
        <f>IFERROR(__xludf.DUMMYFUNCTION("REGEXREPLACE(
D788,
""([一-龯々]+)\[([^\]]+)\]"",
""&lt;ruby&gt;$1&lt;rt&gt;$2&lt;/rt&gt;&lt;/ruby&gt;""
)&amp;""&lt;br&gt;&lt;div class=""""audio""""&gt;[sound:""&amp;C788&amp;"".mp3]&lt;/div&gt;"""),"&lt;ruby&gt;首&lt;rt&gt;くび&lt;/rt&gt;&lt;/ruby&gt;&lt;br&gt;&lt;div class=""audio""&gt;[sound:くび.mp3]&lt;/div&gt;")</f>
        <v>&lt;ruby&gt;首&lt;rt&gt;くび&lt;/rt&gt;&lt;/ruby&gt;&lt;br&gt;&lt;div class="audio"&gt;[sound:くび.mp3]&lt;/div&gt;</v>
      </c>
      <c r="H788" s="3" t="str">
        <f t="shared" si="1"/>
        <v>(n): cổ</v>
      </c>
      <c r="I788" s="6" t="s">
        <v>4250</v>
      </c>
      <c r="J788" s="6" t="s">
        <v>4251</v>
      </c>
      <c r="K788" s="7">
        <f t="shared" si="2"/>
        <v>0.4331097988</v>
      </c>
    </row>
    <row r="789">
      <c r="A789" s="4">
        <v>789.0</v>
      </c>
      <c r="B789" s="5" t="s">
        <v>4252</v>
      </c>
      <c r="C789" s="5" t="s">
        <v>1524</v>
      </c>
      <c r="D789" s="5" t="s">
        <v>4253</v>
      </c>
      <c r="E789" s="6" t="s">
        <v>24</v>
      </c>
      <c r="F789" s="6" t="s">
        <v>1526</v>
      </c>
      <c r="G789" s="3" t="str">
        <f>IFERROR(__xludf.DUMMYFUNCTION("REGEXREPLACE(
D789,
""([一-龯々]+)\[([^\]]+)\]"",
""&lt;ruby&gt;$1&lt;rt&gt;$2&lt;/rt&gt;&lt;/ruby&gt;""
)&amp;""&lt;br&gt;&lt;div class=""""audio""""&gt;[sound:""&amp;C789&amp;"".mp3]&lt;/div&gt;"""),"&lt;ruby&gt;下&lt;rt&gt;お&lt;/rt&gt;&lt;/ruby&gt;りる&lt;br&gt;&lt;div class=""audio""&gt;[sound:おりる.mp3]&lt;/div&gt;")</f>
        <v>&lt;ruby&gt;下&lt;rt&gt;お&lt;/rt&gt;&lt;/ruby&gt;りる&lt;br&gt;&lt;div class="audio"&gt;[sound:おりる.mp3]&lt;/div&gt;</v>
      </c>
      <c r="H789" s="3" t="str">
        <f t="shared" si="1"/>
        <v>(v): xuống</v>
      </c>
      <c r="I789" s="6" t="s">
        <v>4254</v>
      </c>
      <c r="J789" s="6" t="s">
        <v>4255</v>
      </c>
      <c r="K789" s="7">
        <f t="shared" si="2"/>
        <v>0.3048380409</v>
      </c>
    </row>
    <row r="790">
      <c r="A790" s="4">
        <v>790.0</v>
      </c>
      <c r="B790" s="5" t="s">
        <v>4256</v>
      </c>
      <c r="C790" s="5" t="s">
        <v>4257</v>
      </c>
      <c r="D790" s="5" t="s">
        <v>4258</v>
      </c>
      <c r="E790" s="6" t="s">
        <v>74</v>
      </c>
      <c r="F790" s="6" t="s">
        <v>4145</v>
      </c>
      <c r="G790" s="3" t="str">
        <f>IFERROR(__xludf.DUMMYFUNCTION("REGEXREPLACE(
D790,
""([一-龯々]+)\[([^\]]+)\]"",
""&lt;ruby&gt;$1&lt;rt&gt;$2&lt;/rt&gt;&lt;/ruby&gt;""
)&amp;""&lt;br&gt;&lt;div class=""""audio""""&gt;[sound:""&amp;C790&amp;"".mp3]&lt;/div&gt;"""),"&lt;ruby&gt;道&lt;rt&gt;みち&lt;/rt&gt;&lt;/ruby&gt;&lt;br&gt;&lt;div class=""audio""&gt;[sound:みち.mp3]&lt;/div&gt;")</f>
        <v>&lt;ruby&gt;道&lt;rt&gt;みち&lt;/rt&gt;&lt;/ruby&gt;&lt;br&gt;&lt;div class="audio"&gt;[sound:みち.mp3]&lt;/div&gt;</v>
      </c>
      <c r="H790" s="3" t="str">
        <f t="shared" si="1"/>
        <v>(n): đường</v>
      </c>
      <c r="I790" s="6" t="s">
        <v>4259</v>
      </c>
      <c r="J790" s="6" t="s">
        <v>4260</v>
      </c>
      <c r="K790" s="7">
        <f t="shared" si="2"/>
        <v>0.2861313305</v>
      </c>
    </row>
    <row r="791">
      <c r="A791" s="4">
        <v>791.0</v>
      </c>
      <c r="B791" s="5" t="s">
        <v>4261</v>
      </c>
      <c r="C791" s="5" t="s">
        <v>4262</v>
      </c>
      <c r="D791" s="5" t="s">
        <v>4263</v>
      </c>
      <c r="E791" s="6" t="s">
        <v>24</v>
      </c>
      <c r="F791" s="6" t="s">
        <v>4264</v>
      </c>
      <c r="G791" s="3" t="str">
        <f>IFERROR(__xludf.DUMMYFUNCTION("REGEXREPLACE(
D791,
""([一-龯々]+)\[([^\]]+)\]"",
""&lt;ruby&gt;$1&lt;rt&gt;$2&lt;/rt&gt;&lt;/ruby&gt;""
)&amp;""&lt;br&gt;&lt;div class=""""audio""""&gt;[sound:""&amp;C791&amp;"".mp3]&lt;/div&gt;"""),"&lt;ruby&gt;打&lt;rt&gt;う&lt;/rt&gt;&lt;/ruby&gt;つ&lt;br&gt;&lt;div class=""audio""&gt;[sound:うつ.mp3]&lt;/div&gt;")</f>
        <v>&lt;ruby&gt;打&lt;rt&gt;う&lt;/rt&gt;&lt;/ruby&gt;つ&lt;br&gt;&lt;div class="audio"&gt;[sound:うつ.mp3]&lt;/div&gt;</v>
      </c>
      <c r="H791" s="3" t="str">
        <f t="shared" si="1"/>
        <v>(v): đánh</v>
      </c>
      <c r="I791" s="6" t="s">
        <v>4265</v>
      </c>
      <c r="J791" s="6" t="s">
        <v>4266</v>
      </c>
      <c r="K791" s="7">
        <f t="shared" si="2"/>
        <v>0.7199161389</v>
      </c>
    </row>
    <row r="792">
      <c r="A792" s="4">
        <v>792.0</v>
      </c>
      <c r="B792" s="5" t="s">
        <v>4267</v>
      </c>
      <c r="C792" s="5" t="s">
        <v>4268</v>
      </c>
      <c r="D792" s="5" t="s">
        <v>4269</v>
      </c>
      <c r="E792" s="6" t="s">
        <v>11</v>
      </c>
      <c r="F792" s="6" t="s">
        <v>4270</v>
      </c>
      <c r="G792" s="3" t="str">
        <f>IFERROR(__xludf.DUMMYFUNCTION("REGEXREPLACE(
D792,
""([一-龯々]+)\[([^\]]+)\]"",
""&lt;ruby&gt;$1&lt;rt&gt;$2&lt;/rt&gt;&lt;/ruby&gt;""
)&amp;""&lt;br&gt;&lt;div class=""""audio""""&gt;[sound:""&amp;C792&amp;"".mp3]&lt;/div&gt;"""),"&lt;ruby&gt;薄&lt;rt&gt;うす&lt;/rt&gt;&lt;/ruby&gt;い&lt;br&gt;&lt;div class=""audio""&gt;[sound:うすい.mp3]&lt;/div&gt;")</f>
        <v>&lt;ruby&gt;薄&lt;rt&gt;うす&lt;/rt&gt;&lt;/ruby&gt;い&lt;br&gt;&lt;div class="audio"&gt;[sound:うすい.mp3]&lt;/div&gt;</v>
      </c>
      <c r="H792" s="3" t="str">
        <f t="shared" si="1"/>
        <v>(adj): mỏng</v>
      </c>
      <c r="I792" s="6" t="s">
        <v>4271</v>
      </c>
      <c r="J792" s="6" t="s">
        <v>4272</v>
      </c>
      <c r="K792" s="7">
        <f t="shared" si="2"/>
        <v>0.6462053286</v>
      </c>
    </row>
    <row r="793">
      <c r="A793" s="4">
        <v>793.0</v>
      </c>
      <c r="B793" s="5" t="s">
        <v>4273</v>
      </c>
      <c r="C793" s="5" t="s">
        <v>4274</v>
      </c>
      <c r="D793" s="5" t="s">
        <v>4275</v>
      </c>
      <c r="E793" s="6" t="s">
        <v>11</v>
      </c>
      <c r="F793" s="6" t="s">
        <v>4276</v>
      </c>
      <c r="G793" s="3" t="str">
        <f>IFERROR(__xludf.DUMMYFUNCTION("REGEXREPLACE(
D793,
""([一-龯々]+)\[([^\]]+)\]"",
""&lt;ruby&gt;$1&lt;rt&gt;$2&lt;/rt&gt;&lt;/ruby&gt;""
)&amp;""&lt;br&gt;&lt;div class=""""audio""""&gt;[sound:""&amp;C793&amp;"".mp3]&lt;/div&gt;"""),"&lt;ruby&gt;赤&lt;rt&gt;あか&lt;/rt&gt;&lt;/ruby&gt;い&lt;br&gt;&lt;div class=""audio""&gt;[sound:あかい.mp3]&lt;/div&gt;")</f>
        <v>&lt;ruby&gt;赤&lt;rt&gt;あか&lt;/rt&gt;&lt;/ruby&gt;い&lt;br&gt;&lt;div class="audio"&gt;[sound:あかい.mp3]&lt;/div&gt;</v>
      </c>
      <c r="H793" s="3" t="str">
        <f t="shared" si="1"/>
        <v>(adj): đỏ</v>
      </c>
      <c r="I793" s="6" t="s">
        <v>4277</v>
      </c>
      <c r="J793" s="6" t="s">
        <v>4278</v>
      </c>
      <c r="K793" s="7">
        <f t="shared" si="2"/>
        <v>0.1840673359</v>
      </c>
    </row>
    <row r="794">
      <c r="A794" s="4">
        <v>794.0</v>
      </c>
      <c r="B794" s="5" t="s">
        <v>4279</v>
      </c>
      <c r="C794" s="5" t="s">
        <v>4280</v>
      </c>
      <c r="D794" s="5" t="s">
        <v>4279</v>
      </c>
      <c r="E794" s="6" t="s">
        <v>74</v>
      </c>
      <c r="F794" s="6" t="s">
        <v>4281</v>
      </c>
      <c r="G794" s="3" t="str">
        <f>IFERROR(__xludf.DUMMYFUNCTION("REGEXREPLACE(
D794,
""([一-龯々]+)\[([^\]]+)\]"",
""&lt;ruby&gt;$1&lt;rt&gt;$2&lt;/rt&gt;&lt;/ruby&gt;""
)&amp;""&lt;br&gt;&lt;div class=""""audio""""&gt;[sound:""&amp;C794&amp;"".mp3]&lt;/div&gt;"""),"ラジオ&lt;br&gt;&lt;div class=""audio""&gt;[sound:らじお.mp3]&lt;/div&gt;")</f>
        <v>ラジオ&lt;br&gt;&lt;div class="audio"&gt;[sound:らじお.mp3]&lt;/div&gt;</v>
      </c>
      <c r="H794" s="3" t="str">
        <f t="shared" si="1"/>
        <v>(n): radio</v>
      </c>
      <c r="I794" s="6" t="s">
        <v>4282</v>
      </c>
      <c r="J794" s="6" t="s">
        <v>4283</v>
      </c>
      <c r="K794" s="7">
        <f t="shared" si="2"/>
        <v>0.8599155273</v>
      </c>
    </row>
    <row r="795">
      <c r="A795" s="4">
        <v>795.0</v>
      </c>
      <c r="B795" s="5" t="s">
        <v>4284</v>
      </c>
      <c r="C795" s="5" t="s">
        <v>4284</v>
      </c>
      <c r="D795" s="5" t="s">
        <v>4284</v>
      </c>
      <c r="E795" s="6" t="s">
        <v>74</v>
      </c>
      <c r="F795" s="6" t="s">
        <v>4285</v>
      </c>
      <c r="G795" s="3" t="str">
        <f>IFERROR(__xludf.DUMMYFUNCTION("REGEXREPLACE(
D795,
""([一-龯々]+)\[([^\]]+)\]"",
""&lt;ruby&gt;$1&lt;rt&gt;$2&lt;/rt&gt;&lt;/ruby&gt;""
)&amp;""&lt;br&gt;&lt;div class=""""audio""""&gt;[sound:""&amp;C795&amp;"".mp3]&lt;/div&gt;"""),"ボール&lt;br&gt;&lt;div class=""audio""&gt;[sound:ボール.mp3]&lt;/div&gt;")</f>
        <v>ボール&lt;br&gt;&lt;div class="audio"&gt;[sound:ボール.mp3]&lt;/div&gt;</v>
      </c>
      <c r="H795" s="3" t="str">
        <f t="shared" si="1"/>
        <v>(n): quả bóng</v>
      </c>
      <c r="I795" s="6" t="s">
        <v>4286</v>
      </c>
      <c r="J795" s="6" t="s">
        <v>4287</v>
      </c>
      <c r="K795" s="7">
        <f t="shared" si="2"/>
        <v>0.3739753933</v>
      </c>
    </row>
    <row r="796">
      <c r="A796" s="4">
        <v>796.0</v>
      </c>
      <c r="B796" s="5" t="s">
        <v>4288</v>
      </c>
      <c r="C796" s="5" t="s">
        <v>4289</v>
      </c>
      <c r="D796" s="5" t="s">
        <v>4290</v>
      </c>
      <c r="E796" s="6" t="s">
        <v>24</v>
      </c>
      <c r="F796" s="6" t="s">
        <v>4291</v>
      </c>
      <c r="G796" s="3" t="str">
        <f>IFERROR(__xludf.DUMMYFUNCTION("REGEXREPLACE(
D796,
""([一-龯々]+)\[([^\]]+)\]"",
""&lt;ruby&gt;$1&lt;rt&gt;$2&lt;/rt&gt;&lt;/ruby&gt;""
)&amp;""&lt;br&gt;&lt;div class=""""audio""""&gt;[sound:""&amp;C796&amp;"".mp3]&lt;/div&gt;"""),"&lt;ruby&gt;閉&lt;rt&gt;と&lt;/rt&gt;&lt;/ruby&gt;じる&lt;br&gt;&lt;div class=""audio""&gt;[sound:とじる.mp3]&lt;/div&gt;")</f>
        <v>&lt;ruby&gt;閉&lt;rt&gt;と&lt;/rt&gt;&lt;/ruby&gt;じる&lt;br&gt;&lt;div class="audio"&gt;[sound:とじる.mp3]&lt;/div&gt;</v>
      </c>
      <c r="H796" s="3" t="str">
        <f t="shared" si="1"/>
        <v>(v): đóng</v>
      </c>
      <c r="I796" s="6" t="s">
        <v>4292</v>
      </c>
      <c r="J796" s="6" t="s">
        <v>4293</v>
      </c>
      <c r="K796" s="7">
        <f t="shared" si="2"/>
        <v>0.8997661938</v>
      </c>
    </row>
    <row r="797">
      <c r="A797" s="4">
        <v>797.0</v>
      </c>
      <c r="B797" s="5" t="s">
        <v>4294</v>
      </c>
      <c r="C797" s="5" t="s">
        <v>4295</v>
      </c>
      <c r="D797" s="5" t="s">
        <v>4296</v>
      </c>
      <c r="E797" s="6" t="s">
        <v>11</v>
      </c>
      <c r="F797" s="6" t="s">
        <v>4297</v>
      </c>
      <c r="G797" s="3" t="str">
        <f>IFERROR(__xludf.DUMMYFUNCTION("REGEXREPLACE(
D797,
""([一-龯々]+)\[([^\]]+)\]"",
""&lt;ruby&gt;$1&lt;rt&gt;$2&lt;/rt&gt;&lt;/ruby&gt;""
)&amp;""&lt;br&gt;&lt;div class=""""audio""""&gt;[sound:""&amp;C797&amp;"".mp3]&lt;/div&gt;"""),"&lt;ruby&gt;綺麗&lt;rt&gt;きれい&lt;/rt&gt;&lt;/ruby&gt;&lt;br&gt;&lt;div class=""audio""&gt;[sound:きれい.mp3]&lt;/div&gt;")</f>
        <v>&lt;ruby&gt;綺麗&lt;rt&gt;きれい&lt;/rt&gt;&lt;/ruby&gt;&lt;br&gt;&lt;div class="audio"&gt;[sound:きれい.mp3]&lt;/div&gt;</v>
      </c>
      <c r="H797" s="3" t="str">
        <f t="shared" si="1"/>
        <v>(adj): đẹp</v>
      </c>
      <c r="I797" s="6" t="s">
        <v>4298</v>
      </c>
      <c r="J797" s="6" t="s">
        <v>4299</v>
      </c>
      <c r="K797" s="7">
        <f t="shared" si="2"/>
        <v>0.4173638892</v>
      </c>
    </row>
    <row r="798">
      <c r="A798" s="4">
        <v>798.0</v>
      </c>
      <c r="B798" s="5" t="s">
        <v>4300</v>
      </c>
      <c r="C798" s="5" t="s">
        <v>4301</v>
      </c>
      <c r="D798" s="5" t="s">
        <v>4302</v>
      </c>
      <c r="E798" s="6" t="s">
        <v>24</v>
      </c>
      <c r="F798" s="6" t="s">
        <v>3674</v>
      </c>
      <c r="G798" s="3" t="str">
        <f>IFERROR(__xludf.DUMMYFUNCTION("REGEXREPLACE(
D798,
""([一-龯々]+)\[([^\]]+)\]"",
""&lt;ruby&gt;$1&lt;rt&gt;$2&lt;/rt&gt;&lt;/ruby&gt;""
)&amp;""&lt;br&gt;&lt;div class=""""audio""""&gt;[sound:""&amp;C798&amp;"".mp3]&lt;/div&gt;"""),"&lt;ruby&gt;落&lt;rt&gt;おち&lt;/rt&gt;&lt;/ruby&gt;る&lt;br&gt;&lt;div class=""audio""&gt;[sound:おちる.mp3]&lt;/div&gt;")</f>
        <v>&lt;ruby&gt;落&lt;rt&gt;おち&lt;/rt&gt;&lt;/ruby&gt;る&lt;br&gt;&lt;div class="audio"&gt;[sound:おちる.mp3]&lt;/div&gt;</v>
      </c>
      <c r="H798" s="3" t="str">
        <f t="shared" si="1"/>
        <v>(v): rơi</v>
      </c>
      <c r="I798" s="6" t="s">
        <v>4303</v>
      </c>
      <c r="J798" s="6" t="s">
        <v>4304</v>
      </c>
      <c r="K798" s="7">
        <f t="shared" si="2"/>
        <v>0.6040404208</v>
      </c>
    </row>
    <row r="799">
      <c r="A799" s="4">
        <v>799.0</v>
      </c>
      <c r="B799" s="5" t="s">
        <v>4305</v>
      </c>
      <c r="C799" s="5" t="s">
        <v>4305</v>
      </c>
      <c r="D799" s="5" t="s">
        <v>4305</v>
      </c>
      <c r="E799" s="6" t="s">
        <v>74</v>
      </c>
      <c r="F799" s="6" t="s">
        <v>4306</v>
      </c>
      <c r="G799" s="3" t="str">
        <f>IFERROR(__xludf.DUMMYFUNCTION("REGEXREPLACE(
D799,
""([一-龯々]+)\[([^\]]+)\]"",
""&lt;ruby&gt;$1&lt;rt&gt;$2&lt;/rt&gt;&lt;/ruby&gt;""
)&amp;""&lt;br&gt;&lt;div class=""""audio""""&gt;[sound:""&amp;C799&amp;"".mp3]&lt;/div&gt;"""),"おばあさん&lt;br&gt;&lt;div class=""audio""&gt;[sound:おばあさん.mp3]&lt;/div&gt;")</f>
        <v>おばあさん&lt;br&gt;&lt;div class="audio"&gt;[sound:おばあさん.mp3]&lt;/div&gt;</v>
      </c>
      <c r="H799" s="3" t="str">
        <f t="shared" si="1"/>
        <v>(n): bà</v>
      </c>
      <c r="I799" s="6" t="s">
        <v>4307</v>
      </c>
      <c r="J799" s="6" t="s">
        <v>4308</v>
      </c>
      <c r="K799" s="7">
        <f t="shared" si="2"/>
        <v>0.6136222692</v>
      </c>
    </row>
    <row r="800">
      <c r="A800" s="4">
        <v>800.0</v>
      </c>
      <c r="B800" s="5" t="s">
        <v>4309</v>
      </c>
      <c r="C800" s="5" t="s">
        <v>4310</v>
      </c>
      <c r="D800" s="5" t="s">
        <v>4311</v>
      </c>
      <c r="E800" s="6" t="s">
        <v>24</v>
      </c>
      <c r="F800" s="6" t="s">
        <v>4312</v>
      </c>
      <c r="G800" s="3" t="str">
        <f>IFERROR(__xludf.DUMMYFUNCTION("REGEXREPLACE(
D800,
""([一-龯々]+)\[([^\]]+)\]"",
""&lt;ruby&gt;$1&lt;rt&gt;$2&lt;/rt&gt;&lt;/ruby&gt;""
)&amp;""&lt;br&gt;&lt;div class=""""audio""""&gt;[sound:""&amp;C800&amp;"".mp3]&lt;/div&gt;"""),"&lt;ruby&gt;急&lt;rt&gt;いそ&lt;/rt&gt;&lt;/ruby&gt;ぐ&lt;br&gt;&lt;div class=""audio""&gt;[sound:いそぐ.mp3]&lt;/div&gt;")</f>
        <v>&lt;ruby&gt;急&lt;rt&gt;いそ&lt;/rt&gt;&lt;/ruby&gt;ぐ&lt;br&gt;&lt;div class="audio"&gt;[sound:いそぐ.mp3]&lt;/div&gt;</v>
      </c>
      <c r="H800" s="3" t="str">
        <f t="shared" si="1"/>
        <v>(v): vội</v>
      </c>
      <c r="I800" s="6" t="s">
        <v>4313</v>
      </c>
      <c r="J800" s="6" t="s">
        <v>4314</v>
      </c>
      <c r="K800" s="7">
        <f t="shared" si="2"/>
        <v>0.4399955391</v>
      </c>
    </row>
    <row r="801">
      <c r="A801" s="4">
        <v>801.0</v>
      </c>
      <c r="B801" s="5" t="s">
        <v>4315</v>
      </c>
      <c r="C801" s="5" t="s">
        <v>4316</v>
      </c>
      <c r="D801" s="5" t="s">
        <v>4317</v>
      </c>
      <c r="E801" s="6" t="s">
        <v>74</v>
      </c>
      <c r="F801" s="6" t="s">
        <v>4318</v>
      </c>
      <c r="G801" s="3" t="str">
        <f>IFERROR(__xludf.DUMMYFUNCTION("REGEXREPLACE(
D801,
""([一-龯々]+)\[([^\]]+)\]"",
""&lt;ruby&gt;$1&lt;rt&gt;$2&lt;/rt&gt;&lt;/ruby&gt;""
)&amp;""&lt;br&gt;&lt;div class=""""audio""""&gt;[sound:""&amp;C801&amp;"".mp3]&lt;/div&gt;"""),"&lt;ruby&gt;花&lt;rt&gt;はな&lt;/rt&gt;&lt;/ruby&gt;&lt;br&gt;&lt;div class=""audio""&gt;[sound:はな.mp3]&lt;/div&gt;")</f>
        <v>&lt;ruby&gt;花&lt;rt&gt;はな&lt;/rt&gt;&lt;/ruby&gt;&lt;br&gt;&lt;div class="audio"&gt;[sound:はな.mp3]&lt;/div&gt;</v>
      </c>
      <c r="H801" s="3" t="str">
        <f t="shared" si="1"/>
        <v>(n): hoa</v>
      </c>
      <c r="I801" s="6" t="s">
        <v>4319</v>
      </c>
      <c r="J801" s="6" t="s">
        <v>4320</v>
      </c>
      <c r="K801" s="7">
        <f t="shared" si="2"/>
        <v>0.3161851805</v>
      </c>
    </row>
    <row r="802">
      <c r="A802" s="4">
        <v>802.0</v>
      </c>
      <c r="B802" s="5" t="s">
        <v>4321</v>
      </c>
      <c r="C802" s="5" t="s">
        <v>4322</v>
      </c>
      <c r="D802" s="5" t="s">
        <v>4323</v>
      </c>
      <c r="E802" s="6" t="s">
        <v>11</v>
      </c>
      <c r="F802" s="6" t="s">
        <v>4324</v>
      </c>
      <c r="G802" s="3" t="str">
        <f>IFERROR(__xludf.DUMMYFUNCTION("REGEXREPLACE(
D802,
""([一-龯々]+)\[([^\]]+)\]"",
""&lt;ruby&gt;$1&lt;rt&gt;$2&lt;/rt&gt;&lt;/ruby&gt;""
)&amp;""&lt;br&gt;&lt;div class=""""audio""""&gt;[sound:""&amp;C802&amp;"".mp3]&lt;/div&gt;"""),"&lt;ruby&gt;怖&lt;rt&gt;こわ&lt;/rt&gt;&lt;/ruby&gt;い&lt;br&gt;&lt;div class=""audio""&gt;[sound:こわい.mp3]&lt;/div&gt;")</f>
        <v>&lt;ruby&gt;怖&lt;rt&gt;こわ&lt;/rt&gt;&lt;/ruby&gt;い&lt;br&gt;&lt;div class="audio"&gt;[sound:こわい.mp3]&lt;/div&gt;</v>
      </c>
      <c r="H802" s="3" t="str">
        <f t="shared" si="1"/>
        <v>(adj): sợ</v>
      </c>
      <c r="I802" s="6" t="s">
        <v>4325</v>
      </c>
      <c r="J802" s="6" t="s">
        <v>4326</v>
      </c>
      <c r="K802" s="7">
        <f t="shared" si="2"/>
        <v>0.5585430999</v>
      </c>
    </row>
    <row r="803">
      <c r="A803" s="4">
        <v>803.0</v>
      </c>
      <c r="B803" s="5" t="s">
        <v>4327</v>
      </c>
      <c r="C803" s="5" t="s">
        <v>4328</v>
      </c>
      <c r="D803" s="5" t="s">
        <v>4329</v>
      </c>
      <c r="E803" s="6" t="s">
        <v>24</v>
      </c>
      <c r="F803" s="6" t="s">
        <v>4330</v>
      </c>
      <c r="G803" s="3" t="str">
        <f>IFERROR(__xludf.DUMMYFUNCTION("REGEXREPLACE(
D803,
""([一-龯々]+)\[([^\]]+)\]"",
""&lt;ruby&gt;$1&lt;rt&gt;$2&lt;/rt&gt;&lt;/ruby&gt;""
)&amp;""&lt;br&gt;&lt;div class=""""audio""""&gt;[sound:""&amp;C803&amp;"".mp3]&lt;/div&gt;"""),"&lt;ruby&gt;押&lt;rt&gt;お&lt;/rt&gt;&lt;/ruby&gt;す&lt;br&gt;&lt;div class=""audio""&gt;[sound:おす.mp3]&lt;/div&gt;")</f>
        <v>&lt;ruby&gt;押&lt;rt&gt;お&lt;/rt&gt;&lt;/ruby&gt;す&lt;br&gt;&lt;div class="audio"&gt;[sound:おす.mp3]&lt;/div&gt;</v>
      </c>
      <c r="H803" s="3" t="str">
        <f t="shared" si="1"/>
        <v>(v): ấn</v>
      </c>
      <c r="I803" s="6" t="s">
        <v>4331</v>
      </c>
      <c r="J803" s="6" t="s">
        <v>4332</v>
      </c>
      <c r="K803" s="7">
        <f t="shared" si="2"/>
        <v>0.5903043063</v>
      </c>
    </row>
    <row r="804">
      <c r="A804" s="4">
        <v>804.0</v>
      </c>
      <c r="B804" s="5" t="s">
        <v>4333</v>
      </c>
      <c r="C804" s="5" t="s">
        <v>4334</v>
      </c>
      <c r="D804" s="5" t="s">
        <v>4335</v>
      </c>
      <c r="E804" s="6" t="s">
        <v>74</v>
      </c>
      <c r="F804" s="6" t="s">
        <v>4336</v>
      </c>
      <c r="G804" s="3" t="str">
        <f>IFERROR(__xludf.DUMMYFUNCTION("REGEXREPLACE(
D804,
""([一-龯々]+)\[([^\]]+)\]"",
""&lt;ruby&gt;$1&lt;rt&gt;$2&lt;/rt&gt;&lt;/ruby&gt;""
)&amp;""&lt;br&gt;&lt;div class=""""audio""""&gt;[sound:""&amp;C804&amp;"".mp3]&lt;/div&gt;"""),"&lt;ruby&gt;衝撃&lt;rt&gt;しょうげき&lt;/rt&gt;&lt;/ruby&gt;&lt;br&gt;&lt;div class=""audio""&gt;[sound:しょうげき.mp3]&lt;/div&gt;")</f>
        <v>&lt;ruby&gt;衝撃&lt;rt&gt;しょうげき&lt;/rt&gt;&lt;/ruby&gt;&lt;br&gt;&lt;div class="audio"&gt;[sound:しょうげき.mp3]&lt;/div&gt;</v>
      </c>
      <c r="H804" s="3" t="str">
        <f t="shared" si="1"/>
        <v>(n): sự tác động mạnh</v>
      </c>
      <c r="I804" s="6" t="s">
        <v>4337</v>
      </c>
      <c r="J804" s="6" t="s">
        <v>4338</v>
      </c>
      <c r="K804" s="7">
        <f t="shared" si="2"/>
        <v>0.9886584453</v>
      </c>
    </row>
    <row r="805">
      <c r="A805" s="4">
        <v>805.0</v>
      </c>
      <c r="B805" s="5" t="s">
        <v>4339</v>
      </c>
      <c r="C805" s="5" t="s">
        <v>4340</v>
      </c>
      <c r="D805" s="5" t="s">
        <v>4339</v>
      </c>
      <c r="E805" s="6" t="s">
        <v>74</v>
      </c>
      <c r="F805" s="6" t="s">
        <v>4341</v>
      </c>
      <c r="G805" s="3" t="str">
        <f>IFERROR(__xludf.DUMMYFUNCTION("REGEXREPLACE(
D805,
""([一-龯々]+)\[([^\]]+)\]"",
""&lt;ruby&gt;$1&lt;rt&gt;$2&lt;/rt&gt;&lt;/ruby&gt;""
)&amp;""&lt;br&gt;&lt;div class=""""audio""""&gt;[sound:""&amp;C805&amp;"".mp3]&lt;/div&gt;"""),"ファン&lt;br&gt;&lt;div class=""audio""&gt;[sound:ふぁん.mp3]&lt;/div&gt;")</f>
        <v>ファン&lt;br&gt;&lt;div class="audio"&gt;[sound:ふぁん.mp3]&lt;/div&gt;</v>
      </c>
      <c r="H805" s="3" t="str">
        <f t="shared" si="1"/>
        <v>(n): người hâm mộ</v>
      </c>
      <c r="I805" s="6" t="s">
        <v>4342</v>
      </c>
      <c r="J805" s="6" t="s">
        <v>4343</v>
      </c>
      <c r="K805" s="7">
        <f t="shared" si="2"/>
        <v>0.7188857984</v>
      </c>
    </row>
    <row r="806">
      <c r="A806" s="4">
        <v>806.0</v>
      </c>
      <c r="B806" s="5" t="s">
        <v>4344</v>
      </c>
      <c r="C806" s="5" t="s">
        <v>4345</v>
      </c>
      <c r="D806" s="5" t="s">
        <v>4344</v>
      </c>
      <c r="E806" s="6" t="s">
        <v>74</v>
      </c>
      <c r="F806" s="6" t="s">
        <v>4346</v>
      </c>
      <c r="G806" s="3" t="str">
        <f>IFERROR(__xludf.DUMMYFUNCTION("REGEXREPLACE(
D806,
""([一-龯々]+)\[([^\]]+)\]"",
""&lt;ruby&gt;$1&lt;rt&gt;$2&lt;/rt&gt;&lt;/ruby&gt;""
)&amp;""&lt;br&gt;&lt;div class=""""audio""""&gt;[sound:""&amp;C806&amp;"".mp3]&lt;/div&gt;"""),"メディア&lt;br&gt;&lt;div class=""audio""&gt;[sound:めでぃあ.mp3]&lt;/div&gt;")</f>
        <v>メディア&lt;br&gt;&lt;div class="audio"&gt;[sound:めでぃあ.mp3]&lt;/div&gt;</v>
      </c>
      <c r="H806" s="3" t="str">
        <f t="shared" si="1"/>
        <v>(n): truyền thông</v>
      </c>
      <c r="I806" s="6" t="s">
        <v>4347</v>
      </c>
      <c r="J806" s="6" t="s">
        <v>4348</v>
      </c>
      <c r="K806" s="7">
        <f t="shared" si="2"/>
        <v>0.1452843731</v>
      </c>
    </row>
    <row r="807">
      <c r="A807" s="4">
        <v>807.0</v>
      </c>
      <c r="B807" s="5" t="s">
        <v>4349</v>
      </c>
      <c r="C807" s="5" t="s">
        <v>4350</v>
      </c>
      <c r="D807" s="5" t="s">
        <v>4351</v>
      </c>
      <c r="E807" s="6" t="s">
        <v>74</v>
      </c>
      <c r="F807" s="6" t="s">
        <v>4352</v>
      </c>
      <c r="G807" s="3" t="str">
        <f>IFERROR(__xludf.DUMMYFUNCTION("REGEXREPLACE(
D807,
""([一-龯々]+)\[([^\]]+)\]"",
""&lt;ruby&gt;$1&lt;rt&gt;$2&lt;/rt&gt;&lt;/ruby&gt;""
)&amp;""&lt;br&gt;&lt;div class=""""audio""""&gt;[sound:""&amp;C807&amp;"".mp3]&lt;/div&gt;"""),"&lt;ruby&gt;不動産&lt;rt&gt;ふどうさん&lt;/rt&gt;&lt;/ruby&gt;&lt;br&gt;&lt;div class=""audio""&gt;[sound:ふどうさん.mp3]&lt;/div&gt;")</f>
        <v>&lt;ruby&gt;不動産&lt;rt&gt;ふどうさん&lt;/rt&gt;&lt;/ruby&gt;&lt;br&gt;&lt;div class="audio"&gt;[sound:ふどうさん.mp3]&lt;/div&gt;</v>
      </c>
      <c r="H807" s="3" t="str">
        <f t="shared" si="1"/>
        <v>(n): bất động sản</v>
      </c>
      <c r="I807" s="6" t="s">
        <v>4353</v>
      </c>
      <c r="J807" s="6" t="s">
        <v>4354</v>
      </c>
      <c r="K807" s="7">
        <f t="shared" si="2"/>
        <v>0.1386984908</v>
      </c>
    </row>
    <row r="808">
      <c r="A808" s="4">
        <v>808.0</v>
      </c>
      <c r="B808" s="5" t="s">
        <v>4355</v>
      </c>
      <c r="C808" s="5" t="s">
        <v>4356</v>
      </c>
      <c r="D808" s="5" t="s">
        <v>4357</v>
      </c>
      <c r="E808" s="6" t="s">
        <v>74</v>
      </c>
      <c r="F808" s="6" t="s">
        <v>4358</v>
      </c>
      <c r="G808" s="3" t="str">
        <f>IFERROR(__xludf.DUMMYFUNCTION("REGEXREPLACE(
D808,
""([一-龯々]+)\[([^\]]+)\]"",
""&lt;ruby&gt;$1&lt;rt&gt;$2&lt;/rt&gt;&lt;/ruby&gt;""
)&amp;""&lt;br&gt;&lt;div class=""""audio""""&gt;[sound:""&amp;C808&amp;"".mp3]&lt;/div&gt;"""),"&lt;ruby&gt;発生&lt;rt&gt;はっせい&lt;/rt&gt;&lt;/ruby&gt;&lt;br&gt;&lt;div class=""audio""&gt;[sound:はっせい.mp3]&lt;/div&gt;")</f>
        <v>&lt;ruby&gt;発生&lt;rt&gt;はっせい&lt;/rt&gt;&lt;/ruby&gt;&lt;br&gt;&lt;div class="audio"&gt;[sound:はっせい.mp3]&lt;/div&gt;</v>
      </c>
      <c r="H808" s="3" t="str">
        <f t="shared" si="1"/>
        <v>(n): sự phát sinh</v>
      </c>
      <c r="I808" s="6" t="s">
        <v>4359</v>
      </c>
      <c r="J808" s="6" t="s">
        <v>4360</v>
      </c>
      <c r="K808" s="7">
        <f t="shared" si="2"/>
        <v>0.9940679616</v>
      </c>
    </row>
    <row r="809">
      <c r="A809" s="4">
        <v>809.0</v>
      </c>
      <c r="B809" s="5" t="s">
        <v>4361</v>
      </c>
      <c r="C809" s="5" t="s">
        <v>4362</v>
      </c>
      <c r="D809" s="5" t="s">
        <v>4363</v>
      </c>
      <c r="E809" s="6" t="s">
        <v>74</v>
      </c>
      <c r="F809" s="6" t="s">
        <v>4364</v>
      </c>
      <c r="G809" s="3" t="str">
        <f>IFERROR(__xludf.DUMMYFUNCTION("REGEXREPLACE(
D809,
""([一-龯々]+)\[([^\]]+)\]"",
""&lt;ruby&gt;$1&lt;rt&gt;$2&lt;/rt&gt;&lt;/ruby&gt;""
)&amp;""&lt;br&gt;&lt;div class=""""audio""""&gt;[sound:""&amp;C809&amp;"".mp3]&lt;/div&gt;"""),"&lt;ruby&gt;設立&lt;rt&gt;せつりつ&lt;/rt&gt;&lt;/ruby&gt;&lt;br&gt;&lt;div class=""audio""&gt;[sound:せつりつ.mp3]&lt;/div&gt;")</f>
        <v>&lt;ruby&gt;設立&lt;rt&gt;せつりつ&lt;/rt&gt;&lt;/ruby&gt;&lt;br&gt;&lt;div class="audio"&gt;[sound:せつりつ.mp3]&lt;/div&gt;</v>
      </c>
      <c r="H809" s="3" t="str">
        <f t="shared" si="1"/>
        <v>(n): sự thành lập</v>
      </c>
      <c r="I809" s="6" t="s">
        <v>4365</v>
      </c>
      <c r="J809" s="6" t="s">
        <v>4366</v>
      </c>
      <c r="K809" s="7">
        <f t="shared" si="2"/>
        <v>0.3059335734</v>
      </c>
    </row>
    <row r="810">
      <c r="A810" s="4">
        <v>810.0</v>
      </c>
      <c r="B810" s="5" t="s">
        <v>4367</v>
      </c>
      <c r="C810" s="5" t="s">
        <v>4368</v>
      </c>
      <c r="D810" s="5" t="s">
        <v>4369</v>
      </c>
      <c r="E810" s="6" t="s">
        <v>74</v>
      </c>
      <c r="F810" s="6" t="s">
        <v>4370</v>
      </c>
      <c r="G810" s="3" t="str">
        <f>IFERROR(__xludf.DUMMYFUNCTION("REGEXREPLACE(
D810,
""([一-龯々]+)\[([^\]]+)\]"",
""&lt;ruby&gt;$1&lt;rt&gt;$2&lt;/rt&gt;&lt;/ruby&gt;""
)&amp;""&lt;br&gt;&lt;div class=""""audio""""&gt;[sound:""&amp;C810&amp;"".mp3]&lt;/div&gt;"""),"&lt;ruby&gt;体験&lt;rt&gt;たいけん&lt;/rt&gt;&lt;/ruby&gt;&lt;br&gt;&lt;div class=""audio""&gt;[sound:たいけん.mp3]&lt;/div&gt;")</f>
        <v>&lt;ruby&gt;体験&lt;rt&gt;たいけん&lt;/rt&gt;&lt;/ruby&gt;&lt;br&gt;&lt;div class="audio"&gt;[sound:たいけん.mp3]&lt;/div&gt;</v>
      </c>
      <c r="H810" s="3" t="str">
        <f t="shared" si="1"/>
        <v>(n): trải nghiệm</v>
      </c>
      <c r="I810" s="6" t="s">
        <v>4371</v>
      </c>
      <c r="J810" s="6" t="s">
        <v>4372</v>
      </c>
      <c r="K810" s="7">
        <f t="shared" si="2"/>
        <v>0.1566576371</v>
      </c>
    </row>
    <row r="811">
      <c r="A811" s="4">
        <v>811.0</v>
      </c>
      <c r="B811" s="5" t="s">
        <v>4373</v>
      </c>
      <c r="C811" s="5" t="s">
        <v>4374</v>
      </c>
      <c r="D811" s="5" t="s">
        <v>4375</v>
      </c>
      <c r="E811" s="6" t="s">
        <v>74</v>
      </c>
      <c r="F811" s="6" t="s">
        <v>4376</v>
      </c>
      <c r="G811" s="3" t="str">
        <f>IFERROR(__xludf.DUMMYFUNCTION("REGEXREPLACE(
D811,
""([一-龯々]+)\[([^\]]+)\]"",
""&lt;ruby&gt;$1&lt;rt&gt;$2&lt;/rt&gt;&lt;/ruby&gt;""
)&amp;""&lt;br&gt;&lt;div class=""""audio""""&gt;[sound:""&amp;C811&amp;"".mp3]&lt;/div&gt;"""),"&lt;ruby&gt;再生&lt;rt&gt;さいせい&lt;/rt&gt;&lt;/ruby&gt;&lt;br&gt;&lt;div class=""audio""&gt;[sound:さいせい.mp3]&lt;/div&gt;")</f>
        <v>&lt;ruby&gt;再生&lt;rt&gt;さいせい&lt;/rt&gt;&lt;/ruby&gt;&lt;br&gt;&lt;div class="audio"&gt;[sound:さいせい.mp3]&lt;/div&gt;</v>
      </c>
      <c r="H811" s="3" t="str">
        <f t="shared" si="1"/>
        <v>(n): sự tái sinh</v>
      </c>
      <c r="I811" s="6" t="s">
        <v>4377</v>
      </c>
      <c r="J811" s="6" t="s">
        <v>4378</v>
      </c>
      <c r="K811" s="7">
        <f t="shared" si="2"/>
        <v>0.1233859087</v>
      </c>
    </row>
    <row r="812">
      <c r="A812" s="4">
        <v>812.0</v>
      </c>
      <c r="B812" s="5" t="s">
        <v>4379</v>
      </c>
      <c r="C812" s="5" t="s">
        <v>4380</v>
      </c>
      <c r="D812" s="5" t="s">
        <v>4381</v>
      </c>
      <c r="E812" s="6" t="s">
        <v>74</v>
      </c>
      <c r="F812" s="6" t="s">
        <v>4382</v>
      </c>
      <c r="G812" s="3" t="str">
        <f>IFERROR(__xludf.DUMMYFUNCTION("REGEXREPLACE(
D812,
""([一-龯々]+)\[([^\]]+)\]"",
""&lt;ruby&gt;$1&lt;rt&gt;$2&lt;/rt&gt;&lt;/ruby&gt;""
)&amp;""&lt;br&gt;&lt;div class=""""audio""""&gt;[sound:""&amp;C812&amp;"".mp3]&lt;/div&gt;"""),"&lt;ruby&gt;反応&lt;rt&gt;はんのう&lt;/rt&gt;&lt;/ruby&gt;&lt;br&gt;&lt;div class=""audio""&gt;[sound:はんのう.mp3]&lt;/div&gt;")</f>
        <v>&lt;ruby&gt;反応&lt;rt&gt;はんのう&lt;/rt&gt;&lt;/ruby&gt;&lt;br&gt;&lt;div class="audio"&gt;[sound:はんのう.mp3]&lt;/div&gt;</v>
      </c>
      <c r="H812" s="3" t="str">
        <f t="shared" si="1"/>
        <v>(n): sự phản ứng</v>
      </c>
      <c r="I812" s="6" t="s">
        <v>4383</v>
      </c>
      <c r="J812" s="6" t="s">
        <v>4384</v>
      </c>
      <c r="K812" s="7">
        <f t="shared" si="2"/>
        <v>0.4563709081</v>
      </c>
    </row>
    <row r="813">
      <c r="A813" s="4">
        <v>813.0</v>
      </c>
      <c r="B813" s="5" t="s">
        <v>4385</v>
      </c>
      <c r="C813" s="5" t="s">
        <v>4386</v>
      </c>
      <c r="D813" s="5" t="s">
        <v>4387</v>
      </c>
      <c r="E813" s="6" t="s">
        <v>74</v>
      </c>
      <c r="F813" s="6" t="s">
        <v>4388</v>
      </c>
      <c r="G813" s="3" t="str">
        <f>IFERROR(__xludf.DUMMYFUNCTION("REGEXREPLACE(
D813,
""([一-龯々]+)\[([^\]]+)\]"",
""&lt;ruby&gt;$1&lt;rt&gt;$2&lt;/rt&gt;&lt;/ruby&gt;""
)&amp;""&lt;br&gt;&lt;div class=""""audio""""&gt;[sound:""&amp;C813&amp;"".mp3]&lt;/div&gt;"""),"&lt;ruby&gt;緩和&lt;rt&gt;かんわ&lt;/rt&gt;&lt;/ruby&gt;&lt;br&gt;&lt;div class=""audio""&gt;[sound:かんわ.mp3]&lt;/div&gt;")</f>
        <v>&lt;ruby&gt;緩和&lt;rt&gt;かんわ&lt;/rt&gt;&lt;/ruby&gt;&lt;br&gt;&lt;div class="audio"&gt;[sound:かんわ.mp3]&lt;/div&gt;</v>
      </c>
      <c r="H813" s="3" t="str">
        <f t="shared" si="1"/>
        <v>(n): sự nới lỏng</v>
      </c>
      <c r="I813" s="6" t="s">
        <v>4389</v>
      </c>
      <c r="J813" s="6" t="s">
        <v>4390</v>
      </c>
      <c r="K813" s="7">
        <f t="shared" si="2"/>
        <v>0.4241255967</v>
      </c>
    </row>
    <row r="814">
      <c r="A814" s="4">
        <v>814.0</v>
      </c>
      <c r="B814" s="5" t="s">
        <v>4391</v>
      </c>
      <c r="C814" s="5" t="s">
        <v>4392</v>
      </c>
      <c r="D814" s="5" t="s">
        <v>4393</v>
      </c>
      <c r="E814" s="6" t="s">
        <v>74</v>
      </c>
      <c r="F814" s="6" t="s">
        <v>4394</v>
      </c>
      <c r="G814" s="3" t="str">
        <f>IFERROR(__xludf.DUMMYFUNCTION("REGEXREPLACE(
D814,
""([一-龯々]+)\[([^\]]+)\]"",
""&lt;ruby&gt;$1&lt;rt&gt;$2&lt;/rt&gt;&lt;/ruby&gt;""
)&amp;""&lt;br&gt;&lt;div class=""""audio""""&gt;[sound:""&amp;C814&amp;"".mp3]&lt;/div&gt;"""),"&lt;ruby&gt;要因&lt;rt&gt;よういん&lt;/rt&gt;&lt;/ruby&gt;&lt;br&gt;&lt;div class=""audio""&gt;[sound:よういん.mp3]&lt;/div&gt;")</f>
        <v>&lt;ruby&gt;要因&lt;rt&gt;よういん&lt;/rt&gt;&lt;/ruby&gt;&lt;br&gt;&lt;div class="audio"&gt;[sound:よういん.mp3]&lt;/div&gt;</v>
      </c>
      <c r="H814" s="3" t="str">
        <f t="shared" si="1"/>
        <v>(n): nguyên nhân</v>
      </c>
      <c r="I814" s="6" t="s">
        <v>4395</v>
      </c>
      <c r="J814" s="6" t="s">
        <v>4396</v>
      </c>
      <c r="K814" s="7">
        <f t="shared" si="2"/>
        <v>0.2288301571</v>
      </c>
    </row>
    <row r="815">
      <c r="A815" s="4">
        <v>815.0</v>
      </c>
      <c r="B815" s="5" t="s">
        <v>4397</v>
      </c>
      <c r="C815" s="5" t="s">
        <v>4398</v>
      </c>
      <c r="D815" s="5" t="s">
        <v>4399</v>
      </c>
      <c r="E815" s="6" t="s">
        <v>74</v>
      </c>
      <c r="F815" s="6" t="s">
        <v>4400</v>
      </c>
      <c r="G815" s="3" t="str">
        <f>IFERROR(__xludf.DUMMYFUNCTION("REGEXREPLACE(
D815,
""([一-龯々]+)\[([^\]]+)\]"",
""&lt;ruby&gt;$1&lt;rt&gt;$2&lt;/rt&gt;&lt;/ruby&gt;""
)&amp;""&lt;br&gt;&lt;div class=""""audio""""&gt;[sound:""&amp;C815&amp;"".mp3]&lt;/div&gt;"""),"&lt;ruby&gt;記載&lt;rt&gt;きさい&lt;/rt&gt;&lt;/ruby&gt;&lt;br&gt;&lt;div class=""audio""&gt;[sound:きさい.mp3]&lt;/div&gt;")</f>
        <v>&lt;ruby&gt;記載&lt;rt&gt;きさい&lt;/rt&gt;&lt;/ruby&gt;&lt;br&gt;&lt;div class="audio"&gt;[sound:きさい.mp3]&lt;/div&gt;</v>
      </c>
      <c r="H815" s="3" t="str">
        <f t="shared" si="1"/>
        <v>(n): sự ghi chép</v>
      </c>
      <c r="I815" s="6" t="s">
        <v>4401</v>
      </c>
      <c r="J815" s="6" t="s">
        <v>4402</v>
      </c>
      <c r="K815" s="7">
        <f t="shared" si="2"/>
        <v>0.06425577403</v>
      </c>
    </row>
    <row r="816">
      <c r="A816" s="4">
        <v>816.0</v>
      </c>
      <c r="B816" s="5" t="s">
        <v>4403</v>
      </c>
      <c r="C816" s="5" t="s">
        <v>4404</v>
      </c>
      <c r="D816" s="5" t="s">
        <v>4405</v>
      </c>
      <c r="E816" s="6" t="s">
        <v>74</v>
      </c>
      <c r="F816" s="6" t="s">
        <v>4406</v>
      </c>
      <c r="G816" s="3" t="str">
        <f>IFERROR(__xludf.DUMMYFUNCTION("REGEXREPLACE(
D816,
""([一-龯々]+)\[([^\]]+)\]"",
""&lt;ruby&gt;$1&lt;rt&gt;$2&lt;/rt&gt;&lt;/ruby&gt;""
)&amp;""&lt;br&gt;&lt;div class=""""audio""""&gt;[sound:""&amp;C816&amp;"".mp3]&lt;/div&gt;"""),"&lt;ruby&gt;運営&lt;rt&gt;うんえい&lt;/rt&gt;&lt;/ruby&gt;&lt;br&gt;&lt;div class=""audio""&gt;[sound:うんえい.mp3]&lt;/div&gt;")</f>
        <v>&lt;ruby&gt;運営&lt;rt&gt;うんえい&lt;/rt&gt;&lt;/ruby&gt;&lt;br&gt;&lt;div class="audio"&gt;[sound:うんえい.mp3]&lt;/div&gt;</v>
      </c>
      <c r="H816" s="3" t="str">
        <f t="shared" si="1"/>
        <v>(n): sự vận hành</v>
      </c>
      <c r="I816" s="6" t="s">
        <v>4407</v>
      </c>
      <c r="J816" s="6" t="s">
        <v>4408</v>
      </c>
      <c r="K816" s="7">
        <f t="shared" si="2"/>
        <v>0.5667880773</v>
      </c>
    </row>
    <row r="817">
      <c r="A817" s="4">
        <v>817.0</v>
      </c>
      <c r="B817" s="5" t="s">
        <v>4409</v>
      </c>
      <c r="C817" s="5" t="s">
        <v>4410</v>
      </c>
      <c r="D817" s="5" t="s">
        <v>4411</v>
      </c>
      <c r="E817" s="6" t="s">
        <v>74</v>
      </c>
      <c r="F817" s="6" t="s">
        <v>4412</v>
      </c>
      <c r="G817" s="3" t="str">
        <f>IFERROR(__xludf.DUMMYFUNCTION("REGEXREPLACE(
D817,
""([一-龯々]+)\[([^\]]+)\]"",
""&lt;ruby&gt;$1&lt;rt&gt;$2&lt;/rt&gt;&lt;/ruby&gt;""
)&amp;""&lt;br&gt;&lt;div class=""""audio""""&gt;[sound:""&amp;C817&amp;"".mp3]&lt;/div&gt;"""),"&lt;ruby&gt;達成&lt;rt&gt;たっせい&lt;/rt&gt;&lt;/ruby&gt;&lt;br&gt;&lt;div class=""audio""&gt;[sound:たっせい.mp3]&lt;/div&gt;")</f>
        <v>&lt;ruby&gt;達成&lt;rt&gt;たっせい&lt;/rt&gt;&lt;/ruby&gt;&lt;br&gt;&lt;div class="audio"&gt;[sound:たっせい.mp3]&lt;/div&gt;</v>
      </c>
      <c r="H817" s="3" t="str">
        <f t="shared" si="1"/>
        <v>(n): sự đạt được</v>
      </c>
      <c r="I817" s="6" t="s">
        <v>4413</v>
      </c>
      <c r="J817" s="6" t="s">
        <v>4414</v>
      </c>
      <c r="K817" s="7">
        <f t="shared" si="2"/>
        <v>0.09915599624</v>
      </c>
    </row>
    <row r="818">
      <c r="A818" s="4">
        <v>818.0</v>
      </c>
      <c r="B818" s="5" t="s">
        <v>4415</v>
      </c>
      <c r="C818" s="5" t="s">
        <v>4416</v>
      </c>
      <c r="D818" s="5" t="s">
        <v>4417</v>
      </c>
      <c r="E818" s="6" t="s">
        <v>74</v>
      </c>
      <c r="F818" s="6" t="s">
        <v>4418</v>
      </c>
      <c r="G818" s="3" t="str">
        <f>IFERROR(__xludf.DUMMYFUNCTION("REGEXREPLACE(
D818,
""([一-龯々]+)\[([^\]]+)\]"",
""&lt;ruby&gt;$1&lt;rt&gt;$2&lt;/rt&gt;&lt;/ruby&gt;""
)&amp;""&lt;br&gt;&lt;div class=""""audio""""&gt;[sound:""&amp;C818&amp;"".mp3]&lt;/div&gt;"""),"&lt;ruby&gt;限定&lt;rt&gt;げんてい&lt;/rt&gt;&lt;/ruby&gt;&lt;br&gt;&lt;div class=""audio""&gt;[sound:げんてい.mp3]&lt;/div&gt;")</f>
        <v>&lt;ruby&gt;限定&lt;rt&gt;げんてい&lt;/rt&gt;&lt;/ruby&gt;&lt;br&gt;&lt;div class="audio"&gt;[sound:げんてい.mp3]&lt;/div&gt;</v>
      </c>
      <c r="H818" s="3" t="str">
        <f t="shared" si="1"/>
        <v>(n): sự giới hạn</v>
      </c>
      <c r="I818" s="6" t="s">
        <v>4419</v>
      </c>
      <c r="J818" s="6" t="s">
        <v>4420</v>
      </c>
      <c r="K818" s="7">
        <f t="shared" si="2"/>
        <v>0.2720812372</v>
      </c>
    </row>
    <row r="819">
      <c r="A819" s="4">
        <v>819.0</v>
      </c>
      <c r="B819" s="5" t="s">
        <v>4421</v>
      </c>
      <c r="C819" s="5" t="s">
        <v>4422</v>
      </c>
      <c r="D819" s="5" t="s">
        <v>4421</v>
      </c>
      <c r="E819" s="6" t="s">
        <v>74</v>
      </c>
      <c r="F819" s="6" t="s">
        <v>4423</v>
      </c>
      <c r="G819" s="3" t="str">
        <f>IFERROR(__xludf.DUMMYFUNCTION("REGEXREPLACE(
D819,
""([一-龯々]+)\[([^\]]+)\]"",
""&lt;ruby&gt;$1&lt;rt&gt;$2&lt;/rt&gt;&lt;/ruby&gt;""
)&amp;""&lt;br&gt;&lt;div class=""""audio""""&gt;[sound:""&amp;C819&amp;"".mp3]&lt;/div&gt;"""),"スペース&lt;br&gt;&lt;div class=""audio""&gt;[sound:すぺーす.mp3]&lt;/div&gt;")</f>
        <v>スペース&lt;br&gt;&lt;div class="audio"&gt;[sound:すぺーす.mp3]&lt;/div&gt;</v>
      </c>
      <c r="H819" s="3" t="str">
        <f t="shared" si="1"/>
        <v>(n): không gian</v>
      </c>
      <c r="I819" s="6" t="s">
        <v>4424</v>
      </c>
      <c r="J819" s="6" t="s">
        <v>4425</v>
      </c>
      <c r="K819" s="7">
        <f t="shared" si="2"/>
        <v>0.4255571191</v>
      </c>
    </row>
    <row r="820">
      <c r="A820" s="4">
        <v>820.0</v>
      </c>
      <c r="B820" s="5" t="s">
        <v>4426</v>
      </c>
      <c r="C820" s="5" t="s">
        <v>4427</v>
      </c>
      <c r="D820" s="5" t="s">
        <v>4428</v>
      </c>
      <c r="E820" s="6" t="s">
        <v>74</v>
      </c>
      <c r="F820" s="6" t="s">
        <v>4429</v>
      </c>
      <c r="G820" s="3" t="str">
        <f>IFERROR(__xludf.DUMMYFUNCTION("REGEXREPLACE(
D820,
""([一-龯々]+)\[([^\]]+)\]"",
""&lt;ruby&gt;$1&lt;rt&gt;$2&lt;/rt&gt;&lt;/ruby&gt;""
)&amp;""&lt;br&gt;&lt;div class=""""audio""""&gt;[sound:""&amp;C820&amp;"".mp3]&lt;/div&gt;"""),"&lt;ruby&gt;優先&lt;rt&gt;ゆうせん&lt;/rt&gt;&lt;/ruby&gt;&lt;br&gt;&lt;div class=""audio""&gt;[sound:ゆうせん.mp3]&lt;/div&gt;")</f>
        <v>&lt;ruby&gt;優先&lt;rt&gt;ゆうせん&lt;/rt&gt;&lt;/ruby&gt;&lt;br&gt;&lt;div class="audio"&gt;[sound:ゆうせん.mp3]&lt;/div&gt;</v>
      </c>
      <c r="H820" s="3" t="str">
        <f t="shared" si="1"/>
        <v>(n): sự ưu tiên</v>
      </c>
      <c r="I820" s="6" t="s">
        <v>4430</v>
      </c>
      <c r="J820" s="6" t="s">
        <v>4431</v>
      </c>
      <c r="K820" s="7">
        <f t="shared" si="2"/>
        <v>0.9678460592</v>
      </c>
    </row>
    <row r="821">
      <c r="A821" s="4">
        <v>821.0</v>
      </c>
      <c r="B821" s="5" t="s">
        <v>4432</v>
      </c>
      <c r="C821" s="5" t="s">
        <v>4433</v>
      </c>
      <c r="D821" s="5" t="s">
        <v>4434</v>
      </c>
      <c r="E821" s="6" t="s">
        <v>74</v>
      </c>
      <c r="F821" s="6" t="s">
        <v>4435</v>
      </c>
      <c r="G821" s="3" t="str">
        <f>IFERROR(__xludf.DUMMYFUNCTION("REGEXREPLACE(
D821,
""([一-龯々]+)\[([^\]]+)\]"",
""&lt;ruby&gt;$1&lt;rt&gt;$2&lt;/rt&gt;&lt;/ruby&gt;""
)&amp;""&lt;br&gt;&lt;div class=""""audio""""&gt;[sound:""&amp;C821&amp;"".mp3]&lt;/div&gt;"""),"&lt;ruby&gt;報道&lt;rt&gt;ほうどう&lt;/rt&gt;&lt;/ruby&gt;&lt;br&gt;&lt;div class=""audio""&gt;[sound:ほうどう.mp3]&lt;/div&gt;")</f>
        <v>&lt;ruby&gt;報道&lt;rt&gt;ほうどう&lt;/rt&gt;&lt;/ruby&gt;&lt;br&gt;&lt;div class="audio"&gt;[sound:ほうどう.mp3]&lt;/div&gt;</v>
      </c>
      <c r="H821" s="3" t="str">
        <f t="shared" si="1"/>
        <v>(n): sự đưa tin</v>
      </c>
      <c r="I821" s="6" t="s">
        <v>4436</v>
      </c>
      <c r="J821" s="6" t="s">
        <v>4437</v>
      </c>
      <c r="K821" s="7">
        <f t="shared" si="2"/>
        <v>0.9910822752</v>
      </c>
    </row>
    <row r="822">
      <c r="A822" s="4">
        <v>822.0</v>
      </c>
      <c r="B822" s="5" t="s">
        <v>4438</v>
      </c>
      <c r="C822" s="5" t="s">
        <v>4439</v>
      </c>
      <c r="D822" s="5" t="s">
        <v>4440</v>
      </c>
      <c r="E822" s="6" t="s">
        <v>24</v>
      </c>
      <c r="F822" s="6" t="s">
        <v>3074</v>
      </c>
      <c r="G822" s="3" t="str">
        <f>IFERROR(__xludf.DUMMYFUNCTION("REGEXREPLACE(
D822,
""([一-龯々]+)\[([^\]]+)\]"",
""&lt;ruby&gt;$1&lt;rt&gt;$2&lt;/rt&gt;&lt;/ruby&gt;""
)&amp;""&lt;br&gt;&lt;div class=""""audio""""&gt;[sound:""&amp;C822&amp;"".mp3]&lt;/div&gt;"""),"&lt;ruby&gt;果&lt;rt&gt;は&lt;/rt&gt;&lt;/ruby&gt;たす&lt;br&gt;&lt;div class=""audio""&gt;[sound:はたす.mp3]&lt;/div&gt;")</f>
        <v>&lt;ruby&gt;果&lt;rt&gt;は&lt;/rt&gt;&lt;/ruby&gt;たす&lt;br&gt;&lt;div class="audio"&gt;[sound:はたす.mp3]&lt;/div&gt;</v>
      </c>
      <c r="H822" s="3" t="str">
        <f t="shared" si="1"/>
        <v>(v): hoàn thành</v>
      </c>
      <c r="I822" s="6" t="s">
        <v>4441</v>
      </c>
      <c r="J822" s="6" t="s">
        <v>4442</v>
      </c>
      <c r="K822" s="7">
        <f t="shared" si="2"/>
        <v>0.7263102616</v>
      </c>
    </row>
    <row r="823">
      <c r="A823" s="4">
        <v>823.0</v>
      </c>
      <c r="B823" s="5" t="s">
        <v>4443</v>
      </c>
      <c r="C823" s="5" t="s">
        <v>4444</v>
      </c>
      <c r="D823" s="5" t="s">
        <v>4445</v>
      </c>
      <c r="E823" s="6" t="s">
        <v>74</v>
      </c>
      <c r="F823" s="6" t="s">
        <v>4446</v>
      </c>
      <c r="G823" s="3" t="str">
        <f>IFERROR(__xludf.DUMMYFUNCTION("REGEXREPLACE(
D823,
""([一-龯々]+)\[([^\]]+)\]"",
""&lt;ruby&gt;$1&lt;rt&gt;$2&lt;/rt&gt;&lt;/ruby&gt;""
)&amp;""&lt;br&gt;&lt;div class=""""audio""""&gt;[sound:""&amp;C823&amp;"".mp3]&lt;/div&gt;"""),"&lt;ruby&gt;要請&lt;rt&gt;ようせい&lt;/rt&gt;&lt;/ruby&gt;&lt;br&gt;&lt;div class=""audio""&gt;[sound:ようせい.mp3]&lt;/div&gt;")</f>
        <v>&lt;ruby&gt;要請&lt;rt&gt;ようせい&lt;/rt&gt;&lt;/ruby&gt;&lt;br&gt;&lt;div class="audio"&gt;[sound:ようせい.mp3]&lt;/div&gt;</v>
      </c>
      <c r="H823" s="3" t="str">
        <f t="shared" si="1"/>
        <v>(n): sự đề nghị</v>
      </c>
      <c r="I823" s="6" t="s">
        <v>4447</v>
      </c>
      <c r="J823" s="6" t="s">
        <v>4448</v>
      </c>
      <c r="K823" s="7">
        <f t="shared" si="2"/>
        <v>0.9818366045</v>
      </c>
    </row>
    <row r="824">
      <c r="A824" s="4">
        <v>824.0</v>
      </c>
      <c r="B824" s="5" t="s">
        <v>4449</v>
      </c>
      <c r="C824" s="5" t="s">
        <v>4450</v>
      </c>
      <c r="D824" s="5" t="s">
        <v>4451</v>
      </c>
      <c r="E824" s="6" t="s">
        <v>74</v>
      </c>
      <c r="F824" s="6" t="s">
        <v>4452</v>
      </c>
      <c r="G824" s="3" t="str">
        <f>IFERROR(__xludf.DUMMYFUNCTION("REGEXREPLACE(
D824,
""([一-龯々]+)\[([^\]]+)\]"",
""&lt;ruby&gt;$1&lt;rt&gt;$2&lt;/rt&gt;&lt;/ruby&gt;""
)&amp;""&lt;br&gt;&lt;div class=""""audio""""&gt;[sound:""&amp;C824&amp;"".mp3]&lt;/div&gt;"""),"&lt;ruby&gt;設置&lt;rt&gt;せっち&lt;/rt&gt;&lt;/ruby&gt;&lt;br&gt;&lt;div class=""audio""&gt;[sound:せっち.mp3]&lt;/div&gt;")</f>
        <v>&lt;ruby&gt;設置&lt;rt&gt;せっち&lt;/rt&gt;&lt;/ruby&gt;&lt;br&gt;&lt;div class="audio"&gt;[sound:せっち.mp3]&lt;/div&gt;</v>
      </c>
      <c r="H824" s="3" t="str">
        <f t="shared" si="1"/>
        <v>(n): sự lắp đặt</v>
      </c>
      <c r="I824" s="6" t="s">
        <v>4453</v>
      </c>
      <c r="J824" s="6" t="s">
        <v>4454</v>
      </c>
      <c r="K824" s="7">
        <f t="shared" si="2"/>
        <v>0.9152711324</v>
      </c>
    </row>
    <row r="825">
      <c r="A825" s="4">
        <v>825.0</v>
      </c>
      <c r="B825" s="5" t="s">
        <v>4455</v>
      </c>
      <c r="C825" s="5" t="s">
        <v>4456</v>
      </c>
      <c r="D825" s="5" t="s">
        <v>4457</v>
      </c>
      <c r="E825" s="6" t="s">
        <v>74</v>
      </c>
      <c r="F825" s="6" t="s">
        <v>4458</v>
      </c>
      <c r="G825" s="3" t="str">
        <f>IFERROR(__xludf.DUMMYFUNCTION("REGEXREPLACE(
D825,
""([一-龯々]+)\[([^\]]+)\]"",
""&lt;ruby&gt;$1&lt;rt&gt;$2&lt;/rt&gt;&lt;/ruby&gt;""
)&amp;""&lt;br&gt;&lt;div class=""""audio""""&gt;[sound:""&amp;C825&amp;"".mp3]&lt;/div&gt;"""),"&lt;ruby&gt;開催&lt;rt&gt;かいさい&lt;/rt&gt;&lt;/ruby&gt;&lt;br&gt;&lt;div class=""audio""&gt;[sound:かいさい.mp3]&lt;/div&gt;")</f>
        <v>&lt;ruby&gt;開催&lt;rt&gt;かいさい&lt;/rt&gt;&lt;/ruby&gt;&lt;br&gt;&lt;div class="audio"&gt;[sound:かいさい.mp3]&lt;/div&gt;</v>
      </c>
      <c r="H825" s="3" t="str">
        <f t="shared" si="1"/>
        <v>(n): sự tổ chức</v>
      </c>
      <c r="I825" s="6" t="s">
        <v>4459</v>
      </c>
      <c r="J825" s="6" t="s">
        <v>4460</v>
      </c>
      <c r="K825" s="7">
        <f t="shared" si="2"/>
        <v>0.2786829234</v>
      </c>
    </row>
    <row r="826">
      <c r="A826" s="4">
        <v>826.0</v>
      </c>
      <c r="B826" s="5" t="s">
        <v>4461</v>
      </c>
      <c r="C826" s="5" t="s">
        <v>4462</v>
      </c>
      <c r="D826" s="5" t="s">
        <v>4461</v>
      </c>
      <c r="E826" s="6" t="s">
        <v>74</v>
      </c>
      <c r="F826" s="6" t="s">
        <v>4463</v>
      </c>
      <c r="G826" s="3" t="str">
        <f>IFERROR(__xludf.DUMMYFUNCTION("REGEXREPLACE(
D826,
""([一-龯々]+)\[([^\]]+)\]"",
""&lt;ruby&gt;$1&lt;rt&gt;$2&lt;/rt&gt;&lt;/ruby&gt;""
)&amp;""&lt;br&gt;&lt;div class=""""audio""""&gt;[sound:""&amp;C826&amp;"".mp3]&lt;/div&gt;"""),"キャリア&lt;br&gt;&lt;div class=""audio""&gt;[sound:きゃりあ.mp3]&lt;/div&gt;")</f>
        <v>キャリア&lt;br&gt;&lt;div class="audio"&gt;[sound:きゃりあ.mp3]&lt;/div&gt;</v>
      </c>
      <c r="H826" s="3" t="str">
        <f t="shared" si="1"/>
        <v>(n): sự nghiệp</v>
      </c>
      <c r="I826" s="6" t="s">
        <v>4464</v>
      </c>
      <c r="J826" s="6" t="s">
        <v>4465</v>
      </c>
      <c r="K826" s="7">
        <f t="shared" si="2"/>
        <v>0.311544253</v>
      </c>
    </row>
    <row r="827">
      <c r="A827" s="4">
        <v>827.0</v>
      </c>
      <c r="B827" s="5" t="s">
        <v>4466</v>
      </c>
      <c r="C827" s="5" t="s">
        <v>4467</v>
      </c>
      <c r="D827" s="5" t="s">
        <v>4466</v>
      </c>
      <c r="E827" s="6" t="s">
        <v>74</v>
      </c>
      <c r="F827" s="6" t="s">
        <v>4468</v>
      </c>
      <c r="G827" s="3" t="str">
        <f>IFERROR(__xludf.DUMMYFUNCTION("REGEXREPLACE(
D827,
""([一-龯々]+)\[([^\]]+)\]"",
""&lt;ruby&gt;$1&lt;rt&gt;$2&lt;/rt&gt;&lt;/ruby&gt;""
)&amp;""&lt;br&gt;&lt;div class=""""audio""""&gt;[sound:""&amp;C827&amp;"".mp3]&lt;/div&gt;"""),"ゲスト&lt;br&gt;&lt;div class=""audio""&gt;[sound:げすと.mp3]&lt;/div&gt;")</f>
        <v>ゲスト&lt;br&gt;&lt;div class="audio"&gt;[sound:げすと.mp3]&lt;/div&gt;</v>
      </c>
      <c r="H827" s="3" t="str">
        <f t="shared" si="1"/>
        <v>(n): khách mời</v>
      </c>
      <c r="I827" s="6" t="s">
        <v>4469</v>
      </c>
      <c r="J827" s="6" t="s">
        <v>4470</v>
      </c>
      <c r="K827" s="7">
        <f t="shared" si="2"/>
        <v>0.358571476</v>
      </c>
    </row>
    <row r="828">
      <c r="A828" s="4">
        <v>828.0</v>
      </c>
      <c r="B828" s="5" t="s">
        <v>4471</v>
      </c>
      <c r="C828" s="5" t="s">
        <v>4472</v>
      </c>
      <c r="D828" s="5" t="s">
        <v>4471</v>
      </c>
      <c r="E828" s="6" t="s">
        <v>74</v>
      </c>
      <c r="F828" s="6" t="s">
        <v>4473</v>
      </c>
      <c r="G828" s="3" t="str">
        <f>IFERROR(__xludf.DUMMYFUNCTION("REGEXREPLACE(
D828,
""([一-龯々]+)\[([^\]]+)\]"",
""&lt;ruby&gt;$1&lt;rt&gt;$2&lt;/rt&gt;&lt;/ruby&gt;""
)&amp;""&lt;br&gt;&lt;div class=""""audio""""&gt;[sound:""&amp;C828&amp;"".mp3]&lt;/div&gt;"""),"タイミング&lt;br&gt;&lt;div class=""audio""&gt;[sound:たいみんぐ.mp3]&lt;/div&gt;")</f>
        <v>タイミング&lt;br&gt;&lt;div class="audio"&gt;[sound:たいみんぐ.mp3]&lt;/div&gt;</v>
      </c>
      <c r="H828" s="3" t="str">
        <f t="shared" si="1"/>
        <v>(n): thời điểm</v>
      </c>
      <c r="I828" s="6" t="s">
        <v>4474</v>
      </c>
      <c r="J828" s="6" t="s">
        <v>4475</v>
      </c>
      <c r="K828" s="7">
        <f t="shared" si="2"/>
        <v>0.00209768083</v>
      </c>
    </row>
    <row r="829">
      <c r="A829" s="4">
        <v>829.0</v>
      </c>
      <c r="B829" s="5" t="s">
        <v>4476</v>
      </c>
      <c r="C829" s="5" t="s">
        <v>4477</v>
      </c>
      <c r="D829" s="5" t="s">
        <v>4476</v>
      </c>
      <c r="E829" s="6" t="s">
        <v>74</v>
      </c>
      <c r="F829" s="6" t="s">
        <v>915</v>
      </c>
      <c r="G829" s="3" t="str">
        <f>IFERROR(__xludf.DUMMYFUNCTION("REGEXREPLACE(
D829,
""([一-龯々]+)\[([^\]]+)\]"",
""&lt;ruby&gt;$1&lt;rt&gt;$2&lt;/rt&gt;&lt;/ruby&gt;""
)&amp;""&lt;br&gt;&lt;div class=""""audio""""&gt;[sound:""&amp;C829&amp;"".mp3]&lt;/div&gt;"""),"タイム&lt;br&gt;&lt;div class=""audio""&gt;[sound:たいむ.mp3]&lt;/div&gt;")</f>
        <v>タイム&lt;br&gt;&lt;div class="audio"&gt;[sound:たいむ.mp3]&lt;/div&gt;</v>
      </c>
      <c r="H829" s="3" t="str">
        <f t="shared" si="1"/>
        <v>(n): thời gian</v>
      </c>
      <c r="I829" s="6" t="s">
        <v>4478</v>
      </c>
      <c r="J829" s="6" t="s">
        <v>4479</v>
      </c>
      <c r="K829" s="7">
        <f t="shared" si="2"/>
        <v>0.8463939781</v>
      </c>
    </row>
    <row r="830">
      <c r="A830" s="4">
        <v>830.0</v>
      </c>
      <c r="B830" s="5" t="s">
        <v>4480</v>
      </c>
      <c r="C830" s="5" t="s">
        <v>4480</v>
      </c>
      <c r="D830" s="5" t="s">
        <v>4480</v>
      </c>
      <c r="E830" s="6" t="s">
        <v>85</v>
      </c>
      <c r="F830" s="6" t="s">
        <v>4481</v>
      </c>
      <c r="G830" s="3" t="str">
        <f>IFERROR(__xludf.DUMMYFUNCTION("REGEXREPLACE(
D830,
""([一-龯々]+)\[([^\]]+)\]"",
""&lt;ruby&gt;$1&lt;rt&gt;$2&lt;/rt&gt;&lt;/ruby&gt;""
)&amp;""&lt;br&gt;&lt;div class=""""audio""""&gt;[sound:""&amp;C830&amp;"".mp3]&lt;/div&gt;"""),"とりあえず&lt;br&gt;&lt;div class=""audio""&gt;[sound:とりあえず.mp3]&lt;/div&gt;")</f>
        <v>とりあえず&lt;br&gt;&lt;div class="audio"&gt;[sound:とりあえず.mp3]&lt;/div&gt;</v>
      </c>
      <c r="H830" s="3" t="str">
        <f t="shared" si="1"/>
        <v>(adv): trước mắt</v>
      </c>
      <c r="I830" s="6" t="s">
        <v>4482</v>
      </c>
      <c r="J830" s="6" t="s">
        <v>4483</v>
      </c>
      <c r="K830" s="7">
        <f t="shared" si="2"/>
        <v>0.1512837816</v>
      </c>
    </row>
    <row r="831">
      <c r="A831" s="4">
        <v>831.0</v>
      </c>
      <c r="B831" s="5" t="s">
        <v>4484</v>
      </c>
      <c r="C831" s="5" t="s">
        <v>4485</v>
      </c>
      <c r="D831" s="5" t="s">
        <v>4486</v>
      </c>
      <c r="E831" s="6" t="s">
        <v>24</v>
      </c>
      <c r="F831" s="6" t="s">
        <v>4487</v>
      </c>
      <c r="G831" s="3" t="str">
        <f>IFERROR(__xludf.DUMMYFUNCTION("REGEXREPLACE(
D831,
""([一-龯々]+)\[([^\]]+)\]"",
""&lt;ruby&gt;$1&lt;rt&gt;$2&lt;/rt&gt;&lt;/ruby&gt;""
)&amp;""&lt;br&gt;&lt;div class=""""audio""""&gt;[sound:""&amp;C831&amp;"".mp3]&lt;/div&gt;"""),"&lt;ruby&gt;促&lt;rt&gt;うなが&lt;/rt&gt;&lt;/ruby&gt;す&lt;br&gt;&lt;div class=""audio""&gt;[sound:うながす.mp3]&lt;/div&gt;")</f>
        <v>&lt;ruby&gt;促&lt;rt&gt;うなが&lt;/rt&gt;&lt;/ruby&gt;す&lt;br&gt;&lt;div class="audio"&gt;[sound:うながす.mp3]&lt;/div&gt;</v>
      </c>
      <c r="H831" s="3" t="str">
        <f t="shared" si="1"/>
        <v>(v): thúc giục</v>
      </c>
      <c r="I831" s="6" t="s">
        <v>4488</v>
      </c>
      <c r="J831" s="6" t="s">
        <v>4489</v>
      </c>
      <c r="K831" s="7">
        <f t="shared" si="2"/>
        <v>0.1861265396</v>
      </c>
    </row>
    <row r="832">
      <c r="A832" s="4">
        <v>832.0</v>
      </c>
      <c r="B832" s="5" t="s">
        <v>4490</v>
      </c>
      <c r="C832" s="5" t="s">
        <v>4491</v>
      </c>
      <c r="D832" s="5" t="s">
        <v>4492</v>
      </c>
      <c r="E832" s="6" t="s">
        <v>24</v>
      </c>
      <c r="F832" s="6" t="s">
        <v>4493</v>
      </c>
      <c r="G832" s="3" t="str">
        <f>IFERROR(__xludf.DUMMYFUNCTION("REGEXREPLACE(
D832,
""([一-龯々]+)\[([^\]]+)\]"",
""&lt;ruby&gt;$1&lt;rt&gt;$2&lt;/rt&gt;&lt;/ruby&gt;""
)&amp;""&lt;br&gt;&lt;div class=""""audio""""&gt;[sound:""&amp;C832&amp;"".mp3]&lt;/div&gt;"""),"&lt;ruby&gt;耐&lt;rt&gt;た&lt;/rt&gt;&lt;/ruby&gt;える&lt;br&gt;&lt;div class=""audio""&gt;[sound:たえる.mp3]&lt;/div&gt;")</f>
        <v>&lt;ruby&gt;耐&lt;rt&gt;た&lt;/rt&gt;&lt;/ruby&gt;える&lt;br&gt;&lt;div class="audio"&gt;[sound:たえる.mp3]&lt;/div&gt;</v>
      </c>
      <c r="H832" s="3" t="str">
        <f t="shared" si="1"/>
        <v>(v): chịu đựng</v>
      </c>
      <c r="I832" s="6" t="s">
        <v>4494</v>
      </c>
      <c r="J832" s="6" t="s">
        <v>4495</v>
      </c>
      <c r="K832" s="7">
        <f t="shared" si="2"/>
        <v>0.3916775862</v>
      </c>
    </row>
    <row r="833">
      <c r="A833" s="4">
        <v>833.0</v>
      </c>
      <c r="B833" s="5" t="s">
        <v>4496</v>
      </c>
      <c r="C833" s="5" t="s">
        <v>4497</v>
      </c>
      <c r="D833" s="5" t="s">
        <v>4498</v>
      </c>
      <c r="E833" s="6" t="s">
        <v>24</v>
      </c>
      <c r="F833" s="6" t="s">
        <v>4499</v>
      </c>
      <c r="G833" s="3" t="str">
        <f>IFERROR(__xludf.DUMMYFUNCTION("REGEXREPLACE(
D833,
""([一-龯々]+)\[([^\]]+)\]"",
""&lt;ruby&gt;$1&lt;rt&gt;$2&lt;/rt&gt;&lt;/ruby&gt;""
)&amp;""&lt;br&gt;&lt;div class=""""audio""""&gt;[sound:""&amp;C833&amp;"".mp3]&lt;/div&gt;"""),"&lt;ruby&gt;設&lt;rt&gt;もう&lt;/rt&gt;&lt;/ruby&gt;ける&lt;br&gt;&lt;div class=""audio""&gt;[sound:もうける.mp3]&lt;/div&gt;")</f>
        <v>&lt;ruby&gt;設&lt;rt&gt;もう&lt;/rt&gt;&lt;/ruby&gt;ける&lt;br&gt;&lt;div class="audio"&gt;[sound:もうける.mp3]&lt;/div&gt;</v>
      </c>
      <c r="H833" s="3" t="str">
        <f t="shared" si="1"/>
        <v>(v): thiết lập</v>
      </c>
      <c r="I833" s="6" t="s">
        <v>4500</v>
      </c>
      <c r="J833" s="6" t="s">
        <v>4501</v>
      </c>
      <c r="K833" s="7">
        <f t="shared" si="2"/>
        <v>0.6914574765</v>
      </c>
    </row>
    <row r="834">
      <c r="A834" s="4">
        <v>834.0</v>
      </c>
      <c r="B834" s="5" t="s">
        <v>4502</v>
      </c>
      <c r="C834" s="5" t="s">
        <v>4503</v>
      </c>
      <c r="D834" s="5" t="s">
        <v>4504</v>
      </c>
      <c r="E834" s="6" t="s">
        <v>74</v>
      </c>
      <c r="F834" s="6" t="s">
        <v>4505</v>
      </c>
      <c r="G834" s="3" t="str">
        <f>IFERROR(__xludf.DUMMYFUNCTION("REGEXREPLACE(
D834,
""([一-龯々]+)\[([^\]]+)\]"",
""&lt;ruby&gt;$1&lt;rt&gt;$2&lt;/rt&gt;&lt;/ruby&gt;""
)&amp;""&lt;br&gt;&lt;div class=""""audio""""&gt;[sound:""&amp;C834&amp;"".mp3]&lt;/div&gt;"""),"&lt;ruby&gt;部門&lt;rt&gt;ぶもん&lt;/rt&gt;&lt;/ruby&gt;&lt;br&gt;&lt;div class=""audio""&gt;[sound:ぶもん.mp3]&lt;/div&gt;")</f>
        <v>&lt;ruby&gt;部門&lt;rt&gt;ぶもん&lt;/rt&gt;&lt;/ruby&gt;&lt;br&gt;&lt;div class="audio"&gt;[sound:ぶもん.mp3]&lt;/div&gt;</v>
      </c>
      <c r="H834" s="3" t="str">
        <f t="shared" si="1"/>
        <v>(n): phòng ban</v>
      </c>
      <c r="I834" s="6" t="s">
        <v>4506</v>
      </c>
      <c r="J834" s="6" t="s">
        <v>4507</v>
      </c>
      <c r="K834" s="7">
        <f t="shared" si="2"/>
        <v>0.760782622</v>
      </c>
    </row>
    <row r="835">
      <c r="A835" s="4">
        <v>835.0</v>
      </c>
      <c r="B835" s="5" t="s">
        <v>4508</v>
      </c>
      <c r="C835" s="5" t="s">
        <v>4509</v>
      </c>
      <c r="D835" s="5" t="s">
        <v>4508</v>
      </c>
      <c r="E835" s="6" t="s">
        <v>74</v>
      </c>
      <c r="F835" s="6" t="s">
        <v>4510</v>
      </c>
      <c r="G835" s="3" t="str">
        <f>IFERROR(__xludf.DUMMYFUNCTION("REGEXREPLACE(
D835,
""([一-龯々]+)\[([^\]]+)\]"",
""&lt;ruby&gt;$1&lt;rt&gt;$2&lt;/rt&gt;&lt;/ruby&gt;""
)&amp;""&lt;br&gt;&lt;div class=""""audio""""&gt;[sound:""&amp;C835&amp;"".mp3]&lt;/div&gt;"""),"タレント&lt;br&gt;&lt;div class=""audio""&gt;[sound:たれんと.mp3]&lt;/div&gt;")</f>
        <v>タレント&lt;br&gt;&lt;div class="audio"&gt;[sound:たれんと.mp3]&lt;/div&gt;</v>
      </c>
      <c r="H835" s="3" t="str">
        <f t="shared" si="1"/>
        <v>(n): tài năng</v>
      </c>
      <c r="I835" s="6" t="s">
        <v>4511</v>
      </c>
      <c r="J835" s="6" t="s">
        <v>4512</v>
      </c>
      <c r="K835" s="7">
        <f t="shared" si="2"/>
        <v>0.3027348333</v>
      </c>
    </row>
    <row r="836">
      <c r="A836" s="4">
        <v>836.0</v>
      </c>
      <c r="B836" s="5" t="s">
        <v>4513</v>
      </c>
      <c r="C836" s="5" t="s">
        <v>4514</v>
      </c>
      <c r="D836" s="5" t="s">
        <v>4513</v>
      </c>
      <c r="E836" s="6" t="s">
        <v>74</v>
      </c>
      <c r="F836" s="6" t="s">
        <v>4515</v>
      </c>
      <c r="G836" s="3" t="str">
        <f>IFERROR(__xludf.DUMMYFUNCTION("REGEXREPLACE(
D836,
""([一-龯々]+)\[([^\]]+)\]"",
""&lt;ruby&gt;$1&lt;rt&gt;$2&lt;/rt&gt;&lt;/ruby&gt;""
)&amp;""&lt;br&gt;&lt;div class=""""audio""""&gt;[sound:""&amp;C836&amp;"".mp3]&lt;/div&gt;"""),"ベスト&lt;br&gt;&lt;div class=""audio""&gt;[sound:べすと.mp3]&lt;/div&gt;")</f>
        <v>ベスト&lt;br&gt;&lt;div class="audio"&gt;[sound:べすと.mp3]&lt;/div&gt;</v>
      </c>
      <c r="H836" s="3" t="str">
        <f t="shared" si="1"/>
        <v>(n): tốt nhất</v>
      </c>
      <c r="I836" s="6" t="s">
        <v>4516</v>
      </c>
      <c r="J836" s="6" t="s">
        <v>4517</v>
      </c>
      <c r="K836" s="7">
        <f t="shared" si="2"/>
        <v>0.6986586842</v>
      </c>
    </row>
    <row r="837">
      <c r="A837" s="4">
        <v>837.0</v>
      </c>
      <c r="B837" s="5" t="s">
        <v>4518</v>
      </c>
      <c r="C837" s="5" t="s">
        <v>4519</v>
      </c>
      <c r="D837" s="5" t="s">
        <v>4518</v>
      </c>
      <c r="E837" s="6" t="s">
        <v>74</v>
      </c>
      <c r="F837" s="6" t="s">
        <v>4520</v>
      </c>
      <c r="G837" s="3" t="str">
        <f>IFERROR(__xludf.DUMMYFUNCTION("REGEXREPLACE(
D837,
""([一-龯々]+)\[([^\]]+)\]"",
""&lt;ruby&gt;$1&lt;rt&gt;$2&lt;/rt&gt;&lt;/ruby&gt;""
)&amp;""&lt;br&gt;&lt;div class=""""audio""""&gt;[sound:""&amp;C837&amp;"".mp3]&lt;/div&gt;"""),"モニター&lt;br&gt;&lt;div class=""audio""&gt;[sound:もにたー.mp3]&lt;/div&gt;")</f>
        <v>モニター&lt;br&gt;&lt;div class="audio"&gt;[sound:もにたー.mp3]&lt;/div&gt;</v>
      </c>
      <c r="H837" s="3" t="str">
        <f t="shared" si="1"/>
        <v>(n): màn hình</v>
      </c>
      <c r="I837" s="6" t="s">
        <v>4521</v>
      </c>
      <c r="J837" s="6" t="s">
        <v>4522</v>
      </c>
      <c r="K837" s="7">
        <f t="shared" si="2"/>
        <v>0.1691103769</v>
      </c>
    </row>
    <row r="838">
      <c r="A838" s="4">
        <v>838.0</v>
      </c>
      <c r="B838" s="5" t="s">
        <v>4523</v>
      </c>
      <c r="C838" s="5" t="s">
        <v>4524</v>
      </c>
      <c r="D838" s="5" t="s">
        <v>4525</v>
      </c>
      <c r="E838" s="6" t="s">
        <v>24</v>
      </c>
      <c r="F838" s="6" t="s">
        <v>4526</v>
      </c>
      <c r="G838" s="3" t="str">
        <f>IFERROR(__xludf.DUMMYFUNCTION("REGEXREPLACE(
D838,
""([一-龯々]+)\[([^\]]+)\]"",
""&lt;ruby&gt;$1&lt;rt&gt;$2&lt;/rt&gt;&lt;/ruby&gt;""
)&amp;""&lt;br&gt;&lt;div class=""""audio""""&gt;[sound:""&amp;C838&amp;"".mp3]&lt;/div&gt;"""),"&lt;ruby&gt;交渉&lt;rt&gt;こうしょう&lt;/rt&gt;&lt;/ruby&gt;&lt;br&gt;&lt;div class=""audio""&gt;[sound:こうしょう.mp3]&lt;/div&gt;")</f>
        <v>&lt;ruby&gt;交渉&lt;rt&gt;こうしょう&lt;/rt&gt;&lt;/ruby&gt;&lt;br&gt;&lt;div class="audio"&gt;[sound:こうしょう.mp3]&lt;/div&gt;</v>
      </c>
      <c r="H838" s="3" t="str">
        <f t="shared" si="1"/>
        <v>(v): đàm phán</v>
      </c>
      <c r="I838" s="6" t="s">
        <v>4527</v>
      </c>
      <c r="J838" s="6" t="s">
        <v>4528</v>
      </c>
      <c r="K838" s="7">
        <f t="shared" si="2"/>
        <v>0.4128651877</v>
      </c>
    </row>
    <row r="839">
      <c r="A839" s="4">
        <v>839.0</v>
      </c>
      <c r="B839" s="5" t="s">
        <v>4529</v>
      </c>
      <c r="C839" s="5" t="s">
        <v>4530</v>
      </c>
      <c r="D839" s="5" t="s">
        <v>4531</v>
      </c>
      <c r="E839" s="6" t="s">
        <v>74</v>
      </c>
      <c r="F839" s="6" t="s">
        <v>2326</v>
      </c>
      <c r="G839" s="3" t="str">
        <f>IFERROR(__xludf.DUMMYFUNCTION("REGEXREPLACE(
D839,
""([一-龯々]+)\[([^\]]+)\]"",
""&lt;ruby&gt;$1&lt;rt&gt;$2&lt;/rt&gt;&lt;/ruby&gt;""
)&amp;""&lt;br&gt;&lt;div class=""""audio""""&gt;[sound:""&amp;C839&amp;"".mp3]&lt;/div&gt;"""),"&lt;ruby&gt;企画&lt;rt&gt;きかく&lt;/rt&gt;&lt;/ruby&gt;&lt;br&gt;&lt;div class=""audio""&gt;[sound:きかく.mp3]&lt;/div&gt;")</f>
        <v>&lt;ruby&gt;企画&lt;rt&gt;きかく&lt;/rt&gt;&lt;/ruby&gt;&lt;br&gt;&lt;div class="audio"&gt;[sound:きかく.mp3]&lt;/div&gt;</v>
      </c>
      <c r="H839" s="3" t="str">
        <f t="shared" si="1"/>
        <v>(n): kế hoạch</v>
      </c>
      <c r="I839" s="6" t="s">
        <v>4532</v>
      </c>
      <c r="J839" s="6" t="s">
        <v>4533</v>
      </c>
      <c r="K839" s="7">
        <f t="shared" si="2"/>
        <v>0.09552172974</v>
      </c>
    </row>
    <row r="840">
      <c r="A840" s="4">
        <v>840.0</v>
      </c>
      <c r="B840" s="5" t="s">
        <v>4534</v>
      </c>
      <c r="C840" s="5" t="s">
        <v>4535</v>
      </c>
      <c r="D840" s="5" t="s">
        <v>4536</v>
      </c>
      <c r="E840" s="6" t="s">
        <v>74</v>
      </c>
      <c r="F840" s="6" t="s">
        <v>4537</v>
      </c>
      <c r="G840" s="3" t="str">
        <f>IFERROR(__xludf.DUMMYFUNCTION("REGEXREPLACE(
D840,
""([一-龯々]+)\[([^\]]+)\]"",
""&lt;ruby&gt;$1&lt;rt&gt;$2&lt;/rt&gt;&lt;/ruby&gt;""
)&amp;""&lt;br&gt;&lt;div class=""""audio""""&gt;[sound:""&amp;C840&amp;"".mp3]&lt;/div&gt;"""),"&lt;ruby&gt;処分&lt;rt&gt;しょぶん&lt;/rt&gt;&lt;/ruby&gt;&lt;br&gt;&lt;div class=""audio""&gt;[sound:しょぶん.mp3]&lt;/div&gt;")</f>
        <v>&lt;ruby&gt;処分&lt;rt&gt;しょぶん&lt;/rt&gt;&lt;/ruby&gt;&lt;br&gt;&lt;div class="audio"&gt;[sound:しょぶん.mp3]&lt;/div&gt;</v>
      </c>
      <c r="H840" s="3" t="str">
        <f t="shared" si="1"/>
        <v>(n): sự xử lý</v>
      </c>
      <c r="I840" s="6" t="s">
        <v>4538</v>
      </c>
      <c r="J840" s="6" t="s">
        <v>4539</v>
      </c>
      <c r="K840" s="7">
        <f t="shared" si="2"/>
        <v>0.7556339059</v>
      </c>
    </row>
    <row r="841">
      <c r="A841" s="4">
        <v>841.0</v>
      </c>
      <c r="B841" s="5" t="s">
        <v>4540</v>
      </c>
      <c r="C841" s="5" t="s">
        <v>4541</v>
      </c>
      <c r="D841" s="5" t="s">
        <v>4542</v>
      </c>
      <c r="E841" s="6" t="s">
        <v>74</v>
      </c>
      <c r="F841" s="6" t="s">
        <v>4543</v>
      </c>
      <c r="G841" s="3" t="str">
        <f>IFERROR(__xludf.DUMMYFUNCTION("REGEXREPLACE(
D841,
""([一-龯々]+)\[([^\]]+)\]"",
""&lt;ruby&gt;$1&lt;rt&gt;$2&lt;/rt&gt;&lt;/ruby&gt;""
)&amp;""&lt;br&gt;&lt;div class=""""audio""""&gt;[sound:""&amp;C841&amp;"".mp3]&lt;/div&gt;"""),"&lt;ruby&gt;協会&lt;rt&gt;きょうかい&lt;/rt&gt;&lt;/ruby&gt;&lt;br&gt;&lt;div class=""audio""&gt;[sound:きょうかい.mp3]&lt;/div&gt;")</f>
        <v>&lt;ruby&gt;協会&lt;rt&gt;きょうかい&lt;/rt&gt;&lt;/ruby&gt;&lt;br&gt;&lt;div class="audio"&gt;[sound:きょうかい.mp3]&lt;/div&gt;</v>
      </c>
      <c r="H841" s="3" t="str">
        <f t="shared" si="1"/>
        <v>(n): hiệp hội</v>
      </c>
      <c r="I841" s="6" t="s">
        <v>4544</v>
      </c>
      <c r="J841" s="6" t="s">
        <v>4545</v>
      </c>
      <c r="K841" s="7">
        <f t="shared" si="2"/>
        <v>0.5500874374</v>
      </c>
    </row>
    <row r="842">
      <c r="A842" s="4">
        <v>842.0</v>
      </c>
      <c r="B842" s="5" t="s">
        <v>4546</v>
      </c>
      <c r="C842" s="5" t="s">
        <v>4547</v>
      </c>
      <c r="D842" s="5" t="s">
        <v>4548</v>
      </c>
      <c r="E842" s="6" t="s">
        <v>85</v>
      </c>
      <c r="F842" s="6" t="s">
        <v>103</v>
      </c>
      <c r="G842" s="3" t="str">
        <f>IFERROR(__xludf.DUMMYFUNCTION("REGEXREPLACE(
D842,
""([一-龯々]+)\[([^\]]+)\]"",
""&lt;ruby&gt;$1&lt;rt&gt;$2&lt;/rt&gt;&lt;/ruby&gt;""
)&amp;""&lt;br&gt;&lt;div class=""""audio""""&gt;[sound:""&amp;C842&amp;"".mp3]&lt;/div&gt;"""),"&lt;ruby&gt;若干&lt;rt&gt;じゃっかん&lt;/rt&gt;&lt;/ruby&gt;&lt;br&gt;&lt;div class=""audio""&gt;[sound:じゃっかん.mp3]&lt;/div&gt;")</f>
        <v>&lt;ruby&gt;若干&lt;rt&gt;じゃっかん&lt;/rt&gt;&lt;/ruby&gt;&lt;br&gt;&lt;div class="audio"&gt;[sound:じゃっかん.mp3]&lt;/div&gt;</v>
      </c>
      <c r="H842" s="3" t="str">
        <f t="shared" si="1"/>
        <v>(adv): một chút</v>
      </c>
      <c r="I842" s="6" t="s">
        <v>4549</v>
      </c>
      <c r="J842" s="6" t="s">
        <v>4550</v>
      </c>
      <c r="K842" s="7">
        <f t="shared" si="2"/>
        <v>0.8206433591</v>
      </c>
    </row>
    <row r="843">
      <c r="A843" s="4">
        <v>843.0</v>
      </c>
      <c r="B843" s="5" t="s">
        <v>4551</v>
      </c>
      <c r="C843" s="5" t="s">
        <v>4552</v>
      </c>
      <c r="D843" s="5" t="s">
        <v>4553</v>
      </c>
      <c r="E843" s="6" t="s">
        <v>74</v>
      </c>
      <c r="F843" s="6" t="s">
        <v>4554</v>
      </c>
      <c r="G843" s="3" t="str">
        <f>IFERROR(__xludf.DUMMYFUNCTION("REGEXREPLACE(
D843,
""([一-龯々]+)\[([^\]]+)\]"",
""&lt;ruby&gt;$1&lt;rt&gt;$2&lt;/rt&gt;&lt;/ruby&gt;""
)&amp;""&lt;br&gt;&lt;div class=""""audio""""&gt;[sound:""&amp;C843&amp;"".mp3]&lt;/div&gt;"""),"&lt;ruby&gt;詳細&lt;rt&gt;しょうさい&lt;/rt&gt;&lt;/ruby&gt;&lt;br&gt;&lt;div class=""audio""&gt;[sound:しょうさい.mp3]&lt;/div&gt;")</f>
        <v>&lt;ruby&gt;詳細&lt;rt&gt;しょうさい&lt;/rt&gt;&lt;/ruby&gt;&lt;br&gt;&lt;div class="audio"&gt;[sound:しょうさい.mp3]&lt;/div&gt;</v>
      </c>
      <c r="H843" s="3" t="str">
        <f t="shared" si="1"/>
        <v>(n): chi tiết</v>
      </c>
      <c r="I843" s="6" t="s">
        <v>4555</v>
      </c>
      <c r="J843" s="6" t="s">
        <v>4556</v>
      </c>
      <c r="K843" s="7">
        <f t="shared" si="2"/>
        <v>0.3781624881</v>
      </c>
    </row>
    <row r="844">
      <c r="A844" s="4">
        <v>844.0</v>
      </c>
      <c r="B844" s="5" t="s">
        <v>4557</v>
      </c>
      <c r="C844" s="5" t="s">
        <v>4557</v>
      </c>
      <c r="D844" s="5" t="s">
        <v>4557</v>
      </c>
      <c r="E844" s="6" t="s">
        <v>85</v>
      </c>
      <c r="F844" s="6" t="s">
        <v>4558</v>
      </c>
      <c r="G844" s="3" t="str">
        <f>IFERROR(__xludf.DUMMYFUNCTION("REGEXREPLACE(
D844,
""([一-龯々]+)\[([^\]]+)\]"",
""&lt;ruby&gt;$1&lt;rt&gt;$2&lt;/rt&gt;&lt;/ruby&gt;""
)&amp;""&lt;br&gt;&lt;div class=""""audio""""&gt;[sound:""&amp;C844&amp;"".mp3]&lt;/div&gt;"""),"かつて&lt;br&gt;&lt;div class=""audio""&gt;[sound:かつて.mp3]&lt;/div&gt;")</f>
        <v>かつて&lt;br&gt;&lt;div class="audio"&gt;[sound:かつて.mp3]&lt;/div&gt;</v>
      </c>
      <c r="H844" s="3" t="str">
        <f t="shared" si="1"/>
        <v>(adv): đã từng</v>
      </c>
      <c r="I844" s="6" t="s">
        <v>4559</v>
      </c>
      <c r="J844" s="6" t="s">
        <v>4560</v>
      </c>
      <c r="K844" s="7">
        <f t="shared" si="2"/>
        <v>0.508045316</v>
      </c>
    </row>
    <row r="845">
      <c r="A845" s="4">
        <v>845.0</v>
      </c>
      <c r="B845" s="5" t="s">
        <v>4561</v>
      </c>
      <c r="C845" s="5" t="s">
        <v>4561</v>
      </c>
      <c r="D845" s="5" t="s">
        <v>4561</v>
      </c>
      <c r="E845" s="6" t="s">
        <v>90</v>
      </c>
      <c r="F845" s="6" t="s">
        <v>4562</v>
      </c>
      <c r="G845" s="3" t="str">
        <f>IFERROR(__xludf.DUMMYFUNCTION("REGEXREPLACE(
D845,
""([一-龯々]+)\[([^\]]+)\]"",
""&lt;ruby&gt;$1&lt;rt&gt;$2&lt;/rt&gt;&lt;/ruby&gt;""
)&amp;""&lt;br&gt;&lt;div class=""""audio""""&gt;[sound:""&amp;C845&amp;"".mp3]&lt;/div&gt;"""),"だったら&lt;br&gt;&lt;div class=""audio""&gt;[sound:だったら.mp3]&lt;/div&gt;")</f>
        <v>だったら&lt;br&gt;&lt;div class="audio"&gt;[sound:だったら.mp3]&lt;/div&gt;</v>
      </c>
      <c r="H845" s="3" t="str">
        <f t="shared" si="1"/>
        <v>(conj): nếu vậy</v>
      </c>
      <c r="I845" s="6" t="s">
        <v>4563</v>
      </c>
      <c r="J845" s="6" t="s">
        <v>4564</v>
      </c>
      <c r="K845" s="7">
        <f t="shared" si="2"/>
        <v>0.3774071165</v>
      </c>
    </row>
    <row r="846">
      <c r="A846" s="4">
        <v>846.0</v>
      </c>
      <c r="B846" s="5" t="s">
        <v>4565</v>
      </c>
      <c r="C846" s="5" t="s">
        <v>4566</v>
      </c>
      <c r="D846" s="5" t="s">
        <v>4565</v>
      </c>
      <c r="E846" s="6" t="s">
        <v>74</v>
      </c>
      <c r="F846" s="6" t="s">
        <v>4567</v>
      </c>
      <c r="G846" s="3" t="str">
        <f>IFERROR(__xludf.DUMMYFUNCTION("REGEXREPLACE(
D846,
""([一-龯々]+)\[([^\]]+)\]"",
""&lt;ruby&gt;$1&lt;rt&gt;$2&lt;/rt&gt;&lt;/ruby&gt;""
)&amp;""&lt;br&gt;&lt;div class=""""audio""""&gt;[sound:""&amp;C846&amp;"".mp3]&lt;/div&gt;"""),"トラブル&lt;br&gt;&lt;div class=""audio""&gt;[sound:とらぶる.mp3]&lt;/div&gt;")</f>
        <v>トラブル&lt;br&gt;&lt;div class="audio"&gt;[sound:とらぶる.mp3]&lt;/div&gt;</v>
      </c>
      <c r="H846" s="3" t="str">
        <f t="shared" si="1"/>
        <v>(n): rắc rối</v>
      </c>
      <c r="I846" s="6" t="s">
        <v>4568</v>
      </c>
      <c r="J846" s="6" t="s">
        <v>4569</v>
      </c>
      <c r="K846" s="7">
        <f t="shared" si="2"/>
        <v>0.9095018863</v>
      </c>
    </row>
    <row r="847">
      <c r="A847" s="4">
        <v>847.0</v>
      </c>
      <c r="B847" s="5" t="s">
        <v>4570</v>
      </c>
      <c r="C847" s="5" t="s">
        <v>4571</v>
      </c>
      <c r="D847" s="5" t="s">
        <v>4570</v>
      </c>
      <c r="E847" s="6" t="s">
        <v>74</v>
      </c>
      <c r="F847" s="6" t="s">
        <v>4572</v>
      </c>
      <c r="G847" s="3" t="str">
        <f>IFERROR(__xludf.DUMMYFUNCTION("REGEXREPLACE(
D847,
""([一-龯々]+)\[([^\]]+)\]"",
""&lt;ruby&gt;$1&lt;rt&gt;$2&lt;/rt&gt;&lt;/ruby&gt;""
)&amp;""&lt;br&gt;&lt;div class=""""audio""""&gt;[sound:""&amp;C847&amp;"".mp3]&lt;/div&gt;"""),"ファイル&lt;br&gt;&lt;div class=""audio""&gt;[sound:ふぁいる.mp3]&lt;/div&gt;")</f>
        <v>ファイル&lt;br&gt;&lt;div class="audio"&gt;[sound:ふぁいる.mp3]&lt;/div&gt;</v>
      </c>
      <c r="H847" s="3" t="str">
        <f t="shared" si="1"/>
        <v>(n): tệp tin</v>
      </c>
      <c r="I847" s="6" t="s">
        <v>4573</v>
      </c>
      <c r="J847" s="6" t="s">
        <v>4574</v>
      </c>
      <c r="K847" s="7">
        <f t="shared" si="2"/>
        <v>0.1695836455</v>
      </c>
    </row>
    <row r="848">
      <c r="A848" s="4">
        <v>848.0</v>
      </c>
      <c r="B848" s="5" t="s">
        <v>4575</v>
      </c>
      <c r="C848" s="5" t="s">
        <v>4576</v>
      </c>
      <c r="D848" s="5" t="s">
        <v>4577</v>
      </c>
      <c r="E848" s="6" t="s">
        <v>74</v>
      </c>
      <c r="F848" s="6" t="s">
        <v>4578</v>
      </c>
      <c r="G848" s="3" t="str">
        <f>IFERROR(__xludf.DUMMYFUNCTION("REGEXREPLACE(
D848,
""([一-龯々]+)\[([^\]]+)\]"",
""&lt;ruby&gt;$1&lt;rt&gt;$2&lt;/rt&gt;&lt;/ruby&gt;""
)&amp;""&lt;br&gt;&lt;div class=""""audio""""&gt;[sound:""&amp;C848&amp;"".mp3]&lt;/div&gt;"""),"&lt;ruby&gt;個性&lt;rt&gt;こせい&lt;/rt&gt;&lt;/ruby&gt;&lt;br&gt;&lt;div class=""audio""&gt;[sound:こせい.mp3]&lt;/div&gt;")</f>
        <v>&lt;ruby&gt;個性&lt;rt&gt;こせい&lt;/rt&gt;&lt;/ruby&gt;&lt;br&gt;&lt;div class="audio"&gt;[sound:こせい.mp3]&lt;/div&gt;</v>
      </c>
      <c r="H848" s="3" t="str">
        <f t="shared" si="1"/>
        <v>(n): cá tính</v>
      </c>
      <c r="I848" s="6" t="s">
        <v>4579</v>
      </c>
      <c r="J848" s="6" t="s">
        <v>4580</v>
      </c>
      <c r="K848" s="7">
        <f t="shared" si="2"/>
        <v>0.1910601261</v>
      </c>
    </row>
    <row r="849">
      <c r="A849" s="4">
        <v>849.0</v>
      </c>
      <c r="B849" s="5" t="s">
        <v>4581</v>
      </c>
      <c r="C849" s="5" t="s">
        <v>4582</v>
      </c>
      <c r="D849" s="5" t="s">
        <v>4583</v>
      </c>
      <c r="E849" s="6" t="s">
        <v>74</v>
      </c>
      <c r="F849" s="6" t="s">
        <v>4584</v>
      </c>
      <c r="G849" s="3" t="str">
        <f>IFERROR(__xludf.DUMMYFUNCTION("REGEXREPLACE(
D849,
""([一-龯々]+)\[([^\]]+)\]"",
""&lt;ruby&gt;$1&lt;rt&gt;$2&lt;/rt&gt;&lt;/ruby&gt;""
)&amp;""&lt;br&gt;&lt;div class=""""audio""""&gt;[sound:""&amp;C849&amp;"".mp3]&lt;/div&gt;"""),"&lt;ruby&gt;内閣&lt;rt&gt;ないかく&lt;/rt&gt;&lt;/ruby&gt;&lt;br&gt;&lt;div class=""audio""&gt;[sound:ないかく.mp3]&lt;/div&gt;")</f>
        <v>&lt;ruby&gt;内閣&lt;rt&gt;ないかく&lt;/rt&gt;&lt;/ruby&gt;&lt;br&gt;&lt;div class="audio"&gt;[sound:ないかく.mp3]&lt;/div&gt;</v>
      </c>
      <c r="H849" s="3" t="str">
        <f t="shared" si="1"/>
        <v>(n): nội các</v>
      </c>
      <c r="I849" s="6" t="s">
        <v>4585</v>
      </c>
      <c r="J849" s="6" t="s">
        <v>4586</v>
      </c>
      <c r="K849" s="7">
        <f t="shared" si="2"/>
        <v>0.2783548293</v>
      </c>
    </row>
    <row r="850">
      <c r="A850" s="4">
        <v>850.0</v>
      </c>
      <c r="B850" s="5" t="s">
        <v>4587</v>
      </c>
      <c r="C850" s="5" t="s">
        <v>4588</v>
      </c>
      <c r="D850" s="5" t="s">
        <v>4589</v>
      </c>
      <c r="E850" s="6" t="s">
        <v>11</v>
      </c>
      <c r="F850" s="6" t="s">
        <v>4590</v>
      </c>
      <c r="G850" s="3" t="str">
        <f>IFERROR(__xludf.DUMMYFUNCTION("REGEXREPLACE(
D850,
""([一-龯々]+)\[([^\]]+)\]"",
""&lt;ruby&gt;$1&lt;rt&gt;$2&lt;/rt&gt;&lt;/ruby&gt;""
)&amp;""&lt;br&gt;&lt;div class=""""audio""""&gt;[sound:""&amp;C850&amp;"".mp3]&lt;/div&gt;"""),"&lt;ruby&gt;勝手&lt;rt&gt;かって&lt;/rt&gt;&lt;/ruby&gt;&lt;br&gt;&lt;div class=""audio""&gt;[sound:かって.mp3]&lt;/div&gt;")</f>
        <v>&lt;ruby&gt;勝手&lt;rt&gt;かって&lt;/rt&gt;&lt;/ruby&gt;&lt;br&gt;&lt;div class="audio"&gt;[sound:かって.mp3]&lt;/div&gt;</v>
      </c>
      <c r="H850" s="3" t="str">
        <f t="shared" si="1"/>
        <v>(adj): tự tiện</v>
      </c>
      <c r="I850" s="6" t="s">
        <v>4591</v>
      </c>
      <c r="J850" s="6" t="s">
        <v>4592</v>
      </c>
      <c r="K850" s="7">
        <f t="shared" si="2"/>
        <v>0.6899796958</v>
      </c>
    </row>
    <row r="851">
      <c r="A851" s="4">
        <v>851.0</v>
      </c>
      <c r="B851" s="5" t="s">
        <v>4593</v>
      </c>
      <c r="C851" s="5" t="s">
        <v>4594</v>
      </c>
      <c r="D851" s="5" t="s">
        <v>4595</v>
      </c>
      <c r="E851" s="6" t="s">
        <v>24</v>
      </c>
      <c r="F851" s="6" t="s">
        <v>4596</v>
      </c>
      <c r="G851" s="3" t="str">
        <f>IFERROR(__xludf.DUMMYFUNCTION("REGEXREPLACE(
D851,
""([一-龯々]+)\[([^\]]+)\]"",
""&lt;ruby&gt;$1&lt;rt&gt;$2&lt;/rt&gt;&lt;/ruby&gt;""
)&amp;""&lt;br&gt;&lt;div class=""""audio""""&gt;[sound:""&amp;C851&amp;"".mp3]&lt;/div&gt;"""),"&lt;ruby&gt;落&lt;rt&gt;お&lt;/rt&gt;&lt;/ruby&gt;ち&lt;ruby&gt;込&lt;rt&gt;こ&lt;/rt&gt;&lt;/ruby&gt;む&lt;br&gt;&lt;div class=""audio""&gt;[sound:おちこむ.mp3]&lt;/div&gt;")</f>
        <v>&lt;ruby&gt;落&lt;rt&gt;お&lt;/rt&gt;&lt;/ruby&gt;ち&lt;ruby&gt;込&lt;rt&gt;こ&lt;/rt&gt;&lt;/ruby&gt;む&lt;br&gt;&lt;div class="audio"&gt;[sound:おちこむ.mp3]&lt;/div&gt;</v>
      </c>
      <c r="H851" s="3" t="str">
        <f t="shared" si="1"/>
        <v>(v): buồn bã</v>
      </c>
      <c r="I851" s="6" t="s">
        <v>4597</v>
      </c>
      <c r="J851" s="6" t="s">
        <v>4598</v>
      </c>
      <c r="K851" s="7">
        <f t="shared" si="2"/>
        <v>0.3601892055</v>
      </c>
    </row>
    <row r="852">
      <c r="A852" s="4">
        <v>852.0</v>
      </c>
      <c r="B852" s="5" t="s">
        <v>4599</v>
      </c>
      <c r="C852" s="5" t="s">
        <v>4600</v>
      </c>
      <c r="D852" s="5" t="s">
        <v>4601</v>
      </c>
      <c r="E852" s="6" t="s">
        <v>74</v>
      </c>
      <c r="F852" s="6" t="s">
        <v>4602</v>
      </c>
      <c r="G852" s="3" t="str">
        <f>IFERROR(__xludf.DUMMYFUNCTION("REGEXREPLACE(
D852,
""([一-龯々]+)\[([^\]]+)\]"",
""&lt;ruby&gt;$1&lt;rt&gt;$2&lt;/rt&gt;&lt;/ruby&gt;""
)&amp;""&lt;br&gt;&lt;div class=""""audio""""&gt;[sound:""&amp;C852&amp;"".mp3]&lt;/div&gt;"""),"&lt;ruby&gt;衆議院&lt;rt&gt;しゅうぎいん&lt;/rt&gt;&lt;/ruby&gt;&lt;br&gt;&lt;div class=""audio""&gt;[sound:しゅうぎいん.mp3]&lt;/div&gt;")</f>
        <v>&lt;ruby&gt;衆議院&lt;rt&gt;しゅうぎいん&lt;/rt&gt;&lt;/ruby&gt;&lt;br&gt;&lt;div class="audio"&gt;[sound:しゅうぎいん.mp3]&lt;/div&gt;</v>
      </c>
      <c r="H852" s="3" t="str">
        <f t="shared" si="1"/>
        <v>(n): hạ viện</v>
      </c>
      <c r="I852" s="6" t="s">
        <v>4603</v>
      </c>
      <c r="J852" s="6" t="s">
        <v>4604</v>
      </c>
      <c r="K852" s="7">
        <f t="shared" si="2"/>
        <v>0.759518452</v>
      </c>
    </row>
    <row r="853">
      <c r="A853" s="4">
        <v>853.0</v>
      </c>
      <c r="B853" s="5" t="s">
        <v>4605</v>
      </c>
      <c r="C853" s="5" t="s">
        <v>4606</v>
      </c>
      <c r="D853" s="5" t="s">
        <v>4607</v>
      </c>
      <c r="E853" s="6" t="s">
        <v>74</v>
      </c>
      <c r="F853" s="6" t="s">
        <v>4608</v>
      </c>
      <c r="G853" s="3" t="str">
        <f>IFERROR(__xludf.DUMMYFUNCTION("REGEXREPLACE(
D853,
""([一-龯々]+)\[([^\]]+)\]"",
""&lt;ruby&gt;$1&lt;rt&gt;$2&lt;/rt&gt;&lt;/ruby&gt;""
)&amp;""&lt;br&gt;&lt;div class=""""audio""""&gt;[sound:""&amp;C853&amp;"".mp3]&lt;/div&gt;"""),"&lt;ruby&gt;要望&lt;rt&gt;ようぼう&lt;/rt&gt;&lt;/ruby&gt;&lt;br&gt;&lt;div class=""audio""&gt;[sound:ようぼう.mp3]&lt;/div&gt;")</f>
        <v>&lt;ruby&gt;要望&lt;rt&gt;ようぼう&lt;/rt&gt;&lt;/ruby&gt;&lt;br&gt;&lt;div class="audio"&gt;[sound:ようぼう.mp3]&lt;/div&gt;</v>
      </c>
      <c r="H853" s="3" t="str">
        <f t="shared" si="1"/>
        <v>(n): yêu cầu</v>
      </c>
      <c r="I853" s="6" t="s">
        <v>4609</v>
      </c>
      <c r="J853" s="6" t="s">
        <v>4610</v>
      </c>
      <c r="K853" s="7">
        <f t="shared" si="2"/>
        <v>0.2127732168</v>
      </c>
    </row>
    <row r="854">
      <c r="A854" s="4">
        <v>854.0</v>
      </c>
      <c r="B854" s="5" t="s">
        <v>4611</v>
      </c>
      <c r="C854" s="5" t="s">
        <v>4612</v>
      </c>
      <c r="D854" s="5" t="s">
        <v>4613</v>
      </c>
      <c r="E854" s="6" t="s">
        <v>74</v>
      </c>
      <c r="F854" s="6" t="s">
        <v>4614</v>
      </c>
      <c r="G854" s="3" t="str">
        <f>IFERROR(__xludf.DUMMYFUNCTION("REGEXREPLACE(
D854,
""([一-龯々]+)\[([^\]]+)\]"",
""&lt;ruby&gt;$1&lt;rt&gt;$2&lt;/rt&gt;&lt;/ruby&gt;""
)&amp;""&lt;br&gt;&lt;div class=""""audio""""&gt;[sound:""&amp;C854&amp;"".mp3]&lt;/div&gt;"""),"&lt;ruby&gt;論理&lt;rt&gt;ろんり&lt;/rt&gt;&lt;/ruby&gt;&lt;br&gt;&lt;div class=""audio""&gt;[sound:ろんり.mp3]&lt;/div&gt;")</f>
        <v>&lt;ruby&gt;論理&lt;rt&gt;ろんり&lt;/rt&gt;&lt;/ruby&gt;&lt;br&gt;&lt;div class="audio"&gt;[sound:ろんり.mp3]&lt;/div&gt;</v>
      </c>
      <c r="H854" s="3" t="str">
        <f t="shared" si="1"/>
        <v>(n): lý luận</v>
      </c>
      <c r="I854" s="6" t="s">
        <v>4615</v>
      </c>
      <c r="J854" s="6" t="s">
        <v>4616</v>
      </c>
      <c r="K854" s="7">
        <f t="shared" si="2"/>
        <v>0.888682121</v>
      </c>
    </row>
    <row r="855">
      <c r="A855" s="4">
        <v>855.0</v>
      </c>
      <c r="B855" s="5" t="s">
        <v>4617</v>
      </c>
      <c r="C855" s="5" t="s">
        <v>4618</v>
      </c>
      <c r="D855" s="5" t="s">
        <v>4619</v>
      </c>
      <c r="E855" s="6" t="s">
        <v>74</v>
      </c>
      <c r="F855" s="6" t="s">
        <v>4620</v>
      </c>
      <c r="G855" s="3" t="str">
        <f>IFERROR(__xludf.DUMMYFUNCTION("REGEXREPLACE(
D855,
""([一-龯々]+)\[([^\]]+)\]"",
""&lt;ruby&gt;$1&lt;rt&gt;$2&lt;/rt&gt;&lt;/ruby&gt;""
)&amp;""&lt;br&gt;&lt;div class=""""audio""""&gt;[sound:""&amp;C855&amp;"".mp3]&lt;/div&gt;"""),"&lt;ruby&gt;軍事&lt;rt&gt;ぐんじ&lt;/rt&gt;&lt;/ruby&gt;&lt;br&gt;&lt;div class=""audio""&gt;[sound:ぐんじ.mp3]&lt;/div&gt;")</f>
        <v>&lt;ruby&gt;軍事&lt;rt&gt;ぐんじ&lt;/rt&gt;&lt;/ruby&gt;&lt;br&gt;&lt;div class="audio"&gt;[sound:ぐんじ.mp3]&lt;/div&gt;</v>
      </c>
      <c r="H855" s="3" t="str">
        <f t="shared" si="1"/>
        <v>(n): quân sự</v>
      </c>
      <c r="I855" s="6" t="s">
        <v>4621</v>
      </c>
      <c r="J855" s="6" t="s">
        <v>4622</v>
      </c>
      <c r="K855" s="7">
        <f t="shared" si="2"/>
        <v>0.530412208</v>
      </c>
    </row>
    <row r="856">
      <c r="A856" s="4">
        <v>856.0</v>
      </c>
      <c r="B856" s="5" t="s">
        <v>4623</v>
      </c>
      <c r="C856" s="5" t="s">
        <v>4624</v>
      </c>
      <c r="D856" s="5" t="s">
        <v>4625</v>
      </c>
      <c r="E856" s="6" t="s">
        <v>74</v>
      </c>
      <c r="F856" s="6" t="s">
        <v>4626</v>
      </c>
      <c r="G856" s="3" t="str">
        <f>IFERROR(__xludf.DUMMYFUNCTION("REGEXREPLACE(
D856,
""([一-龯々]+)\[([^\]]+)\]"",
""&lt;ruby&gt;$1&lt;rt&gt;$2&lt;/rt&gt;&lt;/ruby&gt;""
)&amp;""&lt;br&gt;&lt;div class=""""audio""""&gt;[sound:""&amp;C856&amp;"".mp3]&lt;/div&gt;"""),"&lt;ruby&gt;世代&lt;rt&gt;せだい&lt;/rt&gt;&lt;/ruby&gt;&lt;br&gt;&lt;div class=""audio""&gt;[sound:せだい.mp3]&lt;/div&gt;")</f>
        <v>&lt;ruby&gt;世代&lt;rt&gt;せだい&lt;/rt&gt;&lt;/ruby&gt;&lt;br&gt;&lt;div class="audio"&gt;[sound:せだい.mp3]&lt;/div&gt;</v>
      </c>
      <c r="H856" s="3" t="str">
        <f t="shared" si="1"/>
        <v>(n): thế hệ</v>
      </c>
      <c r="I856" s="6" t="s">
        <v>4627</v>
      </c>
      <c r="J856" s="6" t="s">
        <v>4628</v>
      </c>
      <c r="K856" s="7">
        <f t="shared" si="2"/>
        <v>0.2656854741</v>
      </c>
    </row>
    <row r="857">
      <c r="A857" s="4">
        <v>857.0</v>
      </c>
      <c r="B857" s="5" t="s">
        <v>4629</v>
      </c>
      <c r="C857" s="5" t="s">
        <v>4630</v>
      </c>
      <c r="D857" s="5" t="s">
        <v>4631</v>
      </c>
      <c r="E857" s="6" t="s">
        <v>74</v>
      </c>
      <c r="F857" s="6" t="s">
        <v>4632</v>
      </c>
      <c r="G857" s="3" t="str">
        <f>IFERROR(__xludf.DUMMYFUNCTION("REGEXREPLACE(
D857,
""([一-龯々]+)\[([^\]]+)\]"",
""&lt;ruby&gt;$1&lt;rt&gt;$2&lt;/rt&gt;&lt;/ruby&gt;""
)&amp;""&lt;br&gt;&lt;div class=""""audio""""&gt;[sound:""&amp;C857&amp;"".mp3]&lt;/div&gt;"""),"&lt;ruby&gt;内部&lt;rt&gt;ないぶ&lt;/rt&gt;&lt;/ruby&gt;&lt;br&gt;&lt;div class=""audio""&gt;[sound:ないぶ.mp3]&lt;/div&gt;")</f>
        <v>&lt;ruby&gt;内部&lt;rt&gt;ないぶ&lt;/rt&gt;&lt;/ruby&gt;&lt;br&gt;&lt;div class="audio"&gt;[sound:ないぶ.mp3]&lt;/div&gt;</v>
      </c>
      <c r="H857" s="3" t="str">
        <f t="shared" si="1"/>
        <v>(n): nội bộ</v>
      </c>
      <c r="I857" s="6" t="s">
        <v>4633</v>
      </c>
      <c r="J857" s="6" t="s">
        <v>4634</v>
      </c>
      <c r="K857" s="7">
        <f t="shared" si="2"/>
        <v>0.6202141478</v>
      </c>
    </row>
    <row r="858">
      <c r="A858" s="4">
        <v>858.0</v>
      </c>
      <c r="B858" s="5" t="s">
        <v>4635</v>
      </c>
      <c r="C858" s="5" t="s">
        <v>4636</v>
      </c>
      <c r="D858" s="5" t="s">
        <v>4637</v>
      </c>
      <c r="E858" s="6" t="s">
        <v>85</v>
      </c>
      <c r="F858" s="6" t="s">
        <v>4638</v>
      </c>
      <c r="G858" s="3" t="str">
        <f>IFERROR(__xludf.DUMMYFUNCTION("REGEXREPLACE(
D858,
""([一-龯々]+)\[([^\]]+)\]"",
""&lt;ruby&gt;$1&lt;rt&gt;$2&lt;/rt&gt;&lt;/ruby&gt;""
)&amp;""&lt;br&gt;&lt;div class=""""audio""""&gt;[sound:""&amp;C858&amp;"".mp3]&lt;/div&gt;"""),"&lt;ruby&gt;極&lt;rt&gt;きわ&lt;/rt&gt;&lt;/ruby&gt;めて&lt;br&gt;&lt;div class=""audio""&gt;[sound:きわめて.mp3]&lt;/div&gt;")</f>
        <v>&lt;ruby&gt;極&lt;rt&gt;きわ&lt;/rt&gt;&lt;/ruby&gt;めて&lt;br&gt;&lt;div class="audio"&gt;[sound:きわめて.mp3]&lt;/div&gt;</v>
      </c>
      <c r="H858" s="3" t="str">
        <f t="shared" si="1"/>
        <v>(adv): cực kỳ</v>
      </c>
      <c r="I858" s="6" t="s">
        <v>4639</v>
      </c>
      <c r="J858" s="6" t="s">
        <v>4640</v>
      </c>
      <c r="K858" s="7">
        <f t="shared" si="2"/>
        <v>0.04611687943</v>
      </c>
    </row>
    <row r="859">
      <c r="A859" s="4">
        <v>859.0</v>
      </c>
      <c r="B859" s="5" t="s">
        <v>4641</v>
      </c>
      <c r="C859" s="5" t="s">
        <v>4642</v>
      </c>
      <c r="D859" s="5" t="s">
        <v>4643</v>
      </c>
      <c r="E859" s="6" t="s">
        <v>74</v>
      </c>
      <c r="F859" s="6" t="s">
        <v>4644</v>
      </c>
      <c r="G859" s="3" t="str">
        <f>IFERROR(__xludf.DUMMYFUNCTION("REGEXREPLACE(
D859,
""([一-龯々]+)\[([^\]]+)\]"",
""&lt;ruby&gt;$1&lt;rt&gt;$2&lt;/rt&gt;&lt;/ruby&gt;""
)&amp;""&lt;br&gt;&lt;div class=""""audio""""&gt;[sound:""&amp;C859&amp;"".mp3]&lt;/div&gt;"""),"&lt;ruby&gt;購入&lt;rt&gt;こうにゅう&lt;/rt&gt;&lt;/ruby&gt;&lt;br&gt;&lt;div class=""audio""&gt;[sound:こうにゅう.mp3]&lt;/div&gt;")</f>
        <v>&lt;ruby&gt;購入&lt;rt&gt;こうにゅう&lt;/rt&gt;&lt;/ruby&gt;&lt;br&gt;&lt;div class="audio"&gt;[sound:こうにゅう.mp3]&lt;/div&gt;</v>
      </c>
      <c r="H859" s="3" t="str">
        <f t="shared" si="1"/>
        <v>(n): sự mua</v>
      </c>
      <c r="I859" s="6" t="s">
        <v>4645</v>
      </c>
      <c r="J859" s="6" t="s">
        <v>4646</v>
      </c>
      <c r="K859" s="7">
        <f t="shared" si="2"/>
        <v>0.1209634461</v>
      </c>
    </row>
    <row r="860">
      <c r="A860" s="4">
        <v>860.0</v>
      </c>
      <c r="B860" s="5" t="s">
        <v>4647</v>
      </c>
      <c r="C860" s="5" t="s">
        <v>4648</v>
      </c>
      <c r="D860" s="5" t="s">
        <v>4647</v>
      </c>
      <c r="E860" s="6" t="s">
        <v>74</v>
      </c>
      <c r="F860" s="6" t="s">
        <v>4649</v>
      </c>
      <c r="G860" s="3" t="str">
        <f>IFERROR(__xludf.DUMMYFUNCTION("REGEXREPLACE(
D860,
""([一-龯々]+)\[([^\]]+)\]"",
""&lt;ruby&gt;$1&lt;rt&gt;$2&lt;/rt&gt;&lt;/ruby&gt;""
)&amp;""&lt;br&gt;&lt;div class=""""audio""""&gt;[sound:""&amp;C860&amp;"".mp3]&lt;/div&gt;"""),"エンジニア&lt;br&gt;&lt;div class=""audio""&gt;[sound:えんじにあ.mp3]&lt;/div&gt;")</f>
        <v>エンジニア&lt;br&gt;&lt;div class="audio"&gt;[sound:えんじにあ.mp3]&lt;/div&gt;</v>
      </c>
      <c r="H860" s="3" t="str">
        <f t="shared" si="1"/>
        <v>(n): kỹ sư</v>
      </c>
      <c r="I860" s="6" t="s">
        <v>4650</v>
      </c>
      <c r="J860" s="6" t="s">
        <v>4651</v>
      </c>
      <c r="K860" s="7">
        <f t="shared" si="2"/>
        <v>0.5094236834</v>
      </c>
    </row>
    <row r="861">
      <c r="A861" s="4">
        <v>861.0</v>
      </c>
      <c r="B861" s="5" t="s">
        <v>4652</v>
      </c>
      <c r="C861" s="5" t="s">
        <v>4653</v>
      </c>
      <c r="D861" s="5" t="s">
        <v>4652</v>
      </c>
      <c r="E861" s="6" t="s">
        <v>74</v>
      </c>
      <c r="F861" s="6" t="s">
        <v>4654</v>
      </c>
      <c r="G861" s="3" t="str">
        <f>IFERROR(__xludf.DUMMYFUNCTION("REGEXREPLACE(
D861,
""([一-龯々]+)\[([^\]]+)\]"",
""&lt;ruby&gt;$1&lt;rt&gt;$2&lt;/rt&gt;&lt;/ruby&gt;""
)&amp;""&lt;br&gt;&lt;div class=""""audio""""&gt;[sound:""&amp;C861&amp;"".mp3]&lt;/div&gt;"""),"ベース&lt;br&gt;&lt;div class=""audio""&gt;[sound:べーす.mp3]&lt;/div&gt;")</f>
        <v>ベース&lt;br&gt;&lt;div class="audio"&gt;[sound:べーす.mp3]&lt;/div&gt;</v>
      </c>
      <c r="H861" s="3" t="str">
        <f t="shared" si="1"/>
        <v>(n): cơ sở</v>
      </c>
      <c r="I861" s="6" t="s">
        <v>4655</v>
      </c>
      <c r="J861" s="6" t="s">
        <v>4656</v>
      </c>
      <c r="K861" s="7">
        <f t="shared" si="2"/>
        <v>0.5662030191</v>
      </c>
    </row>
    <row r="862">
      <c r="A862" s="4">
        <v>862.0</v>
      </c>
      <c r="B862" s="5" t="s">
        <v>4657</v>
      </c>
      <c r="C862" s="5" t="s">
        <v>4658</v>
      </c>
      <c r="D862" s="5" t="s">
        <v>4657</v>
      </c>
      <c r="E862" s="6" t="s">
        <v>74</v>
      </c>
      <c r="F862" s="6" t="s">
        <v>4659</v>
      </c>
      <c r="G862" s="3" t="str">
        <f>IFERROR(__xludf.DUMMYFUNCTION("REGEXREPLACE(
D862,
""([一-龯々]+)\[([^\]]+)\]"",
""&lt;ruby&gt;$1&lt;rt&gt;$2&lt;/rt&gt;&lt;/ruby&gt;""
)&amp;""&lt;br&gt;&lt;div class=""""audio""""&gt;[sound:""&amp;C862&amp;"".mp3]&lt;/div&gt;"""),"チャンネル&lt;br&gt;&lt;div class=""audio""&gt;[sound:ちゃんねる.mp3]&lt;/div&gt;")</f>
        <v>チャンネル&lt;br&gt;&lt;div class="audio"&gt;[sound:ちゃんねる.mp3]&lt;/div&gt;</v>
      </c>
      <c r="H862" s="3" t="str">
        <f t="shared" si="1"/>
        <v>(n): kênh</v>
      </c>
      <c r="I862" s="6" t="s">
        <v>4660</v>
      </c>
      <c r="J862" s="6" t="s">
        <v>4661</v>
      </c>
      <c r="K862" s="7">
        <f t="shared" si="2"/>
        <v>0.2483542396</v>
      </c>
    </row>
    <row r="863">
      <c r="A863" s="4">
        <v>863.0</v>
      </c>
      <c r="B863" s="5" t="s">
        <v>4662</v>
      </c>
      <c r="C863" s="5" t="s">
        <v>4663</v>
      </c>
      <c r="D863" s="5" t="s">
        <v>4662</v>
      </c>
      <c r="E863" s="6" t="s">
        <v>74</v>
      </c>
      <c r="F863" s="6" t="s">
        <v>4168</v>
      </c>
      <c r="G863" s="3" t="str">
        <f>IFERROR(__xludf.DUMMYFUNCTION("REGEXREPLACE(
D863,
""([一-龯々]+)\[([^\]]+)\]"",
""&lt;ruby&gt;$1&lt;rt&gt;$2&lt;/rt&gt;&lt;/ruby&gt;""
)&amp;""&lt;br&gt;&lt;div class=""""audio""""&gt;[sound:""&amp;C863&amp;"".mp3]&lt;/div&gt;"""),"カット&lt;br&gt;&lt;div class=""audio""&gt;[sound:かっと.mp3]&lt;/div&gt;")</f>
        <v>カット&lt;br&gt;&lt;div class="audio"&gt;[sound:かっと.mp3]&lt;/div&gt;</v>
      </c>
      <c r="H863" s="3" t="str">
        <f t="shared" si="1"/>
        <v>(n): cắt</v>
      </c>
      <c r="I863" s="6" t="s">
        <v>4664</v>
      </c>
      <c r="J863" s="6" t="s">
        <v>4665</v>
      </c>
      <c r="K863" s="7">
        <f t="shared" si="2"/>
        <v>0.7449687357</v>
      </c>
    </row>
    <row r="864">
      <c r="A864" s="4">
        <v>864.0</v>
      </c>
      <c r="B864" s="5" t="s">
        <v>4666</v>
      </c>
      <c r="C864" s="5" t="s">
        <v>4667</v>
      </c>
      <c r="D864" s="5" t="s">
        <v>4666</v>
      </c>
      <c r="E864" s="6" t="s">
        <v>74</v>
      </c>
      <c r="F864" s="6" t="s">
        <v>4668</v>
      </c>
      <c r="G864" s="3" t="str">
        <f>IFERROR(__xludf.DUMMYFUNCTION("REGEXREPLACE(
D864,
""([一-龯々]+)\[([^\]]+)\]"",
""&lt;ruby&gt;$1&lt;rt&gt;$2&lt;/rt&gt;&lt;/ruby&gt;""
)&amp;""&lt;br&gt;&lt;div class=""""audio""""&gt;[sound:""&amp;C864&amp;"".mp3]&lt;/div&gt;"""),"コーナー&lt;br&gt;&lt;div class=""audio""&gt;[sound:こーなー.mp3]&lt;/div&gt;")</f>
        <v>コーナー&lt;br&gt;&lt;div class="audio"&gt;[sound:こーなー.mp3]&lt;/div&gt;</v>
      </c>
      <c r="H864" s="3" t="str">
        <f t="shared" si="1"/>
        <v>(n): góc</v>
      </c>
      <c r="I864" s="6" t="s">
        <v>4669</v>
      </c>
      <c r="J864" s="6" t="s">
        <v>4670</v>
      </c>
      <c r="K864" s="7">
        <f t="shared" si="2"/>
        <v>0.8215331287</v>
      </c>
    </row>
    <row r="865">
      <c r="A865" s="4">
        <v>865.0</v>
      </c>
      <c r="B865" s="5" t="s">
        <v>4671</v>
      </c>
      <c r="C865" s="5" t="s">
        <v>4672</v>
      </c>
      <c r="D865" s="5" t="s">
        <v>4671</v>
      </c>
      <c r="E865" s="6" t="s">
        <v>74</v>
      </c>
      <c r="F865" s="6" t="s">
        <v>4673</v>
      </c>
      <c r="G865" s="3" t="str">
        <f>IFERROR(__xludf.DUMMYFUNCTION("REGEXREPLACE(
D865,
""([一-龯々]+)\[([^\]]+)\]"",
""&lt;ruby&gt;$1&lt;rt&gt;$2&lt;/rt&gt;&lt;/ruby&gt;""
)&amp;""&lt;br&gt;&lt;div class=""""audio""""&gt;[sound:""&amp;C865&amp;"".mp3]&lt;/div&gt;"""),"シート&lt;br&gt;&lt;div class=""audio""&gt;[sound:しーと.mp3]&lt;/div&gt;")</f>
        <v>シート&lt;br&gt;&lt;div class="audio"&gt;[sound:しーと.mp3]&lt;/div&gt;</v>
      </c>
      <c r="H865" s="3" t="str">
        <f t="shared" si="1"/>
        <v>(n): ghế</v>
      </c>
      <c r="I865" s="6" t="s">
        <v>4674</v>
      </c>
      <c r="J865" s="6" t="s">
        <v>4675</v>
      </c>
      <c r="K865" s="7">
        <f t="shared" si="2"/>
        <v>0.7818106831</v>
      </c>
    </row>
    <row r="866">
      <c r="A866" s="4">
        <v>866.0</v>
      </c>
      <c r="B866" s="5" t="s">
        <v>4676</v>
      </c>
      <c r="C866" s="5" t="s">
        <v>4677</v>
      </c>
      <c r="D866" s="5" t="s">
        <v>4678</v>
      </c>
      <c r="E866" s="6" t="s">
        <v>90</v>
      </c>
      <c r="F866" s="6" t="s">
        <v>348</v>
      </c>
      <c r="G866" s="3" t="str">
        <f>IFERROR(__xludf.DUMMYFUNCTION("REGEXREPLACE(
D866,
""([一-龯々]+)\[([^\]]+)\]"",
""&lt;ruby&gt;$1&lt;rt&gt;$2&lt;/rt&gt;&lt;/ruby&gt;""
)&amp;""&lt;br&gt;&lt;div class=""""audio""""&gt;[sound:""&amp;C866&amp;"".mp3]&lt;/div&gt;"""),"&lt;ruby&gt;及&lt;rt&gt;およ&lt;/rt&gt;&lt;/ruby&gt;び&lt;br&gt;&lt;div class=""audio""&gt;[sound:および.mp3]&lt;/div&gt;")</f>
        <v>&lt;ruby&gt;及&lt;rt&gt;およ&lt;/rt&gt;&lt;/ruby&gt;び&lt;br&gt;&lt;div class="audio"&gt;[sound:および.mp3]&lt;/div&gt;</v>
      </c>
      <c r="H866" s="3" t="str">
        <f t="shared" si="1"/>
        <v>(conj): và</v>
      </c>
      <c r="I866" s="6" t="s">
        <v>4679</v>
      </c>
      <c r="J866" s="6" t="s">
        <v>4680</v>
      </c>
      <c r="K866" s="7">
        <f t="shared" si="2"/>
        <v>0.5236701984</v>
      </c>
    </row>
    <row r="867">
      <c r="A867" s="4">
        <v>867.0</v>
      </c>
      <c r="B867" s="5" t="s">
        <v>4681</v>
      </c>
      <c r="C867" s="5" t="s">
        <v>4682</v>
      </c>
      <c r="D867" s="5" t="s">
        <v>4683</v>
      </c>
      <c r="E867" s="6" t="s">
        <v>63</v>
      </c>
      <c r="F867" s="6" t="s">
        <v>4684</v>
      </c>
      <c r="G867" s="3" t="str">
        <f>IFERROR(__xludf.DUMMYFUNCTION("REGEXREPLACE(
D867,
""([一-龯々]+)\[([^\]]+)\]"",
""&lt;ruby&gt;$1&lt;rt&gt;$2&lt;/rt&gt;&lt;/ruby&gt;""
)&amp;""&lt;br&gt;&lt;div class=""""audio""""&gt;[sound:""&amp;C867&amp;"".mp3]&lt;/div&gt;"""),"&lt;ruby&gt;於&lt;rt&gt;お&lt;/rt&gt;&lt;/ruby&gt;いて&lt;br&gt;&lt;div class=""audio""&gt;[sound:おいて.mp3]&lt;/div&gt;")</f>
        <v>&lt;ruby&gt;於&lt;rt&gt;お&lt;/rt&gt;&lt;/ruby&gt;いて&lt;br&gt;&lt;div class="audio"&gt;[sound:おいて.mp3]&lt;/div&gt;</v>
      </c>
      <c r="H867" s="3" t="str">
        <f t="shared" si="1"/>
        <v>(prep): tại</v>
      </c>
      <c r="I867" s="6" t="s">
        <v>4685</v>
      </c>
      <c r="J867" s="6" t="s">
        <v>4686</v>
      </c>
      <c r="K867" s="7">
        <f t="shared" si="2"/>
        <v>0.6792567469</v>
      </c>
    </row>
    <row r="868">
      <c r="A868" s="4">
        <v>868.0</v>
      </c>
      <c r="B868" s="5" t="s">
        <v>4687</v>
      </c>
      <c r="C868" s="5" t="s">
        <v>4688</v>
      </c>
      <c r="D868" s="5" t="s">
        <v>4689</v>
      </c>
      <c r="E868" s="6" t="s">
        <v>74</v>
      </c>
      <c r="F868" s="6" t="s">
        <v>4690</v>
      </c>
      <c r="G868" s="3" t="str">
        <f>IFERROR(__xludf.DUMMYFUNCTION("REGEXREPLACE(
D868,
""([一-龯々]+)\[([^\]]+)\]"",
""&lt;ruby&gt;$1&lt;rt&gt;$2&lt;/rt&gt;&lt;/ruby&gt;""
)&amp;""&lt;br&gt;&lt;div class=""""audio""""&gt;[sound:""&amp;C868&amp;"".mp3]&lt;/div&gt;"""),"&lt;ruby&gt;提供&lt;rt&gt;ていきょう&lt;/rt&gt;&lt;/ruby&gt;&lt;br&gt;&lt;div class=""audio""&gt;[sound:ていきょう.mp3]&lt;/div&gt;")</f>
        <v>&lt;ruby&gt;提供&lt;rt&gt;ていきょう&lt;/rt&gt;&lt;/ruby&gt;&lt;br&gt;&lt;div class="audio"&gt;[sound:ていきょう.mp3]&lt;/div&gt;</v>
      </c>
      <c r="H868" s="3" t="str">
        <f t="shared" si="1"/>
        <v>(n): cung cấp</v>
      </c>
      <c r="I868" s="6" t="s">
        <v>4691</v>
      </c>
      <c r="J868" s="6" t="s">
        <v>4692</v>
      </c>
      <c r="K868" s="7">
        <f t="shared" si="2"/>
        <v>0.2833912198</v>
      </c>
    </row>
    <row r="869">
      <c r="A869" s="4">
        <v>869.0</v>
      </c>
      <c r="B869" s="5" t="s">
        <v>4693</v>
      </c>
      <c r="C869" s="5" t="s">
        <v>4694</v>
      </c>
      <c r="D869" s="5" t="s">
        <v>4695</v>
      </c>
      <c r="E869" s="6" t="s">
        <v>74</v>
      </c>
      <c r="F869" s="6" t="s">
        <v>4696</v>
      </c>
      <c r="G869" s="3" t="str">
        <f>IFERROR(__xludf.DUMMYFUNCTION("REGEXREPLACE(
D869,
""([一-龯々]+)\[([^\]]+)\]"",
""&lt;ruby&gt;$1&lt;rt&gt;$2&lt;/rt&gt;&lt;/ruby&gt;""
)&amp;""&lt;br&gt;&lt;div class=""""audio""""&gt;[sound:""&amp;C869&amp;"".mp3]&lt;/div&gt;"""),"&lt;ruby&gt;思考&lt;rt&gt;しこう&lt;/rt&gt;&lt;/ruby&gt;&lt;br&gt;&lt;div class=""audio""&gt;[sound:しこう.mp3]&lt;/div&gt;")</f>
        <v>&lt;ruby&gt;思考&lt;rt&gt;しこう&lt;/rt&gt;&lt;/ruby&gt;&lt;br&gt;&lt;div class="audio"&gt;[sound:しこう.mp3]&lt;/div&gt;</v>
      </c>
      <c r="H869" s="3" t="str">
        <f t="shared" si="1"/>
        <v>(n): tư duy</v>
      </c>
      <c r="I869" s="6" t="s">
        <v>4697</v>
      </c>
      <c r="J869" s="6" t="s">
        <v>4698</v>
      </c>
      <c r="K869" s="7">
        <f t="shared" si="2"/>
        <v>0.4409238238</v>
      </c>
    </row>
    <row r="870">
      <c r="A870" s="4">
        <v>870.0</v>
      </c>
      <c r="B870" s="5" t="s">
        <v>4699</v>
      </c>
      <c r="C870" s="5" t="s">
        <v>4700</v>
      </c>
      <c r="D870" s="5" t="s">
        <v>4701</v>
      </c>
      <c r="E870" s="6" t="s">
        <v>74</v>
      </c>
      <c r="F870" s="6" t="s">
        <v>4702</v>
      </c>
      <c r="G870" s="3" t="str">
        <f>IFERROR(__xludf.DUMMYFUNCTION("REGEXREPLACE(
D870,
""([一-龯々]+)\[([^\]]+)\]"",
""&lt;ruby&gt;$1&lt;rt&gt;$2&lt;/rt&gt;&lt;/ruby&gt;""
)&amp;""&lt;br&gt;&lt;div class=""""audio""""&gt;[sound:""&amp;C870&amp;"".mp3]&lt;/div&gt;"""),"&lt;ruby&gt;指摘&lt;rt&gt;してき&lt;/rt&gt;&lt;/ruby&gt;&lt;br&gt;&lt;div class=""audio""&gt;[sound:してき.mp3]&lt;/div&gt;")</f>
        <v>&lt;ruby&gt;指摘&lt;rt&gt;してき&lt;/rt&gt;&lt;/ruby&gt;&lt;br&gt;&lt;div class="audio"&gt;[sound:してき.mp3]&lt;/div&gt;</v>
      </c>
      <c r="H870" s="3" t="str">
        <f t="shared" si="1"/>
        <v>(n): chỉ ra</v>
      </c>
      <c r="I870" s="6" t="s">
        <v>4703</v>
      </c>
      <c r="J870" s="6" t="s">
        <v>4704</v>
      </c>
      <c r="K870" s="7">
        <f t="shared" si="2"/>
        <v>0.205838572</v>
      </c>
    </row>
    <row r="871">
      <c r="A871" s="4">
        <v>871.0</v>
      </c>
      <c r="B871" s="5" t="s">
        <v>4705</v>
      </c>
      <c r="C871" s="5" t="s">
        <v>4706</v>
      </c>
      <c r="D871" s="5" t="s">
        <v>4707</v>
      </c>
      <c r="E871" s="6" t="s">
        <v>74</v>
      </c>
      <c r="F871" s="6" t="s">
        <v>4708</v>
      </c>
      <c r="G871" s="3" t="str">
        <f>IFERROR(__xludf.DUMMYFUNCTION("REGEXREPLACE(
D871,
""([一-龯々]+)\[([^\]]+)\]"",
""&lt;ruby&gt;$1&lt;rt&gt;$2&lt;/rt&gt;&lt;/ruby&gt;""
)&amp;""&lt;br&gt;&lt;div class=""""audio""""&gt;[sound:""&amp;C871&amp;"".mp3]&lt;/div&gt;"""),"&lt;ruby&gt;宣言&lt;rt&gt;せんげん&lt;/rt&gt;&lt;/ruby&gt;&lt;br&gt;&lt;div class=""audio""&gt;[sound:せんげん.mp3]&lt;/div&gt;")</f>
        <v>&lt;ruby&gt;宣言&lt;rt&gt;せんげん&lt;/rt&gt;&lt;/ruby&gt;&lt;br&gt;&lt;div class="audio"&gt;[sound:せんげん.mp3]&lt;/div&gt;</v>
      </c>
      <c r="H871" s="3" t="str">
        <f t="shared" si="1"/>
        <v>(n): tuyên ngôn</v>
      </c>
      <c r="I871" s="6" t="s">
        <v>4709</v>
      </c>
      <c r="J871" s="6" t="s">
        <v>4710</v>
      </c>
      <c r="K871" s="7">
        <f t="shared" si="2"/>
        <v>0.4753797472</v>
      </c>
    </row>
    <row r="872">
      <c r="A872" s="4">
        <v>872.0</v>
      </c>
      <c r="B872" s="5" t="s">
        <v>4711</v>
      </c>
      <c r="C872" s="5" t="s">
        <v>4712</v>
      </c>
      <c r="D872" s="5" t="s">
        <v>4713</v>
      </c>
      <c r="E872" s="6" t="s">
        <v>74</v>
      </c>
      <c r="F872" s="6" t="s">
        <v>196</v>
      </c>
      <c r="G872" s="3" t="str">
        <f>IFERROR(__xludf.DUMMYFUNCTION("REGEXREPLACE(
D872,
""([一-龯々]+)\[([^\]]+)\]"",
""&lt;ruby&gt;$1&lt;rt&gt;$2&lt;/rt&gt;&lt;/ruby&gt;""
)&amp;""&lt;br&gt;&lt;div class=""""audio""""&gt;[sound:""&amp;C872&amp;"".mp3]&lt;/div&gt;"""),"&lt;ruby&gt;国家&lt;rt&gt;こっか&lt;/rt&gt;&lt;/ruby&gt;&lt;br&gt;&lt;div class=""audio""&gt;[sound:こっか.mp3]&lt;/div&gt;")</f>
        <v>&lt;ruby&gt;国家&lt;rt&gt;こっか&lt;/rt&gt;&lt;/ruby&gt;&lt;br&gt;&lt;div class="audio"&gt;[sound:こっか.mp3]&lt;/div&gt;</v>
      </c>
      <c r="H872" s="3" t="str">
        <f t="shared" si="1"/>
        <v>(n): quốc gia</v>
      </c>
      <c r="I872" s="6" t="s">
        <v>4714</v>
      </c>
      <c r="J872" s="6" t="s">
        <v>4715</v>
      </c>
      <c r="K872" s="7">
        <f t="shared" si="2"/>
        <v>0.034655555</v>
      </c>
    </row>
    <row r="873">
      <c r="A873" s="4">
        <v>873.0</v>
      </c>
      <c r="B873" s="5" t="s">
        <v>4716</v>
      </c>
      <c r="C873" s="5" t="s">
        <v>4717</v>
      </c>
      <c r="D873" s="5" t="s">
        <v>4718</v>
      </c>
      <c r="E873" s="6" t="s">
        <v>74</v>
      </c>
      <c r="F873" s="6" t="s">
        <v>4719</v>
      </c>
      <c r="G873" s="3" t="str">
        <f>IFERROR(__xludf.DUMMYFUNCTION("REGEXREPLACE(
D873,
""([一-龯々]+)\[([^\]]+)\]"",
""&lt;ruby&gt;$1&lt;rt&gt;$2&lt;/rt&gt;&lt;/ruby&gt;""
)&amp;""&lt;br&gt;&lt;div class=""""audio""""&gt;[sound:""&amp;C873&amp;"".mp3]&lt;/div&gt;"""),"&lt;ruby&gt;周辺&lt;rt&gt;しゅうへん&lt;/rt&gt;&lt;/ruby&gt;&lt;br&gt;&lt;div class=""audio""&gt;[sound:しゅうへん.mp3]&lt;/div&gt;")</f>
        <v>&lt;ruby&gt;周辺&lt;rt&gt;しゅうへん&lt;/rt&gt;&lt;/ruby&gt;&lt;br&gt;&lt;div class="audio"&gt;[sound:しゅうへん.mp3]&lt;/div&gt;</v>
      </c>
      <c r="H873" s="3" t="str">
        <f t="shared" si="1"/>
        <v>(n): vùng lân cận</v>
      </c>
      <c r="I873" s="6" t="s">
        <v>4720</v>
      </c>
      <c r="J873" s="6" t="s">
        <v>4721</v>
      </c>
      <c r="K873" s="7">
        <f t="shared" si="2"/>
        <v>0.6260502149</v>
      </c>
    </row>
    <row r="874">
      <c r="A874" s="4">
        <v>874.0</v>
      </c>
      <c r="B874" s="5" t="s">
        <v>4722</v>
      </c>
      <c r="C874" s="5" t="s">
        <v>4723</v>
      </c>
      <c r="D874" s="5" t="s">
        <v>4724</v>
      </c>
      <c r="E874" s="6" t="s">
        <v>74</v>
      </c>
      <c r="F874" s="6" t="s">
        <v>4725</v>
      </c>
      <c r="G874" s="3" t="str">
        <f>IFERROR(__xludf.DUMMYFUNCTION("REGEXREPLACE(
D874,
""([一-龯々]+)\[([^\]]+)\]"",
""&lt;ruby&gt;$1&lt;rt&gt;$2&lt;/rt&gt;&lt;/ruby&gt;""
)&amp;""&lt;br&gt;&lt;div class=""""audio""""&gt;[sound:""&amp;C874&amp;"".mp3]&lt;/div&gt;"""),"&lt;ruby&gt;携帯&lt;rt&gt;けいたい&lt;/rt&gt;&lt;/ruby&gt;&lt;br&gt;&lt;div class=""audio""&gt;[sound:けいたい.mp3]&lt;/div&gt;")</f>
        <v>&lt;ruby&gt;携帯&lt;rt&gt;けいたい&lt;/rt&gt;&lt;/ruby&gt;&lt;br&gt;&lt;div class="audio"&gt;[sound:けいたい.mp3]&lt;/div&gt;</v>
      </c>
      <c r="H874" s="3" t="str">
        <f t="shared" si="1"/>
        <v>(n): di động</v>
      </c>
      <c r="I874" s="6" t="s">
        <v>4726</v>
      </c>
      <c r="J874" s="6" t="s">
        <v>4727</v>
      </c>
      <c r="K874" s="7">
        <f t="shared" si="2"/>
        <v>0.2424961937</v>
      </c>
    </row>
    <row r="875">
      <c r="A875" s="4">
        <v>875.0</v>
      </c>
      <c r="B875" s="5" t="s">
        <v>4728</v>
      </c>
      <c r="C875" s="5" t="s">
        <v>4729</v>
      </c>
      <c r="D875" s="5" t="s">
        <v>4730</v>
      </c>
      <c r="E875" s="6" t="s">
        <v>11</v>
      </c>
      <c r="F875" s="6" t="s">
        <v>4731</v>
      </c>
      <c r="G875" s="3" t="str">
        <f>IFERROR(__xludf.DUMMYFUNCTION("REGEXREPLACE(
D875,
""([一-龯々]+)\[([^\]]+)\]"",
""&lt;ruby&gt;$1&lt;rt&gt;$2&lt;/rt&gt;&lt;/ruby&gt;""
)&amp;""&lt;br&gt;&lt;div class=""""audio""""&gt;[sound:""&amp;C875&amp;"".mp3]&lt;/div&gt;"""),"&lt;ruby&gt;本当&lt;rt&gt;ほんとう&lt;/rt&gt;&lt;/ruby&gt;&lt;br&gt;&lt;div class=""audio""&gt;[sound:ほんとう.mp3]&lt;/div&gt;")</f>
        <v>&lt;ruby&gt;本当&lt;rt&gt;ほんとう&lt;/rt&gt;&lt;/ruby&gt;&lt;br&gt;&lt;div class="audio"&gt;[sound:ほんとう.mp3]&lt;/div&gt;</v>
      </c>
      <c r="H875" s="3" t="str">
        <f t="shared" si="1"/>
        <v>(adj): thật</v>
      </c>
      <c r="I875" s="6" t="s">
        <v>4732</v>
      </c>
      <c r="J875" s="6" t="s">
        <v>4733</v>
      </c>
      <c r="K875" s="7">
        <f t="shared" si="2"/>
        <v>0.1905197614</v>
      </c>
    </row>
    <row r="876">
      <c r="A876" s="4">
        <v>876.0</v>
      </c>
      <c r="B876" s="5" t="s">
        <v>4734</v>
      </c>
      <c r="C876" s="5" t="s">
        <v>4735</v>
      </c>
      <c r="D876" s="5" t="s">
        <v>4736</v>
      </c>
      <c r="E876" s="6" t="s">
        <v>74</v>
      </c>
      <c r="F876" s="6" t="s">
        <v>4737</v>
      </c>
      <c r="G876" s="3" t="str">
        <f>IFERROR(__xludf.DUMMYFUNCTION("REGEXREPLACE(
D876,
""([一-龯々]+)\[([^\]]+)\]"",
""&lt;ruby&gt;$1&lt;rt&gt;$2&lt;/rt&gt;&lt;/ruby&gt;""
)&amp;""&lt;br&gt;&lt;div class=""""audio""""&gt;[sound:""&amp;C876&amp;"".mp3]&lt;/div&gt;"""),"&lt;ruby&gt;明日&lt;rt&gt;あした&lt;/rt&gt;&lt;/ruby&gt;&lt;br&gt;&lt;div class=""audio""&gt;[sound:あした.mp3]&lt;/div&gt;")</f>
        <v>&lt;ruby&gt;明日&lt;rt&gt;あした&lt;/rt&gt;&lt;/ruby&gt;&lt;br&gt;&lt;div class="audio"&gt;[sound:あした.mp3]&lt;/div&gt;</v>
      </c>
      <c r="H876" s="3" t="str">
        <f t="shared" si="1"/>
        <v>(n): ngày mai</v>
      </c>
      <c r="I876" s="6" t="s">
        <v>4738</v>
      </c>
      <c r="J876" s="6" t="s">
        <v>4739</v>
      </c>
      <c r="K876" s="7">
        <f t="shared" si="2"/>
        <v>0.5756768767</v>
      </c>
    </row>
    <row r="877">
      <c r="A877" s="4">
        <v>877.0</v>
      </c>
      <c r="B877" s="5" t="s">
        <v>4740</v>
      </c>
      <c r="C877" s="5" t="s">
        <v>4741</v>
      </c>
      <c r="D877" s="5" t="s">
        <v>4742</v>
      </c>
      <c r="E877" s="6" t="s">
        <v>11</v>
      </c>
      <c r="F877" s="6" t="s">
        <v>4743</v>
      </c>
      <c r="G877" s="3" t="str">
        <f>IFERROR(__xludf.DUMMYFUNCTION("REGEXREPLACE(
D877,
""([一-龯々]+)\[([^\]]+)\]"",
""&lt;ruby&gt;$1&lt;rt&gt;$2&lt;/rt&gt;&lt;/ruby&gt;""
)&amp;""&lt;br&gt;&lt;div class=""""audio""""&gt;[sound:""&amp;C877&amp;"".mp3]&lt;/div&gt;"""),"&lt;ruby&gt;完全&lt;rt&gt;かんぜん&lt;/rt&gt;&lt;/ruby&gt;&lt;br&gt;&lt;div class=""audio""&gt;[sound:かんぜん.mp3]&lt;/div&gt;")</f>
        <v>&lt;ruby&gt;完全&lt;rt&gt;かんぜん&lt;/rt&gt;&lt;/ruby&gt;&lt;br&gt;&lt;div class="audio"&gt;[sound:かんぜん.mp3]&lt;/div&gt;</v>
      </c>
      <c r="H877" s="3" t="str">
        <f t="shared" si="1"/>
        <v>(adj): hoàn toàn</v>
      </c>
      <c r="I877" s="6" t="s">
        <v>4744</v>
      </c>
      <c r="J877" s="6" t="s">
        <v>4745</v>
      </c>
      <c r="K877" s="7">
        <f t="shared" si="2"/>
        <v>0.6961901739</v>
      </c>
    </row>
    <row r="878">
      <c r="A878" s="4">
        <v>878.0</v>
      </c>
      <c r="B878" s="5" t="s">
        <v>4746</v>
      </c>
      <c r="C878" s="5" t="s">
        <v>4747</v>
      </c>
      <c r="D878" s="5" t="s">
        <v>4748</v>
      </c>
      <c r="E878" s="6" t="s">
        <v>74</v>
      </c>
      <c r="F878" s="6" t="s">
        <v>2262</v>
      </c>
      <c r="G878" s="3" t="str">
        <f>IFERROR(__xludf.DUMMYFUNCTION("REGEXREPLACE(
D878,
""([一-龯々]+)\[([^\]]+)\]"",
""&lt;ruby&gt;$1&lt;rt&gt;$2&lt;/rt&gt;&lt;/ruby&gt;""
)&amp;""&lt;br&gt;&lt;div class=""""audio""""&gt;[sound:""&amp;C878&amp;"".mp3]&lt;/div&gt;"""),"&lt;ruby&gt;最後&lt;rt&gt;さいご&lt;/rt&gt;&lt;/ruby&gt;&lt;br&gt;&lt;div class=""audio""&gt;[sound:さいご.mp3]&lt;/div&gt;")</f>
        <v>&lt;ruby&gt;最後&lt;rt&gt;さいご&lt;/rt&gt;&lt;/ruby&gt;&lt;br&gt;&lt;div class="audio"&gt;[sound:さいご.mp3]&lt;/div&gt;</v>
      </c>
      <c r="H878" s="3" t="str">
        <f t="shared" si="1"/>
        <v>(n): cuối cùng</v>
      </c>
      <c r="I878" s="6" t="s">
        <v>4749</v>
      </c>
      <c r="J878" s="6" t="s">
        <v>4750</v>
      </c>
      <c r="K878" s="7">
        <f t="shared" si="2"/>
        <v>0.5100133255</v>
      </c>
    </row>
    <row r="879">
      <c r="A879" s="4">
        <v>879.0</v>
      </c>
      <c r="B879" s="5" t="s">
        <v>4751</v>
      </c>
      <c r="C879" s="5" t="s">
        <v>4752</v>
      </c>
      <c r="D879" s="5" t="s">
        <v>4753</v>
      </c>
      <c r="E879" s="6" t="s">
        <v>74</v>
      </c>
      <c r="F879" s="6" t="s">
        <v>4754</v>
      </c>
      <c r="G879" s="3" t="str">
        <f>IFERROR(__xludf.DUMMYFUNCTION("REGEXREPLACE(
D879,
""([一-龯々]+)\[([^\]]+)\]"",
""&lt;ruby&gt;$1&lt;rt&gt;$2&lt;/rt&gt;&lt;/ruby&gt;""
)&amp;""&lt;br&gt;&lt;div class=""""audio""""&gt;[sound:""&amp;C879&amp;"".mp3]&lt;/div&gt;"""),"&lt;ruby&gt;品&lt;rt&gt;しな&lt;/rt&gt;&lt;/ruby&gt;&lt;br&gt;&lt;div class=""audio""&gt;[sound:しな.mp3]&lt;/div&gt;")</f>
        <v>&lt;ruby&gt;品&lt;rt&gt;しな&lt;/rt&gt;&lt;/ruby&gt;&lt;br&gt;&lt;div class="audio"&gt;[sound:しな.mp3]&lt;/div&gt;</v>
      </c>
      <c r="H879" s="3" t="str">
        <f t="shared" si="1"/>
        <v>(n): hàng hóa</v>
      </c>
      <c r="I879" s="6" t="s">
        <v>4755</v>
      </c>
      <c r="J879" s="6" t="s">
        <v>4756</v>
      </c>
      <c r="K879" s="7">
        <f t="shared" si="2"/>
        <v>0.9542530125</v>
      </c>
    </row>
    <row r="880">
      <c r="A880" s="4">
        <v>880.0</v>
      </c>
      <c r="B880" s="5" t="s">
        <v>4757</v>
      </c>
      <c r="C880" s="5" t="s">
        <v>4758</v>
      </c>
      <c r="D880" s="5" t="s">
        <v>4759</v>
      </c>
      <c r="E880" s="6" t="s">
        <v>74</v>
      </c>
      <c r="F880" s="6" t="s">
        <v>4760</v>
      </c>
      <c r="G880" s="3" t="str">
        <f>IFERROR(__xludf.DUMMYFUNCTION("REGEXREPLACE(
D880,
""([一-龯々]+)\[([^\]]+)\]"",
""&lt;ruby&gt;$1&lt;rt&gt;$2&lt;/rt&gt;&lt;/ruby&gt;""
)&amp;""&lt;br&gt;&lt;div class=""""audio""""&gt;[sound:""&amp;C880&amp;"".mp3]&lt;/div&gt;"""),"&lt;ruby&gt;大会&lt;rt&gt;たいかい&lt;/rt&gt;&lt;/ruby&gt;&lt;br&gt;&lt;div class=""audio""&gt;[sound:たいかい.mp3]&lt;/div&gt;")</f>
        <v>&lt;ruby&gt;大会&lt;rt&gt;たいかい&lt;/rt&gt;&lt;/ruby&gt;&lt;br&gt;&lt;div class="audio"&gt;[sound:たいかい.mp3]&lt;/div&gt;</v>
      </c>
      <c r="H880" s="3" t="str">
        <f t="shared" si="1"/>
        <v>(n): đại hội</v>
      </c>
      <c r="I880" s="6" t="s">
        <v>4761</v>
      </c>
      <c r="J880" s="6" t="s">
        <v>4762</v>
      </c>
      <c r="K880" s="7">
        <f t="shared" si="2"/>
        <v>0.1324014907</v>
      </c>
    </row>
    <row r="881">
      <c r="A881" s="4">
        <v>881.0</v>
      </c>
      <c r="B881" s="5" t="s">
        <v>4763</v>
      </c>
      <c r="C881" s="5" t="s">
        <v>4764</v>
      </c>
      <c r="D881" s="5" t="s">
        <v>4765</v>
      </c>
      <c r="E881" s="6" t="s">
        <v>74</v>
      </c>
      <c r="F881" s="6" t="s">
        <v>4766</v>
      </c>
      <c r="G881" s="3" t="str">
        <f>IFERROR(__xludf.DUMMYFUNCTION("REGEXREPLACE(
D881,
""([一-龯々]+)\[([^\]]+)\]"",
""&lt;ruby&gt;$1&lt;rt&gt;$2&lt;/rt&gt;&lt;/ruby&gt;""
)&amp;""&lt;br&gt;&lt;div class=""""audio""""&gt;[sound:""&amp;C881&amp;"".mp3]&lt;/div&gt;"""),"&lt;ruby&gt;女&lt;rt&gt;おんな&lt;/rt&gt;&lt;/ruby&gt;の&lt;ruby&gt;子&lt;rt&gt;こ&lt;/rt&gt;&lt;/ruby&gt;&lt;br&gt;&lt;div class=""audio""&gt;[sound:おんなのこ.mp3]&lt;/div&gt;")</f>
        <v>&lt;ruby&gt;女&lt;rt&gt;おんな&lt;/rt&gt;&lt;/ruby&gt;の&lt;ruby&gt;子&lt;rt&gt;こ&lt;/rt&gt;&lt;/ruby&gt;&lt;br&gt;&lt;div class="audio"&gt;[sound:おんなのこ.mp3]&lt;/div&gt;</v>
      </c>
      <c r="H881" s="3" t="str">
        <f t="shared" si="1"/>
        <v>(n): bé gái</v>
      </c>
      <c r="I881" s="6" t="s">
        <v>4767</v>
      </c>
      <c r="J881" s="6" t="s">
        <v>4768</v>
      </c>
      <c r="K881" s="7">
        <f t="shared" si="2"/>
        <v>0.1892509641</v>
      </c>
    </row>
    <row r="882">
      <c r="A882" s="4">
        <v>882.0</v>
      </c>
      <c r="B882" s="5" t="s">
        <v>4769</v>
      </c>
      <c r="C882" s="5" t="s">
        <v>4770</v>
      </c>
      <c r="D882" s="5" t="s">
        <v>4771</v>
      </c>
      <c r="E882" s="6" t="s">
        <v>74</v>
      </c>
      <c r="F882" s="6" t="s">
        <v>848</v>
      </c>
      <c r="G882" s="3" t="str">
        <f>IFERROR(__xludf.DUMMYFUNCTION("REGEXREPLACE(
D882,
""([一-龯々]+)\[([^\]]+)\]"",
""&lt;ruby&gt;$1&lt;rt&gt;$2&lt;/rt&gt;&lt;/ruby&gt;""
)&amp;""&lt;br&gt;&lt;div class=""""audio""""&gt;[sound:""&amp;C882&amp;"".mp3]&lt;/div&gt;"""),"&lt;ruby&gt;母&lt;rt&gt;はは&lt;/rt&gt;&lt;/ruby&gt;&lt;br&gt;&lt;div class=""audio""&gt;[sound:はは.mp3]&lt;/div&gt;")</f>
        <v>&lt;ruby&gt;母&lt;rt&gt;はは&lt;/rt&gt;&lt;/ruby&gt;&lt;br&gt;&lt;div class="audio"&gt;[sound:はは.mp3]&lt;/div&gt;</v>
      </c>
      <c r="H882" s="3" t="str">
        <f t="shared" si="1"/>
        <v>(n): mẹ</v>
      </c>
      <c r="I882" s="6" t="s">
        <v>4772</v>
      </c>
      <c r="J882" s="6" t="s">
        <v>4773</v>
      </c>
      <c r="K882" s="7">
        <f t="shared" si="2"/>
        <v>0.6855584531</v>
      </c>
    </row>
    <row r="883">
      <c r="A883" s="4">
        <v>883.0</v>
      </c>
      <c r="B883" s="5" t="s">
        <v>4774</v>
      </c>
      <c r="C883" s="5" t="s">
        <v>4775</v>
      </c>
      <c r="D883" s="5" t="s">
        <v>4776</v>
      </c>
      <c r="E883" s="6" t="s">
        <v>11</v>
      </c>
      <c r="F883" s="6" t="s">
        <v>4777</v>
      </c>
      <c r="G883" s="3" t="str">
        <f>IFERROR(__xludf.DUMMYFUNCTION("REGEXREPLACE(
D883,
""([一-龯々]+)\[([^\]]+)\]"",
""&lt;ruby&gt;$1&lt;rt&gt;$2&lt;/rt&gt;&lt;/ruby&gt;""
)&amp;""&lt;br&gt;&lt;div class=""""audio""""&gt;[sound:""&amp;C883&amp;"".mp3]&lt;/div&gt;"""),"&lt;ruby&gt;寂&lt;rt&gt;さび&lt;/rt&gt;&lt;/ruby&gt;しい&lt;br&gt;&lt;div class=""audio""&gt;[sound:さびしい.mp3]&lt;/div&gt;")</f>
        <v>&lt;ruby&gt;寂&lt;rt&gt;さび&lt;/rt&gt;&lt;/ruby&gt;しい&lt;br&gt;&lt;div class="audio"&gt;[sound:さびしい.mp3]&lt;/div&gt;</v>
      </c>
      <c r="H883" s="3" t="str">
        <f t="shared" si="1"/>
        <v>(adj): buồn</v>
      </c>
      <c r="I883" s="6" t="s">
        <v>4778</v>
      </c>
      <c r="J883" s="6" t="s">
        <v>4779</v>
      </c>
      <c r="K883" s="7">
        <f t="shared" si="2"/>
        <v>0.4592161118</v>
      </c>
    </row>
    <row r="884">
      <c r="A884" s="4">
        <v>884.0</v>
      </c>
      <c r="B884" s="5" t="s">
        <v>4780</v>
      </c>
      <c r="C884" s="5" t="s">
        <v>4781</v>
      </c>
      <c r="D884" s="5" t="s">
        <v>4782</v>
      </c>
      <c r="E884" s="6" t="s">
        <v>74</v>
      </c>
      <c r="F884" s="6" t="s">
        <v>4783</v>
      </c>
      <c r="G884" s="3" t="str">
        <f>IFERROR(__xludf.DUMMYFUNCTION("REGEXREPLACE(
D884,
""([一-龯々]+)\[([^\]]+)\]"",
""&lt;ruby&gt;$1&lt;rt&gt;$2&lt;/rt&gt;&lt;/ruby&gt;""
)&amp;""&lt;br&gt;&lt;div class=""""audio""""&gt;[sound:""&amp;C884&amp;"".mp3]&lt;/div&gt;"""),"&lt;ruby&gt;野菜&lt;rt&gt;やさい&lt;/rt&gt;&lt;/ruby&gt;&lt;br&gt;&lt;div class=""audio""&gt;[sound:やさい.mp3]&lt;/div&gt;")</f>
        <v>&lt;ruby&gt;野菜&lt;rt&gt;やさい&lt;/rt&gt;&lt;/ruby&gt;&lt;br&gt;&lt;div class="audio"&gt;[sound:やさい.mp3]&lt;/div&gt;</v>
      </c>
      <c r="H884" s="3" t="str">
        <f t="shared" si="1"/>
        <v>(n): rau</v>
      </c>
      <c r="I884" s="6" t="s">
        <v>4784</v>
      </c>
      <c r="J884" s="6" t="s">
        <v>4785</v>
      </c>
      <c r="K884" s="7">
        <f t="shared" si="2"/>
        <v>0.21892549</v>
      </c>
    </row>
    <row r="885">
      <c r="A885" s="4">
        <v>885.0</v>
      </c>
      <c r="B885" s="5" t="s">
        <v>4786</v>
      </c>
      <c r="C885" s="5" t="s">
        <v>4787</v>
      </c>
      <c r="D885" s="5" t="s">
        <v>4788</v>
      </c>
      <c r="E885" s="6" t="s">
        <v>74</v>
      </c>
      <c r="F885" s="6" t="s">
        <v>4789</v>
      </c>
      <c r="G885" s="3" t="str">
        <f>IFERROR(__xludf.DUMMYFUNCTION("REGEXREPLACE(
D885,
""([一-龯々]+)\[([^\]]+)\]"",
""&lt;ruby&gt;$1&lt;rt&gt;$2&lt;/rt&gt;&lt;/ruby&gt;""
)&amp;""&lt;br&gt;&lt;div class=""""audio""""&gt;[sound:""&amp;C885&amp;"".mp3]&lt;/div&gt;"""),"&lt;ruby&gt;成果&lt;rt&gt;せいか&lt;/rt&gt;&lt;/ruby&gt;&lt;br&gt;&lt;div class=""audio""&gt;[sound:せいか.mp3]&lt;/div&gt;")</f>
        <v>&lt;ruby&gt;成果&lt;rt&gt;せいか&lt;/rt&gt;&lt;/ruby&gt;&lt;br&gt;&lt;div class="audio"&gt;[sound:せいか.mp3]&lt;/div&gt;</v>
      </c>
      <c r="H885" s="3" t="str">
        <f t="shared" si="1"/>
        <v>(n): thành quả</v>
      </c>
      <c r="I885" s="6" t="s">
        <v>4790</v>
      </c>
      <c r="J885" s="6" t="s">
        <v>4791</v>
      </c>
      <c r="K885" s="7">
        <f t="shared" si="2"/>
        <v>0.4666765349</v>
      </c>
    </row>
    <row r="886">
      <c r="A886" s="4">
        <v>886.0</v>
      </c>
      <c r="B886" s="5" t="s">
        <v>4792</v>
      </c>
      <c r="C886" s="5" t="s">
        <v>4793</v>
      </c>
      <c r="D886" s="5" t="s">
        <v>4794</v>
      </c>
      <c r="E886" s="6" t="s">
        <v>74</v>
      </c>
      <c r="F886" s="6" t="s">
        <v>4795</v>
      </c>
      <c r="G886" s="3" t="str">
        <f>IFERROR(__xludf.DUMMYFUNCTION("REGEXREPLACE(
D886,
""([一-龯々]+)\[([^\]]+)\]"",
""&lt;ruby&gt;$1&lt;rt&gt;$2&lt;/rt&gt;&lt;/ruby&gt;""
)&amp;""&lt;br&gt;&lt;div class=""""audio""""&gt;[sound:""&amp;C886&amp;"".mp3]&lt;/div&gt;"""),"&lt;ruby&gt;投資&lt;rt&gt;とうし&lt;/rt&gt;&lt;/ruby&gt;&lt;br&gt;&lt;div class=""audio""&gt;[sound:とうし.mp3]&lt;/div&gt;")</f>
        <v>&lt;ruby&gt;投資&lt;rt&gt;とうし&lt;/rt&gt;&lt;/ruby&gt;&lt;br&gt;&lt;div class="audio"&gt;[sound:とうし.mp3]&lt;/div&gt;</v>
      </c>
      <c r="H886" s="3" t="str">
        <f t="shared" si="1"/>
        <v>(n): đầu tư</v>
      </c>
      <c r="I886" s="6" t="s">
        <v>4796</v>
      </c>
      <c r="J886" s="6" t="s">
        <v>4797</v>
      </c>
      <c r="K886" s="7">
        <f t="shared" si="2"/>
        <v>0.1225556266</v>
      </c>
    </row>
    <row r="887">
      <c r="A887" s="4">
        <v>887.0</v>
      </c>
      <c r="B887" s="5" t="s">
        <v>4798</v>
      </c>
      <c r="C887" s="5" t="s">
        <v>4799</v>
      </c>
      <c r="D887" s="5" t="s">
        <v>4800</v>
      </c>
      <c r="E887" s="6" t="s">
        <v>74</v>
      </c>
      <c r="F887" s="6" t="s">
        <v>4801</v>
      </c>
      <c r="G887" s="3" t="str">
        <f>IFERROR(__xludf.DUMMYFUNCTION("REGEXREPLACE(
D887,
""([一-龯々]+)\[([^\]]+)\]"",
""&lt;ruby&gt;$1&lt;rt&gt;$2&lt;/rt&gt;&lt;/ruby&gt;""
)&amp;""&lt;br&gt;&lt;div class=""""audio""""&gt;[sound:""&amp;C887&amp;"".mp3]&lt;/div&gt;"""),"&lt;ruby&gt;支持&lt;rt&gt;しじ&lt;/rt&gt;&lt;/ruby&gt;&lt;br&gt;&lt;div class=""audio""&gt;[sound:しじ.mp3]&lt;/div&gt;")</f>
        <v>&lt;ruby&gt;支持&lt;rt&gt;しじ&lt;/rt&gt;&lt;/ruby&gt;&lt;br&gt;&lt;div class="audio"&gt;[sound:しじ.mp3]&lt;/div&gt;</v>
      </c>
      <c r="H887" s="3" t="str">
        <f t="shared" si="1"/>
        <v>(n): ủng hộ</v>
      </c>
      <c r="I887" s="6" t="s">
        <v>4802</v>
      </c>
      <c r="J887" s="6" t="s">
        <v>4803</v>
      </c>
      <c r="K887" s="7">
        <f t="shared" si="2"/>
        <v>0.4920370623</v>
      </c>
    </row>
    <row r="888">
      <c r="A888" s="4">
        <v>888.0</v>
      </c>
      <c r="B888" s="5" t="s">
        <v>4804</v>
      </c>
      <c r="C888" s="5" t="s">
        <v>4805</v>
      </c>
      <c r="D888" s="5" t="s">
        <v>4806</v>
      </c>
      <c r="E888" s="6" t="s">
        <v>74</v>
      </c>
      <c r="F888" s="6" t="s">
        <v>4807</v>
      </c>
      <c r="G888" s="3" t="str">
        <f>IFERROR(__xludf.DUMMYFUNCTION("REGEXREPLACE(
D888,
""([一-龯々]+)\[([^\]]+)\]"",
""&lt;ruby&gt;$1&lt;rt&gt;$2&lt;/rt&gt;&lt;/ruby&gt;""
)&amp;""&lt;br&gt;&lt;div class=""""audio""""&gt;[sound:""&amp;C888&amp;"".mp3]&lt;/div&gt;"""),"&lt;ruby&gt;放送&lt;rt&gt;ほうそう&lt;/rt&gt;&lt;/ruby&gt;&lt;br&gt;&lt;div class=""audio""&gt;[sound:ほうそう.mp3]&lt;/div&gt;")</f>
        <v>&lt;ruby&gt;放送&lt;rt&gt;ほうそう&lt;/rt&gt;&lt;/ruby&gt;&lt;br&gt;&lt;div class="audio"&gt;[sound:ほうそう.mp3]&lt;/div&gt;</v>
      </c>
      <c r="H888" s="3" t="str">
        <f t="shared" si="1"/>
        <v>(n): phát sóng</v>
      </c>
      <c r="I888" s="6" t="s">
        <v>4808</v>
      </c>
      <c r="J888" s="6" t="s">
        <v>4809</v>
      </c>
      <c r="K888" s="7">
        <f t="shared" si="2"/>
        <v>0.5064960484</v>
      </c>
    </row>
    <row r="889">
      <c r="A889" s="4">
        <v>889.0</v>
      </c>
      <c r="B889" s="5" t="s">
        <v>4810</v>
      </c>
      <c r="C889" s="5" t="s">
        <v>4811</v>
      </c>
      <c r="D889" s="5" t="s">
        <v>4812</v>
      </c>
      <c r="E889" s="6" t="s">
        <v>74</v>
      </c>
      <c r="F889" s="6" t="s">
        <v>4813</v>
      </c>
      <c r="G889" s="3" t="str">
        <f>IFERROR(__xludf.DUMMYFUNCTION("REGEXREPLACE(
D889,
""([一-龯々]+)\[([^\]]+)\]"",
""&lt;ruby&gt;$1&lt;rt&gt;$2&lt;/rt&gt;&lt;/ruby&gt;""
)&amp;""&lt;br&gt;&lt;div class=""""audio""""&gt;[sound:""&amp;C889&amp;"".mp3]&lt;/div&gt;"""),"&lt;ruby&gt;旅行&lt;rt&gt;りょこう&lt;/rt&gt;&lt;/ruby&gt;&lt;br&gt;&lt;div class=""audio""&gt;[sound:りょこう.mp3]&lt;/div&gt;")</f>
        <v>&lt;ruby&gt;旅行&lt;rt&gt;りょこう&lt;/rt&gt;&lt;/ruby&gt;&lt;br&gt;&lt;div class="audio"&gt;[sound:りょこう.mp3]&lt;/div&gt;</v>
      </c>
      <c r="H889" s="3" t="str">
        <f t="shared" si="1"/>
        <v>(n): du lịch</v>
      </c>
      <c r="I889" s="6" t="s">
        <v>4814</v>
      </c>
      <c r="J889" s="6" t="s">
        <v>4815</v>
      </c>
      <c r="K889" s="7">
        <f t="shared" si="2"/>
        <v>0.03940959621</v>
      </c>
    </row>
    <row r="890">
      <c r="A890" s="4">
        <v>890.0</v>
      </c>
      <c r="B890" s="5" t="s">
        <v>4816</v>
      </c>
      <c r="C890" s="5" t="s">
        <v>4817</v>
      </c>
      <c r="D890" s="5" t="s">
        <v>4818</v>
      </c>
      <c r="E890" s="6" t="s">
        <v>11</v>
      </c>
      <c r="F890" s="6" t="s">
        <v>1067</v>
      </c>
      <c r="G890" s="3" t="str">
        <f>IFERROR(__xludf.DUMMYFUNCTION("REGEXREPLACE(
D890,
""([一-龯々]+)\[([^\]]+)\]"",
""&lt;ruby&gt;$1&lt;rt&gt;$2&lt;/rt&gt;&lt;/ruby&gt;""
)&amp;""&lt;br&gt;&lt;div class=""""audio""""&gt;[sound:""&amp;C890&amp;"".mp3]&lt;/div&gt;"""),"&lt;ruby&gt;楽&lt;rt&gt;たの&lt;/rt&gt;&lt;/ruby&gt;しい&lt;br&gt;&lt;div class=""audio""&gt;[sound:たのしい.mp3]&lt;/div&gt;")</f>
        <v>&lt;ruby&gt;楽&lt;rt&gt;たの&lt;/rt&gt;&lt;/ruby&gt;しい&lt;br&gt;&lt;div class="audio"&gt;[sound:たのしい.mp3]&lt;/div&gt;</v>
      </c>
      <c r="H890" s="3" t="str">
        <f t="shared" si="1"/>
        <v>(adj): vui</v>
      </c>
      <c r="I890" s="6" t="s">
        <v>4819</v>
      </c>
      <c r="J890" s="6" t="s">
        <v>4820</v>
      </c>
      <c r="K890" s="7">
        <f t="shared" si="2"/>
        <v>0.4774891482</v>
      </c>
    </row>
    <row r="891">
      <c r="A891" s="4">
        <v>891.0</v>
      </c>
      <c r="B891" s="5" t="s">
        <v>4821</v>
      </c>
      <c r="C891" s="5" t="s">
        <v>4822</v>
      </c>
      <c r="D891" s="5" t="s">
        <v>4823</v>
      </c>
      <c r="E891" s="6" t="s">
        <v>74</v>
      </c>
      <c r="F891" s="6" t="s">
        <v>4824</v>
      </c>
      <c r="G891" s="3" t="str">
        <f>IFERROR(__xludf.DUMMYFUNCTION("REGEXREPLACE(
D891,
""([一-龯々]+)\[([^\]]+)\]"",
""&lt;ruby&gt;$1&lt;rt&gt;$2&lt;/rt&gt;&lt;/ruby&gt;""
)&amp;""&lt;br&gt;&lt;div class=""""audio""""&gt;[sound:""&amp;C891&amp;"".mp3]&lt;/div&gt;"""),"&lt;ruby&gt;団体&lt;rt&gt;だんたい&lt;/rt&gt;&lt;/ruby&gt;&lt;br&gt;&lt;div class=""audio""&gt;[sound:だんたい.mp3]&lt;/div&gt;")</f>
        <v>&lt;ruby&gt;団体&lt;rt&gt;だんたい&lt;/rt&gt;&lt;/ruby&gt;&lt;br&gt;&lt;div class="audio"&gt;[sound:だんたい.mp3]&lt;/div&gt;</v>
      </c>
      <c r="H891" s="3" t="str">
        <f t="shared" si="1"/>
        <v>(n): đoàn thể</v>
      </c>
      <c r="I891" s="6" t="s">
        <v>4825</v>
      </c>
      <c r="J891" s="6" t="s">
        <v>4826</v>
      </c>
      <c r="K891" s="7">
        <f t="shared" si="2"/>
        <v>0.8054654182</v>
      </c>
    </row>
    <row r="892">
      <c r="A892" s="4">
        <v>892.0</v>
      </c>
      <c r="B892" s="5" t="s">
        <v>4827</v>
      </c>
      <c r="C892" s="5" t="s">
        <v>4828</v>
      </c>
      <c r="D892" s="5" t="s">
        <v>4829</v>
      </c>
      <c r="E892" s="6" t="s">
        <v>11</v>
      </c>
      <c r="F892" s="6" t="s">
        <v>4515</v>
      </c>
      <c r="G892" s="3" t="str">
        <f>IFERROR(__xludf.DUMMYFUNCTION("REGEXREPLACE(
D892,
""([一-龯々]+)\[([^\]]+)\]"",
""&lt;ruby&gt;$1&lt;rt&gt;$2&lt;/rt&gt;&lt;/ruby&gt;""
)&amp;""&lt;br&gt;&lt;div class=""""audio""""&gt;[sound:""&amp;C892&amp;"".mp3]&lt;/div&gt;"""),"&lt;ruby&gt;最高&lt;rt&gt;さいこう&lt;/rt&gt;&lt;/ruby&gt;&lt;br&gt;&lt;div class=""audio""&gt;[sound:さいこう.mp3]&lt;/div&gt;")</f>
        <v>&lt;ruby&gt;最高&lt;rt&gt;さいこう&lt;/rt&gt;&lt;/ruby&gt;&lt;br&gt;&lt;div class="audio"&gt;[sound:さいこう.mp3]&lt;/div&gt;</v>
      </c>
      <c r="H892" s="3" t="str">
        <f t="shared" si="1"/>
        <v>(adj): tốt nhất</v>
      </c>
      <c r="I892" s="6" t="s">
        <v>4830</v>
      </c>
      <c r="J892" s="6" t="s">
        <v>4831</v>
      </c>
      <c r="K892" s="7">
        <f t="shared" si="2"/>
        <v>0.9876378392</v>
      </c>
    </row>
    <row r="893">
      <c r="A893" s="4">
        <v>893.0</v>
      </c>
      <c r="B893" s="5" t="s">
        <v>4832</v>
      </c>
      <c r="C893" s="5" t="s">
        <v>4833</v>
      </c>
      <c r="D893" s="5" t="s">
        <v>4834</v>
      </c>
      <c r="E893" s="6" t="s">
        <v>74</v>
      </c>
      <c r="F893" s="6" t="s">
        <v>1408</v>
      </c>
      <c r="G893" s="3" t="str">
        <f>IFERROR(__xludf.DUMMYFUNCTION("REGEXREPLACE(
D893,
""([一-龯々]+)\[([^\]]+)\]"",
""&lt;ruby&gt;$1&lt;rt&gt;$2&lt;/rt&gt;&lt;/ruby&gt;""
)&amp;""&lt;br&gt;&lt;div class=""""audio""""&gt;[sound:""&amp;C893&amp;"".mp3]&lt;/div&gt;"""),"&lt;ruby&gt;家庭&lt;rt&gt;かてい&lt;/rt&gt;&lt;/ruby&gt;&lt;br&gt;&lt;div class=""audio""&gt;[sound:かてい.mp3]&lt;/div&gt;")</f>
        <v>&lt;ruby&gt;家庭&lt;rt&gt;かてい&lt;/rt&gt;&lt;/ruby&gt;&lt;br&gt;&lt;div class="audio"&gt;[sound:かてい.mp3]&lt;/div&gt;</v>
      </c>
      <c r="H893" s="3" t="str">
        <f t="shared" si="1"/>
        <v>(n): gia đình</v>
      </c>
      <c r="I893" s="6" t="s">
        <v>4835</v>
      </c>
      <c r="J893" s="6" t="s">
        <v>4836</v>
      </c>
      <c r="K893" s="7">
        <f t="shared" si="2"/>
        <v>0.4019992886</v>
      </c>
    </row>
    <row r="894">
      <c r="A894" s="4">
        <v>894.0</v>
      </c>
      <c r="B894" s="5" t="s">
        <v>4837</v>
      </c>
      <c r="C894" s="5" t="s">
        <v>4838</v>
      </c>
      <c r="D894" s="5" t="s">
        <v>4839</v>
      </c>
      <c r="E894" s="6" t="s">
        <v>24</v>
      </c>
      <c r="F894" s="6" t="s">
        <v>4840</v>
      </c>
      <c r="G894" s="3" t="str">
        <f>IFERROR(__xludf.DUMMYFUNCTION("REGEXREPLACE(
D894,
""([一-龯々]+)\[([^\]]+)\]"",
""&lt;ruby&gt;$1&lt;rt&gt;$2&lt;/rt&gt;&lt;/ruby&gt;""
)&amp;""&lt;br&gt;&lt;div class=""""audio""""&gt;[sound:""&amp;C894&amp;"".mp3]&lt;/div&gt;"""),"&lt;ruby&gt;死&lt;rt&gt;し&lt;/rt&gt;&lt;/ruby&gt;ぬ&lt;br&gt;&lt;div class=""audio""&gt;[sound:しぬ.mp3]&lt;/div&gt;")</f>
        <v>&lt;ruby&gt;死&lt;rt&gt;し&lt;/rt&gt;&lt;/ruby&gt;ぬ&lt;br&gt;&lt;div class="audio"&gt;[sound:しぬ.mp3]&lt;/div&gt;</v>
      </c>
      <c r="H894" s="3" t="str">
        <f t="shared" si="1"/>
        <v>(v): chết</v>
      </c>
      <c r="I894" s="6" t="s">
        <v>4841</v>
      </c>
      <c r="J894" s="6" t="s">
        <v>4842</v>
      </c>
      <c r="K894" s="7">
        <f t="shared" si="2"/>
        <v>0.544018979</v>
      </c>
    </row>
    <row r="895">
      <c r="A895" s="4">
        <v>895.0</v>
      </c>
      <c r="B895" s="5" t="s">
        <v>4843</v>
      </c>
      <c r="C895" s="5" t="s">
        <v>4844</v>
      </c>
      <c r="D895" s="5" t="s">
        <v>4845</v>
      </c>
      <c r="E895" s="6" t="s">
        <v>74</v>
      </c>
      <c r="F895" s="6" t="s">
        <v>4846</v>
      </c>
      <c r="G895" s="3" t="str">
        <f>IFERROR(__xludf.DUMMYFUNCTION("REGEXREPLACE(
D895,
""([一-龯々]+)\[([^\]]+)\]"",
""&lt;ruby&gt;$1&lt;rt&gt;$2&lt;/rt&gt;&lt;/ruby&gt;""
)&amp;""&lt;br&gt;&lt;div class=""""audio""""&gt;[sound:""&amp;C895&amp;"".mp3]&lt;/div&gt;"""),"&lt;ruby&gt;大人&lt;rt&gt;おとな&lt;/rt&gt;&lt;/ruby&gt;&lt;br&gt;&lt;div class=""audio""&gt;[sound:おとな.mp3]&lt;/div&gt;")</f>
        <v>&lt;ruby&gt;大人&lt;rt&gt;おとな&lt;/rt&gt;&lt;/ruby&gt;&lt;br&gt;&lt;div class="audio"&gt;[sound:おとな.mp3]&lt;/div&gt;</v>
      </c>
      <c r="H895" s="3" t="str">
        <f t="shared" si="1"/>
        <v>(n): người lớn</v>
      </c>
      <c r="I895" s="6" t="s">
        <v>4847</v>
      </c>
      <c r="J895" s="6" t="s">
        <v>4848</v>
      </c>
      <c r="K895" s="7">
        <f t="shared" si="2"/>
        <v>0.4734554067</v>
      </c>
    </row>
    <row r="896">
      <c r="A896" s="4">
        <v>896.0</v>
      </c>
      <c r="B896" s="5" t="s">
        <v>4849</v>
      </c>
      <c r="C896" s="5" t="s">
        <v>4850</v>
      </c>
      <c r="D896" s="5" t="s">
        <v>4851</v>
      </c>
      <c r="E896" s="6" t="s">
        <v>74</v>
      </c>
      <c r="F896" s="6" t="s">
        <v>4852</v>
      </c>
      <c r="G896" s="3" t="str">
        <f>IFERROR(__xludf.DUMMYFUNCTION("REGEXREPLACE(
D896,
""([一-龯々]+)\[([^\]]+)\]"",
""&lt;ruby&gt;$1&lt;rt&gt;$2&lt;/rt&gt;&lt;/ruby&gt;""
)&amp;""&lt;br&gt;&lt;div class=""""audio""""&gt;[sound:""&amp;C896&amp;"".mp3]&lt;/div&gt;"""),"&lt;ruby&gt;実現&lt;rt&gt;じつげん&lt;/rt&gt;&lt;/ruby&gt;&lt;br&gt;&lt;div class=""audio""&gt;[sound:じつげん.mp3]&lt;/div&gt;")</f>
        <v>&lt;ruby&gt;実現&lt;rt&gt;じつげん&lt;/rt&gt;&lt;/ruby&gt;&lt;br&gt;&lt;div class="audio"&gt;[sound:じつげん.mp3]&lt;/div&gt;</v>
      </c>
      <c r="H896" s="3" t="str">
        <f t="shared" si="1"/>
        <v>(n): hiện thực hóa</v>
      </c>
      <c r="I896" s="6" t="s">
        <v>4853</v>
      </c>
      <c r="J896" s="6" t="s">
        <v>4854</v>
      </c>
      <c r="K896" s="7">
        <f t="shared" si="2"/>
        <v>0.2102149575</v>
      </c>
    </row>
    <row r="897">
      <c r="A897" s="4">
        <v>897.0</v>
      </c>
      <c r="B897" s="5" t="s">
        <v>4855</v>
      </c>
      <c r="C897" s="5" t="s">
        <v>4856</v>
      </c>
      <c r="D897" s="5" t="s">
        <v>4857</v>
      </c>
      <c r="E897" s="6" t="s">
        <v>74</v>
      </c>
      <c r="F897" s="6" t="s">
        <v>4858</v>
      </c>
      <c r="G897" s="3" t="str">
        <f>IFERROR(__xludf.DUMMYFUNCTION("REGEXREPLACE(
D897,
""([一-龯々]+)\[([^\]]+)\]"",
""&lt;ruby&gt;$1&lt;rt&gt;$2&lt;/rt&gt;&lt;/ruby&gt;""
)&amp;""&lt;br&gt;&lt;div class=""""audio""""&gt;[sound:""&amp;C897&amp;"".mp3]&lt;/div&gt;"""),"&lt;ruby&gt;関心&lt;rt&gt;かんしん&lt;/rt&gt;&lt;/ruby&gt;&lt;br&gt;&lt;div class=""audio""&gt;[sound:かんしん.mp3]&lt;/div&gt;")</f>
        <v>&lt;ruby&gt;関心&lt;rt&gt;かんしん&lt;/rt&gt;&lt;/ruby&gt;&lt;br&gt;&lt;div class="audio"&gt;[sound:かんしん.mp3]&lt;/div&gt;</v>
      </c>
      <c r="H897" s="3" t="str">
        <f t="shared" si="1"/>
        <v>(n): quan tâm</v>
      </c>
      <c r="I897" s="6" t="s">
        <v>4859</v>
      </c>
      <c r="J897" s="6" t="s">
        <v>4860</v>
      </c>
      <c r="K897" s="7">
        <f t="shared" si="2"/>
        <v>0.2456120478</v>
      </c>
    </row>
    <row r="898">
      <c r="A898" s="4">
        <v>898.0</v>
      </c>
      <c r="B898" s="5" t="s">
        <v>4861</v>
      </c>
      <c r="C898" s="5" t="s">
        <v>4862</v>
      </c>
      <c r="D898" s="5" t="s">
        <v>4863</v>
      </c>
      <c r="E898" s="6" t="s">
        <v>24</v>
      </c>
      <c r="F898" s="6" t="s">
        <v>2755</v>
      </c>
      <c r="G898" s="3" t="str">
        <f>IFERROR(__xludf.DUMMYFUNCTION("REGEXREPLACE(
D898,
""([一-龯々]+)\[([^\]]+)\]"",
""&lt;ruby&gt;$1&lt;rt&gt;$2&lt;/rt&gt;&lt;/ruby&gt;""
)&amp;""&lt;br&gt;&lt;div class=""""audio""""&gt;[sound:""&amp;C898&amp;"".mp3]&lt;/div&gt;"""),"&lt;ruby&gt;含&lt;rt&gt;ふく&lt;/rt&gt;&lt;/ruby&gt;める&lt;br&gt;&lt;div class=""audio""&gt;[sound:ふくめる.mp3]&lt;/div&gt;")</f>
        <v>&lt;ruby&gt;含&lt;rt&gt;ふく&lt;/rt&gt;&lt;/ruby&gt;める&lt;br&gt;&lt;div class="audio"&gt;[sound:ふくめる.mp3]&lt;/div&gt;</v>
      </c>
      <c r="H898" s="3" t="str">
        <f t="shared" si="1"/>
        <v>(v): bao gồm</v>
      </c>
      <c r="I898" s="6" t="s">
        <v>4864</v>
      </c>
      <c r="J898" s="6" t="s">
        <v>4865</v>
      </c>
      <c r="K898" s="7">
        <f t="shared" si="2"/>
        <v>0.8646277778</v>
      </c>
    </row>
    <row r="899">
      <c r="A899" s="4">
        <v>899.0</v>
      </c>
      <c r="B899" s="5" t="s">
        <v>4866</v>
      </c>
      <c r="C899" s="5" t="s">
        <v>4867</v>
      </c>
      <c r="D899" s="5" t="s">
        <v>4868</v>
      </c>
      <c r="E899" s="6" t="s">
        <v>74</v>
      </c>
      <c r="F899" s="6" t="s">
        <v>4869</v>
      </c>
      <c r="G899" s="3" t="str">
        <f>IFERROR(__xludf.DUMMYFUNCTION("REGEXREPLACE(
D899,
""([一-龯々]+)\[([^\]]+)\]"",
""&lt;ruby&gt;$1&lt;rt&gt;$2&lt;/rt&gt;&lt;/ruby&gt;""
)&amp;""&lt;br&gt;&lt;div class=""""audio""""&gt;[sound:""&amp;C899&amp;"".mp3]&lt;/div&gt;"""),"&lt;ruby&gt;空港&lt;rt&gt;くうこう&lt;/rt&gt;&lt;/ruby&gt;&lt;br&gt;&lt;div class=""audio""&gt;[sound:くうこう.mp3]&lt;/div&gt;")</f>
        <v>&lt;ruby&gt;空港&lt;rt&gt;くうこう&lt;/rt&gt;&lt;/ruby&gt;&lt;br&gt;&lt;div class="audio"&gt;[sound:くうこう.mp3]&lt;/div&gt;</v>
      </c>
      <c r="H899" s="3" t="str">
        <f t="shared" si="1"/>
        <v>(n): sân bay</v>
      </c>
      <c r="I899" s="6" t="s">
        <v>4870</v>
      </c>
      <c r="J899" s="6" t="s">
        <v>4871</v>
      </c>
      <c r="K899" s="7">
        <f t="shared" si="2"/>
        <v>0.368026529</v>
      </c>
    </row>
    <row r="900">
      <c r="A900" s="4">
        <v>900.0</v>
      </c>
      <c r="B900" s="5" t="s">
        <v>4872</v>
      </c>
      <c r="C900" s="5" t="s">
        <v>4873</v>
      </c>
      <c r="D900" s="5" t="s">
        <v>4874</v>
      </c>
      <c r="E900" s="6" t="s">
        <v>74</v>
      </c>
      <c r="F900" s="6" t="s">
        <v>801</v>
      </c>
      <c r="G900" s="3" t="str">
        <f>IFERROR(__xludf.DUMMYFUNCTION("REGEXREPLACE(
D900,
""([一-龯々]+)\[([^\]]+)\]"",
""&lt;ruby&gt;$1&lt;rt&gt;$2&lt;/rt&gt;&lt;/ruby&gt;""
)&amp;""&lt;br&gt;&lt;div class=""""audio""""&gt;[sound:""&amp;C900&amp;"".mp3]&lt;/div&gt;"""),"&lt;ruby&gt;大学生&lt;rt&gt;だいがくせい&lt;/rt&gt;&lt;/ruby&gt;&lt;br&gt;&lt;div class=""audio""&gt;[sound:だいがくせい.mp3]&lt;/div&gt;")</f>
        <v>&lt;ruby&gt;大学生&lt;rt&gt;だいがくせい&lt;/rt&gt;&lt;/ruby&gt;&lt;br&gt;&lt;div class="audio"&gt;[sound:だいがくせい.mp3]&lt;/div&gt;</v>
      </c>
      <c r="H900" s="3" t="str">
        <f t="shared" si="1"/>
        <v>(n): sinh viên</v>
      </c>
      <c r="I900" s="6" t="s">
        <v>4875</v>
      </c>
      <c r="J900" s="6" t="s">
        <v>4876</v>
      </c>
      <c r="K900" s="7">
        <f t="shared" si="2"/>
        <v>0.04862256447</v>
      </c>
    </row>
    <row r="901">
      <c r="A901" s="4">
        <v>901.0</v>
      </c>
      <c r="B901" s="5" t="s">
        <v>4877</v>
      </c>
      <c r="C901" s="5" t="s">
        <v>4878</v>
      </c>
      <c r="D901" s="5" t="s">
        <v>4879</v>
      </c>
      <c r="E901" s="6" t="s">
        <v>74</v>
      </c>
      <c r="F901" s="6" t="s">
        <v>4880</v>
      </c>
      <c r="G901" s="3" t="str">
        <f>IFERROR(__xludf.DUMMYFUNCTION("REGEXREPLACE(
D901,
""([一-龯々]+)\[([^\]]+)\]"",
""&lt;ruby&gt;$1&lt;rt&gt;$2&lt;/rt&gt;&lt;/ruby&gt;""
)&amp;""&lt;br&gt;&lt;div class=""""audio""""&gt;[sound:""&amp;C901&amp;"".mp3]&lt;/div&gt;"""),"&lt;ruby&gt;収穫&lt;rt&gt;しゅうかく&lt;/rt&gt;&lt;/ruby&gt;&lt;br&gt;&lt;div class=""audio""&gt;[sound:しゅうかく.mp3]&lt;/div&gt;")</f>
        <v>&lt;ruby&gt;収穫&lt;rt&gt;しゅうかく&lt;/rt&gt;&lt;/ruby&gt;&lt;br&gt;&lt;div class="audio"&gt;[sound:しゅうかく.mp3]&lt;/div&gt;</v>
      </c>
      <c r="H901" s="3" t="str">
        <f t="shared" si="1"/>
        <v>(n): thu hoạch</v>
      </c>
      <c r="I901" s="6" t="s">
        <v>4881</v>
      </c>
      <c r="J901" s="6" t="s">
        <v>4882</v>
      </c>
      <c r="K901" s="7">
        <f t="shared" si="2"/>
        <v>0.1208993062</v>
      </c>
    </row>
    <row r="902">
      <c r="A902" s="4">
        <v>902.0</v>
      </c>
      <c r="B902" s="5" t="s">
        <v>4883</v>
      </c>
      <c r="C902" s="5" t="s">
        <v>4884</v>
      </c>
      <c r="D902" s="5" t="s">
        <v>4885</v>
      </c>
      <c r="E902" s="6" t="s">
        <v>74</v>
      </c>
      <c r="F902" s="6" t="s">
        <v>4886</v>
      </c>
      <c r="G902" s="3" t="str">
        <f>IFERROR(__xludf.DUMMYFUNCTION("REGEXREPLACE(
D902,
""([一-龯々]+)\[([^\]]+)\]"",
""&lt;ruby&gt;$1&lt;rt&gt;$2&lt;/rt&gt;&lt;/ruby&gt;""
)&amp;""&lt;br&gt;&lt;div class=""""audio""""&gt;[sound:""&amp;C902&amp;"".mp3]&lt;/div&gt;"""),"&lt;ruby&gt;最初&lt;rt&gt;さいしょ&lt;/rt&gt;&lt;/ruby&gt;&lt;br&gt;&lt;div class=""audio""&gt;[sound:さいしょ.mp3]&lt;/div&gt;")</f>
        <v>&lt;ruby&gt;最初&lt;rt&gt;さいしょ&lt;/rt&gt;&lt;/ruby&gt;&lt;br&gt;&lt;div class="audio"&gt;[sound:さいしょ.mp3]&lt;/div&gt;</v>
      </c>
      <c r="H902" s="3" t="str">
        <f t="shared" si="1"/>
        <v>(n): đầu tiên</v>
      </c>
      <c r="I902" s="6" t="s">
        <v>4887</v>
      </c>
      <c r="J902" s="6" t="s">
        <v>4888</v>
      </c>
      <c r="K902" s="7">
        <f t="shared" si="2"/>
        <v>0.2105283467</v>
      </c>
    </row>
    <row r="903">
      <c r="A903" s="4">
        <v>903.0</v>
      </c>
      <c r="B903" s="5" t="s">
        <v>4889</v>
      </c>
      <c r="C903" s="5" t="s">
        <v>4890</v>
      </c>
      <c r="D903" s="5" t="s">
        <v>4891</v>
      </c>
      <c r="E903" s="6" t="s">
        <v>24</v>
      </c>
      <c r="F903" s="6" t="s">
        <v>2803</v>
      </c>
      <c r="G903" s="3" t="str">
        <f>IFERROR(__xludf.DUMMYFUNCTION("REGEXREPLACE(
D903,
""([一-龯々]+)\[([^\]]+)\]"",
""&lt;ruby&gt;$1&lt;rt&gt;$2&lt;/rt&gt;&lt;/ruby&gt;""
)&amp;""&lt;br&gt;&lt;div class=""""audio""""&gt;[sound:""&amp;C903&amp;"".mp3]&lt;/div&gt;"""),"&lt;ruby&gt;図&lt;rt&gt;はか&lt;/rt&gt;&lt;/ruby&gt;る&lt;br&gt;&lt;div class=""audio""&gt;[sound:はかる.mp3]&lt;/div&gt;")</f>
        <v>&lt;ruby&gt;図&lt;rt&gt;はか&lt;/rt&gt;&lt;/ruby&gt;る&lt;br&gt;&lt;div class="audio"&gt;[sound:はかる.mp3]&lt;/div&gt;</v>
      </c>
      <c r="H903" s="3" t="str">
        <f t="shared" si="1"/>
        <v>(v): cố gắng</v>
      </c>
      <c r="I903" s="6" t="s">
        <v>4892</v>
      </c>
      <c r="J903" s="6" t="s">
        <v>4893</v>
      </c>
      <c r="K903" s="7">
        <f t="shared" si="2"/>
        <v>0.5500466811</v>
      </c>
    </row>
    <row r="904">
      <c r="A904" s="4">
        <v>904.0</v>
      </c>
      <c r="B904" s="5" t="s">
        <v>4894</v>
      </c>
      <c r="C904" s="5" t="s">
        <v>4895</v>
      </c>
      <c r="D904" s="5" t="s">
        <v>4896</v>
      </c>
      <c r="E904" s="6" t="s">
        <v>11</v>
      </c>
      <c r="F904" s="6" t="s">
        <v>4897</v>
      </c>
      <c r="G904" s="3" t="str">
        <f>IFERROR(__xludf.DUMMYFUNCTION("REGEXREPLACE(
D904,
""([一-龯々]+)\[([^\]]+)\]"",
""&lt;ruby&gt;$1&lt;rt&gt;$2&lt;/rt&gt;&lt;/ruby&gt;""
)&amp;""&lt;br&gt;&lt;div class=""""audio""""&gt;[sound:""&amp;C904&amp;"".mp3]&lt;/div&gt;"""),"&lt;ruby&gt;正&lt;rt&gt;ただ&lt;/rt&gt;&lt;/ruby&gt;しい&lt;br&gt;&lt;div class=""audio""&gt;[sound:ただしい.mp3]&lt;/div&gt;")</f>
        <v>&lt;ruby&gt;正&lt;rt&gt;ただ&lt;/rt&gt;&lt;/ruby&gt;しい&lt;br&gt;&lt;div class="audio"&gt;[sound:ただしい.mp3]&lt;/div&gt;</v>
      </c>
      <c r="H904" s="3" t="str">
        <f t="shared" si="1"/>
        <v>(adj): đúng</v>
      </c>
      <c r="I904" s="6" t="s">
        <v>4898</v>
      </c>
      <c r="J904" s="6" t="s">
        <v>4899</v>
      </c>
      <c r="K904" s="7">
        <f t="shared" si="2"/>
        <v>0.07793420881</v>
      </c>
    </row>
    <row r="905">
      <c r="A905" s="4">
        <v>905.0</v>
      </c>
      <c r="B905" s="5" t="s">
        <v>4900</v>
      </c>
      <c r="C905" s="5" t="s">
        <v>4901</v>
      </c>
      <c r="D905" s="5" t="s">
        <v>4902</v>
      </c>
      <c r="E905" s="6" t="s">
        <v>74</v>
      </c>
      <c r="F905" s="6" t="s">
        <v>4903</v>
      </c>
      <c r="G905" s="3" t="str">
        <f>IFERROR(__xludf.DUMMYFUNCTION("REGEXREPLACE(
D905,
""([一-龯々]+)\[([^\]]+)\]"",
""&lt;ruby&gt;$1&lt;rt&gt;$2&lt;/rt&gt;&lt;/ruby&gt;""
)&amp;""&lt;br&gt;&lt;div class=""""audio""""&gt;[sound:""&amp;C905&amp;"".mp3]&lt;/div&gt;"""),"&lt;ruby&gt;次&lt;rt&gt;つぎ&lt;/rt&gt;&lt;/ruby&gt;&lt;br&gt;&lt;div class=""audio""&gt;[sound:つぎ.mp3]&lt;/div&gt;")</f>
        <v>&lt;ruby&gt;次&lt;rt&gt;つぎ&lt;/rt&gt;&lt;/ruby&gt;&lt;br&gt;&lt;div class="audio"&gt;[sound:つぎ.mp3]&lt;/div&gt;</v>
      </c>
      <c r="H905" s="3" t="str">
        <f t="shared" si="1"/>
        <v>(n): tiếp theo</v>
      </c>
      <c r="I905" s="6" t="s">
        <v>4904</v>
      </c>
      <c r="J905" s="6" t="s">
        <v>4905</v>
      </c>
      <c r="K905" s="7">
        <f t="shared" si="2"/>
        <v>0.9781206969</v>
      </c>
    </row>
    <row r="906">
      <c r="A906" s="4">
        <v>906.0</v>
      </c>
      <c r="B906" s="5" t="s">
        <v>4906</v>
      </c>
      <c r="C906" s="5" t="s">
        <v>4907</v>
      </c>
      <c r="D906" s="5" t="s">
        <v>4908</v>
      </c>
      <c r="E906" s="6" t="s">
        <v>24</v>
      </c>
      <c r="F906" s="6" t="s">
        <v>4909</v>
      </c>
      <c r="G906" s="3" t="str">
        <f>IFERROR(__xludf.DUMMYFUNCTION("REGEXREPLACE(
D906,
""([一-龯々]+)\[([^\]]+)\]"",
""&lt;ruby&gt;$1&lt;rt&gt;$2&lt;/rt&gt;&lt;/ruby&gt;""
)&amp;""&lt;br&gt;&lt;div class=""""audio""""&gt;[sound:""&amp;C906&amp;"".mp3]&lt;/div&gt;"""),"&lt;ruby&gt;支&lt;rt&gt;ささ&lt;/rt&gt;&lt;/ruby&gt;える&lt;br&gt;&lt;div class=""audio""&gt;[sound:ささえる.mp3]&lt;/div&gt;")</f>
        <v>&lt;ruby&gt;支&lt;rt&gt;ささ&lt;/rt&gt;&lt;/ruby&gt;える&lt;br&gt;&lt;div class="audio"&gt;[sound:ささえる.mp3]&lt;/div&gt;</v>
      </c>
      <c r="H906" s="3" t="str">
        <f t="shared" si="1"/>
        <v>(v): chống đỡ</v>
      </c>
      <c r="I906" s="6" t="s">
        <v>4910</v>
      </c>
      <c r="J906" s="6" t="s">
        <v>4911</v>
      </c>
      <c r="K906" s="7">
        <f t="shared" si="2"/>
        <v>0.9473180185</v>
      </c>
    </row>
    <row r="907">
      <c r="A907" s="4">
        <v>907.0</v>
      </c>
      <c r="B907" s="5" t="s">
        <v>4912</v>
      </c>
      <c r="C907" s="5" t="s">
        <v>4913</v>
      </c>
      <c r="D907" s="5" t="s">
        <v>4914</v>
      </c>
      <c r="E907" s="6" t="s">
        <v>74</v>
      </c>
      <c r="F907" s="6" t="s">
        <v>1633</v>
      </c>
      <c r="G907" s="3" t="str">
        <f>IFERROR(__xludf.DUMMYFUNCTION("REGEXREPLACE(
D907,
""([一-龯々]+)\[([^\]]+)\]"",
""&lt;ruby&gt;$1&lt;rt&gt;$2&lt;/rt&gt;&lt;/ruby&gt;""
)&amp;""&lt;br&gt;&lt;div class=""""audio""""&gt;[sound:""&amp;C907&amp;"".mp3]&lt;/div&gt;"""),"&lt;ruby&gt;変更&lt;rt&gt;へんこう&lt;/rt&gt;&lt;/ruby&gt;&lt;br&gt;&lt;div class=""audio""&gt;[sound:へんこう.mp3]&lt;/div&gt;")</f>
        <v>&lt;ruby&gt;変更&lt;rt&gt;へんこう&lt;/rt&gt;&lt;/ruby&gt;&lt;br&gt;&lt;div class="audio"&gt;[sound:へんこう.mp3]&lt;/div&gt;</v>
      </c>
      <c r="H907" s="3" t="str">
        <f t="shared" si="1"/>
        <v>(n): sự thay đổi</v>
      </c>
      <c r="I907" s="6" t="s">
        <v>4915</v>
      </c>
      <c r="J907" s="6" t="s">
        <v>4916</v>
      </c>
      <c r="K907" s="7">
        <f t="shared" si="2"/>
        <v>0.1756523704</v>
      </c>
    </row>
    <row r="908">
      <c r="A908" s="4">
        <v>908.0</v>
      </c>
      <c r="B908" s="5" t="s">
        <v>4917</v>
      </c>
      <c r="C908" s="5" t="s">
        <v>4918</v>
      </c>
      <c r="D908" s="5" t="s">
        <v>4919</v>
      </c>
      <c r="E908" s="6" t="s">
        <v>74</v>
      </c>
      <c r="F908" s="6" t="s">
        <v>4920</v>
      </c>
      <c r="G908" s="3" t="str">
        <f>IFERROR(__xludf.DUMMYFUNCTION("REGEXREPLACE(
D908,
""([一-龯々]+)\[([^\]]+)\]"",
""&lt;ruby&gt;$1&lt;rt&gt;$2&lt;/rt&gt;&lt;/ruby&gt;""
)&amp;""&lt;br&gt;&lt;div class=""""audio""""&gt;[sound:""&amp;C908&amp;"".mp3]&lt;/div&gt;"""),"&lt;ruby&gt;金曜日&lt;rt&gt;きんようび&lt;/rt&gt;&lt;/ruby&gt;&lt;br&gt;&lt;div class=""audio""&gt;[sound:きんようび.mp3]&lt;/div&gt;")</f>
        <v>&lt;ruby&gt;金曜日&lt;rt&gt;きんようび&lt;/rt&gt;&lt;/ruby&gt;&lt;br&gt;&lt;div class="audio"&gt;[sound:きんようび.mp3]&lt;/div&gt;</v>
      </c>
      <c r="H908" s="3" t="str">
        <f t="shared" si="1"/>
        <v>(n): thứ sáu</v>
      </c>
      <c r="I908" s="6" t="s">
        <v>4921</v>
      </c>
      <c r="J908" s="6" t="s">
        <v>4922</v>
      </c>
      <c r="K908" s="7">
        <f t="shared" si="2"/>
        <v>0.1217141211</v>
      </c>
    </row>
    <row r="909">
      <c r="A909" s="4">
        <v>909.0</v>
      </c>
      <c r="B909" s="5" t="s">
        <v>4923</v>
      </c>
      <c r="C909" s="5" t="s">
        <v>4924</v>
      </c>
      <c r="D909" s="5" t="s">
        <v>4925</v>
      </c>
      <c r="E909" s="6" t="s">
        <v>74</v>
      </c>
      <c r="F909" s="6" t="s">
        <v>4926</v>
      </c>
      <c r="G909" s="3" t="str">
        <f>IFERROR(__xludf.DUMMYFUNCTION("REGEXREPLACE(
D909,
""([一-龯々]+)\[([^\]]+)\]"",
""&lt;ruby&gt;$1&lt;rt&gt;$2&lt;/rt&gt;&lt;/ruby&gt;""
)&amp;""&lt;br&gt;&lt;div class=""""audio""""&gt;[sound:""&amp;C909&amp;"".mp3]&lt;/div&gt;"""),"&lt;ruby&gt;会場&lt;rt&gt;かいじょう&lt;/rt&gt;&lt;/ruby&gt;&lt;br&gt;&lt;div class=""audio""&gt;[sound:かいじょう.mp3]&lt;/div&gt;")</f>
        <v>&lt;ruby&gt;会場&lt;rt&gt;かいじょう&lt;/rt&gt;&lt;/ruby&gt;&lt;br&gt;&lt;div class="audio"&gt;[sound:かいじょう.mp3]&lt;/div&gt;</v>
      </c>
      <c r="H909" s="3" t="str">
        <f t="shared" si="1"/>
        <v>(n): hội trường</v>
      </c>
      <c r="I909" s="6" t="s">
        <v>4927</v>
      </c>
      <c r="J909" s="6" t="s">
        <v>4928</v>
      </c>
      <c r="K909" s="7">
        <f t="shared" si="2"/>
        <v>0.5246164884</v>
      </c>
    </row>
    <row r="910">
      <c r="A910" s="4">
        <v>910.0</v>
      </c>
      <c r="B910" s="5" t="s">
        <v>4929</v>
      </c>
      <c r="C910" s="5" t="s">
        <v>4930</v>
      </c>
      <c r="D910" s="5" t="s">
        <v>4931</v>
      </c>
      <c r="E910" s="6" t="s">
        <v>74</v>
      </c>
      <c r="F910" s="6" t="s">
        <v>1927</v>
      </c>
      <c r="G910" s="3" t="str">
        <f>IFERROR(__xludf.DUMMYFUNCTION("REGEXREPLACE(
D910,
""([一-龯々]+)\[([^\]]+)\]"",
""&lt;ruby&gt;$1&lt;rt&gt;$2&lt;/rt&gt;&lt;/ruby&gt;""
)&amp;""&lt;br&gt;&lt;div class=""""audio""""&gt;[sound:""&amp;C910&amp;"".mp3]&lt;/div&gt;"""),"&lt;ruby&gt;姉&lt;rt&gt;あね&lt;/rt&gt;&lt;/ruby&gt;&lt;br&gt;&lt;div class=""audio""&gt;[sound:あね.mp3]&lt;/div&gt;")</f>
        <v>&lt;ruby&gt;姉&lt;rt&gt;あね&lt;/rt&gt;&lt;/ruby&gt;&lt;br&gt;&lt;div class="audio"&gt;[sound:あね.mp3]&lt;/div&gt;</v>
      </c>
      <c r="H910" s="3" t="str">
        <f t="shared" si="1"/>
        <v>(n): chị gái</v>
      </c>
      <c r="I910" s="6" t="s">
        <v>4932</v>
      </c>
      <c r="J910" s="6" t="s">
        <v>4933</v>
      </c>
      <c r="K910" s="7">
        <f t="shared" si="2"/>
        <v>0.6368743468</v>
      </c>
    </row>
    <row r="911">
      <c r="A911" s="4">
        <v>911.0</v>
      </c>
      <c r="B911" s="5" t="s">
        <v>4934</v>
      </c>
      <c r="C911" s="5" t="s">
        <v>4935</v>
      </c>
      <c r="D911" s="5" t="s">
        <v>4936</v>
      </c>
      <c r="E911" s="6" t="s">
        <v>74</v>
      </c>
      <c r="F911" s="6" t="s">
        <v>4937</v>
      </c>
      <c r="G911" s="3" t="str">
        <f>IFERROR(__xludf.DUMMYFUNCTION("REGEXREPLACE(
D911,
""([一-龯々]+)\[([^\]]+)\]"",
""&lt;ruby&gt;$1&lt;rt&gt;$2&lt;/rt&gt;&lt;/ruby&gt;""
)&amp;""&lt;br&gt;&lt;div class=""""audio""""&gt;[sound:""&amp;C911&amp;"".mp3]&lt;/div&gt;"""),"&lt;ruby&gt;宿&lt;rt&gt;やど&lt;/rt&gt;&lt;/ruby&gt;&lt;br&gt;&lt;div class=""audio""&gt;[sound:やど.mp3]&lt;/div&gt;")</f>
        <v>&lt;ruby&gt;宿&lt;rt&gt;やど&lt;/rt&gt;&lt;/ruby&gt;&lt;br&gt;&lt;div class="audio"&gt;[sound:やど.mp3]&lt;/div&gt;</v>
      </c>
      <c r="H911" s="3" t="str">
        <f t="shared" si="1"/>
        <v>(n): nhà trọ</v>
      </c>
      <c r="I911" s="6" t="s">
        <v>4938</v>
      </c>
      <c r="J911" s="6" t="s">
        <v>4939</v>
      </c>
      <c r="K911" s="7">
        <f t="shared" si="2"/>
        <v>0.9858420356</v>
      </c>
    </row>
    <row r="912">
      <c r="A912" s="4">
        <v>912.0</v>
      </c>
      <c r="B912" s="5" t="s">
        <v>4940</v>
      </c>
      <c r="C912" s="5" t="s">
        <v>4941</v>
      </c>
      <c r="D912" s="5" t="s">
        <v>4942</v>
      </c>
      <c r="E912" s="6" t="s">
        <v>24</v>
      </c>
      <c r="F912" s="6" t="s">
        <v>4943</v>
      </c>
      <c r="G912" s="3" t="str">
        <f>IFERROR(__xludf.DUMMYFUNCTION("REGEXREPLACE(
D912,
""([一-龯々]+)\[([^\]]+)\]"",
""&lt;ruby&gt;$1&lt;rt&gt;$2&lt;/rt&gt;&lt;/ruby&gt;""
)&amp;""&lt;br&gt;&lt;div class=""""audio""""&gt;[sound:""&amp;C912&amp;"".mp3]&lt;/div&gt;"""),"&lt;ruby&gt;増&lt;rt&gt;ま&lt;/rt&gt;&lt;/ruby&gt;す&lt;br&gt;&lt;div class=""audio""&gt;[sound:ます.mp3]&lt;/div&gt;")</f>
        <v>&lt;ruby&gt;増&lt;rt&gt;ま&lt;/rt&gt;&lt;/ruby&gt;す&lt;br&gt;&lt;div class="audio"&gt;[sound:ます.mp3]&lt;/div&gt;</v>
      </c>
      <c r="H912" s="3" t="str">
        <f t="shared" si="1"/>
        <v>(v): tăng</v>
      </c>
      <c r="I912" s="6" t="s">
        <v>4944</v>
      </c>
      <c r="J912" s="6" t="s">
        <v>4945</v>
      </c>
      <c r="K912" s="7">
        <f t="shared" si="2"/>
        <v>0.9553367294</v>
      </c>
    </row>
    <row r="913">
      <c r="A913" s="4">
        <v>913.0</v>
      </c>
      <c r="B913" s="5" t="s">
        <v>4946</v>
      </c>
      <c r="C913" s="5" t="s">
        <v>4947</v>
      </c>
      <c r="D913" s="5" t="s">
        <v>4948</v>
      </c>
      <c r="E913" s="6" t="s">
        <v>24</v>
      </c>
      <c r="F913" s="6" t="s">
        <v>4949</v>
      </c>
      <c r="G913" s="3" t="str">
        <f>IFERROR(__xludf.DUMMYFUNCTION("REGEXREPLACE(
D913,
""([一-龯々]+)\[([^\]]+)\]"",
""&lt;ruby&gt;$1&lt;rt&gt;$2&lt;/rt&gt;&lt;/ruby&gt;""
)&amp;""&lt;br&gt;&lt;div class=""""audio""""&gt;[sound:""&amp;C913&amp;"".mp3]&lt;/div&gt;"""),"&lt;ruby&gt;知&lt;rt&gt;し&lt;/rt&gt;&lt;/ruby&gt;らせる&lt;br&gt;&lt;div class=""audio""&gt;[sound:しらせる.mp3]&lt;/div&gt;")</f>
        <v>&lt;ruby&gt;知&lt;rt&gt;し&lt;/rt&gt;&lt;/ruby&gt;らせる&lt;br&gt;&lt;div class="audio"&gt;[sound:しらせる.mp3]&lt;/div&gt;</v>
      </c>
      <c r="H913" s="3" t="str">
        <f t="shared" si="1"/>
        <v>(v): thông báo</v>
      </c>
      <c r="I913" s="6" t="s">
        <v>4950</v>
      </c>
      <c r="J913" s="6" t="s">
        <v>4951</v>
      </c>
      <c r="K913" s="7">
        <f t="shared" si="2"/>
        <v>0.008669057711</v>
      </c>
    </row>
    <row r="914">
      <c r="A914" s="4">
        <v>914.0</v>
      </c>
      <c r="B914" s="5" t="s">
        <v>4952</v>
      </c>
      <c r="C914" s="5" t="s">
        <v>4953</v>
      </c>
      <c r="D914" s="5" t="s">
        <v>4954</v>
      </c>
      <c r="E914" s="6" t="s">
        <v>74</v>
      </c>
      <c r="F914" s="6" t="s">
        <v>4955</v>
      </c>
      <c r="G914" s="3" t="str">
        <f>IFERROR(__xludf.DUMMYFUNCTION("REGEXREPLACE(
D914,
""([一-龯々]+)\[([^\]]+)\]"",
""&lt;ruby&gt;$1&lt;rt&gt;$2&lt;/rt&gt;&lt;/ruby&gt;""
)&amp;""&lt;br&gt;&lt;div class=""""audio""""&gt;[sound:""&amp;C914&amp;"".mp3]&lt;/div&gt;"""),"&lt;ruby&gt;鉄道&lt;rt&gt;てつどう&lt;/rt&gt;&lt;/ruby&gt;&lt;br&gt;&lt;div class=""audio""&gt;[sound:てつどう.mp3]&lt;/div&gt;")</f>
        <v>&lt;ruby&gt;鉄道&lt;rt&gt;てつどう&lt;/rt&gt;&lt;/ruby&gt;&lt;br&gt;&lt;div class="audio"&gt;[sound:てつどう.mp3]&lt;/div&gt;</v>
      </c>
      <c r="H914" s="3" t="str">
        <f t="shared" si="1"/>
        <v>(n): đường sắt</v>
      </c>
      <c r="I914" s="6" t="s">
        <v>4956</v>
      </c>
      <c r="J914" s="6" t="s">
        <v>4957</v>
      </c>
      <c r="K914" s="7">
        <f t="shared" si="2"/>
        <v>0.9652443296</v>
      </c>
    </row>
    <row r="915">
      <c r="A915" s="4">
        <v>915.0</v>
      </c>
      <c r="B915" s="5" t="s">
        <v>4958</v>
      </c>
      <c r="C915" s="5" t="s">
        <v>4959</v>
      </c>
      <c r="D915" s="5" t="s">
        <v>4960</v>
      </c>
      <c r="E915" s="6" t="s">
        <v>24</v>
      </c>
      <c r="F915" s="6" t="s">
        <v>1050</v>
      </c>
      <c r="G915" s="3" t="str">
        <f>IFERROR(__xludf.DUMMYFUNCTION("REGEXREPLACE(
D915,
""([一-龯々]+)\[([^\]]+)\]"",
""&lt;ruby&gt;$1&lt;rt&gt;$2&lt;/rt&gt;&lt;/ruby&gt;""
)&amp;""&lt;br&gt;&lt;div class=""""audio""""&gt;[sound:""&amp;C915&amp;"".mp3]&lt;/div&gt;"""),"&lt;ruby&gt;確&lt;rt&gt;たし&lt;/rt&gt;&lt;/ruby&gt;かめる&lt;br&gt;&lt;div class=""audio""&gt;[sound:たしかめる.mp3]&lt;/div&gt;")</f>
        <v>&lt;ruby&gt;確&lt;rt&gt;たし&lt;/rt&gt;&lt;/ruby&gt;かめる&lt;br&gt;&lt;div class="audio"&gt;[sound:たしかめる.mp3]&lt;/div&gt;</v>
      </c>
      <c r="H915" s="3" t="str">
        <f t="shared" si="1"/>
        <v>(v): xác nhận</v>
      </c>
      <c r="I915" s="6" t="s">
        <v>4961</v>
      </c>
      <c r="J915" s="6" t="s">
        <v>3524</v>
      </c>
      <c r="K915" s="7">
        <f t="shared" si="2"/>
        <v>0.5688476721</v>
      </c>
    </row>
    <row r="916">
      <c r="A916" s="4">
        <v>916.0</v>
      </c>
      <c r="B916" s="5" t="s">
        <v>4962</v>
      </c>
      <c r="C916" s="5" t="s">
        <v>4963</v>
      </c>
      <c r="D916" s="5" t="s">
        <v>4964</v>
      </c>
      <c r="E916" s="6" t="s">
        <v>74</v>
      </c>
      <c r="F916" s="6" t="s">
        <v>1909</v>
      </c>
      <c r="G916" s="3" t="str">
        <f>IFERROR(__xludf.DUMMYFUNCTION("REGEXREPLACE(
D916,
""([一-龯々]+)\[([^\]]+)\]"",
""&lt;ruby&gt;$1&lt;rt&gt;$2&lt;/rt&gt;&lt;/ruby&gt;""
)&amp;""&lt;br&gt;&lt;div class=""""audio""""&gt;[sound:""&amp;C916&amp;"".mp3]&lt;/div&gt;"""),"&lt;ruby&gt;相互&lt;rt&gt;そうご&lt;/rt&gt;&lt;/ruby&gt;&lt;br&gt;&lt;div class=""audio""&gt;[sound:そうご.mp3]&lt;/div&gt;")</f>
        <v>&lt;ruby&gt;相互&lt;rt&gt;そうご&lt;/rt&gt;&lt;/ruby&gt;&lt;br&gt;&lt;div class="audio"&gt;[sound:そうご.mp3]&lt;/div&gt;</v>
      </c>
      <c r="H916" s="3" t="str">
        <f t="shared" si="1"/>
        <v>(n): lẫn nhau</v>
      </c>
      <c r="I916" s="6" t="s">
        <v>4965</v>
      </c>
      <c r="J916" s="6" t="s">
        <v>4966</v>
      </c>
      <c r="K916" s="7">
        <f t="shared" si="2"/>
        <v>0.464038041</v>
      </c>
    </row>
    <row r="917">
      <c r="A917" s="4">
        <v>917.0</v>
      </c>
      <c r="B917" s="5" t="s">
        <v>4967</v>
      </c>
      <c r="C917" s="5" t="s">
        <v>3232</v>
      </c>
      <c r="D917" s="5" t="s">
        <v>4968</v>
      </c>
      <c r="E917" s="6" t="s">
        <v>74</v>
      </c>
      <c r="F917" s="6" t="s">
        <v>4969</v>
      </c>
      <c r="G917" s="3" t="str">
        <f>IFERROR(__xludf.DUMMYFUNCTION("REGEXREPLACE(
D917,
""([一-龯々]+)\[([^\]]+)\]"",
""&lt;ruby&gt;$1&lt;rt&gt;$2&lt;/rt&gt;&lt;/ruby&gt;""
)&amp;""&lt;br&gt;&lt;div class=""""audio""""&gt;[sound:""&amp;C917&amp;"".mp3]&lt;/div&gt;"""),"&lt;ruby&gt;地震&lt;rt&gt;じしん&lt;/rt&gt;&lt;/ruby&gt;&lt;br&gt;&lt;div class=""audio""&gt;[sound:じしん.mp3]&lt;/div&gt;")</f>
        <v>&lt;ruby&gt;地震&lt;rt&gt;じしん&lt;/rt&gt;&lt;/ruby&gt;&lt;br&gt;&lt;div class="audio"&gt;[sound:じしん.mp3]&lt;/div&gt;</v>
      </c>
      <c r="H917" s="3" t="str">
        <f t="shared" si="1"/>
        <v>(n): động đất</v>
      </c>
      <c r="I917" s="6" t="s">
        <v>4970</v>
      </c>
      <c r="J917" s="6" t="s">
        <v>4971</v>
      </c>
      <c r="K917" s="7">
        <f t="shared" si="2"/>
        <v>0.8639874261</v>
      </c>
    </row>
    <row r="918">
      <c r="A918" s="4">
        <v>918.0</v>
      </c>
      <c r="B918" s="5" t="s">
        <v>4972</v>
      </c>
      <c r="C918" s="5" t="s">
        <v>4973</v>
      </c>
      <c r="D918" s="5" t="s">
        <v>4974</v>
      </c>
      <c r="E918" s="6" t="s">
        <v>74</v>
      </c>
      <c r="F918" s="6" t="s">
        <v>4975</v>
      </c>
      <c r="G918" s="3" t="str">
        <f>IFERROR(__xludf.DUMMYFUNCTION("REGEXREPLACE(
D918,
""([一-龯々]+)\[([^\]]+)\]"",
""&lt;ruby&gt;$1&lt;rt&gt;$2&lt;/rt&gt;&lt;/ruby&gt;""
)&amp;""&lt;br&gt;&lt;div class=""""audio""""&gt;[sound:""&amp;C918&amp;"".mp3]&lt;/div&gt;"""),"&lt;ruby&gt;土地&lt;rt&gt;とち&lt;/rt&gt;&lt;/ruby&gt;&lt;br&gt;&lt;div class=""audio""&gt;[sound:とち.mp3]&lt;/div&gt;")</f>
        <v>&lt;ruby&gt;土地&lt;rt&gt;とち&lt;/rt&gt;&lt;/ruby&gt;&lt;br&gt;&lt;div class="audio"&gt;[sound:とち.mp3]&lt;/div&gt;</v>
      </c>
      <c r="H918" s="3" t="str">
        <f t="shared" si="1"/>
        <v>(n): đất đai</v>
      </c>
      <c r="I918" s="6" t="s">
        <v>4976</v>
      </c>
      <c r="J918" s="6" t="s">
        <v>4977</v>
      </c>
      <c r="K918" s="7">
        <f t="shared" si="2"/>
        <v>0.2317873236</v>
      </c>
    </row>
    <row r="919">
      <c r="A919" s="4">
        <v>919.0</v>
      </c>
      <c r="B919" s="5" t="s">
        <v>4978</v>
      </c>
      <c r="C919" s="5" t="s">
        <v>4979</v>
      </c>
      <c r="D919" s="5" t="s">
        <v>4980</v>
      </c>
      <c r="E919" s="6" t="s">
        <v>74</v>
      </c>
      <c r="F919" s="6" t="s">
        <v>4981</v>
      </c>
      <c r="G919" s="3" t="str">
        <f>IFERROR(__xludf.DUMMYFUNCTION("REGEXREPLACE(
D919,
""([一-龯々]+)\[([^\]]+)\]"",
""&lt;ruby&gt;$1&lt;rt&gt;$2&lt;/rt&gt;&lt;/ruby&gt;""
)&amp;""&lt;br&gt;&lt;div class=""""audio""""&gt;[sound:""&amp;C919&amp;"".mp3]&lt;/div&gt;"""),"&lt;ruby&gt;宿題&lt;rt&gt;しゅくだい&lt;/rt&gt;&lt;/ruby&gt;&lt;br&gt;&lt;div class=""audio""&gt;[sound:しゅくだい.mp3]&lt;/div&gt;")</f>
        <v>&lt;ruby&gt;宿題&lt;rt&gt;しゅくだい&lt;/rt&gt;&lt;/ruby&gt;&lt;br&gt;&lt;div class="audio"&gt;[sound:しゅくだい.mp3]&lt;/div&gt;</v>
      </c>
      <c r="H919" s="3" t="str">
        <f t="shared" si="1"/>
        <v>(n): bài tập về nhà</v>
      </c>
      <c r="I919" s="6" t="s">
        <v>4982</v>
      </c>
      <c r="J919" s="6" t="s">
        <v>4983</v>
      </c>
      <c r="K919" s="7">
        <f t="shared" si="2"/>
        <v>0.3632110261</v>
      </c>
    </row>
    <row r="920">
      <c r="A920" s="4">
        <v>920.0</v>
      </c>
      <c r="B920" s="5" t="s">
        <v>4984</v>
      </c>
      <c r="C920" s="5" t="s">
        <v>4985</v>
      </c>
      <c r="D920" s="5" t="s">
        <v>4986</v>
      </c>
      <c r="E920" s="6" t="s">
        <v>74</v>
      </c>
      <c r="F920" s="6" t="s">
        <v>4987</v>
      </c>
      <c r="G920" s="3" t="str">
        <f>IFERROR(__xludf.DUMMYFUNCTION("REGEXREPLACE(
D920,
""([一-龯々]+)\[([^\]]+)\]"",
""&lt;ruby&gt;$1&lt;rt&gt;$2&lt;/rt&gt;&lt;/ruby&gt;""
)&amp;""&lt;br&gt;&lt;div class=""""audio""""&gt;[sound:""&amp;C920&amp;"".mp3]&lt;/div&gt;"""),"&lt;ruby&gt;掃除&lt;rt&gt;そうじ&lt;/rt&gt;&lt;/ruby&gt;&lt;br&gt;&lt;div class=""audio""&gt;[sound:そうじ.mp3]&lt;/div&gt;")</f>
        <v>&lt;ruby&gt;掃除&lt;rt&gt;そうじ&lt;/rt&gt;&lt;/ruby&gt;&lt;br&gt;&lt;div class="audio"&gt;[sound:そうじ.mp3]&lt;/div&gt;</v>
      </c>
      <c r="H920" s="3" t="str">
        <f t="shared" si="1"/>
        <v>(n): dọn dẹp</v>
      </c>
      <c r="I920" s="6" t="s">
        <v>4988</v>
      </c>
      <c r="J920" s="6" t="s">
        <v>4989</v>
      </c>
      <c r="K920" s="7">
        <f t="shared" si="2"/>
        <v>0.7785566872</v>
      </c>
    </row>
    <row r="921">
      <c r="A921" s="4">
        <v>921.0</v>
      </c>
      <c r="B921" s="5" t="s">
        <v>4990</v>
      </c>
      <c r="C921" s="5" t="s">
        <v>4991</v>
      </c>
      <c r="D921" s="5" t="s">
        <v>4992</v>
      </c>
      <c r="E921" s="6" t="s">
        <v>74</v>
      </c>
      <c r="F921" s="6" t="s">
        <v>4993</v>
      </c>
      <c r="G921" s="3" t="str">
        <f>IFERROR(__xludf.DUMMYFUNCTION("REGEXREPLACE(
D921,
""([一-龯々]+)\[([^\]]+)\]"",
""&lt;ruby&gt;$1&lt;rt&gt;$2&lt;/rt&gt;&lt;/ruby&gt;""
)&amp;""&lt;br&gt;&lt;div class=""""audio""""&gt;[sound:""&amp;C921&amp;"".mp3]&lt;/div&gt;"""),"&lt;ruby&gt;妹&lt;rt&gt;いもうと&lt;/rt&gt;&lt;/ruby&gt;&lt;br&gt;&lt;div class=""audio""&gt;[sound:いもうと.mp3]&lt;/div&gt;")</f>
        <v>&lt;ruby&gt;妹&lt;rt&gt;いもうと&lt;/rt&gt;&lt;/ruby&gt;&lt;br&gt;&lt;div class="audio"&gt;[sound:いもうと.mp3]&lt;/div&gt;</v>
      </c>
      <c r="H921" s="3" t="str">
        <f t="shared" si="1"/>
        <v>(n): em gái</v>
      </c>
      <c r="I921" s="6" t="s">
        <v>4994</v>
      </c>
      <c r="J921" s="6" t="s">
        <v>4995</v>
      </c>
      <c r="K921" s="7">
        <f t="shared" si="2"/>
        <v>0.630495289</v>
      </c>
    </row>
    <row r="922">
      <c r="A922" s="4">
        <v>922.0</v>
      </c>
      <c r="B922" s="5" t="s">
        <v>4996</v>
      </c>
      <c r="C922" s="5" t="s">
        <v>4997</v>
      </c>
      <c r="D922" s="5" t="s">
        <v>4998</v>
      </c>
      <c r="E922" s="6" t="s">
        <v>74</v>
      </c>
      <c r="F922" s="6" t="s">
        <v>3115</v>
      </c>
      <c r="G922" s="3" t="str">
        <f>IFERROR(__xludf.DUMMYFUNCTION("REGEXREPLACE(
D922,
""([一-龯々]+)\[([^\]]+)\]"",
""&lt;ruby&gt;$1&lt;rt&gt;$2&lt;/rt&gt;&lt;/ruby&gt;""
)&amp;""&lt;br&gt;&lt;div class=""""audio""""&gt;[sound:""&amp;C922&amp;"".mp3]&lt;/div&gt;"""),"&lt;ruby&gt;夫&lt;rt&gt;おっと&lt;/rt&gt;&lt;/ruby&gt;&lt;br&gt;&lt;div class=""audio""&gt;[sound:おっと.mp3]&lt;/div&gt;")</f>
        <v>&lt;ruby&gt;夫&lt;rt&gt;おっと&lt;/rt&gt;&lt;/ruby&gt;&lt;br&gt;&lt;div class="audio"&gt;[sound:おっと.mp3]&lt;/div&gt;</v>
      </c>
      <c r="H922" s="3" t="str">
        <f t="shared" si="1"/>
        <v>(n): chồng</v>
      </c>
      <c r="I922" s="6" t="s">
        <v>4999</v>
      </c>
      <c r="J922" s="6" t="s">
        <v>5000</v>
      </c>
      <c r="K922" s="7">
        <f t="shared" si="2"/>
        <v>0.1865891034</v>
      </c>
    </row>
    <row r="923">
      <c r="A923" s="4">
        <v>923.0</v>
      </c>
      <c r="B923" s="5" t="s">
        <v>5001</v>
      </c>
      <c r="C923" s="5" t="s">
        <v>5002</v>
      </c>
      <c r="D923" s="5" t="s">
        <v>5003</v>
      </c>
      <c r="E923" s="6" t="s">
        <v>74</v>
      </c>
      <c r="F923" s="6" t="s">
        <v>5004</v>
      </c>
      <c r="G923" s="3" t="str">
        <f>IFERROR(__xludf.DUMMYFUNCTION("REGEXREPLACE(
D923,
""([一-龯々]+)\[([^\]]+)\]"",
""&lt;ruby&gt;$1&lt;rt&gt;$2&lt;/rt&gt;&lt;/ruby&gt;""
)&amp;""&lt;br&gt;&lt;div class=""""audio""""&gt;[sound:""&amp;C923&amp;"".mp3]&lt;/div&gt;"""),"&lt;ruby&gt;郵便&lt;rt&gt;ゆうびん&lt;/rt&gt;&lt;/ruby&gt;&lt;br&gt;&lt;div class=""audio""&gt;[sound:ゆうびん.mp3]&lt;/div&gt;")</f>
        <v>&lt;ruby&gt;郵便&lt;rt&gt;ゆうびん&lt;/rt&gt;&lt;/ruby&gt;&lt;br&gt;&lt;div class="audio"&gt;[sound:ゆうびん.mp3]&lt;/div&gt;</v>
      </c>
      <c r="H923" s="3" t="str">
        <f t="shared" si="1"/>
        <v>(n): bưu điện</v>
      </c>
      <c r="I923" s="6" t="s">
        <v>5005</v>
      </c>
      <c r="J923" s="6" t="s">
        <v>5006</v>
      </c>
      <c r="K923" s="7">
        <f t="shared" si="2"/>
        <v>0.8040607531</v>
      </c>
    </row>
    <row r="924">
      <c r="A924" s="4">
        <v>924.0</v>
      </c>
      <c r="B924" s="5" t="s">
        <v>5007</v>
      </c>
      <c r="C924" s="5" t="s">
        <v>5008</v>
      </c>
      <c r="D924" s="5" t="s">
        <v>5009</v>
      </c>
      <c r="E924" s="6" t="s">
        <v>74</v>
      </c>
      <c r="F924" s="6" t="s">
        <v>5010</v>
      </c>
      <c r="G924" s="3" t="str">
        <f>IFERROR(__xludf.DUMMYFUNCTION("REGEXREPLACE(
D924,
""([一-龯々]+)\[([^\]]+)\]"",
""&lt;ruby&gt;$1&lt;rt&gt;$2&lt;/rt&gt;&lt;/ruby&gt;""
)&amp;""&lt;br&gt;&lt;div class=""""audio""""&gt;[sound:""&amp;C924&amp;"".mp3]&lt;/div&gt;"""),"&lt;ruby&gt;映画&lt;rt&gt;えいが&lt;/rt&gt;&lt;/ruby&gt;&lt;br&gt;&lt;div class=""audio""&gt;[sound:えいが.mp3]&lt;/div&gt;")</f>
        <v>&lt;ruby&gt;映画&lt;rt&gt;えいが&lt;/rt&gt;&lt;/ruby&gt;&lt;br&gt;&lt;div class="audio"&gt;[sound:えいが.mp3]&lt;/div&gt;</v>
      </c>
      <c r="H924" s="3" t="str">
        <f t="shared" si="1"/>
        <v>(n): phim</v>
      </c>
      <c r="I924" s="6" t="s">
        <v>5011</v>
      </c>
      <c r="J924" s="6" t="s">
        <v>5012</v>
      </c>
      <c r="K924" s="7">
        <f t="shared" si="2"/>
        <v>0.04110495429</v>
      </c>
    </row>
    <row r="925">
      <c r="A925" s="4">
        <v>925.0</v>
      </c>
      <c r="B925" s="5" t="s">
        <v>5013</v>
      </c>
      <c r="C925" s="5" t="s">
        <v>1831</v>
      </c>
      <c r="D925" s="5" t="s">
        <v>5014</v>
      </c>
      <c r="E925" s="6" t="s">
        <v>74</v>
      </c>
      <c r="F925" s="6" t="s">
        <v>5015</v>
      </c>
      <c r="G925" s="3" t="str">
        <f>IFERROR(__xludf.DUMMYFUNCTION("REGEXREPLACE(
D925,
""([一-龯々]+)\[([^\]]+)\]"",
""&lt;ruby&gt;$1&lt;rt&gt;$2&lt;/rt&gt;&lt;/ruby&gt;""
)&amp;""&lt;br&gt;&lt;div class=""""audio""""&gt;[sound:""&amp;C925&amp;"".mp3]&lt;/div&gt;"""),"&lt;ruby&gt;血&lt;rt&gt;ち&lt;/rt&gt;&lt;/ruby&gt;&lt;br&gt;&lt;div class=""audio""&gt;[sound:ち.mp3]&lt;/div&gt;")</f>
        <v>&lt;ruby&gt;血&lt;rt&gt;ち&lt;/rt&gt;&lt;/ruby&gt;&lt;br&gt;&lt;div class="audio"&gt;[sound:ち.mp3]&lt;/div&gt;</v>
      </c>
      <c r="H925" s="3" t="str">
        <f t="shared" si="1"/>
        <v>(n): máu</v>
      </c>
      <c r="I925" s="6" t="s">
        <v>5016</v>
      </c>
      <c r="J925" s="6" t="s">
        <v>5017</v>
      </c>
      <c r="K925" s="7">
        <f t="shared" si="2"/>
        <v>0.704797472</v>
      </c>
    </row>
    <row r="926">
      <c r="A926" s="4">
        <v>926.0</v>
      </c>
      <c r="B926" s="5" t="s">
        <v>5018</v>
      </c>
      <c r="C926" s="5" t="s">
        <v>5019</v>
      </c>
      <c r="D926" s="5" t="s">
        <v>5020</v>
      </c>
      <c r="E926" s="6" t="s">
        <v>74</v>
      </c>
      <c r="F926" s="6" t="s">
        <v>5021</v>
      </c>
      <c r="G926" s="3" t="str">
        <f>IFERROR(__xludf.DUMMYFUNCTION("REGEXREPLACE(
D926,
""([一-龯々]+)\[([^\]]+)\]"",
""&lt;ruby&gt;$1&lt;rt&gt;$2&lt;/rt&gt;&lt;/ruby&gt;""
)&amp;""&lt;br&gt;&lt;div class=""""audio""""&gt;[sound:""&amp;C926&amp;"".mp3]&lt;/div&gt;"""),"&lt;ruby&gt;石&lt;rt&gt;いし&lt;/rt&gt;&lt;/ruby&gt;&lt;br&gt;&lt;div class=""audio""&gt;[sound:いし.mp3]&lt;/div&gt;")</f>
        <v>&lt;ruby&gt;石&lt;rt&gt;いし&lt;/rt&gt;&lt;/ruby&gt;&lt;br&gt;&lt;div class="audio"&gt;[sound:いし.mp3]&lt;/div&gt;</v>
      </c>
      <c r="H926" s="3" t="str">
        <f t="shared" si="1"/>
        <v>(n): đá</v>
      </c>
      <c r="I926" s="6" t="s">
        <v>5022</v>
      </c>
      <c r="J926" s="6" t="s">
        <v>5023</v>
      </c>
      <c r="K926" s="7">
        <f t="shared" si="2"/>
        <v>0.9611731228</v>
      </c>
    </row>
    <row r="927">
      <c r="A927" s="4">
        <v>927.0</v>
      </c>
      <c r="B927" s="5" t="s">
        <v>5024</v>
      </c>
      <c r="C927" s="5" t="s">
        <v>5025</v>
      </c>
      <c r="D927" s="5" t="s">
        <v>5024</v>
      </c>
      <c r="E927" s="6" t="s">
        <v>74</v>
      </c>
      <c r="F927" s="6" t="s">
        <v>5026</v>
      </c>
      <c r="G927" s="3" t="str">
        <f>IFERROR(__xludf.DUMMYFUNCTION("REGEXREPLACE(
D927,
""([一-龯々]+)\[([^\]]+)\]"",
""&lt;ruby&gt;$1&lt;rt&gt;$2&lt;/rt&gt;&lt;/ruby&gt;""
)&amp;""&lt;br&gt;&lt;div class=""""audio""""&gt;[sound:""&amp;C927&amp;"".mp3]&lt;/div&gt;"""),"アプローチ&lt;br&gt;&lt;div class=""audio""&gt;[sound:あぷろーち.mp3]&lt;/div&gt;")</f>
        <v>アプローチ&lt;br&gt;&lt;div class="audio"&gt;[sound:あぷろーち.mp3]&lt;/div&gt;</v>
      </c>
      <c r="H927" s="3" t="str">
        <f t="shared" si="1"/>
        <v>(n): tiếp cận</v>
      </c>
      <c r="I927" s="6" t="s">
        <v>5027</v>
      </c>
      <c r="J927" s="6" t="s">
        <v>5028</v>
      </c>
      <c r="K927" s="7">
        <f t="shared" si="2"/>
        <v>0.1059070152</v>
      </c>
    </row>
    <row r="928">
      <c r="A928" s="4">
        <v>928.0</v>
      </c>
      <c r="B928" s="5" t="s">
        <v>5029</v>
      </c>
      <c r="C928" s="5" t="s">
        <v>5030</v>
      </c>
      <c r="D928" s="5" t="s">
        <v>5031</v>
      </c>
      <c r="E928" s="6" t="s">
        <v>74</v>
      </c>
      <c r="F928" s="6" t="s">
        <v>5032</v>
      </c>
      <c r="G928" s="3" t="str">
        <f>IFERROR(__xludf.DUMMYFUNCTION("REGEXREPLACE(
D928,
""([一-龯々]+)\[([^\]]+)\]"",
""&lt;ruby&gt;$1&lt;rt&gt;$2&lt;/rt&gt;&lt;/ruby&gt;""
)&amp;""&lt;br&gt;&lt;div class=""""audio""""&gt;[sound:""&amp;C928&amp;"".mp3]&lt;/div&gt;"""),"&lt;ruby&gt;本質&lt;rt&gt;ほんしつ&lt;/rt&gt;&lt;/ruby&gt;&lt;br&gt;&lt;div class=""audio""&gt;[sound:ほんしつ.mp3]&lt;/div&gt;")</f>
        <v>&lt;ruby&gt;本質&lt;rt&gt;ほんしつ&lt;/rt&gt;&lt;/ruby&gt;&lt;br&gt;&lt;div class="audio"&gt;[sound:ほんしつ.mp3]&lt;/div&gt;</v>
      </c>
      <c r="H928" s="3" t="str">
        <f t="shared" si="1"/>
        <v>(n): bản chất</v>
      </c>
      <c r="I928" s="6" t="s">
        <v>5033</v>
      </c>
      <c r="J928" s="6" t="s">
        <v>5034</v>
      </c>
      <c r="K928" s="7">
        <f t="shared" si="2"/>
        <v>0.4905433138</v>
      </c>
    </row>
    <row r="929">
      <c r="A929" s="4">
        <v>929.0</v>
      </c>
      <c r="B929" s="5" t="s">
        <v>5035</v>
      </c>
      <c r="C929" s="5" t="s">
        <v>5036</v>
      </c>
      <c r="D929" s="5" t="s">
        <v>5037</v>
      </c>
      <c r="E929" s="6" t="s">
        <v>74</v>
      </c>
      <c r="F929" s="6" t="s">
        <v>5038</v>
      </c>
      <c r="G929" s="3" t="str">
        <f>IFERROR(__xludf.DUMMYFUNCTION("REGEXREPLACE(
D929,
""([一-龯々]+)\[([^\]]+)\]"",
""&lt;ruby&gt;$1&lt;rt&gt;$2&lt;/rt&gt;&lt;/ruby&gt;""
)&amp;""&lt;br&gt;&lt;div class=""""audio""""&gt;[sound:""&amp;C929&amp;"".mp3]&lt;/div&gt;"""),"&lt;ruby&gt;形成&lt;rt&gt;けいせい&lt;/rt&gt;&lt;/ruby&gt;&lt;br&gt;&lt;div class=""audio""&gt;[sound:けいせい.mp3]&lt;/div&gt;")</f>
        <v>&lt;ruby&gt;形成&lt;rt&gt;けいせい&lt;/rt&gt;&lt;/ruby&gt;&lt;br&gt;&lt;div class="audio"&gt;[sound:けいせい.mp3]&lt;/div&gt;</v>
      </c>
      <c r="H929" s="3" t="str">
        <f t="shared" si="1"/>
        <v>(n): hình thành</v>
      </c>
      <c r="I929" s="6" t="s">
        <v>5039</v>
      </c>
      <c r="J929" s="6" t="s">
        <v>5040</v>
      </c>
      <c r="K929" s="7">
        <f t="shared" si="2"/>
        <v>0.7676455566</v>
      </c>
    </row>
    <row r="930">
      <c r="A930" s="4">
        <v>930.0</v>
      </c>
      <c r="B930" s="5" t="s">
        <v>5041</v>
      </c>
      <c r="C930" s="5" t="s">
        <v>5042</v>
      </c>
      <c r="D930" s="5" t="s">
        <v>5043</v>
      </c>
      <c r="E930" s="6" t="s">
        <v>74</v>
      </c>
      <c r="F930" s="6" t="s">
        <v>5044</v>
      </c>
      <c r="G930" s="3" t="str">
        <f>IFERROR(__xludf.DUMMYFUNCTION("REGEXREPLACE(
D930,
""([一-龯々]+)\[([^\]]+)\]"",
""&lt;ruby&gt;$1&lt;rt&gt;$2&lt;/rt&gt;&lt;/ruby&gt;""
)&amp;""&lt;br&gt;&lt;div class=""""audio""""&gt;[sound:""&amp;C930&amp;"".mp3]&lt;/div&gt;"""),"&lt;ruby&gt;採用&lt;rt&gt;さいよう&lt;/rt&gt;&lt;/ruby&gt;&lt;br&gt;&lt;div class=""audio""&gt;[sound:さいよう.mp3]&lt;/div&gt;")</f>
        <v>&lt;ruby&gt;採用&lt;rt&gt;さいよう&lt;/rt&gt;&lt;/ruby&gt;&lt;br&gt;&lt;div class="audio"&gt;[sound:さいよう.mp3]&lt;/div&gt;</v>
      </c>
      <c r="H930" s="3" t="str">
        <f t="shared" si="1"/>
        <v>(n): tuyển dụng</v>
      </c>
      <c r="I930" s="6" t="s">
        <v>5045</v>
      </c>
      <c r="J930" s="6" t="s">
        <v>5046</v>
      </c>
      <c r="K930" s="7">
        <f t="shared" si="2"/>
        <v>0.2017921205</v>
      </c>
    </row>
    <row r="931">
      <c r="A931" s="4">
        <v>931.0</v>
      </c>
      <c r="B931" s="5" t="s">
        <v>5047</v>
      </c>
      <c r="C931" s="5" t="s">
        <v>5048</v>
      </c>
      <c r="D931" s="5" t="s">
        <v>5049</v>
      </c>
      <c r="E931" s="6" t="s">
        <v>74</v>
      </c>
      <c r="F931" s="6" t="s">
        <v>5050</v>
      </c>
      <c r="G931" s="3" t="str">
        <f>IFERROR(__xludf.DUMMYFUNCTION("REGEXREPLACE(
D931,
""([一-龯々]+)\[([^\]]+)\]"",
""&lt;ruby&gt;$1&lt;rt&gt;$2&lt;/rt&gt;&lt;/ruby&gt;""
)&amp;""&lt;br&gt;&lt;div class=""""audio""""&gt;[sound:""&amp;C931&amp;"".mp3]&lt;/div&gt;"""),"&lt;ruby&gt;感染&lt;rt&gt;かんせん&lt;/rt&gt;&lt;/ruby&gt;&lt;br&gt;&lt;div class=""audio""&gt;[sound:かんせん.mp3]&lt;/div&gt;")</f>
        <v>&lt;ruby&gt;感染&lt;rt&gt;かんせん&lt;/rt&gt;&lt;/ruby&gt;&lt;br&gt;&lt;div class="audio"&gt;[sound:かんせん.mp3]&lt;/div&gt;</v>
      </c>
      <c r="H931" s="3" t="str">
        <f t="shared" si="1"/>
        <v>(n): lây nhiễm</v>
      </c>
      <c r="I931" s="6" t="s">
        <v>5051</v>
      </c>
      <c r="J931" s="6" t="s">
        <v>5052</v>
      </c>
      <c r="K931" s="7">
        <f t="shared" si="2"/>
        <v>0.9223405889</v>
      </c>
    </row>
    <row r="932">
      <c r="A932" s="4">
        <v>932.0</v>
      </c>
      <c r="B932" s="5" t="s">
        <v>5053</v>
      </c>
      <c r="C932" s="5" t="s">
        <v>5054</v>
      </c>
      <c r="D932" s="5" t="s">
        <v>5055</v>
      </c>
      <c r="E932" s="6" t="s">
        <v>74</v>
      </c>
      <c r="F932" s="6" t="s">
        <v>5056</v>
      </c>
      <c r="G932" s="3" t="str">
        <f>IFERROR(__xludf.DUMMYFUNCTION("REGEXREPLACE(
D932,
""([一-龯々]+)\[([^\]]+)\]"",
""&lt;ruby&gt;$1&lt;rt&gt;$2&lt;/rt&gt;&lt;/ruby&gt;""
)&amp;""&lt;br&gt;&lt;div class=""""audio""""&gt;[sound:""&amp;C932&amp;"".mp3]&lt;/div&gt;"""),"&lt;ruby&gt;恋愛&lt;rt&gt;れんあい&lt;/rt&gt;&lt;/ruby&gt;&lt;br&gt;&lt;div class=""audio""&gt;[sound:れんあい.mp3]&lt;/div&gt;")</f>
        <v>&lt;ruby&gt;恋愛&lt;rt&gt;れんあい&lt;/rt&gt;&lt;/ruby&gt;&lt;br&gt;&lt;div class="audio"&gt;[sound:れんあい.mp3]&lt;/div&gt;</v>
      </c>
      <c r="H932" s="3" t="str">
        <f t="shared" si="1"/>
        <v>(n): tình yêu</v>
      </c>
      <c r="I932" s="6" t="s">
        <v>5057</v>
      </c>
      <c r="J932" s="6" t="s">
        <v>5058</v>
      </c>
      <c r="K932" s="7">
        <f t="shared" si="2"/>
        <v>0.4980143348</v>
      </c>
    </row>
    <row r="933">
      <c r="A933" s="4">
        <v>933.0</v>
      </c>
      <c r="B933" s="5" t="s">
        <v>5059</v>
      </c>
      <c r="C933" s="5" t="s">
        <v>5060</v>
      </c>
      <c r="D933" s="5" t="s">
        <v>5061</v>
      </c>
      <c r="E933" s="6" t="s">
        <v>74</v>
      </c>
      <c r="F933" s="6" t="s">
        <v>5062</v>
      </c>
      <c r="G933" s="3" t="str">
        <f>IFERROR(__xludf.DUMMYFUNCTION("REGEXREPLACE(
D933,
""([一-龯々]+)\[([^\]]+)\]"",
""&lt;ruby&gt;$1&lt;rt&gt;$2&lt;/rt&gt;&lt;/ruby&gt;""
)&amp;""&lt;br&gt;&lt;div class=""""audio""""&gt;[sound:""&amp;C933&amp;"".mp3]&lt;/div&gt;"""),"&lt;ruby&gt;対処&lt;rt&gt;たいしょ&lt;/rt&gt;&lt;/ruby&gt;&lt;br&gt;&lt;div class=""audio""&gt;[sound:たいしょ.mp3]&lt;/div&gt;")</f>
        <v>&lt;ruby&gt;対処&lt;rt&gt;たいしょ&lt;/rt&gt;&lt;/ruby&gt;&lt;br&gt;&lt;div class="audio"&gt;[sound:たいしょ.mp3]&lt;/div&gt;</v>
      </c>
      <c r="H933" s="3" t="str">
        <f t="shared" si="1"/>
        <v>(n): đối phó</v>
      </c>
      <c r="I933" s="6" t="s">
        <v>5063</v>
      </c>
      <c r="J933" s="6" t="s">
        <v>5064</v>
      </c>
      <c r="K933" s="7">
        <f t="shared" si="2"/>
        <v>0.1859184295</v>
      </c>
    </row>
    <row r="934">
      <c r="A934" s="4">
        <v>934.0</v>
      </c>
      <c r="B934" s="5" t="s">
        <v>5065</v>
      </c>
      <c r="C934" s="5" t="s">
        <v>5066</v>
      </c>
      <c r="D934" s="5" t="s">
        <v>5067</v>
      </c>
      <c r="E934" s="6" t="s">
        <v>74</v>
      </c>
      <c r="F934" s="6" t="s">
        <v>1627</v>
      </c>
      <c r="G934" s="3" t="str">
        <f>IFERROR(__xludf.DUMMYFUNCTION("REGEXREPLACE(
D934,
""([一-龯々]+)\[([^\]]+)\]"",
""&lt;ruby&gt;$1&lt;rt&gt;$2&lt;/rt&gt;&lt;/ruby&gt;""
)&amp;""&lt;br&gt;&lt;div class=""""audio""""&gt;[sound:""&amp;C934&amp;"".mp3]&lt;/div&gt;"""),"&lt;ruby&gt;回答&lt;rt&gt;かいとう&lt;/rt&gt;&lt;/ruby&gt;&lt;br&gt;&lt;div class=""audio""&gt;[sound:かいとう.mp3]&lt;/div&gt;")</f>
        <v>&lt;ruby&gt;回答&lt;rt&gt;かいとう&lt;/rt&gt;&lt;/ruby&gt;&lt;br&gt;&lt;div class="audio"&gt;[sound:かいとう.mp3]&lt;/div&gt;</v>
      </c>
      <c r="H934" s="3" t="str">
        <f t="shared" si="1"/>
        <v>(n): trả lời</v>
      </c>
      <c r="I934" s="6" t="s">
        <v>5068</v>
      </c>
      <c r="J934" s="6" t="s">
        <v>5069</v>
      </c>
      <c r="K934" s="7">
        <f t="shared" si="2"/>
        <v>0.285091419</v>
      </c>
    </row>
    <row r="935">
      <c r="A935" s="4">
        <v>935.0</v>
      </c>
      <c r="B935" s="5" t="s">
        <v>5070</v>
      </c>
      <c r="C935" s="5" t="s">
        <v>5071</v>
      </c>
      <c r="D935" s="5" t="s">
        <v>5072</v>
      </c>
      <c r="E935" s="6" t="s">
        <v>11</v>
      </c>
      <c r="F935" s="6" t="s">
        <v>5073</v>
      </c>
      <c r="G935" s="3" t="str">
        <f>IFERROR(__xludf.DUMMYFUNCTION("REGEXREPLACE(
D935,
""([一-龯々]+)\[([^\]]+)\]"",
""&lt;ruby&gt;$1&lt;rt&gt;$2&lt;/rt&gt;&lt;/ruby&gt;""
)&amp;""&lt;br&gt;&lt;div class=""""audio""""&gt;[sound:""&amp;C935&amp;"".mp3]&lt;/div&gt;"""),"&lt;ruby&gt;普通&lt;rt&gt;ふつう&lt;/rt&gt;&lt;/ruby&gt;&lt;br&gt;&lt;div class=""audio""&gt;[sound:ふつう.mp3]&lt;/div&gt;")</f>
        <v>&lt;ruby&gt;普通&lt;rt&gt;ふつう&lt;/rt&gt;&lt;/ruby&gt;&lt;br&gt;&lt;div class="audio"&gt;[sound:ふつう.mp3]&lt;/div&gt;</v>
      </c>
      <c r="H935" s="3" t="str">
        <f t="shared" si="1"/>
        <v>(adj): bình thường</v>
      </c>
      <c r="I935" s="6" t="s">
        <v>5074</v>
      </c>
      <c r="J935" s="6" t="s">
        <v>5075</v>
      </c>
      <c r="K935" s="7">
        <f t="shared" si="2"/>
        <v>0.5263437962</v>
      </c>
    </row>
    <row r="936">
      <c r="A936" s="4">
        <v>936.0</v>
      </c>
      <c r="B936" s="5" t="s">
        <v>5076</v>
      </c>
      <c r="C936" s="5" t="s">
        <v>5077</v>
      </c>
      <c r="D936" s="5" t="s">
        <v>5078</v>
      </c>
      <c r="E936" s="6" t="s">
        <v>74</v>
      </c>
      <c r="F936" s="6" t="s">
        <v>5079</v>
      </c>
      <c r="G936" s="3" t="str">
        <f>IFERROR(__xludf.DUMMYFUNCTION("REGEXREPLACE(
D936,
""([一-龯々]+)\[([^\]]+)\]"",
""&lt;ruby&gt;$1&lt;rt&gt;$2&lt;/rt&gt;&lt;/ruby&gt;""
)&amp;""&lt;br&gt;&lt;div class=""""audio""""&gt;[sound:""&amp;C936&amp;"".mp3]&lt;/div&gt;"""),"&lt;ruby&gt;命令&lt;rt&gt;めいれい&lt;/rt&gt;&lt;/ruby&gt;&lt;br&gt;&lt;div class=""audio""&gt;[sound:めいれい.mp3]&lt;/div&gt;")</f>
        <v>&lt;ruby&gt;命令&lt;rt&gt;めいれい&lt;/rt&gt;&lt;/ruby&gt;&lt;br&gt;&lt;div class="audio"&gt;[sound:めいれい.mp3]&lt;/div&gt;</v>
      </c>
      <c r="H936" s="3" t="str">
        <f t="shared" si="1"/>
        <v>(n): mệnh lệnh</v>
      </c>
      <c r="I936" s="6" t="s">
        <v>5080</v>
      </c>
      <c r="J936" s="6" t="s">
        <v>5081</v>
      </c>
      <c r="K936" s="7">
        <f t="shared" si="2"/>
        <v>0.03292507596</v>
      </c>
    </row>
    <row r="937">
      <c r="A937" s="4">
        <v>937.0</v>
      </c>
      <c r="B937" s="5" t="s">
        <v>5082</v>
      </c>
      <c r="C937" s="5" t="s">
        <v>5083</v>
      </c>
      <c r="D937" s="5" t="s">
        <v>5084</v>
      </c>
      <c r="E937" s="6" t="s">
        <v>74</v>
      </c>
      <c r="F937" s="6" t="s">
        <v>978</v>
      </c>
      <c r="G937" s="3" t="str">
        <f>IFERROR(__xludf.DUMMYFUNCTION("REGEXREPLACE(
D937,
""([一-龯々]+)\[([^\]]+)\]"",
""&lt;ruby&gt;$1&lt;rt&gt;$2&lt;/rt&gt;&lt;/ruby&gt;""
)&amp;""&lt;br&gt;&lt;div class=""""audio""""&gt;[sound:""&amp;C937&amp;"".mp3]&lt;/div&gt;"""),"&lt;ruby&gt;実施&lt;rt&gt;じっし&lt;/rt&gt;&lt;/ruby&gt;&lt;br&gt;&lt;div class=""audio""&gt;[sound:じっし.mp3]&lt;/div&gt;")</f>
        <v>&lt;ruby&gt;実施&lt;rt&gt;じっし&lt;/rt&gt;&lt;/ruby&gt;&lt;br&gt;&lt;div class="audio"&gt;[sound:じっし.mp3]&lt;/div&gt;</v>
      </c>
      <c r="H937" s="3" t="str">
        <f t="shared" si="1"/>
        <v>(n): thực hiện</v>
      </c>
      <c r="I937" s="6" t="s">
        <v>5085</v>
      </c>
      <c r="J937" s="6" t="s">
        <v>5086</v>
      </c>
      <c r="K937" s="7">
        <f t="shared" si="2"/>
        <v>0.2930789172</v>
      </c>
    </row>
    <row r="938">
      <c r="A938" s="4">
        <v>938.0</v>
      </c>
      <c r="B938" s="5" t="s">
        <v>5087</v>
      </c>
      <c r="C938" s="5" t="s">
        <v>5088</v>
      </c>
      <c r="D938" s="5" t="s">
        <v>5089</v>
      </c>
      <c r="E938" s="6" t="s">
        <v>74</v>
      </c>
      <c r="F938" s="6" t="s">
        <v>2385</v>
      </c>
      <c r="G938" s="3" t="str">
        <f>IFERROR(__xludf.DUMMYFUNCTION("REGEXREPLACE(
D938,
""([一-龯々]+)\[([^\]]+)\]"",
""&lt;ruby&gt;$1&lt;rt&gt;$2&lt;/rt&gt;&lt;/ruby&gt;""
)&amp;""&lt;br&gt;&lt;div class=""""audio""""&gt;[sound:""&amp;C938&amp;"".mp3]&lt;/div&gt;"""),"&lt;ruby&gt;気持&lt;rt&gt;きも&lt;/rt&gt;&lt;/ruby&gt;ち&lt;br&gt;&lt;div class=""audio""&gt;[sound:きもち.mp3]&lt;/div&gt;")</f>
        <v>&lt;ruby&gt;気持&lt;rt&gt;きも&lt;/rt&gt;&lt;/ruby&gt;ち&lt;br&gt;&lt;div class="audio"&gt;[sound:きもち.mp3]&lt;/div&gt;</v>
      </c>
      <c r="H938" s="3" t="str">
        <f t="shared" si="1"/>
        <v>(n): cảm giác</v>
      </c>
      <c r="I938" s="6" t="s">
        <v>5090</v>
      </c>
      <c r="J938" s="6" t="s">
        <v>5091</v>
      </c>
      <c r="K938" s="7">
        <f t="shared" si="2"/>
        <v>0.6726931502</v>
      </c>
    </row>
    <row r="939">
      <c r="A939" s="4">
        <v>939.0</v>
      </c>
      <c r="B939" s="5" t="s">
        <v>5092</v>
      </c>
      <c r="C939" s="5" t="s">
        <v>5093</v>
      </c>
      <c r="D939" s="5" t="s">
        <v>5094</v>
      </c>
      <c r="E939" s="6" t="s">
        <v>74</v>
      </c>
      <c r="F939" s="6" t="s">
        <v>5095</v>
      </c>
      <c r="G939" s="3" t="str">
        <f>IFERROR(__xludf.DUMMYFUNCTION("REGEXREPLACE(
D939,
""([一-龯々]+)\[([^\]]+)\]"",
""&lt;ruby&gt;$1&lt;rt&gt;$2&lt;/rt&gt;&lt;/ruby&gt;""
)&amp;""&lt;br&gt;&lt;div class=""""audio""""&gt;[sound:""&amp;C939&amp;"".mp3]&lt;/div&gt;"""),"&lt;ruby&gt;娘&lt;rt&gt;むすめ&lt;/rt&gt;&lt;/ruby&gt;&lt;br&gt;&lt;div class=""audio""&gt;[sound:むすめ.mp3]&lt;/div&gt;")</f>
        <v>&lt;ruby&gt;娘&lt;rt&gt;むすめ&lt;/rt&gt;&lt;/ruby&gt;&lt;br&gt;&lt;div class="audio"&gt;[sound:むすめ.mp3]&lt;/div&gt;</v>
      </c>
      <c r="H939" s="3" t="str">
        <f t="shared" si="1"/>
        <v>(n): con gái</v>
      </c>
      <c r="I939" s="6" t="s">
        <v>5096</v>
      </c>
      <c r="J939" s="6" t="s">
        <v>5097</v>
      </c>
      <c r="K939" s="7">
        <f t="shared" si="2"/>
        <v>0.2144906053</v>
      </c>
    </row>
    <row r="940">
      <c r="A940" s="4">
        <v>940.0</v>
      </c>
      <c r="B940" s="5" t="s">
        <v>5098</v>
      </c>
      <c r="C940" s="5" t="s">
        <v>5099</v>
      </c>
      <c r="D940" s="5" t="s">
        <v>5100</v>
      </c>
      <c r="E940" s="6" t="s">
        <v>74</v>
      </c>
      <c r="F940" s="6" t="s">
        <v>5101</v>
      </c>
      <c r="G940" s="3" t="str">
        <f>IFERROR(__xludf.DUMMYFUNCTION("REGEXREPLACE(
D940,
""([一-龯々]+)\[([^\]]+)\]"",
""&lt;ruby&gt;$1&lt;rt&gt;$2&lt;/rt&gt;&lt;/ruby&gt;""
)&amp;""&lt;br&gt;&lt;div class=""""audio""""&gt;[sound:""&amp;C940&amp;"".mp3]&lt;/div&gt;"""),"&lt;ruby&gt;台風&lt;rt&gt;たいふう&lt;/rt&gt;&lt;/ruby&gt;&lt;br&gt;&lt;div class=""audio""&gt;[sound:たいふう.mp3]&lt;/div&gt;")</f>
        <v>&lt;ruby&gt;台風&lt;rt&gt;たいふう&lt;/rt&gt;&lt;/ruby&gt;&lt;br&gt;&lt;div class="audio"&gt;[sound:たいふう.mp3]&lt;/div&gt;</v>
      </c>
      <c r="H940" s="3" t="str">
        <f t="shared" si="1"/>
        <v>(n): bão</v>
      </c>
      <c r="I940" s="6" t="s">
        <v>5102</v>
      </c>
      <c r="J940" s="6" t="s">
        <v>5103</v>
      </c>
      <c r="K940" s="7">
        <f t="shared" si="2"/>
        <v>0.7940494901</v>
      </c>
    </row>
    <row r="941">
      <c r="A941" s="4">
        <v>941.0</v>
      </c>
      <c r="B941" s="5" t="s">
        <v>5104</v>
      </c>
      <c r="C941" s="5" t="s">
        <v>5105</v>
      </c>
      <c r="D941" s="5" t="s">
        <v>5106</v>
      </c>
      <c r="E941" s="6" t="s">
        <v>85</v>
      </c>
      <c r="F941" s="6" t="s">
        <v>3121</v>
      </c>
      <c r="G941" s="3" t="str">
        <f>IFERROR(__xludf.DUMMYFUNCTION("REGEXREPLACE(
D941,
""([一-龯々]+)\[([^\]]+)\]"",
""&lt;ruby&gt;$1&lt;rt&gt;$2&lt;/rt&gt;&lt;/ruby&gt;""
)&amp;""&lt;br&gt;&lt;div class=""""audio""""&gt;[sound:""&amp;C941&amp;"".mp3]&lt;/div&gt;"""),"&lt;ruby&gt;最近&lt;rt&gt;さいきん&lt;/rt&gt;&lt;/ruby&gt;&lt;br&gt;&lt;div class=""audio""&gt;[sound:さいきん.mp3]&lt;/div&gt;")</f>
        <v>&lt;ruby&gt;最近&lt;rt&gt;さいきん&lt;/rt&gt;&lt;/ruby&gt;&lt;br&gt;&lt;div class="audio"&gt;[sound:さいきん.mp3]&lt;/div&gt;</v>
      </c>
      <c r="H941" s="3" t="str">
        <f t="shared" si="1"/>
        <v>(adv): gần đây</v>
      </c>
      <c r="I941" s="6" t="s">
        <v>5107</v>
      </c>
      <c r="J941" s="6" t="s">
        <v>5108</v>
      </c>
      <c r="K941" s="7">
        <f t="shared" si="2"/>
        <v>0.214763171</v>
      </c>
    </row>
    <row r="942">
      <c r="A942" s="4">
        <v>942.0</v>
      </c>
      <c r="B942" s="5" t="s">
        <v>5109</v>
      </c>
      <c r="C942" s="5" t="s">
        <v>5110</v>
      </c>
      <c r="D942" s="5" t="s">
        <v>5111</v>
      </c>
      <c r="E942" s="6" t="s">
        <v>74</v>
      </c>
      <c r="F942" s="6" t="s">
        <v>5112</v>
      </c>
      <c r="G942" s="3" t="str">
        <f>IFERROR(__xludf.DUMMYFUNCTION("REGEXREPLACE(
D942,
""([一-龯々]+)\[([^\]]+)\]"",
""&lt;ruby&gt;$1&lt;rt&gt;$2&lt;/rt&gt;&lt;/ruby&gt;""
)&amp;""&lt;br&gt;&lt;div class=""""audio""""&gt;[sound:""&amp;C942&amp;"".mp3]&lt;/div&gt;"""),"&lt;ruby&gt;教室&lt;rt&gt;きょうしつ&lt;/rt&gt;&lt;/ruby&gt;&lt;br&gt;&lt;div class=""audio""&gt;[sound:きょうしつ.mp3]&lt;/div&gt;")</f>
        <v>&lt;ruby&gt;教室&lt;rt&gt;きょうしつ&lt;/rt&gt;&lt;/ruby&gt;&lt;br&gt;&lt;div class="audio"&gt;[sound:きょうしつ.mp3]&lt;/div&gt;</v>
      </c>
      <c r="H942" s="3" t="str">
        <f t="shared" si="1"/>
        <v>(n): lớp học</v>
      </c>
      <c r="I942" s="6" t="s">
        <v>5113</v>
      </c>
      <c r="J942" s="6" t="s">
        <v>5114</v>
      </c>
      <c r="K942" s="7">
        <f t="shared" si="2"/>
        <v>0.04425796127</v>
      </c>
    </row>
    <row r="943">
      <c r="A943" s="4">
        <v>943.0</v>
      </c>
      <c r="B943" s="5" t="s">
        <v>5115</v>
      </c>
      <c r="C943" s="5" t="s">
        <v>5116</v>
      </c>
      <c r="D943" s="5" t="s">
        <v>5117</v>
      </c>
      <c r="E943" s="6" t="s">
        <v>74</v>
      </c>
      <c r="F943" s="6" t="s">
        <v>5118</v>
      </c>
      <c r="G943" s="3" t="str">
        <f>IFERROR(__xludf.DUMMYFUNCTION("REGEXREPLACE(
D943,
""([一-龯々]+)\[([^\]]+)\]"",
""&lt;ruby&gt;$1&lt;rt&gt;$2&lt;/rt&gt;&lt;/ruby&gt;""
)&amp;""&lt;br&gt;&lt;div class=""""audio""""&gt;[sound:""&amp;C943&amp;"".mp3]&lt;/div&gt;"""),"&lt;ruby&gt;図書館&lt;rt&gt;としょかん&lt;/rt&gt;&lt;/ruby&gt;&lt;br&gt;&lt;div class=""audio""&gt;[sound:としょかん.mp3]&lt;/div&gt;")</f>
        <v>&lt;ruby&gt;図書館&lt;rt&gt;としょかん&lt;/rt&gt;&lt;/ruby&gt;&lt;br&gt;&lt;div class="audio"&gt;[sound:としょかん.mp3]&lt;/div&gt;</v>
      </c>
      <c r="H943" s="3" t="str">
        <f t="shared" si="1"/>
        <v>(n): thư viện</v>
      </c>
      <c r="I943" s="6" t="s">
        <v>5119</v>
      </c>
      <c r="J943" s="6" t="s">
        <v>5120</v>
      </c>
      <c r="K943" s="7">
        <f t="shared" si="2"/>
        <v>0.3541342336</v>
      </c>
    </row>
    <row r="944">
      <c r="A944" s="4">
        <v>944.0</v>
      </c>
      <c r="B944" s="5" t="s">
        <v>5121</v>
      </c>
      <c r="C944" s="5" t="s">
        <v>5122</v>
      </c>
      <c r="D944" s="5" t="s">
        <v>5123</v>
      </c>
      <c r="E944" s="6" t="s">
        <v>74</v>
      </c>
      <c r="F944" s="6" t="s">
        <v>5124</v>
      </c>
      <c r="G944" s="3" t="str">
        <f>IFERROR(__xludf.DUMMYFUNCTION("REGEXREPLACE(
D944,
""([一-龯々]+)\[([^\]]+)\]"",
""&lt;ruby&gt;$1&lt;rt&gt;$2&lt;/rt&gt;&lt;/ruby&gt;""
)&amp;""&lt;br&gt;&lt;div class=""""audio""""&gt;[sound:""&amp;C944&amp;"".mp3]&lt;/div&gt;"""),"&lt;ruby&gt;文字&lt;rt&gt;もじ&lt;/rt&gt;&lt;/ruby&gt;&lt;br&gt;&lt;div class=""audio""&gt;[sound:もじ.mp3]&lt;/div&gt;")</f>
        <v>&lt;ruby&gt;文字&lt;rt&gt;もじ&lt;/rt&gt;&lt;/ruby&gt;&lt;br&gt;&lt;div class="audio"&gt;[sound:もじ.mp3]&lt;/div&gt;</v>
      </c>
      <c r="H944" s="3" t="str">
        <f t="shared" si="1"/>
        <v>(n): ký tự</v>
      </c>
      <c r="I944" s="6" t="s">
        <v>5125</v>
      </c>
      <c r="J944" s="6" t="s">
        <v>5126</v>
      </c>
      <c r="K944" s="7">
        <f t="shared" si="2"/>
        <v>0.9016556151</v>
      </c>
    </row>
    <row r="945">
      <c r="A945" s="4">
        <v>945.0</v>
      </c>
      <c r="B945" s="5" t="s">
        <v>5127</v>
      </c>
      <c r="C945" s="5" t="s">
        <v>2627</v>
      </c>
      <c r="D945" s="5" t="s">
        <v>5128</v>
      </c>
      <c r="E945" s="6" t="s">
        <v>74</v>
      </c>
      <c r="F945" s="6" t="s">
        <v>5129</v>
      </c>
      <c r="G945" s="3" t="str">
        <f>IFERROR(__xludf.DUMMYFUNCTION("REGEXREPLACE(
D945,
""([一-龯々]+)\[([^\]]+)\]"",
""&lt;ruby&gt;$1&lt;rt&gt;$2&lt;/rt&gt;&lt;/ruby&gt;""
)&amp;""&lt;br&gt;&lt;div class=""""audio""""&gt;[sound:""&amp;C945&amp;"".mp3]&lt;/div&gt;"""),"&lt;ruby&gt;木&lt;rt&gt;き&lt;/rt&gt;&lt;/ruby&gt;&lt;br&gt;&lt;div class=""audio""&gt;[sound:き.mp3]&lt;/div&gt;")</f>
        <v>&lt;ruby&gt;木&lt;rt&gt;き&lt;/rt&gt;&lt;/ruby&gt;&lt;br&gt;&lt;div class="audio"&gt;[sound:き.mp3]&lt;/div&gt;</v>
      </c>
      <c r="H945" s="3" t="str">
        <f t="shared" si="1"/>
        <v>(n): cây</v>
      </c>
      <c r="I945" s="6" t="s">
        <v>5130</v>
      </c>
      <c r="J945" s="6" t="s">
        <v>5131</v>
      </c>
      <c r="K945" s="7">
        <f t="shared" si="2"/>
        <v>0.8251044303</v>
      </c>
    </row>
    <row r="946">
      <c r="A946" s="4">
        <v>946.0</v>
      </c>
      <c r="B946" s="5" t="s">
        <v>5132</v>
      </c>
      <c r="C946" s="5" t="s">
        <v>210</v>
      </c>
      <c r="D946" s="5" t="s">
        <v>5133</v>
      </c>
      <c r="E946" s="6" t="s">
        <v>24</v>
      </c>
      <c r="F946" s="6" t="s">
        <v>5134</v>
      </c>
      <c r="G946" s="3" t="str">
        <f>IFERROR(__xludf.DUMMYFUNCTION("REGEXREPLACE(
D946,
""([一-龯々]+)\[([^\]]+)\]"",
""&lt;ruby&gt;$1&lt;rt&gt;$2&lt;/rt&gt;&lt;/ruby&gt;""
)&amp;""&lt;br&gt;&lt;div class=""""audio""""&gt;[sound:""&amp;C946&amp;"".mp3]&lt;/div&gt;"""),"&lt;ruby&gt;撮&lt;rt&gt;と&lt;/rt&gt;&lt;/ruby&gt;る&lt;br&gt;&lt;div class=""audio""&gt;[sound:とる.mp3]&lt;/div&gt;")</f>
        <v>&lt;ruby&gt;撮&lt;rt&gt;と&lt;/rt&gt;&lt;/ruby&gt;る&lt;br&gt;&lt;div class="audio"&gt;[sound:とる.mp3]&lt;/div&gt;</v>
      </c>
      <c r="H946" s="3" t="str">
        <f t="shared" si="1"/>
        <v>(v): chụp</v>
      </c>
      <c r="I946" s="6" t="s">
        <v>5135</v>
      </c>
      <c r="J946" s="6" t="s">
        <v>5136</v>
      </c>
      <c r="K946" s="7">
        <f t="shared" si="2"/>
        <v>0.8378391983</v>
      </c>
    </row>
    <row r="947">
      <c r="A947" s="4">
        <v>947.0</v>
      </c>
      <c r="B947" s="5" t="s">
        <v>5137</v>
      </c>
      <c r="C947" s="5" t="s">
        <v>5138</v>
      </c>
      <c r="D947" s="5" t="s">
        <v>5139</v>
      </c>
      <c r="E947" s="6" t="s">
        <v>33</v>
      </c>
      <c r="F947" s="6" t="s">
        <v>5140</v>
      </c>
      <c r="G947" s="3" t="str">
        <f>IFERROR(__xludf.DUMMYFUNCTION("REGEXREPLACE(
D947,
""([一-龯々]+)\[([^\]]+)\]"",
""&lt;ruby&gt;$1&lt;rt&gt;$2&lt;/rt&gt;&lt;/ruby&gt;""
)&amp;""&lt;br&gt;&lt;div class=""""audio""""&gt;[sound:""&amp;C947&amp;"".mp3]&lt;/div&gt;"""),"お&lt;ruby&gt;元気&lt;rt&gt;げんき&lt;/rt&gt;&lt;/ruby&gt;で&lt;br&gt;&lt;div class=""audio""&gt;[sound:おげんきで.mp3]&lt;/div&gt;")</f>
        <v>お&lt;ruby&gt;元気&lt;rt&gt;げんき&lt;/rt&gt;&lt;/ruby&gt;で&lt;br&gt;&lt;div class="audio"&gt;[sound:おげんきで.mp3]&lt;/div&gt;</v>
      </c>
      <c r="H947" s="3" t="str">
        <f t="shared" si="1"/>
        <v>(int): giữ gìn sức khỏe</v>
      </c>
      <c r="I947" s="6" t="s">
        <v>5141</v>
      </c>
      <c r="J947" s="6" t="s">
        <v>5142</v>
      </c>
      <c r="K947" s="7">
        <f t="shared" si="2"/>
        <v>0.8647500689</v>
      </c>
    </row>
    <row r="948">
      <c r="A948" s="4">
        <v>948.0</v>
      </c>
      <c r="B948" s="5" t="s">
        <v>5143</v>
      </c>
      <c r="C948" s="5" t="s">
        <v>5144</v>
      </c>
      <c r="D948" s="5" t="s">
        <v>5145</v>
      </c>
      <c r="E948" s="6" t="s">
        <v>74</v>
      </c>
      <c r="F948" s="6" t="s">
        <v>5146</v>
      </c>
      <c r="G948" s="3" t="str">
        <f>IFERROR(__xludf.DUMMYFUNCTION("REGEXREPLACE(
D948,
""([一-龯々]+)\[([^\]]+)\]"",
""&lt;ruby&gt;$1&lt;rt&gt;$2&lt;/rt&gt;&lt;/ruby&gt;""
)&amp;""&lt;br&gt;&lt;div class=""""audio""""&gt;[sound:""&amp;C948&amp;"".mp3]&lt;/div&gt;"""),"お&lt;ruby&gt;土産&lt;rt&gt;みやげ&lt;/rt&gt;&lt;/ruby&gt;&lt;br&gt;&lt;div class=""audio""&gt;[sound:おみやげ.mp3]&lt;/div&gt;")</f>
        <v>お&lt;ruby&gt;土産&lt;rt&gt;みやげ&lt;/rt&gt;&lt;/ruby&gt;&lt;br&gt;&lt;div class="audio"&gt;[sound:おみやげ.mp3]&lt;/div&gt;</v>
      </c>
      <c r="H948" s="3" t="str">
        <f t="shared" si="1"/>
        <v>(n): quà lưu niệm</v>
      </c>
      <c r="I948" s="6" t="s">
        <v>5147</v>
      </c>
      <c r="J948" s="6" t="s">
        <v>5148</v>
      </c>
      <c r="K948" s="7">
        <f t="shared" si="2"/>
        <v>0.6139447524</v>
      </c>
    </row>
    <row r="949">
      <c r="A949" s="4">
        <v>949.0</v>
      </c>
      <c r="B949" s="5" t="s">
        <v>5149</v>
      </c>
      <c r="C949" s="5" t="s">
        <v>5150</v>
      </c>
      <c r="D949" s="5" t="s">
        <v>5151</v>
      </c>
      <c r="E949" s="6" t="s">
        <v>74</v>
      </c>
      <c r="F949" s="6" t="s">
        <v>5152</v>
      </c>
      <c r="G949" s="3" t="str">
        <f>IFERROR(__xludf.DUMMYFUNCTION("REGEXREPLACE(
D949,
""([一-龯々]+)\[([^\]]+)\]"",
""&lt;ruby&gt;$1&lt;rt&gt;$2&lt;/rt&gt;&lt;/ruby&gt;""
)&amp;""&lt;br&gt;&lt;div class=""""audio""""&gt;[sound:""&amp;C949&amp;"".mp3]&lt;/div&gt;"""),"その&lt;ruby&gt;他&lt;rt&gt;ほか&lt;/rt&gt;&lt;/ruby&gt;&lt;br&gt;&lt;div class=""audio""&gt;[sound:そのほか.mp3]&lt;/div&gt;")</f>
        <v>その&lt;ruby&gt;他&lt;rt&gt;ほか&lt;/rt&gt;&lt;/ruby&gt;&lt;br&gt;&lt;div class="audio"&gt;[sound:そのほか.mp3]&lt;/div&gt;</v>
      </c>
      <c r="H949" s="3" t="str">
        <f t="shared" si="1"/>
        <v>(n): cái khác</v>
      </c>
      <c r="I949" s="6" t="s">
        <v>5153</v>
      </c>
      <c r="J949" s="6" t="s">
        <v>5154</v>
      </c>
      <c r="K949" s="7">
        <f t="shared" si="2"/>
        <v>0.4945883253</v>
      </c>
    </row>
    <row r="950">
      <c r="A950" s="4">
        <v>950.0</v>
      </c>
      <c r="B950" s="5" t="s">
        <v>5155</v>
      </c>
      <c r="C950" s="5" t="s">
        <v>5156</v>
      </c>
      <c r="D950" s="5" t="s">
        <v>5157</v>
      </c>
      <c r="E950" s="6" t="s">
        <v>24</v>
      </c>
      <c r="F950" s="6" t="s">
        <v>5158</v>
      </c>
      <c r="G950" s="3" t="str">
        <f>IFERROR(__xludf.DUMMYFUNCTION("REGEXREPLACE(
D950,
""([一-龯々]+)\[([^\]]+)\]"",
""&lt;ruby&gt;$1&lt;rt&gt;$2&lt;/rt&gt;&lt;/ruby&gt;""
)&amp;""&lt;br&gt;&lt;div class=""""audio""""&gt;[sound:""&amp;C950&amp;"".mp3]&lt;/div&gt;"""),"&lt;ruby&gt;亡&lt;rt&gt;な&lt;/rt&gt;&lt;/ruby&gt;くなる&lt;br&gt;&lt;div class=""audio""&gt;[sound:なくなる.mp3]&lt;/div&gt;")</f>
        <v>&lt;ruby&gt;亡&lt;rt&gt;な&lt;/rt&gt;&lt;/ruby&gt;くなる&lt;br&gt;&lt;div class="audio"&gt;[sound:なくなる.mp3]&lt;/div&gt;</v>
      </c>
      <c r="H950" s="3" t="str">
        <f t="shared" si="1"/>
        <v>(v): qua đời</v>
      </c>
      <c r="I950" s="6" t="s">
        <v>5159</v>
      </c>
      <c r="J950" s="6" t="s">
        <v>5160</v>
      </c>
      <c r="K950" s="7">
        <f t="shared" si="2"/>
        <v>0.2218519705</v>
      </c>
    </row>
    <row r="951">
      <c r="A951" s="4">
        <v>951.0</v>
      </c>
      <c r="B951" s="5" t="s">
        <v>5161</v>
      </c>
      <c r="C951" s="5" t="s">
        <v>5162</v>
      </c>
      <c r="D951" s="5" t="s">
        <v>5163</v>
      </c>
      <c r="E951" s="6" t="s">
        <v>85</v>
      </c>
      <c r="F951" s="6" t="s">
        <v>5164</v>
      </c>
      <c r="G951" s="3" t="str">
        <f>IFERROR(__xludf.DUMMYFUNCTION("REGEXREPLACE(
D951,
""([一-龯々]+)\[([^\]]+)\]"",
""&lt;ruby&gt;$1&lt;rt&gt;$2&lt;/rt&gt;&lt;/ruby&gt;""
)&amp;""&lt;br&gt;&lt;div class=""""audio""""&gt;[sound:""&amp;C951&amp;"".mp3]&lt;/div&gt;"""),"お&lt;ruby&gt;先&lt;rt&gt;さき&lt;/rt&gt;&lt;/ruby&gt;に&lt;br&gt;&lt;div class=""audio""&gt;[sound:おさきに.mp3]&lt;/div&gt;")</f>
        <v>お&lt;ruby&gt;先&lt;rt&gt;さき&lt;/rt&gt;&lt;/ruby&gt;に&lt;br&gt;&lt;div class="audio"&gt;[sound:おさきに.mp3]&lt;/div&gt;</v>
      </c>
      <c r="H951" s="3" t="str">
        <f t="shared" si="1"/>
        <v>(adv): đi trước</v>
      </c>
      <c r="I951" s="6" t="s">
        <v>5165</v>
      </c>
      <c r="J951" s="6" t="s">
        <v>5166</v>
      </c>
      <c r="K951" s="7">
        <f t="shared" si="2"/>
        <v>0.9529225049</v>
      </c>
    </row>
    <row r="952">
      <c r="A952" s="4">
        <v>952.0</v>
      </c>
      <c r="B952" s="5" t="s">
        <v>5167</v>
      </c>
      <c r="C952" s="5" t="s">
        <v>5168</v>
      </c>
      <c r="D952" s="5" t="s">
        <v>5169</v>
      </c>
      <c r="E952" s="6" t="s">
        <v>11</v>
      </c>
      <c r="F952" s="6" t="s">
        <v>178</v>
      </c>
      <c r="G952" s="3" t="str">
        <f>IFERROR(__xludf.DUMMYFUNCTION("REGEXREPLACE(
D952,
""([一-龯々]+)\[([^\]]+)\]"",
""&lt;ruby&gt;$1&lt;rt&gt;$2&lt;/rt&gt;&lt;/ruby&gt;""
)&amp;""&lt;br&gt;&lt;div class=""""audio""""&gt;[sound:""&amp;C952&amp;"".mp3]&lt;/div&gt;"""),"ご&lt;ruby&gt;存&lt;rt&gt;ぞん&lt;/rt&gt;&lt;/ruby&gt;じ&lt;br&gt;&lt;div class=""audio""&gt;[sound:ごぞんじ.mp3]&lt;/div&gt;")</f>
        <v>ご&lt;ruby&gt;存&lt;rt&gt;ぞん&lt;/rt&gt;&lt;/ruby&gt;じ&lt;br&gt;&lt;div class="audio"&gt;[sound:ごぞんじ.mp3]&lt;/div&gt;</v>
      </c>
      <c r="H952" s="3" t="str">
        <f t="shared" si="1"/>
        <v>(adj): biết</v>
      </c>
      <c r="I952" s="6" t="s">
        <v>5170</v>
      </c>
      <c r="J952" s="6" t="s">
        <v>5171</v>
      </c>
      <c r="K952" s="7">
        <f t="shared" si="2"/>
        <v>0.00472269486</v>
      </c>
    </row>
    <row r="953">
      <c r="A953" s="4">
        <v>953.0</v>
      </c>
      <c r="B953" s="5" t="s">
        <v>5172</v>
      </c>
      <c r="C953" s="5" t="s">
        <v>5173</v>
      </c>
      <c r="D953" s="5" t="s">
        <v>5174</v>
      </c>
      <c r="E953" s="6" t="s">
        <v>74</v>
      </c>
      <c r="F953" s="6" t="s">
        <v>5175</v>
      </c>
      <c r="G953" s="3" t="str">
        <f>IFERROR(__xludf.DUMMYFUNCTION("REGEXREPLACE(
D953,
""([一-龯々]+)\[([^\]]+)\]"",
""&lt;ruby&gt;$1&lt;rt&gt;$2&lt;/rt&gt;&lt;/ruby&gt;""
)&amp;""&lt;br&gt;&lt;div class=""""audio""""&gt;[sound:""&amp;C953&amp;"".mp3]&lt;/div&gt;"""),"お&lt;ruby&gt;金持&lt;rt&gt;かねも&lt;/rt&gt;&lt;/ruby&gt;ち&lt;br&gt;&lt;div class=""audio""&gt;[sound:おかねもち.mp3]&lt;/div&gt;")</f>
        <v>お&lt;ruby&gt;金持&lt;rt&gt;かねも&lt;/rt&gt;&lt;/ruby&gt;ち&lt;br&gt;&lt;div class="audio"&gt;[sound:おかねもち.mp3]&lt;/div&gt;</v>
      </c>
      <c r="H953" s="3" t="str">
        <f t="shared" si="1"/>
        <v>(n): người giàu</v>
      </c>
      <c r="I953" s="6" t="s">
        <v>5176</v>
      </c>
      <c r="J953" s="6" t="s">
        <v>5177</v>
      </c>
      <c r="K953" s="7">
        <f t="shared" si="2"/>
        <v>0.5216822767</v>
      </c>
    </row>
    <row r="954">
      <c r="A954" s="4">
        <v>954.0</v>
      </c>
      <c r="B954" s="5" t="s">
        <v>5178</v>
      </c>
      <c r="C954" s="5" t="s">
        <v>5179</v>
      </c>
      <c r="D954" s="5" t="s">
        <v>5180</v>
      </c>
      <c r="E954" s="6" t="s">
        <v>74</v>
      </c>
      <c r="F954" s="6" t="s">
        <v>2175</v>
      </c>
      <c r="G954" s="3" t="str">
        <f>IFERROR(__xludf.DUMMYFUNCTION("REGEXREPLACE(
D954,
""([一-龯々]+)\[([^\]]+)\]"",
""&lt;ruby&gt;$1&lt;rt&gt;$2&lt;/rt&gt;&lt;/ruby&gt;""
)&amp;""&lt;br&gt;&lt;div class=""""audio""""&gt;[sound:""&amp;C954&amp;"".mp3]&lt;/div&gt;"""),"お&lt;ruby&gt;祝&lt;rt&gt;いわ&lt;/rt&gt;&lt;/ruby&gt;い&lt;br&gt;&lt;div class=""audio""&gt;[sound:おいわい.mp3]&lt;/div&gt;")</f>
        <v>お&lt;ruby&gt;祝&lt;rt&gt;いわ&lt;/rt&gt;&lt;/ruby&gt;い&lt;br&gt;&lt;div class="audio"&gt;[sound:おいわい.mp3]&lt;/div&gt;</v>
      </c>
      <c r="H954" s="3" t="str">
        <f t="shared" si="1"/>
        <v>(n): chúc mừng</v>
      </c>
      <c r="I954" s="6" t="s">
        <v>5181</v>
      </c>
      <c r="J954" s="6" t="s">
        <v>5182</v>
      </c>
      <c r="K954" s="7">
        <f t="shared" si="2"/>
        <v>0.3247374112</v>
      </c>
    </row>
    <row r="955">
      <c r="A955" s="4">
        <v>955.0</v>
      </c>
      <c r="B955" s="5" t="s">
        <v>5183</v>
      </c>
      <c r="C955" s="5" t="s">
        <v>5184</v>
      </c>
      <c r="D955" s="5" t="s">
        <v>5185</v>
      </c>
      <c r="E955" s="6" t="s">
        <v>74</v>
      </c>
      <c r="F955" s="6" t="s">
        <v>5186</v>
      </c>
      <c r="G955" s="3" t="str">
        <f>IFERROR(__xludf.DUMMYFUNCTION("REGEXREPLACE(
D955,
""([一-龯々]+)\[([^\]]+)\]"",
""&lt;ruby&gt;$1&lt;rt&gt;$2&lt;/rt&gt;&lt;/ruby&gt;""
)&amp;""&lt;br&gt;&lt;div class=""""audio""""&gt;[sound:""&amp;C955&amp;"".mp3]&lt;/div&gt;"""),"お&lt;ruby&gt;子&lt;rt&gt;こ&lt;/rt&gt;&lt;/ruby&gt;さん&lt;br&gt;&lt;div class=""audio""&gt;[sound:おこさん.mp3]&lt;/div&gt;")</f>
        <v>お&lt;ruby&gt;子&lt;rt&gt;こ&lt;/rt&gt;&lt;/ruby&gt;さん&lt;br&gt;&lt;div class="audio"&gt;[sound:おこさん.mp3]&lt;/div&gt;</v>
      </c>
      <c r="H955" s="3" t="str">
        <f t="shared" si="1"/>
        <v>(n): con</v>
      </c>
      <c r="I955" s="6" t="s">
        <v>5187</v>
      </c>
      <c r="J955" s="6" t="s">
        <v>5188</v>
      </c>
      <c r="K955" s="7">
        <f t="shared" si="2"/>
        <v>0.6050348105</v>
      </c>
    </row>
    <row r="956">
      <c r="A956" s="4">
        <v>956.0</v>
      </c>
      <c r="B956" s="5" t="s">
        <v>5189</v>
      </c>
      <c r="C956" s="5" t="s">
        <v>5190</v>
      </c>
      <c r="D956" s="5" t="s">
        <v>5191</v>
      </c>
      <c r="E956" s="6" t="s">
        <v>74</v>
      </c>
      <c r="F956" s="6" t="s">
        <v>2397</v>
      </c>
      <c r="G956" s="3" t="str">
        <f>IFERROR(__xludf.DUMMYFUNCTION("REGEXREPLACE(
D956,
""([一-龯々]+)\[([^\]]+)\]"",
""&lt;ruby&gt;$1&lt;rt&gt;$2&lt;/rt&gt;&lt;/ruby&gt;""
)&amp;""&lt;br&gt;&lt;div class=""""audio""""&gt;[sound:""&amp;C956&amp;"".mp3]&lt;/div&gt;"""),"お&lt;ruby&gt;手洗&lt;rt&gt;てあら&lt;/rt&gt;&lt;/ruby&gt;い&lt;br&gt;&lt;div class=""audio""&gt;[sound:おてあらい.mp3]&lt;/div&gt;")</f>
        <v>お&lt;ruby&gt;手洗&lt;rt&gt;てあら&lt;/rt&gt;&lt;/ruby&gt;い&lt;br&gt;&lt;div class="audio"&gt;[sound:おてあらい.mp3]&lt;/div&gt;</v>
      </c>
      <c r="H956" s="3" t="str">
        <f t="shared" si="1"/>
        <v>(n): nhà vệ sinh</v>
      </c>
      <c r="I956" s="6" t="s">
        <v>5192</v>
      </c>
      <c r="J956" s="6" t="s">
        <v>5193</v>
      </c>
      <c r="K956" s="7">
        <f t="shared" si="2"/>
        <v>0.9191063983</v>
      </c>
    </row>
    <row r="957">
      <c r="A957" s="4">
        <v>957.0</v>
      </c>
      <c r="B957" s="5" t="s">
        <v>5194</v>
      </c>
      <c r="C957" s="5" t="s">
        <v>5195</v>
      </c>
      <c r="D957" s="5" t="s">
        <v>5196</v>
      </c>
      <c r="E957" s="6" t="s">
        <v>74</v>
      </c>
      <c r="F957" s="6" t="s">
        <v>99</v>
      </c>
      <c r="G957" s="3" t="str">
        <f>IFERROR(__xludf.DUMMYFUNCTION("REGEXREPLACE(
D957,
""([一-龯々]+)\[([^\]]+)\]"",
""&lt;ruby&gt;$1&lt;rt&gt;$2&lt;/rt&gt;&lt;/ruby&gt;""
)&amp;""&lt;br&gt;&lt;div class=""""audio""""&gt;[sound:""&amp;C957&amp;"".mp3]&lt;/div&gt;"""),"お&lt;ruby&gt;礼&lt;rt&gt;れい&lt;/rt&gt;&lt;/ruby&gt;&lt;br&gt;&lt;div class=""audio""&gt;[sound:おれい.mp3]&lt;/div&gt;")</f>
        <v>お&lt;ruby&gt;礼&lt;rt&gt;れい&lt;/rt&gt;&lt;/ruby&gt;&lt;br&gt;&lt;div class="audio"&gt;[sound:おれい.mp3]&lt;/div&gt;</v>
      </c>
      <c r="H957" s="3" t="str">
        <f t="shared" si="1"/>
        <v>(n): cảm ơn</v>
      </c>
      <c r="I957" s="6" t="s">
        <v>5197</v>
      </c>
      <c r="J957" s="6" t="s">
        <v>5198</v>
      </c>
      <c r="K957" s="7">
        <f t="shared" si="2"/>
        <v>0.5281764875</v>
      </c>
    </row>
    <row r="958">
      <c r="A958" s="4">
        <v>958.0</v>
      </c>
      <c r="B958" s="5" t="s">
        <v>5199</v>
      </c>
      <c r="C958" s="5" t="s">
        <v>5200</v>
      </c>
      <c r="D958" s="5" t="s">
        <v>5201</v>
      </c>
      <c r="E958" s="6" t="s">
        <v>44</v>
      </c>
      <c r="F958" s="6" t="s">
        <v>5202</v>
      </c>
      <c r="G958" s="3" t="str">
        <f>IFERROR(__xludf.DUMMYFUNCTION("REGEXREPLACE(
D958,
""([一-龯々]+)\[([^\]]+)\]"",
""&lt;ruby&gt;$1&lt;rt&gt;$2&lt;/rt&gt;&lt;/ruby&gt;""
)&amp;""&lt;br&gt;&lt;div class=""""audio""""&gt;[sound:""&amp;C958&amp;"".mp3]&lt;/div&gt;"""),"お&lt;ruby&gt;宅&lt;rt&gt;たく&lt;/rt&gt;&lt;/ruby&gt;&lt;br&gt;&lt;div class=""audio""&gt;[sound:おたく.mp3]&lt;/div&gt;")</f>
        <v>お&lt;ruby&gt;宅&lt;rt&gt;たく&lt;/rt&gt;&lt;/ruby&gt;&lt;br&gt;&lt;div class="audio"&gt;[sound:おたく.mp3]&lt;/div&gt;</v>
      </c>
      <c r="H958" s="3" t="str">
        <f t="shared" si="1"/>
        <v>(pron): nhà bạn</v>
      </c>
      <c r="I958" s="6" t="s">
        <v>5203</v>
      </c>
      <c r="J958" s="6" t="s">
        <v>5204</v>
      </c>
      <c r="K958" s="7">
        <f t="shared" si="2"/>
        <v>0.7564101339</v>
      </c>
    </row>
    <row r="959">
      <c r="A959" s="4">
        <v>959.0</v>
      </c>
      <c r="B959" s="5" t="s">
        <v>5205</v>
      </c>
      <c r="C959" s="5" t="s">
        <v>5206</v>
      </c>
      <c r="D959" s="5" t="s">
        <v>5207</v>
      </c>
      <c r="E959" s="6" t="s">
        <v>74</v>
      </c>
      <c r="F959" s="6" t="s">
        <v>5208</v>
      </c>
      <c r="G959" s="3" t="str">
        <f>IFERROR(__xludf.DUMMYFUNCTION("REGEXREPLACE(
D959,
""([一-龯々]+)\[([^\]]+)\]"",
""&lt;ruby&gt;$1&lt;rt&gt;$2&lt;/rt&gt;&lt;/ruby&gt;""
)&amp;""&lt;br&gt;&lt;div class=""""audio""""&gt;[sound:""&amp;C959&amp;"".mp3]&lt;/div&gt;"""),"お&lt;ruby&gt;祭&lt;rt&gt;まつ&lt;/rt&gt;&lt;/ruby&gt;り&lt;br&gt;&lt;div class=""audio""&gt;[sound:おまつり.mp3]&lt;/div&gt;")</f>
        <v>お&lt;ruby&gt;祭&lt;rt&gt;まつ&lt;/rt&gt;&lt;/ruby&gt;り&lt;br&gt;&lt;div class="audio"&gt;[sound:おまつり.mp3]&lt;/div&gt;</v>
      </c>
      <c r="H959" s="3" t="str">
        <f t="shared" si="1"/>
        <v>(n): lễ hội</v>
      </c>
      <c r="I959" s="6" t="s">
        <v>5209</v>
      </c>
      <c r="J959" s="6" t="s">
        <v>5210</v>
      </c>
      <c r="K959" s="7">
        <f t="shared" si="2"/>
        <v>0.6825407907</v>
      </c>
    </row>
    <row r="960">
      <c r="A960" s="4">
        <v>960.0</v>
      </c>
      <c r="B960" s="5" t="s">
        <v>5211</v>
      </c>
      <c r="C960" s="5" t="s">
        <v>5212</v>
      </c>
      <c r="D960" s="5" t="s">
        <v>5213</v>
      </c>
      <c r="E960" s="6" t="s">
        <v>74</v>
      </c>
      <c r="F960" s="6" t="s">
        <v>5214</v>
      </c>
      <c r="G960" s="3" t="str">
        <f>IFERROR(__xludf.DUMMYFUNCTION("REGEXREPLACE(
D960,
""([一-龯々]+)\[([^\]]+)\]"",
""&lt;ruby&gt;$1&lt;rt&gt;$2&lt;/rt&gt;&lt;/ruby&gt;""
)&amp;""&lt;br&gt;&lt;div class=""""audio""""&gt;[sound:""&amp;C960&amp;"".mp3]&lt;/div&gt;"""),"&lt;ruby&gt;常識&lt;rt&gt;じょうしき&lt;/rt&gt;&lt;/ruby&gt;&lt;br&gt;&lt;div class=""audio""&gt;[sound:じょうしき.mp3]&lt;/div&gt;")</f>
        <v>&lt;ruby&gt;常識&lt;rt&gt;じょうしき&lt;/rt&gt;&lt;/ruby&gt;&lt;br&gt;&lt;div class="audio"&gt;[sound:じょうしき.mp3]&lt;/div&gt;</v>
      </c>
      <c r="H960" s="3" t="str">
        <f t="shared" si="1"/>
        <v>(n): thông thường</v>
      </c>
      <c r="I960" s="6" t="s">
        <v>5215</v>
      </c>
      <c r="J960" s="6" t="s">
        <v>5216</v>
      </c>
      <c r="K960" s="7">
        <f t="shared" si="2"/>
        <v>0.8102013297</v>
      </c>
    </row>
    <row r="961">
      <c r="A961" s="4">
        <v>961.0</v>
      </c>
      <c r="B961" s="5" t="s">
        <v>5217</v>
      </c>
      <c r="C961" s="5" t="s">
        <v>5218</v>
      </c>
      <c r="D961" s="5" t="s">
        <v>5219</v>
      </c>
      <c r="E961" s="6" t="s">
        <v>74</v>
      </c>
      <c r="F961" s="6" t="s">
        <v>5220</v>
      </c>
      <c r="G961" s="3" t="str">
        <f>IFERROR(__xludf.DUMMYFUNCTION("REGEXREPLACE(
D961,
""([一-龯々]+)\[([^\]]+)\]"",
""&lt;ruby&gt;$1&lt;rt&gt;$2&lt;/rt&gt;&lt;/ruby&gt;""
)&amp;""&lt;br&gt;&lt;div class=""""audio""""&gt;[sound:""&amp;C961&amp;"".mp3]&lt;/div&gt;"""),"&lt;ruby&gt;神様&lt;rt&gt;かみさま&lt;/rt&gt;&lt;/ruby&gt;&lt;br&gt;&lt;div class=""audio""&gt;[sound:かみさま.mp3]&lt;/div&gt;")</f>
        <v>&lt;ruby&gt;神様&lt;rt&gt;かみさま&lt;/rt&gt;&lt;/ruby&gt;&lt;br&gt;&lt;div class="audio"&gt;[sound:かみさま.mp3]&lt;/div&gt;</v>
      </c>
      <c r="H961" s="3" t="str">
        <f t="shared" si="1"/>
        <v>(n): thần linh</v>
      </c>
      <c r="I961" s="6" t="s">
        <v>5221</v>
      </c>
      <c r="J961" s="6" t="s">
        <v>5222</v>
      </c>
      <c r="K961" s="7">
        <f t="shared" si="2"/>
        <v>0.642119851</v>
      </c>
    </row>
    <row r="962">
      <c r="A962" s="4">
        <v>962.0</v>
      </c>
      <c r="B962" s="5" t="s">
        <v>5223</v>
      </c>
      <c r="C962" s="5" t="s">
        <v>5224</v>
      </c>
      <c r="D962" s="5" t="s">
        <v>5225</v>
      </c>
      <c r="E962" s="6" t="s">
        <v>74</v>
      </c>
      <c r="F962" s="6" t="s">
        <v>5226</v>
      </c>
      <c r="G962" s="3" t="str">
        <f>IFERROR(__xludf.DUMMYFUNCTION("REGEXREPLACE(
D962,
""([一-龯々]+)\[([^\]]+)\]"",
""&lt;ruby&gt;$1&lt;rt&gt;$2&lt;/rt&gt;&lt;/ruby&gt;""
)&amp;""&lt;br&gt;&lt;div class=""""audio""""&gt;[sound:""&amp;C962&amp;"".mp3]&lt;/div&gt;"""),"&lt;ruby&gt;展開&lt;rt&gt;てんかい&lt;/rt&gt;&lt;/ruby&gt;&lt;br&gt;&lt;div class=""audio""&gt;[sound:てんかい.mp3]&lt;/div&gt;")</f>
        <v>&lt;ruby&gt;展開&lt;rt&gt;てんかい&lt;/rt&gt;&lt;/ruby&gt;&lt;br&gt;&lt;div class="audio"&gt;[sound:てんかい.mp3]&lt;/div&gt;</v>
      </c>
      <c r="H962" s="3" t="str">
        <f t="shared" si="1"/>
        <v>(n): triển khai</v>
      </c>
      <c r="I962" s="6" t="s">
        <v>5227</v>
      </c>
      <c r="J962" s="6" t="s">
        <v>5228</v>
      </c>
      <c r="K962" s="7">
        <f t="shared" si="2"/>
        <v>0.06983520729</v>
      </c>
    </row>
    <row r="963">
      <c r="A963" s="4">
        <v>963.0</v>
      </c>
      <c r="B963" s="5" t="s">
        <v>5229</v>
      </c>
      <c r="C963" s="5" t="s">
        <v>5230</v>
      </c>
      <c r="D963" s="5" t="s">
        <v>5231</v>
      </c>
      <c r="E963" s="6" t="s">
        <v>74</v>
      </c>
      <c r="F963" s="6" t="s">
        <v>5232</v>
      </c>
      <c r="G963" s="3" t="str">
        <f>IFERROR(__xludf.DUMMYFUNCTION("REGEXREPLACE(
D963,
""([一-龯々]+)\[([^\]]+)\]"",
""&lt;ruby&gt;$1&lt;rt&gt;$2&lt;/rt&gt;&lt;/ruby&gt;""
)&amp;""&lt;br&gt;&lt;div class=""""audio""""&gt;[sound:""&amp;C963&amp;"".mp3]&lt;/div&gt;"""),"&lt;ruby&gt;就職&lt;rt&gt;しゅうしょく&lt;/rt&gt;&lt;/ruby&gt;&lt;br&gt;&lt;div class=""audio""&gt;[sound:しゅうしょく.mp3]&lt;/div&gt;")</f>
        <v>&lt;ruby&gt;就職&lt;rt&gt;しゅうしょく&lt;/rt&gt;&lt;/ruby&gt;&lt;br&gt;&lt;div class="audio"&gt;[sound:しゅうしょく.mp3]&lt;/div&gt;</v>
      </c>
      <c r="H963" s="3" t="str">
        <f t="shared" si="1"/>
        <v>(n): tìm việc</v>
      </c>
      <c r="I963" s="6" t="s">
        <v>5233</v>
      </c>
      <c r="J963" s="6" t="s">
        <v>5234</v>
      </c>
      <c r="K963" s="7">
        <f t="shared" si="2"/>
        <v>0.4617680696</v>
      </c>
    </row>
    <row r="964">
      <c r="A964" s="4">
        <v>964.0</v>
      </c>
      <c r="B964" s="5" t="s">
        <v>5235</v>
      </c>
      <c r="C964" s="5" t="s">
        <v>5235</v>
      </c>
      <c r="D964" s="5" t="s">
        <v>5235</v>
      </c>
      <c r="E964" s="6" t="s">
        <v>90</v>
      </c>
      <c r="F964" s="6" t="s">
        <v>2299</v>
      </c>
      <c r="G964" s="3" t="str">
        <f>IFERROR(__xludf.DUMMYFUNCTION("REGEXREPLACE(
D964,
""([一-龯々]+)\[([^\]]+)\]"",
""&lt;ruby&gt;$1&lt;rt&gt;$2&lt;/rt&gt;&lt;/ruby&gt;""
)&amp;""&lt;br&gt;&lt;div class=""""audio""""&gt;[sound:""&amp;C964&amp;"".mp3]&lt;/div&gt;"""),"あるいは&lt;br&gt;&lt;div class=""audio""&gt;[sound:あるいは.mp3]&lt;/div&gt;")</f>
        <v>あるいは&lt;br&gt;&lt;div class="audio"&gt;[sound:あるいは.mp3]&lt;/div&gt;</v>
      </c>
      <c r="H964" s="3" t="str">
        <f t="shared" si="1"/>
        <v>(conj): hoặc</v>
      </c>
      <c r="I964" s="6" t="s">
        <v>5236</v>
      </c>
      <c r="J964" s="6" t="s">
        <v>5237</v>
      </c>
      <c r="K964" s="7">
        <f t="shared" si="2"/>
        <v>0.2520684845</v>
      </c>
    </row>
    <row r="965">
      <c r="A965" s="4">
        <v>965.0</v>
      </c>
      <c r="B965" s="5" t="s">
        <v>5238</v>
      </c>
      <c r="C965" s="5" t="s">
        <v>5238</v>
      </c>
      <c r="D965" s="5" t="s">
        <v>5238</v>
      </c>
      <c r="E965" s="6" t="s">
        <v>85</v>
      </c>
      <c r="F965" s="6" t="s">
        <v>5239</v>
      </c>
      <c r="G965" s="3" t="str">
        <f>IFERROR(__xludf.DUMMYFUNCTION("REGEXREPLACE(
D965,
""([一-龯々]+)\[([^\]]+)\]"",
""&lt;ruby&gt;$1&lt;rt&gt;$2&lt;/rt&gt;&lt;/ruby&gt;""
)&amp;""&lt;br&gt;&lt;div class=""""audio""""&gt;[sound:""&amp;C965&amp;"".mp3]&lt;/div&gt;"""),"いつまでも&lt;br&gt;&lt;div class=""audio""&gt;[sound:いつまでも.mp3]&lt;/div&gt;")</f>
        <v>いつまでも&lt;br&gt;&lt;div class="audio"&gt;[sound:いつまでも.mp3]&lt;/div&gt;</v>
      </c>
      <c r="H965" s="3" t="str">
        <f t="shared" si="1"/>
        <v>(adv): mãi mãi</v>
      </c>
      <c r="I965" s="6" t="s">
        <v>5240</v>
      </c>
      <c r="J965" s="6" t="s">
        <v>5241</v>
      </c>
      <c r="K965" s="7">
        <f t="shared" si="2"/>
        <v>0.9924289651</v>
      </c>
    </row>
    <row r="966">
      <c r="A966" s="4">
        <v>966.0</v>
      </c>
      <c r="B966" s="5" t="s">
        <v>5242</v>
      </c>
      <c r="C966" s="5" t="s">
        <v>5243</v>
      </c>
      <c r="D966" s="5" t="s">
        <v>5244</v>
      </c>
      <c r="E966" s="6" t="s">
        <v>74</v>
      </c>
      <c r="F966" s="6" t="s">
        <v>1996</v>
      </c>
      <c r="G966" s="3" t="str">
        <f>IFERROR(__xludf.DUMMYFUNCTION("REGEXREPLACE(
D966,
""([一-龯々]+)\[([^\]]+)\]"",
""&lt;ruby&gt;$1&lt;rt&gt;$2&lt;/rt&gt;&lt;/ruby&gt;""
)&amp;""&lt;br&gt;&lt;div class=""""audio""""&gt;[sound:""&amp;C966&amp;"".mp3]&lt;/div&gt;"""),"&lt;ruby&gt;市民&lt;rt&gt;しみん&lt;/rt&gt;&lt;/ruby&gt;&lt;br&gt;&lt;div class=""audio""&gt;[sound:しみん.mp3]&lt;/div&gt;")</f>
        <v>&lt;ruby&gt;市民&lt;rt&gt;しみん&lt;/rt&gt;&lt;/ruby&gt;&lt;br&gt;&lt;div class="audio"&gt;[sound:しみん.mp3]&lt;/div&gt;</v>
      </c>
      <c r="H966" s="3" t="str">
        <f t="shared" si="1"/>
        <v>(n): thành phố</v>
      </c>
      <c r="I966" s="6" t="s">
        <v>5245</v>
      </c>
      <c r="J966" s="6" t="s">
        <v>5246</v>
      </c>
      <c r="K966" s="7">
        <f t="shared" si="2"/>
        <v>0.8315880071</v>
      </c>
    </row>
    <row r="967">
      <c r="A967" s="4">
        <v>967.0</v>
      </c>
      <c r="B967" s="5" t="s">
        <v>5247</v>
      </c>
      <c r="C967" s="5" t="s">
        <v>5247</v>
      </c>
      <c r="D967" s="5" t="s">
        <v>5247</v>
      </c>
      <c r="E967" s="6" t="s">
        <v>90</v>
      </c>
      <c r="F967" s="6" t="s">
        <v>200</v>
      </c>
      <c r="G967" s="3" t="str">
        <f>IFERROR(__xludf.DUMMYFUNCTION("REGEXREPLACE(
D967,
""([一-龯々]+)\[([^\]]+)\]"",
""&lt;ruby&gt;$1&lt;rt&gt;$2&lt;/rt&gt;&lt;/ruby&gt;""
)&amp;""&lt;br&gt;&lt;div class=""""audio""""&gt;[sound:""&amp;C967&amp;"".mp3]&lt;/div&gt;"""),"なお&lt;br&gt;&lt;div class=""audio""&gt;[sound:なお.mp3]&lt;/div&gt;")</f>
        <v>なお&lt;br&gt;&lt;div class="audio"&gt;[sound:なお.mp3]&lt;/div&gt;</v>
      </c>
      <c r="H967" s="3" t="str">
        <f t="shared" si="1"/>
        <v>(conj): ngoài ra</v>
      </c>
      <c r="I967" s="6" t="s">
        <v>5248</v>
      </c>
      <c r="J967" s="6" t="s">
        <v>5249</v>
      </c>
      <c r="K967" s="7">
        <f t="shared" si="2"/>
        <v>0.1135223473</v>
      </c>
    </row>
    <row r="968">
      <c r="A968" s="4">
        <v>968.0</v>
      </c>
      <c r="B968" s="5" t="s">
        <v>5250</v>
      </c>
      <c r="C968" s="5" t="s">
        <v>5251</v>
      </c>
      <c r="D968" s="5" t="s">
        <v>5252</v>
      </c>
      <c r="E968" s="6" t="s">
        <v>74</v>
      </c>
      <c r="F968" s="6" t="s">
        <v>5253</v>
      </c>
      <c r="G968" s="3" t="str">
        <f>IFERROR(__xludf.DUMMYFUNCTION("REGEXREPLACE(
D968,
""([一-龯々]+)\[([^\]]+)\]"",
""&lt;ruby&gt;$1&lt;rt&gt;$2&lt;/rt&gt;&lt;/ruby&gt;""
)&amp;""&lt;br&gt;&lt;div class=""""audio""""&gt;[sound:""&amp;C968&amp;"".mp3]&lt;/div&gt;"""),"&lt;ruby&gt;小学生&lt;rt&gt;しょうがくせい&lt;/rt&gt;&lt;/ruby&gt;&lt;br&gt;&lt;div class=""audio""&gt;[sound:しょうがくせい.mp3]&lt;/div&gt;")</f>
        <v>&lt;ruby&gt;小学生&lt;rt&gt;しょうがくせい&lt;/rt&gt;&lt;/ruby&gt;&lt;br&gt;&lt;div class="audio"&gt;[sound:しょうがくせい.mp3]&lt;/div&gt;</v>
      </c>
      <c r="H968" s="3" t="str">
        <f t="shared" si="1"/>
        <v>(n): học sinh tiểu học</v>
      </c>
      <c r="I968" s="6" t="s">
        <v>5254</v>
      </c>
      <c r="J968" s="6" t="s">
        <v>5255</v>
      </c>
      <c r="K968" s="7">
        <f t="shared" si="2"/>
        <v>0.02293246253</v>
      </c>
    </row>
    <row r="969">
      <c r="A969" s="4">
        <v>969.0</v>
      </c>
      <c r="B969" s="5" t="s">
        <v>5256</v>
      </c>
      <c r="C969" s="5" t="s">
        <v>5256</v>
      </c>
      <c r="D969" s="5" t="s">
        <v>5256</v>
      </c>
      <c r="E969" s="6" t="s">
        <v>90</v>
      </c>
      <c r="F969" s="6" t="s">
        <v>91</v>
      </c>
      <c r="G969" s="3" t="str">
        <f>IFERROR(__xludf.DUMMYFUNCTION("REGEXREPLACE(
D969,
""([一-龯々]+)\[([^\]]+)\]"",
""&lt;ruby&gt;$1&lt;rt&gt;$2&lt;/rt&gt;&lt;/ruby&gt;""
)&amp;""&lt;br&gt;&lt;div class=""""audio""""&gt;[sound:""&amp;C969&amp;"".mp3]&lt;/div&gt;"""),"ところが&lt;br&gt;&lt;div class=""audio""&gt;[sound:ところが.mp3]&lt;/div&gt;")</f>
        <v>ところが&lt;br&gt;&lt;div class="audio"&gt;[sound:ところが.mp3]&lt;/div&gt;</v>
      </c>
      <c r="H969" s="3" t="str">
        <f t="shared" si="1"/>
        <v>(conj): nhưng</v>
      </c>
      <c r="I969" s="6" t="s">
        <v>5257</v>
      </c>
      <c r="J969" s="6" t="s">
        <v>5258</v>
      </c>
      <c r="K969" s="7">
        <f t="shared" si="2"/>
        <v>0.8956939882</v>
      </c>
    </row>
    <row r="970">
      <c r="A970" s="4">
        <v>970.0</v>
      </c>
      <c r="B970" s="5" t="s">
        <v>5259</v>
      </c>
      <c r="C970" s="5" t="s">
        <v>5260</v>
      </c>
      <c r="D970" s="5" t="s">
        <v>5261</v>
      </c>
      <c r="E970" s="6" t="s">
        <v>74</v>
      </c>
      <c r="F970" s="6" t="s">
        <v>960</v>
      </c>
      <c r="G970" s="3" t="str">
        <f>IFERROR(__xludf.DUMMYFUNCTION("REGEXREPLACE(
D970,
""([一-龯々]+)\[([^\]]+)\]"",
""&lt;ruby&gt;$1&lt;rt&gt;$2&lt;/rt&gt;&lt;/ruby&gt;""
)&amp;""&lt;br&gt;&lt;div class=""""audio""""&gt;[sound:""&amp;C970&amp;"".mp3]&lt;/div&gt;"""),"&lt;ruby&gt;可&lt;rt&gt;か&lt;/rt&gt;&lt;/ruby&gt;&lt;br&gt;&lt;div class=""audio""&gt;[sound:か.mp3]&lt;/div&gt;")</f>
        <v>&lt;ruby&gt;可&lt;rt&gt;か&lt;/rt&gt;&lt;/ruby&gt;&lt;br&gt;&lt;div class="audio"&gt;[sound:か.mp3]&lt;/div&gt;</v>
      </c>
      <c r="H970" s="3" t="str">
        <f t="shared" si="1"/>
        <v>(n): khá</v>
      </c>
      <c r="I970" s="6" t="s">
        <v>5262</v>
      </c>
      <c r="J970" s="6" t="s">
        <v>5263</v>
      </c>
      <c r="K970" s="7">
        <f t="shared" si="2"/>
        <v>0.3970086514</v>
      </c>
    </row>
    <row r="971">
      <c r="A971" s="4">
        <v>971.0</v>
      </c>
      <c r="B971" s="5" t="s">
        <v>5264</v>
      </c>
      <c r="C971" s="5" t="s">
        <v>5265</v>
      </c>
      <c r="D971" s="5" t="s">
        <v>5266</v>
      </c>
      <c r="E971" s="6" t="s">
        <v>74</v>
      </c>
      <c r="F971" s="6" t="s">
        <v>5267</v>
      </c>
      <c r="G971" s="3" t="str">
        <f>IFERROR(__xludf.DUMMYFUNCTION("REGEXREPLACE(
D971,
""([一-龯々]+)\[([^\]]+)\]"",
""&lt;ruby&gt;$1&lt;rt&gt;$2&lt;/rt&gt;&lt;/ruby&gt;""
)&amp;""&lt;br&gt;&lt;div class=""""audio""""&gt;[sound:""&amp;C971&amp;"".mp3]&lt;/div&gt;"""),"&lt;ruby&gt;夏休&lt;rt&gt;なつやす&lt;/rt&gt;&lt;/ruby&gt;み&lt;br&gt;&lt;div class=""audio""&gt;[sound:なつやすみ.mp3]&lt;/div&gt;")</f>
        <v>&lt;ruby&gt;夏休&lt;rt&gt;なつやす&lt;/rt&gt;&lt;/ruby&gt;み&lt;br&gt;&lt;div class="audio"&gt;[sound:なつやすみ.mp3]&lt;/div&gt;</v>
      </c>
      <c r="H971" s="3" t="str">
        <f t="shared" si="1"/>
        <v>(n): nghỉ hè</v>
      </c>
      <c r="I971" s="6" t="s">
        <v>5268</v>
      </c>
      <c r="J971" s="6" t="s">
        <v>5269</v>
      </c>
      <c r="K971" s="7">
        <f t="shared" si="2"/>
        <v>0.9273331444</v>
      </c>
    </row>
    <row r="972">
      <c r="A972" s="4">
        <v>972.0</v>
      </c>
      <c r="B972" s="5" t="s">
        <v>5270</v>
      </c>
      <c r="C972" s="5" t="s">
        <v>5271</v>
      </c>
      <c r="D972" s="5" t="s">
        <v>5272</v>
      </c>
      <c r="E972" s="6" t="s">
        <v>74</v>
      </c>
      <c r="F972" s="6" t="s">
        <v>5273</v>
      </c>
      <c r="G972" s="3" t="str">
        <f>IFERROR(__xludf.DUMMYFUNCTION("REGEXREPLACE(
D972,
""([一-龯々]+)\[([^\]]+)\]"",
""&lt;ruby&gt;$1&lt;rt&gt;$2&lt;/rt&gt;&lt;/ruby&gt;""
)&amp;""&lt;br&gt;&lt;div class=""""audio""""&gt;[sound:""&amp;C972&amp;"".mp3]&lt;/div&gt;"""),"&lt;ruby&gt;禁止&lt;rt&gt;きんし&lt;/rt&gt;&lt;/ruby&gt;&lt;br&gt;&lt;div class=""audio""&gt;[sound:きんし.mp3]&lt;/div&gt;")</f>
        <v>&lt;ruby&gt;禁止&lt;rt&gt;きんし&lt;/rt&gt;&lt;/ruby&gt;&lt;br&gt;&lt;div class="audio"&gt;[sound:きんし.mp3]&lt;/div&gt;</v>
      </c>
      <c r="H972" s="3" t="str">
        <f t="shared" si="1"/>
        <v>(n): cấm</v>
      </c>
      <c r="I972" s="6" t="s">
        <v>5274</v>
      </c>
      <c r="J972" s="6" t="s">
        <v>5275</v>
      </c>
      <c r="K972" s="7">
        <f t="shared" si="2"/>
        <v>0.6574645987</v>
      </c>
    </row>
    <row r="973">
      <c r="A973" s="4">
        <v>973.0</v>
      </c>
      <c r="B973" s="5" t="s">
        <v>5276</v>
      </c>
      <c r="C973" s="5" t="s">
        <v>5276</v>
      </c>
      <c r="D973" s="5" t="s">
        <v>5276</v>
      </c>
      <c r="E973" s="6" t="s">
        <v>85</v>
      </c>
      <c r="F973" s="6" t="s">
        <v>5277</v>
      </c>
      <c r="G973" s="3" t="str">
        <f>IFERROR(__xludf.DUMMYFUNCTION("REGEXREPLACE(
D973,
""([一-龯々]+)\[([^\]]+)\]"",
""&lt;ruby&gt;$1&lt;rt&gt;$2&lt;/rt&gt;&lt;/ruby&gt;""
)&amp;""&lt;br&gt;&lt;div class=""""audio""""&gt;[sound:""&amp;C973&amp;"".mp3]&lt;/div&gt;"""),"そういえば&lt;br&gt;&lt;div class=""audio""&gt;[sound:そういえば.mp3]&lt;/div&gt;")</f>
        <v>そういえば&lt;br&gt;&lt;div class="audio"&gt;[sound:そういえば.mp3]&lt;/div&gt;</v>
      </c>
      <c r="H973" s="3" t="str">
        <f t="shared" si="1"/>
        <v>(adv): nhắc mới nhớ</v>
      </c>
      <c r="I973" s="6" t="s">
        <v>5278</v>
      </c>
      <c r="J973" s="6" t="s">
        <v>5279</v>
      </c>
      <c r="K973" s="7">
        <f t="shared" si="2"/>
        <v>0.1284004155</v>
      </c>
    </row>
    <row r="974">
      <c r="A974" s="4">
        <v>974.0</v>
      </c>
      <c r="B974" s="5" t="s">
        <v>5280</v>
      </c>
      <c r="C974" s="5" t="s">
        <v>5281</v>
      </c>
      <c r="D974" s="5" t="s">
        <v>5282</v>
      </c>
      <c r="E974" s="6" t="s">
        <v>24</v>
      </c>
      <c r="F974" s="6" t="s">
        <v>5283</v>
      </c>
      <c r="G974" s="3" t="str">
        <f>IFERROR(__xludf.DUMMYFUNCTION("REGEXREPLACE(
D974,
""([一-龯々]+)\[([^\]]+)\]"",
""&lt;ruby&gt;$1&lt;rt&gt;$2&lt;/rt&gt;&lt;/ruby&gt;""
)&amp;""&lt;br&gt;&lt;div class=""""audio""""&gt;[sound:""&amp;C974&amp;"".mp3]&lt;/div&gt;"""),"&lt;ruby&gt;離&lt;rt&gt;はな&lt;/rt&gt;&lt;/ruby&gt;れる&lt;br&gt;&lt;div class=""audio""&gt;[sound:はなれる.mp3]&lt;/div&gt;")</f>
        <v>&lt;ruby&gt;離&lt;rt&gt;はな&lt;/rt&gt;&lt;/ruby&gt;れる&lt;br&gt;&lt;div class="audio"&gt;[sound:はなれる.mp3]&lt;/div&gt;</v>
      </c>
      <c r="H974" s="3" t="str">
        <f t="shared" si="1"/>
        <v>(v): xa cách</v>
      </c>
      <c r="I974" s="6" t="s">
        <v>5284</v>
      </c>
      <c r="J974" s="6" t="s">
        <v>5285</v>
      </c>
      <c r="K974" s="7">
        <f t="shared" si="2"/>
        <v>0.3185705735</v>
      </c>
    </row>
    <row r="975">
      <c r="A975" s="4">
        <v>975.0</v>
      </c>
      <c r="B975" s="5" t="s">
        <v>5286</v>
      </c>
      <c r="C975" s="5" t="s">
        <v>5286</v>
      </c>
      <c r="D975" s="5" t="s">
        <v>5286</v>
      </c>
      <c r="E975" s="6" t="s">
        <v>85</v>
      </c>
      <c r="F975" s="6" t="s">
        <v>5287</v>
      </c>
      <c r="G975" s="3" t="str">
        <f>IFERROR(__xludf.DUMMYFUNCTION("REGEXREPLACE(
D975,
""([一-龯々]+)\[([^\]]+)\]"",
""&lt;ruby&gt;$1&lt;rt&gt;$2&lt;/rt&gt;&lt;/ruby&gt;""
)&amp;""&lt;br&gt;&lt;div class=""""audio""""&gt;[sound:""&amp;C975&amp;"".mp3]&lt;/div&gt;"""),"たまに&lt;br&gt;&lt;div class=""audio""&gt;[sound:たまに.mp3]&lt;/div&gt;")</f>
        <v>たまに&lt;br&gt;&lt;div class="audio"&gt;[sound:たまに.mp3]&lt;/div&gt;</v>
      </c>
      <c r="H975" s="3" t="str">
        <f t="shared" si="1"/>
        <v>(adv): thỉnh thoảng</v>
      </c>
      <c r="I975" s="6" t="s">
        <v>5288</v>
      </c>
      <c r="J975" s="6" t="s">
        <v>5289</v>
      </c>
      <c r="K975" s="7">
        <f t="shared" si="2"/>
        <v>0.0510012798</v>
      </c>
    </row>
    <row r="976">
      <c r="A976" s="4">
        <v>976.0</v>
      </c>
      <c r="B976" s="5" t="s">
        <v>5290</v>
      </c>
      <c r="C976" s="5" t="s">
        <v>5291</v>
      </c>
      <c r="D976" s="5" t="s">
        <v>5292</v>
      </c>
      <c r="E976" s="6" t="s">
        <v>74</v>
      </c>
      <c r="F976" s="6" t="s">
        <v>5293</v>
      </c>
      <c r="G976" s="3" t="str">
        <f>IFERROR(__xludf.DUMMYFUNCTION("REGEXREPLACE(
D976,
""([一-龯々]+)\[([^\]]+)\]"",
""&lt;ruby&gt;$1&lt;rt&gt;$2&lt;/rt&gt;&lt;/ruby&gt;""
)&amp;""&lt;br&gt;&lt;div class=""""audio""""&gt;[sound:""&amp;C976&amp;"".mp3]&lt;/div&gt;"""),"&lt;ruby&gt;幅&lt;rt&gt;はば&lt;/rt&gt;&lt;/ruby&gt;&lt;br&gt;&lt;div class=""audio""&gt;[sound:はば.mp3]&lt;/div&gt;")</f>
        <v>&lt;ruby&gt;幅&lt;rt&gt;はば&lt;/rt&gt;&lt;/ruby&gt;&lt;br&gt;&lt;div class="audio"&gt;[sound:はば.mp3]&lt;/div&gt;</v>
      </c>
      <c r="H976" s="3" t="str">
        <f t="shared" si="1"/>
        <v>(n): chiều rộng</v>
      </c>
      <c r="I976" s="6" t="s">
        <v>5294</v>
      </c>
      <c r="J976" s="6" t="s">
        <v>5295</v>
      </c>
      <c r="K976" s="7">
        <f t="shared" si="2"/>
        <v>0.2781084298</v>
      </c>
    </row>
    <row r="977">
      <c r="A977" s="4">
        <v>977.0</v>
      </c>
      <c r="B977" s="5" t="s">
        <v>5296</v>
      </c>
      <c r="C977" s="5" t="s">
        <v>5296</v>
      </c>
      <c r="D977" s="5" t="s">
        <v>5296</v>
      </c>
      <c r="E977" s="6" t="s">
        <v>90</v>
      </c>
      <c r="F977" s="6" t="s">
        <v>5297</v>
      </c>
      <c r="G977" s="3" t="str">
        <f>IFERROR(__xludf.DUMMYFUNCTION("REGEXREPLACE(
D977,
""([一-龯々]+)\[([^\]]+)\]"",
""&lt;ruby&gt;$1&lt;rt&gt;$2&lt;/rt&gt;&lt;/ruby&gt;""
)&amp;""&lt;br&gt;&lt;div class=""""audio""""&gt;[sound:""&amp;C977&amp;"".mp3]&lt;/div&gt;"""),"ところで&lt;br&gt;&lt;div class=""audio""&gt;[sound:ところで.mp3]&lt;/div&gt;")</f>
        <v>ところで&lt;br&gt;&lt;div class="audio"&gt;[sound:ところで.mp3]&lt;/div&gt;</v>
      </c>
      <c r="H977" s="3" t="str">
        <f t="shared" si="1"/>
        <v>(conj): nhân tiện</v>
      </c>
      <c r="I977" s="6" t="s">
        <v>5298</v>
      </c>
      <c r="J977" s="6" t="s">
        <v>5299</v>
      </c>
      <c r="K977" s="7">
        <f t="shared" si="2"/>
        <v>0.8467308801</v>
      </c>
    </row>
    <row r="978">
      <c r="A978" s="4">
        <v>978.0</v>
      </c>
      <c r="B978" s="5" t="s">
        <v>5300</v>
      </c>
      <c r="C978" s="5" t="s">
        <v>5301</v>
      </c>
      <c r="D978" s="5" t="s">
        <v>5302</v>
      </c>
      <c r="E978" s="6" t="s">
        <v>24</v>
      </c>
      <c r="F978" s="6" t="s">
        <v>5303</v>
      </c>
      <c r="G978" s="3" t="str">
        <f>IFERROR(__xludf.DUMMYFUNCTION("REGEXREPLACE(
D978,
""([一-龯々]+)\[([^\]]+)\]"",
""&lt;ruby&gt;$1&lt;rt&gt;$2&lt;/rt&gt;&lt;/ruby&gt;""
)&amp;""&lt;br&gt;&lt;div class=""""audio""""&gt;[sound:""&amp;C978&amp;"".mp3]&lt;/div&gt;"""),"&lt;ruby&gt;聞&lt;rt&gt;き&lt;/rt&gt;&lt;/ruby&gt;こえる&lt;br&gt;&lt;div class=""audio""&gt;[sound:きこえる.mp3]&lt;/div&gt;")</f>
        <v>&lt;ruby&gt;聞&lt;rt&gt;き&lt;/rt&gt;&lt;/ruby&gt;こえる&lt;br&gt;&lt;div class="audio"&gt;[sound:きこえる.mp3]&lt;/div&gt;</v>
      </c>
      <c r="H978" s="3" t="str">
        <f t="shared" si="1"/>
        <v>(v): nghe thấy</v>
      </c>
      <c r="I978" s="6" t="s">
        <v>5304</v>
      </c>
      <c r="J978" s="6" t="s">
        <v>5305</v>
      </c>
      <c r="K978" s="7">
        <f t="shared" si="2"/>
        <v>0.5553402031</v>
      </c>
    </row>
    <row r="979">
      <c r="A979" s="4">
        <v>979.0</v>
      </c>
      <c r="B979" s="5" t="s">
        <v>5306</v>
      </c>
      <c r="C979" s="5" t="s">
        <v>5306</v>
      </c>
      <c r="D979" s="5" t="s">
        <v>5306</v>
      </c>
      <c r="E979" s="6" t="s">
        <v>90</v>
      </c>
      <c r="F979" s="6" t="s">
        <v>200</v>
      </c>
      <c r="G979" s="3" t="str">
        <f>IFERROR(__xludf.DUMMYFUNCTION("REGEXREPLACE(
D979,
""([一-龯々]+)\[([^\]]+)\]"",
""&lt;ruby&gt;$1&lt;rt&gt;$2&lt;/rt&gt;&lt;/ruby&gt;""
)&amp;""&lt;br&gt;&lt;div class=""""audio""""&gt;[sound:""&amp;C979&amp;"".mp3]&lt;/div&gt;"""),"それと&lt;br&gt;&lt;div class=""audio""&gt;[sound:それと.mp3]&lt;/div&gt;")</f>
        <v>それと&lt;br&gt;&lt;div class="audio"&gt;[sound:それと.mp3]&lt;/div&gt;</v>
      </c>
      <c r="H979" s="3" t="str">
        <f t="shared" si="1"/>
        <v>(conj): ngoài ra</v>
      </c>
      <c r="I979" s="6" t="s">
        <v>5307</v>
      </c>
      <c r="J979" s="6" t="s">
        <v>5308</v>
      </c>
      <c r="K979" s="7">
        <f t="shared" si="2"/>
        <v>0.1381785968</v>
      </c>
    </row>
    <row r="980">
      <c r="A980" s="4">
        <v>980.0</v>
      </c>
      <c r="B980" s="5" t="s">
        <v>5309</v>
      </c>
      <c r="C980" s="5" t="s">
        <v>5310</v>
      </c>
      <c r="D980" s="5" t="s">
        <v>5311</v>
      </c>
      <c r="E980" s="6" t="s">
        <v>74</v>
      </c>
      <c r="F980" s="6" t="s">
        <v>2698</v>
      </c>
      <c r="G980" s="3" t="str">
        <f>IFERROR(__xludf.DUMMYFUNCTION("REGEXREPLACE(
D980,
""([一-龯々]+)\[([^\]]+)\]"",
""&lt;ruby&gt;$1&lt;rt&gt;$2&lt;/rt&gt;&lt;/ruby&gt;""
)&amp;""&lt;br&gt;&lt;div class=""""audio""""&gt;[sound:""&amp;C980&amp;"".mp3]&lt;/div&gt;"""),"&lt;ruby&gt;役割&lt;rt&gt;やくわり&lt;/rt&gt;&lt;/ruby&gt;&lt;br&gt;&lt;div class=""audio""&gt;[sound:やくわり.mp3]&lt;/div&gt;")</f>
        <v>&lt;ruby&gt;役割&lt;rt&gt;やくわり&lt;/rt&gt;&lt;/ruby&gt;&lt;br&gt;&lt;div class="audio"&gt;[sound:やくわり.mp3]&lt;/div&gt;</v>
      </c>
      <c r="H980" s="3" t="str">
        <f t="shared" si="1"/>
        <v>(n): vai trò</v>
      </c>
      <c r="I980" s="6" t="s">
        <v>5312</v>
      </c>
      <c r="J980" s="6" t="s">
        <v>5313</v>
      </c>
      <c r="K980" s="7">
        <f t="shared" si="2"/>
        <v>0.332797212</v>
      </c>
    </row>
    <row r="981">
      <c r="A981" s="4">
        <v>981.0</v>
      </c>
      <c r="B981" s="5" t="s">
        <v>5314</v>
      </c>
      <c r="C981" s="5" t="s">
        <v>5315</v>
      </c>
      <c r="D981" s="5" t="s">
        <v>5314</v>
      </c>
      <c r="E981" s="6" t="s">
        <v>74</v>
      </c>
      <c r="F981" s="6" t="s">
        <v>5316</v>
      </c>
      <c r="G981" s="3" t="str">
        <f>IFERROR(__xludf.DUMMYFUNCTION("REGEXREPLACE(
D981,
""([一-龯々]+)\[([^\]]+)\]"",
""&lt;ruby&gt;$1&lt;rt&gt;$2&lt;/rt&gt;&lt;/ruby&gt;""
)&amp;""&lt;br&gt;&lt;div class=""""audio""""&gt;[sound:""&amp;C981&amp;"".mp3]&lt;/div&gt;"""),"プロ&lt;br&gt;&lt;div class=""audio""&gt;[sound:ぷろ.mp3]&lt;/div&gt;")</f>
        <v>プロ&lt;br&gt;&lt;div class="audio"&gt;[sound:ぷろ.mp3]&lt;/div&gt;</v>
      </c>
      <c r="H981" s="3" t="str">
        <f t="shared" si="1"/>
        <v>(n): chuyên nghiệp</v>
      </c>
      <c r="I981" s="6" t="s">
        <v>5317</v>
      </c>
      <c r="J981" s="6" t="s">
        <v>5318</v>
      </c>
      <c r="K981" s="7">
        <f t="shared" si="2"/>
        <v>0.04130676979</v>
      </c>
    </row>
    <row r="982">
      <c r="A982" s="4">
        <v>982.0</v>
      </c>
      <c r="B982" s="5" t="s">
        <v>5319</v>
      </c>
      <c r="C982" s="5" t="s">
        <v>5319</v>
      </c>
      <c r="D982" s="5" t="s">
        <v>5319</v>
      </c>
      <c r="E982" s="6" t="s">
        <v>24</v>
      </c>
      <c r="F982" s="6" t="s">
        <v>5320</v>
      </c>
      <c r="G982" s="3" t="str">
        <f>IFERROR(__xludf.DUMMYFUNCTION("REGEXREPLACE(
D982,
""([一-龯々]+)\[([^\]]+)\]"",
""&lt;ruby&gt;$1&lt;rt&gt;$2&lt;/rt&gt;&lt;/ruby&gt;""
)&amp;""&lt;br&gt;&lt;div class=""""audio""""&gt;[sound:""&amp;C982&amp;"".mp3]&lt;/div&gt;"""),"まとまる&lt;br&gt;&lt;div class=""audio""&gt;[sound:まとまる.mp3]&lt;/div&gt;")</f>
        <v>まとまる&lt;br&gt;&lt;div class="audio"&gt;[sound:まとまる.mp3]&lt;/div&gt;</v>
      </c>
      <c r="H982" s="3" t="str">
        <f t="shared" si="1"/>
        <v>(v): được thống nhất</v>
      </c>
      <c r="I982" s="6" t="s">
        <v>5321</v>
      </c>
      <c r="J982" s="6" t="s">
        <v>5322</v>
      </c>
      <c r="K982" s="7">
        <f t="shared" si="2"/>
        <v>0.2969128542</v>
      </c>
    </row>
    <row r="983">
      <c r="A983" s="4">
        <v>983.0</v>
      </c>
      <c r="B983" s="5" t="s">
        <v>5323</v>
      </c>
      <c r="C983" s="5" t="s">
        <v>5323</v>
      </c>
      <c r="D983" s="5" t="s">
        <v>5323</v>
      </c>
      <c r="E983" s="6" t="s">
        <v>85</v>
      </c>
      <c r="F983" s="6" t="s">
        <v>2146</v>
      </c>
      <c r="G983" s="3" t="str">
        <f>IFERROR(__xludf.DUMMYFUNCTION("REGEXREPLACE(
D983,
""([一-龯々]+)\[([^\]]+)\]"",
""&lt;ruby&gt;$1&lt;rt&gt;$2&lt;/rt&gt;&lt;/ruby&gt;""
)&amp;""&lt;br&gt;&lt;div class=""""audio""""&gt;[sound:""&amp;C983&amp;"".mp3]&lt;/div&gt;"""),"あんなに&lt;br&gt;&lt;div class=""audio""&gt;[sound:あんなに.mp3]&lt;/div&gt;")</f>
        <v>あんなに&lt;br&gt;&lt;div class="audio"&gt;[sound:あんなに.mp3]&lt;/div&gt;</v>
      </c>
      <c r="H983" s="3" t="str">
        <f t="shared" si="1"/>
        <v>(adv): đến thế</v>
      </c>
      <c r="I983" s="6" t="s">
        <v>5324</v>
      </c>
      <c r="J983" s="6" t="s">
        <v>5325</v>
      </c>
      <c r="K983" s="7">
        <f t="shared" si="2"/>
        <v>0.5750312555</v>
      </c>
    </row>
    <row r="984">
      <c r="A984" s="4">
        <v>984.0</v>
      </c>
      <c r="B984" s="5" t="s">
        <v>5326</v>
      </c>
      <c r="C984" s="5" t="s">
        <v>5327</v>
      </c>
      <c r="D984" s="5" t="s">
        <v>5328</v>
      </c>
      <c r="E984" s="6" t="s">
        <v>24</v>
      </c>
      <c r="F984" s="6" t="s">
        <v>5329</v>
      </c>
      <c r="G984" s="3" t="str">
        <f>IFERROR(__xludf.DUMMYFUNCTION("REGEXREPLACE(
D984,
""([一-龯々]+)\[([^\]]+)\]"",
""&lt;ruby&gt;$1&lt;rt&gt;$2&lt;/rt&gt;&lt;/ruby&gt;""
)&amp;""&lt;br&gt;&lt;div class=""""audio""""&gt;[sound:""&amp;C984&amp;"".mp3]&lt;/div&gt;"""),"&lt;ruby&gt;残&lt;rt&gt;のこ&lt;/rt&gt;&lt;/ruby&gt;る&lt;br&gt;&lt;div class=""audio""&gt;[sound:のこる.mp3]&lt;/div&gt;")</f>
        <v>&lt;ruby&gt;残&lt;rt&gt;のこ&lt;/rt&gt;&lt;/ruby&gt;る&lt;br&gt;&lt;div class="audio"&gt;[sound:のこる.mp3]&lt;/div&gt;</v>
      </c>
      <c r="H984" s="3" t="str">
        <f t="shared" si="1"/>
        <v>(v): còn lại</v>
      </c>
      <c r="I984" s="6" t="s">
        <v>5330</v>
      </c>
      <c r="J984" s="6" t="s">
        <v>5331</v>
      </c>
      <c r="K984" s="7">
        <f t="shared" si="2"/>
        <v>0.5900462182</v>
      </c>
    </row>
    <row r="985">
      <c r="A985" s="4">
        <v>985.0</v>
      </c>
      <c r="B985" s="5" t="s">
        <v>5332</v>
      </c>
      <c r="C985" s="5" t="s">
        <v>5333</v>
      </c>
      <c r="D985" s="5" t="s">
        <v>5334</v>
      </c>
      <c r="E985" s="6" t="s">
        <v>74</v>
      </c>
      <c r="F985" s="6" t="s">
        <v>5335</v>
      </c>
      <c r="G985" s="3" t="str">
        <f>IFERROR(__xludf.DUMMYFUNCTION("REGEXREPLACE(
D985,
""([一-龯々]+)\[([^\]]+)\]"",
""&lt;ruby&gt;$1&lt;rt&gt;$2&lt;/rt&gt;&lt;/ruby&gt;""
)&amp;""&lt;br&gt;&lt;div class=""""audio""""&gt;[sound:""&amp;C985&amp;"".mp3]&lt;/div&gt;"""),"&lt;ruby&gt;元&lt;rt&gt;もと&lt;/rt&gt;&lt;/ruby&gt;&lt;br&gt;&lt;div class=""audio""&gt;[sound:もと.mp3]&lt;/div&gt;")</f>
        <v>&lt;ruby&gt;元&lt;rt&gt;もと&lt;/rt&gt;&lt;/ruby&gt;&lt;br&gt;&lt;div class="audio"&gt;[sound:もと.mp3]&lt;/div&gt;</v>
      </c>
      <c r="H985" s="3" t="str">
        <f t="shared" si="1"/>
        <v>(n): nguyên bản</v>
      </c>
      <c r="I985" s="6" t="s">
        <v>5336</v>
      </c>
      <c r="J985" s="6" t="s">
        <v>5337</v>
      </c>
      <c r="K985" s="7">
        <f t="shared" si="2"/>
        <v>0.895674627</v>
      </c>
    </row>
    <row r="986">
      <c r="A986" s="4">
        <v>986.0</v>
      </c>
      <c r="B986" s="5" t="s">
        <v>5338</v>
      </c>
      <c r="C986" s="5" t="s">
        <v>5338</v>
      </c>
      <c r="D986" s="5" t="s">
        <v>5338</v>
      </c>
      <c r="E986" s="6" t="s">
        <v>85</v>
      </c>
      <c r="F986" s="6" t="s">
        <v>2244</v>
      </c>
      <c r="G986" s="3" t="str">
        <f>IFERROR(__xludf.DUMMYFUNCTION("REGEXREPLACE(
D986,
""([一-龯々]+)\[([^\]]+)\]"",
""&lt;ruby&gt;$1&lt;rt&gt;$2&lt;/rt&gt;&lt;/ruby&gt;""
)&amp;""&lt;br&gt;&lt;div class=""""audio""""&gt;[sound:""&amp;C986&amp;"".mp3]&lt;/div&gt;"""),"ともかく&lt;br&gt;&lt;div class=""audio""&gt;[sound:ともかく.mp3]&lt;/div&gt;")</f>
        <v>ともかく&lt;br&gt;&lt;div class="audio"&gt;[sound:ともかく.mp3]&lt;/div&gt;</v>
      </c>
      <c r="H986" s="3" t="str">
        <f t="shared" si="1"/>
        <v>(adv): dù sao</v>
      </c>
      <c r="I986" s="6" t="s">
        <v>5339</v>
      </c>
      <c r="J986" s="6" t="s">
        <v>5340</v>
      </c>
      <c r="K986" s="7">
        <f t="shared" si="2"/>
        <v>0.2669676231</v>
      </c>
    </row>
    <row r="987">
      <c r="A987" s="4">
        <v>987.0</v>
      </c>
      <c r="B987" s="5" t="s">
        <v>5341</v>
      </c>
      <c r="C987" s="5" t="s">
        <v>5342</v>
      </c>
      <c r="D987" s="5" t="s">
        <v>5343</v>
      </c>
      <c r="E987" s="6" t="s">
        <v>24</v>
      </c>
      <c r="F987" s="6" t="s">
        <v>5344</v>
      </c>
      <c r="G987" s="3" t="str">
        <f>IFERROR(__xludf.DUMMYFUNCTION("REGEXREPLACE(
D987,
""([一-龯々]+)\[([^\]]+)\]"",
""&lt;ruby&gt;$1&lt;rt&gt;$2&lt;/rt&gt;&lt;/ruby&gt;""
)&amp;""&lt;br&gt;&lt;div class=""""audio""""&gt;[sound:""&amp;C987&amp;"".mp3]&lt;/div&gt;"""),"&lt;ruby&gt;扱&lt;rt&gt;あつか&lt;/rt&gt;&lt;/ruby&gt;う&lt;br&gt;&lt;div class=""audio""&gt;[sound:あつかう.mp3]&lt;/div&gt;")</f>
        <v>&lt;ruby&gt;扱&lt;rt&gt;あつか&lt;/rt&gt;&lt;/ruby&gt;う&lt;br&gt;&lt;div class="audio"&gt;[sound:あつかう.mp3]&lt;/div&gt;</v>
      </c>
      <c r="H987" s="3" t="str">
        <f t="shared" si="1"/>
        <v>(v): đối xử</v>
      </c>
      <c r="I987" s="6" t="s">
        <v>5345</v>
      </c>
      <c r="J987" s="6" t="s">
        <v>5346</v>
      </c>
      <c r="K987" s="7">
        <f t="shared" si="2"/>
        <v>0.8916077954</v>
      </c>
    </row>
    <row r="988">
      <c r="A988" s="4">
        <v>988.0</v>
      </c>
      <c r="B988" s="5" t="s">
        <v>5347</v>
      </c>
      <c r="C988" s="5" t="s">
        <v>5348</v>
      </c>
      <c r="D988" s="5" t="s">
        <v>5349</v>
      </c>
      <c r="E988" s="6" t="s">
        <v>74</v>
      </c>
      <c r="F988" s="6" t="s">
        <v>5350</v>
      </c>
      <c r="G988" s="3" t="str">
        <f>IFERROR(__xludf.DUMMYFUNCTION("REGEXREPLACE(
D988,
""([一-龯々]+)\[([^\]]+)\]"",
""&lt;ruby&gt;$1&lt;rt&gt;$2&lt;/rt&gt;&lt;/ruby&gt;""
)&amp;""&lt;br&gt;&lt;div class=""""audio""""&gt;[sound:""&amp;C988&amp;"".mp3]&lt;/div&gt;"""),"&lt;ruby&gt;競争&lt;rt&gt;きょうそう&lt;/rt&gt;&lt;/ruby&gt;&lt;br&gt;&lt;div class=""audio""&gt;[sound:きょうそう.mp3]&lt;/div&gt;")</f>
        <v>&lt;ruby&gt;競争&lt;rt&gt;きょうそう&lt;/rt&gt;&lt;/ruby&gt;&lt;br&gt;&lt;div class="audio"&gt;[sound:きょうそう.mp3]&lt;/div&gt;</v>
      </c>
      <c r="H988" s="3" t="str">
        <f t="shared" si="1"/>
        <v>(n): cạnh tranh</v>
      </c>
      <c r="I988" s="6" t="s">
        <v>5351</v>
      </c>
      <c r="J988" s="6" t="s">
        <v>5352</v>
      </c>
      <c r="K988" s="7">
        <f t="shared" si="2"/>
        <v>0.3722853705</v>
      </c>
    </row>
    <row r="989">
      <c r="A989" s="4">
        <v>989.0</v>
      </c>
      <c r="B989" s="5" t="s">
        <v>5353</v>
      </c>
      <c r="C989" s="5" t="s">
        <v>5354</v>
      </c>
      <c r="D989" s="5" t="s">
        <v>5355</v>
      </c>
      <c r="E989" s="6" t="s">
        <v>24</v>
      </c>
      <c r="F989" s="6" t="s">
        <v>3559</v>
      </c>
      <c r="G989" s="3" t="str">
        <f>IFERROR(__xludf.DUMMYFUNCTION("REGEXREPLACE(
D989,
""([一-龯々]+)\[([^\]]+)\]"",
""&lt;ruby&gt;$1&lt;rt&gt;$2&lt;/rt&gt;&lt;/ruby&gt;""
)&amp;""&lt;br&gt;&lt;div class=""""audio""""&gt;[sound:""&amp;C989&amp;"".mp3]&lt;/div&gt;"""),"&lt;ruby&gt;任&lt;rt&gt;まか&lt;/rt&gt;&lt;/ruby&gt;せる&lt;br&gt;&lt;div class=""audio""&gt;[sound:まかせる.mp3]&lt;/div&gt;")</f>
        <v>&lt;ruby&gt;任&lt;rt&gt;まか&lt;/rt&gt;&lt;/ruby&gt;せる&lt;br&gt;&lt;div class="audio"&gt;[sound:まかせる.mp3]&lt;/div&gt;</v>
      </c>
      <c r="H989" s="3" t="str">
        <f t="shared" si="1"/>
        <v>(v): tin tưởng</v>
      </c>
      <c r="I989" s="6" t="s">
        <v>5356</v>
      </c>
      <c r="J989" s="6" t="s">
        <v>5357</v>
      </c>
      <c r="K989" s="7">
        <f t="shared" si="2"/>
        <v>0.05503732914</v>
      </c>
    </row>
    <row r="990">
      <c r="A990" s="4">
        <v>990.0</v>
      </c>
      <c r="B990" s="5" t="s">
        <v>5358</v>
      </c>
      <c r="C990" s="5" t="s">
        <v>5359</v>
      </c>
      <c r="D990" s="5" t="s">
        <v>5360</v>
      </c>
      <c r="E990" s="6" t="s">
        <v>74</v>
      </c>
      <c r="F990" s="6" t="s">
        <v>5361</v>
      </c>
      <c r="G990" s="3" t="str">
        <f>IFERROR(__xludf.DUMMYFUNCTION("REGEXREPLACE(
D990,
""([一-龯々]+)\[([^\]]+)\]"",
""&lt;ruby&gt;$1&lt;rt&gt;$2&lt;/rt&gt;&lt;/ruby&gt;""
)&amp;""&lt;br&gt;&lt;div class=""""audio""""&gt;[sound:""&amp;C990&amp;"".mp3]&lt;/div&gt;"""),"&lt;ruby&gt;被害&lt;rt&gt;ひがい&lt;/rt&gt;&lt;/ruby&gt;&lt;br&gt;&lt;div class=""audio""&gt;[sound:ひがい.mp3]&lt;/div&gt;")</f>
        <v>&lt;ruby&gt;被害&lt;rt&gt;ひがい&lt;/rt&gt;&lt;/ruby&gt;&lt;br&gt;&lt;div class="audio"&gt;[sound:ひがい.mp3]&lt;/div&gt;</v>
      </c>
      <c r="H990" s="3" t="str">
        <f t="shared" si="1"/>
        <v>(n): thiệt hại</v>
      </c>
      <c r="I990" s="6" t="s">
        <v>5362</v>
      </c>
      <c r="J990" s="6" t="s">
        <v>5363</v>
      </c>
      <c r="K990" s="7">
        <f t="shared" si="2"/>
        <v>0.8295919975</v>
      </c>
    </row>
    <row r="991">
      <c r="A991" s="4">
        <v>991.0</v>
      </c>
      <c r="B991" s="5" t="s">
        <v>5364</v>
      </c>
      <c r="C991" s="5" t="s">
        <v>5365</v>
      </c>
      <c r="D991" s="5" t="s">
        <v>5364</v>
      </c>
      <c r="E991" s="6" t="s">
        <v>74</v>
      </c>
      <c r="F991" s="6" t="s">
        <v>5366</v>
      </c>
      <c r="G991" s="3" t="str">
        <f>IFERROR(__xludf.DUMMYFUNCTION("REGEXREPLACE(
D991,
""([一-龯々]+)\[([^\]]+)\]"",
""&lt;ruby&gt;$1&lt;rt&gt;$2&lt;/rt&gt;&lt;/ruby&gt;""
)&amp;""&lt;br&gt;&lt;div class=""""audio""""&gt;[sound:""&amp;C991&amp;"".mp3]&lt;/div&gt;"""),"アウト&lt;br&gt;&lt;div class=""audio""&gt;[sound:あうと.mp3]&lt;/div&gt;")</f>
        <v>アウト&lt;br&gt;&lt;div class="audio"&gt;[sound:あうと.mp3]&lt;/div&gt;</v>
      </c>
      <c r="H991" s="3" t="str">
        <f t="shared" si="1"/>
        <v>(n): ra ngoài</v>
      </c>
      <c r="I991" s="6" t="s">
        <v>5367</v>
      </c>
      <c r="J991" s="6" t="s">
        <v>5368</v>
      </c>
      <c r="K991" s="7">
        <f t="shared" si="2"/>
        <v>0.5543535726</v>
      </c>
    </row>
    <row r="992">
      <c r="A992" s="4">
        <v>992.0</v>
      </c>
      <c r="B992" s="5" t="s">
        <v>5369</v>
      </c>
      <c r="C992" s="5" t="s">
        <v>5370</v>
      </c>
      <c r="D992" s="5" t="s">
        <v>5369</v>
      </c>
      <c r="E992" s="6" t="s">
        <v>74</v>
      </c>
      <c r="F992" s="6" t="s">
        <v>5371</v>
      </c>
      <c r="G992" s="3" t="str">
        <f>IFERROR(__xludf.DUMMYFUNCTION("REGEXREPLACE(
D992,
""([一-龯々]+)\[([^\]]+)\]"",
""&lt;ruby&gt;$1&lt;rt&gt;$2&lt;/rt&gt;&lt;/ruby&gt;""
)&amp;""&lt;br&gt;&lt;div class=""""audio""""&gt;[sound:""&amp;C992&amp;"".mp3]&lt;/div&gt;"""),"コート&lt;br&gt;&lt;div class=""audio""&gt;[sound:こーと.mp3]&lt;/div&gt;")</f>
        <v>コート&lt;br&gt;&lt;div class="audio"&gt;[sound:こーと.mp3]&lt;/div&gt;</v>
      </c>
      <c r="H992" s="3" t="str">
        <f t="shared" si="1"/>
        <v>(n): áo khoác</v>
      </c>
      <c r="I992" s="6" t="s">
        <v>5372</v>
      </c>
      <c r="J992" s="6" t="s">
        <v>5373</v>
      </c>
      <c r="K992" s="7">
        <f t="shared" si="2"/>
        <v>0.5444302054</v>
      </c>
    </row>
    <row r="993">
      <c r="A993" s="4">
        <v>993.0</v>
      </c>
      <c r="B993" s="5" t="s">
        <v>5374</v>
      </c>
      <c r="C993" s="5" t="s">
        <v>5375</v>
      </c>
      <c r="D993" s="5" t="s">
        <v>5376</v>
      </c>
      <c r="E993" s="6" t="s">
        <v>74</v>
      </c>
      <c r="F993" s="6" t="s">
        <v>5377</v>
      </c>
      <c r="G993" s="3" t="str">
        <f>IFERROR(__xludf.DUMMYFUNCTION("REGEXREPLACE(
D993,
""([一-龯々]+)\[([^\]]+)\]"",
""&lt;ruby&gt;$1&lt;rt&gt;$2&lt;/rt&gt;&lt;/ruby&gt;""
)&amp;""&lt;br&gt;&lt;div class=""""audio""""&gt;[sound:""&amp;C993&amp;"".mp3]&lt;/div&gt;"""),"&lt;ruby&gt;今週&lt;rt&gt;こんしゅう&lt;/rt&gt;&lt;/ruby&gt;&lt;br&gt;&lt;div class=""audio""&gt;[sound:こんしゅう.mp3]&lt;/div&gt;")</f>
        <v>&lt;ruby&gt;今週&lt;rt&gt;こんしゅう&lt;/rt&gt;&lt;/ruby&gt;&lt;br&gt;&lt;div class="audio"&gt;[sound:こんしゅう.mp3]&lt;/div&gt;</v>
      </c>
      <c r="H993" s="3" t="str">
        <f t="shared" si="1"/>
        <v>(n): tuần này</v>
      </c>
      <c r="I993" s="6" t="s">
        <v>5378</v>
      </c>
      <c r="J993" s="6" t="s">
        <v>5379</v>
      </c>
      <c r="K993" s="7">
        <f t="shared" si="2"/>
        <v>0.6056758966</v>
      </c>
    </row>
    <row r="994">
      <c r="A994" s="4">
        <v>994.0</v>
      </c>
      <c r="B994" s="5" t="s">
        <v>5380</v>
      </c>
      <c r="C994" s="5" t="s">
        <v>5381</v>
      </c>
      <c r="D994" s="5" t="s">
        <v>5382</v>
      </c>
      <c r="E994" s="6" t="s">
        <v>11</v>
      </c>
      <c r="F994" s="6" t="s">
        <v>3315</v>
      </c>
      <c r="G994" s="3" t="str">
        <f>IFERROR(__xludf.DUMMYFUNCTION("REGEXREPLACE(
D994,
""([一-龯々]+)\[([^\]]+)\]"",
""&lt;ruby&gt;$1&lt;rt&gt;$2&lt;/rt&gt;&lt;/ruby&gt;""
)&amp;""&lt;br&gt;&lt;div class=""""audio""""&gt;[sound:""&amp;C994&amp;"".mp3]&lt;/div&gt;"""),"&lt;ruby&gt;特別&lt;rt&gt;とくべつ&lt;/rt&gt;&lt;/ruby&gt;&lt;br&gt;&lt;div class=""audio""&gt;[sound:とくべつ.mp3]&lt;/div&gt;")</f>
        <v>&lt;ruby&gt;特別&lt;rt&gt;とくべつ&lt;/rt&gt;&lt;/ruby&gt;&lt;br&gt;&lt;div class="audio"&gt;[sound:とくべつ.mp3]&lt;/div&gt;</v>
      </c>
      <c r="H994" s="3" t="str">
        <f t="shared" si="1"/>
        <v>(adj): đặc biệt</v>
      </c>
      <c r="I994" s="6" t="s">
        <v>5383</v>
      </c>
      <c r="J994" s="6" t="s">
        <v>5384</v>
      </c>
      <c r="K994" s="7">
        <f t="shared" si="2"/>
        <v>0.0857845495</v>
      </c>
    </row>
    <row r="995">
      <c r="A995" s="4">
        <v>995.0</v>
      </c>
      <c r="B995" s="5" t="s">
        <v>5385</v>
      </c>
      <c r="C995" s="5" t="s">
        <v>5386</v>
      </c>
      <c r="D995" s="5" t="s">
        <v>5387</v>
      </c>
      <c r="E995" s="6" t="s">
        <v>74</v>
      </c>
      <c r="F995" s="6" t="s">
        <v>5388</v>
      </c>
      <c r="G995" s="3" t="str">
        <f>IFERROR(__xludf.DUMMYFUNCTION("REGEXREPLACE(
D995,
""([一-龯々]+)\[([^\]]+)\]"",
""&lt;ruby&gt;$1&lt;rt&gt;$2&lt;/rt&gt;&lt;/ruby&gt;""
)&amp;""&lt;br&gt;&lt;div class=""""audio""""&gt;[sound:""&amp;C995&amp;"".mp3]&lt;/div&gt;"""),"&lt;ruby&gt;笑顔&lt;rt&gt;えがお&lt;/rt&gt;&lt;/ruby&gt;&lt;br&gt;&lt;div class=""audio""&gt;[sound:えがお.mp3]&lt;/div&gt;")</f>
        <v>&lt;ruby&gt;笑顔&lt;rt&gt;えがお&lt;/rt&gt;&lt;/ruby&gt;&lt;br&gt;&lt;div class="audio"&gt;[sound:えがお.mp3]&lt;/div&gt;</v>
      </c>
      <c r="H995" s="3" t="str">
        <f t="shared" si="1"/>
        <v>(n): nụ cười</v>
      </c>
      <c r="I995" s="6" t="s">
        <v>5389</v>
      </c>
      <c r="J995" s="6" t="s">
        <v>5390</v>
      </c>
      <c r="K995" s="7">
        <f t="shared" si="2"/>
        <v>0.5832836426</v>
      </c>
    </row>
    <row r="996">
      <c r="A996" s="4">
        <v>996.0</v>
      </c>
      <c r="B996" s="5" t="s">
        <v>5391</v>
      </c>
      <c r="C996" s="5" t="s">
        <v>5392</v>
      </c>
      <c r="D996" s="5" t="s">
        <v>5393</v>
      </c>
      <c r="E996" s="6" t="s">
        <v>74</v>
      </c>
      <c r="F996" s="6" t="s">
        <v>5394</v>
      </c>
      <c r="G996" s="3" t="str">
        <f>IFERROR(__xludf.DUMMYFUNCTION("REGEXREPLACE(
D996,
""([一-龯々]+)\[([^\]]+)\]"",
""&lt;ruby&gt;$1&lt;rt&gt;$2&lt;/rt&gt;&lt;/ruby&gt;""
)&amp;""&lt;br&gt;&lt;div class=""""audio""""&gt;[sound:""&amp;C996&amp;"".mp3]&lt;/div&gt;"""),"&lt;ruby&gt;範囲&lt;rt&gt;はんい&lt;/rt&gt;&lt;/ruby&gt;&lt;br&gt;&lt;div class=""audio""&gt;[sound:はんい.mp3]&lt;/div&gt;")</f>
        <v>&lt;ruby&gt;範囲&lt;rt&gt;はんい&lt;/rt&gt;&lt;/ruby&gt;&lt;br&gt;&lt;div class="audio"&gt;[sound:はんい.mp3]&lt;/div&gt;</v>
      </c>
      <c r="H996" s="3" t="str">
        <f t="shared" si="1"/>
        <v>(n): phạm vi</v>
      </c>
      <c r="I996" s="6" t="s">
        <v>5395</v>
      </c>
      <c r="J996" s="6" t="s">
        <v>5396</v>
      </c>
      <c r="K996" s="7">
        <f t="shared" si="2"/>
        <v>0.2170726157</v>
      </c>
    </row>
    <row r="997">
      <c r="A997" s="4">
        <v>997.0</v>
      </c>
      <c r="B997" s="5" t="s">
        <v>5397</v>
      </c>
      <c r="C997" s="5" t="s">
        <v>5398</v>
      </c>
      <c r="D997" s="5" t="s">
        <v>5397</v>
      </c>
      <c r="E997" s="6" t="s">
        <v>74</v>
      </c>
      <c r="F997" s="6" t="s">
        <v>1538</v>
      </c>
      <c r="G997" s="3" t="str">
        <f>IFERROR(__xludf.DUMMYFUNCTION("REGEXREPLACE(
D997,
""([一-龯々]+)\[([^\]]+)\]"",
""&lt;ruby&gt;$1&lt;rt&gt;$2&lt;/rt&gt;&lt;/ruby&gt;""
)&amp;""&lt;br&gt;&lt;div class=""""audio""""&gt;[sound:""&amp;C997&amp;"".mp3]&lt;/div&gt;"""),"トップ&lt;br&gt;&lt;div class=""audio""&gt;[sound:とっぷ.mp3]&lt;/div&gt;")</f>
        <v>トップ&lt;br&gt;&lt;div class="audio"&gt;[sound:とっぷ.mp3]&lt;/div&gt;</v>
      </c>
      <c r="H997" s="3" t="str">
        <f t="shared" si="1"/>
        <v>(n): đầu</v>
      </c>
      <c r="I997" s="6" t="s">
        <v>5399</v>
      </c>
      <c r="J997" s="6" t="s">
        <v>5400</v>
      </c>
      <c r="K997" s="7">
        <f t="shared" si="2"/>
        <v>0.515702672</v>
      </c>
    </row>
    <row r="998">
      <c r="A998" s="4">
        <v>998.0</v>
      </c>
      <c r="B998" s="5" t="s">
        <v>5401</v>
      </c>
      <c r="C998" s="5" t="s">
        <v>5402</v>
      </c>
      <c r="D998" s="5" t="s">
        <v>5403</v>
      </c>
      <c r="E998" s="6" t="s">
        <v>11</v>
      </c>
      <c r="F998" s="6" t="s">
        <v>5404</v>
      </c>
      <c r="G998" s="3" t="str">
        <f>IFERROR(__xludf.DUMMYFUNCTION("REGEXREPLACE(
D998,
""([一-龯々]+)\[([^\]]+)\]"",
""&lt;ruby&gt;$1&lt;rt&gt;$2&lt;/rt&gt;&lt;/ruby&gt;""
)&amp;""&lt;br&gt;&lt;div class=""""audio""""&gt;[sound:""&amp;C998&amp;"".mp3]&lt;/div&gt;"""),"&lt;ruby&gt;仕方&lt;rt&gt;しかた&lt;/rt&gt;&lt;/ruby&gt;がない&lt;br&gt;&lt;div class=""audio""&gt;[sound:しかたがない.mp3]&lt;/div&gt;")</f>
        <v>&lt;ruby&gt;仕方&lt;rt&gt;しかた&lt;/rt&gt;&lt;/ruby&gt;がない&lt;br&gt;&lt;div class="audio"&gt;[sound:しかたがない.mp3]&lt;/div&gt;</v>
      </c>
      <c r="H998" s="3" t="str">
        <f t="shared" si="1"/>
        <v>(adj): không còn cách nào</v>
      </c>
      <c r="I998" s="6" t="s">
        <v>5405</v>
      </c>
      <c r="J998" s="6" t="s">
        <v>5406</v>
      </c>
      <c r="K998" s="7">
        <f t="shared" si="2"/>
        <v>0.4180519868</v>
      </c>
    </row>
    <row r="999">
      <c r="A999" s="4">
        <v>999.0</v>
      </c>
      <c r="B999" s="5" t="s">
        <v>5407</v>
      </c>
      <c r="C999" s="5" t="s">
        <v>5407</v>
      </c>
      <c r="D999" s="5" t="s">
        <v>5407</v>
      </c>
      <c r="E999" s="6" t="s">
        <v>44</v>
      </c>
      <c r="F999" s="6" t="s">
        <v>5408</v>
      </c>
      <c r="G999" s="3" t="str">
        <f>IFERROR(__xludf.DUMMYFUNCTION("REGEXREPLACE(
D999,
""([一-龯々]+)\[([^\]]+)\]"",
""&lt;ruby&gt;$1&lt;rt&gt;$2&lt;/rt&gt;&lt;/ruby&gt;""
)&amp;""&lt;br&gt;&lt;div class=""""audio""""&gt;[sound:""&amp;C999&amp;"".mp3]&lt;/div&gt;"""),"これら&lt;br&gt;&lt;div class=""audio""&gt;[sound:これら.mp3]&lt;/div&gt;")</f>
        <v>これら&lt;br&gt;&lt;div class="audio"&gt;[sound:これら.mp3]&lt;/div&gt;</v>
      </c>
      <c r="H999" s="3" t="str">
        <f t="shared" si="1"/>
        <v>(pron): những cái này</v>
      </c>
      <c r="I999" s="6" t="s">
        <v>5409</v>
      </c>
      <c r="J999" s="6" t="s">
        <v>5410</v>
      </c>
      <c r="K999" s="7">
        <f t="shared" si="2"/>
        <v>0.3406463254</v>
      </c>
    </row>
    <row r="1000">
      <c r="A1000" s="4">
        <v>1000.0</v>
      </c>
      <c r="B1000" s="5" t="s">
        <v>5411</v>
      </c>
      <c r="C1000" s="5" t="s">
        <v>5411</v>
      </c>
      <c r="D1000" s="5" t="s">
        <v>5411</v>
      </c>
      <c r="E1000" s="6" t="s">
        <v>85</v>
      </c>
      <c r="F1000" s="6" t="s">
        <v>5412</v>
      </c>
      <c r="G1000" s="3" t="str">
        <f>IFERROR(__xludf.DUMMYFUNCTION("REGEXREPLACE(
D1000,
""([一-龯々]+)\[([^\]]+)\]"",
""&lt;ruby&gt;$1&lt;rt&gt;$2&lt;/rt&gt;&lt;/ruby&gt;""
)&amp;""&lt;br&gt;&lt;div class=""""audio""""&gt;[sound:""&amp;C1000&amp;"".mp3]&lt;/div&gt;"""),"たしか&lt;br&gt;&lt;div class=""audio""&gt;[sound:たしか.mp3]&lt;/div&gt;")</f>
        <v>たしか&lt;br&gt;&lt;div class="audio"&gt;[sound:たしか.mp3]&lt;/div&gt;</v>
      </c>
      <c r="H1000" s="3" t="str">
        <f t="shared" si="1"/>
        <v>(adv): chắc chắn là</v>
      </c>
      <c r="I1000" s="6" t="s">
        <v>5413</v>
      </c>
      <c r="J1000" s="6" t="s">
        <v>5414</v>
      </c>
      <c r="K1000" s="7">
        <f t="shared" si="2"/>
        <v>0.4723051583</v>
      </c>
    </row>
    <row r="1001">
      <c r="A1001" s="4">
        <v>1001.0</v>
      </c>
      <c r="B1001" s="5" t="s">
        <v>5415</v>
      </c>
      <c r="C1001" s="5" t="s">
        <v>5416</v>
      </c>
      <c r="D1001" s="5" t="s">
        <v>5415</v>
      </c>
      <c r="E1001" s="6" t="s">
        <v>74</v>
      </c>
      <c r="F1001" s="6" t="s">
        <v>394</v>
      </c>
      <c r="G1001" s="3" t="str">
        <f>IFERROR(__xludf.DUMMYFUNCTION("REGEXREPLACE(
D1001,
""([一-龯々]+)\[([^\]]+)\]"",
""&lt;ruby&gt;$1&lt;rt&gt;$2&lt;/rt&gt;&lt;/ruby&gt;""
)&amp;""&lt;br&gt;&lt;div class=""""audio""""&gt;[sound:""&amp;C1001&amp;"".mp3]&lt;/div&gt;"""),"ケース&lt;br&gt;&lt;div class=""audio""&gt;[sound:けーす.mp3]&lt;/div&gt;")</f>
        <v>ケース&lt;br&gt;&lt;div class="audio"&gt;[sound:けーす.mp3]&lt;/div&gt;</v>
      </c>
      <c r="H1001" s="3" t="str">
        <f t="shared" si="1"/>
        <v>(n): trường hợp</v>
      </c>
      <c r="I1001" s="6" t="s">
        <v>5417</v>
      </c>
      <c r="J1001" s="6" t="s">
        <v>5418</v>
      </c>
      <c r="K1001" s="7">
        <f t="shared" si="2"/>
        <v>0.3942318821</v>
      </c>
    </row>
    <row r="1002">
      <c r="A1002" s="4">
        <v>1002.0</v>
      </c>
      <c r="B1002" s="5" t="s">
        <v>5419</v>
      </c>
      <c r="C1002" s="5" t="s">
        <v>5419</v>
      </c>
      <c r="D1002" s="5" t="s">
        <v>5419</v>
      </c>
      <c r="E1002" s="6" t="s">
        <v>85</v>
      </c>
      <c r="F1002" s="6" t="s">
        <v>5420</v>
      </c>
      <c r="G1002" s="3" t="str">
        <f>IFERROR(__xludf.DUMMYFUNCTION("REGEXREPLACE(
D1002,
""([一-龯々]+)\[([^\]]+)\]"",
""&lt;ruby&gt;$1&lt;rt&gt;$2&lt;/rt&gt;&lt;/ruby&gt;""
)&amp;""&lt;br&gt;&lt;div class=""""audio""""&gt;[sound:""&amp;C1002&amp;"".mp3]&lt;/div&gt;"""),"できれば&lt;br&gt;&lt;div class=""audio""&gt;[sound:できれば.mp3]&lt;/div&gt;")</f>
        <v>できれば&lt;br&gt;&lt;div class="audio"&gt;[sound:できれば.mp3]&lt;/div&gt;</v>
      </c>
      <c r="H1002" s="3" t="str">
        <f t="shared" si="1"/>
        <v>(adv): nếu có thể</v>
      </c>
      <c r="I1002" s="6" t="s">
        <v>5421</v>
      </c>
      <c r="J1002" s="6" t="s">
        <v>5422</v>
      </c>
      <c r="K1002" s="7">
        <f t="shared" si="2"/>
        <v>0.6177746554</v>
      </c>
    </row>
    <row r="1003">
      <c r="A1003" s="4">
        <v>1003.0</v>
      </c>
      <c r="B1003" s="5" t="s">
        <v>5423</v>
      </c>
      <c r="C1003" s="5" t="s">
        <v>5423</v>
      </c>
      <c r="D1003" s="5" t="s">
        <v>5423</v>
      </c>
      <c r="E1003" s="6" t="s">
        <v>85</v>
      </c>
      <c r="F1003" s="6" t="s">
        <v>5424</v>
      </c>
      <c r="G1003" s="3" t="str">
        <f>IFERROR(__xludf.DUMMYFUNCTION("REGEXREPLACE(
D1003,
""([一-龯々]+)\[([^\]]+)\]"",
""&lt;ruby&gt;$1&lt;rt&gt;$2&lt;/rt&gt;&lt;/ruby&gt;""
)&amp;""&lt;br&gt;&lt;div class=""""audio""""&gt;[sound:""&amp;C1003&amp;"".mp3]&lt;/div&gt;"""),"ますます&lt;br&gt;&lt;div class=""audio""&gt;[sound:ますます.mp3]&lt;/div&gt;")</f>
        <v>ますます&lt;br&gt;&lt;div class="audio"&gt;[sound:ますます.mp3]&lt;/div&gt;</v>
      </c>
      <c r="H1003" s="3" t="str">
        <f t="shared" si="1"/>
        <v>(adv): ngày càng</v>
      </c>
      <c r="I1003" s="6" t="s">
        <v>5425</v>
      </c>
      <c r="J1003" s="6" t="s">
        <v>5426</v>
      </c>
      <c r="K1003" s="7">
        <f t="shared" si="2"/>
        <v>0.3974799318</v>
      </c>
    </row>
    <row r="1004">
      <c r="A1004" s="4">
        <v>1004.0</v>
      </c>
      <c r="B1004" s="5" t="s">
        <v>5427</v>
      </c>
      <c r="C1004" s="5" t="s">
        <v>5428</v>
      </c>
      <c r="D1004" s="5" t="s">
        <v>5429</v>
      </c>
      <c r="E1004" s="6" t="s">
        <v>74</v>
      </c>
      <c r="F1004" s="6" t="s">
        <v>5430</v>
      </c>
      <c r="G1004" s="3" t="str">
        <f>IFERROR(__xludf.DUMMYFUNCTION("REGEXREPLACE(
D1004,
""([一-龯々]+)\[([^\]]+)\]"",
""&lt;ruby&gt;$1&lt;rt&gt;$2&lt;/rt&gt;&lt;/ruby&gt;""
)&amp;""&lt;br&gt;&lt;div class=""""audio""""&gt;[sound:""&amp;C1004&amp;"".mp3]&lt;/div&gt;"""),"&lt;ruby&gt;会話&lt;rt&gt;かいわ&lt;/rt&gt;&lt;/ruby&gt;&lt;br&gt;&lt;div class=""audio""&gt;[sound:かいわ.mp3]&lt;/div&gt;")</f>
        <v>&lt;ruby&gt;会話&lt;rt&gt;かいわ&lt;/rt&gt;&lt;/ruby&gt;&lt;br&gt;&lt;div class="audio"&gt;[sound:かいわ.mp3]&lt;/div&gt;</v>
      </c>
      <c r="H1004" s="3" t="str">
        <f t="shared" si="1"/>
        <v>(n): hội thoại</v>
      </c>
      <c r="I1004" s="6" t="s">
        <v>5431</v>
      </c>
      <c r="J1004" s="6" t="s">
        <v>5432</v>
      </c>
      <c r="K1004" s="7">
        <f t="shared" si="2"/>
        <v>0.6750755778</v>
      </c>
    </row>
    <row r="1005">
      <c r="A1005" s="4">
        <v>1005.0</v>
      </c>
      <c r="B1005" s="5" t="s">
        <v>5433</v>
      </c>
      <c r="C1005" s="5" t="s">
        <v>5434</v>
      </c>
      <c r="D1005" s="5" t="s">
        <v>5435</v>
      </c>
      <c r="E1005" s="6" t="s">
        <v>74</v>
      </c>
      <c r="F1005" s="6" t="s">
        <v>5436</v>
      </c>
      <c r="G1005" s="3" t="str">
        <f>IFERROR(__xludf.DUMMYFUNCTION("REGEXREPLACE(
D1005,
""([一-龯々]+)\[([^\]]+)\]"",
""&lt;ruby&gt;$1&lt;rt&gt;$2&lt;/rt&gt;&lt;/ruby&gt;""
)&amp;""&lt;br&gt;&lt;div class=""""audio""""&gt;[sound:""&amp;C1005&amp;"".mp3]&lt;/div&gt;"""),"&lt;ruby&gt;広告&lt;rt&gt;こうこく&lt;/rt&gt;&lt;/ruby&gt;&lt;br&gt;&lt;div class=""audio""&gt;[sound:こうこく.mp3]&lt;/div&gt;")</f>
        <v>&lt;ruby&gt;広告&lt;rt&gt;こうこく&lt;/rt&gt;&lt;/ruby&gt;&lt;br&gt;&lt;div class="audio"&gt;[sound:こうこく.mp3]&lt;/div&gt;</v>
      </c>
      <c r="H1005" s="3" t="str">
        <f t="shared" si="1"/>
        <v>(n): quảng cáo</v>
      </c>
      <c r="I1005" s="6" t="s">
        <v>5437</v>
      </c>
      <c r="J1005" s="6" t="s">
        <v>5438</v>
      </c>
      <c r="K1005" s="7">
        <f t="shared" si="2"/>
        <v>0.6887494475</v>
      </c>
    </row>
    <row r="1006">
      <c r="A1006" s="4">
        <v>1006.0</v>
      </c>
      <c r="B1006" s="5" t="s">
        <v>5439</v>
      </c>
      <c r="C1006" s="5" t="s">
        <v>5439</v>
      </c>
      <c r="D1006" s="5" t="s">
        <v>5439</v>
      </c>
      <c r="E1006" s="6" t="s">
        <v>74</v>
      </c>
      <c r="F1006" s="6" t="s">
        <v>5440</v>
      </c>
      <c r="G1006" s="3" t="str">
        <f>IFERROR(__xludf.DUMMYFUNCTION("REGEXREPLACE(
D1006,
""([一-龯々]+)\[([^\]]+)\]"",
""&lt;ruby&gt;$1&lt;rt&gt;$2&lt;/rt&gt;&lt;/ruby&gt;""
)&amp;""&lt;br&gt;&lt;div class=""""audio""""&gt;[sound:""&amp;C1006&amp;"".mp3]&lt;/div&gt;"""),"うどん&lt;br&gt;&lt;div class=""audio""&gt;[sound:うどん.mp3]&lt;/div&gt;")</f>
        <v>うどん&lt;br&gt;&lt;div class="audio"&gt;[sound:うどん.mp3]&lt;/div&gt;</v>
      </c>
      <c r="H1006" s="3" t="str">
        <f t="shared" si="1"/>
        <v>(n): mì udon</v>
      </c>
      <c r="I1006" s="6" t="s">
        <v>5441</v>
      </c>
      <c r="J1006" s="6" t="s">
        <v>5442</v>
      </c>
      <c r="K1006" s="7">
        <f t="shared" si="2"/>
        <v>0.8130223739</v>
      </c>
    </row>
    <row r="1007">
      <c r="A1007" s="4">
        <v>1007.0</v>
      </c>
      <c r="B1007" s="5" t="s">
        <v>5443</v>
      </c>
      <c r="C1007" s="5" t="s">
        <v>5444</v>
      </c>
      <c r="D1007" s="5" t="s">
        <v>5445</v>
      </c>
      <c r="E1007" s="6" t="s">
        <v>24</v>
      </c>
      <c r="F1007" s="6" t="s">
        <v>5446</v>
      </c>
      <c r="G1007" s="3" t="str">
        <f>IFERROR(__xludf.DUMMYFUNCTION("REGEXREPLACE(
D1007,
""([一-龯々]+)\[([^\]]+)\]"",
""&lt;ruby&gt;$1&lt;rt&gt;$2&lt;/rt&gt;&lt;/ruby&gt;""
)&amp;""&lt;br&gt;&lt;div class=""""audio""""&gt;[sound:""&amp;C1007&amp;"".mp3]&lt;/div&gt;"""),"&lt;ruby&gt;移&lt;rt&gt;うつ&lt;/rt&gt;&lt;/ruby&gt;る&lt;br&gt;&lt;div class=""audio""&gt;[sound:うつる.mp3]&lt;/div&gt;")</f>
        <v>&lt;ruby&gt;移&lt;rt&gt;うつ&lt;/rt&gt;&lt;/ruby&gt;る&lt;br&gt;&lt;div class="audio"&gt;[sound:うつる.mp3]&lt;/div&gt;</v>
      </c>
      <c r="H1007" s="3" t="str">
        <f t="shared" si="1"/>
        <v>(v): chuyển</v>
      </c>
      <c r="I1007" s="6" t="s">
        <v>5447</v>
      </c>
      <c r="J1007" s="6" t="s">
        <v>5448</v>
      </c>
      <c r="K1007" s="7">
        <f t="shared" si="2"/>
        <v>0.6002857872</v>
      </c>
    </row>
    <row r="1008">
      <c r="A1008" s="4">
        <v>1008.0</v>
      </c>
      <c r="B1008" s="5" t="s">
        <v>5449</v>
      </c>
      <c r="C1008" s="5" t="s">
        <v>5450</v>
      </c>
      <c r="D1008" s="5" t="s">
        <v>5451</v>
      </c>
      <c r="E1008" s="6" t="s">
        <v>24</v>
      </c>
      <c r="F1008" s="6" t="s">
        <v>5452</v>
      </c>
      <c r="G1008" s="3" t="str">
        <f>IFERROR(__xludf.DUMMYFUNCTION("REGEXREPLACE(
D1008,
""([一-龯々]+)\[([^\]]+)\]"",
""&lt;ruby&gt;$1&lt;rt&gt;$2&lt;/rt&gt;&lt;/ruby&gt;""
)&amp;""&lt;br&gt;&lt;div class=""""audio""""&gt;[sound:""&amp;C1008&amp;"".mp3]&lt;/div&gt;"""),"&lt;ruby&gt;慣&lt;rt&gt;な&lt;/rt&gt;&lt;/ruby&gt;れる&lt;br&gt;&lt;div class=""audio""&gt;[sound:なれる.mp3]&lt;/div&gt;")</f>
        <v>&lt;ruby&gt;慣&lt;rt&gt;な&lt;/rt&gt;&lt;/ruby&gt;れる&lt;br&gt;&lt;div class="audio"&gt;[sound:なれる.mp3]&lt;/div&gt;</v>
      </c>
      <c r="H1008" s="3" t="str">
        <f t="shared" si="1"/>
        <v>(v): quen</v>
      </c>
      <c r="I1008" s="6" t="s">
        <v>5453</v>
      </c>
      <c r="J1008" s="6" t="s">
        <v>5454</v>
      </c>
      <c r="K1008" s="7">
        <f t="shared" si="2"/>
        <v>0.09410120228</v>
      </c>
    </row>
    <row r="1009">
      <c r="A1009" s="4">
        <v>1009.0</v>
      </c>
      <c r="B1009" s="5" t="s">
        <v>5455</v>
      </c>
      <c r="C1009" s="5" t="s">
        <v>5455</v>
      </c>
      <c r="D1009" s="5" t="s">
        <v>5455</v>
      </c>
      <c r="E1009" s="6" t="s">
        <v>85</v>
      </c>
      <c r="F1009" s="6" t="s">
        <v>5456</v>
      </c>
      <c r="G1009" s="3" t="str">
        <f>IFERROR(__xludf.DUMMYFUNCTION("REGEXREPLACE(
D1009,
""([一-龯々]+)\[([^\]]+)\]"",
""&lt;ruby&gt;$1&lt;rt&gt;$2&lt;/rt&gt;&lt;/ruby&gt;""
)&amp;""&lt;br&gt;&lt;div class=""""audio""""&gt;[sound:""&amp;C1009&amp;"".mp3]&lt;/div&gt;"""),"やや&lt;br&gt;&lt;div class=""audio""&gt;[sound:やや.mp3]&lt;/div&gt;")</f>
        <v>やや&lt;br&gt;&lt;div class="audio"&gt;[sound:やや.mp3]&lt;/div&gt;</v>
      </c>
      <c r="H1009" s="3" t="str">
        <f t="shared" si="1"/>
        <v>(adv): hơi</v>
      </c>
      <c r="I1009" s="6" t="s">
        <v>5457</v>
      </c>
      <c r="J1009" s="6" t="s">
        <v>5458</v>
      </c>
      <c r="K1009" s="7">
        <f t="shared" si="2"/>
        <v>0.8594085769</v>
      </c>
    </row>
    <row r="1010">
      <c r="A1010" s="4">
        <v>1010.0</v>
      </c>
      <c r="B1010" s="5" t="s">
        <v>5459</v>
      </c>
      <c r="C1010" s="5" t="s">
        <v>5460</v>
      </c>
      <c r="D1010" s="5" t="s">
        <v>5459</v>
      </c>
      <c r="E1010" s="6" t="s">
        <v>74</v>
      </c>
      <c r="F1010" s="6" t="s">
        <v>5461</v>
      </c>
      <c r="G1010" s="3" t="str">
        <f>IFERROR(__xludf.DUMMYFUNCTION("REGEXREPLACE(
D1010,
""([一-龯々]+)\[([^\]]+)\]"",
""&lt;ruby&gt;$1&lt;rt&gt;$2&lt;/rt&gt;&lt;/ruby&gt;""
)&amp;""&lt;br&gt;&lt;div class=""""audio""""&gt;[sound:""&amp;C1010&amp;"".mp3]&lt;/div&gt;"""),"アンケート&lt;br&gt;&lt;div class=""audio""&gt;[sound:あんけーと.mp3]&lt;/div&gt;")</f>
        <v>アンケート&lt;br&gt;&lt;div class="audio"&gt;[sound:あんけーと.mp3]&lt;/div&gt;</v>
      </c>
      <c r="H1010" s="3" t="str">
        <f t="shared" si="1"/>
        <v>(n): bảng khảo sát</v>
      </c>
      <c r="I1010" s="6" t="s">
        <v>5462</v>
      </c>
      <c r="J1010" s="6" t="s">
        <v>5463</v>
      </c>
      <c r="K1010" s="7">
        <f t="shared" si="2"/>
        <v>0.9037602336</v>
      </c>
    </row>
    <row r="1011">
      <c r="A1011" s="4">
        <v>1011.0</v>
      </c>
      <c r="B1011" s="5" t="s">
        <v>5464</v>
      </c>
      <c r="C1011" s="5" t="s">
        <v>5465</v>
      </c>
      <c r="D1011" s="5" t="s">
        <v>5466</v>
      </c>
      <c r="E1011" s="6" t="s">
        <v>74</v>
      </c>
      <c r="F1011" s="6" t="s">
        <v>5467</v>
      </c>
      <c r="G1011" s="3" t="str">
        <f>IFERROR(__xludf.DUMMYFUNCTION("REGEXREPLACE(
D1011,
""([一-龯々]+)\[([^\]]+)\]"",
""&lt;ruby&gt;$1&lt;rt&gt;$2&lt;/rt&gt;&lt;/ruby&gt;""
)&amp;""&lt;br&gt;&lt;div class=""""audio""""&gt;[sound:""&amp;C1011&amp;"".mp3]&lt;/div&gt;"""),"&lt;ruby&gt;工業&lt;rt&gt;こうぎょう&lt;/rt&gt;&lt;/ruby&gt;&lt;br&gt;&lt;div class=""audio""&gt;[sound:こうぎょう.mp3]&lt;/div&gt;")</f>
        <v>&lt;ruby&gt;工業&lt;rt&gt;こうぎょう&lt;/rt&gt;&lt;/ruby&gt;&lt;br&gt;&lt;div class="audio"&gt;[sound:こうぎょう.mp3]&lt;/div&gt;</v>
      </c>
      <c r="H1011" s="3" t="str">
        <f t="shared" si="1"/>
        <v>(n): công nghiệp</v>
      </c>
      <c r="I1011" s="6" t="s">
        <v>5468</v>
      </c>
      <c r="J1011" s="6" t="s">
        <v>5469</v>
      </c>
      <c r="K1011" s="7">
        <f t="shared" si="2"/>
        <v>0.3321105333</v>
      </c>
    </row>
    <row r="1012">
      <c r="A1012" s="4">
        <v>1012.0</v>
      </c>
      <c r="B1012" s="5" t="s">
        <v>5470</v>
      </c>
      <c r="C1012" s="5" t="s">
        <v>5471</v>
      </c>
      <c r="D1012" s="5" t="s">
        <v>5472</v>
      </c>
      <c r="E1012" s="6" t="s">
        <v>74</v>
      </c>
      <c r="F1012" s="6" t="s">
        <v>5473</v>
      </c>
      <c r="G1012" s="3" t="str">
        <f>IFERROR(__xludf.DUMMYFUNCTION("REGEXREPLACE(
D1012,
""([一-龯々]+)\[([^\]]+)\]"",
""&lt;ruby&gt;$1&lt;rt&gt;$2&lt;/rt&gt;&lt;/ruby&gt;""
)&amp;""&lt;br&gt;&lt;div class=""""audio""""&gt;[sound:""&amp;C1012&amp;"".mp3]&lt;/div&gt;"""),"&lt;ruby&gt;責任&lt;rt&gt;せきにん&lt;/rt&gt;&lt;/ruby&gt;&lt;br&gt;&lt;div class=""audio""&gt;[sound:せきにん.mp3]&lt;/div&gt;")</f>
        <v>&lt;ruby&gt;責任&lt;rt&gt;せきにん&lt;/rt&gt;&lt;/ruby&gt;&lt;br&gt;&lt;div class="audio"&gt;[sound:せきにん.mp3]&lt;/div&gt;</v>
      </c>
      <c r="H1012" s="3" t="str">
        <f t="shared" si="1"/>
        <v>(n): trách nhiệm</v>
      </c>
      <c r="I1012" s="6" t="s">
        <v>5474</v>
      </c>
      <c r="J1012" s="6" t="s">
        <v>5475</v>
      </c>
      <c r="K1012" s="7">
        <f t="shared" si="2"/>
        <v>0.6237553948</v>
      </c>
    </row>
    <row r="1013">
      <c r="A1013" s="4">
        <v>1013.0</v>
      </c>
      <c r="B1013" s="5" t="s">
        <v>5476</v>
      </c>
      <c r="C1013" s="5" t="s">
        <v>5477</v>
      </c>
      <c r="D1013" s="5" t="s">
        <v>5478</v>
      </c>
      <c r="E1013" s="6" t="s">
        <v>74</v>
      </c>
      <c r="F1013" s="6" t="s">
        <v>5479</v>
      </c>
      <c r="G1013" s="3" t="str">
        <f>IFERROR(__xludf.DUMMYFUNCTION("REGEXREPLACE(
D1013,
""([一-龯々]+)\[([^\]]+)\]"",
""&lt;ruby&gt;$1&lt;rt&gt;$2&lt;/rt&gt;&lt;/ruby&gt;""
)&amp;""&lt;br&gt;&lt;div class=""""audio""""&gt;[sound:""&amp;C1013&amp;"".mp3]&lt;/div&gt;"""),"&lt;ruby&gt;状態&lt;rt&gt;じょうたい&lt;/rt&gt;&lt;/ruby&gt;&lt;br&gt;&lt;div class=""audio""&gt;[sound:じょうたい.mp3]&lt;/div&gt;")</f>
        <v>&lt;ruby&gt;状態&lt;rt&gt;じょうたい&lt;/rt&gt;&lt;/ruby&gt;&lt;br&gt;&lt;div class="audio"&gt;[sound:じょうたい.mp3]&lt;/div&gt;</v>
      </c>
      <c r="H1013" s="3" t="str">
        <f t="shared" si="1"/>
        <v>(n): trạng thái</v>
      </c>
      <c r="I1013" s="6" t="s">
        <v>5480</v>
      </c>
      <c r="J1013" s="6" t="s">
        <v>5481</v>
      </c>
      <c r="K1013" s="7">
        <f t="shared" si="2"/>
        <v>0.6441732374</v>
      </c>
    </row>
    <row r="1014">
      <c r="A1014" s="4">
        <v>1014.0</v>
      </c>
      <c r="B1014" s="5" t="s">
        <v>5482</v>
      </c>
      <c r="C1014" s="5" t="s">
        <v>5483</v>
      </c>
      <c r="D1014" s="5" t="s">
        <v>5482</v>
      </c>
      <c r="E1014" s="6" t="s">
        <v>74</v>
      </c>
      <c r="F1014" s="6" t="s">
        <v>3443</v>
      </c>
      <c r="G1014" s="3" t="str">
        <f>IFERROR(__xludf.DUMMYFUNCTION("REGEXREPLACE(
D1014,
""([一-龯々]+)\[([^\]]+)\]"",
""&lt;ruby&gt;$1&lt;rt&gt;$2&lt;/rt&gt;&lt;/ruby&gt;""
)&amp;""&lt;br&gt;&lt;div class=""""audio""""&gt;[sound:""&amp;C1014&amp;"".mp3]&lt;/div&gt;"""),"オフィス&lt;br&gt;&lt;div class=""audio""&gt;[sound:おふぃす.mp3]&lt;/div&gt;")</f>
        <v>オフィス&lt;br&gt;&lt;div class="audio"&gt;[sound:おふぃす.mp3]&lt;/div&gt;</v>
      </c>
      <c r="H1014" s="3" t="str">
        <f t="shared" si="1"/>
        <v>(n): văn phòng</v>
      </c>
      <c r="I1014" s="6" t="s">
        <v>5484</v>
      </c>
      <c r="J1014" s="6" t="s">
        <v>3445</v>
      </c>
      <c r="K1014" s="7">
        <f t="shared" si="2"/>
        <v>0.1068920345</v>
      </c>
    </row>
    <row r="1015">
      <c r="A1015" s="4">
        <v>1015.0</v>
      </c>
      <c r="B1015" s="5" t="s">
        <v>5485</v>
      </c>
      <c r="C1015" s="5" t="s">
        <v>5485</v>
      </c>
      <c r="D1015" s="5" t="s">
        <v>5485</v>
      </c>
      <c r="E1015" s="6" t="s">
        <v>11</v>
      </c>
      <c r="F1015" s="6" t="s">
        <v>5486</v>
      </c>
      <c r="G1015" s="3" t="str">
        <f>IFERROR(__xludf.DUMMYFUNCTION("REGEXREPLACE(
D1015,
""([一-龯々]+)\[([^\]]+)\]"",
""&lt;ruby&gt;$1&lt;rt&gt;$2&lt;/rt&gt;&lt;/ruby&gt;""
)&amp;""&lt;br&gt;&lt;div class=""""audio""""&gt;[sound:""&amp;C1015&amp;"".mp3]&lt;/div&gt;"""),"にぎやか&lt;br&gt;&lt;div class=""audio""&gt;[sound:にぎやか.mp3]&lt;/div&gt;")</f>
        <v>にぎやか&lt;br&gt;&lt;div class="audio"&gt;[sound:にぎやか.mp3]&lt;/div&gt;</v>
      </c>
      <c r="H1015" s="3" t="str">
        <f t="shared" si="1"/>
        <v>(adj): náo nhiệt</v>
      </c>
      <c r="I1015" s="6" t="s">
        <v>5487</v>
      </c>
      <c r="J1015" s="6" t="s">
        <v>5488</v>
      </c>
      <c r="K1015" s="7">
        <f t="shared" si="2"/>
        <v>0.490651269</v>
      </c>
    </row>
    <row r="1016">
      <c r="A1016" s="4">
        <v>1016.0</v>
      </c>
      <c r="B1016" s="5" t="s">
        <v>5489</v>
      </c>
      <c r="C1016" s="5" t="s">
        <v>5490</v>
      </c>
      <c r="D1016" s="5" t="s">
        <v>5491</v>
      </c>
      <c r="E1016" s="6" t="s">
        <v>24</v>
      </c>
      <c r="F1016" s="6" t="s">
        <v>5492</v>
      </c>
      <c r="G1016" s="3" t="str">
        <f>IFERROR(__xludf.DUMMYFUNCTION("REGEXREPLACE(
D1016,
""([一-龯々]+)\[([^\]]+)\]"",
""&lt;ruby&gt;$1&lt;rt&gt;$2&lt;/rt&gt;&lt;/ruby&gt;""
)&amp;""&lt;br&gt;&lt;div class=""""audio""""&gt;[sound:""&amp;C1016&amp;"".mp3]&lt;/div&gt;"""),"&lt;ruby&gt;悩&lt;rt&gt;なや&lt;/rt&gt;&lt;/ruby&gt;む&lt;br&gt;&lt;div class=""audio""&gt;[sound:なやむ.mp3]&lt;/div&gt;")</f>
        <v>&lt;ruby&gt;悩&lt;rt&gt;なや&lt;/rt&gt;&lt;/ruby&gt;む&lt;br&gt;&lt;div class="audio"&gt;[sound:なやむ.mp3]&lt;/div&gt;</v>
      </c>
      <c r="H1016" s="3" t="str">
        <f t="shared" si="1"/>
        <v>(v): phiền não</v>
      </c>
      <c r="I1016" s="6" t="s">
        <v>5493</v>
      </c>
      <c r="J1016" s="6" t="s">
        <v>5494</v>
      </c>
      <c r="K1016" s="7">
        <f t="shared" si="2"/>
        <v>0.3719715448</v>
      </c>
    </row>
    <row r="1017">
      <c r="A1017" s="4">
        <v>1017.0</v>
      </c>
      <c r="B1017" s="5" t="s">
        <v>5495</v>
      </c>
      <c r="C1017" s="5" t="s">
        <v>5496</v>
      </c>
      <c r="D1017" s="5" t="s">
        <v>5497</v>
      </c>
      <c r="E1017" s="6" t="s">
        <v>74</v>
      </c>
      <c r="F1017" s="6" t="s">
        <v>5498</v>
      </c>
      <c r="G1017" s="3" t="str">
        <f>IFERROR(__xludf.DUMMYFUNCTION("REGEXREPLACE(
D1017,
""([一-龯々]+)\[([^\]]+)\]"",
""&lt;ruby&gt;$1&lt;rt&gt;$2&lt;/rt&gt;&lt;/ruby&gt;""
)&amp;""&lt;br&gt;&lt;div class=""""audio""""&gt;[sound:""&amp;C1017&amp;"".mp3]&lt;/div&gt;"""),"&lt;ruby&gt;作品&lt;rt&gt;さくひん&lt;/rt&gt;&lt;/ruby&gt;&lt;br&gt;&lt;div class=""audio""&gt;[sound:さくひん.mp3]&lt;/div&gt;")</f>
        <v>&lt;ruby&gt;作品&lt;rt&gt;さくひん&lt;/rt&gt;&lt;/ruby&gt;&lt;br&gt;&lt;div class="audio"&gt;[sound:さくひん.mp3]&lt;/div&gt;</v>
      </c>
      <c r="H1017" s="3" t="str">
        <f t="shared" si="1"/>
        <v>(n): tác phẩm</v>
      </c>
      <c r="I1017" s="6" t="s">
        <v>5499</v>
      </c>
      <c r="J1017" s="6" t="s">
        <v>5500</v>
      </c>
      <c r="K1017" s="7">
        <f t="shared" si="2"/>
        <v>0.2601771477</v>
      </c>
    </row>
    <row r="1018">
      <c r="A1018" s="4">
        <v>1018.0</v>
      </c>
      <c r="B1018" s="5" t="s">
        <v>5501</v>
      </c>
      <c r="C1018" s="5" t="s">
        <v>5502</v>
      </c>
      <c r="D1018" s="5" t="s">
        <v>5503</v>
      </c>
      <c r="E1018" s="6" t="s">
        <v>74</v>
      </c>
      <c r="F1018" s="6" t="s">
        <v>5504</v>
      </c>
      <c r="G1018" s="3" t="str">
        <f>IFERROR(__xludf.DUMMYFUNCTION("REGEXREPLACE(
D1018,
""([一-龯々]+)\[([^\]]+)\]"",
""&lt;ruby&gt;$1&lt;rt&gt;$2&lt;/rt&gt;&lt;/ruby&gt;""
)&amp;""&lt;br&gt;&lt;div class=""""audio""""&gt;[sound:""&amp;C1018&amp;"".mp3]&lt;/div&gt;"""),"&lt;ruby&gt;健康&lt;rt&gt;けんこう&lt;/rt&gt;&lt;/ruby&gt;&lt;br&gt;&lt;div class=""audio""&gt;[sound:けんこう.mp3]&lt;/div&gt;")</f>
        <v>&lt;ruby&gt;健康&lt;rt&gt;けんこう&lt;/rt&gt;&lt;/ruby&gt;&lt;br&gt;&lt;div class="audio"&gt;[sound:けんこう.mp3]&lt;/div&gt;</v>
      </c>
      <c r="H1018" s="3" t="str">
        <f t="shared" si="1"/>
        <v>(n): sức khỏe</v>
      </c>
      <c r="I1018" s="6" t="s">
        <v>5505</v>
      </c>
      <c r="J1018" s="6" t="s">
        <v>5506</v>
      </c>
      <c r="K1018" s="7">
        <f t="shared" si="2"/>
        <v>0.5153465474</v>
      </c>
    </row>
    <row r="1019">
      <c r="A1019" s="4">
        <v>1019.0</v>
      </c>
      <c r="B1019" s="5" t="s">
        <v>5507</v>
      </c>
      <c r="C1019" s="5" t="s">
        <v>5508</v>
      </c>
      <c r="D1019" s="5" t="s">
        <v>5509</v>
      </c>
      <c r="E1019" s="6" t="s">
        <v>74</v>
      </c>
      <c r="F1019" s="6" t="s">
        <v>5510</v>
      </c>
      <c r="G1019" s="3" t="str">
        <f>IFERROR(__xludf.DUMMYFUNCTION("REGEXREPLACE(
D1019,
""([一-龯々]+)\[([^\]]+)\]"",
""&lt;ruby&gt;$1&lt;rt&gt;$2&lt;/rt&gt;&lt;/ruby&gt;""
)&amp;""&lt;br&gt;&lt;div class=""""audio""""&gt;[sound:""&amp;C1019&amp;"".mp3]&lt;/div&gt;"""),"&lt;ruby&gt;個人&lt;rt&gt;こじん&lt;/rt&gt;&lt;/ruby&gt;&lt;br&gt;&lt;div class=""audio""&gt;[sound:こじん.mp3]&lt;/div&gt;")</f>
        <v>&lt;ruby&gt;個人&lt;rt&gt;こじん&lt;/rt&gt;&lt;/ruby&gt;&lt;br&gt;&lt;div class="audio"&gt;[sound:こじん.mp3]&lt;/div&gt;</v>
      </c>
      <c r="H1019" s="3" t="str">
        <f t="shared" si="1"/>
        <v>(n): cá nhân</v>
      </c>
      <c r="I1019" s="6" t="s">
        <v>5511</v>
      </c>
      <c r="J1019" s="6" t="s">
        <v>5512</v>
      </c>
      <c r="K1019" s="7">
        <f t="shared" si="2"/>
        <v>0.8905676226</v>
      </c>
    </row>
    <row r="1020">
      <c r="A1020" s="4">
        <v>1020.0</v>
      </c>
      <c r="B1020" s="5" t="s">
        <v>5513</v>
      </c>
      <c r="C1020" s="5" t="s">
        <v>5514</v>
      </c>
      <c r="D1020" s="5" t="s">
        <v>5515</v>
      </c>
      <c r="E1020" s="6" t="s">
        <v>24</v>
      </c>
      <c r="F1020" s="6" t="s">
        <v>5516</v>
      </c>
      <c r="G1020" s="3" t="str">
        <f>IFERROR(__xludf.DUMMYFUNCTION("REGEXREPLACE(
D1020,
""([一-龯々]+)\[([^\]]+)\]"",
""&lt;ruby&gt;$1&lt;rt&gt;$2&lt;/rt&gt;&lt;/ruby&gt;""
)&amp;""&lt;br&gt;&lt;div class=""""audio""""&gt;[sound:""&amp;C1020&amp;"".mp3]&lt;/div&gt;"""),"&lt;ruby&gt;呼&lt;rt&gt;よ&lt;/rt&gt;&lt;/ruby&gt;び&lt;ruby&gt;掛&lt;rt&gt;か&lt;/rt&gt;&lt;/ruby&gt;ける&lt;br&gt;&lt;div class=""audio""&gt;[sound:よびかける.mp3]&lt;/div&gt;")</f>
        <v>&lt;ruby&gt;呼&lt;rt&gt;よ&lt;/rt&gt;&lt;/ruby&gt;び&lt;ruby&gt;掛&lt;rt&gt;か&lt;/rt&gt;&lt;/ruby&gt;ける&lt;br&gt;&lt;div class="audio"&gt;[sound:よびかける.mp3]&lt;/div&gt;</v>
      </c>
      <c r="H1020" s="3" t="str">
        <f t="shared" si="1"/>
        <v>(v): kêu gọi</v>
      </c>
      <c r="I1020" s="6" t="s">
        <v>5517</v>
      </c>
      <c r="J1020" s="6" t="s">
        <v>5518</v>
      </c>
      <c r="K1020" s="7">
        <f t="shared" si="2"/>
        <v>0.7590922586</v>
      </c>
    </row>
    <row r="1021">
      <c r="A1021" s="4">
        <v>1021.0</v>
      </c>
      <c r="B1021" s="5" t="s">
        <v>5519</v>
      </c>
      <c r="C1021" s="5" t="s">
        <v>5520</v>
      </c>
      <c r="D1021" s="5" t="s">
        <v>5521</v>
      </c>
      <c r="E1021" s="6" t="s">
        <v>74</v>
      </c>
      <c r="F1021" s="6" t="s">
        <v>5522</v>
      </c>
      <c r="G1021" s="3" t="str">
        <f>IFERROR(__xludf.DUMMYFUNCTION("REGEXREPLACE(
D1021,
""([一-龯々]+)\[([^\]]+)\]"",
""&lt;ruby&gt;$1&lt;rt&gt;$2&lt;/rt&gt;&lt;/ruby&gt;""
)&amp;""&lt;br&gt;&lt;div class=""""audio""""&gt;[sound:""&amp;C1021&amp;"".mp3]&lt;/div&gt;"""),"&lt;ruby&gt;仲間&lt;rt&gt;なかま&lt;/rt&gt;&lt;/ruby&gt;&lt;br&gt;&lt;div class=""audio""&gt;[sound:なかま.mp3]&lt;/div&gt;")</f>
        <v>&lt;ruby&gt;仲間&lt;rt&gt;なかま&lt;/rt&gt;&lt;/ruby&gt;&lt;br&gt;&lt;div class="audio"&gt;[sound:なかま.mp3]&lt;/div&gt;</v>
      </c>
      <c r="H1021" s="3" t="str">
        <f t="shared" si="1"/>
        <v>(n): bạn bè</v>
      </c>
      <c r="I1021" s="6" t="s">
        <v>5523</v>
      </c>
      <c r="J1021" s="6" t="s">
        <v>5524</v>
      </c>
      <c r="K1021" s="7">
        <f t="shared" si="2"/>
        <v>0.2743608082</v>
      </c>
    </row>
    <row r="1022">
      <c r="A1022" s="4">
        <v>1022.0</v>
      </c>
      <c r="B1022" s="5" t="s">
        <v>5525</v>
      </c>
      <c r="C1022" s="5" t="s">
        <v>5525</v>
      </c>
      <c r="D1022" s="5" t="s">
        <v>5525</v>
      </c>
      <c r="E1022" s="6" t="s">
        <v>11</v>
      </c>
      <c r="F1022" s="6" t="s">
        <v>578</v>
      </c>
      <c r="G1022" s="3" t="str">
        <f>IFERROR(__xludf.DUMMYFUNCTION("REGEXREPLACE(
D1022,
""([一-龯々]+)\[([^\]]+)\]"",
""&lt;ruby&gt;$1&lt;rt&gt;$2&lt;/rt&gt;&lt;/ruby&gt;""
)&amp;""&lt;br&gt;&lt;div class=""""audio""""&gt;[sound:""&amp;C1022&amp;"".mp3]&lt;/div&gt;"""),"よろしい&lt;br&gt;&lt;div class=""audio""&gt;[sound:よろしい.mp3]&lt;/div&gt;")</f>
        <v>よろしい&lt;br&gt;&lt;div class="audio"&gt;[sound:よろしい.mp3]&lt;/div&gt;</v>
      </c>
      <c r="H1022" s="3" t="str">
        <f t="shared" si="1"/>
        <v>(adj): tốt</v>
      </c>
      <c r="I1022" s="6" t="s">
        <v>5526</v>
      </c>
      <c r="J1022" s="6" t="s">
        <v>5527</v>
      </c>
      <c r="K1022" s="7">
        <f t="shared" si="2"/>
        <v>0.2834196004</v>
      </c>
    </row>
    <row r="1023">
      <c r="A1023" s="4">
        <v>1023.0</v>
      </c>
      <c r="B1023" s="5" t="s">
        <v>5528</v>
      </c>
      <c r="C1023" s="5" t="s">
        <v>5528</v>
      </c>
      <c r="D1023" s="5" t="s">
        <v>5528</v>
      </c>
      <c r="E1023" s="6" t="s">
        <v>85</v>
      </c>
      <c r="F1023" s="6" t="s">
        <v>5529</v>
      </c>
      <c r="G1023" s="3" t="str">
        <f>IFERROR(__xludf.DUMMYFUNCTION("REGEXREPLACE(
D1023,
""([一-龯々]+)\[([^\]]+)\]"",
""&lt;ruby&gt;$1&lt;rt&gt;$2&lt;/rt&gt;&lt;/ruby&gt;""
)&amp;""&lt;br&gt;&lt;div class=""""audio""""&gt;[sound:""&amp;C1023&amp;"".mp3]&lt;/div&gt;"""),"そのうち&lt;br&gt;&lt;div class=""audio""&gt;[sound:そのうち.mp3]&lt;/div&gt;")</f>
        <v>そのうち&lt;br&gt;&lt;div class="audio"&gt;[sound:そのうち.mp3]&lt;/div&gt;</v>
      </c>
      <c r="H1023" s="3" t="str">
        <f t="shared" si="1"/>
        <v>(adv): chẳng bao lâu</v>
      </c>
      <c r="I1023" s="6" t="s">
        <v>5530</v>
      </c>
      <c r="J1023" s="6" t="s">
        <v>5531</v>
      </c>
      <c r="K1023" s="7">
        <f t="shared" si="2"/>
        <v>0.6380045227</v>
      </c>
    </row>
    <row r="1024">
      <c r="A1024" s="4">
        <v>1024.0</v>
      </c>
      <c r="B1024" s="5" t="s">
        <v>5532</v>
      </c>
      <c r="C1024" s="5" t="s">
        <v>5533</v>
      </c>
      <c r="D1024" s="5" t="s">
        <v>5534</v>
      </c>
      <c r="E1024" s="6" t="s">
        <v>74</v>
      </c>
      <c r="F1024" s="6" t="s">
        <v>3366</v>
      </c>
      <c r="G1024" s="3" t="str">
        <f>IFERROR(__xludf.DUMMYFUNCTION("REGEXREPLACE(
D1024,
""([一-龯々]+)\[([^\]]+)\]"",
""&lt;ruby&gt;$1&lt;rt&gt;$2&lt;/rt&gt;&lt;/ruby&gt;""
)&amp;""&lt;br&gt;&lt;div class=""""audio""""&gt;[sound:""&amp;C1024&amp;"".mp3]&lt;/div&gt;"""),"&lt;ruby&gt;決定&lt;rt&gt;けってい&lt;/rt&gt;&lt;/ruby&gt;&lt;br&gt;&lt;div class=""audio""&gt;[sound:けってい.mp3]&lt;/div&gt;")</f>
        <v>&lt;ruby&gt;決定&lt;rt&gt;けってい&lt;/rt&gt;&lt;/ruby&gt;&lt;br&gt;&lt;div class="audio"&gt;[sound:けってい.mp3]&lt;/div&gt;</v>
      </c>
      <c r="H1024" s="3" t="str">
        <f t="shared" si="1"/>
        <v>(n): quyết định</v>
      </c>
      <c r="I1024" s="6" t="s">
        <v>5535</v>
      </c>
      <c r="J1024" s="6" t="s">
        <v>5536</v>
      </c>
      <c r="K1024" s="7">
        <f t="shared" si="2"/>
        <v>0.5587246426</v>
      </c>
    </row>
    <row r="1025">
      <c r="A1025" s="4">
        <v>1025.0</v>
      </c>
      <c r="B1025" s="5" t="s">
        <v>5537</v>
      </c>
      <c r="C1025" s="5" t="s">
        <v>5538</v>
      </c>
      <c r="D1025" s="5" t="s">
        <v>5539</v>
      </c>
      <c r="E1025" s="6" t="s">
        <v>74</v>
      </c>
      <c r="F1025" s="6" t="s">
        <v>2641</v>
      </c>
      <c r="G1025" s="3" t="str">
        <f>IFERROR(__xludf.DUMMYFUNCTION("REGEXREPLACE(
D1025,
""([一-龯々]+)\[([^\]]+)\]"",
""&lt;ruby&gt;$1&lt;rt&gt;$2&lt;/rt&gt;&lt;/ruby&gt;""
)&amp;""&lt;br&gt;&lt;div class=""""audio""""&gt;[sound:""&amp;C1025&amp;"".mp3]&lt;/div&gt;"""),"&lt;ruby&gt;海外&lt;rt&gt;かいがい&lt;/rt&gt;&lt;/ruby&gt;&lt;br&gt;&lt;div class=""audio""&gt;[sound:かいがい.mp3]&lt;/div&gt;")</f>
        <v>&lt;ruby&gt;海外&lt;rt&gt;かいがい&lt;/rt&gt;&lt;/ruby&gt;&lt;br&gt;&lt;div class="audio"&gt;[sound:かいがい.mp3]&lt;/div&gt;</v>
      </c>
      <c r="H1025" s="3" t="str">
        <f t="shared" si="1"/>
        <v>(n): nước ngoài</v>
      </c>
      <c r="I1025" s="6" t="s">
        <v>5540</v>
      </c>
      <c r="J1025" s="6" t="s">
        <v>5541</v>
      </c>
      <c r="K1025" s="7">
        <f t="shared" si="2"/>
        <v>0.9203949523</v>
      </c>
    </row>
    <row r="1026">
      <c r="A1026" s="4">
        <v>1026.0</v>
      </c>
      <c r="B1026" s="5" t="s">
        <v>5542</v>
      </c>
      <c r="C1026" s="5" t="s">
        <v>5543</v>
      </c>
      <c r="D1026" s="5" t="s">
        <v>5544</v>
      </c>
      <c r="E1026" s="6" t="s">
        <v>74</v>
      </c>
      <c r="F1026" s="6" t="s">
        <v>746</v>
      </c>
      <c r="G1026" s="3" t="str">
        <f>IFERROR(__xludf.DUMMYFUNCTION("REGEXREPLACE(
D1026,
""([一-龯々]+)\[([^\]]+)\]"",
""&lt;ruby&gt;$1&lt;rt&gt;$2&lt;/rt&gt;&lt;/ruby&gt;""
)&amp;""&lt;br&gt;&lt;div class=""""audio""""&gt;[sound:""&amp;C1026&amp;"".mp3]&lt;/div&gt;"""),"&lt;ruby&gt;作業&lt;rt&gt;さぎょう&lt;/rt&gt;&lt;/ruby&gt;&lt;br&gt;&lt;div class=""audio""&gt;[sound:さぎょう.mp3]&lt;/div&gt;")</f>
        <v>&lt;ruby&gt;作業&lt;rt&gt;さぎょう&lt;/rt&gt;&lt;/ruby&gt;&lt;br&gt;&lt;div class="audio"&gt;[sound:さぎょう.mp3]&lt;/div&gt;</v>
      </c>
      <c r="H1026" s="3" t="str">
        <f t="shared" si="1"/>
        <v>(n): công việc</v>
      </c>
      <c r="I1026" s="6" t="s">
        <v>5545</v>
      </c>
      <c r="J1026" s="6" t="s">
        <v>5546</v>
      </c>
      <c r="K1026" s="7">
        <f t="shared" si="2"/>
        <v>0.164843382</v>
      </c>
    </row>
    <row r="1027">
      <c r="A1027" s="4">
        <v>1027.0</v>
      </c>
      <c r="B1027" s="5" t="s">
        <v>5547</v>
      </c>
      <c r="C1027" s="5" t="s">
        <v>5548</v>
      </c>
      <c r="D1027" s="5" t="s">
        <v>5549</v>
      </c>
      <c r="E1027" s="6" t="s">
        <v>11</v>
      </c>
      <c r="F1027" s="6" t="s">
        <v>874</v>
      </c>
      <c r="G1027" s="3" t="str">
        <f>IFERROR(__xludf.DUMMYFUNCTION("REGEXREPLACE(
D1027,
""([一-龯々]+)\[([^\]]+)\]"",
""&lt;ruby&gt;$1&lt;rt&gt;$2&lt;/rt&gt;&lt;/ruby&gt;""
)&amp;""&lt;br&gt;&lt;div class=""""audio""""&gt;[sound:""&amp;C1027&amp;"".mp3]&lt;/div&gt;"""),"&lt;ruby&gt;確実&lt;rt&gt;かくじつ&lt;/rt&gt;&lt;/ruby&gt;&lt;br&gt;&lt;div class=""audio""&gt;[sound:かくじつ.mp3]&lt;/div&gt;")</f>
        <v>&lt;ruby&gt;確実&lt;rt&gt;かくじつ&lt;/rt&gt;&lt;/ruby&gt;&lt;br&gt;&lt;div class="audio"&gt;[sound:かくじつ.mp3]&lt;/div&gt;</v>
      </c>
      <c r="H1027" s="3" t="str">
        <f t="shared" si="1"/>
        <v>(adj): chắc chắn</v>
      </c>
      <c r="I1027" s="6" t="s">
        <v>5550</v>
      </c>
      <c r="J1027" s="6" t="s">
        <v>5551</v>
      </c>
      <c r="K1027" s="7">
        <f t="shared" si="2"/>
        <v>0.5224003655</v>
      </c>
    </row>
    <row r="1028">
      <c r="A1028" s="4">
        <v>1028.0</v>
      </c>
      <c r="B1028" s="5" t="s">
        <v>5552</v>
      </c>
      <c r="C1028" s="5" t="s">
        <v>5553</v>
      </c>
      <c r="D1028" s="5" t="s">
        <v>5554</v>
      </c>
      <c r="E1028" s="6" t="s">
        <v>74</v>
      </c>
      <c r="F1028" s="6" t="s">
        <v>5555</v>
      </c>
      <c r="G1028" s="3" t="str">
        <f>IFERROR(__xludf.DUMMYFUNCTION("REGEXREPLACE(
D1028,
""([一-龯々]+)\[([^\]]+)\]"",
""&lt;ruby&gt;$1&lt;rt&gt;$2&lt;/rt&gt;&lt;/ruby&gt;""
)&amp;""&lt;br&gt;&lt;div class=""""audio""""&gt;[sound:""&amp;C1028&amp;"".mp3]&lt;/div&gt;"""),"&lt;ruby&gt;裏&lt;rt&gt;うら&lt;/rt&gt;&lt;/ruby&gt;&lt;br&gt;&lt;div class=""audio""&gt;[sound:うら.mp3]&lt;/div&gt;")</f>
        <v>&lt;ruby&gt;裏&lt;rt&gt;うら&lt;/rt&gt;&lt;/ruby&gt;&lt;br&gt;&lt;div class="audio"&gt;[sound:うら.mp3]&lt;/div&gt;</v>
      </c>
      <c r="H1028" s="3" t="str">
        <f t="shared" si="1"/>
        <v>(n): mặt trong</v>
      </c>
      <c r="I1028" s="6" t="s">
        <v>5556</v>
      </c>
      <c r="J1028" s="6" t="s">
        <v>5557</v>
      </c>
      <c r="K1028" s="7">
        <f t="shared" si="2"/>
        <v>0.004045338427</v>
      </c>
    </row>
    <row r="1029">
      <c r="A1029" s="4">
        <v>1029.0</v>
      </c>
      <c r="B1029" s="5" t="s">
        <v>5558</v>
      </c>
      <c r="C1029" s="5" t="s">
        <v>5559</v>
      </c>
      <c r="D1029" s="5" t="s">
        <v>5558</v>
      </c>
      <c r="E1029" s="6" t="s">
        <v>74</v>
      </c>
      <c r="F1029" s="6" t="s">
        <v>5560</v>
      </c>
      <c r="G1029" s="3" t="str">
        <f>IFERROR(__xludf.DUMMYFUNCTION("REGEXREPLACE(
D1029,
""([一-龯々]+)\[([^\]]+)\]"",
""&lt;ruby&gt;$1&lt;rt&gt;$2&lt;/rt&gt;&lt;/ruby&gt;""
)&amp;""&lt;br&gt;&lt;div class=""""audio""""&gt;[sound:""&amp;C1029&amp;"".mp3]&lt;/div&gt;"""),"キャンプ&lt;br&gt;&lt;div class=""audio""&gt;[sound:きゃんぷ.mp3]&lt;/div&gt;")</f>
        <v>キャンプ&lt;br&gt;&lt;div class="audio"&gt;[sound:きゃんぷ.mp3]&lt;/div&gt;</v>
      </c>
      <c r="H1029" s="3" t="str">
        <f t="shared" si="1"/>
        <v>(n): cắm trại</v>
      </c>
      <c r="I1029" s="6" t="s">
        <v>5561</v>
      </c>
      <c r="J1029" s="6" t="s">
        <v>5562</v>
      </c>
      <c r="K1029" s="7">
        <f t="shared" si="2"/>
        <v>0.8390931512</v>
      </c>
    </row>
    <row r="1030">
      <c r="A1030" s="4">
        <v>1030.0</v>
      </c>
      <c r="B1030" s="5" t="s">
        <v>5563</v>
      </c>
      <c r="C1030" s="5" t="s">
        <v>5564</v>
      </c>
      <c r="D1030" s="5" t="s">
        <v>5565</v>
      </c>
      <c r="E1030" s="6" t="s">
        <v>24</v>
      </c>
      <c r="F1030" s="6" t="s">
        <v>5566</v>
      </c>
      <c r="G1030" s="3" t="str">
        <f>IFERROR(__xludf.DUMMYFUNCTION("REGEXREPLACE(
D1030,
""([一-龯々]+)\[([^\]]+)\]"",
""&lt;ruby&gt;$1&lt;rt&gt;$2&lt;/rt&gt;&lt;/ruby&gt;""
)&amp;""&lt;br&gt;&lt;div class=""""audio""""&gt;[sound:""&amp;C1030&amp;"".mp3]&lt;/div&gt;"""),"&lt;ruby&gt;引&lt;rt&gt;ひ&lt;/rt&gt;&lt;/ruby&gt;き&lt;ruby&gt;出&lt;rt&gt;だ&lt;/rt&gt;&lt;/ruby&gt;す&lt;br&gt;&lt;div class=""audio""&gt;[sound:ひきだす.mp3]&lt;/div&gt;")</f>
        <v>&lt;ruby&gt;引&lt;rt&gt;ひ&lt;/rt&gt;&lt;/ruby&gt;き&lt;ruby&gt;出&lt;rt&gt;だ&lt;/rt&gt;&lt;/ruby&gt;す&lt;br&gt;&lt;div class="audio"&gt;[sound:ひきだす.mp3]&lt;/div&gt;</v>
      </c>
      <c r="H1030" s="3" t="str">
        <f t="shared" si="1"/>
        <v>(v): rút tiền</v>
      </c>
      <c r="I1030" s="6" t="s">
        <v>5567</v>
      </c>
      <c r="J1030" s="6" t="s">
        <v>5568</v>
      </c>
      <c r="K1030" s="7">
        <f t="shared" si="2"/>
        <v>0.6505612275</v>
      </c>
    </row>
    <row r="1031">
      <c r="A1031" s="4">
        <v>1031.0</v>
      </c>
      <c r="B1031" s="5" t="s">
        <v>5569</v>
      </c>
      <c r="C1031" s="5" t="s">
        <v>5570</v>
      </c>
      <c r="D1031" s="5" t="s">
        <v>5571</v>
      </c>
      <c r="E1031" s="6" t="s">
        <v>74</v>
      </c>
      <c r="F1031" s="6" t="s">
        <v>5572</v>
      </c>
      <c r="G1031" s="3" t="str">
        <f>IFERROR(__xludf.DUMMYFUNCTION("REGEXREPLACE(
D1031,
""([一-龯々]+)\[([^\]]+)\]"",
""&lt;ruby&gt;$1&lt;rt&gt;$2&lt;/rt&gt;&lt;/ruby&gt;""
)&amp;""&lt;br&gt;&lt;div class=""""audio""""&gt;[sound:""&amp;C1031&amp;"".mp3]&lt;/div&gt;"""),"&lt;ruby&gt;準備&lt;rt&gt;じゅんび&lt;/rt&gt;&lt;/ruby&gt;&lt;br&gt;&lt;div class=""audio""&gt;[sound:じゅんび.mp3]&lt;/div&gt;")</f>
        <v>&lt;ruby&gt;準備&lt;rt&gt;じゅんび&lt;/rt&gt;&lt;/ruby&gt;&lt;br&gt;&lt;div class="audio"&gt;[sound:じゅんび.mp3]&lt;/div&gt;</v>
      </c>
      <c r="H1031" s="3" t="str">
        <f t="shared" si="1"/>
        <v>(n): chuẩn bị</v>
      </c>
      <c r="I1031" s="6" t="s">
        <v>5573</v>
      </c>
      <c r="J1031" s="6" t="s">
        <v>5574</v>
      </c>
      <c r="K1031" s="7">
        <f t="shared" si="2"/>
        <v>0.6239753575</v>
      </c>
    </row>
    <row r="1032">
      <c r="A1032" s="4">
        <v>1032.0</v>
      </c>
      <c r="B1032" s="5" t="s">
        <v>5575</v>
      </c>
      <c r="C1032" s="5" t="s">
        <v>5576</v>
      </c>
      <c r="D1032" s="5" t="s">
        <v>5577</v>
      </c>
      <c r="E1032" s="6" t="s">
        <v>74</v>
      </c>
      <c r="F1032" s="6" t="s">
        <v>1857</v>
      </c>
      <c r="G1032" s="3" t="str">
        <f>IFERROR(__xludf.DUMMYFUNCTION("REGEXREPLACE(
D1032,
""([一-龯々]+)\[([^\]]+)\]"",
""&lt;ruby&gt;$1&lt;rt&gt;$2&lt;/rt&gt;&lt;/ruby&gt;""
)&amp;""&lt;br&gt;&lt;div class=""""audio""""&gt;[sound:""&amp;C1032&amp;"".mp3]&lt;/div&gt;"""),"&lt;ruby&gt;製品&lt;rt&gt;せいひん&lt;/rt&gt;&lt;/ruby&gt;&lt;br&gt;&lt;div class=""audio""&gt;[sound:せいひん.mp3]&lt;/div&gt;")</f>
        <v>&lt;ruby&gt;製品&lt;rt&gt;せいひん&lt;/rt&gt;&lt;/ruby&gt;&lt;br&gt;&lt;div class="audio"&gt;[sound:せいひん.mp3]&lt;/div&gt;</v>
      </c>
      <c r="H1032" s="3" t="str">
        <f t="shared" si="1"/>
        <v>(n): sản phẩm</v>
      </c>
      <c r="I1032" s="6" t="s">
        <v>5578</v>
      </c>
      <c r="J1032" s="6" t="s">
        <v>5579</v>
      </c>
      <c r="K1032" s="7">
        <f t="shared" si="2"/>
        <v>0.6816317222</v>
      </c>
    </row>
    <row r="1033">
      <c r="A1033" s="4">
        <v>1033.0</v>
      </c>
      <c r="B1033" s="5" t="s">
        <v>5580</v>
      </c>
      <c r="C1033" s="5" t="s">
        <v>5580</v>
      </c>
      <c r="D1033" s="5" t="s">
        <v>5580</v>
      </c>
      <c r="E1033" s="6" t="s">
        <v>90</v>
      </c>
      <c r="F1033" s="6" t="s">
        <v>506</v>
      </c>
      <c r="G1033" s="3" t="str">
        <f>IFERROR(__xludf.DUMMYFUNCTION("REGEXREPLACE(
D1033,
""([一-龯々]+)\[([^\]]+)\]"",
""&lt;ruby&gt;$1&lt;rt&gt;$2&lt;/rt&gt;&lt;/ruby&gt;""
)&amp;""&lt;br&gt;&lt;div class=""""audio""""&gt;[sound:""&amp;C1033&amp;"".mp3]&lt;/div&gt;"""),"そのうえ&lt;br&gt;&lt;div class=""audio""&gt;[sound:そのうえ.mp3]&lt;/div&gt;")</f>
        <v>そのうえ&lt;br&gt;&lt;div class="audio"&gt;[sound:そのうえ.mp3]&lt;/div&gt;</v>
      </c>
      <c r="H1033" s="3" t="str">
        <f t="shared" si="1"/>
        <v>(conj): hơn nữa</v>
      </c>
      <c r="I1033" s="6" t="s">
        <v>5581</v>
      </c>
      <c r="J1033" s="6" t="s">
        <v>5582</v>
      </c>
      <c r="K1033" s="7">
        <f t="shared" si="2"/>
        <v>0.5759631703</v>
      </c>
    </row>
    <row r="1034">
      <c r="A1034" s="4">
        <v>1034.0</v>
      </c>
      <c r="B1034" s="5" t="s">
        <v>5583</v>
      </c>
      <c r="C1034" s="5" t="s">
        <v>5584</v>
      </c>
      <c r="D1034" s="5" t="s">
        <v>5585</v>
      </c>
      <c r="E1034" s="6" t="s">
        <v>11</v>
      </c>
      <c r="F1034" s="6" t="s">
        <v>2119</v>
      </c>
      <c r="G1034" s="3" t="str">
        <f>IFERROR(__xludf.DUMMYFUNCTION("REGEXREPLACE(
D1034,
""([一-龯々]+)\[([^\]]+)\]"",
""&lt;ruby&gt;$1&lt;rt&gt;$2&lt;/rt&gt;&lt;/ruby&gt;""
)&amp;""&lt;br&gt;&lt;div class=""""audio""""&gt;[sound:""&amp;C1034&amp;"".mp3]&lt;/div&gt;"""),"&lt;ruby&gt;不安&lt;rt&gt;ふあん&lt;/rt&gt;&lt;/ruby&gt;&lt;br&gt;&lt;div class=""audio""&gt;[sound:ふあん.mp3]&lt;/div&gt;")</f>
        <v>&lt;ruby&gt;不安&lt;rt&gt;ふあん&lt;/rt&gt;&lt;/ruby&gt;&lt;br&gt;&lt;div class="audio"&gt;[sound:ふあん.mp3]&lt;/div&gt;</v>
      </c>
      <c r="H1034" s="3" t="str">
        <f t="shared" si="1"/>
        <v>(adj): lo lắng</v>
      </c>
      <c r="I1034" s="6" t="s">
        <v>5586</v>
      </c>
      <c r="J1034" s="6" t="s">
        <v>5587</v>
      </c>
      <c r="K1034" s="7">
        <f t="shared" si="2"/>
        <v>0.8799447247</v>
      </c>
    </row>
    <row r="1035">
      <c r="A1035" s="4">
        <v>1035.0</v>
      </c>
      <c r="B1035" s="5" t="s">
        <v>5588</v>
      </c>
      <c r="C1035" s="5" t="s">
        <v>5589</v>
      </c>
      <c r="D1035" s="5" t="s">
        <v>5590</v>
      </c>
      <c r="E1035" s="6" t="s">
        <v>74</v>
      </c>
      <c r="F1035" s="6" t="s">
        <v>5591</v>
      </c>
      <c r="G1035" s="3" t="str">
        <f>IFERROR(__xludf.DUMMYFUNCTION("REGEXREPLACE(
D1035,
""([一-龯々]+)\[([^\]]+)\]"",
""&lt;ruby&gt;$1&lt;rt&gt;$2&lt;/rt&gt;&lt;/ruby&gt;""
)&amp;""&lt;br&gt;&lt;div class=""""audio""""&gt;[sound:""&amp;C1035&amp;"".mp3]&lt;/div&gt;"""),"&lt;ruby&gt;勉強&lt;rt&gt;べんきょう&lt;/rt&gt;&lt;/ruby&gt;&lt;br&gt;&lt;div class=""audio""&gt;[sound:べんきょう.mp3]&lt;/div&gt;")</f>
        <v>&lt;ruby&gt;勉強&lt;rt&gt;べんきょう&lt;/rt&gt;&lt;/ruby&gt;&lt;br&gt;&lt;div class="audio"&gt;[sound:べんきょう.mp3]&lt;/div&gt;</v>
      </c>
      <c r="H1035" s="3" t="str">
        <f t="shared" si="1"/>
        <v>(n): học tập</v>
      </c>
      <c r="I1035" s="6" t="s">
        <v>5592</v>
      </c>
      <c r="J1035" s="6" t="s">
        <v>5593</v>
      </c>
      <c r="K1035" s="7">
        <f t="shared" si="2"/>
        <v>0.1448649993</v>
      </c>
    </row>
    <row r="1036">
      <c r="A1036" s="4">
        <v>1036.0</v>
      </c>
      <c r="B1036" s="5" t="s">
        <v>5594</v>
      </c>
      <c r="C1036" s="5" t="s">
        <v>5595</v>
      </c>
      <c r="D1036" s="5" t="s">
        <v>5596</v>
      </c>
      <c r="E1036" s="6" t="s">
        <v>74</v>
      </c>
      <c r="F1036" s="6" t="s">
        <v>2353</v>
      </c>
      <c r="G1036" s="3" t="str">
        <f>IFERROR(__xludf.DUMMYFUNCTION("REGEXREPLACE(
D1036,
""([一-龯々]+)\[([^\]]+)\]"",
""&lt;ruby&gt;$1&lt;rt&gt;$2&lt;/rt&gt;&lt;/ruby&gt;""
)&amp;""&lt;br&gt;&lt;div class=""""audio""""&gt;[sound:""&amp;C1036&amp;"".mp3]&lt;/div&gt;"""),"&lt;ruby&gt;別&lt;rt&gt;べつ&lt;/rt&gt;&lt;/ruby&gt;&lt;br&gt;&lt;div class=""audio""&gt;[sound:べつ.mp3]&lt;/div&gt;")</f>
        <v>&lt;ruby&gt;別&lt;rt&gt;べつ&lt;/rt&gt;&lt;/ruby&gt;&lt;br&gt;&lt;div class="audio"&gt;[sound:べつ.mp3]&lt;/div&gt;</v>
      </c>
      <c r="H1036" s="3" t="str">
        <f t="shared" si="1"/>
        <v>(n): khác</v>
      </c>
      <c r="I1036" s="6" t="s">
        <v>5597</v>
      </c>
      <c r="J1036" s="6" t="s">
        <v>5598</v>
      </c>
      <c r="K1036" s="7">
        <f t="shared" si="2"/>
        <v>0.4397783751</v>
      </c>
    </row>
    <row r="1037">
      <c r="A1037" s="4">
        <v>1037.0</v>
      </c>
      <c r="B1037" s="5" t="s">
        <v>5599</v>
      </c>
      <c r="C1037" s="5" t="s">
        <v>5600</v>
      </c>
      <c r="D1037" s="5" t="s">
        <v>5601</v>
      </c>
      <c r="E1037" s="6" t="s">
        <v>74</v>
      </c>
      <c r="F1037" s="6" t="s">
        <v>5602</v>
      </c>
      <c r="G1037" s="3" t="str">
        <f>IFERROR(__xludf.DUMMYFUNCTION("REGEXREPLACE(
D1037,
""([一-龯々]+)\[([^\]]+)\]"",
""&lt;ruby&gt;$1&lt;rt&gt;$2&lt;/rt&gt;&lt;/ruby&gt;""
)&amp;""&lt;br&gt;&lt;div class=""""audio""""&gt;[sound:""&amp;C1037&amp;"".mp3]&lt;/div&gt;"""),"&lt;ruby&gt;方向&lt;rt&gt;ほうこう&lt;/rt&gt;&lt;/ruby&gt;&lt;br&gt;&lt;div class=""audio""&gt;[sound:ほうこう.mp3]&lt;/div&gt;")</f>
        <v>&lt;ruby&gt;方向&lt;rt&gt;ほうこう&lt;/rt&gt;&lt;/ruby&gt;&lt;br&gt;&lt;div class="audio"&gt;[sound:ほうこう.mp3]&lt;/div&gt;</v>
      </c>
      <c r="H1037" s="3" t="str">
        <f t="shared" si="1"/>
        <v>(n): phương hướng</v>
      </c>
      <c r="I1037" s="6" t="s">
        <v>5603</v>
      </c>
      <c r="J1037" s="6" t="s">
        <v>5604</v>
      </c>
      <c r="K1037" s="7">
        <f t="shared" si="2"/>
        <v>0.6822402086</v>
      </c>
    </row>
    <row r="1038">
      <c r="A1038" s="4">
        <v>1038.0</v>
      </c>
      <c r="B1038" s="5" t="s">
        <v>5605</v>
      </c>
      <c r="C1038" s="5" t="s">
        <v>5606</v>
      </c>
      <c r="D1038" s="5" t="s">
        <v>5605</v>
      </c>
      <c r="E1038" s="6" t="s">
        <v>74</v>
      </c>
      <c r="F1038" s="6" t="s">
        <v>5607</v>
      </c>
      <c r="G1038" s="3" t="str">
        <f>IFERROR(__xludf.DUMMYFUNCTION("REGEXREPLACE(
D1038,
""([一-龯々]+)\[([^\]]+)\]"",
""&lt;ruby&gt;$1&lt;rt&gt;$2&lt;/rt&gt;&lt;/ruby&gt;""
)&amp;""&lt;br&gt;&lt;div class=""""audio""""&gt;[sound:""&amp;C1038&amp;"".mp3]&lt;/div&gt;"""),"クリスマス&lt;br&gt;&lt;div class=""audio""&gt;[sound:くりすます.mp3]&lt;/div&gt;")</f>
        <v>クリスマス&lt;br&gt;&lt;div class="audio"&gt;[sound:くりすます.mp3]&lt;/div&gt;</v>
      </c>
      <c r="H1038" s="3" t="str">
        <f t="shared" si="1"/>
        <v>(n): giáng sinh</v>
      </c>
      <c r="I1038" s="6" t="s">
        <v>5608</v>
      </c>
      <c r="J1038" s="6" t="s">
        <v>5609</v>
      </c>
      <c r="K1038" s="7">
        <f t="shared" si="2"/>
        <v>0.8321975414</v>
      </c>
    </row>
    <row r="1039">
      <c r="A1039" s="4">
        <v>1039.0</v>
      </c>
      <c r="B1039" s="5" t="s">
        <v>5610</v>
      </c>
      <c r="C1039" s="5" t="s">
        <v>5611</v>
      </c>
      <c r="D1039" s="5" t="s">
        <v>5612</v>
      </c>
      <c r="E1039" s="6" t="s">
        <v>74</v>
      </c>
      <c r="F1039" s="6" t="s">
        <v>5613</v>
      </c>
      <c r="G1039" s="3" t="str">
        <f>IFERROR(__xludf.DUMMYFUNCTION("REGEXREPLACE(
D1039,
""([一-龯々]+)\[([^\]]+)\]"",
""&lt;ruby&gt;$1&lt;rt&gt;$2&lt;/rt&gt;&lt;/ruby&gt;""
)&amp;""&lt;br&gt;&lt;div class=""""audio""""&gt;[sound:""&amp;C1039&amp;"".mp3]&lt;/div&gt;"""),"&lt;ruby&gt;平均&lt;rt&gt;へいきん&lt;/rt&gt;&lt;/ruby&gt;&lt;br&gt;&lt;div class=""audio""&gt;[sound:へいきん.mp3]&lt;/div&gt;")</f>
        <v>&lt;ruby&gt;平均&lt;rt&gt;へいきん&lt;/rt&gt;&lt;/ruby&gt;&lt;br&gt;&lt;div class="audio"&gt;[sound:へいきん.mp3]&lt;/div&gt;</v>
      </c>
      <c r="H1039" s="3" t="str">
        <f t="shared" si="1"/>
        <v>(n): trung bình</v>
      </c>
      <c r="I1039" s="6" t="s">
        <v>5614</v>
      </c>
      <c r="J1039" s="6" t="s">
        <v>5615</v>
      </c>
      <c r="K1039" s="7">
        <f t="shared" si="2"/>
        <v>0.9376842312</v>
      </c>
    </row>
    <row r="1040">
      <c r="A1040" s="4">
        <v>1040.0</v>
      </c>
      <c r="B1040" s="5" t="s">
        <v>5616</v>
      </c>
      <c r="C1040" s="5" t="s">
        <v>5617</v>
      </c>
      <c r="D1040" s="5" t="s">
        <v>5618</v>
      </c>
      <c r="E1040" s="6" t="s">
        <v>24</v>
      </c>
      <c r="F1040" s="6" t="s">
        <v>5619</v>
      </c>
      <c r="G1040" s="3" t="str">
        <f>IFERROR(__xludf.DUMMYFUNCTION("REGEXREPLACE(
D1040,
""([一-龯々]+)\[([^\]]+)\]"",
""&lt;ruby&gt;$1&lt;rt&gt;$2&lt;/rt&gt;&lt;/ruby&gt;""
)&amp;""&lt;br&gt;&lt;div class=""""audio""""&gt;[sound:""&amp;C1040&amp;"".mp3]&lt;/div&gt;"""),"&lt;ruby&gt;当&lt;rt&gt;あ&lt;/rt&gt;&lt;/ruby&gt;てる&lt;br&gt;&lt;div class=""audio""&gt;[sound:あてる.mp3]&lt;/div&gt;")</f>
        <v>&lt;ruby&gt;当&lt;rt&gt;あ&lt;/rt&gt;&lt;/ruby&gt;てる&lt;br&gt;&lt;div class="audio"&gt;[sound:あてる.mp3]&lt;/div&gt;</v>
      </c>
      <c r="H1040" s="3" t="str">
        <f t="shared" si="1"/>
        <v>(v): đánh trúng</v>
      </c>
      <c r="I1040" s="6" t="s">
        <v>5620</v>
      </c>
      <c r="J1040" s="6" t="s">
        <v>5621</v>
      </c>
      <c r="K1040" s="7">
        <f t="shared" si="2"/>
        <v>0.9493910695</v>
      </c>
    </row>
    <row r="1041">
      <c r="A1041" s="4">
        <v>1041.0</v>
      </c>
      <c r="B1041" s="5" t="s">
        <v>5622</v>
      </c>
      <c r="C1041" s="5" t="s">
        <v>5623</v>
      </c>
      <c r="D1041" s="5" t="s">
        <v>5622</v>
      </c>
      <c r="E1041" s="6" t="s">
        <v>74</v>
      </c>
      <c r="F1041" s="6" t="s">
        <v>2326</v>
      </c>
      <c r="G1041" s="3" t="str">
        <f>IFERROR(__xludf.DUMMYFUNCTION("REGEXREPLACE(
D1041,
""([一-龯々]+)\[([^\]]+)\]"",
""&lt;ruby&gt;$1&lt;rt&gt;$2&lt;/rt&gt;&lt;/ruby&gt;""
)&amp;""&lt;br&gt;&lt;div class=""""audio""""&gt;[sound:""&amp;C1041&amp;"".mp3]&lt;/div&gt;"""),"プラン&lt;br&gt;&lt;div class=""audio""&gt;[sound:ぷらん.mp3]&lt;/div&gt;")</f>
        <v>プラン&lt;br&gt;&lt;div class="audio"&gt;[sound:ぷらん.mp3]&lt;/div&gt;</v>
      </c>
      <c r="H1041" s="3" t="str">
        <f t="shared" si="1"/>
        <v>(n): kế hoạch</v>
      </c>
      <c r="I1041" s="6" t="s">
        <v>5624</v>
      </c>
      <c r="J1041" s="6" t="s">
        <v>5625</v>
      </c>
      <c r="K1041" s="7">
        <f t="shared" si="2"/>
        <v>0.9346917801</v>
      </c>
    </row>
    <row r="1042">
      <c r="A1042" s="4">
        <v>1042.0</v>
      </c>
      <c r="B1042" s="5" t="s">
        <v>5626</v>
      </c>
      <c r="C1042" s="5" t="s">
        <v>5627</v>
      </c>
      <c r="D1042" s="5" t="s">
        <v>5628</v>
      </c>
      <c r="E1042" s="6" t="s">
        <v>74</v>
      </c>
      <c r="F1042" s="6" t="s">
        <v>1314</v>
      </c>
      <c r="G1042" s="3" t="str">
        <f>IFERROR(__xludf.DUMMYFUNCTION("REGEXREPLACE(
D1042,
""([一-龯々]+)\[([^\]]+)\]"",
""&lt;ruby&gt;$1&lt;rt&gt;$2&lt;/rt&gt;&lt;/ruby&gt;""
)&amp;""&lt;br&gt;&lt;div class=""""audio""""&gt;[sound:""&amp;C1042&amp;"".mp3]&lt;/div&gt;"""),"&lt;ruby&gt;終了&lt;rt&gt;しゅうりょう&lt;/rt&gt;&lt;/ruby&gt;&lt;br&gt;&lt;div class=""audio""&gt;[sound:しゅうりょう.mp3]&lt;/div&gt;")</f>
        <v>&lt;ruby&gt;終了&lt;rt&gt;しゅうりょう&lt;/rt&gt;&lt;/ruby&gt;&lt;br&gt;&lt;div class="audio"&gt;[sound:しゅうりょう.mp3]&lt;/div&gt;</v>
      </c>
      <c r="H1042" s="3" t="str">
        <f t="shared" si="1"/>
        <v>(n): kết thúc</v>
      </c>
      <c r="I1042" s="6" t="s">
        <v>5629</v>
      </c>
      <c r="J1042" s="6" t="s">
        <v>5630</v>
      </c>
      <c r="K1042" s="7">
        <f t="shared" si="2"/>
        <v>0.04394806093</v>
      </c>
    </row>
    <row r="1043">
      <c r="A1043" s="4">
        <v>1043.0</v>
      </c>
      <c r="B1043" s="5" t="s">
        <v>5631</v>
      </c>
      <c r="C1043" s="5" t="s">
        <v>5632</v>
      </c>
      <c r="D1043" s="5" t="s">
        <v>5633</v>
      </c>
      <c r="E1043" s="6" t="s">
        <v>24</v>
      </c>
      <c r="F1043" s="6" t="s">
        <v>5634</v>
      </c>
      <c r="G1043" s="3" t="str">
        <f>IFERROR(__xludf.DUMMYFUNCTION("REGEXREPLACE(
D1043,
""([一-龯々]+)\[([^\]]+)\]"",
""&lt;ruby&gt;$1&lt;rt&gt;$2&lt;/rt&gt;&lt;/ruby&gt;""
)&amp;""&lt;br&gt;&lt;div class=""""audio""""&gt;[sound:""&amp;C1043&amp;"".mp3]&lt;/div&gt;"""),"&lt;ruby&gt;表&lt;rt&gt;あらわ&lt;/rt&gt;&lt;/ruby&gt;す&lt;br&gt;&lt;div class=""audio""&gt;[sound:あらわす.mp3]&lt;/div&gt;")</f>
        <v>&lt;ruby&gt;表&lt;rt&gt;あらわ&lt;/rt&gt;&lt;/ruby&gt;す&lt;br&gt;&lt;div class="audio"&gt;[sound:あらわす.mp3]&lt;/div&gt;</v>
      </c>
      <c r="H1043" s="3" t="str">
        <f t="shared" si="1"/>
        <v>(v): thể hiện</v>
      </c>
      <c r="I1043" s="6" t="s">
        <v>5635</v>
      </c>
      <c r="J1043" s="6" t="s">
        <v>5636</v>
      </c>
      <c r="K1043" s="7">
        <f t="shared" si="2"/>
        <v>0.3273778949</v>
      </c>
    </row>
    <row r="1044">
      <c r="A1044" s="4">
        <v>1044.0</v>
      </c>
      <c r="B1044" s="5" t="s">
        <v>5637</v>
      </c>
      <c r="C1044" s="5" t="s">
        <v>5638</v>
      </c>
      <c r="D1044" s="5" t="s">
        <v>5639</v>
      </c>
      <c r="E1044" s="6" t="s">
        <v>74</v>
      </c>
      <c r="F1044" s="6" t="s">
        <v>5640</v>
      </c>
      <c r="G1044" s="3" t="str">
        <f>IFERROR(__xludf.DUMMYFUNCTION("REGEXREPLACE(
D1044,
""([一-龯々]+)\[([^\]]+)\]"",
""&lt;ruby&gt;$1&lt;rt&gt;$2&lt;/rt&gt;&lt;/ruby&gt;""
)&amp;""&lt;br&gt;&lt;div class=""""audio""""&gt;[sound:""&amp;C1044&amp;"".mp3]&lt;/div&gt;"""),"&lt;ruby&gt;調査&lt;rt&gt;ちょうさ&lt;/rt&gt;&lt;/ruby&gt;&lt;br&gt;&lt;div class=""audio""&gt;[sound:ちょうさ.mp3]&lt;/div&gt;")</f>
        <v>&lt;ruby&gt;調査&lt;rt&gt;ちょうさ&lt;/rt&gt;&lt;/ruby&gt;&lt;br&gt;&lt;div class="audio"&gt;[sound:ちょうさ.mp3]&lt;/div&gt;</v>
      </c>
      <c r="H1044" s="3" t="str">
        <f t="shared" si="1"/>
        <v>(n): điều tra</v>
      </c>
      <c r="I1044" s="6" t="s">
        <v>5641</v>
      </c>
      <c r="J1044" s="6" t="s">
        <v>5642</v>
      </c>
      <c r="K1044" s="7">
        <f t="shared" si="2"/>
        <v>0.8729328906</v>
      </c>
    </row>
    <row r="1045">
      <c r="A1045" s="4">
        <v>1045.0</v>
      </c>
      <c r="B1045" s="5" t="s">
        <v>5643</v>
      </c>
      <c r="C1045" s="5" t="s">
        <v>5644</v>
      </c>
      <c r="D1045" s="5" t="s">
        <v>5645</v>
      </c>
      <c r="E1045" s="6" t="s">
        <v>85</v>
      </c>
      <c r="F1045" s="6" t="s">
        <v>5646</v>
      </c>
      <c r="G1045" s="3" t="str">
        <f>IFERROR(__xludf.DUMMYFUNCTION("REGEXREPLACE(
D1045,
""([一-龯々]+)\[([^\]]+)\]"",
""&lt;ruby&gt;$1&lt;rt&gt;$2&lt;/rt&gt;&lt;/ruby&gt;""
)&amp;""&lt;br&gt;&lt;div class=""""audio""""&gt;[sound:""&amp;C1045&amp;"".mp3]&lt;/div&gt;"""),"&lt;ruby&gt;一生懸命&lt;rt&gt;いっしょうけんめい&lt;/rt&gt;&lt;/ruby&gt;&lt;br&gt;&lt;div class=""audio""&gt;[sound:いっしょうけんめい.mp3]&lt;/div&gt;")</f>
        <v>&lt;ruby&gt;一生懸命&lt;rt&gt;いっしょうけんめい&lt;/rt&gt;&lt;/ruby&gt;&lt;br&gt;&lt;div class="audio"&gt;[sound:いっしょうけんめい.mp3]&lt;/div&gt;</v>
      </c>
      <c r="H1045" s="3" t="str">
        <f t="shared" si="1"/>
        <v>(adv): hết sức</v>
      </c>
      <c r="I1045" s="6" t="s">
        <v>5647</v>
      </c>
      <c r="J1045" s="6" t="s">
        <v>5648</v>
      </c>
      <c r="K1045" s="7">
        <f t="shared" si="2"/>
        <v>0.01467889833</v>
      </c>
    </row>
    <row r="1046">
      <c r="A1046" s="4">
        <v>1046.0</v>
      </c>
      <c r="B1046" s="5" t="s">
        <v>5649</v>
      </c>
      <c r="C1046" s="5" t="s">
        <v>5650</v>
      </c>
      <c r="D1046" s="5" t="s">
        <v>5651</v>
      </c>
      <c r="E1046" s="6" t="s">
        <v>24</v>
      </c>
      <c r="F1046" s="6" t="s">
        <v>5652</v>
      </c>
      <c r="G1046" s="3" t="str">
        <f>IFERROR(__xludf.DUMMYFUNCTION("REGEXREPLACE(
D1046,
""([一-龯々]+)\[([^\]]+)\]"",
""&lt;ruby&gt;$1&lt;rt&gt;$2&lt;/rt&gt;&lt;/ruby&gt;""
)&amp;""&lt;br&gt;&lt;div class=""""audio""""&gt;[sound:""&amp;C1046&amp;"".mp3]&lt;/div&gt;"""),"&lt;ruby&gt;役&lt;rt&gt;やく&lt;/rt&gt;&lt;/ruby&gt;に&lt;ruby&gt;立&lt;rt&gt;た&lt;/rt&gt;&lt;/ruby&gt;つ&lt;br&gt;&lt;div class=""audio""&gt;[sound:やくにたつ.mp3]&lt;/div&gt;")</f>
        <v>&lt;ruby&gt;役&lt;rt&gt;やく&lt;/rt&gt;&lt;/ruby&gt;に&lt;ruby&gt;立&lt;rt&gt;た&lt;/rt&gt;&lt;/ruby&gt;つ&lt;br&gt;&lt;div class="audio"&gt;[sound:やくにたつ.mp3]&lt;/div&gt;</v>
      </c>
      <c r="H1046" s="3" t="str">
        <f t="shared" si="1"/>
        <v>(v): có ích</v>
      </c>
      <c r="I1046" s="6" t="s">
        <v>5653</v>
      </c>
      <c r="J1046" s="6" t="s">
        <v>5654</v>
      </c>
      <c r="K1046" s="7">
        <f t="shared" si="2"/>
        <v>0.2445407713</v>
      </c>
    </row>
    <row r="1047">
      <c r="A1047" s="4">
        <v>1047.0</v>
      </c>
      <c r="B1047" s="5" t="s">
        <v>5655</v>
      </c>
      <c r="C1047" s="5" t="s">
        <v>5656</v>
      </c>
      <c r="D1047" s="5" t="s">
        <v>5657</v>
      </c>
      <c r="E1047" s="6" t="s">
        <v>74</v>
      </c>
      <c r="F1047" s="6" t="s">
        <v>5658</v>
      </c>
      <c r="G1047" s="3" t="str">
        <f>IFERROR(__xludf.DUMMYFUNCTION("REGEXREPLACE(
D1047,
""([一-龯々]+)\[([^\]]+)\]"",
""&lt;ruby&gt;$1&lt;rt&gt;$2&lt;/rt&gt;&lt;/ruby&gt;""
)&amp;""&lt;br&gt;&lt;div class=""""audio""""&gt;[sound:""&amp;C1047&amp;"".mp3]&lt;/div&gt;"""),"&lt;ruby&gt;表面&lt;rt&gt;ひょうめん&lt;/rt&gt;&lt;/ruby&gt;&lt;br&gt;&lt;div class=""audio""&gt;[sound:ひょうめん.mp3]&lt;/div&gt;")</f>
        <v>&lt;ruby&gt;表面&lt;rt&gt;ひょうめん&lt;/rt&gt;&lt;/ruby&gt;&lt;br&gt;&lt;div class="audio"&gt;[sound:ひょうめん.mp3]&lt;/div&gt;</v>
      </c>
      <c r="H1047" s="3" t="str">
        <f t="shared" si="1"/>
        <v>(n): bề mặt</v>
      </c>
      <c r="I1047" s="6" t="s">
        <v>5659</v>
      </c>
      <c r="J1047" s="6" t="s">
        <v>5660</v>
      </c>
      <c r="K1047" s="7">
        <f t="shared" si="2"/>
        <v>0.6005334636</v>
      </c>
    </row>
    <row r="1048">
      <c r="A1048" s="4">
        <v>1048.0</v>
      </c>
      <c r="B1048" s="5" t="s">
        <v>5661</v>
      </c>
      <c r="C1048" s="5" t="s">
        <v>5662</v>
      </c>
      <c r="D1048" s="5" t="s">
        <v>5661</v>
      </c>
      <c r="E1048" s="6" t="s">
        <v>74</v>
      </c>
      <c r="F1048" s="6" t="s">
        <v>5663</v>
      </c>
      <c r="G1048" s="3" t="str">
        <f>IFERROR(__xludf.DUMMYFUNCTION("REGEXREPLACE(
D1048,
""([一-龯々]+)\[([^\]]+)\]"",
""&lt;ruby&gt;$1&lt;rt&gt;$2&lt;/rt&gt;&lt;/ruby&gt;""
)&amp;""&lt;br&gt;&lt;div class=""""audio""""&gt;[sound:""&amp;C1048&amp;"".mp3]&lt;/div&gt;"""),"シリーズ&lt;br&gt;&lt;div class=""audio""&gt;[sound:しりーず.mp3]&lt;/div&gt;")</f>
        <v>シリーズ&lt;br&gt;&lt;div class="audio"&gt;[sound:しりーず.mp3]&lt;/div&gt;</v>
      </c>
      <c r="H1048" s="3" t="str">
        <f t="shared" si="1"/>
        <v>(n): loạt</v>
      </c>
      <c r="I1048" s="6" t="s">
        <v>5664</v>
      </c>
      <c r="J1048" s="6" t="s">
        <v>5665</v>
      </c>
      <c r="K1048" s="7">
        <f t="shared" si="2"/>
        <v>0.8205303461</v>
      </c>
    </row>
    <row r="1049">
      <c r="A1049" s="4">
        <v>1049.0</v>
      </c>
      <c r="B1049" s="5" t="s">
        <v>5666</v>
      </c>
      <c r="C1049" s="5" t="s">
        <v>5667</v>
      </c>
      <c r="D1049" s="5" t="s">
        <v>5668</v>
      </c>
      <c r="E1049" s="6" t="s">
        <v>74</v>
      </c>
      <c r="F1049" s="6" t="s">
        <v>5669</v>
      </c>
      <c r="G1049" s="3" t="str">
        <f>IFERROR(__xludf.DUMMYFUNCTION("REGEXREPLACE(
D1049,
""([一-龯々]+)\[([^\]]+)\]"",
""&lt;ruby&gt;$1&lt;rt&gt;$2&lt;/rt&gt;&lt;/ruby&gt;""
)&amp;""&lt;br&gt;&lt;div class=""""audio""""&gt;[sound:""&amp;C1049&amp;"".mp3]&lt;/div&gt;"""),"&lt;ruby&gt;庭&lt;rt&gt;にわ&lt;/rt&gt;&lt;/ruby&gt;&lt;br&gt;&lt;div class=""audio""&gt;[sound:にわ.mp3]&lt;/div&gt;")</f>
        <v>&lt;ruby&gt;庭&lt;rt&gt;にわ&lt;/rt&gt;&lt;/ruby&gt;&lt;br&gt;&lt;div class="audio"&gt;[sound:にわ.mp3]&lt;/div&gt;</v>
      </c>
      <c r="H1049" s="3" t="str">
        <f t="shared" si="1"/>
        <v>(n): vườn</v>
      </c>
      <c r="I1049" s="6" t="s">
        <v>5670</v>
      </c>
      <c r="J1049" s="6" t="s">
        <v>5671</v>
      </c>
      <c r="K1049" s="7">
        <f t="shared" si="2"/>
        <v>0.9684032028</v>
      </c>
    </row>
    <row r="1050">
      <c r="A1050" s="4">
        <v>1050.0</v>
      </c>
      <c r="B1050" s="5" t="s">
        <v>5672</v>
      </c>
      <c r="C1050" s="5" t="s">
        <v>5673</v>
      </c>
      <c r="D1050" s="5" t="s">
        <v>5674</v>
      </c>
      <c r="E1050" s="6" t="s">
        <v>74</v>
      </c>
      <c r="F1050" s="6" t="s">
        <v>5675</v>
      </c>
      <c r="G1050" s="3" t="str">
        <f>IFERROR(__xludf.DUMMYFUNCTION("REGEXREPLACE(
D1050,
""([一-龯々]+)\[([^\]]+)\]"",
""&lt;ruby&gt;$1&lt;rt&gt;$2&lt;/rt&gt;&lt;/ruby&gt;""
)&amp;""&lt;br&gt;&lt;div class=""""audio""""&gt;[sound:""&amp;C1050&amp;"".mp3]&lt;/div&gt;"""),"&lt;ruby&gt;成長&lt;rt&gt;せいちょう&lt;/rt&gt;&lt;/ruby&gt;&lt;br&gt;&lt;div class=""audio""&gt;[sound:せいちょう.mp3]&lt;/div&gt;")</f>
        <v>&lt;ruby&gt;成長&lt;rt&gt;せいちょう&lt;/rt&gt;&lt;/ruby&gt;&lt;br&gt;&lt;div class="audio"&gt;[sound:せいちょう.mp3]&lt;/div&gt;</v>
      </c>
      <c r="H1050" s="3" t="str">
        <f t="shared" si="1"/>
        <v>(n): tăng trưởng</v>
      </c>
      <c r="I1050" s="6" t="s">
        <v>5676</v>
      </c>
      <c r="J1050" s="6" t="s">
        <v>5677</v>
      </c>
      <c r="K1050" s="7">
        <f t="shared" si="2"/>
        <v>0.8522945503</v>
      </c>
    </row>
    <row r="1051">
      <c r="A1051" s="4">
        <v>1051.0</v>
      </c>
      <c r="B1051" s="5" t="s">
        <v>5678</v>
      </c>
      <c r="C1051" s="5" t="s">
        <v>5678</v>
      </c>
      <c r="D1051" s="5" t="s">
        <v>5678</v>
      </c>
      <c r="E1051" s="6" t="s">
        <v>85</v>
      </c>
      <c r="F1051" s="6" t="s">
        <v>5679</v>
      </c>
      <c r="G1051" s="3" t="str">
        <f>IFERROR(__xludf.DUMMYFUNCTION("REGEXREPLACE(
D1051,
""([一-龯々]+)\[([^\]]+)\]"",
""&lt;ruby&gt;$1&lt;rt&gt;$2&lt;/rt&gt;&lt;/ruby&gt;""
)&amp;""&lt;br&gt;&lt;div class=""""audio""""&gt;[sound:""&amp;C1051&amp;"".mp3]&lt;/div&gt;"""),"なるべく&lt;br&gt;&lt;div class=""audio""&gt;[sound:なるべく.mp3]&lt;/div&gt;")</f>
        <v>なるべく&lt;br&gt;&lt;div class="audio"&gt;[sound:なるべく.mp3]&lt;/div&gt;</v>
      </c>
      <c r="H1051" s="3" t="str">
        <f t="shared" si="1"/>
        <v>(adv): càng nhiều</v>
      </c>
      <c r="I1051" s="6" t="s">
        <v>5680</v>
      </c>
      <c r="J1051" s="6" t="s">
        <v>5681</v>
      </c>
      <c r="K1051" s="7">
        <f t="shared" si="2"/>
        <v>0.9709026362</v>
      </c>
    </row>
    <row r="1052">
      <c r="A1052" s="4">
        <v>1052.0</v>
      </c>
      <c r="B1052" s="5" t="s">
        <v>5682</v>
      </c>
      <c r="C1052" s="5" t="s">
        <v>5683</v>
      </c>
      <c r="D1052" s="5" t="s">
        <v>5684</v>
      </c>
      <c r="E1052" s="6" t="s">
        <v>74</v>
      </c>
      <c r="F1052" s="6" t="s">
        <v>5685</v>
      </c>
      <c r="G1052" s="3" t="str">
        <f>IFERROR(__xludf.DUMMYFUNCTION("REGEXREPLACE(
D1052,
""([一-龯々]+)\[([^\]]+)\]"",
""&lt;ruby&gt;$1&lt;rt&gt;$2&lt;/rt&gt;&lt;/ruby&gt;""
)&amp;""&lt;br&gt;&lt;div class=""""audio""""&gt;[sound:""&amp;C1052&amp;"".mp3]&lt;/div&gt;"""),"&lt;ruby&gt;基準&lt;rt&gt;きじゅん&lt;/rt&gt;&lt;/ruby&gt;&lt;br&gt;&lt;div class=""audio""&gt;[sound:きじゅん.mp3]&lt;/div&gt;")</f>
        <v>&lt;ruby&gt;基準&lt;rt&gt;きじゅん&lt;/rt&gt;&lt;/ruby&gt;&lt;br&gt;&lt;div class="audio"&gt;[sound:きじゅん.mp3]&lt;/div&gt;</v>
      </c>
      <c r="H1052" s="3" t="str">
        <f t="shared" si="1"/>
        <v>(n): tiêu chuẩn</v>
      </c>
      <c r="I1052" s="6" t="s">
        <v>5686</v>
      </c>
      <c r="J1052" s="6" t="s">
        <v>5687</v>
      </c>
      <c r="K1052" s="7">
        <f t="shared" si="2"/>
        <v>0.4022298967</v>
      </c>
    </row>
    <row r="1053">
      <c r="A1053" s="4">
        <v>1053.0</v>
      </c>
      <c r="B1053" s="5" t="s">
        <v>5688</v>
      </c>
      <c r="C1053" s="5" t="s">
        <v>5689</v>
      </c>
      <c r="D1053" s="5" t="s">
        <v>5690</v>
      </c>
      <c r="E1053" s="6" t="s">
        <v>74</v>
      </c>
      <c r="F1053" s="6" t="s">
        <v>5691</v>
      </c>
      <c r="G1053" s="3" t="str">
        <f>IFERROR(__xludf.DUMMYFUNCTION("REGEXREPLACE(
D1053,
""([一-龯々]+)\[([^\]]+)\]"",
""&lt;ruby&gt;$1&lt;rt&gt;$2&lt;/rt&gt;&lt;/ruby&gt;""
)&amp;""&lt;br&gt;&lt;div class=""""audio""""&gt;[sound:""&amp;C1053&amp;"".mp3]&lt;/div&gt;"""),"&lt;ruby&gt;成功&lt;rt&gt;せいこう&lt;/rt&gt;&lt;/ruby&gt;&lt;br&gt;&lt;div class=""audio""&gt;[sound:せいこう.mp3]&lt;/div&gt;")</f>
        <v>&lt;ruby&gt;成功&lt;rt&gt;せいこう&lt;/rt&gt;&lt;/ruby&gt;&lt;br&gt;&lt;div class="audio"&gt;[sound:せいこう.mp3]&lt;/div&gt;</v>
      </c>
      <c r="H1053" s="3" t="str">
        <f t="shared" si="1"/>
        <v>(n): thành công</v>
      </c>
      <c r="I1053" s="6" t="s">
        <v>5692</v>
      </c>
      <c r="J1053" s="6" t="s">
        <v>5693</v>
      </c>
      <c r="K1053" s="7">
        <f t="shared" si="2"/>
        <v>0.9079655078</v>
      </c>
    </row>
    <row r="1054">
      <c r="A1054" s="4">
        <v>1054.0</v>
      </c>
      <c r="B1054" s="5" t="s">
        <v>5694</v>
      </c>
      <c r="C1054" s="5" t="s">
        <v>5694</v>
      </c>
      <c r="D1054" s="5" t="s">
        <v>5694</v>
      </c>
      <c r="E1054" s="6" t="s">
        <v>85</v>
      </c>
      <c r="F1054" s="6" t="s">
        <v>5695</v>
      </c>
      <c r="G1054" s="3" t="str">
        <f>IFERROR(__xludf.DUMMYFUNCTION("REGEXREPLACE(
D1054,
""([一-龯々]+)\[([^\]]+)\]"",
""&lt;ruby&gt;$1&lt;rt&gt;$2&lt;/rt&gt;&lt;/ruby&gt;""
)&amp;""&lt;br&gt;&lt;div class=""""audio""""&gt;[sound:""&amp;C1054&amp;"".mp3]&lt;/div&gt;"""),"まるで&lt;br&gt;&lt;div class=""audio""&gt;[sound:まるで.mp3]&lt;/div&gt;")</f>
        <v>まるで&lt;br&gt;&lt;div class="audio"&gt;[sound:まるで.mp3]&lt;/div&gt;</v>
      </c>
      <c r="H1054" s="3" t="str">
        <f t="shared" si="1"/>
        <v>(adv): giống như</v>
      </c>
      <c r="I1054" s="6" t="s">
        <v>5696</v>
      </c>
      <c r="J1054" s="6" t="s">
        <v>5697</v>
      </c>
      <c r="K1054" s="7">
        <f t="shared" si="2"/>
        <v>0.2330030993</v>
      </c>
    </row>
    <row r="1055">
      <c r="A1055" s="4">
        <v>1055.0</v>
      </c>
      <c r="B1055" s="5" t="s">
        <v>5698</v>
      </c>
      <c r="C1055" s="5" t="s">
        <v>5699</v>
      </c>
      <c r="D1055" s="5" t="s">
        <v>5700</v>
      </c>
      <c r="E1055" s="6" t="s">
        <v>74</v>
      </c>
      <c r="F1055" s="6" t="s">
        <v>2070</v>
      </c>
      <c r="G1055" s="3" t="str">
        <f>IFERROR(__xludf.DUMMYFUNCTION("REGEXREPLACE(
D1055,
""([一-龯々]+)\[([^\]]+)\]"",
""&lt;ruby&gt;$1&lt;rt&gt;$2&lt;/rt&gt;&lt;/ruby&gt;""
)&amp;""&lt;br&gt;&lt;div class=""""audio""""&gt;[sound:""&amp;C1055&amp;"".mp3]&lt;/div&gt;"""),"&lt;ruby&gt;一定&lt;rt&gt;いってい&lt;/rt&gt;&lt;/ruby&gt;&lt;br&gt;&lt;div class=""audio""&gt;[sound:いってい.mp3]&lt;/div&gt;")</f>
        <v>&lt;ruby&gt;一定&lt;rt&gt;いってい&lt;/rt&gt;&lt;/ruby&gt;&lt;br&gt;&lt;div class="audio"&gt;[sound:いってい.mp3]&lt;/div&gt;</v>
      </c>
      <c r="H1055" s="3" t="str">
        <f t="shared" si="1"/>
        <v>(n): nhất định</v>
      </c>
      <c r="I1055" s="6" t="s">
        <v>5701</v>
      </c>
      <c r="J1055" s="6" t="s">
        <v>5702</v>
      </c>
      <c r="K1055" s="7">
        <f t="shared" si="2"/>
        <v>0.9206980351</v>
      </c>
    </row>
    <row r="1056">
      <c r="A1056" s="4">
        <v>1056.0</v>
      </c>
      <c r="B1056" s="5" t="s">
        <v>5703</v>
      </c>
      <c r="C1056" s="5" t="s">
        <v>5704</v>
      </c>
      <c r="D1056" s="5" t="s">
        <v>5705</v>
      </c>
      <c r="E1056" s="6" t="s">
        <v>74</v>
      </c>
      <c r="F1056" s="6" t="s">
        <v>5706</v>
      </c>
      <c r="G1056" s="3" t="str">
        <f>IFERROR(__xludf.DUMMYFUNCTION("REGEXREPLACE(
D1056,
""([一-龯々]+)\[([^\]]+)\]"",
""&lt;ruby&gt;$1&lt;rt&gt;$2&lt;/rt&gt;&lt;/ruby&gt;""
)&amp;""&lt;br&gt;&lt;div class=""""audio""""&gt;[sound:""&amp;C1056&amp;"".mp3]&lt;/div&gt;"""),"&lt;ruby&gt;一月&lt;rt&gt;いちがつ&lt;/rt&gt;&lt;/ruby&gt;&lt;br&gt;&lt;div class=""audio""&gt;[sound:いちがつ.mp3]&lt;/div&gt;")</f>
        <v>&lt;ruby&gt;一月&lt;rt&gt;いちがつ&lt;/rt&gt;&lt;/ruby&gt;&lt;br&gt;&lt;div class="audio"&gt;[sound:いちがつ.mp3]&lt;/div&gt;</v>
      </c>
      <c r="H1056" s="3" t="str">
        <f t="shared" si="1"/>
        <v>(n): tháng một</v>
      </c>
      <c r="I1056" s="6" t="s">
        <v>5707</v>
      </c>
      <c r="J1056" s="6" t="s">
        <v>5708</v>
      </c>
      <c r="K1056" s="7">
        <f t="shared" si="2"/>
        <v>0.7215281029</v>
      </c>
    </row>
    <row r="1057">
      <c r="A1057" s="4">
        <v>1057.0</v>
      </c>
      <c r="B1057" s="5" t="s">
        <v>5709</v>
      </c>
      <c r="C1057" s="5" t="s">
        <v>5710</v>
      </c>
      <c r="D1057" s="5" t="s">
        <v>5711</v>
      </c>
      <c r="E1057" s="6" t="s">
        <v>74</v>
      </c>
      <c r="F1057" s="6" t="s">
        <v>5712</v>
      </c>
      <c r="G1057" s="3" t="str">
        <f>IFERROR(__xludf.DUMMYFUNCTION("REGEXREPLACE(
D1057,
""([一-龯々]+)\[([^\]]+)\]"",
""&lt;ruby&gt;$1&lt;rt&gt;$2&lt;/rt&gt;&lt;/ruby&gt;""
)&amp;""&lt;br&gt;&lt;div class=""""audio""""&gt;[sound:""&amp;C1057&amp;"".mp3]&lt;/div&gt;"""),"&lt;ruby&gt;予約&lt;rt&gt;よやく&lt;/rt&gt;&lt;/ruby&gt;&lt;br&gt;&lt;div class=""audio""&gt;[sound:よやく.mp3]&lt;/div&gt;")</f>
        <v>&lt;ruby&gt;予約&lt;rt&gt;よやく&lt;/rt&gt;&lt;/ruby&gt;&lt;br&gt;&lt;div class="audio"&gt;[sound:よやく.mp3]&lt;/div&gt;</v>
      </c>
      <c r="H1057" s="3" t="str">
        <f t="shared" si="1"/>
        <v>(n): đặt trước</v>
      </c>
      <c r="I1057" s="6" t="s">
        <v>5713</v>
      </c>
      <c r="J1057" s="6" t="s">
        <v>5714</v>
      </c>
      <c r="K1057" s="7">
        <f t="shared" si="2"/>
        <v>0.7068062161</v>
      </c>
    </row>
    <row r="1058">
      <c r="A1058" s="4">
        <v>1058.0</v>
      </c>
      <c r="B1058" s="5" t="s">
        <v>5715</v>
      </c>
      <c r="C1058" s="5" t="s">
        <v>5716</v>
      </c>
      <c r="D1058" s="5" t="s">
        <v>5717</v>
      </c>
      <c r="E1058" s="6" t="s">
        <v>74</v>
      </c>
      <c r="F1058" s="6" t="s">
        <v>5718</v>
      </c>
      <c r="G1058" s="3" t="str">
        <f>IFERROR(__xludf.DUMMYFUNCTION("REGEXREPLACE(
D1058,
""([一-龯々]+)\[([^\]]+)\]"",
""&lt;ruby&gt;$1&lt;rt&gt;$2&lt;/rt&gt;&lt;/ruby&gt;""
)&amp;""&lt;br&gt;&lt;div class=""""audio""""&gt;[sound:""&amp;C1058&amp;"".mp3]&lt;/div&gt;"""),"&lt;ruby&gt;計算&lt;rt&gt;けいさん&lt;/rt&gt;&lt;/ruby&gt;&lt;br&gt;&lt;div class=""audio""&gt;[sound:けいさん.mp3]&lt;/div&gt;")</f>
        <v>&lt;ruby&gt;計算&lt;rt&gt;けいさん&lt;/rt&gt;&lt;/ruby&gt;&lt;br&gt;&lt;div class="audio"&gt;[sound:けいさん.mp3]&lt;/div&gt;</v>
      </c>
      <c r="H1058" s="3" t="str">
        <f t="shared" si="1"/>
        <v>(n): tính toán</v>
      </c>
      <c r="I1058" s="6" t="s">
        <v>5719</v>
      </c>
      <c r="J1058" s="6" t="s">
        <v>5720</v>
      </c>
      <c r="K1058" s="7">
        <f t="shared" si="2"/>
        <v>0.9862111588</v>
      </c>
    </row>
    <row r="1059">
      <c r="A1059" s="4">
        <v>1059.0</v>
      </c>
      <c r="B1059" s="5" t="s">
        <v>5721</v>
      </c>
      <c r="C1059" s="5" t="s">
        <v>5721</v>
      </c>
      <c r="D1059" s="5" t="s">
        <v>5721</v>
      </c>
      <c r="E1059" s="6" t="s">
        <v>33</v>
      </c>
      <c r="F1059" s="6" t="s">
        <v>5722</v>
      </c>
      <c r="G1059" s="3" t="str">
        <f>IFERROR(__xludf.DUMMYFUNCTION("REGEXREPLACE(
D1059,
""([一-龯々]+)\[([^\]]+)\]"",
""&lt;ruby&gt;$1&lt;rt&gt;$2&lt;/rt&gt;&lt;/ruby&gt;""
)&amp;""&lt;br&gt;&lt;div class=""""audio""""&gt;[sound:""&amp;C1059&amp;"".mp3]&lt;/div&gt;"""),"さようなら&lt;br&gt;&lt;div class=""audio""&gt;[sound:さようなら.mp3]&lt;/div&gt;")</f>
        <v>さようなら&lt;br&gt;&lt;div class="audio"&gt;[sound:さようなら.mp3]&lt;/div&gt;</v>
      </c>
      <c r="H1059" s="3" t="str">
        <f t="shared" si="1"/>
        <v>(int): tạm biệt</v>
      </c>
      <c r="I1059" s="6" t="s">
        <v>5723</v>
      </c>
      <c r="J1059" s="6" t="s">
        <v>5724</v>
      </c>
      <c r="K1059" s="7">
        <f t="shared" si="2"/>
        <v>0.5643024553</v>
      </c>
    </row>
    <row r="1060">
      <c r="A1060" s="4">
        <v>1060.0</v>
      </c>
      <c r="B1060" s="5" t="s">
        <v>5725</v>
      </c>
      <c r="C1060" s="5" t="s">
        <v>5725</v>
      </c>
      <c r="D1060" s="5" t="s">
        <v>5725</v>
      </c>
      <c r="E1060" s="6" t="s">
        <v>74</v>
      </c>
      <c r="F1060" s="6" t="s">
        <v>5726</v>
      </c>
      <c r="G1060" s="3" t="str">
        <f>IFERROR(__xludf.DUMMYFUNCTION("REGEXREPLACE(
D1060,
""([一-龯々]+)\[([^\]]+)\]"",
""&lt;ruby&gt;$1&lt;rt&gt;$2&lt;/rt&gt;&lt;/ruby&gt;""
)&amp;""&lt;br&gt;&lt;div class=""""audio""""&gt;[sound:""&amp;C1060&amp;"".mp3]&lt;/div&gt;"""),"ソフト&lt;br&gt;&lt;div class=""audio""&gt;[sound:ソフト.mp3]&lt;/div&gt;")</f>
        <v>ソフト&lt;br&gt;&lt;div class="audio"&gt;[sound:ソフト.mp3]&lt;/div&gt;</v>
      </c>
      <c r="H1060" s="3" t="str">
        <f t="shared" si="1"/>
        <v>(n): phần mềm</v>
      </c>
      <c r="I1060" s="6" t="s">
        <v>5727</v>
      </c>
      <c r="J1060" s="6" t="s">
        <v>5728</v>
      </c>
      <c r="K1060" s="7">
        <f t="shared" si="2"/>
        <v>0.5976816046</v>
      </c>
    </row>
    <row r="1061">
      <c r="A1061" s="4">
        <v>1061.0</v>
      </c>
      <c r="B1061" s="5" t="s">
        <v>5729</v>
      </c>
      <c r="C1061" s="5" t="s">
        <v>5729</v>
      </c>
      <c r="D1061" s="5" t="s">
        <v>5729</v>
      </c>
      <c r="E1061" s="6" t="s">
        <v>74</v>
      </c>
      <c r="F1061" s="6" t="s">
        <v>5730</v>
      </c>
      <c r="G1061" s="3" t="str">
        <f>IFERROR(__xludf.DUMMYFUNCTION("REGEXREPLACE(
D1061,
""([一-龯々]+)\[([^\]]+)\]"",
""&lt;ruby&gt;$1&lt;rt&gt;$2&lt;/rt&gt;&lt;/ruby&gt;""
)&amp;""&lt;br&gt;&lt;div class=""""audio""""&gt;[sound:""&amp;C1061&amp;"".mp3]&lt;/div&gt;"""),"ついで&lt;br&gt;&lt;div class=""audio""&gt;[sound:ついで.mp3]&lt;/div&gt;")</f>
        <v>ついで&lt;br&gt;&lt;div class="audio"&gt;[sound:ついで.mp3]&lt;/div&gt;</v>
      </c>
      <c r="H1061" s="3" t="str">
        <f t="shared" si="1"/>
        <v>(n): tiện thể</v>
      </c>
      <c r="I1061" s="6" t="s">
        <v>5731</v>
      </c>
      <c r="J1061" s="6" t="s">
        <v>5732</v>
      </c>
      <c r="K1061" s="7">
        <f t="shared" si="2"/>
        <v>0.8932936446</v>
      </c>
    </row>
    <row r="1062">
      <c r="A1062" s="4">
        <v>1062.0</v>
      </c>
      <c r="B1062" s="5" t="s">
        <v>5733</v>
      </c>
      <c r="C1062" s="5" t="s">
        <v>5733</v>
      </c>
      <c r="D1062" s="5" t="s">
        <v>5733</v>
      </c>
      <c r="E1062" s="6" t="s">
        <v>85</v>
      </c>
      <c r="F1062" s="6" t="s">
        <v>5734</v>
      </c>
      <c r="G1062" s="3" t="str">
        <f>IFERROR(__xludf.DUMMYFUNCTION("REGEXREPLACE(
D1062,
""([一-龯々]+)\[([^\]]+)\]"",
""&lt;ruby&gt;$1&lt;rt&gt;$2&lt;/rt&gt;&lt;/ruby&gt;""
)&amp;""&lt;br&gt;&lt;div class=""""audio""""&gt;[sound:""&amp;C1062&amp;"".mp3]&lt;/div&gt;"""),"どんどん&lt;br&gt;&lt;div class=""audio""&gt;[sound:どんどん.mp3]&lt;/div&gt;")</f>
        <v>どんどん&lt;br&gt;&lt;div class="audio"&gt;[sound:どんどん.mp3]&lt;/div&gt;</v>
      </c>
      <c r="H1062" s="3" t="str">
        <f t="shared" si="1"/>
        <v>(adv): liên tục</v>
      </c>
      <c r="I1062" s="6" t="s">
        <v>5735</v>
      </c>
      <c r="J1062" s="6" t="s">
        <v>5736</v>
      </c>
      <c r="K1062" s="7">
        <f t="shared" si="2"/>
        <v>0.2953078863</v>
      </c>
    </row>
    <row r="1063">
      <c r="A1063" s="4">
        <v>1063.0</v>
      </c>
      <c r="B1063" s="5" t="s">
        <v>5737</v>
      </c>
      <c r="C1063" s="5" t="s">
        <v>5738</v>
      </c>
      <c r="D1063" s="5" t="s">
        <v>5739</v>
      </c>
      <c r="E1063" s="6" t="s">
        <v>74</v>
      </c>
      <c r="F1063" s="6" t="s">
        <v>5740</v>
      </c>
      <c r="G1063" s="3" t="str">
        <f>IFERROR(__xludf.DUMMYFUNCTION("REGEXREPLACE(
D1063,
""([一-龯々]+)\[([^\]]+)\]"",
""&lt;ruby&gt;$1&lt;rt&gt;$2&lt;/rt&gt;&lt;/ruby&gt;""
)&amp;""&lt;br&gt;&lt;div class=""""audio""""&gt;[sound:""&amp;C1063&amp;"".mp3]&lt;/div&gt;"""),"&lt;ruby&gt;代表&lt;rt&gt;だいひょう&lt;/rt&gt;&lt;/ruby&gt;&lt;br&gt;&lt;div class=""audio""&gt;[sound:だいひょう.mp3]&lt;/div&gt;")</f>
        <v>&lt;ruby&gt;代表&lt;rt&gt;だいひょう&lt;/rt&gt;&lt;/ruby&gt;&lt;br&gt;&lt;div class="audio"&gt;[sound:だいひょう.mp3]&lt;/div&gt;</v>
      </c>
      <c r="H1063" s="3" t="str">
        <f t="shared" si="1"/>
        <v>(n): đại diện</v>
      </c>
      <c r="I1063" s="6" t="s">
        <v>5741</v>
      </c>
      <c r="J1063" s="6" t="s">
        <v>5742</v>
      </c>
      <c r="K1063" s="7">
        <f t="shared" si="2"/>
        <v>0.08434743133</v>
      </c>
    </row>
    <row r="1064">
      <c r="A1064" s="4">
        <v>1064.0</v>
      </c>
      <c r="B1064" s="5" t="s">
        <v>5743</v>
      </c>
      <c r="C1064" s="5" t="s">
        <v>5744</v>
      </c>
      <c r="D1064" s="5" t="s">
        <v>5745</v>
      </c>
      <c r="E1064" s="6" t="s">
        <v>74</v>
      </c>
      <c r="F1064" s="6" t="s">
        <v>5746</v>
      </c>
      <c r="G1064" s="3" t="str">
        <f>IFERROR(__xludf.DUMMYFUNCTION("REGEXREPLACE(
D1064,
""([一-龯々]+)\[([^\]]+)\]"",
""&lt;ruby&gt;$1&lt;rt&gt;$2&lt;/rt&gt;&lt;/ruby&gt;""
)&amp;""&lt;br&gt;&lt;div class=""""audio""""&gt;[sound:""&amp;C1064&amp;"".mp3]&lt;/div&gt;"""),"&lt;ruby&gt;目的&lt;rt&gt;もくてき&lt;/rt&gt;&lt;/ruby&gt;&lt;br&gt;&lt;div class=""audio""&gt;[sound:もくてき.mp3]&lt;/div&gt;")</f>
        <v>&lt;ruby&gt;目的&lt;rt&gt;もくてき&lt;/rt&gt;&lt;/ruby&gt;&lt;br&gt;&lt;div class="audio"&gt;[sound:もくてき.mp3]&lt;/div&gt;</v>
      </c>
      <c r="H1064" s="3" t="str">
        <f t="shared" si="1"/>
        <v>(n): mục đích</v>
      </c>
      <c r="I1064" s="6" t="s">
        <v>5747</v>
      </c>
      <c r="J1064" s="6" t="s">
        <v>5748</v>
      </c>
      <c r="K1064" s="7">
        <f t="shared" si="2"/>
        <v>0.6529358166</v>
      </c>
    </row>
    <row r="1065">
      <c r="A1065" s="4">
        <v>1065.0</v>
      </c>
      <c r="B1065" s="5" t="s">
        <v>5749</v>
      </c>
      <c r="C1065" s="5" t="s">
        <v>5749</v>
      </c>
      <c r="D1065" s="5" t="s">
        <v>5749</v>
      </c>
      <c r="E1065" s="6" t="s">
        <v>74</v>
      </c>
      <c r="F1065" s="6" t="s">
        <v>5750</v>
      </c>
      <c r="G1065" s="3" t="str">
        <f>IFERROR(__xludf.DUMMYFUNCTION("REGEXREPLACE(
D1065,
""([一-龯々]+)\[([^\]]+)\]"",
""&lt;ruby&gt;$1&lt;rt&gt;$2&lt;/rt&gt;&lt;/ruby&gt;""
)&amp;""&lt;br&gt;&lt;div class=""""audio""""&gt;[sound:""&amp;C1065&amp;"".mp3]&lt;/div&gt;"""),"おもちゃ&lt;br&gt;&lt;div class=""audio""&gt;[sound:おもちゃ.mp3]&lt;/div&gt;")</f>
        <v>おもちゃ&lt;br&gt;&lt;div class="audio"&gt;[sound:おもちゃ.mp3]&lt;/div&gt;</v>
      </c>
      <c r="H1065" s="3" t="str">
        <f t="shared" si="1"/>
        <v>(n): đồ chơi</v>
      </c>
      <c r="I1065" s="6" t="s">
        <v>5751</v>
      </c>
      <c r="J1065" s="6" t="s">
        <v>5752</v>
      </c>
      <c r="K1065" s="7">
        <f t="shared" si="2"/>
        <v>0.5526710053</v>
      </c>
    </row>
    <row r="1066">
      <c r="A1066" s="4">
        <v>1066.0</v>
      </c>
      <c r="B1066" s="5" t="s">
        <v>5753</v>
      </c>
      <c r="C1066" s="5" t="s">
        <v>5753</v>
      </c>
      <c r="D1066" s="5" t="s">
        <v>5753</v>
      </c>
      <c r="E1066" s="6" t="s">
        <v>90</v>
      </c>
      <c r="F1066" s="6" t="s">
        <v>5754</v>
      </c>
      <c r="G1066" s="3" t="str">
        <f>IFERROR(__xludf.DUMMYFUNCTION("REGEXREPLACE(
D1066,
""([一-龯々]+)\[([^\]]+)\]"",
""&lt;ruby&gt;$1&lt;rt&gt;$2&lt;/rt&gt;&lt;/ruby&gt;""
)&amp;""&lt;br&gt;&lt;div class=""""audio""""&gt;[sound:""&amp;C1066&amp;"".mp3]&lt;/div&gt;"""),"つまり&lt;br&gt;&lt;div class=""audio""&gt;[sound:つまり.mp3]&lt;/div&gt;")</f>
        <v>つまり&lt;br&gt;&lt;div class="audio"&gt;[sound:つまり.mp3]&lt;/div&gt;</v>
      </c>
      <c r="H1066" s="3" t="str">
        <f t="shared" si="1"/>
        <v>(conj): tóm lại</v>
      </c>
      <c r="I1066" s="6" t="s">
        <v>5755</v>
      </c>
      <c r="J1066" s="6" t="s">
        <v>5756</v>
      </c>
      <c r="K1066" s="7">
        <f t="shared" si="2"/>
        <v>0.5542360939</v>
      </c>
    </row>
    <row r="1067">
      <c r="A1067" s="4">
        <v>1067.0</v>
      </c>
      <c r="B1067" s="5" t="s">
        <v>5757</v>
      </c>
      <c r="C1067" s="5" t="s">
        <v>5758</v>
      </c>
      <c r="D1067" s="5" t="s">
        <v>5759</v>
      </c>
      <c r="E1067" s="6" t="s">
        <v>58</v>
      </c>
      <c r="F1067" s="6" t="s">
        <v>5760</v>
      </c>
      <c r="G1067" s="3" t="str">
        <f>IFERROR(__xludf.DUMMYFUNCTION("REGEXREPLACE(
D1067,
""([一-龯々]+)\[([^\]]+)\]"",
""&lt;ruby&gt;$1&lt;rt&gt;$2&lt;/rt&gt;&lt;/ruby&gt;""
)&amp;""&lt;br&gt;&lt;div class=""""audio""""&gt;[sound:""&amp;C1067&amp;"".mp3]&lt;/div&gt;"""),"&lt;ruby&gt;四&lt;rt&gt;よっ&lt;/rt&gt;&lt;/ruby&gt;つ&lt;br&gt;&lt;div class=""audio""&gt;[sound:よっつ.mp3]&lt;/div&gt;")</f>
        <v>&lt;ruby&gt;四&lt;rt&gt;よっ&lt;/rt&gt;&lt;/ruby&gt;つ&lt;br&gt;&lt;div class="audio"&gt;[sound:よっつ.mp3]&lt;/div&gt;</v>
      </c>
      <c r="H1067" s="3" t="str">
        <f t="shared" si="1"/>
        <v>(num): bốn cái</v>
      </c>
      <c r="I1067" s="6" t="s">
        <v>5761</v>
      </c>
      <c r="J1067" s="6" t="s">
        <v>5762</v>
      </c>
      <c r="K1067" s="7">
        <f t="shared" si="2"/>
        <v>0.3496892173</v>
      </c>
    </row>
    <row r="1068">
      <c r="A1068" s="4">
        <v>1068.0</v>
      </c>
      <c r="B1068" s="5" t="s">
        <v>5763</v>
      </c>
      <c r="C1068" s="5" t="s">
        <v>5764</v>
      </c>
      <c r="D1068" s="5" t="s">
        <v>5765</v>
      </c>
      <c r="E1068" s="6" t="s">
        <v>74</v>
      </c>
      <c r="F1068" s="6" t="s">
        <v>5766</v>
      </c>
      <c r="G1068" s="3" t="str">
        <f>IFERROR(__xludf.DUMMYFUNCTION("REGEXREPLACE(
D1068,
""([一-龯々]+)\[([^\]]+)\]"",
""&lt;ruby&gt;$1&lt;rt&gt;$2&lt;/rt&gt;&lt;/ruby&gt;""
)&amp;""&lt;br&gt;&lt;div class=""""audio""""&gt;[sound:""&amp;C1068&amp;"".mp3]&lt;/div&gt;"""),"&lt;ruby&gt;世紀&lt;rt&gt;せいき&lt;/rt&gt;&lt;/ruby&gt;&lt;br&gt;&lt;div class=""audio""&gt;[sound:せいき.mp3]&lt;/div&gt;")</f>
        <v>&lt;ruby&gt;世紀&lt;rt&gt;せいき&lt;/rt&gt;&lt;/ruby&gt;&lt;br&gt;&lt;div class="audio"&gt;[sound:せいき.mp3]&lt;/div&gt;</v>
      </c>
      <c r="H1068" s="3" t="str">
        <f t="shared" si="1"/>
        <v>(n): thế kỷ</v>
      </c>
      <c r="I1068" s="6" t="s">
        <v>5767</v>
      </c>
      <c r="J1068" s="6" t="s">
        <v>5768</v>
      </c>
      <c r="K1068" s="7">
        <f t="shared" si="2"/>
        <v>0.155694045</v>
      </c>
    </row>
    <row r="1069">
      <c r="A1069" s="4">
        <v>1069.0</v>
      </c>
      <c r="B1069" s="5" t="s">
        <v>5769</v>
      </c>
      <c r="C1069" s="5" t="s">
        <v>5770</v>
      </c>
      <c r="D1069" s="5" t="s">
        <v>5771</v>
      </c>
      <c r="E1069" s="6" t="s">
        <v>74</v>
      </c>
      <c r="F1069" s="6" t="s">
        <v>99</v>
      </c>
      <c r="G1069" s="3" t="str">
        <f>IFERROR(__xludf.DUMMYFUNCTION("REGEXREPLACE(
D1069,
""([一-龯々]+)\[([^\]]+)\]"",
""&lt;ruby&gt;$1&lt;rt&gt;$2&lt;/rt&gt;&lt;/ruby&gt;""
)&amp;""&lt;br&gt;&lt;div class=""""audio""""&gt;[sound:""&amp;C1069&amp;"".mp3]&lt;/div&gt;"""),"&lt;ruby&gt;感謝&lt;rt&gt;かんしゃ&lt;/rt&gt;&lt;/ruby&gt;&lt;br&gt;&lt;div class=""audio""&gt;[sound:かんしゃ.mp3]&lt;/div&gt;")</f>
        <v>&lt;ruby&gt;感謝&lt;rt&gt;かんしゃ&lt;/rt&gt;&lt;/ruby&gt;&lt;br&gt;&lt;div class="audio"&gt;[sound:かんしゃ.mp3]&lt;/div&gt;</v>
      </c>
      <c r="H1069" s="3" t="str">
        <f t="shared" si="1"/>
        <v>(n): cảm ơn</v>
      </c>
      <c r="I1069" s="6" t="s">
        <v>5772</v>
      </c>
      <c r="J1069" s="6" t="s">
        <v>5773</v>
      </c>
      <c r="K1069" s="7">
        <f t="shared" si="2"/>
        <v>0.8102692231</v>
      </c>
    </row>
    <row r="1070">
      <c r="A1070" s="4">
        <v>1070.0</v>
      </c>
      <c r="B1070" s="5" t="s">
        <v>5774</v>
      </c>
      <c r="C1070" s="5" t="s">
        <v>5775</v>
      </c>
      <c r="D1070" s="5" t="s">
        <v>5776</v>
      </c>
      <c r="E1070" s="6" t="s">
        <v>74</v>
      </c>
      <c r="F1070" s="6" t="s">
        <v>5777</v>
      </c>
      <c r="G1070" s="3" t="str">
        <f>IFERROR(__xludf.DUMMYFUNCTION("REGEXREPLACE(
D1070,
""([一-龯々]+)\[([^\]]+)\]"",
""&lt;ruby&gt;$1&lt;rt&gt;$2&lt;/rt&gt;&lt;/ruby&gt;""
)&amp;""&lt;br&gt;&lt;div class=""""audio""""&gt;[sound:""&amp;C1070&amp;"".mp3]&lt;/div&gt;"""),"&lt;ruby&gt;寺&lt;rt&gt;てら&lt;/rt&gt;&lt;/ruby&gt;&lt;br&gt;&lt;div class=""audio""&gt;[sound:てら.mp3]&lt;/div&gt;")</f>
        <v>&lt;ruby&gt;寺&lt;rt&gt;てら&lt;/rt&gt;&lt;/ruby&gt;&lt;br&gt;&lt;div class="audio"&gt;[sound:てら.mp3]&lt;/div&gt;</v>
      </c>
      <c r="H1070" s="3" t="str">
        <f t="shared" si="1"/>
        <v>(n): chùa</v>
      </c>
      <c r="I1070" s="6" t="s">
        <v>5778</v>
      </c>
      <c r="J1070" s="6" t="s">
        <v>5779</v>
      </c>
      <c r="K1070" s="7">
        <f t="shared" si="2"/>
        <v>0.06662470297</v>
      </c>
    </row>
    <row r="1071">
      <c r="A1071" s="4">
        <v>1071.0</v>
      </c>
      <c r="B1071" s="5" t="s">
        <v>5780</v>
      </c>
      <c r="C1071" s="5" t="s">
        <v>5781</v>
      </c>
      <c r="D1071" s="5" t="s">
        <v>5782</v>
      </c>
      <c r="E1071" s="6" t="s">
        <v>24</v>
      </c>
      <c r="F1071" s="6" t="s">
        <v>5783</v>
      </c>
      <c r="G1071" s="3" t="str">
        <f>IFERROR(__xludf.DUMMYFUNCTION("REGEXREPLACE(
D1071,
""([一-龯々]+)\[([^\]]+)\]"",
""&lt;ruby&gt;$1&lt;rt&gt;$2&lt;/rt&gt;&lt;/ruby&gt;""
)&amp;""&lt;br&gt;&lt;div class=""""audio""""&gt;[sound:""&amp;C1071&amp;"".mp3]&lt;/div&gt;"""),"&lt;ruby&gt;生&lt;rt&gt;う&lt;/rt&gt;&lt;/ruby&gt;まれる&lt;br&gt;&lt;div class=""audio""&gt;[sound:うまれる.mp3]&lt;/div&gt;")</f>
        <v>&lt;ruby&gt;生&lt;rt&gt;う&lt;/rt&gt;&lt;/ruby&gt;まれる&lt;br&gt;&lt;div class="audio"&gt;[sound:うまれる.mp3]&lt;/div&gt;</v>
      </c>
      <c r="H1071" s="3" t="str">
        <f t="shared" si="1"/>
        <v>(v): được sinh ra</v>
      </c>
      <c r="I1071" s="6" t="s">
        <v>5784</v>
      </c>
      <c r="J1071" s="6" t="s">
        <v>5785</v>
      </c>
      <c r="K1071" s="7">
        <f t="shared" si="2"/>
        <v>0.5406296378</v>
      </c>
    </row>
    <row r="1072">
      <c r="A1072" s="4">
        <v>1072.0</v>
      </c>
      <c r="B1072" s="5" t="s">
        <v>5786</v>
      </c>
      <c r="C1072" s="5" t="s">
        <v>5787</v>
      </c>
      <c r="D1072" s="5" t="s">
        <v>5788</v>
      </c>
      <c r="E1072" s="6" t="s">
        <v>74</v>
      </c>
      <c r="F1072" s="6" t="s">
        <v>5789</v>
      </c>
      <c r="G1072" s="3" t="str">
        <f>IFERROR(__xludf.DUMMYFUNCTION("REGEXREPLACE(
D1072,
""([一-龯々]+)\[([^\]]+)\]"",
""&lt;ruby&gt;$1&lt;rt&gt;$2&lt;/rt&gt;&lt;/ruby&gt;""
)&amp;""&lt;br&gt;&lt;div class=""""audio""""&gt;[sound:""&amp;C1072&amp;"".mp3]&lt;/div&gt;"""),"&lt;ruby&gt;増加&lt;rt&gt;ぞうか&lt;/rt&gt;&lt;/ruby&gt;&lt;br&gt;&lt;div class=""audio""&gt;[sound:ぞうか.mp3]&lt;/div&gt;")</f>
        <v>&lt;ruby&gt;増加&lt;rt&gt;ぞうか&lt;/rt&gt;&lt;/ruby&gt;&lt;br&gt;&lt;div class="audio"&gt;[sound:ぞうか.mp3]&lt;/div&gt;</v>
      </c>
      <c r="H1072" s="3" t="str">
        <f t="shared" si="1"/>
        <v>(n): sự gia tăng</v>
      </c>
      <c r="I1072" s="6" t="s">
        <v>5790</v>
      </c>
      <c r="J1072" s="6" t="s">
        <v>5791</v>
      </c>
      <c r="K1072" s="7">
        <f t="shared" si="2"/>
        <v>0.1717816263</v>
      </c>
    </row>
    <row r="1073">
      <c r="A1073" s="4">
        <v>1073.0</v>
      </c>
      <c r="B1073" s="5" t="s">
        <v>5792</v>
      </c>
      <c r="C1073" s="5" t="s">
        <v>5793</v>
      </c>
      <c r="D1073" s="5" t="s">
        <v>5794</v>
      </c>
      <c r="E1073" s="6" t="s">
        <v>74</v>
      </c>
      <c r="F1073" s="6" t="s">
        <v>5795</v>
      </c>
      <c r="G1073" s="3" t="str">
        <f>IFERROR(__xludf.DUMMYFUNCTION("REGEXREPLACE(
D1073,
""([一-龯々]+)\[([^\]]+)\]"",
""&lt;ruby&gt;$1&lt;rt&gt;$2&lt;/rt&gt;&lt;/ruby&gt;""
)&amp;""&lt;br&gt;&lt;div class=""""audio""""&gt;[sound:""&amp;C1073&amp;"".mp3]&lt;/div&gt;"""),"&lt;ruby&gt;戦争&lt;rt&gt;せんそう&lt;/rt&gt;&lt;/ruby&gt;&lt;br&gt;&lt;div class=""audio""&gt;[sound:せんそう.mp3]&lt;/div&gt;")</f>
        <v>&lt;ruby&gt;戦争&lt;rt&gt;せんそう&lt;/rt&gt;&lt;/ruby&gt;&lt;br&gt;&lt;div class="audio"&gt;[sound:せんそう.mp3]&lt;/div&gt;</v>
      </c>
      <c r="H1073" s="3" t="str">
        <f t="shared" si="1"/>
        <v>(n): chiến tranh</v>
      </c>
      <c r="I1073" s="6" t="s">
        <v>5796</v>
      </c>
      <c r="J1073" s="6" t="s">
        <v>5797</v>
      </c>
      <c r="K1073" s="7">
        <f t="shared" si="2"/>
        <v>0.3878366652</v>
      </c>
    </row>
    <row r="1074">
      <c r="A1074" s="4">
        <v>1074.0</v>
      </c>
      <c r="B1074" s="5" t="s">
        <v>5798</v>
      </c>
      <c r="C1074" s="5" t="s">
        <v>2330</v>
      </c>
      <c r="D1074" s="5" t="s">
        <v>5799</v>
      </c>
      <c r="E1074" s="6" t="s">
        <v>11</v>
      </c>
      <c r="F1074" s="6" t="s">
        <v>5800</v>
      </c>
      <c r="G1074" s="3" t="str">
        <f>IFERROR(__xludf.DUMMYFUNCTION("REGEXREPLACE(
D1074,
""([一-龯々]+)\[([^\]]+)\]"",
""&lt;ruby&gt;$1&lt;rt&gt;$2&lt;/rt&gt;&lt;/ruby&gt;""
)&amp;""&lt;br&gt;&lt;div class=""""audio""""&gt;[sound:""&amp;C1074&amp;"".mp3]&lt;/div&gt;"""),"&lt;ruby&gt;意外&lt;rt&gt;いがい&lt;/rt&gt;&lt;/ruby&gt;&lt;br&gt;&lt;div class=""audio""&gt;[sound:いがい.mp3]&lt;/div&gt;")</f>
        <v>&lt;ruby&gt;意外&lt;rt&gt;いがい&lt;/rt&gt;&lt;/ruby&gt;&lt;br&gt;&lt;div class="audio"&gt;[sound:いがい.mp3]&lt;/div&gt;</v>
      </c>
      <c r="H1074" s="3" t="str">
        <f t="shared" si="1"/>
        <v>(adj): ngạc nhiên</v>
      </c>
      <c r="I1074" s="6" t="s">
        <v>5801</v>
      </c>
      <c r="J1074" s="6" t="s">
        <v>5802</v>
      </c>
      <c r="K1074" s="7">
        <f t="shared" si="2"/>
        <v>0.6024087904</v>
      </c>
    </row>
    <row r="1075">
      <c r="A1075" s="4">
        <v>1075.0</v>
      </c>
      <c r="B1075" s="5" t="s">
        <v>5803</v>
      </c>
      <c r="C1075" s="5" t="s">
        <v>5804</v>
      </c>
      <c r="D1075" s="5" t="s">
        <v>5805</v>
      </c>
      <c r="E1075" s="6" t="s">
        <v>24</v>
      </c>
      <c r="F1075" s="6" t="s">
        <v>5806</v>
      </c>
      <c r="G1075" s="3" t="str">
        <f>IFERROR(__xludf.DUMMYFUNCTION("REGEXREPLACE(
D1075,
""([一-龯々]+)\[([^\]]+)\]"",
""&lt;ruby&gt;$1&lt;rt&gt;$2&lt;/rt&gt;&lt;/ruby&gt;""
)&amp;""&lt;br&gt;&lt;div class=""""audio""""&gt;[sound:""&amp;C1075&amp;"".mp3]&lt;/div&gt;"""),"&lt;ruby&gt;運&lt;rt&gt;はこ&lt;/rt&gt;&lt;/ruby&gt;ぶ&lt;br&gt;&lt;div class=""audio""&gt;[sound:はこぶ.mp3]&lt;/div&gt;")</f>
        <v>&lt;ruby&gt;運&lt;rt&gt;はこ&lt;/rt&gt;&lt;/ruby&gt;ぶ&lt;br&gt;&lt;div class="audio"&gt;[sound:はこぶ.mp3]&lt;/div&gt;</v>
      </c>
      <c r="H1075" s="3" t="str">
        <f t="shared" si="1"/>
        <v>(v): vận chuyển</v>
      </c>
      <c r="I1075" s="6" t="s">
        <v>5807</v>
      </c>
      <c r="J1075" s="6" t="s">
        <v>5808</v>
      </c>
      <c r="K1075" s="7">
        <f t="shared" si="2"/>
        <v>0.9788002854</v>
      </c>
    </row>
    <row r="1076">
      <c r="A1076" s="4">
        <v>1076.0</v>
      </c>
      <c r="B1076" s="5" t="s">
        <v>5809</v>
      </c>
      <c r="C1076" s="5" t="s">
        <v>5809</v>
      </c>
      <c r="D1076" s="5" t="s">
        <v>5809</v>
      </c>
      <c r="E1076" s="6" t="s">
        <v>85</v>
      </c>
      <c r="F1076" s="6" t="s">
        <v>4743</v>
      </c>
      <c r="G1076" s="3" t="str">
        <f>IFERROR(__xludf.DUMMYFUNCTION("REGEXREPLACE(
D1076,
""([一-龯々]+)\[([^\]]+)\]"",
""&lt;ruby&gt;$1&lt;rt&gt;$2&lt;/rt&gt;&lt;/ruby&gt;""
)&amp;""&lt;br&gt;&lt;div class=""""audio""""&gt;[sound:""&amp;C1076&amp;"".mp3]&lt;/div&gt;"""),"すっかり&lt;br&gt;&lt;div class=""audio""&gt;[sound:すっかり.mp3]&lt;/div&gt;")</f>
        <v>すっかり&lt;br&gt;&lt;div class="audio"&gt;[sound:すっかり.mp3]&lt;/div&gt;</v>
      </c>
      <c r="H1076" s="3" t="str">
        <f t="shared" si="1"/>
        <v>(adv): hoàn toàn</v>
      </c>
      <c r="I1076" s="6" t="s">
        <v>5810</v>
      </c>
      <c r="J1076" s="6" t="s">
        <v>5811</v>
      </c>
      <c r="K1076" s="7">
        <f t="shared" si="2"/>
        <v>0.1433422545</v>
      </c>
    </row>
    <row r="1077">
      <c r="A1077" s="4">
        <v>1077.0</v>
      </c>
      <c r="B1077" s="5" t="s">
        <v>5812</v>
      </c>
      <c r="C1077" s="5" t="s">
        <v>5813</v>
      </c>
      <c r="D1077" s="5" t="s">
        <v>5814</v>
      </c>
      <c r="E1077" s="6" t="s">
        <v>24</v>
      </c>
      <c r="F1077" s="6" t="s">
        <v>5815</v>
      </c>
      <c r="G1077" s="3" t="str">
        <f>IFERROR(__xludf.DUMMYFUNCTION("REGEXREPLACE(
D1077,
""([一-龯々]+)\[([^\]]+)\]"",
""&lt;ruby&gt;$1&lt;rt&gt;$2&lt;/rt&gt;&lt;/ruby&gt;""
)&amp;""&lt;br&gt;&lt;div class=""""audio""""&gt;[sound:""&amp;C1077&amp;"".mp3]&lt;/div&gt;"""),"&lt;ruby&gt;巡&lt;rt&gt;めぐ&lt;/rt&gt;&lt;/ruby&gt;る&lt;br&gt;&lt;div class=""audio""&gt;[sound:めぐる.mp3]&lt;/div&gt;")</f>
        <v>&lt;ruby&gt;巡&lt;rt&gt;めぐ&lt;/rt&gt;&lt;/ruby&gt;る&lt;br&gt;&lt;div class="audio"&gt;[sound:めぐる.mp3]&lt;/div&gt;</v>
      </c>
      <c r="H1077" s="3" t="str">
        <f t="shared" si="1"/>
        <v>(v): dạo quanh</v>
      </c>
      <c r="I1077" s="6" t="s">
        <v>5816</v>
      </c>
      <c r="J1077" s="6" t="s">
        <v>5817</v>
      </c>
      <c r="K1077" s="7">
        <f t="shared" si="2"/>
        <v>0.8000334756</v>
      </c>
    </row>
    <row r="1078">
      <c r="A1078" s="4">
        <v>1078.0</v>
      </c>
      <c r="B1078" s="5" t="s">
        <v>5818</v>
      </c>
      <c r="C1078" s="5" t="s">
        <v>5819</v>
      </c>
      <c r="D1078" s="5" t="s">
        <v>5820</v>
      </c>
      <c r="E1078" s="6" t="s">
        <v>74</v>
      </c>
      <c r="F1078" s="6" t="s">
        <v>5821</v>
      </c>
      <c r="G1078" s="3" t="str">
        <f>IFERROR(__xludf.DUMMYFUNCTION("REGEXREPLACE(
D1078,
""([一-龯々]+)\[([^\]]+)\]"",
""&lt;ruby&gt;$1&lt;rt&gt;$2&lt;/rt&gt;&lt;/ruby&gt;""
)&amp;""&lt;br&gt;&lt;div class=""""audio""""&gt;[sound:""&amp;C1078&amp;"".mp3]&lt;/div&gt;"""),"&lt;ruby&gt;指導&lt;rt&gt;しどう&lt;/rt&gt;&lt;/ruby&gt;&lt;br&gt;&lt;div class=""audio""&gt;[sound:しどう.mp3]&lt;/div&gt;")</f>
        <v>&lt;ruby&gt;指導&lt;rt&gt;しどう&lt;/rt&gt;&lt;/ruby&gt;&lt;br&gt;&lt;div class="audio"&gt;[sound:しどう.mp3]&lt;/div&gt;</v>
      </c>
      <c r="H1078" s="3" t="str">
        <f t="shared" si="1"/>
        <v>(n): chỉ đạo</v>
      </c>
      <c r="I1078" s="6" t="s">
        <v>5822</v>
      </c>
      <c r="J1078" s="6" t="s">
        <v>5823</v>
      </c>
      <c r="K1078" s="7">
        <f t="shared" si="2"/>
        <v>0.9925097012</v>
      </c>
    </row>
    <row r="1079">
      <c r="A1079" s="4">
        <v>1079.0</v>
      </c>
      <c r="B1079" s="5" t="s">
        <v>5824</v>
      </c>
      <c r="C1079" s="5" t="s">
        <v>5825</v>
      </c>
      <c r="D1079" s="5" t="s">
        <v>5826</v>
      </c>
      <c r="E1079" s="6" t="s">
        <v>44</v>
      </c>
      <c r="F1079" s="6" t="s">
        <v>492</v>
      </c>
      <c r="G1079" s="3" t="str">
        <f>IFERROR(__xludf.DUMMYFUNCTION("REGEXREPLACE(
D1079,
""([一-龯々]+)\[([^\]]+)\]"",
""&lt;ruby&gt;$1&lt;rt&gt;$2&lt;/rt&gt;&lt;/ruby&gt;""
)&amp;""&lt;br&gt;&lt;div class=""""audio""""&gt;[sound:""&amp;C1079&amp;"".mp3]&lt;/div&gt;"""),"&lt;ruby&gt;皆&lt;rt&gt;みな&lt;/rt&gt;&lt;/ruby&gt;さん&lt;br&gt;&lt;div class=""audio""&gt;[sound:みなさん.mp3]&lt;/div&gt;")</f>
        <v>&lt;ruby&gt;皆&lt;rt&gt;みな&lt;/rt&gt;&lt;/ruby&gt;さん&lt;br&gt;&lt;div class="audio"&gt;[sound:みなさん.mp3]&lt;/div&gt;</v>
      </c>
      <c r="H1079" s="3" t="str">
        <f t="shared" si="1"/>
        <v>(pron): mọi người</v>
      </c>
      <c r="I1079" s="6" t="s">
        <v>5827</v>
      </c>
      <c r="J1079" s="6" t="s">
        <v>270</v>
      </c>
      <c r="K1079" s="7">
        <f t="shared" si="2"/>
        <v>0.3874486194</v>
      </c>
    </row>
    <row r="1080">
      <c r="A1080" s="4">
        <v>1080.0</v>
      </c>
      <c r="B1080" s="5" t="s">
        <v>5828</v>
      </c>
      <c r="C1080" s="5" t="s">
        <v>5829</v>
      </c>
      <c r="D1080" s="5" t="s">
        <v>5830</v>
      </c>
      <c r="E1080" s="6" t="s">
        <v>74</v>
      </c>
      <c r="F1080" s="6" t="s">
        <v>3585</v>
      </c>
      <c r="G1080" s="3" t="str">
        <f>IFERROR(__xludf.DUMMYFUNCTION("REGEXREPLACE(
D1080,
""([一-龯々]+)\[([^\]]+)\]"",
""&lt;ruby&gt;$1&lt;rt&gt;$2&lt;/rt&gt;&lt;/ruby&gt;""
)&amp;""&lt;br&gt;&lt;div class=""""audio""""&gt;[sound:""&amp;C1080&amp;"".mp3]&lt;/div&gt;"""),"&lt;ruby&gt;一時&lt;rt&gt;いちじ&lt;/rt&gt;&lt;/ruby&gt;&lt;br&gt;&lt;div class=""audio""&gt;[sound:いちじ.mp3]&lt;/div&gt;")</f>
        <v>&lt;ruby&gt;一時&lt;rt&gt;いちじ&lt;/rt&gt;&lt;/ruby&gt;&lt;br&gt;&lt;div class="audio"&gt;[sound:いちじ.mp3]&lt;/div&gt;</v>
      </c>
      <c r="H1080" s="3" t="str">
        <f t="shared" si="1"/>
        <v>(n): tạm thời</v>
      </c>
      <c r="I1080" s="6" t="s">
        <v>5831</v>
      </c>
      <c r="J1080" s="6" t="s">
        <v>5832</v>
      </c>
      <c r="K1080" s="7">
        <f t="shared" si="2"/>
        <v>0.4885370725</v>
      </c>
    </row>
    <row r="1081">
      <c r="A1081" s="4">
        <v>1081.0</v>
      </c>
      <c r="B1081" s="5" t="s">
        <v>5833</v>
      </c>
      <c r="C1081" s="5" t="s">
        <v>5834</v>
      </c>
      <c r="D1081" s="5" t="s">
        <v>5835</v>
      </c>
      <c r="E1081" s="6" t="s">
        <v>74</v>
      </c>
      <c r="F1081" s="6" t="s">
        <v>2939</v>
      </c>
      <c r="G1081" s="3" t="str">
        <f>IFERROR(__xludf.DUMMYFUNCTION("REGEXREPLACE(
D1081,
""([一-龯々]+)\[([^\]]+)\]"",
""&lt;ruby&gt;$1&lt;rt&gt;$2&lt;/rt&gt;&lt;/ruby&gt;""
)&amp;""&lt;br&gt;&lt;div class=""""audio""""&gt;[sound:""&amp;C1081&amp;"".mp3]&lt;/div&gt;"""),"&lt;ruby&gt;建設&lt;rt&gt;けんせつ&lt;/rt&gt;&lt;/ruby&gt;&lt;br&gt;&lt;div class=""audio""&gt;[sound:けんせつ.mp3]&lt;/div&gt;")</f>
        <v>&lt;ruby&gt;建設&lt;rt&gt;けんせつ&lt;/rt&gt;&lt;/ruby&gt;&lt;br&gt;&lt;div class="audio"&gt;[sound:けんせつ.mp3]&lt;/div&gt;</v>
      </c>
      <c r="H1081" s="3" t="str">
        <f t="shared" si="1"/>
        <v>(n): xây dựng</v>
      </c>
      <c r="I1081" s="6" t="s">
        <v>5836</v>
      </c>
      <c r="J1081" s="6" t="s">
        <v>5837</v>
      </c>
      <c r="K1081" s="7">
        <f t="shared" si="2"/>
        <v>0.9895825917</v>
      </c>
    </row>
    <row r="1082">
      <c r="A1082" s="4">
        <v>1082.0</v>
      </c>
      <c r="B1082" s="5" t="s">
        <v>5838</v>
      </c>
      <c r="C1082" s="5" t="s">
        <v>5839</v>
      </c>
      <c r="D1082" s="5" t="s">
        <v>5840</v>
      </c>
      <c r="E1082" s="6" t="s">
        <v>24</v>
      </c>
      <c r="F1082" s="6" t="s">
        <v>5841</v>
      </c>
      <c r="G1082" s="3" t="str">
        <f>IFERROR(__xludf.DUMMYFUNCTION("REGEXREPLACE(
D1082,
""([一-龯々]+)\[([^\]]+)\]"",
""&lt;ruby&gt;$1&lt;rt&gt;$2&lt;/rt&gt;&lt;/ruby&gt;""
)&amp;""&lt;br&gt;&lt;div class=""""audio""""&gt;[sound:""&amp;C1082&amp;"".mp3]&lt;/div&gt;"""),"&lt;ruby&gt;怒&lt;rt&gt;おこ&lt;/rt&gt;&lt;/ruby&gt;る&lt;br&gt;&lt;div class=""audio""&gt;[sound:おこる.mp3]&lt;/div&gt;")</f>
        <v>&lt;ruby&gt;怒&lt;rt&gt;おこ&lt;/rt&gt;&lt;/ruby&gt;る&lt;br&gt;&lt;div class="audio"&gt;[sound:おこる.mp3]&lt;/div&gt;</v>
      </c>
      <c r="H1082" s="3" t="str">
        <f t="shared" si="1"/>
        <v>(v): tức giận</v>
      </c>
      <c r="I1082" s="6" t="s">
        <v>5842</v>
      </c>
      <c r="J1082" s="6" t="s">
        <v>5843</v>
      </c>
      <c r="K1082" s="7">
        <f t="shared" si="2"/>
        <v>0.7439058303</v>
      </c>
    </row>
    <row r="1083">
      <c r="A1083" s="4">
        <v>1083.0</v>
      </c>
      <c r="B1083" s="5" t="s">
        <v>5844</v>
      </c>
      <c r="C1083" s="5" t="s">
        <v>1019</v>
      </c>
      <c r="D1083" s="5" t="s">
        <v>5845</v>
      </c>
      <c r="E1083" s="6" t="s">
        <v>24</v>
      </c>
      <c r="F1083" s="6" t="s">
        <v>5846</v>
      </c>
      <c r="G1083" s="3" t="str">
        <f>IFERROR(__xludf.DUMMYFUNCTION("REGEXREPLACE(
D1083,
""([一-龯々]+)\[([^\]]+)\]"",
""&lt;ruby&gt;$1&lt;rt&gt;$2&lt;/rt&gt;&lt;/ruby&gt;""
)&amp;""&lt;br&gt;&lt;div class=""""audio""""&gt;[sound:""&amp;C1083&amp;"".mp3]&lt;/div&gt;"""),"&lt;ruby&gt;経&lt;rt&gt;た&lt;/rt&gt;&lt;/ruby&gt;つ&lt;br&gt;&lt;div class=""audio""&gt;[sound:たつ.mp3]&lt;/div&gt;")</f>
        <v>&lt;ruby&gt;経&lt;rt&gt;た&lt;/rt&gt;&lt;/ruby&gt;つ&lt;br&gt;&lt;div class="audio"&gt;[sound:たつ.mp3]&lt;/div&gt;</v>
      </c>
      <c r="H1083" s="3" t="str">
        <f t="shared" si="1"/>
        <v>(v): trôi qua</v>
      </c>
      <c r="I1083" s="6" t="s">
        <v>5847</v>
      </c>
      <c r="J1083" s="6" t="s">
        <v>3753</v>
      </c>
      <c r="K1083" s="7">
        <f t="shared" si="2"/>
        <v>0.4924344515</v>
      </c>
    </row>
    <row r="1084">
      <c r="A1084" s="4">
        <v>1084.0</v>
      </c>
      <c r="B1084" s="5" t="s">
        <v>5848</v>
      </c>
      <c r="C1084" s="5" t="s">
        <v>5849</v>
      </c>
      <c r="D1084" s="5" t="s">
        <v>5850</v>
      </c>
      <c r="E1084" s="6" t="s">
        <v>74</v>
      </c>
      <c r="F1084" s="6" t="s">
        <v>5851</v>
      </c>
      <c r="G1084" s="3" t="str">
        <f>IFERROR(__xludf.DUMMYFUNCTION("REGEXREPLACE(
D1084,
""([一-龯々]+)\[([^\]]+)\]"",
""&lt;ruby&gt;$1&lt;rt&gt;$2&lt;/rt&gt;&lt;/ruby&gt;""
)&amp;""&lt;br&gt;&lt;div class=""""audio""""&gt;[sound:""&amp;C1084&amp;"".mp3]&lt;/div&gt;"""),"&lt;ruby&gt;表情&lt;rt&gt;ひょうじょう&lt;/rt&gt;&lt;/ruby&gt;&lt;br&gt;&lt;div class=""audio""&gt;[sound:ひょうじょう.mp3]&lt;/div&gt;")</f>
        <v>&lt;ruby&gt;表情&lt;rt&gt;ひょうじょう&lt;/rt&gt;&lt;/ruby&gt;&lt;br&gt;&lt;div class="audio"&gt;[sound:ひょうじょう.mp3]&lt;/div&gt;</v>
      </c>
      <c r="H1084" s="3" t="str">
        <f t="shared" si="1"/>
        <v>(n): biểu cảm</v>
      </c>
      <c r="I1084" s="6" t="s">
        <v>5852</v>
      </c>
      <c r="J1084" s="6" t="s">
        <v>5853</v>
      </c>
      <c r="K1084" s="7">
        <f t="shared" si="2"/>
        <v>0.1950989014</v>
      </c>
    </row>
    <row r="1085">
      <c r="A1085" s="4">
        <v>1085.0</v>
      </c>
      <c r="B1085" s="5" t="s">
        <v>5854</v>
      </c>
      <c r="C1085" s="5" t="s">
        <v>5855</v>
      </c>
      <c r="D1085" s="5" t="s">
        <v>5856</v>
      </c>
      <c r="E1085" s="6" t="s">
        <v>74</v>
      </c>
      <c r="F1085" s="6" t="s">
        <v>5857</v>
      </c>
      <c r="G1085" s="3" t="str">
        <f>IFERROR(__xludf.DUMMYFUNCTION("REGEXREPLACE(
D1085,
""([一-龯々]+)\[([^\]]+)\]"",
""&lt;ruby&gt;$1&lt;rt&gt;$2&lt;/rt&gt;&lt;/ruby&gt;""
)&amp;""&lt;br&gt;&lt;div class=""""audio""""&gt;[sound:""&amp;C1085&amp;"".mp3]&lt;/div&gt;"""),"&lt;ruby&gt;評価&lt;rt&gt;ひょうか&lt;/rt&gt;&lt;/ruby&gt;&lt;br&gt;&lt;div class=""audio""&gt;[sound:ひょうか.mp3]&lt;/div&gt;")</f>
        <v>&lt;ruby&gt;評価&lt;rt&gt;ひょうか&lt;/rt&gt;&lt;/ruby&gt;&lt;br&gt;&lt;div class="audio"&gt;[sound:ひょうか.mp3]&lt;/div&gt;</v>
      </c>
      <c r="H1085" s="3" t="str">
        <f t="shared" si="1"/>
        <v>(n): đánh giá</v>
      </c>
      <c r="I1085" s="6" t="s">
        <v>5858</v>
      </c>
      <c r="J1085" s="6" t="s">
        <v>5859</v>
      </c>
      <c r="K1085" s="7">
        <f t="shared" si="2"/>
        <v>0.5872653834</v>
      </c>
    </row>
    <row r="1086">
      <c r="A1086" s="4">
        <v>1086.0</v>
      </c>
      <c r="B1086" s="5" t="s">
        <v>5860</v>
      </c>
      <c r="C1086" s="5" t="s">
        <v>5861</v>
      </c>
      <c r="D1086" s="5" t="s">
        <v>5862</v>
      </c>
      <c r="E1086" s="6" t="s">
        <v>74</v>
      </c>
      <c r="F1086" s="6" t="s">
        <v>5863</v>
      </c>
      <c r="G1086" s="3" t="str">
        <f>IFERROR(__xludf.DUMMYFUNCTION("REGEXREPLACE(
D1086,
""([一-龯々]+)\[([^\]]+)\]"",
""&lt;ruby&gt;$1&lt;rt&gt;$2&lt;/rt&gt;&lt;/ruby&gt;""
)&amp;""&lt;br&gt;&lt;div class=""""audio""""&gt;[sound:""&amp;C1086&amp;"".mp3]&lt;/div&gt;"""),"&lt;ruby&gt;今夜&lt;rt&gt;こんや&lt;/rt&gt;&lt;/ruby&gt;&lt;br&gt;&lt;div class=""audio""&gt;[sound:こんや.mp3]&lt;/div&gt;")</f>
        <v>&lt;ruby&gt;今夜&lt;rt&gt;こんや&lt;/rt&gt;&lt;/ruby&gt;&lt;br&gt;&lt;div class="audio"&gt;[sound:こんや.mp3]&lt;/div&gt;</v>
      </c>
      <c r="H1086" s="3" t="str">
        <f t="shared" si="1"/>
        <v>(n): tối nay</v>
      </c>
      <c r="I1086" s="6" t="s">
        <v>5864</v>
      </c>
      <c r="J1086" s="6" t="s">
        <v>5865</v>
      </c>
      <c r="K1086" s="7">
        <f t="shared" si="2"/>
        <v>0.8654320843</v>
      </c>
    </row>
    <row r="1087">
      <c r="A1087" s="4">
        <v>1087.0</v>
      </c>
      <c r="B1087" s="5" t="s">
        <v>5866</v>
      </c>
      <c r="C1087" s="5" t="s">
        <v>5867</v>
      </c>
      <c r="D1087" s="5" t="s">
        <v>5866</v>
      </c>
      <c r="E1087" s="6" t="s">
        <v>74</v>
      </c>
      <c r="F1087" s="6" t="s">
        <v>5868</v>
      </c>
      <c r="G1087" s="3" t="str">
        <f>IFERROR(__xludf.DUMMYFUNCTION("REGEXREPLACE(
D1087,
""([一-龯々]+)\[([^\]]+)\]"",
""&lt;ruby&gt;$1&lt;rt&gt;$2&lt;/rt&gt;&lt;/ruby&gt;""
)&amp;""&lt;br&gt;&lt;div class=""""audio""""&gt;[sound:""&amp;C1087&amp;"".mp3]&lt;/div&gt;"""),"デート&lt;br&gt;&lt;div class=""audio""&gt;[sound:でーと.mp3]&lt;/div&gt;")</f>
        <v>デート&lt;br&gt;&lt;div class="audio"&gt;[sound:でーと.mp3]&lt;/div&gt;</v>
      </c>
      <c r="H1087" s="3" t="str">
        <f t="shared" si="1"/>
        <v>(n): hẹn hò</v>
      </c>
      <c r="I1087" s="6" t="s">
        <v>5869</v>
      </c>
      <c r="J1087" s="6" t="s">
        <v>5870</v>
      </c>
      <c r="K1087" s="7">
        <f t="shared" si="2"/>
        <v>0.2150665153</v>
      </c>
    </row>
    <row r="1088">
      <c r="A1088" s="4">
        <v>1088.0</v>
      </c>
      <c r="B1088" s="5" t="s">
        <v>5871</v>
      </c>
      <c r="C1088" s="5" t="s">
        <v>5872</v>
      </c>
      <c r="D1088" s="5" t="s">
        <v>5873</v>
      </c>
      <c r="E1088" s="6" t="s">
        <v>11</v>
      </c>
      <c r="F1088" s="6" t="s">
        <v>5874</v>
      </c>
      <c r="G1088" s="3" t="str">
        <f>IFERROR(__xludf.DUMMYFUNCTION("REGEXREPLACE(
D1088,
""([一-龯々]+)\[([^\]]+)\]"",
""&lt;ruby&gt;$1&lt;rt&gt;$2&lt;/rt&gt;&lt;/ruby&gt;""
)&amp;""&lt;br&gt;&lt;div class=""""audio""""&gt;[sound:""&amp;C1088&amp;"".mp3]&lt;/div&gt;"""),"&lt;ruby&gt;明&lt;rt&gt;あか&lt;/rt&gt;&lt;/ruby&gt;るい&lt;br&gt;&lt;div class=""audio""&gt;[sound:あかるい.mp3]&lt;/div&gt;")</f>
        <v>&lt;ruby&gt;明&lt;rt&gt;あか&lt;/rt&gt;&lt;/ruby&gt;るい&lt;br&gt;&lt;div class="audio"&gt;[sound:あかるい.mp3]&lt;/div&gt;</v>
      </c>
      <c r="H1088" s="3" t="str">
        <f t="shared" si="1"/>
        <v>(adj): sáng</v>
      </c>
      <c r="I1088" s="6" t="s">
        <v>5875</v>
      </c>
      <c r="J1088" s="6" t="s">
        <v>5876</v>
      </c>
      <c r="K1088" s="7">
        <f t="shared" si="2"/>
        <v>0.6669280707</v>
      </c>
    </row>
    <row r="1089">
      <c r="A1089" s="4">
        <v>1089.0</v>
      </c>
      <c r="B1089" s="5" t="s">
        <v>5877</v>
      </c>
      <c r="C1089" s="5" t="s">
        <v>5877</v>
      </c>
      <c r="D1089" s="5" t="s">
        <v>5877</v>
      </c>
      <c r="E1089" s="6" t="s">
        <v>74</v>
      </c>
      <c r="F1089" s="6" t="s">
        <v>5878</v>
      </c>
      <c r="G1089" s="3" t="str">
        <f>IFERROR(__xludf.DUMMYFUNCTION("REGEXREPLACE(
D1089,
""([一-龯々]+)\[([^\]]+)\]"",
""&lt;ruby&gt;$1&lt;rt&gt;$2&lt;/rt&gt;&lt;/ruby&gt;""
)&amp;""&lt;br&gt;&lt;div class=""""audio""""&gt;[sound:""&amp;C1089&amp;"".mp3]&lt;/div&gt;"""),"たて&lt;br&gt;&lt;div class=""audio""&gt;[sound:たて.mp3]&lt;/div&gt;")</f>
        <v>たて&lt;br&gt;&lt;div class="audio"&gt;[sound:たて.mp3]&lt;/div&gt;</v>
      </c>
      <c r="H1089" s="3" t="str">
        <f t="shared" si="1"/>
        <v>(n): dọc</v>
      </c>
      <c r="I1089" s="6" t="s">
        <v>5879</v>
      </c>
      <c r="J1089" s="6" t="s">
        <v>5880</v>
      </c>
      <c r="K1089" s="7">
        <f t="shared" si="2"/>
        <v>0.5268948317</v>
      </c>
    </row>
    <row r="1090">
      <c r="A1090" s="4">
        <v>1090.0</v>
      </c>
      <c r="B1090" s="5" t="s">
        <v>5881</v>
      </c>
      <c r="C1090" s="5" t="s">
        <v>4110</v>
      </c>
      <c r="D1090" s="5" t="s">
        <v>5882</v>
      </c>
      <c r="E1090" s="6" t="s">
        <v>74</v>
      </c>
      <c r="F1090" s="6" t="s">
        <v>5883</v>
      </c>
      <c r="G1090" s="3" t="str">
        <f>IFERROR(__xludf.DUMMYFUNCTION("REGEXREPLACE(
D1090,
""([一-龯々]+)\[([^\]]+)\]"",
""&lt;ruby&gt;$1&lt;rt&gt;$2&lt;/rt&gt;&lt;/ruby&gt;""
)&amp;""&lt;br&gt;&lt;div class=""""audio""""&gt;[sound:""&amp;C1090&amp;"".mp3]&lt;/div&gt;"""),"&lt;ruby&gt;街&lt;rt&gt;まち&lt;/rt&gt;&lt;/ruby&gt;&lt;br&gt;&lt;div class=""audio""&gt;[sound:まち.mp3]&lt;/div&gt;")</f>
        <v>&lt;ruby&gt;街&lt;rt&gt;まち&lt;/rt&gt;&lt;/ruby&gt;&lt;br&gt;&lt;div class="audio"&gt;[sound:まち.mp3]&lt;/div&gt;</v>
      </c>
      <c r="H1090" s="3" t="str">
        <f t="shared" si="1"/>
        <v>(n): phố</v>
      </c>
      <c r="I1090" s="6" t="s">
        <v>5884</v>
      </c>
      <c r="J1090" s="6" t="s">
        <v>5885</v>
      </c>
      <c r="K1090" s="7">
        <f t="shared" si="2"/>
        <v>0.7089037244</v>
      </c>
    </row>
    <row r="1091">
      <c r="A1091" s="4">
        <v>1091.0</v>
      </c>
      <c r="B1091" s="5" t="s">
        <v>5886</v>
      </c>
      <c r="C1091" s="5" t="s">
        <v>5887</v>
      </c>
      <c r="D1091" s="5" t="s">
        <v>5886</v>
      </c>
      <c r="E1091" s="6" t="s">
        <v>74</v>
      </c>
      <c r="F1091" s="6" t="s">
        <v>5888</v>
      </c>
      <c r="G1091" s="3" t="str">
        <f>IFERROR(__xludf.DUMMYFUNCTION("REGEXREPLACE(
D1091,
""([一-龯々]+)\[([^\]]+)\]"",
""&lt;ruby&gt;$1&lt;rt&gt;$2&lt;/rt&gt;&lt;/ruby&gt;""
)&amp;""&lt;br&gt;&lt;div class=""""audio""""&gt;[sound:""&amp;C1091&amp;"".mp3]&lt;/div&gt;"""),"プログラム&lt;br&gt;&lt;div class=""audio""&gt;[sound:ぷろぐらむ.mp3]&lt;/div&gt;")</f>
        <v>プログラム&lt;br&gt;&lt;div class="audio"&gt;[sound:ぷろぐらむ.mp3]&lt;/div&gt;</v>
      </c>
      <c r="H1091" s="3" t="str">
        <f t="shared" si="1"/>
        <v>(n): chương trình</v>
      </c>
      <c r="I1091" s="6" t="s">
        <v>5889</v>
      </c>
      <c r="J1091" s="6" t="s">
        <v>5890</v>
      </c>
      <c r="K1091" s="7">
        <f t="shared" si="2"/>
        <v>0.7049780937</v>
      </c>
    </row>
    <row r="1092">
      <c r="A1092" s="4">
        <v>1092.0</v>
      </c>
      <c r="B1092" s="5" t="s">
        <v>5891</v>
      </c>
      <c r="C1092" s="5" t="s">
        <v>5892</v>
      </c>
      <c r="D1092" s="5" t="s">
        <v>5893</v>
      </c>
      <c r="E1092" s="6" t="s">
        <v>74</v>
      </c>
      <c r="F1092" s="6" t="s">
        <v>5894</v>
      </c>
      <c r="G1092" s="3" t="str">
        <f>IFERROR(__xludf.DUMMYFUNCTION("REGEXREPLACE(
D1092,
""([一-龯々]+)\[([^\]]+)\]"",
""&lt;ruby&gt;$1&lt;rt&gt;$2&lt;/rt&gt;&lt;/ruby&gt;""
)&amp;""&lt;br&gt;&lt;div class=""""audio""""&gt;[sound:""&amp;C1092&amp;"".mp3]&lt;/div&gt;"""),"&lt;ruby&gt;工事&lt;rt&gt;こうじ&lt;/rt&gt;&lt;/ruby&gt;&lt;br&gt;&lt;div class=""audio""&gt;[sound:こうじ.mp3]&lt;/div&gt;")</f>
        <v>&lt;ruby&gt;工事&lt;rt&gt;こうじ&lt;/rt&gt;&lt;/ruby&gt;&lt;br&gt;&lt;div class="audio"&gt;[sound:こうじ.mp3]&lt;/div&gt;</v>
      </c>
      <c r="H1092" s="3" t="str">
        <f t="shared" si="1"/>
        <v>(n): công trường</v>
      </c>
      <c r="I1092" s="6" t="s">
        <v>5895</v>
      </c>
      <c r="J1092" s="6" t="s">
        <v>5896</v>
      </c>
      <c r="K1092" s="7">
        <f t="shared" si="2"/>
        <v>0.2752978959</v>
      </c>
    </row>
    <row r="1093">
      <c r="A1093" s="4">
        <v>1093.0</v>
      </c>
      <c r="B1093" s="5" t="s">
        <v>5897</v>
      </c>
      <c r="C1093" s="5" t="s">
        <v>5898</v>
      </c>
      <c r="D1093" s="5" t="s">
        <v>5899</v>
      </c>
      <c r="E1093" s="6" t="s">
        <v>24</v>
      </c>
      <c r="F1093" s="6" t="s">
        <v>5900</v>
      </c>
      <c r="G1093" s="3" t="str">
        <f>IFERROR(__xludf.DUMMYFUNCTION("REGEXREPLACE(
D1093,
""([一-龯々]+)\[([^\]]+)\]"",
""&lt;ruby&gt;$1&lt;rt&gt;$2&lt;/rt&gt;&lt;/ruby&gt;""
)&amp;""&lt;br&gt;&lt;div class=""""audio""""&gt;[sound:""&amp;C1093&amp;"".mp3]&lt;/div&gt;"""),"&lt;ruby&gt;主張&lt;rt&gt;しゅちょう&lt;/rt&gt;&lt;/ruby&gt;&lt;br&gt;&lt;div class=""audio""&gt;[sound:しゅちょう.mp3]&lt;/div&gt;")</f>
        <v>&lt;ruby&gt;主張&lt;rt&gt;しゅちょう&lt;/rt&gt;&lt;/ruby&gt;&lt;br&gt;&lt;div class="audio"&gt;[sound:しゅちょう.mp3]&lt;/div&gt;</v>
      </c>
      <c r="H1093" s="3" t="str">
        <f t="shared" si="1"/>
        <v>(v): khẳng định</v>
      </c>
      <c r="I1093" s="6" t="s">
        <v>5901</v>
      </c>
      <c r="J1093" s="6" t="s">
        <v>5902</v>
      </c>
      <c r="K1093" s="7">
        <f t="shared" si="2"/>
        <v>0.4455947924</v>
      </c>
    </row>
    <row r="1094">
      <c r="A1094" s="4">
        <v>1094.0</v>
      </c>
      <c r="B1094" s="5" t="s">
        <v>5903</v>
      </c>
      <c r="C1094" s="5" t="s">
        <v>5904</v>
      </c>
      <c r="D1094" s="5" t="s">
        <v>5905</v>
      </c>
      <c r="E1094" s="6" t="s">
        <v>74</v>
      </c>
      <c r="F1094" s="6" t="s">
        <v>5906</v>
      </c>
      <c r="G1094" s="3" t="str">
        <f>IFERROR(__xludf.DUMMYFUNCTION("REGEXREPLACE(
D1094,
""([一-龯々]+)\[([^\]]+)\]"",
""&lt;ruby&gt;$1&lt;rt&gt;$2&lt;/rt&gt;&lt;/ruby&gt;""
)&amp;""&lt;br&gt;&lt;div class=""""audio""""&gt;[sound:""&amp;C1094&amp;"".mp3]&lt;/div&gt;"""),"&lt;ruby&gt;強化&lt;rt&gt;きょうか&lt;/rt&gt;&lt;/ruby&gt;&lt;br&gt;&lt;div class=""audio""&gt;[sound:きょうか.mp3]&lt;/div&gt;")</f>
        <v>&lt;ruby&gt;強化&lt;rt&gt;きょうか&lt;/rt&gt;&lt;/ruby&gt;&lt;br&gt;&lt;div class="audio"&gt;[sound:きょうか.mp3]&lt;/div&gt;</v>
      </c>
      <c r="H1094" s="3" t="str">
        <f t="shared" si="1"/>
        <v>(n): tăng cường</v>
      </c>
      <c r="I1094" s="6" t="s">
        <v>5907</v>
      </c>
      <c r="J1094" s="6" t="s">
        <v>5908</v>
      </c>
      <c r="K1094" s="7">
        <f t="shared" si="2"/>
        <v>0.650668707</v>
      </c>
    </row>
    <row r="1095">
      <c r="A1095" s="4">
        <v>1095.0</v>
      </c>
      <c r="B1095" s="5" t="s">
        <v>5909</v>
      </c>
      <c r="C1095" s="5" t="s">
        <v>5910</v>
      </c>
      <c r="D1095" s="5" t="s">
        <v>5911</v>
      </c>
      <c r="E1095" s="6" t="s">
        <v>74</v>
      </c>
      <c r="F1095" s="6" t="s">
        <v>5912</v>
      </c>
      <c r="G1095" s="3" t="str">
        <f>IFERROR(__xludf.DUMMYFUNCTION("REGEXREPLACE(
D1095,
""([一-龯々]+)\[([^\]]+)\]"",
""&lt;ruby&gt;$1&lt;rt&gt;$2&lt;/rt&gt;&lt;/ruby&gt;""
)&amp;""&lt;br&gt;&lt;div class=""""audio""""&gt;[sound:""&amp;C1095&amp;"".mp3]&lt;/div&gt;"""),"&lt;ruby&gt;解決&lt;rt&gt;かいけつ&lt;/rt&gt;&lt;/ruby&gt;&lt;br&gt;&lt;div class=""audio""&gt;[sound:かいけつ.mp3]&lt;/div&gt;")</f>
        <v>&lt;ruby&gt;解決&lt;rt&gt;かいけつ&lt;/rt&gt;&lt;/ruby&gt;&lt;br&gt;&lt;div class="audio"&gt;[sound:かいけつ.mp3]&lt;/div&gt;</v>
      </c>
      <c r="H1095" s="3" t="str">
        <f t="shared" si="1"/>
        <v>(n): giải quyết</v>
      </c>
      <c r="I1095" s="6" t="s">
        <v>5913</v>
      </c>
      <c r="J1095" s="6" t="s">
        <v>5914</v>
      </c>
      <c r="K1095" s="7">
        <f t="shared" si="2"/>
        <v>0.1145617722</v>
      </c>
    </row>
    <row r="1096">
      <c r="A1096" s="4">
        <v>1096.0</v>
      </c>
      <c r="B1096" s="5" t="s">
        <v>5915</v>
      </c>
      <c r="C1096" s="5" t="s">
        <v>5915</v>
      </c>
      <c r="D1096" s="5" t="s">
        <v>5915</v>
      </c>
      <c r="E1096" s="6" t="s">
        <v>33</v>
      </c>
      <c r="F1096" s="6" t="s">
        <v>5916</v>
      </c>
      <c r="G1096" s="3" t="str">
        <f>IFERROR(__xludf.DUMMYFUNCTION("REGEXREPLACE(
D1096,
""([一-龯々]+)\[([^\]]+)\]"",
""&lt;ruby&gt;$1&lt;rt&gt;$2&lt;/rt&gt;&lt;/ruby&gt;""
)&amp;""&lt;br&gt;&lt;div class=""""audio""""&gt;[sound:""&amp;C1096&amp;"".mp3]&lt;/div&gt;"""),"ただいま&lt;br&gt;&lt;div class=""audio""&gt;[sound:ただいま.mp3]&lt;/div&gt;")</f>
        <v>ただいま&lt;br&gt;&lt;div class="audio"&gt;[sound:ただいま.mp3]&lt;/div&gt;</v>
      </c>
      <c r="H1096" s="3" t="str">
        <f t="shared" si="1"/>
        <v>(int): tôi đã về</v>
      </c>
      <c r="I1096" s="6" t="s">
        <v>5917</v>
      </c>
      <c r="J1096" s="6" t="s">
        <v>5918</v>
      </c>
      <c r="K1096" s="7">
        <f t="shared" si="2"/>
        <v>0.1648714705</v>
      </c>
    </row>
    <row r="1097">
      <c r="A1097" s="4">
        <v>1097.0</v>
      </c>
      <c r="B1097" s="5" t="s">
        <v>5919</v>
      </c>
      <c r="C1097" s="5" t="s">
        <v>5919</v>
      </c>
      <c r="D1097" s="5" t="s">
        <v>5919</v>
      </c>
      <c r="E1097" s="6" t="s">
        <v>11</v>
      </c>
      <c r="F1097" s="6" t="s">
        <v>5920</v>
      </c>
      <c r="G1097" s="3" t="str">
        <f>IFERROR(__xludf.DUMMYFUNCTION("REGEXREPLACE(
D1097,
""([一-龯々]+)\[([^\]]+)\]"",
""&lt;ruby&gt;$1&lt;rt&gt;$2&lt;/rt&gt;&lt;/ruby&gt;""
)&amp;""&lt;br&gt;&lt;div class=""""audio""""&gt;[sound:""&amp;C1097&amp;"".mp3]&lt;/div&gt;"""),"つまらない&lt;br&gt;&lt;div class=""audio""&gt;[sound:つまらない.mp3]&lt;/div&gt;")</f>
        <v>つまらない&lt;br&gt;&lt;div class="audio"&gt;[sound:つまらない.mp3]&lt;/div&gt;</v>
      </c>
      <c r="H1097" s="3" t="str">
        <f t="shared" si="1"/>
        <v>(adj): nhàm chán</v>
      </c>
      <c r="I1097" s="6" t="s">
        <v>5921</v>
      </c>
      <c r="J1097" s="6" t="s">
        <v>5922</v>
      </c>
      <c r="K1097" s="7">
        <f t="shared" si="2"/>
        <v>0.1561587633</v>
      </c>
    </row>
    <row r="1098">
      <c r="A1098" s="4">
        <v>1098.0</v>
      </c>
      <c r="B1098" s="5" t="s">
        <v>5923</v>
      </c>
      <c r="C1098" s="5" t="s">
        <v>5924</v>
      </c>
      <c r="D1098" s="5" t="s">
        <v>5925</v>
      </c>
      <c r="E1098" s="6" t="s">
        <v>74</v>
      </c>
      <c r="F1098" s="6" t="s">
        <v>5926</v>
      </c>
      <c r="G1098" s="3" t="str">
        <f>IFERROR(__xludf.DUMMYFUNCTION("REGEXREPLACE(
D1098,
""([一-龯々]+)\[([^\]]+)\]"",
""&lt;ruby&gt;$1&lt;rt&gt;$2&lt;/rt&gt;&lt;/ruby&gt;""
)&amp;""&lt;br&gt;&lt;div class=""""audio""""&gt;[sound:""&amp;C1098&amp;"".mp3]&lt;/div&gt;"""),"&lt;ruby&gt;主義&lt;rt&gt;しゅぎ&lt;/rt&gt;&lt;/ruby&gt;&lt;br&gt;&lt;div class=""audio""&gt;[sound:しゅぎ.mp3]&lt;/div&gt;")</f>
        <v>&lt;ruby&gt;主義&lt;rt&gt;しゅぎ&lt;/rt&gt;&lt;/ruby&gt;&lt;br&gt;&lt;div class="audio"&gt;[sound:しゅぎ.mp3]&lt;/div&gt;</v>
      </c>
      <c r="H1098" s="3" t="str">
        <f t="shared" si="1"/>
        <v>(n): chủ nghĩa</v>
      </c>
      <c r="I1098" s="6" t="s">
        <v>5927</v>
      </c>
      <c r="J1098" s="6" t="s">
        <v>5928</v>
      </c>
      <c r="K1098" s="7">
        <f t="shared" si="2"/>
        <v>0.8654500061</v>
      </c>
    </row>
    <row r="1099">
      <c r="A1099" s="4">
        <v>1099.0</v>
      </c>
      <c r="B1099" s="5" t="s">
        <v>5929</v>
      </c>
      <c r="C1099" s="5" t="s">
        <v>5930</v>
      </c>
      <c r="D1099" s="5" t="s">
        <v>5931</v>
      </c>
      <c r="E1099" s="6" t="s">
        <v>44</v>
      </c>
      <c r="F1099" s="6" t="s">
        <v>5932</v>
      </c>
      <c r="G1099" s="3" t="str">
        <f>IFERROR(__xludf.DUMMYFUNCTION("REGEXREPLACE(
D1099,
""([一-龯々]+)\[([^\]]+)\]"",
""&lt;ruby&gt;$1&lt;rt&gt;$2&lt;/rt&gt;&lt;/ruby&gt;""
)&amp;""&lt;br&gt;&lt;div class=""""audio""""&gt;[sound:""&amp;C1099&amp;"".mp3]&lt;/div&gt;"""),"&lt;ruby&gt;我々&lt;rt&gt;われわれ&lt;/rt&gt;&lt;/ruby&gt;&lt;br&gt;&lt;div class=""audio""&gt;[sound:われわれ.mp3]&lt;/div&gt;")</f>
        <v>&lt;ruby&gt;我々&lt;rt&gt;われわれ&lt;/rt&gt;&lt;/ruby&gt;&lt;br&gt;&lt;div class="audio"&gt;[sound:われわれ.mp3]&lt;/div&gt;</v>
      </c>
      <c r="H1099" s="3" t="str">
        <f t="shared" si="1"/>
        <v>(pron): chúng tôi</v>
      </c>
      <c r="I1099" s="6" t="s">
        <v>5933</v>
      </c>
      <c r="J1099" s="6" t="s">
        <v>5934</v>
      </c>
      <c r="K1099" s="7">
        <f t="shared" si="2"/>
        <v>0.326053184</v>
      </c>
    </row>
    <row r="1100">
      <c r="A1100" s="4">
        <v>1100.0</v>
      </c>
      <c r="B1100" s="5" t="s">
        <v>5935</v>
      </c>
      <c r="C1100" s="5" t="s">
        <v>5936</v>
      </c>
      <c r="D1100" s="5" t="s">
        <v>5935</v>
      </c>
      <c r="E1100" s="6" t="s">
        <v>24</v>
      </c>
      <c r="F1100" s="6" t="s">
        <v>5937</v>
      </c>
      <c r="G1100" s="3" t="str">
        <f>IFERROR(__xludf.DUMMYFUNCTION("REGEXREPLACE(
D1100,
""([一-龯々]+)\[([^\]]+)\]"",
""&lt;ruby&gt;$1&lt;rt&gt;$2&lt;/rt&gt;&lt;/ruby&gt;""
)&amp;""&lt;br&gt;&lt;div class=""""audio""""&gt;[sound:""&amp;C1100&amp;"".mp3]&lt;/div&gt;"""),"コピーする&lt;br&gt;&lt;div class=""audio""&gt;[sound:こぴーする.mp3]&lt;/div&gt;")</f>
        <v>コピーする&lt;br&gt;&lt;div class="audio"&gt;[sound:こぴーする.mp3]&lt;/div&gt;</v>
      </c>
      <c r="H1100" s="3" t="str">
        <f t="shared" si="1"/>
        <v>(v): sao chép</v>
      </c>
      <c r="I1100" s="6" t="s">
        <v>5938</v>
      </c>
      <c r="J1100" s="6" t="s">
        <v>5939</v>
      </c>
      <c r="K1100" s="7">
        <f t="shared" si="2"/>
        <v>0.8696141017</v>
      </c>
    </row>
    <row r="1101">
      <c r="A1101" s="4">
        <v>1101.0</v>
      </c>
      <c r="B1101" s="5" t="s">
        <v>5940</v>
      </c>
      <c r="C1101" s="5" t="s">
        <v>5941</v>
      </c>
      <c r="D1101" s="5" t="s">
        <v>5940</v>
      </c>
      <c r="E1101" s="6" t="s">
        <v>74</v>
      </c>
      <c r="F1101" s="6" t="s">
        <v>2337</v>
      </c>
      <c r="G1101" s="3" t="str">
        <f>IFERROR(__xludf.DUMMYFUNCTION("REGEXREPLACE(
D1101,
""([一-龯々]+)\[([^\]]+)\]"",
""&lt;ruby&gt;$1&lt;rt&gt;$2&lt;/rt&gt;&lt;/ruby&gt;""
)&amp;""&lt;br&gt;&lt;div class=""""audio""""&gt;[sound:""&amp;C1101&amp;"".mp3]&lt;/div&gt;"""),"バック&lt;br&gt;&lt;div class=""audio""&gt;[sound:ばっく.mp3]&lt;/div&gt;")</f>
        <v>バック&lt;br&gt;&lt;div class="audio"&gt;[sound:ばっく.mp3]&lt;/div&gt;</v>
      </c>
      <c r="H1101" s="3" t="str">
        <f t="shared" si="1"/>
        <v>(n): phía sau</v>
      </c>
      <c r="I1101" s="6" t="s">
        <v>5942</v>
      </c>
      <c r="J1101" s="6" t="s">
        <v>5943</v>
      </c>
      <c r="K1101" s="7">
        <f t="shared" si="2"/>
        <v>0.4909574535</v>
      </c>
    </row>
    <row r="1102">
      <c r="A1102" s="4">
        <v>1102.0</v>
      </c>
      <c r="B1102" s="5" t="s">
        <v>5944</v>
      </c>
      <c r="C1102" s="5" t="s">
        <v>5945</v>
      </c>
      <c r="D1102" s="5" t="s">
        <v>5946</v>
      </c>
      <c r="E1102" s="6" t="s">
        <v>24</v>
      </c>
      <c r="F1102" s="6" t="s">
        <v>3898</v>
      </c>
      <c r="G1102" s="3" t="str">
        <f>IFERROR(__xludf.DUMMYFUNCTION("REGEXREPLACE(
D1102,
""([一-龯々]+)\[([^\]]+)\]"",
""&lt;ruby&gt;$1&lt;rt&gt;$2&lt;/rt&gt;&lt;/ruby&gt;""
)&amp;""&lt;br&gt;&lt;div class=""""audio""""&gt;[sound:""&amp;C1102&amp;"".mp3]&lt;/div&gt;"""),"&lt;ruby&gt;並&lt;rt&gt;なら&lt;/rt&gt;&lt;/ruby&gt;べる&lt;br&gt;&lt;div class=""audio""&gt;[sound:ならべる.mp3]&lt;/div&gt;")</f>
        <v>&lt;ruby&gt;並&lt;rt&gt;なら&lt;/rt&gt;&lt;/ruby&gt;べる&lt;br&gt;&lt;div class="audio"&gt;[sound:ならべる.mp3]&lt;/div&gt;</v>
      </c>
      <c r="H1102" s="3" t="str">
        <f t="shared" si="1"/>
        <v>(v): xếp hàng</v>
      </c>
      <c r="I1102" s="6" t="s">
        <v>5947</v>
      </c>
      <c r="J1102" s="6" t="s">
        <v>5948</v>
      </c>
      <c r="K1102" s="7">
        <f t="shared" si="2"/>
        <v>0.2773471285</v>
      </c>
    </row>
    <row r="1103">
      <c r="A1103" s="4">
        <v>1103.0</v>
      </c>
      <c r="B1103" s="5" t="s">
        <v>5949</v>
      </c>
      <c r="C1103" s="5" t="s">
        <v>368</v>
      </c>
      <c r="D1103" s="5" t="s">
        <v>5950</v>
      </c>
      <c r="E1103" s="6" t="s">
        <v>24</v>
      </c>
      <c r="F1103" s="6" t="s">
        <v>4010</v>
      </c>
      <c r="G1103" s="3" t="str">
        <f>IFERROR(__xludf.DUMMYFUNCTION("REGEXREPLACE(
D1103,
""([一-龯々]+)\[([^\]]+)\]"",
""&lt;ruby&gt;$1&lt;rt&gt;$2&lt;/rt&gt;&lt;/ruby&gt;""
)&amp;""&lt;br&gt;&lt;div class=""""audio""""&gt;[sound:""&amp;C1103&amp;"".mp3]&lt;/div&gt;"""),"&lt;ruby&gt;代&lt;rt&gt;か&lt;/rt&gt;&lt;/ruby&gt;える&lt;br&gt;&lt;div class=""audio""&gt;[sound:かえる.mp3]&lt;/div&gt;")</f>
        <v>&lt;ruby&gt;代&lt;rt&gt;か&lt;/rt&gt;&lt;/ruby&gt;える&lt;br&gt;&lt;div class="audio"&gt;[sound:かえる.mp3]&lt;/div&gt;</v>
      </c>
      <c r="H1103" s="3" t="str">
        <f t="shared" si="1"/>
        <v>(v): thay thế</v>
      </c>
      <c r="I1103" s="6" t="s">
        <v>5951</v>
      </c>
      <c r="J1103" s="6" t="s">
        <v>5952</v>
      </c>
      <c r="K1103" s="7">
        <f t="shared" si="2"/>
        <v>0.8081744544</v>
      </c>
    </row>
    <row r="1104">
      <c r="A1104" s="4">
        <v>1104.0</v>
      </c>
      <c r="B1104" s="5" t="s">
        <v>5953</v>
      </c>
      <c r="C1104" s="5" t="s">
        <v>5954</v>
      </c>
      <c r="D1104" s="5" t="s">
        <v>5955</v>
      </c>
      <c r="E1104" s="6" t="s">
        <v>24</v>
      </c>
      <c r="F1104" s="6" t="s">
        <v>5956</v>
      </c>
      <c r="G1104" s="3" t="str">
        <f>IFERROR(__xludf.DUMMYFUNCTION("REGEXREPLACE(
D1104,
""([一-龯々]+)\[([^\]]+)\]"",
""&lt;ruby&gt;$1&lt;rt&gt;$2&lt;/rt&gt;&lt;/ruby&gt;""
)&amp;""&lt;br&gt;&lt;div class=""""audio""""&gt;[sound:""&amp;C1104&amp;"".mp3]&lt;/div&gt;"""),"&lt;ruby&gt;進&lt;rt&gt;すす&lt;/rt&gt;&lt;/ruby&gt;める&lt;br&gt;&lt;div class=""audio""&gt;[sound:すすめる.mp3]&lt;/div&gt;")</f>
        <v>&lt;ruby&gt;進&lt;rt&gt;すす&lt;/rt&gt;&lt;/ruby&gt;める&lt;br&gt;&lt;div class="audio"&gt;[sound:すすめる.mp3]&lt;/div&gt;</v>
      </c>
      <c r="H1104" s="3" t="str">
        <f t="shared" si="1"/>
        <v>(v): thúc đẩy</v>
      </c>
      <c r="I1104" s="6" t="s">
        <v>5957</v>
      </c>
      <c r="J1104" s="6" t="s">
        <v>5958</v>
      </c>
      <c r="K1104" s="7">
        <f t="shared" si="2"/>
        <v>0.2048181299</v>
      </c>
    </row>
    <row r="1105">
      <c r="A1105" s="4">
        <v>1105.0</v>
      </c>
      <c r="B1105" s="5" t="s">
        <v>5959</v>
      </c>
      <c r="C1105" s="5" t="s">
        <v>5959</v>
      </c>
      <c r="D1105" s="5" t="s">
        <v>5959</v>
      </c>
      <c r="E1105" s="6" t="s">
        <v>11</v>
      </c>
      <c r="F1105" s="6" t="s">
        <v>5960</v>
      </c>
      <c r="G1105" s="3" t="str">
        <f>IFERROR(__xludf.DUMMYFUNCTION("REGEXREPLACE(
D1105,
""([一-龯々]+)\[([^\]]+)\]"",
""&lt;ruby&gt;$1&lt;rt&gt;$2&lt;/rt&gt;&lt;/ruby&gt;""
)&amp;""&lt;br&gt;&lt;div class=""""audio""""&gt;[sound:""&amp;C1105&amp;"".mp3]&lt;/div&gt;"""),"きつい&lt;br&gt;&lt;div class=""audio""&gt;[sound:きつい.mp3]&lt;/div&gt;")</f>
        <v>きつい&lt;br&gt;&lt;div class="audio"&gt;[sound:きつい.mp3]&lt;/div&gt;</v>
      </c>
      <c r="H1105" s="3" t="str">
        <f t="shared" si="1"/>
        <v>(adj): chật</v>
      </c>
      <c r="I1105" s="6" t="s">
        <v>5961</v>
      </c>
      <c r="J1105" s="6" t="s">
        <v>5962</v>
      </c>
      <c r="K1105" s="7">
        <f t="shared" si="2"/>
        <v>0.9858091833</v>
      </c>
    </row>
    <row r="1106">
      <c r="A1106" s="4">
        <v>1106.0</v>
      </c>
      <c r="B1106" s="5" t="s">
        <v>5963</v>
      </c>
      <c r="C1106" s="5" t="s">
        <v>5964</v>
      </c>
      <c r="D1106" s="5" t="s">
        <v>5963</v>
      </c>
      <c r="E1106" s="6" t="s">
        <v>74</v>
      </c>
      <c r="F1106" s="6" t="s">
        <v>5965</v>
      </c>
      <c r="G1106" s="3" t="str">
        <f>IFERROR(__xludf.DUMMYFUNCTION("REGEXREPLACE(
D1106,
""([一-龯々]+)\[([^\]]+)\]"",
""&lt;ruby&gt;$1&lt;rt&gt;$2&lt;/rt&gt;&lt;/ruby&gt;""
)&amp;""&lt;br&gt;&lt;div class=""""audio""""&gt;[sound:""&amp;C1106&amp;"".mp3]&lt;/div&gt;"""),"ショック&lt;br&gt;&lt;div class=""audio""&gt;[sound:しょっく.mp3]&lt;/div&gt;")</f>
        <v>ショック&lt;br&gt;&lt;div class="audio"&gt;[sound:しょっく.mp3]&lt;/div&gt;</v>
      </c>
      <c r="H1106" s="3" t="str">
        <f t="shared" si="1"/>
        <v>(n): sốc</v>
      </c>
      <c r="I1106" s="6" t="s">
        <v>5966</v>
      </c>
      <c r="J1106" s="6" t="s">
        <v>5967</v>
      </c>
      <c r="K1106" s="7">
        <f t="shared" si="2"/>
        <v>0.01212412388</v>
      </c>
    </row>
    <row r="1107">
      <c r="A1107" s="4">
        <v>1107.0</v>
      </c>
      <c r="B1107" s="5" t="s">
        <v>5968</v>
      </c>
      <c r="C1107" s="5" t="s">
        <v>5969</v>
      </c>
      <c r="D1107" s="5" t="s">
        <v>5968</v>
      </c>
      <c r="E1107" s="6" t="s">
        <v>74</v>
      </c>
      <c r="F1107" s="6" t="s">
        <v>5970</v>
      </c>
      <c r="G1107" s="3" t="str">
        <f>IFERROR(__xludf.DUMMYFUNCTION("REGEXREPLACE(
D1107,
""([一-龯々]+)\[([^\]]+)\]"",
""&lt;ruby&gt;$1&lt;rt&gt;$2&lt;/rt&gt;&lt;/ruby&gt;""
)&amp;""&lt;br&gt;&lt;div class=""""audio""""&gt;[sound:""&amp;C1107&amp;"".mp3]&lt;/div&gt;"""),"メートル&lt;br&gt;&lt;div class=""audio""&gt;[sound:めーとる.mp3]&lt;/div&gt;")</f>
        <v>メートル&lt;br&gt;&lt;div class="audio"&gt;[sound:めーとる.mp3]&lt;/div&gt;</v>
      </c>
      <c r="H1107" s="3" t="str">
        <f t="shared" si="1"/>
        <v>(n): mét</v>
      </c>
      <c r="I1107" s="6" t="s">
        <v>5971</v>
      </c>
      <c r="J1107" s="6" t="s">
        <v>5972</v>
      </c>
      <c r="K1107" s="7">
        <f t="shared" si="2"/>
        <v>0.4013177488</v>
      </c>
    </row>
    <row r="1108">
      <c r="A1108" s="4">
        <v>1108.0</v>
      </c>
      <c r="B1108" s="5" t="s">
        <v>5973</v>
      </c>
      <c r="C1108" s="5" t="s">
        <v>5974</v>
      </c>
      <c r="D1108" s="5" t="s">
        <v>5975</v>
      </c>
      <c r="E1108" s="6" t="s">
        <v>74</v>
      </c>
      <c r="F1108" s="6" t="s">
        <v>5976</v>
      </c>
      <c r="G1108" s="3" t="str">
        <f>IFERROR(__xludf.DUMMYFUNCTION("REGEXREPLACE(
D1108,
""([一-龯々]+)\[([^\]]+)\]"",
""&lt;ruby&gt;$1&lt;rt&gt;$2&lt;/rt&gt;&lt;/ruby&gt;""
)&amp;""&lt;br&gt;&lt;div class=""""audio""""&gt;[sound:""&amp;C1108&amp;"".mp3]&lt;/div&gt;"""),"&lt;ruby&gt;世&lt;rt&gt;よ&lt;/rt&gt;&lt;/ruby&gt;の&lt;ruby&gt;中&lt;rt&gt;なか&lt;/rt&gt;&lt;/ruby&gt;&lt;br&gt;&lt;div class=""audio""&gt;[sound:よのなか.mp3]&lt;/div&gt;")</f>
        <v>&lt;ruby&gt;世&lt;rt&gt;よ&lt;/rt&gt;&lt;/ruby&gt;の&lt;ruby&gt;中&lt;rt&gt;なか&lt;/rt&gt;&lt;/ruby&gt;&lt;br&gt;&lt;div class="audio"&gt;[sound:よのなか.mp3]&lt;/div&gt;</v>
      </c>
      <c r="H1108" s="3" t="str">
        <f t="shared" si="1"/>
        <v>(n): đời</v>
      </c>
      <c r="I1108" s="6" t="s">
        <v>5977</v>
      </c>
      <c r="J1108" s="6" t="s">
        <v>5978</v>
      </c>
      <c r="K1108" s="7">
        <f t="shared" si="2"/>
        <v>0.7188403307</v>
      </c>
    </row>
    <row r="1109">
      <c r="A1109" s="4">
        <v>1109.0</v>
      </c>
      <c r="B1109" s="5" t="s">
        <v>5979</v>
      </c>
      <c r="C1109" s="5" t="s">
        <v>5980</v>
      </c>
      <c r="D1109" s="5" t="s">
        <v>5981</v>
      </c>
      <c r="E1109" s="6" t="s">
        <v>24</v>
      </c>
      <c r="F1109" s="6" t="s">
        <v>5982</v>
      </c>
      <c r="G1109" s="3" t="str">
        <f>IFERROR(__xludf.DUMMYFUNCTION("REGEXREPLACE(
D1109,
""([一-龯々]+)\[([^\]]+)\]"",
""&lt;ruby&gt;$1&lt;rt&gt;$2&lt;/rt&gt;&lt;/ruby&gt;""
)&amp;""&lt;br&gt;&lt;div class=""""audio""""&gt;[sound:""&amp;C1109&amp;"".mp3]&lt;/div&gt;"""),"&lt;ruby&gt;支払&lt;rt&gt;しはら&lt;/rt&gt;&lt;/ruby&gt;う&lt;br&gt;&lt;div class=""audio""&gt;[sound:しはらう.mp3]&lt;/div&gt;")</f>
        <v>&lt;ruby&gt;支払&lt;rt&gt;しはら&lt;/rt&gt;&lt;/ruby&gt;う&lt;br&gt;&lt;div class="audio"&gt;[sound:しはらう.mp3]&lt;/div&gt;</v>
      </c>
      <c r="H1109" s="3" t="str">
        <f t="shared" si="1"/>
        <v>(v): trả</v>
      </c>
      <c r="I1109" s="6" t="s">
        <v>5983</v>
      </c>
      <c r="J1109" s="6" t="s">
        <v>5984</v>
      </c>
      <c r="K1109" s="7">
        <f t="shared" si="2"/>
        <v>0.1974230345</v>
      </c>
    </row>
    <row r="1110">
      <c r="A1110" s="4">
        <v>1110.0</v>
      </c>
      <c r="B1110" s="5" t="s">
        <v>5985</v>
      </c>
      <c r="C1110" s="5" t="s">
        <v>5986</v>
      </c>
      <c r="D1110" s="5" t="s">
        <v>5987</v>
      </c>
      <c r="E1110" s="6" t="s">
        <v>24</v>
      </c>
      <c r="F1110" s="6" t="s">
        <v>5988</v>
      </c>
      <c r="G1110" s="3" t="str">
        <f>IFERROR(__xludf.DUMMYFUNCTION("REGEXREPLACE(
D1110,
""([一-龯々]+)\[([^\]]+)\]"",
""&lt;ruby&gt;$1&lt;rt&gt;$2&lt;/rt&gt;&lt;/ruby&gt;""
)&amp;""&lt;br&gt;&lt;div class=""""audio""""&gt;[sound:""&amp;C1110&amp;"".mp3]&lt;/div&gt;"""),"&lt;ruby&gt;語&lt;rt&gt;かた&lt;/rt&gt;&lt;/ruby&gt;る&lt;br&gt;&lt;div class=""audio""&gt;[sound:かたる.mp3]&lt;/div&gt;")</f>
        <v>&lt;ruby&gt;語&lt;rt&gt;かた&lt;/rt&gt;&lt;/ruby&gt;る&lt;br&gt;&lt;div class="audio"&gt;[sound:かたる.mp3]&lt;/div&gt;</v>
      </c>
      <c r="H1110" s="3" t="str">
        <f t="shared" si="1"/>
        <v>(v): kể</v>
      </c>
      <c r="I1110" s="6" t="s">
        <v>5989</v>
      </c>
      <c r="J1110" s="6" t="s">
        <v>5990</v>
      </c>
      <c r="K1110" s="7">
        <f t="shared" si="2"/>
        <v>0.3204192432</v>
      </c>
    </row>
    <row r="1111">
      <c r="A1111" s="4">
        <v>1111.0</v>
      </c>
      <c r="B1111" s="5" t="s">
        <v>5991</v>
      </c>
      <c r="C1111" s="5" t="s">
        <v>5991</v>
      </c>
      <c r="D1111" s="5" t="s">
        <v>5991</v>
      </c>
      <c r="E1111" s="6" t="s">
        <v>85</v>
      </c>
      <c r="F1111" s="6" t="s">
        <v>2225</v>
      </c>
      <c r="G1111" s="3" t="str">
        <f>IFERROR(__xludf.DUMMYFUNCTION("REGEXREPLACE(
D1111,
""([一-龯々]+)\[([^\]]+)\]"",
""&lt;ruby&gt;$1&lt;rt&gt;$2&lt;/rt&gt;&lt;/ruby&gt;""
)&amp;""&lt;br&gt;&lt;div class=""""audio""""&gt;[sound:""&amp;C1111&amp;"".mp3]&lt;/div&gt;"""),"ふと&lt;br&gt;&lt;div class=""audio""&gt;[sound:ふと.mp3]&lt;/div&gt;")</f>
        <v>ふと&lt;br&gt;&lt;div class="audio"&gt;[sound:ふと.mp3]&lt;/div&gt;</v>
      </c>
      <c r="H1111" s="3" t="str">
        <f t="shared" si="1"/>
        <v>(adv): đột nhiên</v>
      </c>
      <c r="I1111" s="6" t="s">
        <v>5992</v>
      </c>
      <c r="J1111" s="6" t="s">
        <v>5993</v>
      </c>
      <c r="K1111" s="7">
        <f t="shared" si="2"/>
        <v>0.1085700938</v>
      </c>
    </row>
    <row r="1112">
      <c r="A1112" s="4">
        <v>1112.0</v>
      </c>
      <c r="B1112" s="5" t="s">
        <v>5994</v>
      </c>
      <c r="C1112" s="5" t="s">
        <v>5995</v>
      </c>
      <c r="D1112" s="5" t="s">
        <v>5994</v>
      </c>
      <c r="E1112" s="6" t="s">
        <v>74</v>
      </c>
      <c r="F1112" s="6" t="s">
        <v>5996</v>
      </c>
      <c r="G1112" s="3" t="str">
        <f>IFERROR(__xludf.DUMMYFUNCTION("REGEXREPLACE(
D1112,
""([一-龯々]+)\[([^\]]+)\]"",
""&lt;ruby&gt;$1&lt;rt&gt;$2&lt;/rt&gt;&lt;/ruby&gt;""
)&amp;""&lt;br&gt;&lt;div class=""""audio""""&gt;[sound:""&amp;C1112&amp;"".mp3]&lt;/div&gt;"""),"プラス&lt;br&gt;&lt;div class=""audio""&gt;[sound:ぷらす.mp3]&lt;/div&gt;")</f>
        <v>プラス&lt;br&gt;&lt;div class="audio"&gt;[sound:ぷらす.mp3]&lt;/div&gt;</v>
      </c>
      <c r="H1112" s="3" t="str">
        <f t="shared" si="1"/>
        <v>(n): cộng</v>
      </c>
      <c r="I1112" s="6" t="s">
        <v>5997</v>
      </c>
      <c r="J1112" s="6" t="s">
        <v>5998</v>
      </c>
      <c r="K1112" s="7">
        <f t="shared" si="2"/>
        <v>0.7117841893</v>
      </c>
    </row>
    <row r="1113">
      <c r="A1113" s="4">
        <v>1113.0</v>
      </c>
      <c r="B1113" s="5" t="s">
        <v>5999</v>
      </c>
      <c r="C1113" s="5" t="s">
        <v>6000</v>
      </c>
      <c r="D1113" s="5" t="s">
        <v>6001</v>
      </c>
      <c r="E1113" s="6" t="s">
        <v>74</v>
      </c>
      <c r="F1113" s="6" t="s">
        <v>3273</v>
      </c>
      <c r="G1113" s="3" t="str">
        <f>IFERROR(__xludf.DUMMYFUNCTION("REGEXREPLACE(
D1113,
""([一-龯々]+)\[([^\]]+)\]"",
""&lt;ruby&gt;$1&lt;rt&gt;$2&lt;/rt&gt;&lt;/ruby&gt;""
)&amp;""&lt;br&gt;&lt;div class=""""audio""""&gt;[sound:""&amp;C1113&amp;"".mp3]&lt;/div&gt;"""),"&lt;ruby&gt;午前&lt;rt&gt;ごぜん&lt;/rt&gt;&lt;/ruby&gt;&lt;br&gt;&lt;div class=""audio""&gt;[sound:ごぜん.mp3]&lt;/div&gt;")</f>
        <v>&lt;ruby&gt;午前&lt;rt&gt;ごぜん&lt;/rt&gt;&lt;/ruby&gt;&lt;br&gt;&lt;div class="audio"&gt;[sound:ごぜん.mp3]&lt;/div&gt;</v>
      </c>
      <c r="H1113" s="3" t="str">
        <f t="shared" si="1"/>
        <v>(n): buổi sáng</v>
      </c>
      <c r="I1113" s="6" t="s">
        <v>6002</v>
      </c>
      <c r="J1113" s="6" t="s">
        <v>6003</v>
      </c>
      <c r="K1113" s="7">
        <f t="shared" si="2"/>
        <v>0.9294692687</v>
      </c>
    </row>
    <row r="1114">
      <c r="A1114" s="4">
        <v>1114.0</v>
      </c>
      <c r="B1114" s="5" t="s">
        <v>6004</v>
      </c>
      <c r="C1114" s="5" t="s">
        <v>6005</v>
      </c>
      <c r="D1114" s="5" t="s">
        <v>6006</v>
      </c>
      <c r="E1114" s="6" t="s">
        <v>74</v>
      </c>
      <c r="F1114" s="6" t="s">
        <v>6007</v>
      </c>
      <c r="G1114" s="3" t="str">
        <f>IFERROR(__xludf.DUMMYFUNCTION("REGEXREPLACE(
D1114,
""([一-龯々]+)\[([^\]]+)\]"",
""&lt;ruby&gt;$1&lt;rt&gt;$2&lt;/rt&gt;&lt;/ruby&gt;""
)&amp;""&lt;br&gt;&lt;div class=""""audio""""&gt;[sound:""&amp;C1114&amp;"".mp3]&lt;/div&gt;"""),"&lt;ruby&gt;性格&lt;rt&gt;せいかく&lt;/rt&gt;&lt;/ruby&gt;&lt;br&gt;&lt;div class=""audio""&gt;[sound:せいかく.mp3]&lt;/div&gt;")</f>
        <v>&lt;ruby&gt;性格&lt;rt&gt;せいかく&lt;/rt&gt;&lt;/ruby&gt;&lt;br&gt;&lt;div class="audio"&gt;[sound:せいかく.mp3]&lt;/div&gt;</v>
      </c>
      <c r="H1114" s="3" t="str">
        <f t="shared" si="1"/>
        <v>(n): tính cách</v>
      </c>
      <c r="I1114" s="6" t="s">
        <v>6008</v>
      </c>
      <c r="J1114" s="6" t="s">
        <v>6009</v>
      </c>
      <c r="K1114" s="7">
        <f t="shared" si="2"/>
        <v>0.9932688009</v>
      </c>
    </row>
    <row r="1115">
      <c r="A1115" s="4">
        <v>1115.0</v>
      </c>
      <c r="B1115" s="5" t="s">
        <v>6010</v>
      </c>
      <c r="C1115" s="5" t="s">
        <v>6011</v>
      </c>
      <c r="D1115" s="5" t="s">
        <v>6012</v>
      </c>
      <c r="E1115" s="6" t="s">
        <v>74</v>
      </c>
      <c r="F1115" s="6" t="s">
        <v>6013</v>
      </c>
      <c r="G1115" s="3" t="str">
        <f>IFERROR(__xludf.DUMMYFUNCTION("REGEXREPLACE(
D1115,
""([一-龯々]+)\[([^\]]+)\]"",
""&lt;ruby&gt;$1&lt;rt&gt;$2&lt;/rt&gt;&lt;/ruby&gt;""
)&amp;""&lt;br&gt;&lt;div class=""""audio""""&gt;[sound:""&amp;C1115&amp;"".mp3]&lt;/div&gt;"""),"&lt;ruby&gt;病院&lt;rt&gt;びょういん&lt;/rt&gt;&lt;/ruby&gt;&lt;br&gt;&lt;div class=""audio""&gt;[sound:びょういん.mp3]&lt;/div&gt;")</f>
        <v>&lt;ruby&gt;病院&lt;rt&gt;びょういん&lt;/rt&gt;&lt;/ruby&gt;&lt;br&gt;&lt;div class="audio"&gt;[sound:びょういん.mp3]&lt;/div&gt;</v>
      </c>
      <c r="H1115" s="3" t="str">
        <f t="shared" si="1"/>
        <v>(n): bệnh viện</v>
      </c>
      <c r="I1115" s="6" t="s">
        <v>6014</v>
      </c>
      <c r="J1115" s="6" t="s">
        <v>6015</v>
      </c>
      <c r="K1115" s="7">
        <f t="shared" si="2"/>
        <v>0.9044508165</v>
      </c>
    </row>
    <row r="1116">
      <c r="A1116" s="4">
        <v>1116.0</v>
      </c>
      <c r="B1116" s="5" t="s">
        <v>6016</v>
      </c>
      <c r="C1116" s="5" t="s">
        <v>6017</v>
      </c>
      <c r="D1116" s="5" t="s">
        <v>6018</v>
      </c>
      <c r="E1116" s="6" t="s">
        <v>74</v>
      </c>
      <c r="F1116" s="6" t="s">
        <v>6019</v>
      </c>
      <c r="G1116" s="3" t="str">
        <f>IFERROR(__xludf.DUMMYFUNCTION("REGEXREPLACE(
D1116,
""([一-龯々]+)\[([^\]]+)\]"",
""&lt;ruby&gt;$1&lt;rt&gt;$2&lt;/rt&gt;&lt;/ruby&gt;""
)&amp;""&lt;br&gt;&lt;div class=""""audio""""&gt;[sound:""&amp;C1116&amp;"".mp3]&lt;/div&gt;"""),"&lt;ruby&gt;通&lt;rt&gt;とお&lt;/rt&gt;&lt;/ruby&gt;り&lt;br&gt;&lt;div class=""audio""&gt;[sound:とおり.mp3]&lt;/div&gt;")</f>
        <v>&lt;ruby&gt;通&lt;rt&gt;とお&lt;/rt&gt;&lt;/ruby&gt;り&lt;br&gt;&lt;div class="audio"&gt;[sound:とおり.mp3]&lt;/div&gt;</v>
      </c>
      <c r="H1116" s="3" t="str">
        <f t="shared" si="1"/>
        <v>(n): con đường</v>
      </c>
      <c r="I1116" s="6" t="s">
        <v>6020</v>
      </c>
      <c r="J1116" s="6" t="s">
        <v>6021</v>
      </c>
      <c r="K1116" s="7">
        <f t="shared" si="2"/>
        <v>0.4582429829</v>
      </c>
    </row>
    <row r="1117">
      <c r="A1117" s="4">
        <v>1117.0</v>
      </c>
      <c r="B1117" s="5" t="s">
        <v>6022</v>
      </c>
      <c r="C1117" s="5" t="s">
        <v>6022</v>
      </c>
      <c r="D1117" s="5" t="s">
        <v>6022</v>
      </c>
      <c r="E1117" s="6" t="s">
        <v>24</v>
      </c>
      <c r="F1117" s="6" t="s">
        <v>6023</v>
      </c>
      <c r="G1117" s="3" t="str">
        <f>IFERROR(__xludf.DUMMYFUNCTION("REGEXREPLACE(
D1117,
""([一-龯々]+)\[([^\]]+)\]"",
""&lt;ruby&gt;$1&lt;rt&gt;$2&lt;/rt&gt;&lt;/ruby&gt;""
)&amp;""&lt;br&gt;&lt;div class=""""audio""""&gt;[sound:""&amp;C1117&amp;"".mp3]&lt;/div&gt;"""),"けんかする&lt;br&gt;&lt;div class=""audio""&gt;[sound:けんかする.mp3]&lt;/div&gt;")</f>
        <v>けんかする&lt;br&gt;&lt;div class="audio"&gt;[sound:けんかする.mp3]&lt;/div&gt;</v>
      </c>
      <c r="H1117" s="3" t="str">
        <f t="shared" si="1"/>
        <v>(v): cãi nhau</v>
      </c>
      <c r="I1117" s="6" t="s">
        <v>6024</v>
      </c>
      <c r="J1117" s="6" t="s">
        <v>6025</v>
      </c>
      <c r="K1117" s="7">
        <f t="shared" si="2"/>
        <v>0.280027754</v>
      </c>
    </row>
    <row r="1118">
      <c r="A1118" s="4">
        <v>1118.0</v>
      </c>
      <c r="B1118" s="5" t="s">
        <v>6026</v>
      </c>
      <c r="C1118" s="5" t="s">
        <v>6027</v>
      </c>
      <c r="D1118" s="5" t="s">
        <v>6026</v>
      </c>
      <c r="E1118" s="6" t="s">
        <v>74</v>
      </c>
      <c r="F1118" s="6" t="s">
        <v>6028</v>
      </c>
      <c r="G1118" s="3" t="str">
        <f>IFERROR(__xludf.DUMMYFUNCTION("REGEXREPLACE(
D1118,
""([一-龯々]+)\[([^\]]+)\]"",
""&lt;ruby&gt;$1&lt;rt&gt;$2&lt;/rt&gt;&lt;/ruby&gt;""
)&amp;""&lt;br&gt;&lt;div class=""""audio""""&gt;[sound:""&amp;C1118&amp;"".mp3]&lt;/div&gt;"""),"コース&lt;br&gt;&lt;div class=""audio""&gt;[sound:こーす.mp3]&lt;/div&gt;")</f>
        <v>コース&lt;br&gt;&lt;div class="audio"&gt;[sound:こーす.mp3]&lt;/div&gt;</v>
      </c>
      <c r="H1118" s="3" t="str">
        <f t="shared" si="1"/>
        <v>(n): khóa học</v>
      </c>
      <c r="I1118" s="6" t="s">
        <v>6029</v>
      </c>
      <c r="J1118" s="6" t="s">
        <v>6030</v>
      </c>
      <c r="K1118" s="7">
        <f t="shared" si="2"/>
        <v>0.7493460734</v>
      </c>
    </row>
    <row r="1119">
      <c r="A1119" s="4">
        <v>1119.0</v>
      </c>
      <c r="B1119" s="5" t="s">
        <v>6031</v>
      </c>
      <c r="C1119" s="5" t="s">
        <v>6032</v>
      </c>
      <c r="D1119" s="5" t="s">
        <v>6033</v>
      </c>
      <c r="E1119" s="6" t="s">
        <v>74</v>
      </c>
      <c r="F1119" s="6" t="s">
        <v>1909</v>
      </c>
      <c r="G1119" s="3" t="str">
        <f>IFERROR(__xludf.DUMMYFUNCTION("REGEXREPLACE(
D1119,
""([一-龯々]+)\[([^\]]+)\]"",
""&lt;ruby&gt;$1&lt;rt&gt;$2&lt;/rt&gt;&lt;/ruby&gt;""
)&amp;""&lt;br&gt;&lt;div class=""""audio""""&gt;[sound:""&amp;C1119&amp;"".mp3]&lt;/div&gt;"""),"&lt;ruby&gt;互&lt;rt&gt;たが&lt;/rt&gt;&lt;/ruby&gt;い&lt;br&gt;&lt;div class=""audio""&gt;[sound:たがい.mp3]&lt;/div&gt;")</f>
        <v>&lt;ruby&gt;互&lt;rt&gt;たが&lt;/rt&gt;&lt;/ruby&gt;い&lt;br&gt;&lt;div class="audio"&gt;[sound:たがい.mp3]&lt;/div&gt;</v>
      </c>
      <c r="H1119" s="3" t="str">
        <f t="shared" si="1"/>
        <v>(n): lẫn nhau</v>
      </c>
      <c r="I1119" s="6" t="s">
        <v>6034</v>
      </c>
      <c r="J1119" s="6" t="s">
        <v>6035</v>
      </c>
      <c r="K1119" s="7">
        <f t="shared" si="2"/>
        <v>0.1640531785</v>
      </c>
    </row>
    <row r="1120">
      <c r="A1120" s="4">
        <v>1120.0</v>
      </c>
      <c r="B1120" s="5" t="s">
        <v>6036</v>
      </c>
      <c r="C1120" s="5" t="s">
        <v>6037</v>
      </c>
      <c r="D1120" s="5" t="s">
        <v>6038</v>
      </c>
      <c r="E1120" s="6" t="s">
        <v>74</v>
      </c>
      <c r="F1120" s="6" t="s">
        <v>6039</v>
      </c>
      <c r="G1120" s="3" t="str">
        <f>IFERROR(__xludf.DUMMYFUNCTION("REGEXREPLACE(
D1120,
""([一-龯々]+)\[([^\]]+)\]"",
""&lt;ruby&gt;$1&lt;rt&gt;$2&lt;/rt&gt;&lt;/ruby&gt;""
)&amp;""&lt;br&gt;&lt;div class=""""audio""""&gt;[sound:""&amp;C1120&amp;"".mp3]&lt;/div&gt;"""),"&lt;ruby&gt;今朝&lt;rt&gt;けさ&lt;/rt&gt;&lt;/ruby&gt;&lt;br&gt;&lt;div class=""audio""&gt;[sound:けさ.mp3]&lt;/div&gt;")</f>
        <v>&lt;ruby&gt;今朝&lt;rt&gt;けさ&lt;/rt&gt;&lt;/ruby&gt;&lt;br&gt;&lt;div class="audio"&gt;[sound:けさ.mp3]&lt;/div&gt;</v>
      </c>
      <c r="H1120" s="3" t="str">
        <f t="shared" si="1"/>
        <v>(n): sáng nay</v>
      </c>
      <c r="I1120" s="6" t="s">
        <v>6040</v>
      </c>
      <c r="J1120" s="6" t="s">
        <v>6041</v>
      </c>
      <c r="K1120" s="7">
        <f t="shared" si="2"/>
        <v>0.8073514827</v>
      </c>
    </row>
    <row r="1121">
      <c r="A1121" s="4">
        <v>1121.0</v>
      </c>
      <c r="B1121" s="5" t="s">
        <v>6042</v>
      </c>
      <c r="C1121" s="5" t="s">
        <v>6043</v>
      </c>
      <c r="D1121" s="5" t="s">
        <v>6044</v>
      </c>
      <c r="E1121" s="6" t="s">
        <v>74</v>
      </c>
      <c r="F1121" s="6" t="s">
        <v>5056</v>
      </c>
      <c r="G1121" s="3" t="str">
        <f>IFERROR(__xludf.DUMMYFUNCTION("REGEXREPLACE(
D1121,
""([一-龯々]+)\[([^\]]+)\]"",
""&lt;ruby&gt;$1&lt;rt&gt;$2&lt;/rt&gt;&lt;/ruby&gt;""
)&amp;""&lt;br&gt;&lt;div class=""""audio""""&gt;[sound:""&amp;C1121&amp;"".mp3]&lt;/div&gt;"""),"&lt;ruby&gt;愛&lt;rt&gt;あい&lt;/rt&gt;&lt;/ruby&gt;&lt;br&gt;&lt;div class=""audio""&gt;[sound:あい.mp3]&lt;/div&gt;")</f>
        <v>&lt;ruby&gt;愛&lt;rt&gt;あい&lt;/rt&gt;&lt;/ruby&gt;&lt;br&gt;&lt;div class="audio"&gt;[sound:あい.mp3]&lt;/div&gt;</v>
      </c>
      <c r="H1121" s="3" t="str">
        <f t="shared" si="1"/>
        <v>(n): tình yêu</v>
      </c>
      <c r="I1121" s="6" t="s">
        <v>6045</v>
      </c>
      <c r="J1121" s="6" t="s">
        <v>6046</v>
      </c>
      <c r="K1121" s="7">
        <f t="shared" si="2"/>
        <v>0.2171095122</v>
      </c>
    </row>
    <row r="1122">
      <c r="A1122" s="4">
        <v>1122.0</v>
      </c>
      <c r="B1122" s="5" t="s">
        <v>6047</v>
      </c>
      <c r="C1122" s="5" t="s">
        <v>6048</v>
      </c>
      <c r="D1122" s="5" t="s">
        <v>6049</v>
      </c>
      <c r="E1122" s="6" t="s">
        <v>74</v>
      </c>
      <c r="F1122" s="6" t="s">
        <v>6050</v>
      </c>
      <c r="G1122" s="3" t="str">
        <f>IFERROR(__xludf.DUMMYFUNCTION("REGEXREPLACE(
D1122,
""([一-龯々]+)\[([^\]]+)\]"",
""&lt;ruby&gt;$1&lt;rt&gt;$2&lt;/rt&gt;&lt;/ruby&gt;""
)&amp;""&lt;br&gt;&lt;div class=""""audio""""&gt;[sound:""&amp;C1122&amp;"".mp3]&lt;/div&gt;"""),"&lt;ruby&gt;運動&lt;rt&gt;うんどう&lt;/rt&gt;&lt;/ruby&gt;&lt;br&gt;&lt;div class=""audio""&gt;[sound:うんどう.mp3]&lt;/div&gt;")</f>
        <v>&lt;ruby&gt;運動&lt;rt&gt;うんどう&lt;/rt&gt;&lt;/ruby&gt;&lt;br&gt;&lt;div class="audio"&gt;[sound:うんどう.mp3]&lt;/div&gt;</v>
      </c>
      <c r="H1122" s="3" t="str">
        <f t="shared" si="1"/>
        <v>(n): vận động</v>
      </c>
      <c r="I1122" s="6" t="s">
        <v>6051</v>
      </c>
      <c r="J1122" s="6" t="s">
        <v>6052</v>
      </c>
      <c r="K1122" s="7">
        <f t="shared" si="2"/>
        <v>0.9375736527</v>
      </c>
    </row>
    <row r="1123">
      <c r="A1123" s="4">
        <v>1123.0</v>
      </c>
      <c r="B1123" s="5" t="s">
        <v>6053</v>
      </c>
      <c r="C1123" s="5" t="s">
        <v>6054</v>
      </c>
      <c r="D1123" s="5" t="s">
        <v>6053</v>
      </c>
      <c r="E1123" s="6" t="s">
        <v>74</v>
      </c>
      <c r="F1123" s="6" t="s">
        <v>303</v>
      </c>
      <c r="G1123" s="3" t="str">
        <f>IFERROR(__xludf.DUMMYFUNCTION("REGEXREPLACE(
D1123,
""([一-龯々]+)\[([^\]]+)\]"",
""&lt;ruby&gt;$1&lt;rt&gt;$2&lt;/rt&gt;&lt;/ruby&gt;""
)&amp;""&lt;br&gt;&lt;div class=""""audio""""&gt;[sound:""&amp;C1123&amp;"".mp3]&lt;/div&gt;"""),"スタート&lt;br&gt;&lt;div class=""audio""&gt;[sound:すたーと.mp3]&lt;/div&gt;")</f>
        <v>スタート&lt;br&gt;&lt;div class="audio"&gt;[sound:すたーと.mp3]&lt;/div&gt;</v>
      </c>
      <c r="H1123" s="3" t="str">
        <f t="shared" si="1"/>
        <v>(n): bắt đầu</v>
      </c>
      <c r="I1123" s="6" t="s">
        <v>6055</v>
      </c>
      <c r="J1123" s="6" t="s">
        <v>6056</v>
      </c>
      <c r="K1123" s="7">
        <f t="shared" si="2"/>
        <v>0.5623523415</v>
      </c>
    </row>
    <row r="1124">
      <c r="A1124" s="4">
        <v>1124.0</v>
      </c>
      <c r="B1124" s="5" t="s">
        <v>6057</v>
      </c>
      <c r="C1124" s="5" t="s">
        <v>6058</v>
      </c>
      <c r="D1124" s="5" t="s">
        <v>6057</v>
      </c>
      <c r="E1124" s="6" t="s">
        <v>74</v>
      </c>
      <c r="F1124" s="6" t="s">
        <v>6059</v>
      </c>
      <c r="G1124" s="3" t="str">
        <f>IFERROR(__xludf.DUMMYFUNCTION("REGEXREPLACE(
D1124,
""([一-龯々]+)\[([^\]]+)\]"",
""&lt;ruby&gt;$1&lt;rt&gt;$2&lt;/rt&gt;&lt;/ruby&gt;""
)&amp;""&lt;br&gt;&lt;div class=""""audio""""&gt;[sound:""&amp;C1124&amp;"".mp3]&lt;/div&gt;"""),"タイトル&lt;br&gt;&lt;div class=""audio""&gt;[sound:たいとる.mp3]&lt;/div&gt;")</f>
        <v>タイトル&lt;br&gt;&lt;div class="audio"&gt;[sound:たいとる.mp3]&lt;/div&gt;</v>
      </c>
      <c r="H1124" s="3" t="str">
        <f t="shared" si="1"/>
        <v>(n): tiêu đề</v>
      </c>
      <c r="I1124" s="6" t="s">
        <v>6060</v>
      </c>
      <c r="J1124" s="6" t="s">
        <v>6061</v>
      </c>
      <c r="K1124" s="7">
        <f t="shared" si="2"/>
        <v>0.7757776843</v>
      </c>
    </row>
    <row r="1125">
      <c r="A1125" s="4">
        <v>1125.0</v>
      </c>
      <c r="B1125" s="5" t="s">
        <v>6062</v>
      </c>
      <c r="C1125" s="5" t="s">
        <v>6063</v>
      </c>
      <c r="D1125" s="5" t="s">
        <v>6064</v>
      </c>
      <c r="E1125" s="6" t="s">
        <v>74</v>
      </c>
      <c r="F1125" s="6" t="s">
        <v>5591</v>
      </c>
      <c r="G1125" s="3" t="str">
        <f>IFERROR(__xludf.DUMMYFUNCTION("REGEXREPLACE(
D1125,
""([一-龯々]+)\[([^\]]+)\]"",
""&lt;ruby&gt;$1&lt;rt&gt;$2&lt;/rt&gt;&lt;/ruby&gt;""
)&amp;""&lt;br&gt;&lt;div class=""""audio""""&gt;[sound:""&amp;C1125&amp;"".mp3]&lt;/div&gt;"""),"&lt;ruby&gt;学習&lt;rt&gt;がくしゅう&lt;/rt&gt;&lt;/ruby&gt;&lt;br&gt;&lt;div class=""audio""&gt;[sound:がくしゅう.mp3]&lt;/div&gt;")</f>
        <v>&lt;ruby&gt;学習&lt;rt&gt;がくしゅう&lt;/rt&gt;&lt;/ruby&gt;&lt;br&gt;&lt;div class="audio"&gt;[sound:がくしゅう.mp3]&lt;/div&gt;</v>
      </c>
      <c r="H1125" s="3" t="str">
        <f t="shared" si="1"/>
        <v>(n): học tập</v>
      </c>
      <c r="I1125" s="6" t="s">
        <v>6065</v>
      </c>
      <c r="J1125" s="6" t="s">
        <v>6066</v>
      </c>
      <c r="K1125" s="7">
        <f t="shared" si="2"/>
        <v>0.3391425444</v>
      </c>
    </row>
    <row r="1126">
      <c r="A1126" s="4">
        <v>1126.0</v>
      </c>
      <c r="B1126" s="5" t="s">
        <v>6067</v>
      </c>
      <c r="C1126" s="5" t="s">
        <v>6068</v>
      </c>
      <c r="D1126" s="5" t="s">
        <v>6069</v>
      </c>
      <c r="E1126" s="6" t="s">
        <v>74</v>
      </c>
      <c r="F1126" s="6" t="s">
        <v>6070</v>
      </c>
      <c r="G1126" s="3" t="str">
        <f>IFERROR(__xludf.DUMMYFUNCTION("REGEXREPLACE(
D1126,
""([一-龯々]+)\[([^\]]+)\]"",
""&lt;ruby&gt;$1&lt;rt&gt;$2&lt;/rt&gt;&lt;/ruby&gt;""
)&amp;""&lt;br&gt;&lt;div class=""""audio""""&gt;[sound:""&amp;C1126&amp;"".mp3]&lt;/div&gt;"""),"&lt;ruby&gt;弟&lt;rt&gt;おとうと&lt;/rt&gt;&lt;/ruby&gt;&lt;br&gt;&lt;div class=""audio""&gt;[sound:おとうと.mp3]&lt;/div&gt;")</f>
        <v>&lt;ruby&gt;弟&lt;rt&gt;おとうと&lt;/rt&gt;&lt;/ruby&gt;&lt;br&gt;&lt;div class="audio"&gt;[sound:おとうと.mp3]&lt;/div&gt;</v>
      </c>
      <c r="H1126" s="3" t="str">
        <f t="shared" si="1"/>
        <v>(n): em trai</v>
      </c>
      <c r="I1126" s="6" t="s">
        <v>6071</v>
      </c>
      <c r="J1126" s="6" t="s">
        <v>6072</v>
      </c>
      <c r="K1126" s="7">
        <f t="shared" si="2"/>
        <v>0.1692753667</v>
      </c>
    </row>
    <row r="1127">
      <c r="A1127" s="4">
        <v>1127.0</v>
      </c>
      <c r="B1127" s="5" t="s">
        <v>6073</v>
      </c>
      <c r="C1127" s="5" t="s">
        <v>6074</v>
      </c>
      <c r="D1127" s="5" t="s">
        <v>6075</v>
      </c>
      <c r="E1127" s="6" t="s">
        <v>74</v>
      </c>
      <c r="F1127" s="6" t="s">
        <v>6076</v>
      </c>
      <c r="G1127" s="3" t="str">
        <f>IFERROR(__xludf.DUMMYFUNCTION("REGEXREPLACE(
D1127,
""([一-龯々]+)\[([^\]]+)\]"",
""&lt;ruby&gt;$1&lt;rt&gt;$2&lt;/rt&gt;&lt;/ruby&gt;""
)&amp;""&lt;br&gt;&lt;div class=""""audio""""&gt;[sound:""&amp;C1127&amp;"".mp3]&lt;/div&gt;"""),"&lt;ruby&gt;感情&lt;rt&gt;かんじょう&lt;/rt&gt;&lt;/ruby&gt;&lt;br&gt;&lt;div class=""audio""&gt;[sound:かんじょう.mp3]&lt;/div&gt;")</f>
        <v>&lt;ruby&gt;感情&lt;rt&gt;かんじょう&lt;/rt&gt;&lt;/ruby&gt;&lt;br&gt;&lt;div class="audio"&gt;[sound:かんじょう.mp3]&lt;/div&gt;</v>
      </c>
      <c r="H1127" s="3" t="str">
        <f t="shared" si="1"/>
        <v>(n): cảm xúc</v>
      </c>
      <c r="I1127" s="6" t="s">
        <v>6077</v>
      </c>
      <c r="J1127" s="6" t="s">
        <v>6078</v>
      </c>
      <c r="K1127" s="7">
        <f t="shared" si="2"/>
        <v>0.1967616052</v>
      </c>
    </row>
    <row r="1128">
      <c r="A1128" s="4">
        <v>1128.0</v>
      </c>
      <c r="B1128" s="5" t="s">
        <v>6079</v>
      </c>
      <c r="C1128" s="5" t="s">
        <v>6080</v>
      </c>
      <c r="D1128" s="5" t="s">
        <v>6081</v>
      </c>
      <c r="E1128" s="6" t="s">
        <v>74</v>
      </c>
      <c r="F1128" s="6" t="s">
        <v>6082</v>
      </c>
      <c r="G1128" s="3" t="str">
        <f>IFERROR(__xludf.DUMMYFUNCTION("REGEXREPLACE(
D1128,
""([一-龯々]+)\[([^\]]+)\]"",
""&lt;ruby&gt;$1&lt;rt&gt;$2&lt;/rt&gt;&lt;/ruby&gt;""
)&amp;""&lt;br&gt;&lt;div class=""""audio""""&gt;[sound:""&amp;C1128&amp;"".mp3]&lt;/div&gt;"""),"&lt;ruby&gt;長期&lt;rt&gt;ちょうき&lt;/rt&gt;&lt;/ruby&gt;&lt;br&gt;&lt;div class=""audio""&gt;[sound:ちょうき.mp3]&lt;/div&gt;")</f>
        <v>&lt;ruby&gt;長期&lt;rt&gt;ちょうき&lt;/rt&gt;&lt;/ruby&gt;&lt;br&gt;&lt;div class="audio"&gt;[sound:ちょうき.mp3]&lt;/div&gt;</v>
      </c>
      <c r="H1128" s="3" t="str">
        <f t="shared" si="1"/>
        <v>(n): lâu dài</v>
      </c>
      <c r="I1128" s="6" t="s">
        <v>6083</v>
      </c>
      <c r="J1128" s="6" t="s">
        <v>6084</v>
      </c>
      <c r="K1128" s="7">
        <f t="shared" si="2"/>
        <v>0.09791848064</v>
      </c>
    </row>
    <row r="1129">
      <c r="A1129" s="4">
        <v>1129.0</v>
      </c>
      <c r="B1129" s="5" t="s">
        <v>6085</v>
      </c>
      <c r="C1129" s="5" t="s">
        <v>6086</v>
      </c>
      <c r="D1129" s="5" t="s">
        <v>6087</v>
      </c>
      <c r="E1129" s="6" t="s">
        <v>11</v>
      </c>
      <c r="F1129" s="6" t="s">
        <v>852</v>
      </c>
      <c r="G1129" s="3" t="str">
        <f>IFERROR(__xludf.DUMMYFUNCTION("REGEXREPLACE(
D1129,
""([一-龯々]+)\[([^\]]+)\]"",
""&lt;ruby&gt;$1&lt;rt&gt;$2&lt;/rt&gt;&lt;/ruby&gt;""
)&amp;""&lt;br&gt;&lt;div class=""""audio""""&gt;[sound:""&amp;C1129&amp;"".mp3]&lt;/div&gt;"""),"&lt;ruby&gt;不思議&lt;rt&gt;ふしぎ&lt;/rt&gt;&lt;/ruby&gt;&lt;br&gt;&lt;div class=""audio""&gt;[sound:ふしぎ.mp3]&lt;/div&gt;")</f>
        <v>&lt;ruby&gt;不思議&lt;rt&gt;ふしぎ&lt;/rt&gt;&lt;/ruby&gt;&lt;br&gt;&lt;div class="audio"&gt;[sound:ふしぎ.mp3]&lt;/div&gt;</v>
      </c>
      <c r="H1129" s="3" t="str">
        <f t="shared" si="1"/>
        <v>(adj): kỳ lạ</v>
      </c>
      <c r="I1129" s="6" t="s">
        <v>6088</v>
      </c>
      <c r="J1129" s="6" t="s">
        <v>6089</v>
      </c>
      <c r="K1129" s="7">
        <f t="shared" si="2"/>
        <v>0.5837579443</v>
      </c>
    </row>
    <row r="1130">
      <c r="A1130" s="4">
        <v>1130.0</v>
      </c>
      <c r="B1130" s="5" t="s">
        <v>6090</v>
      </c>
      <c r="C1130" s="5" t="s">
        <v>6091</v>
      </c>
      <c r="D1130" s="5" t="s">
        <v>6092</v>
      </c>
      <c r="E1130" s="6" t="s">
        <v>74</v>
      </c>
      <c r="F1130" s="6" t="s">
        <v>3115</v>
      </c>
      <c r="G1130" s="3" t="str">
        <f>IFERROR(__xludf.DUMMYFUNCTION("REGEXREPLACE(
D1130,
""([一-龯々]+)\[([^\]]+)\]"",
""&lt;ruby&gt;$1&lt;rt&gt;$2&lt;/rt&gt;&lt;/ruby&gt;""
)&amp;""&lt;br&gt;&lt;div class=""""audio""""&gt;[sound:""&amp;C1130&amp;"".mp3]&lt;/div&gt;"""),"&lt;ruby&gt;主人&lt;rt&gt;しゅじん&lt;/rt&gt;&lt;/ruby&gt;&lt;br&gt;&lt;div class=""audio""&gt;[sound:しゅじん.mp3]&lt;/div&gt;")</f>
        <v>&lt;ruby&gt;主人&lt;rt&gt;しゅじん&lt;/rt&gt;&lt;/ruby&gt;&lt;br&gt;&lt;div class="audio"&gt;[sound:しゅじん.mp3]&lt;/div&gt;</v>
      </c>
      <c r="H1130" s="3" t="str">
        <f t="shared" si="1"/>
        <v>(n): chồng</v>
      </c>
      <c r="I1130" s="6" t="s">
        <v>6093</v>
      </c>
      <c r="J1130" s="6" t="s">
        <v>6094</v>
      </c>
      <c r="K1130" s="7">
        <f t="shared" si="2"/>
        <v>0.1707920824</v>
      </c>
    </row>
    <row r="1131">
      <c r="A1131" s="4">
        <v>1131.0</v>
      </c>
      <c r="B1131" s="5" t="s">
        <v>6095</v>
      </c>
      <c r="C1131" s="5" t="s">
        <v>6096</v>
      </c>
      <c r="D1131" s="5" t="s">
        <v>6097</v>
      </c>
      <c r="E1131" s="6" t="s">
        <v>74</v>
      </c>
      <c r="F1131" s="6" t="s">
        <v>6098</v>
      </c>
      <c r="G1131" s="3" t="str">
        <f>IFERROR(__xludf.DUMMYFUNCTION("REGEXREPLACE(
D1131,
""([一-龯々]+)\[([^\]]+)\]"",
""&lt;ruby&gt;$1&lt;rt&gt;$2&lt;/rt&gt;&lt;/ruby&gt;""
)&amp;""&lt;br&gt;&lt;div class=""""audio""""&gt;[sound:""&amp;C1131&amp;"".mp3]&lt;/div&gt;"""),"&lt;ruby&gt;例&lt;rt&gt;れい&lt;/rt&gt;&lt;/ruby&gt;&lt;br&gt;&lt;div class=""audio""&gt;[sound:れい.mp3]&lt;/div&gt;")</f>
        <v>&lt;ruby&gt;例&lt;rt&gt;れい&lt;/rt&gt;&lt;/ruby&gt;&lt;br&gt;&lt;div class="audio"&gt;[sound:れい.mp3]&lt;/div&gt;</v>
      </c>
      <c r="H1131" s="3" t="str">
        <f t="shared" si="1"/>
        <v>(n): ví dụ</v>
      </c>
      <c r="I1131" s="6" t="s">
        <v>6099</v>
      </c>
      <c r="J1131" s="6" t="s">
        <v>6100</v>
      </c>
      <c r="K1131" s="7">
        <f t="shared" si="2"/>
        <v>0.2455899536</v>
      </c>
    </row>
    <row r="1132">
      <c r="A1132" s="4">
        <v>1132.0</v>
      </c>
      <c r="B1132" s="5" t="s">
        <v>6101</v>
      </c>
      <c r="C1132" s="5" t="s">
        <v>6102</v>
      </c>
      <c r="D1132" s="5" t="s">
        <v>6103</v>
      </c>
      <c r="E1132" s="6" t="s">
        <v>85</v>
      </c>
      <c r="F1132" s="6" t="s">
        <v>533</v>
      </c>
      <c r="G1132" s="3" t="str">
        <f>IFERROR(__xludf.DUMMYFUNCTION("REGEXREPLACE(
D1132,
""([一-龯々]+)\[([^\]]+)\]"",
""&lt;ruby&gt;$1&lt;rt&gt;$2&lt;/rt&gt;&lt;/ruby&gt;""
)&amp;""&lt;br&gt;&lt;div class=""""audio""""&gt;[sound:""&amp;C1132&amp;"".mp3]&lt;/div&gt;"""),"&lt;ruby&gt;沢山&lt;rt&gt;たくさん&lt;/rt&gt;&lt;/ruby&gt;&lt;br&gt;&lt;div class=""audio""&gt;[sound:たくさん.mp3]&lt;/div&gt;")</f>
        <v>&lt;ruby&gt;沢山&lt;rt&gt;たくさん&lt;/rt&gt;&lt;/ruby&gt;&lt;br&gt;&lt;div class="audio"&gt;[sound:たくさん.mp3]&lt;/div&gt;</v>
      </c>
      <c r="H1132" s="3" t="str">
        <f t="shared" si="1"/>
        <v>(adv): nhiều</v>
      </c>
      <c r="I1132" s="6" t="s">
        <v>6104</v>
      </c>
      <c r="J1132" s="6" t="s">
        <v>6105</v>
      </c>
      <c r="K1132" s="7">
        <f t="shared" si="2"/>
        <v>0.9524458168</v>
      </c>
    </row>
    <row r="1133">
      <c r="A1133" s="4">
        <v>1133.0</v>
      </c>
      <c r="B1133" s="5" t="s">
        <v>6106</v>
      </c>
      <c r="C1133" s="5" t="s">
        <v>6107</v>
      </c>
      <c r="D1133" s="5" t="s">
        <v>6108</v>
      </c>
      <c r="E1133" s="6" t="s">
        <v>44</v>
      </c>
      <c r="F1133" s="6" t="s">
        <v>45</v>
      </c>
      <c r="G1133" s="3" t="str">
        <f>IFERROR(__xludf.DUMMYFUNCTION("REGEXREPLACE(
D1133,
""([一-龯々]+)\[([^\]]+)\]"",
""&lt;ruby&gt;$1&lt;rt&gt;$2&lt;/rt&gt;&lt;/ruby&gt;""
)&amp;""&lt;br&gt;&lt;div class=""""audio""""&gt;[sound:""&amp;C1133&amp;"".mp3]&lt;/div&gt;"""),"&lt;ruby&gt;僕&lt;rt&gt;ぼく&lt;/rt&gt;&lt;/ruby&gt;&lt;br&gt;&lt;div class=""audio""&gt;[sound:ぼく.mp3]&lt;/div&gt;")</f>
        <v>&lt;ruby&gt;僕&lt;rt&gt;ぼく&lt;/rt&gt;&lt;/ruby&gt;&lt;br&gt;&lt;div class="audio"&gt;[sound:ぼく.mp3]&lt;/div&gt;</v>
      </c>
      <c r="H1133" s="3" t="str">
        <f t="shared" si="1"/>
        <v>(pron): tôi</v>
      </c>
      <c r="I1133" s="6" t="s">
        <v>6109</v>
      </c>
      <c r="J1133" s="6" t="s">
        <v>47</v>
      </c>
      <c r="K1133" s="7">
        <f t="shared" si="2"/>
        <v>0.9109080111</v>
      </c>
    </row>
    <row r="1134">
      <c r="A1134" s="4">
        <v>1134.0</v>
      </c>
      <c r="B1134" s="5" t="s">
        <v>6110</v>
      </c>
      <c r="C1134" s="5" t="s">
        <v>6111</v>
      </c>
      <c r="D1134" s="5" t="s">
        <v>6112</v>
      </c>
      <c r="E1134" s="6" t="s">
        <v>74</v>
      </c>
      <c r="F1134" s="6" t="s">
        <v>6113</v>
      </c>
      <c r="G1134" s="3" t="str">
        <f>IFERROR(__xludf.DUMMYFUNCTION("REGEXREPLACE(
D1134,
""([一-龯々]+)\[([^\]]+)\]"",
""&lt;ruby&gt;$1&lt;rt&gt;$2&lt;/rt&gt;&lt;/ruby&gt;""
)&amp;""&lt;br&gt;&lt;div class=""""audio""""&gt;[sound:""&amp;C1134&amp;"".mp3]&lt;/div&gt;"""),"&lt;ruby&gt;種&lt;rt&gt;たね&lt;/rt&gt;&lt;/ruby&gt;&lt;br&gt;&lt;div class=""audio""&gt;[sound:たね.mp3]&lt;/div&gt;")</f>
        <v>&lt;ruby&gt;種&lt;rt&gt;たね&lt;/rt&gt;&lt;/ruby&gt;&lt;br&gt;&lt;div class="audio"&gt;[sound:たね.mp3]&lt;/div&gt;</v>
      </c>
      <c r="H1134" s="3" t="str">
        <f t="shared" si="1"/>
        <v>(n): hạt</v>
      </c>
      <c r="I1134" s="6" t="s">
        <v>6114</v>
      </c>
      <c r="J1134" s="6" t="s">
        <v>6115</v>
      </c>
      <c r="K1134" s="7">
        <f t="shared" si="2"/>
        <v>0.2304930491</v>
      </c>
    </row>
    <row r="1135">
      <c r="A1135" s="4">
        <v>1135.0</v>
      </c>
      <c r="B1135" s="5" t="s">
        <v>6116</v>
      </c>
      <c r="C1135" s="5" t="s">
        <v>6117</v>
      </c>
      <c r="D1135" s="5" t="s">
        <v>6118</v>
      </c>
      <c r="E1135" s="6" t="s">
        <v>11</v>
      </c>
      <c r="F1135" s="6" t="s">
        <v>484</v>
      </c>
      <c r="G1135" s="3" t="str">
        <f>IFERROR(__xludf.DUMMYFUNCTION("REGEXREPLACE(
D1135,
""([一-龯々]+)\[([^\]]+)\]"",
""&lt;ruby&gt;$1&lt;rt&gt;$2&lt;/rt&gt;&lt;/ruby&gt;""
)&amp;""&lt;br&gt;&lt;div class=""""audio""""&gt;[sound:""&amp;C1135&amp;"".mp3]&lt;/div&gt;"""),"&lt;ruby&gt;細&lt;rt&gt;こま&lt;/rt&gt;&lt;/ruby&gt;かい&lt;br&gt;&lt;div class=""audio""&gt;[sound:こまかい.mp3]&lt;/div&gt;")</f>
        <v>&lt;ruby&gt;細&lt;rt&gt;こま&lt;/rt&gt;&lt;/ruby&gt;かい&lt;br&gt;&lt;div class="audio"&gt;[sound:こまかい.mp3]&lt;/div&gt;</v>
      </c>
      <c r="H1135" s="3" t="str">
        <f t="shared" si="1"/>
        <v>(adj): nhỏ</v>
      </c>
      <c r="I1135" s="6" t="s">
        <v>6119</v>
      </c>
      <c r="J1135" s="6" t="s">
        <v>6120</v>
      </c>
      <c r="K1135" s="7">
        <f t="shared" si="2"/>
        <v>0.6908733646</v>
      </c>
    </row>
    <row r="1136">
      <c r="A1136" s="4">
        <v>1136.0</v>
      </c>
      <c r="B1136" s="5" t="s">
        <v>6121</v>
      </c>
      <c r="C1136" s="5" t="s">
        <v>6121</v>
      </c>
      <c r="D1136" s="5" t="s">
        <v>6121</v>
      </c>
      <c r="E1136" s="6" t="s">
        <v>33</v>
      </c>
      <c r="F1136" s="6" t="s">
        <v>6122</v>
      </c>
      <c r="G1136" s="3" t="str">
        <f>IFERROR(__xludf.DUMMYFUNCTION("REGEXREPLACE(
D1136,
""([一-龯々]+)\[([^\]]+)\]"",
""&lt;ruby&gt;$1&lt;rt&gt;$2&lt;/rt&gt;&lt;/ruby&gt;""
)&amp;""&lt;br&gt;&lt;div class=""""audio""""&gt;[sound:""&amp;C1136&amp;"".mp3]&lt;/div&gt;"""),"なるほど&lt;br&gt;&lt;div class=""audio""&gt;[sound:なるほど.mp3]&lt;/div&gt;")</f>
        <v>なるほど&lt;br&gt;&lt;div class="audio"&gt;[sound:なるほど.mp3]&lt;/div&gt;</v>
      </c>
      <c r="H1136" s="3" t="str">
        <f t="shared" si="1"/>
        <v>(int): quả đúng là</v>
      </c>
      <c r="I1136" s="6" t="s">
        <v>6123</v>
      </c>
      <c r="J1136" s="6" t="s">
        <v>6124</v>
      </c>
      <c r="K1136" s="7">
        <f t="shared" si="2"/>
        <v>0.2454829618</v>
      </c>
    </row>
    <row r="1137">
      <c r="A1137" s="4">
        <v>1137.0</v>
      </c>
      <c r="B1137" s="5" t="s">
        <v>6125</v>
      </c>
      <c r="C1137" s="5" t="s">
        <v>6125</v>
      </c>
      <c r="D1137" s="5" t="s">
        <v>6125</v>
      </c>
      <c r="E1137" s="6" t="s">
        <v>74</v>
      </c>
      <c r="F1137" s="6" t="s">
        <v>6126</v>
      </c>
      <c r="G1137" s="3" t="str">
        <f>IFERROR(__xludf.DUMMYFUNCTION("REGEXREPLACE(
D1137,
""([一-龯々]+)\[([^\]]+)\]"",
""&lt;ruby&gt;$1&lt;rt&gt;$2&lt;/rt&gt;&lt;/ruby&gt;""
)&amp;""&lt;br&gt;&lt;div class=""""audio""""&gt;[sound:""&amp;C1137&amp;"".mp3]&lt;/div&gt;"""),"ピアノ&lt;br&gt;&lt;div class=""audio""&gt;[sound:ピアノ.mp3]&lt;/div&gt;")</f>
        <v>ピアノ&lt;br&gt;&lt;div class="audio"&gt;[sound:ピアノ.mp3]&lt;/div&gt;</v>
      </c>
      <c r="H1137" s="3" t="str">
        <f t="shared" si="1"/>
        <v>(n): đàn piano</v>
      </c>
      <c r="I1137" s="6" t="s">
        <v>6127</v>
      </c>
      <c r="J1137" s="6" t="s">
        <v>6128</v>
      </c>
      <c r="K1137" s="7">
        <f t="shared" si="2"/>
        <v>0.4052928353</v>
      </c>
    </row>
    <row r="1138">
      <c r="A1138" s="4">
        <v>1138.0</v>
      </c>
      <c r="B1138" s="5" t="s">
        <v>6129</v>
      </c>
      <c r="C1138" s="5" t="s">
        <v>6130</v>
      </c>
      <c r="D1138" s="5" t="s">
        <v>6131</v>
      </c>
      <c r="E1138" s="6" t="s">
        <v>11</v>
      </c>
      <c r="F1138" s="6" t="s">
        <v>6132</v>
      </c>
      <c r="G1138" s="3" t="str">
        <f>IFERROR(__xludf.DUMMYFUNCTION("REGEXREPLACE(
D1138,
""([一-龯々]+)\[([^\]]+)\]"",
""&lt;ruby&gt;$1&lt;rt&gt;$2&lt;/rt&gt;&lt;/ruby&gt;""
)&amp;""&lt;br&gt;&lt;div class=""""audio""""&gt;[sound:""&amp;C1138&amp;"".mp3]&lt;/div&gt;"""),"&lt;ruby&gt;便利&lt;rt&gt;べんり&lt;/rt&gt;&lt;/ruby&gt;&lt;br&gt;&lt;div class=""audio""&gt;[sound:べんり.mp3]&lt;/div&gt;")</f>
        <v>&lt;ruby&gt;便利&lt;rt&gt;べんり&lt;/rt&gt;&lt;/ruby&gt;&lt;br&gt;&lt;div class="audio"&gt;[sound:べんり.mp3]&lt;/div&gt;</v>
      </c>
      <c r="H1138" s="3" t="str">
        <f t="shared" si="1"/>
        <v>(adj): tiện lợi</v>
      </c>
      <c r="I1138" s="6" t="s">
        <v>6133</v>
      </c>
      <c r="J1138" s="6" t="s">
        <v>6134</v>
      </c>
      <c r="K1138" s="7">
        <f t="shared" si="2"/>
        <v>0.1033726265</v>
      </c>
    </row>
    <row r="1139">
      <c r="A1139" s="4">
        <v>1139.0</v>
      </c>
      <c r="B1139" s="5" t="s">
        <v>6135</v>
      </c>
      <c r="C1139" s="5" t="s">
        <v>6136</v>
      </c>
      <c r="D1139" s="5" t="s">
        <v>6137</v>
      </c>
      <c r="E1139" s="6" t="s">
        <v>74</v>
      </c>
      <c r="F1139" s="6" t="s">
        <v>6138</v>
      </c>
      <c r="G1139" s="3" t="str">
        <f>IFERROR(__xludf.DUMMYFUNCTION("REGEXREPLACE(
D1139,
""([一-龯々]+)\[([^\]]+)\]"",
""&lt;ruby&gt;$1&lt;rt&gt;$2&lt;/rt&gt;&lt;/ruby&gt;""
)&amp;""&lt;br&gt;&lt;div class=""""audio""""&gt;[sound:""&amp;C1139&amp;"".mp3]&lt;/div&gt;"""),"&lt;ruby&gt;記録&lt;rt&gt;きろく&lt;/rt&gt;&lt;/ruby&gt;&lt;br&gt;&lt;div class=""audio""&gt;[sound:きろく.mp3]&lt;/div&gt;")</f>
        <v>&lt;ruby&gt;記録&lt;rt&gt;きろく&lt;/rt&gt;&lt;/ruby&gt;&lt;br&gt;&lt;div class="audio"&gt;[sound:きろく.mp3]&lt;/div&gt;</v>
      </c>
      <c r="H1139" s="3" t="str">
        <f t="shared" si="1"/>
        <v>(n): ghi chép</v>
      </c>
      <c r="I1139" s="6" t="s">
        <v>6139</v>
      </c>
      <c r="J1139" s="6" t="s">
        <v>6140</v>
      </c>
      <c r="K1139" s="7">
        <f t="shared" si="2"/>
        <v>0.5061234469</v>
      </c>
    </row>
    <row r="1140">
      <c r="A1140" s="4">
        <v>1140.0</v>
      </c>
      <c r="B1140" s="5" t="s">
        <v>6141</v>
      </c>
      <c r="C1140" s="5" t="s">
        <v>6141</v>
      </c>
      <c r="D1140" s="5" t="s">
        <v>6141</v>
      </c>
      <c r="E1140" s="6" t="s">
        <v>85</v>
      </c>
      <c r="F1140" s="6" t="s">
        <v>6142</v>
      </c>
      <c r="G1140" s="3" t="str">
        <f>IFERROR(__xludf.DUMMYFUNCTION("REGEXREPLACE(
D1140,
""([一-龯々]+)\[([^\]]+)\]"",
""&lt;ruby&gt;$1&lt;rt&gt;$2&lt;/rt&gt;&lt;/ruby&gt;""
)&amp;""&lt;br&gt;&lt;div class=""""audio""""&gt;[sound:""&amp;C1140&amp;"".mp3]&lt;/div&gt;"""),"まさに&lt;br&gt;&lt;div class=""audio""&gt;[sound:まさに.mp3]&lt;/div&gt;")</f>
        <v>まさに&lt;br&gt;&lt;div class="audio"&gt;[sound:まさに.mp3]&lt;/div&gt;</v>
      </c>
      <c r="H1140" s="3" t="str">
        <f t="shared" si="1"/>
        <v>(adv): đúng là</v>
      </c>
      <c r="I1140" s="6" t="s">
        <v>6143</v>
      </c>
      <c r="J1140" s="6" t="s">
        <v>6144</v>
      </c>
      <c r="K1140" s="7">
        <f t="shared" si="2"/>
        <v>0.8980734917</v>
      </c>
    </row>
    <row r="1141">
      <c r="A1141" s="4">
        <v>1141.0</v>
      </c>
      <c r="B1141" s="5" t="s">
        <v>6145</v>
      </c>
      <c r="C1141" s="5" t="s">
        <v>6146</v>
      </c>
      <c r="D1141" s="5" t="s">
        <v>6145</v>
      </c>
      <c r="E1141" s="6" t="s">
        <v>74</v>
      </c>
      <c r="F1141" s="6" t="s">
        <v>6147</v>
      </c>
      <c r="G1141" s="3" t="str">
        <f>IFERROR(__xludf.DUMMYFUNCTION("REGEXREPLACE(
D1141,
""([一-龯々]+)\[([^\]]+)\]"",
""&lt;ruby&gt;$1&lt;rt&gt;$2&lt;/rt&gt;&lt;/ruby&gt;""
)&amp;""&lt;br&gt;&lt;div class=""""audio""""&gt;[sound:""&amp;C1141&amp;"".mp3]&lt;/div&gt;"""),"ヨーロッパ&lt;br&gt;&lt;div class=""audio""&gt;[sound:よーろっぱ.mp3]&lt;/div&gt;")</f>
        <v>ヨーロッパ&lt;br&gt;&lt;div class="audio"&gt;[sound:よーろっぱ.mp3]&lt;/div&gt;</v>
      </c>
      <c r="H1141" s="3" t="str">
        <f t="shared" si="1"/>
        <v>(n): châu âu</v>
      </c>
      <c r="I1141" s="6" t="s">
        <v>6148</v>
      </c>
      <c r="J1141" s="6" t="s">
        <v>6149</v>
      </c>
      <c r="K1141" s="7">
        <f t="shared" si="2"/>
        <v>0.8182678054</v>
      </c>
    </row>
    <row r="1142">
      <c r="A1142" s="4">
        <v>1142.0</v>
      </c>
      <c r="B1142" s="5" t="s">
        <v>6150</v>
      </c>
      <c r="C1142" s="5" t="s">
        <v>6151</v>
      </c>
      <c r="D1142" s="5" t="s">
        <v>6152</v>
      </c>
      <c r="E1142" s="6" t="s">
        <v>11</v>
      </c>
      <c r="F1142" s="6" t="s">
        <v>6153</v>
      </c>
      <c r="G1142" s="3" t="str">
        <f>IFERROR(__xludf.DUMMYFUNCTION("REGEXREPLACE(
D1142,
""([一-龯々]+)\[([^\]]+)\]"",
""&lt;ruby&gt;$1&lt;rt&gt;$2&lt;/rt&gt;&lt;/ruby&gt;""
)&amp;""&lt;br&gt;&lt;div class=""""audio""""&gt;[sound:""&amp;C1142&amp;"".mp3]&lt;/div&gt;"""),"&lt;ruby&gt;丁寧&lt;rt&gt;ていねい&lt;/rt&gt;&lt;/ruby&gt;&lt;br&gt;&lt;div class=""audio""&gt;[sound:ていねい.mp3]&lt;/div&gt;")</f>
        <v>&lt;ruby&gt;丁寧&lt;rt&gt;ていねい&lt;/rt&gt;&lt;/ruby&gt;&lt;br&gt;&lt;div class="audio"&gt;[sound:ていねい.mp3]&lt;/div&gt;</v>
      </c>
      <c r="H1142" s="3" t="str">
        <f t="shared" si="1"/>
        <v>(adj): lịch sự</v>
      </c>
      <c r="I1142" s="6" t="s">
        <v>6154</v>
      </c>
      <c r="J1142" s="6" t="s">
        <v>6155</v>
      </c>
      <c r="K1142" s="7">
        <f t="shared" si="2"/>
        <v>0.1319299016</v>
      </c>
    </row>
    <row r="1143">
      <c r="A1143" s="4">
        <v>1143.0</v>
      </c>
      <c r="B1143" s="5" t="s">
        <v>6156</v>
      </c>
      <c r="C1143" s="5" t="s">
        <v>6157</v>
      </c>
      <c r="D1143" s="5" t="s">
        <v>6158</v>
      </c>
      <c r="E1143" s="6" t="s">
        <v>74</v>
      </c>
      <c r="F1143" s="6" t="s">
        <v>6159</v>
      </c>
      <c r="G1143" s="3" t="str">
        <f>IFERROR(__xludf.DUMMYFUNCTION("REGEXREPLACE(
D1143,
""([一-龯々]+)\[([^\]]+)\]"",
""&lt;ruby&gt;$1&lt;rt&gt;$2&lt;/rt&gt;&lt;/ruby&gt;""
)&amp;""&lt;br&gt;&lt;div class=""""audio""""&gt;[sound:""&amp;C1143&amp;"".mp3]&lt;/div&gt;"""),"&lt;ruby&gt;床&lt;rt&gt;ゆか&lt;/rt&gt;&lt;/ruby&gt;&lt;br&gt;&lt;div class=""audio""&gt;[sound:ゆか.mp3]&lt;/div&gt;")</f>
        <v>&lt;ruby&gt;床&lt;rt&gt;ゆか&lt;/rt&gt;&lt;/ruby&gt;&lt;br&gt;&lt;div class="audio"&gt;[sound:ゆか.mp3]&lt;/div&gt;</v>
      </c>
      <c r="H1143" s="3" t="str">
        <f t="shared" si="1"/>
        <v>(n): sàn nhà</v>
      </c>
      <c r="I1143" s="6" t="s">
        <v>6160</v>
      </c>
      <c r="J1143" s="6" t="s">
        <v>6161</v>
      </c>
      <c r="K1143" s="7">
        <f t="shared" si="2"/>
        <v>0.2378566893</v>
      </c>
    </row>
    <row r="1144">
      <c r="A1144" s="4">
        <v>1144.0</v>
      </c>
      <c r="B1144" s="5" t="s">
        <v>6162</v>
      </c>
      <c r="C1144" s="5" t="s">
        <v>6163</v>
      </c>
      <c r="D1144" s="5" t="s">
        <v>6164</v>
      </c>
      <c r="E1144" s="6" t="s">
        <v>24</v>
      </c>
      <c r="F1144" s="6" t="s">
        <v>6165</v>
      </c>
      <c r="G1144" s="3" t="str">
        <f>IFERROR(__xludf.DUMMYFUNCTION("REGEXREPLACE(
D1144,
""([一-龯々]+)\[([^\]]+)\]"",
""&lt;ruby&gt;$1&lt;rt&gt;$2&lt;/rt&gt;&lt;/ruby&gt;""
)&amp;""&lt;br&gt;&lt;div class=""""audio""""&gt;[sound:""&amp;C1144&amp;"".mp3]&lt;/div&gt;"""),"&lt;ruby&gt;許&lt;rt&gt;ゆる&lt;/rt&gt;&lt;/ruby&gt;す&lt;br&gt;&lt;div class=""audio""&gt;[sound:ゆるす.mp3]&lt;/div&gt;")</f>
        <v>&lt;ruby&gt;許&lt;rt&gt;ゆる&lt;/rt&gt;&lt;/ruby&gt;す&lt;br&gt;&lt;div class="audio"&gt;[sound:ゆるす.mp3]&lt;/div&gt;</v>
      </c>
      <c r="H1144" s="3" t="str">
        <f t="shared" si="1"/>
        <v>(v): tha thứ</v>
      </c>
      <c r="I1144" s="6" t="s">
        <v>6166</v>
      </c>
      <c r="J1144" s="6" t="s">
        <v>6167</v>
      </c>
      <c r="K1144" s="7">
        <f t="shared" si="2"/>
        <v>0.5592376088</v>
      </c>
    </row>
    <row r="1145">
      <c r="A1145" s="4">
        <v>1145.0</v>
      </c>
      <c r="B1145" s="5" t="s">
        <v>6168</v>
      </c>
      <c r="C1145" s="5" t="s">
        <v>6169</v>
      </c>
      <c r="D1145" s="5" t="s">
        <v>6170</v>
      </c>
      <c r="E1145" s="6" t="s">
        <v>74</v>
      </c>
      <c r="F1145" s="6" t="s">
        <v>6171</v>
      </c>
      <c r="G1145" s="3" t="str">
        <f>IFERROR(__xludf.DUMMYFUNCTION("REGEXREPLACE(
D1145,
""([一-龯々]+)\[([^\]]+)\]"",
""&lt;ruby&gt;$1&lt;rt&gt;$2&lt;/rt&gt;&lt;/ruby&gt;""
)&amp;""&lt;br&gt;&lt;div class=""""audio""""&gt;[sound:""&amp;C1145&amp;"".mp3]&lt;/div&gt;"""),"&lt;ruby&gt;質問&lt;rt&gt;しつもん&lt;/rt&gt;&lt;/ruby&gt;&lt;br&gt;&lt;div class=""audio""&gt;[sound:しつもん.mp3]&lt;/div&gt;")</f>
        <v>&lt;ruby&gt;質問&lt;rt&gt;しつもん&lt;/rt&gt;&lt;/ruby&gt;&lt;br&gt;&lt;div class="audio"&gt;[sound:しつもん.mp3]&lt;/div&gt;</v>
      </c>
      <c r="H1145" s="3" t="str">
        <f t="shared" si="1"/>
        <v>(n): câu hỏi</v>
      </c>
      <c r="I1145" s="6" t="s">
        <v>6172</v>
      </c>
      <c r="J1145" s="6" t="s">
        <v>6173</v>
      </c>
      <c r="K1145" s="7">
        <f t="shared" si="2"/>
        <v>0.300849244</v>
      </c>
    </row>
    <row r="1146">
      <c r="A1146" s="4">
        <v>1146.0</v>
      </c>
      <c r="B1146" s="5" t="s">
        <v>6174</v>
      </c>
      <c r="C1146" s="5" t="s">
        <v>6175</v>
      </c>
      <c r="D1146" s="5" t="s">
        <v>6174</v>
      </c>
      <c r="E1146" s="6" t="s">
        <v>74</v>
      </c>
      <c r="F1146" s="6" t="s">
        <v>6176</v>
      </c>
      <c r="G1146" s="3" t="str">
        <f>IFERROR(__xludf.DUMMYFUNCTION("REGEXREPLACE(
D1146,
""([一-龯々]+)\[([^\]]+)\]"",
""&lt;ruby&gt;$1&lt;rt&gt;$2&lt;/rt&gt;&lt;/ruby&gt;""
)&amp;""&lt;br&gt;&lt;div class=""""audio""""&gt;[sound:""&amp;C1146&amp;"".mp3]&lt;/div&gt;"""),"カバー&lt;br&gt;&lt;div class=""audio""&gt;[sound:かばー.mp3]&lt;/div&gt;")</f>
        <v>カバー&lt;br&gt;&lt;div class="audio"&gt;[sound:かばー.mp3]&lt;/div&gt;</v>
      </c>
      <c r="H1146" s="3" t="str">
        <f t="shared" si="1"/>
        <v>(n): vỏ bọc</v>
      </c>
      <c r="I1146" s="6" t="s">
        <v>6177</v>
      </c>
      <c r="J1146" s="6" t="s">
        <v>6178</v>
      </c>
      <c r="K1146" s="7">
        <f t="shared" si="2"/>
        <v>0.6437862687</v>
      </c>
    </row>
    <row r="1147">
      <c r="A1147" s="4">
        <v>1147.0</v>
      </c>
      <c r="B1147" s="5" t="s">
        <v>6179</v>
      </c>
      <c r="C1147" s="5" t="s">
        <v>6180</v>
      </c>
      <c r="D1147" s="5" t="s">
        <v>6181</v>
      </c>
      <c r="E1147" s="6" t="s">
        <v>74</v>
      </c>
      <c r="F1147" s="6" t="s">
        <v>6182</v>
      </c>
      <c r="G1147" s="3" t="str">
        <f>IFERROR(__xludf.DUMMYFUNCTION("REGEXREPLACE(
D1147,
""([一-龯々]+)\[([^\]]+)\]"",
""&lt;ruby&gt;$1&lt;rt&gt;$2&lt;/rt&gt;&lt;/ruby&gt;""
)&amp;""&lt;br&gt;&lt;div class=""""audio""""&gt;[sound:""&amp;C1147&amp;"".mp3]&lt;/div&gt;"""),"&lt;ruby&gt;価格&lt;rt&gt;かかく&lt;/rt&gt;&lt;/ruby&gt;&lt;br&gt;&lt;div class=""audio""&gt;[sound:かかく.mp3]&lt;/div&gt;")</f>
        <v>&lt;ruby&gt;価格&lt;rt&gt;かかく&lt;/rt&gt;&lt;/ruby&gt;&lt;br&gt;&lt;div class="audio"&gt;[sound:かかく.mp3]&lt;/div&gt;</v>
      </c>
      <c r="H1147" s="3" t="str">
        <f t="shared" si="1"/>
        <v>(n): giá cả</v>
      </c>
      <c r="I1147" s="6" t="s">
        <v>6183</v>
      </c>
      <c r="J1147" s="6" t="s">
        <v>6184</v>
      </c>
      <c r="K1147" s="7">
        <f t="shared" si="2"/>
        <v>0.09433834221</v>
      </c>
    </row>
    <row r="1148">
      <c r="A1148" s="4">
        <v>1148.0</v>
      </c>
      <c r="B1148" s="5" t="s">
        <v>6185</v>
      </c>
      <c r="C1148" s="5" t="s">
        <v>6186</v>
      </c>
      <c r="D1148" s="5" t="s">
        <v>6187</v>
      </c>
      <c r="E1148" s="6" t="s">
        <v>74</v>
      </c>
      <c r="F1148" s="6" t="s">
        <v>6188</v>
      </c>
      <c r="G1148" s="3" t="str">
        <f>IFERROR(__xludf.DUMMYFUNCTION("REGEXREPLACE(
D1148,
""([一-龯々]+)\[([^\]]+)\]"",
""&lt;ruby&gt;$1&lt;rt&gt;$2&lt;/rt&gt;&lt;/ruby&gt;""
)&amp;""&lt;br&gt;&lt;div class=""""audio""""&gt;[sound:""&amp;C1148&amp;"".mp3]&lt;/div&gt;"""),"&lt;ruby&gt;試験&lt;rt&gt;しけん&lt;/rt&gt;&lt;/ruby&gt;&lt;br&gt;&lt;div class=""audio""&gt;[sound:しけん.mp3]&lt;/div&gt;")</f>
        <v>&lt;ruby&gt;試験&lt;rt&gt;しけん&lt;/rt&gt;&lt;/ruby&gt;&lt;br&gt;&lt;div class="audio"&gt;[sound:しけん.mp3]&lt;/div&gt;</v>
      </c>
      <c r="H1148" s="3" t="str">
        <f t="shared" si="1"/>
        <v>(n): kỳ thi</v>
      </c>
      <c r="I1148" s="6" t="s">
        <v>6189</v>
      </c>
      <c r="J1148" s="6" t="s">
        <v>6190</v>
      </c>
      <c r="K1148" s="7">
        <f t="shared" si="2"/>
        <v>0.04579430279</v>
      </c>
    </row>
    <row r="1149">
      <c r="A1149" s="4">
        <v>1149.0</v>
      </c>
      <c r="B1149" s="5" t="s">
        <v>6191</v>
      </c>
      <c r="C1149" s="5" t="s">
        <v>6192</v>
      </c>
      <c r="D1149" s="5" t="s">
        <v>6193</v>
      </c>
      <c r="E1149" s="6" t="s">
        <v>74</v>
      </c>
      <c r="F1149" s="6" t="s">
        <v>2213</v>
      </c>
      <c r="G1149" s="3" t="str">
        <f>IFERROR(__xludf.DUMMYFUNCTION("REGEXREPLACE(
D1149,
""([一-龯々]+)\[([^\]]+)\]"",
""&lt;ruby&gt;$1&lt;rt&gt;$2&lt;/rt&gt;&lt;/ruby&gt;""
)&amp;""&lt;br&gt;&lt;div class=""""audio""""&gt;[sound:""&amp;C1149&amp;"".mp3]&lt;/div&gt;"""),"&lt;ruby&gt;両親&lt;rt&gt;りょうしん&lt;/rt&gt;&lt;/ruby&gt;&lt;br&gt;&lt;div class=""audio""&gt;[sound:りょうしん.mp3]&lt;/div&gt;")</f>
        <v>&lt;ruby&gt;両親&lt;rt&gt;りょうしん&lt;/rt&gt;&lt;/ruby&gt;&lt;br&gt;&lt;div class="audio"&gt;[sound:りょうしん.mp3]&lt;/div&gt;</v>
      </c>
      <c r="H1149" s="3" t="str">
        <f t="shared" si="1"/>
        <v>(n): bố mẹ</v>
      </c>
      <c r="I1149" s="6" t="s">
        <v>6194</v>
      </c>
      <c r="J1149" s="6" t="s">
        <v>6195</v>
      </c>
      <c r="K1149" s="7">
        <f t="shared" si="2"/>
        <v>0.9671310744</v>
      </c>
    </row>
    <row r="1150">
      <c r="A1150" s="4">
        <v>1150.0</v>
      </c>
      <c r="B1150" s="5" t="s">
        <v>6196</v>
      </c>
      <c r="C1150" s="5" t="s">
        <v>6197</v>
      </c>
      <c r="D1150" s="5" t="s">
        <v>6198</v>
      </c>
      <c r="E1150" s="6" t="s">
        <v>24</v>
      </c>
      <c r="F1150" s="6" t="s">
        <v>6199</v>
      </c>
      <c r="G1150" s="3" t="str">
        <f>IFERROR(__xludf.DUMMYFUNCTION("REGEXREPLACE(
D1150,
""([一-龯々]+)\[([^\]]+)\]"",
""&lt;ruby&gt;$1&lt;rt&gt;$2&lt;/rt&gt;&lt;/ruby&gt;""
)&amp;""&lt;br&gt;&lt;div class=""""audio""""&gt;[sound:""&amp;C1150&amp;"".mp3]&lt;/div&gt;"""),"&lt;ruby&gt;壊&lt;rt&gt;こわ&lt;/rt&gt;&lt;/ruby&gt;れる&lt;br&gt;&lt;div class=""audio""&gt;[sound:こわれる.mp3]&lt;/div&gt;")</f>
        <v>&lt;ruby&gt;壊&lt;rt&gt;こわ&lt;/rt&gt;&lt;/ruby&gt;れる&lt;br&gt;&lt;div class="audio"&gt;[sound:こわれる.mp3]&lt;/div&gt;</v>
      </c>
      <c r="H1150" s="3" t="str">
        <f t="shared" si="1"/>
        <v>(v): hỏng</v>
      </c>
      <c r="I1150" s="6" t="s">
        <v>6200</v>
      </c>
      <c r="J1150" s="6" t="s">
        <v>6201</v>
      </c>
      <c r="K1150" s="7">
        <f t="shared" si="2"/>
        <v>0.3945046543</v>
      </c>
    </row>
    <row r="1151">
      <c r="A1151" s="4">
        <v>1151.0</v>
      </c>
      <c r="B1151" s="5" t="s">
        <v>6202</v>
      </c>
      <c r="C1151" s="5" t="s">
        <v>6203</v>
      </c>
      <c r="D1151" s="5" t="s">
        <v>6204</v>
      </c>
      <c r="E1151" s="6" t="s">
        <v>11</v>
      </c>
      <c r="F1151" s="6" t="s">
        <v>4777</v>
      </c>
      <c r="G1151" s="3" t="str">
        <f>IFERROR(__xludf.DUMMYFUNCTION("REGEXREPLACE(
D1151,
""([一-龯々]+)\[([^\]]+)\]"",
""&lt;ruby&gt;$1&lt;rt&gt;$2&lt;/rt&gt;&lt;/ruby&gt;""
)&amp;""&lt;br&gt;&lt;div class=""""audio""""&gt;[sound:""&amp;C1151&amp;"".mp3]&lt;/div&gt;"""),"&lt;ruby&gt;悲&lt;rt&gt;かな&lt;/rt&gt;&lt;/ruby&gt;しい&lt;br&gt;&lt;div class=""audio""&gt;[sound:かなしい.mp3]&lt;/div&gt;")</f>
        <v>&lt;ruby&gt;悲&lt;rt&gt;かな&lt;/rt&gt;&lt;/ruby&gt;しい&lt;br&gt;&lt;div class="audio"&gt;[sound:かなしい.mp3]&lt;/div&gt;</v>
      </c>
      <c r="H1151" s="3" t="str">
        <f t="shared" si="1"/>
        <v>(adj): buồn</v>
      </c>
      <c r="I1151" s="6" t="s">
        <v>6205</v>
      </c>
      <c r="J1151" s="6" t="s">
        <v>6206</v>
      </c>
      <c r="K1151" s="7">
        <f t="shared" si="2"/>
        <v>0.4957948664</v>
      </c>
    </row>
    <row r="1152">
      <c r="A1152" s="4">
        <v>1152.0</v>
      </c>
      <c r="B1152" s="5" t="s">
        <v>6207</v>
      </c>
      <c r="C1152" s="5" t="s">
        <v>6208</v>
      </c>
      <c r="D1152" s="5" t="s">
        <v>6209</v>
      </c>
      <c r="E1152" s="6" t="s">
        <v>11</v>
      </c>
      <c r="F1152" s="6" t="s">
        <v>484</v>
      </c>
      <c r="G1152" s="3" t="str">
        <f>IFERROR(__xludf.DUMMYFUNCTION("REGEXREPLACE(
D1152,
""([一-龯々]+)\[([^\]]+)\]"",
""&lt;ruby&gt;$1&lt;rt&gt;$2&lt;/rt&gt;&lt;/ruby&gt;""
)&amp;""&lt;br&gt;&lt;div class=""""audio""""&gt;[sound:""&amp;C1152&amp;"".mp3]&lt;/div&gt;"""),"&lt;ruby&gt;小&lt;rt&gt;しょう&lt;/rt&gt;&lt;/ruby&gt;&lt;br&gt;&lt;div class=""audio""&gt;[sound:しょう.mp3]&lt;/div&gt;")</f>
        <v>&lt;ruby&gt;小&lt;rt&gt;しょう&lt;/rt&gt;&lt;/ruby&gt;&lt;br&gt;&lt;div class="audio"&gt;[sound:しょう.mp3]&lt;/div&gt;</v>
      </c>
      <c r="H1152" s="3" t="str">
        <f t="shared" si="1"/>
        <v>(adj): nhỏ</v>
      </c>
      <c r="I1152" s="6" t="s">
        <v>6210</v>
      </c>
      <c r="J1152" s="6" t="s">
        <v>6211</v>
      </c>
      <c r="K1152" s="7">
        <f t="shared" si="2"/>
        <v>0.5962599086</v>
      </c>
    </row>
    <row r="1153">
      <c r="A1153" s="4">
        <v>1153.0</v>
      </c>
      <c r="B1153" s="5" t="s">
        <v>6212</v>
      </c>
      <c r="C1153" s="5" t="s">
        <v>6213</v>
      </c>
      <c r="D1153" s="5" t="s">
        <v>6214</v>
      </c>
      <c r="E1153" s="6" t="s">
        <v>74</v>
      </c>
      <c r="F1153" s="6" t="s">
        <v>6215</v>
      </c>
      <c r="G1153" s="3" t="str">
        <f>IFERROR(__xludf.DUMMYFUNCTION("REGEXREPLACE(
D1153,
""([一-龯々]+)\[([^\]]+)\]"",
""&lt;ruby&gt;$1&lt;rt&gt;$2&lt;/rt&gt;&lt;/ruby&gt;""
)&amp;""&lt;br&gt;&lt;div class=""""audio""""&gt;[sound:""&amp;C1153&amp;"".mp3]&lt;/div&gt;"""),"&lt;ruby&gt;雨&lt;rt&gt;あめ&lt;/rt&gt;&lt;/ruby&gt;&lt;br&gt;&lt;div class=""audio""&gt;[sound:あめ.mp3]&lt;/div&gt;")</f>
        <v>&lt;ruby&gt;雨&lt;rt&gt;あめ&lt;/rt&gt;&lt;/ruby&gt;&lt;br&gt;&lt;div class="audio"&gt;[sound:あめ.mp3]&lt;/div&gt;</v>
      </c>
      <c r="H1153" s="3" t="str">
        <f t="shared" si="1"/>
        <v>(n): mưa</v>
      </c>
      <c r="I1153" s="6" t="s">
        <v>6216</v>
      </c>
      <c r="J1153" s="6" t="s">
        <v>6217</v>
      </c>
      <c r="K1153" s="7">
        <f t="shared" si="2"/>
        <v>0.9713704798</v>
      </c>
    </row>
    <row r="1154">
      <c r="A1154" s="4">
        <v>1154.0</v>
      </c>
      <c r="B1154" s="5" t="s">
        <v>6218</v>
      </c>
      <c r="C1154" s="5" t="s">
        <v>6219</v>
      </c>
      <c r="D1154" s="5" t="s">
        <v>6218</v>
      </c>
      <c r="E1154" s="6" t="s">
        <v>74</v>
      </c>
      <c r="F1154" s="6" t="s">
        <v>842</v>
      </c>
      <c r="G1154" s="3" t="str">
        <f>IFERROR(__xludf.DUMMYFUNCTION("REGEXREPLACE(
D1154,
""([一-龯々]+)\[([^\]]+)\]"",
""&lt;ruby&gt;$1&lt;rt&gt;$2&lt;/rt&gt;&lt;/ruby&gt;""
)&amp;""&lt;br&gt;&lt;div class=""""audio""""&gt;[sound:""&amp;C1154&amp;"".mp3]&lt;/div&gt;"""),"パパ&lt;br&gt;&lt;div class=""audio""&gt;[sound:ぱぱ.mp3]&lt;/div&gt;")</f>
        <v>パパ&lt;br&gt;&lt;div class="audio"&gt;[sound:ぱぱ.mp3]&lt;/div&gt;</v>
      </c>
      <c r="H1154" s="3" t="str">
        <f t="shared" si="1"/>
        <v>(n): bố</v>
      </c>
      <c r="I1154" s="6" t="s">
        <v>6220</v>
      </c>
      <c r="J1154" s="6" t="s">
        <v>6221</v>
      </c>
      <c r="K1154" s="7">
        <f t="shared" si="2"/>
        <v>0.9383306194</v>
      </c>
    </row>
    <row r="1155">
      <c r="A1155" s="4">
        <v>1155.0</v>
      </c>
      <c r="B1155" s="5" t="s">
        <v>6222</v>
      </c>
      <c r="C1155" s="5" t="s">
        <v>6223</v>
      </c>
      <c r="D1155" s="5" t="s">
        <v>6222</v>
      </c>
      <c r="E1155" s="6" t="s">
        <v>74</v>
      </c>
      <c r="F1155" s="6" t="s">
        <v>6224</v>
      </c>
      <c r="G1155" s="3" t="str">
        <f>IFERROR(__xludf.DUMMYFUNCTION("REGEXREPLACE(
D1155,
""([一-龯々]+)\[([^\]]+)\]"",
""&lt;ruby&gt;$1&lt;rt&gt;$2&lt;/rt&gt;&lt;/ruby&gt;""
)&amp;""&lt;br&gt;&lt;div class=""""audio""""&gt;[sound:""&amp;C1155&amp;"".mp3]&lt;/div&gt;"""),"デパート&lt;br&gt;&lt;div class=""audio""&gt;[sound:でぱーと.mp3]&lt;/div&gt;")</f>
        <v>デパート&lt;br&gt;&lt;div class="audio"&gt;[sound:でぱーと.mp3]&lt;/div&gt;</v>
      </c>
      <c r="H1155" s="3" t="str">
        <f t="shared" si="1"/>
        <v>(n): cửa hàng bách hóa</v>
      </c>
      <c r="I1155" s="6" t="s">
        <v>6225</v>
      </c>
      <c r="J1155" s="6" t="s">
        <v>6226</v>
      </c>
      <c r="K1155" s="7">
        <f t="shared" si="2"/>
        <v>0.5374197434</v>
      </c>
    </row>
    <row r="1156">
      <c r="A1156" s="4">
        <v>1156.0</v>
      </c>
      <c r="B1156" s="5" t="s">
        <v>6227</v>
      </c>
      <c r="C1156" s="5" t="s">
        <v>6228</v>
      </c>
      <c r="D1156" s="5" t="s">
        <v>6227</v>
      </c>
      <c r="E1156" s="6" t="s">
        <v>74</v>
      </c>
      <c r="F1156" s="6" t="s">
        <v>6229</v>
      </c>
      <c r="G1156" s="3" t="str">
        <f>IFERROR(__xludf.DUMMYFUNCTION("REGEXREPLACE(
D1156,
""([一-龯々]+)\[([^\]]+)\]"",
""&lt;ruby&gt;$1&lt;rt&gt;$2&lt;/rt&gt;&lt;/ruby&gt;""
)&amp;""&lt;br&gt;&lt;div class=""""audio""""&gt;[sound:""&amp;C1156&amp;"".mp3]&lt;/div&gt;"""),"スタイル&lt;br&gt;&lt;div class=""audio""&gt;[sound:すたいる.mp3]&lt;/div&gt;")</f>
        <v>スタイル&lt;br&gt;&lt;div class="audio"&gt;[sound:すたいる.mp3]&lt;/div&gt;</v>
      </c>
      <c r="H1156" s="3" t="str">
        <f t="shared" si="1"/>
        <v>(n): phong cách</v>
      </c>
      <c r="I1156" s="6" t="s">
        <v>6230</v>
      </c>
      <c r="J1156" s="6" t="s">
        <v>6231</v>
      </c>
      <c r="K1156" s="7">
        <f t="shared" si="2"/>
        <v>0.7185166724</v>
      </c>
    </row>
    <row r="1157">
      <c r="A1157" s="4">
        <v>1157.0</v>
      </c>
      <c r="B1157" s="5" t="s">
        <v>6232</v>
      </c>
      <c r="C1157" s="5" t="s">
        <v>6233</v>
      </c>
      <c r="D1157" s="5" t="s">
        <v>6232</v>
      </c>
      <c r="E1157" s="6" t="s">
        <v>74</v>
      </c>
      <c r="F1157" s="6" t="s">
        <v>6234</v>
      </c>
      <c r="G1157" s="3" t="str">
        <f>IFERROR(__xludf.DUMMYFUNCTION("REGEXREPLACE(
D1157,
""([一-龯々]+)\[([^\]]+)\]"",
""&lt;ruby&gt;$1&lt;rt&gt;$2&lt;/rt&gt;&lt;/ruby&gt;""
)&amp;""&lt;br&gt;&lt;div class=""""audio""""&gt;[sound:""&amp;C1157&amp;"".mp3]&lt;/div&gt;"""),"マスク&lt;br&gt;&lt;div class=""audio""&gt;[sound:ますく.mp3]&lt;/div&gt;")</f>
        <v>マスク&lt;br&gt;&lt;div class="audio"&gt;[sound:ますく.mp3]&lt;/div&gt;</v>
      </c>
      <c r="H1157" s="3" t="str">
        <f t="shared" si="1"/>
        <v>(n): khẩu trang</v>
      </c>
      <c r="I1157" s="6" t="s">
        <v>6235</v>
      </c>
      <c r="J1157" s="6" t="s">
        <v>6236</v>
      </c>
      <c r="K1157" s="7">
        <f t="shared" si="2"/>
        <v>0.9821958499</v>
      </c>
    </row>
    <row r="1158">
      <c r="A1158" s="4">
        <v>1158.0</v>
      </c>
      <c r="B1158" s="5" t="s">
        <v>6237</v>
      </c>
      <c r="C1158" s="5" t="s">
        <v>6238</v>
      </c>
      <c r="D1158" s="5" t="s">
        <v>6239</v>
      </c>
      <c r="E1158" s="6" t="s">
        <v>74</v>
      </c>
      <c r="F1158" s="6" t="s">
        <v>6240</v>
      </c>
      <c r="G1158" s="3" t="str">
        <f>IFERROR(__xludf.DUMMYFUNCTION("REGEXREPLACE(
D1158,
""([一-龯々]+)\[([^\]]+)\]"",
""&lt;ruby&gt;$1&lt;rt&gt;$2&lt;/rt&gt;&lt;/ruby&gt;""
)&amp;""&lt;br&gt;&lt;div class=""""audio""""&gt;[sound:""&amp;C1158&amp;"".mp3]&lt;/div&gt;"""),"&lt;ruby&gt;調子&lt;rt&gt;ちょうし&lt;/rt&gt;&lt;/ruby&gt;&lt;br&gt;&lt;div class=""audio""&gt;[sound:ちょうし.mp3]&lt;/div&gt;")</f>
        <v>&lt;ruby&gt;調子&lt;rt&gt;ちょうし&lt;/rt&gt;&lt;/ruby&gt;&lt;br&gt;&lt;div class="audio"&gt;[sound:ちょうし.mp3]&lt;/div&gt;</v>
      </c>
      <c r="H1158" s="3" t="str">
        <f t="shared" si="1"/>
        <v>(n): tình trạng</v>
      </c>
      <c r="I1158" s="6" t="s">
        <v>6241</v>
      </c>
      <c r="J1158" s="6" t="s">
        <v>6242</v>
      </c>
      <c r="K1158" s="7">
        <f t="shared" si="2"/>
        <v>0.330084752</v>
      </c>
    </row>
    <row r="1159">
      <c r="A1159" s="4">
        <v>1159.0</v>
      </c>
      <c r="B1159" s="5" t="s">
        <v>6243</v>
      </c>
      <c r="C1159" s="5" t="s">
        <v>6244</v>
      </c>
      <c r="D1159" s="5" t="s">
        <v>6245</v>
      </c>
      <c r="E1159" s="6" t="s">
        <v>85</v>
      </c>
      <c r="F1159" s="6" t="s">
        <v>4743</v>
      </c>
      <c r="G1159" s="3" t="str">
        <f>IFERROR(__xludf.DUMMYFUNCTION("REGEXREPLACE(
D1159,
""([一-龯々]+)\[([^\]]+)\]"",
""&lt;ruby&gt;$1&lt;rt&gt;$2&lt;/rt&gt;&lt;/ruby&gt;""
)&amp;""&lt;br&gt;&lt;div class=""""audio""""&gt;[sound:""&amp;C1159&amp;"".mp3]&lt;/div&gt;"""),"&lt;ruby&gt;全然&lt;rt&gt;ぜんぜん&lt;/rt&gt;&lt;/ruby&gt;&lt;br&gt;&lt;div class=""audio""&gt;[sound:ぜんぜん.mp3]&lt;/div&gt;")</f>
        <v>&lt;ruby&gt;全然&lt;rt&gt;ぜんぜん&lt;/rt&gt;&lt;/ruby&gt;&lt;br&gt;&lt;div class="audio"&gt;[sound:ぜんぜん.mp3]&lt;/div&gt;</v>
      </c>
      <c r="H1159" s="3" t="str">
        <f t="shared" si="1"/>
        <v>(adv): hoàn toàn</v>
      </c>
      <c r="I1159" s="6" t="s">
        <v>6246</v>
      </c>
      <c r="J1159" s="6" t="s">
        <v>6247</v>
      </c>
      <c r="K1159" s="7">
        <f t="shared" si="2"/>
        <v>0.9698170096</v>
      </c>
    </row>
    <row r="1160">
      <c r="A1160" s="4">
        <v>1160.0</v>
      </c>
      <c r="B1160" s="5" t="s">
        <v>6248</v>
      </c>
      <c r="C1160" s="5" t="s">
        <v>6249</v>
      </c>
      <c r="D1160" s="5" t="s">
        <v>6250</v>
      </c>
      <c r="E1160" s="6" t="s">
        <v>74</v>
      </c>
      <c r="F1160" s="6" t="s">
        <v>6251</v>
      </c>
      <c r="G1160" s="3" t="str">
        <f>IFERROR(__xludf.DUMMYFUNCTION("REGEXREPLACE(
D1160,
""([一-龯々]+)\[([^\]]+)\]"",
""&lt;ruby&gt;$1&lt;rt&gt;$2&lt;/rt&gt;&lt;/ruby&gt;""
)&amp;""&lt;br&gt;&lt;div class=""""audio""""&gt;[sound:""&amp;C1160&amp;"".mp3]&lt;/div&gt;"""),"&lt;ruby&gt;人生&lt;rt&gt;じんせい&lt;/rt&gt;&lt;/ruby&gt;&lt;br&gt;&lt;div class=""audio""&gt;[sound:じんせい.mp3]&lt;/div&gt;")</f>
        <v>&lt;ruby&gt;人生&lt;rt&gt;じんせい&lt;/rt&gt;&lt;/ruby&gt;&lt;br&gt;&lt;div class="audio"&gt;[sound:じんせい.mp3]&lt;/div&gt;</v>
      </c>
      <c r="H1160" s="3" t="str">
        <f t="shared" si="1"/>
        <v>(n): cuộc đời</v>
      </c>
      <c r="I1160" s="6" t="s">
        <v>6252</v>
      </c>
      <c r="J1160" s="6" t="s">
        <v>6253</v>
      </c>
      <c r="K1160" s="7">
        <f t="shared" si="2"/>
        <v>0.009577637314</v>
      </c>
    </row>
    <row r="1161">
      <c r="A1161" s="4">
        <v>1161.0</v>
      </c>
      <c r="B1161" s="5" t="s">
        <v>6254</v>
      </c>
      <c r="C1161" s="5" t="s">
        <v>6254</v>
      </c>
      <c r="D1161" s="5" t="s">
        <v>6254</v>
      </c>
      <c r="E1161" s="6" t="s">
        <v>85</v>
      </c>
      <c r="F1161" s="6" t="s">
        <v>6255</v>
      </c>
      <c r="G1161" s="3" t="str">
        <f>IFERROR(__xludf.DUMMYFUNCTION("REGEXREPLACE(
D1161,
""([一-龯々]+)\[([^\]]+)\]"",
""&lt;ruby&gt;$1&lt;rt&gt;$2&lt;/rt&gt;&lt;/ruby&gt;""
)&amp;""&lt;br&gt;&lt;div class=""""audio""""&gt;[sound:""&amp;C1161&amp;"".mp3]&lt;/div&gt;"""),"そろそろ&lt;br&gt;&lt;div class=""audio""&gt;[sound:そろそろ.mp3]&lt;/div&gt;")</f>
        <v>そろそろ&lt;br&gt;&lt;div class="audio"&gt;[sound:そろそろ.mp3]&lt;/div&gt;</v>
      </c>
      <c r="H1161" s="3" t="str">
        <f t="shared" si="1"/>
        <v>(adv): sắp sửa</v>
      </c>
      <c r="I1161" s="6" t="s">
        <v>6256</v>
      </c>
      <c r="J1161" s="6" t="s">
        <v>6257</v>
      </c>
      <c r="K1161" s="7">
        <f t="shared" si="2"/>
        <v>0.2938359562</v>
      </c>
    </row>
    <row r="1162">
      <c r="A1162" s="4">
        <v>1162.0</v>
      </c>
      <c r="B1162" s="5" t="s">
        <v>6258</v>
      </c>
      <c r="C1162" s="5" t="s">
        <v>6259</v>
      </c>
      <c r="D1162" s="5" t="s">
        <v>6260</v>
      </c>
      <c r="E1162" s="6" t="s">
        <v>74</v>
      </c>
      <c r="F1162" s="6" t="s">
        <v>6261</v>
      </c>
      <c r="G1162" s="3" t="str">
        <f>IFERROR(__xludf.DUMMYFUNCTION("REGEXREPLACE(
D1162,
""([一-龯々]+)\[([^\]]+)\]"",
""&lt;ruby&gt;$1&lt;rt&gt;$2&lt;/rt&gt;&lt;/ruby&gt;""
)&amp;""&lt;br&gt;&lt;div class=""""audio""""&gt;[sound:""&amp;C1162&amp;"".mp3]&lt;/div&gt;"""),"&lt;ruby&gt;思&lt;rt&gt;おも&lt;/rt&gt;&lt;/ruby&gt;い&lt;ruby&gt;出&lt;rt&gt;で&lt;/rt&gt;&lt;/ruby&gt;&lt;br&gt;&lt;div class=""audio""&gt;[sound:おもいで.mp3]&lt;/div&gt;")</f>
        <v>&lt;ruby&gt;思&lt;rt&gt;おも&lt;/rt&gt;&lt;/ruby&gt;い&lt;ruby&gt;出&lt;rt&gt;で&lt;/rt&gt;&lt;/ruby&gt;&lt;br&gt;&lt;div class="audio"&gt;[sound:おもいで.mp3]&lt;/div&gt;</v>
      </c>
      <c r="H1162" s="3" t="str">
        <f t="shared" si="1"/>
        <v>(n): kỷ niệm</v>
      </c>
      <c r="I1162" s="6" t="s">
        <v>6262</v>
      </c>
      <c r="J1162" s="6" t="s">
        <v>6263</v>
      </c>
      <c r="K1162" s="7">
        <f t="shared" si="2"/>
        <v>0.4881925016</v>
      </c>
    </row>
    <row r="1163">
      <c r="A1163" s="4">
        <v>1163.0</v>
      </c>
      <c r="B1163" s="5" t="s">
        <v>6264</v>
      </c>
      <c r="C1163" s="5" t="s">
        <v>6265</v>
      </c>
      <c r="D1163" s="5" t="s">
        <v>6264</v>
      </c>
      <c r="E1163" s="6" t="s">
        <v>74</v>
      </c>
      <c r="F1163" s="6" t="s">
        <v>6266</v>
      </c>
      <c r="G1163" s="3" t="str">
        <f>IFERROR(__xludf.DUMMYFUNCTION("REGEXREPLACE(
D1163,
""([一-龯々]+)\[([^\]]+)\]"",
""&lt;ruby&gt;$1&lt;rt&gt;$2&lt;/rt&gt;&lt;/ruby&gt;""
)&amp;""&lt;br&gt;&lt;div class=""""audio""""&gt;[sound:""&amp;C1163&amp;"".mp3]&lt;/div&gt;"""),"サラダ&lt;br&gt;&lt;div class=""audio""&gt;[sound:さらだ.mp3]&lt;/div&gt;")</f>
        <v>サラダ&lt;br&gt;&lt;div class="audio"&gt;[sound:さらだ.mp3]&lt;/div&gt;</v>
      </c>
      <c r="H1163" s="3" t="str">
        <f t="shared" si="1"/>
        <v>(n): sa lát</v>
      </c>
      <c r="I1163" s="6" t="s">
        <v>6267</v>
      </c>
      <c r="J1163" s="6" t="s">
        <v>6268</v>
      </c>
      <c r="K1163" s="7">
        <f t="shared" si="2"/>
        <v>0.1110979333</v>
      </c>
    </row>
    <row r="1164">
      <c r="A1164" s="4">
        <v>1164.0</v>
      </c>
      <c r="B1164" s="5" t="s">
        <v>6269</v>
      </c>
      <c r="C1164" s="5" t="s">
        <v>6269</v>
      </c>
      <c r="D1164" s="5" t="s">
        <v>6269</v>
      </c>
      <c r="E1164" s="6" t="s">
        <v>74</v>
      </c>
      <c r="F1164" s="6" t="s">
        <v>3729</v>
      </c>
      <c r="G1164" s="3" t="str">
        <f>IFERROR(__xludf.DUMMYFUNCTION("REGEXREPLACE(
D1164,
""([一-龯々]+)\[([^\]]+)\]"",
""&lt;ruby&gt;$1&lt;rt&gt;$2&lt;/rt&gt;&lt;/ruby&gt;""
)&amp;""&lt;br&gt;&lt;div class=""""audio""""&gt;[sound:""&amp;C1164&amp;"".mp3]&lt;/div&gt;"""),"そのころ&lt;br&gt;&lt;div class=""audio""&gt;[sound:そのころ.mp3]&lt;/div&gt;")</f>
        <v>そのころ&lt;br&gt;&lt;div class="audio"&gt;[sound:そのころ.mp3]&lt;/div&gt;</v>
      </c>
      <c r="H1164" s="3" t="str">
        <f t="shared" si="1"/>
        <v>(n): lúc đó</v>
      </c>
      <c r="I1164" s="6" t="s">
        <v>6270</v>
      </c>
      <c r="J1164" s="6" t="s">
        <v>6271</v>
      </c>
      <c r="K1164" s="7">
        <f t="shared" si="2"/>
        <v>0.8306574898</v>
      </c>
    </row>
    <row r="1165">
      <c r="A1165" s="4">
        <v>1165.0</v>
      </c>
      <c r="B1165" s="5" t="s">
        <v>6272</v>
      </c>
      <c r="C1165" s="5" t="s">
        <v>6273</v>
      </c>
      <c r="D1165" s="5" t="s">
        <v>6272</v>
      </c>
      <c r="E1165" s="6" t="s">
        <v>74</v>
      </c>
      <c r="F1165" s="6" t="s">
        <v>6274</v>
      </c>
      <c r="G1165" s="3" t="str">
        <f>IFERROR(__xludf.DUMMYFUNCTION("REGEXREPLACE(
D1165,
""([一-龯々]+)\[([^\]]+)\]"",
""&lt;ruby&gt;$1&lt;rt&gt;$2&lt;/rt&gt;&lt;/ruby&gt;""
)&amp;""&lt;br&gt;&lt;div class=""""audio""""&gt;[sound:""&amp;C1165&amp;"".mp3]&lt;/div&gt;"""),"チャンス&lt;br&gt;&lt;div class=""audio""&gt;[sound:ちゃんす.mp3]&lt;/div&gt;")</f>
        <v>チャンス&lt;br&gt;&lt;div class="audio"&gt;[sound:ちゃんす.mp3]&lt;/div&gt;</v>
      </c>
      <c r="H1165" s="3" t="str">
        <f t="shared" si="1"/>
        <v>(n): cơ hội</v>
      </c>
      <c r="I1165" s="6" t="s">
        <v>6275</v>
      </c>
      <c r="J1165" s="6" t="s">
        <v>6276</v>
      </c>
      <c r="K1165" s="7">
        <f t="shared" si="2"/>
        <v>0.3269640782</v>
      </c>
    </row>
    <row r="1166">
      <c r="A1166" s="4">
        <v>1166.0</v>
      </c>
      <c r="B1166" s="5" t="s">
        <v>6277</v>
      </c>
      <c r="C1166" s="5" t="s">
        <v>6278</v>
      </c>
      <c r="D1166" s="5" t="s">
        <v>6279</v>
      </c>
      <c r="E1166" s="6" t="s">
        <v>74</v>
      </c>
      <c r="F1166" s="6" t="s">
        <v>6280</v>
      </c>
      <c r="G1166" s="3" t="str">
        <f>IFERROR(__xludf.DUMMYFUNCTION("REGEXREPLACE(
D1166,
""([一-龯々]+)\[([^\]]+)\]"",
""&lt;ruby&gt;$1&lt;rt&gt;$2&lt;/rt&gt;&lt;/ruby&gt;""
)&amp;""&lt;br&gt;&lt;div class=""""audio""""&gt;[sound:""&amp;C1166&amp;"".mp3]&lt;/div&gt;"""),"&lt;ruby&gt;様&lt;rt&gt;さま&lt;/rt&gt;&lt;/ruby&gt;&lt;br&gt;&lt;div class=""audio""&gt;[sound:さま.mp3]&lt;/div&gt;")</f>
        <v>&lt;ruby&gt;様&lt;rt&gt;さま&lt;/rt&gt;&lt;/ruby&gt;&lt;br&gt;&lt;div class="audio"&gt;[sound:さま.mp3]&lt;/div&gt;</v>
      </c>
      <c r="H1166" s="3" t="str">
        <f t="shared" si="1"/>
        <v>(n): quý vị</v>
      </c>
      <c r="I1166" s="6" t="s">
        <v>6281</v>
      </c>
      <c r="J1166" s="6" t="s">
        <v>6282</v>
      </c>
      <c r="K1166" s="7">
        <f t="shared" si="2"/>
        <v>0.8818460231</v>
      </c>
    </row>
    <row r="1167">
      <c r="A1167" s="4">
        <v>1167.0</v>
      </c>
      <c r="B1167" s="5" t="s">
        <v>6283</v>
      </c>
      <c r="C1167" s="5" t="s">
        <v>6284</v>
      </c>
      <c r="D1167" s="5" t="s">
        <v>6285</v>
      </c>
      <c r="E1167" s="6" t="s">
        <v>74</v>
      </c>
      <c r="F1167" s="6" t="s">
        <v>6286</v>
      </c>
      <c r="G1167" s="3" t="str">
        <f>IFERROR(__xludf.DUMMYFUNCTION("REGEXREPLACE(
D1167,
""([一-龯々]+)\[([^\]]+)\]"",
""&lt;ruby&gt;$1&lt;rt&gt;$2&lt;/rt&gt;&lt;/ruby&gt;""
)&amp;""&lt;br&gt;&lt;div class=""""audio""""&gt;[sound:""&amp;C1167&amp;"".mp3]&lt;/div&gt;"""),"&lt;ruby&gt;赤&lt;rt&gt;あか&lt;/rt&gt;&lt;/ruby&gt;&lt;br&gt;&lt;div class=""audio""&gt;[sound:あか.mp3]&lt;/div&gt;")</f>
        <v>&lt;ruby&gt;赤&lt;rt&gt;あか&lt;/rt&gt;&lt;/ruby&gt;&lt;br&gt;&lt;div class="audio"&gt;[sound:あか.mp3]&lt;/div&gt;</v>
      </c>
      <c r="H1167" s="3" t="str">
        <f t="shared" si="1"/>
        <v>(n): màu đỏ</v>
      </c>
      <c r="I1167" s="6" t="s">
        <v>6287</v>
      </c>
      <c r="J1167" s="6" t="s">
        <v>6288</v>
      </c>
      <c r="K1167" s="7">
        <f t="shared" si="2"/>
        <v>0.5706661066</v>
      </c>
    </row>
    <row r="1168">
      <c r="A1168" s="4">
        <v>1168.0</v>
      </c>
      <c r="B1168" s="5" t="s">
        <v>6289</v>
      </c>
      <c r="C1168" s="5" t="s">
        <v>5839</v>
      </c>
      <c r="D1168" s="5" t="s">
        <v>6290</v>
      </c>
      <c r="E1168" s="6" t="s">
        <v>24</v>
      </c>
      <c r="F1168" s="6" t="s">
        <v>6291</v>
      </c>
      <c r="G1168" s="3" t="str">
        <f>IFERROR(__xludf.DUMMYFUNCTION("REGEXREPLACE(
D1168,
""([一-龯々]+)\[([^\]]+)\]"",
""&lt;ruby&gt;$1&lt;rt&gt;$2&lt;/rt&gt;&lt;/ruby&gt;""
)&amp;""&lt;br&gt;&lt;div class=""""audio""""&gt;[sound:""&amp;C1168&amp;"".mp3]&lt;/div&gt;"""),"&lt;ruby&gt;起&lt;rt&gt;お&lt;/rt&gt;&lt;/ruby&gt;こる&lt;br&gt;&lt;div class=""audio""&gt;[sound:おこる.mp3]&lt;/div&gt;")</f>
        <v>&lt;ruby&gt;起&lt;rt&gt;お&lt;/rt&gt;&lt;/ruby&gt;こる&lt;br&gt;&lt;div class="audio"&gt;[sound:おこる.mp3]&lt;/div&gt;</v>
      </c>
      <c r="H1168" s="3" t="str">
        <f t="shared" si="1"/>
        <v>(v): xảy ra</v>
      </c>
      <c r="I1168" s="6" t="s">
        <v>6292</v>
      </c>
      <c r="J1168" s="6" t="s">
        <v>6293</v>
      </c>
      <c r="K1168" s="7">
        <f t="shared" si="2"/>
        <v>0.1318907952</v>
      </c>
    </row>
    <row r="1169">
      <c r="A1169" s="4">
        <v>1169.0</v>
      </c>
      <c r="B1169" s="5" t="s">
        <v>6294</v>
      </c>
      <c r="C1169" s="5" t="s">
        <v>6295</v>
      </c>
      <c r="D1169" s="5" t="s">
        <v>6296</v>
      </c>
      <c r="E1169" s="6" t="s">
        <v>24</v>
      </c>
      <c r="F1169" s="6" t="s">
        <v>2821</v>
      </c>
      <c r="G1169" s="3" t="str">
        <f>IFERROR(__xludf.DUMMYFUNCTION("REGEXREPLACE(
D1169,
""([一-龯々]+)\[([^\]]+)\]"",
""&lt;ruby&gt;$1&lt;rt&gt;$2&lt;/rt&gt;&lt;/ruby&gt;""
)&amp;""&lt;br&gt;&lt;div class=""""audio""""&gt;[sound:""&amp;C1169&amp;"".mp3]&lt;/div&gt;"""),"&lt;ruby&gt;生&lt;rt&gt;い&lt;/rt&gt;&lt;/ruby&gt;きる&lt;br&gt;&lt;div class=""audio""&gt;[sound:いきる.mp3]&lt;/div&gt;")</f>
        <v>&lt;ruby&gt;生&lt;rt&gt;い&lt;/rt&gt;&lt;/ruby&gt;きる&lt;br&gt;&lt;div class="audio"&gt;[sound:いきる.mp3]&lt;/div&gt;</v>
      </c>
      <c r="H1169" s="3" t="str">
        <f t="shared" si="1"/>
        <v>(v): sống</v>
      </c>
      <c r="I1169" s="6" t="s">
        <v>6297</v>
      </c>
      <c r="J1169" s="6" t="s">
        <v>6298</v>
      </c>
      <c r="K1169" s="7">
        <f t="shared" si="2"/>
        <v>0.9406964796</v>
      </c>
    </row>
    <row r="1170">
      <c r="A1170" s="4">
        <v>1170.0</v>
      </c>
      <c r="B1170" s="5" t="s">
        <v>6299</v>
      </c>
      <c r="C1170" s="5" t="s">
        <v>6300</v>
      </c>
      <c r="D1170" s="5" t="s">
        <v>6301</v>
      </c>
      <c r="E1170" s="6" t="s">
        <v>74</v>
      </c>
      <c r="F1170" s="6" t="s">
        <v>6302</v>
      </c>
      <c r="G1170" s="3" t="str">
        <f>IFERROR(__xludf.DUMMYFUNCTION("REGEXREPLACE(
D1170,
""([一-龯々]+)\[([^\]]+)\]"",
""&lt;ruby&gt;$1&lt;rt&gt;$2&lt;/rt&gt;&lt;/ruby&gt;""
)&amp;""&lt;br&gt;&lt;div class=""""audio""""&gt;[sound:""&amp;C1170&amp;"".mp3]&lt;/div&gt;"""),"&lt;ruby&gt;島&lt;rt&gt;しま&lt;/rt&gt;&lt;/ruby&gt;&lt;br&gt;&lt;div class=""audio""&gt;[sound:しま.mp3]&lt;/div&gt;")</f>
        <v>&lt;ruby&gt;島&lt;rt&gt;しま&lt;/rt&gt;&lt;/ruby&gt;&lt;br&gt;&lt;div class="audio"&gt;[sound:しま.mp3]&lt;/div&gt;</v>
      </c>
      <c r="H1170" s="3" t="str">
        <f t="shared" si="1"/>
        <v>(n): đảo</v>
      </c>
      <c r="I1170" s="6" t="s">
        <v>6303</v>
      </c>
      <c r="J1170" s="6" t="s">
        <v>6304</v>
      </c>
      <c r="K1170" s="7">
        <f t="shared" si="2"/>
        <v>0.9445501302</v>
      </c>
    </row>
    <row r="1171">
      <c r="A1171" s="4">
        <v>1171.0</v>
      </c>
      <c r="B1171" s="5" t="s">
        <v>6305</v>
      </c>
      <c r="C1171" s="5" t="s">
        <v>6306</v>
      </c>
      <c r="D1171" s="5" t="s">
        <v>6307</v>
      </c>
      <c r="E1171" s="6" t="s">
        <v>74</v>
      </c>
      <c r="F1171" s="6" t="s">
        <v>3745</v>
      </c>
      <c r="G1171" s="3" t="str">
        <f>IFERROR(__xludf.DUMMYFUNCTION("REGEXREPLACE(
D1171,
""([一-龯々]+)\[([^\]]+)\]"",
""&lt;ruby&gt;$1&lt;rt&gt;$2&lt;/rt&gt;&lt;/ruby&gt;""
)&amp;""&lt;br&gt;&lt;div class=""""audio""""&gt;[sound:""&amp;C1171&amp;"".mp3]&lt;/div&gt;"""),"&lt;ruby&gt;男性&lt;rt&gt;だんせい&lt;/rt&gt;&lt;/ruby&gt;&lt;br&gt;&lt;div class=""audio""&gt;[sound:だんせい.mp3]&lt;/div&gt;")</f>
        <v>&lt;ruby&gt;男性&lt;rt&gt;だんせい&lt;/rt&gt;&lt;/ruby&gt;&lt;br&gt;&lt;div class="audio"&gt;[sound:だんせい.mp3]&lt;/div&gt;</v>
      </c>
      <c r="H1171" s="3" t="str">
        <f t="shared" si="1"/>
        <v>(n): nam</v>
      </c>
      <c r="I1171" s="6" t="s">
        <v>6308</v>
      </c>
      <c r="J1171" s="6" t="s">
        <v>6309</v>
      </c>
      <c r="K1171" s="7">
        <f t="shared" si="2"/>
        <v>0.7867966382</v>
      </c>
    </row>
    <row r="1172">
      <c r="A1172" s="4">
        <v>1172.0</v>
      </c>
      <c r="B1172" s="5" t="s">
        <v>6310</v>
      </c>
      <c r="C1172" s="5" t="s">
        <v>6311</v>
      </c>
      <c r="D1172" s="5" t="s">
        <v>6312</v>
      </c>
      <c r="E1172" s="6" t="s">
        <v>11</v>
      </c>
      <c r="F1172" s="6" t="s">
        <v>6313</v>
      </c>
      <c r="G1172" s="3" t="str">
        <f>IFERROR(__xludf.DUMMYFUNCTION("REGEXREPLACE(
D1172,
""([一-龯々]+)\[([^\]]+)\]"",
""&lt;ruby&gt;$1&lt;rt&gt;$2&lt;/rt&gt;&lt;/ruby&gt;""
)&amp;""&lt;br&gt;&lt;div class=""""audio""""&gt;[sound:""&amp;C1172&amp;"".mp3]&lt;/div&gt;"""),"&lt;ruby&gt;軽&lt;rt&gt;かる&lt;/rt&gt;&lt;/ruby&gt;い&lt;br&gt;&lt;div class=""audio""&gt;[sound:かるい.mp3]&lt;/div&gt;")</f>
        <v>&lt;ruby&gt;軽&lt;rt&gt;かる&lt;/rt&gt;&lt;/ruby&gt;い&lt;br&gt;&lt;div class="audio"&gt;[sound:かるい.mp3]&lt;/div&gt;</v>
      </c>
      <c r="H1172" s="3" t="str">
        <f t="shared" si="1"/>
        <v>(adj): nhẹ</v>
      </c>
      <c r="I1172" s="6" t="s">
        <v>6314</v>
      </c>
      <c r="J1172" s="6" t="s">
        <v>6315</v>
      </c>
      <c r="K1172" s="7">
        <f t="shared" si="2"/>
        <v>0.03842305885</v>
      </c>
    </row>
    <row r="1173">
      <c r="A1173" s="4">
        <v>1173.0</v>
      </c>
      <c r="B1173" s="5" t="s">
        <v>6316</v>
      </c>
      <c r="C1173" s="5" t="s">
        <v>6317</v>
      </c>
      <c r="D1173" s="5" t="s">
        <v>6318</v>
      </c>
      <c r="E1173" s="6" t="s">
        <v>74</v>
      </c>
      <c r="F1173" s="6" t="s">
        <v>6319</v>
      </c>
      <c r="G1173" s="3" t="str">
        <f>IFERROR(__xludf.DUMMYFUNCTION("REGEXREPLACE(
D1173,
""([一-龯々]+)\[([^\]]+)\]"",
""&lt;ruby&gt;$1&lt;rt&gt;$2&lt;/rt&gt;&lt;/ruby&gt;""
)&amp;""&lt;br&gt;&lt;div class=""""audio""""&gt;[sound:""&amp;C1173&amp;"".mp3]&lt;/div&gt;"""),"&lt;ruby&gt;魚&lt;rt&gt;さかな&lt;/rt&gt;&lt;/ruby&gt;&lt;br&gt;&lt;div class=""audio""&gt;[sound:さかな.mp3]&lt;/div&gt;")</f>
        <v>&lt;ruby&gt;魚&lt;rt&gt;さかな&lt;/rt&gt;&lt;/ruby&gt;&lt;br&gt;&lt;div class="audio"&gt;[sound:さかな.mp3]&lt;/div&gt;</v>
      </c>
      <c r="H1173" s="3" t="str">
        <f t="shared" si="1"/>
        <v>(n): cá</v>
      </c>
      <c r="I1173" s="6" t="s">
        <v>6320</v>
      </c>
      <c r="J1173" s="6" t="s">
        <v>6321</v>
      </c>
      <c r="K1173" s="7">
        <f t="shared" si="2"/>
        <v>0.8024799811</v>
      </c>
    </row>
    <row r="1174">
      <c r="A1174" s="4">
        <v>1174.0</v>
      </c>
      <c r="B1174" s="5" t="s">
        <v>6322</v>
      </c>
      <c r="C1174" s="5" t="s">
        <v>6322</v>
      </c>
      <c r="D1174" s="5" t="s">
        <v>6322</v>
      </c>
      <c r="E1174" s="6" t="s">
        <v>85</v>
      </c>
      <c r="F1174" s="6" t="s">
        <v>6323</v>
      </c>
      <c r="G1174" s="3" t="str">
        <f>IFERROR(__xludf.DUMMYFUNCTION("REGEXREPLACE(
D1174,
""([一-龯々]+)\[([^\]]+)\]"",
""&lt;ruby&gt;$1&lt;rt&gt;$2&lt;/rt&gt;&lt;/ruby&gt;""
)&amp;""&lt;br&gt;&lt;div class=""""audio""""&gt;[sound:""&amp;C1174&amp;"".mp3]&lt;/div&gt;"""),"じっと&lt;br&gt;&lt;div class=""audio""&gt;[sound:じっと.mp3]&lt;/div&gt;")</f>
        <v>じっと&lt;br&gt;&lt;div class="audio"&gt;[sound:じっと.mp3]&lt;/div&gt;</v>
      </c>
      <c r="H1174" s="3" t="str">
        <f t="shared" si="1"/>
        <v>(adv): chăm chú</v>
      </c>
      <c r="I1174" s="6" t="s">
        <v>6324</v>
      </c>
      <c r="J1174" s="6" t="s">
        <v>6325</v>
      </c>
      <c r="K1174" s="7">
        <f t="shared" si="2"/>
        <v>0.7618125299</v>
      </c>
    </row>
    <row r="1175">
      <c r="A1175" s="4">
        <v>1175.0</v>
      </c>
      <c r="B1175" s="5" t="s">
        <v>6326</v>
      </c>
      <c r="C1175" s="5" t="s">
        <v>6326</v>
      </c>
      <c r="D1175" s="5" t="s">
        <v>6326</v>
      </c>
      <c r="E1175" s="6" t="s">
        <v>44</v>
      </c>
      <c r="F1175" s="6" t="s">
        <v>2142</v>
      </c>
      <c r="G1175" s="3" t="str">
        <f>IFERROR(__xludf.DUMMYFUNCTION("REGEXREPLACE(
D1175,
""([一-龯々]+)\[([^\]]+)\]"",
""&lt;ruby&gt;$1&lt;rt&gt;$2&lt;/rt&gt;&lt;/ruby&gt;""
)&amp;""&lt;br&gt;&lt;div class=""""audio""""&gt;[sound:""&amp;C1175&amp;"".mp3]&lt;/div&gt;"""),"そっち&lt;br&gt;&lt;div class=""audio""&gt;[sound:そっち.mp3]&lt;/div&gt;")</f>
        <v>そっち&lt;br&gt;&lt;div class="audio"&gt;[sound:そっち.mp3]&lt;/div&gt;</v>
      </c>
      <c r="H1175" s="3" t="str">
        <f t="shared" si="1"/>
        <v>(pron): phía đó</v>
      </c>
      <c r="I1175" s="6" t="s">
        <v>6327</v>
      </c>
      <c r="J1175" s="6" t="s">
        <v>6328</v>
      </c>
      <c r="K1175" s="7">
        <f t="shared" si="2"/>
        <v>0.1584354807</v>
      </c>
    </row>
    <row r="1176">
      <c r="A1176" s="4">
        <v>1176.0</v>
      </c>
      <c r="B1176" s="5" t="s">
        <v>6329</v>
      </c>
      <c r="C1176" s="5" t="s">
        <v>6330</v>
      </c>
      <c r="D1176" s="5" t="s">
        <v>6331</v>
      </c>
      <c r="E1176" s="6" t="s">
        <v>74</v>
      </c>
      <c r="F1176" s="6" t="s">
        <v>6332</v>
      </c>
      <c r="G1176" s="3" t="str">
        <f>IFERROR(__xludf.DUMMYFUNCTION("REGEXREPLACE(
D1176,
""([一-龯々]+)\[([^\]]+)\]"",
""&lt;ruby&gt;$1&lt;rt&gt;$2&lt;/rt&gt;&lt;/ruby&gt;""
)&amp;""&lt;br&gt;&lt;div class=""""audio""""&gt;[sound:""&amp;C1176&amp;"".mp3]&lt;/div&gt;"""),"&lt;ruby&gt;価値&lt;rt&gt;かち&lt;/rt&gt;&lt;/ruby&gt;&lt;br&gt;&lt;div class=""audio""&gt;[sound:かち.mp3]&lt;/div&gt;")</f>
        <v>&lt;ruby&gt;価値&lt;rt&gt;かち&lt;/rt&gt;&lt;/ruby&gt;&lt;br&gt;&lt;div class="audio"&gt;[sound:かち.mp3]&lt;/div&gt;</v>
      </c>
      <c r="H1176" s="3" t="str">
        <f t="shared" si="1"/>
        <v>(n): giá trị</v>
      </c>
      <c r="I1176" s="6" t="s">
        <v>6333</v>
      </c>
      <c r="J1176" s="6" t="s">
        <v>6334</v>
      </c>
      <c r="K1176" s="7">
        <f t="shared" si="2"/>
        <v>0.03323184413</v>
      </c>
    </row>
    <row r="1177">
      <c r="A1177" s="4">
        <v>1177.0</v>
      </c>
      <c r="B1177" s="5" t="s">
        <v>6335</v>
      </c>
      <c r="C1177" s="5" t="s">
        <v>6336</v>
      </c>
      <c r="D1177" s="5" t="s">
        <v>6337</v>
      </c>
      <c r="E1177" s="6" t="s">
        <v>74</v>
      </c>
      <c r="F1177" s="6" t="s">
        <v>3957</v>
      </c>
      <c r="G1177" s="3" t="str">
        <f>IFERROR(__xludf.DUMMYFUNCTION("REGEXREPLACE(
D1177,
""([一-龯々]+)\[([^\]]+)\]"",
""&lt;ruby&gt;$1&lt;rt&gt;$2&lt;/rt&gt;&lt;/ruby&gt;""
)&amp;""&lt;br&gt;&lt;div class=""""audio""""&gt;[sound:""&amp;C1177&amp;"".mp3]&lt;/div&gt;"""),"&lt;ruby&gt;全部&lt;rt&gt;ぜんぶ&lt;/rt&gt;&lt;/ruby&gt;&lt;br&gt;&lt;div class=""audio""&gt;[sound:ぜんぶ.mp3]&lt;/div&gt;")</f>
        <v>&lt;ruby&gt;全部&lt;rt&gt;ぜんぶ&lt;/rt&gt;&lt;/ruby&gt;&lt;br&gt;&lt;div class="audio"&gt;[sound:ぜんぶ.mp3]&lt;/div&gt;</v>
      </c>
      <c r="H1177" s="3" t="str">
        <f t="shared" si="1"/>
        <v>(n): tất cả</v>
      </c>
      <c r="I1177" s="6" t="s">
        <v>6338</v>
      </c>
      <c r="J1177" s="6" t="s">
        <v>6339</v>
      </c>
      <c r="K1177" s="7">
        <f t="shared" si="2"/>
        <v>0.04404828124</v>
      </c>
    </row>
    <row r="1178">
      <c r="A1178" s="4">
        <v>1178.0</v>
      </c>
      <c r="B1178" s="5" t="s">
        <v>6340</v>
      </c>
      <c r="C1178" s="5" t="s">
        <v>6341</v>
      </c>
      <c r="D1178" s="5" t="s">
        <v>6342</v>
      </c>
      <c r="E1178" s="6" t="s">
        <v>24</v>
      </c>
      <c r="F1178" s="6" t="s">
        <v>309</v>
      </c>
      <c r="G1178" s="3" t="str">
        <f>IFERROR(__xludf.DUMMYFUNCTION("REGEXREPLACE(
D1178,
""([一-龯々]+)\[([^\]]+)\]"",
""&lt;ruby&gt;$1&lt;rt&gt;$2&lt;/rt&gt;&lt;/ruby&gt;""
)&amp;""&lt;br&gt;&lt;div class=""""audio""""&gt;[sound:""&amp;C1178&amp;"".mp3]&lt;/div&gt;"""),"&lt;ruby&gt;取&lt;rt&gt;と&lt;/rt&gt;&lt;/ruby&gt;り&lt;ruby&gt;出&lt;rt&gt;だ&lt;/rt&gt;&lt;/ruby&gt;す&lt;br&gt;&lt;div class=""audio""&gt;[sound:とりだす.mp3]&lt;/div&gt;")</f>
        <v>&lt;ruby&gt;取&lt;rt&gt;と&lt;/rt&gt;&lt;/ruby&gt;り&lt;ruby&gt;出&lt;rt&gt;だ&lt;/rt&gt;&lt;/ruby&gt;す&lt;br&gt;&lt;div class="audio"&gt;[sound:とりだす.mp3]&lt;/div&gt;</v>
      </c>
      <c r="H1178" s="3" t="str">
        <f t="shared" si="1"/>
        <v>(v): lấy ra</v>
      </c>
      <c r="I1178" s="6" t="s">
        <v>6343</v>
      </c>
      <c r="J1178" s="6" t="s">
        <v>6344</v>
      </c>
      <c r="K1178" s="7">
        <f t="shared" si="2"/>
        <v>0.1324959423</v>
      </c>
    </row>
    <row r="1179">
      <c r="A1179" s="4">
        <v>1179.0</v>
      </c>
      <c r="B1179" s="5" t="s">
        <v>6345</v>
      </c>
      <c r="C1179" s="5" t="s">
        <v>6346</v>
      </c>
      <c r="D1179" s="5" t="s">
        <v>6345</v>
      </c>
      <c r="E1179" s="6" t="s">
        <v>74</v>
      </c>
      <c r="F1179" s="6" t="s">
        <v>6347</v>
      </c>
      <c r="G1179" s="3" t="str">
        <f>IFERROR(__xludf.DUMMYFUNCTION("REGEXREPLACE(
D1179,
""([一-龯々]+)\[([^\]]+)\]"",
""&lt;ruby&gt;$1&lt;rt&gt;$2&lt;/rt&gt;&lt;/ruby&gt;""
)&amp;""&lt;br&gt;&lt;div class=""""audio""""&gt;[sound:""&amp;C1179&amp;"".mp3]&lt;/div&gt;"""),"カレー&lt;br&gt;&lt;div class=""audio""&gt;[sound:かれー.mp3]&lt;/div&gt;")</f>
        <v>カレー&lt;br&gt;&lt;div class="audio"&gt;[sound:かれー.mp3]&lt;/div&gt;</v>
      </c>
      <c r="H1179" s="3" t="str">
        <f t="shared" si="1"/>
        <v>(n): cà ri</v>
      </c>
      <c r="I1179" s="6" t="s">
        <v>6348</v>
      </c>
      <c r="J1179" s="6" t="s">
        <v>6349</v>
      </c>
      <c r="K1179" s="7">
        <f t="shared" si="2"/>
        <v>0.9862153859</v>
      </c>
    </row>
    <row r="1180">
      <c r="A1180" s="4">
        <v>1180.0</v>
      </c>
      <c r="B1180" s="5" t="s">
        <v>6350</v>
      </c>
      <c r="C1180" s="5" t="s">
        <v>6351</v>
      </c>
      <c r="D1180" s="5" t="s">
        <v>6352</v>
      </c>
      <c r="E1180" s="6" t="s">
        <v>11</v>
      </c>
      <c r="F1180" s="6" t="s">
        <v>6353</v>
      </c>
      <c r="G1180" s="3" t="str">
        <f>IFERROR(__xludf.DUMMYFUNCTION("REGEXREPLACE(
D1180,
""([一-龯々]+)\[([^\]]+)\]"",
""&lt;ruby&gt;$1&lt;rt&gt;$2&lt;/rt&gt;&lt;/ruby&gt;""
)&amp;""&lt;br&gt;&lt;div class=""""audio""""&gt;[sound:""&amp;C1180&amp;"".mp3]&lt;/div&gt;"""),"&lt;ruby&gt;白&lt;rt&gt;しろ&lt;/rt&gt;&lt;/ruby&gt;い&lt;br&gt;&lt;div class=""audio""&gt;[sound:しろい.mp3]&lt;/div&gt;")</f>
        <v>&lt;ruby&gt;白&lt;rt&gt;しろ&lt;/rt&gt;&lt;/ruby&gt;い&lt;br&gt;&lt;div class="audio"&gt;[sound:しろい.mp3]&lt;/div&gt;</v>
      </c>
      <c r="H1180" s="3" t="str">
        <f t="shared" si="1"/>
        <v>(adj): trắng</v>
      </c>
      <c r="I1180" s="6" t="s">
        <v>6354</v>
      </c>
      <c r="J1180" s="6" t="s">
        <v>6355</v>
      </c>
      <c r="K1180" s="7">
        <f t="shared" si="2"/>
        <v>0.7019186883</v>
      </c>
    </row>
    <row r="1181">
      <c r="A1181" s="4">
        <v>1181.0</v>
      </c>
      <c r="B1181" s="5" t="s">
        <v>6356</v>
      </c>
      <c r="C1181" s="5" t="s">
        <v>6357</v>
      </c>
      <c r="D1181" s="5" t="s">
        <v>6358</v>
      </c>
      <c r="E1181" s="6" t="s">
        <v>74</v>
      </c>
      <c r="F1181" s="6" t="s">
        <v>728</v>
      </c>
      <c r="G1181" s="3" t="str">
        <f>IFERROR(__xludf.DUMMYFUNCTION("REGEXREPLACE(
D1181,
""([一-龯々]+)\[([^\]]+)\]"",
""&lt;ruby&gt;$1&lt;rt&gt;$2&lt;/rt&gt;&lt;/ruby&gt;""
)&amp;""&lt;br&gt;&lt;div class=""""audio""""&gt;[sound:""&amp;C1181&amp;"".mp3]&lt;/div&gt;"""),"&lt;ruby&gt;理解&lt;rt&gt;りかい&lt;/rt&gt;&lt;/ruby&gt;&lt;br&gt;&lt;div class=""audio""&gt;[sound:りかい.mp3]&lt;/div&gt;")</f>
        <v>&lt;ruby&gt;理解&lt;rt&gt;りかい&lt;/rt&gt;&lt;/ruby&gt;&lt;br&gt;&lt;div class="audio"&gt;[sound:りかい.mp3]&lt;/div&gt;</v>
      </c>
      <c r="H1181" s="3" t="str">
        <f t="shared" si="1"/>
        <v>(n): hiểu</v>
      </c>
      <c r="I1181" s="6" t="s">
        <v>6359</v>
      </c>
      <c r="J1181" s="6" t="s">
        <v>6360</v>
      </c>
      <c r="K1181" s="7">
        <f t="shared" si="2"/>
        <v>0.5693226805</v>
      </c>
    </row>
    <row r="1182">
      <c r="A1182" s="4">
        <v>1182.0</v>
      </c>
      <c r="B1182" s="5" t="s">
        <v>6361</v>
      </c>
      <c r="C1182" s="5" t="s">
        <v>6362</v>
      </c>
      <c r="D1182" s="5" t="s">
        <v>6363</v>
      </c>
      <c r="E1182" s="6" t="s">
        <v>24</v>
      </c>
      <c r="F1182" s="6" t="s">
        <v>6364</v>
      </c>
      <c r="G1182" s="3" t="str">
        <f>IFERROR(__xludf.DUMMYFUNCTION("REGEXREPLACE(
D1182,
""([一-龯々]+)\[([^\]]+)\]"",
""&lt;ruby&gt;$1&lt;rt&gt;$2&lt;/rt&gt;&lt;/ruby&gt;""
)&amp;""&lt;br&gt;&lt;div class=""""audio""""&gt;[sound:""&amp;C1182&amp;"".mp3]&lt;/div&gt;"""),"&lt;ruby&gt;負&lt;rt&gt;ま&lt;/rt&gt;&lt;/ruby&gt;ける&lt;br&gt;&lt;div class=""audio""&gt;[sound:まける.mp3]&lt;/div&gt;")</f>
        <v>&lt;ruby&gt;負&lt;rt&gt;ま&lt;/rt&gt;&lt;/ruby&gt;ける&lt;br&gt;&lt;div class="audio"&gt;[sound:まける.mp3]&lt;/div&gt;</v>
      </c>
      <c r="H1182" s="3" t="str">
        <f t="shared" si="1"/>
        <v>(v): thua</v>
      </c>
      <c r="I1182" s="6" t="s">
        <v>6365</v>
      </c>
      <c r="J1182" s="6" t="s">
        <v>6366</v>
      </c>
      <c r="K1182" s="7">
        <f t="shared" si="2"/>
        <v>0.06135791169</v>
      </c>
    </row>
    <row r="1183">
      <c r="A1183" s="4">
        <v>1183.0</v>
      </c>
      <c r="B1183" s="5" t="s">
        <v>6367</v>
      </c>
      <c r="C1183" s="5" t="s">
        <v>6368</v>
      </c>
      <c r="D1183" s="5" t="s">
        <v>6369</v>
      </c>
      <c r="E1183" s="6" t="s">
        <v>24</v>
      </c>
      <c r="F1183" s="6" t="s">
        <v>6370</v>
      </c>
      <c r="G1183" s="3" t="str">
        <f>IFERROR(__xludf.DUMMYFUNCTION("REGEXREPLACE(
D1183,
""([一-龯々]+)\[([^\]]+)\]"",
""&lt;ruby&gt;$1&lt;rt&gt;$2&lt;/rt&gt;&lt;/ruby&gt;""
)&amp;""&lt;br&gt;&lt;div class=""""audio""""&gt;[sound:""&amp;C1183&amp;"".mp3]&lt;/div&gt;"""),"&lt;ruby&gt;選&lt;rt&gt;えら&lt;/rt&gt;&lt;/ruby&gt;ぶ&lt;br&gt;&lt;div class=""audio""&gt;[sound:えらぶ.mp3]&lt;/div&gt;")</f>
        <v>&lt;ruby&gt;選&lt;rt&gt;えら&lt;/rt&gt;&lt;/ruby&gt;ぶ&lt;br&gt;&lt;div class="audio"&gt;[sound:えらぶ.mp3]&lt;/div&gt;</v>
      </c>
      <c r="H1183" s="3" t="str">
        <f t="shared" si="1"/>
        <v>(v): chọn</v>
      </c>
      <c r="I1183" s="6" t="s">
        <v>6371</v>
      </c>
      <c r="J1183" s="6" t="s">
        <v>6372</v>
      </c>
      <c r="K1183" s="7">
        <f t="shared" si="2"/>
        <v>0.5285048824</v>
      </c>
    </row>
    <row r="1184">
      <c r="A1184" s="4">
        <v>1184.0</v>
      </c>
      <c r="B1184" s="5" t="s">
        <v>6373</v>
      </c>
      <c r="C1184" s="5" t="s">
        <v>6374</v>
      </c>
      <c r="D1184" s="5" t="s">
        <v>6373</v>
      </c>
      <c r="E1184" s="6" t="s">
        <v>74</v>
      </c>
      <c r="F1184" s="6" t="s">
        <v>6375</v>
      </c>
      <c r="G1184" s="3" t="str">
        <f>IFERROR(__xludf.DUMMYFUNCTION("REGEXREPLACE(
D1184,
""([一-龯々]+)\[([^\]]+)\]"",
""&lt;ruby&gt;$1&lt;rt&gt;$2&lt;/rt&gt;&lt;/ruby&gt;""
)&amp;""&lt;br&gt;&lt;div class=""""audio""""&gt;[sound:""&amp;C1184&amp;"".mp3]&lt;/div&gt;"""),"ペン&lt;br&gt;&lt;div class=""audio""&gt;[sound:ぺん.mp3]&lt;/div&gt;")</f>
        <v>ペン&lt;br&gt;&lt;div class="audio"&gt;[sound:ぺん.mp3]&lt;/div&gt;</v>
      </c>
      <c r="H1184" s="3" t="str">
        <f t="shared" si="1"/>
        <v>(n): bút</v>
      </c>
      <c r="I1184" s="6" t="s">
        <v>6376</v>
      </c>
      <c r="J1184" s="6" t="s">
        <v>6377</v>
      </c>
      <c r="K1184" s="7">
        <f t="shared" si="2"/>
        <v>0.04084500316</v>
      </c>
    </row>
    <row r="1185">
      <c r="A1185" s="4">
        <v>1185.0</v>
      </c>
      <c r="B1185" s="5" t="s">
        <v>6378</v>
      </c>
      <c r="C1185" s="5" t="s">
        <v>6378</v>
      </c>
      <c r="D1185" s="5" t="s">
        <v>6378</v>
      </c>
      <c r="E1185" s="6" t="s">
        <v>74</v>
      </c>
      <c r="F1185" s="6" t="s">
        <v>6379</v>
      </c>
      <c r="G1185" s="3" t="str">
        <f>IFERROR(__xludf.DUMMYFUNCTION("REGEXREPLACE(
D1185,
""([一-龯々]+)\[([^\]]+)\]"",
""&lt;ruby&gt;$1&lt;rt&gt;$2&lt;/rt&gt;&lt;/ruby&gt;""
)&amp;""&lt;br&gt;&lt;div class=""""audio""""&gt;[sound:""&amp;C1185&amp;"".mp3]&lt;/div&gt;"""),"たばこ&lt;br&gt;&lt;div class=""audio""&gt;[sound:たばこ.mp3]&lt;/div&gt;")</f>
        <v>たばこ&lt;br&gt;&lt;div class="audio"&gt;[sound:たばこ.mp3]&lt;/div&gt;</v>
      </c>
      <c r="H1185" s="3" t="str">
        <f t="shared" si="1"/>
        <v>(n): thuốc lá</v>
      </c>
      <c r="I1185" s="6" t="s">
        <v>6380</v>
      </c>
      <c r="J1185" s="6" t="s">
        <v>6381</v>
      </c>
      <c r="K1185" s="7">
        <f t="shared" si="2"/>
        <v>0.6740772006</v>
      </c>
    </row>
    <row r="1186">
      <c r="A1186" s="4">
        <v>1186.0</v>
      </c>
      <c r="B1186" s="5" t="s">
        <v>6382</v>
      </c>
      <c r="C1186" s="5" t="s">
        <v>6383</v>
      </c>
      <c r="D1186" s="5" t="s">
        <v>6384</v>
      </c>
      <c r="E1186" s="6" t="s">
        <v>24</v>
      </c>
      <c r="F1186" s="6" t="s">
        <v>6385</v>
      </c>
      <c r="G1186" s="3" t="str">
        <f>IFERROR(__xludf.DUMMYFUNCTION("REGEXREPLACE(
D1186,
""([一-龯々]+)\[([^\]]+)\]"",
""&lt;ruby&gt;$1&lt;rt&gt;$2&lt;/rt&gt;&lt;/ruby&gt;""
)&amp;""&lt;br&gt;&lt;div class=""""audio""""&gt;[sound:""&amp;C1186&amp;"".mp3]&lt;/div&gt;"""),"&lt;ruby&gt;下&lt;rt&gt;くだ&lt;/rt&gt;&lt;/ruby&gt;る&lt;br&gt;&lt;div class=""audio""&gt;[sound:くだる.mp3]&lt;/div&gt;")</f>
        <v>&lt;ruby&gt;下&lt;rt&gt;くだ&lt;/rt&gt;&lt;/ruby&gt;る&lt;br&gt;&lt;div class="audio"&gt;[sound:くだる.mp3]&lt;/div&gt;</v>
      </c>
      <c r="H1186" s="3" t="str">
        <f t="shared" si="1"/>
        <v>(v): đi xuống</v>
      </c>
      <c r="I1186" s="6" t="s">
        <v>6386</v>
      </c>
      <c r="J1186" s="6" t="s">
        <v>6387</v>
      </c>
      <c r="K1186" s="7">
        <f t="shared" si="2"/>
        <v>0.1045616592</v>
      </c>
    </row>
    <row r="1187">
      <c r="A1187" s="4">
        <v>1187.0</v>
      </c>
      <c r="B1187" s="5" t="s">
        <v>6388</v>
      </c>
      <c r="C1187" s="5" t="s">
        <v>6389</v>
      </c>
      <c r="D1187" s="5" t="s">
        <v>6390</v>
      </c>
      <c r="E1187" s="6" t="s">
        <v>74</v>
      </c>
      <c r="F1187" s="6" t="s">
        <v>6391</v>
      </c>
      <c r="G1187" s="3" t="str">
        <f>IFERROR(__xludf.DUMMYFUNCTION("REGEXREPLACE(
D1187,
""([一-龯々]+)\[([^\]]+)\]"",
""&lt;ruby&gt;$1&lt;rt&gt;$2&lt;/rt&gt;&lt;/ruby&gt;""
)&amp;""&lt;br&gt;&lt;div class=""""audio""""&gt;[sound:""&amp;C1187&amp;"".mp3]&lt;/div&gt;"""),"&lt;ruby&gt;効果&lt;rt&gt;こうか&lt;/rt&gt;&lt;/ruby&gt;&lt;br&gt;&lt;div class=""audio""&gt;[sound:こうか.mp3]&lt;/div&gt;")</f>
        <v>&lt;ruby&gt;効果&lt;rt&gt;こうか&lt;/rt&gt;&lt;/ruby&gt;&lt;br&gt;&lt;div class="audio"&gt;[sound:こうか.mp3]&lt;/div&gt;</v>
      </c>
      <c r="H1187" s="3" t="str">
        <f t="shared" si="1"/>
        <v>(n): hiệu quả</v>
      </c>
      <c r="I1187" s="6" t="s">
        <v>6392</v>
      </c>
      <c r="J1187" s="6" t="s">
        <v>6393</v>
      </c>
      <c r="K1187" s="7">
        <f t="shared" si="2"/>
        <v>0.2253773686</v>
      </c>
    </row>
    <row r="1188">
      <c r="A1188" s="4">
        <v>1188.0</v>
      </c>
      <c r="B1188" s="5" t="s">
        <v>6394</v>
      </c>
      <c r="C1188" s="5" t="s">
        <v>6395</v>
      </c>
      <c r="D1188" s="5" t="s">
        <v>6396</v>
      </c>
      <c r="E1188" s="6" t="s">
        <v>74</v>
      </c>
      <c r="F1188" s="6" t="s">
        <v>6397</v>
      </c>
      <c r="G1188" s="3" t="str">
        <f>IFERROR(__xludf.DUMMYFUNCTION("REGEXREPLACE(
D1188,
""([一-龯々]+)\[([^\]]+)\]"",
""&lt;ruby&gt;$1&lt;rt&gt;$2&lt;/rt&gt;&lt;/ruby&gt;""
)&amp;""&lt;br&gt;&lt;div class=""""audio""""&gt;[sound:""&amp;C1188&amp;"".mp3]&lt;/div&gt;"""),"&lt;ruby&gt;連絡&lt;rt&gt;れんらく&lt;/rt&gt;&lt;/ruby&gt;&lt;br&gt;&lt;div class=""audio""&gt;[sound:れんらく.mp3]&lt;/div&gt;")</f>
        <v>&lt;ruby&gt;連絡&lt;rt&gt;れんらく&lt;/rt&gt;&lt;/ruby&gt;&lt;br&gt;&lt;div class="audio"&gt;[sound:れんらく.mp3]&lt;/div&gt;</v>
      </c>
      <c r="H1188" s="3" t="str">
        <f t="shared" si="1"/>
        <v>(n): liên lạc</v>
      </c>
      <c r="I1188" s="6" t="s">
        <v>6398</v>
      </c>
      <c r="J1188" s="6" t="s">
        <v>6399</v>
      </c>
      <c r="K1188" s="7">
        <f t="shared" si="2"/>
        <v>0.2723680673</v>
      </c>
    </row>
    <row r="1189">
      <c r="A1189" s="4">
        <v>1189.0</v>
      </c>
      <c r="B1189" s="5" t="s">
        <v>6400</v>
      </c>
      <c r="C1189" s="5" t="s">
        <v>6401</v>
      </c>
      <c r="D1189" s="5" t="s">
        <v>6400</v>
      </c>
      <c r="E1189" s="6" t="s">
        <v>74</v>
      </c>
      <c r="F1189" s="6" t="s">
        <v>6402</v>
      </c>
      <c r="G1189" s="3" t="str">
        <f>IFERROR(__xludf.DUMMYFUNCTION("REGEXREPLACE(
D1189,
""([一-龯々]+)\[([^\]]+)\]"",
""&lt;ruby&gt;$1&lt;rt&gt;$2&lt;/rt&gt;&lt;/ruby&gt;""
)&amp;""&lt;br&gt;&lt;div class=""""audio""""&gt;[sound:""&amp;C1189&amp;"".mp3]&lt;/div&gt;"""),"ジュース&lt;br&gt;&lt;div class=""audio""&gt;[sound:じゅーす.mp3]&lt;/div&gt;")</f>
        <v>ジュース&lt;br&gt;&lt;div class="audio"&gt;[sound:じゅーす.mp3]&lt;/div&gt;</v>
      </c>
      <c r="H1189" s="3" t="str">
        <f t="shared" si="1"/>
        <v>(n): nước ép</v>
      </c>
      <c r="I1189" s="6" t="s">
        <v>6403</v>
      </c>
      <c r="J1189" s="6" t="s">
        <v>6404</v>
      </c>
      <c r="K1189" s="7">
        <f t="shared" si="2"/>
        <v>0.08738462107</v>
      </c>
    </row>
    <row r="1190">
      <c r="A1190" s="4">
        <v>1190.0</v>
      </c>
      <c r="B1190" s="5" t="s">
        <v>6405</v>
      </c>
      <c r="C1190" s="5" t="s">
        <v>6406</v>
      </c>
      <c r="D1190" s="5" t="s">
        <v>6407</v>
      </c>
      <c r="E1190" s="6" t="s">
        <v>24</v>
      </c>
      <c r="F1190" s="6" t="s">
        <v>6408</v>
      </c>
      <c r="G1190" s="3" t="str">
        <f>IFERROR(__xludf.DUMMYFUNCTION("REGEXREPLACE(
D1190,
""([一-龯々]+)\[([^\]]+)\]"",
""&lt;ruby&gt;$1&lt;rt&gt;$2&lt;/rt&gt;&lt;/ruby&gt;""
)&amp;""&lt;br&gt;&lt;div class=""""audio""""&gt;[sound:""&amp;C1190&amp;"".mp3]&lt;/div&gt;"""),"&lt;ruby&gt;予想&lt;rt&gt;よそう&lt;/rt&gt;&lt;/ruby&gt;&lt;br&gt;&lt;div class=""audio""&gt;[sound:よそう.mp3]&lt;/div&gt;")</f>
        <v>&lt;ruby&gt;予想&lt;rt&gt;よそう&lt;/rt&gt;&lt;/ruby&gt;&lt;br&gt;&lt;div class="audio"&gt;[sound:よそう.mp3]&lt;/div&gt;</v>
      </c>
      <c r="H1190" s="3" t="str">
        <f t="shared" si="1"/>
        <v>(v): dự đoán</v>
      </c>
      <c r="I1190" s="6" t="s">
        <v>6409</v>
      </c>
      <c r="J1190" s="6" t="s">
        <v>6410</v>
      </c>
      <c r="K1190" s="7">
        <f t="shared" si="2"/>
        <v>0.7604492981</v>
      </c>
    </row>
    <row r="1191">
      <c r="A1191" s="4">
        <v>1191.0</v>
      </c>
      <c r="B1191" s="5" t="s">
        <v>6411</v>
      </c>
      <c r="C1191" s="5" t="s">
        <v>6412</v>
      </c>
      <c r="D1191" s="5" t="s">
        <v>6413</v>
      </c>
      <c r="E1191" s="6" t="s">
        <v>74</v>
      </c>
      <c r="F1191" s="6" t="s">
        <v>6414</v>
      </c>
      <c r="G1191" s="3" t="str">
        <f>IFERROR(__xludf.DUMMYFUNCTION("REGEXREPLACE(
D1191,
""([一-龯々]+)\[([^\]]+)\]"",
""&lt;ruby&gt;$1&lt;rt&gt;$2&lt;/rt&gt;&lt;/ruby&gt;""
)&amp;""&lt;br&gt;&lt;div class=""""audio""""&gt;[sound:""&amp;C1191&amp;"".mp3]&lt;/div&gt;"""),"&lt;ruby&gt;半&lt;rt&gt;はん&lt;/rt&gt;&lt;/ruby&gt;&lt;br&gt;&lt;div class=""audio""&gt;[sound:はん.mp3]&lt;/div&gt;")</f>
        <v>&lt;ruby&gt;半&lt;rt&gt;はん&lt;/rt&gt;&lt;/ruby&gt;&lt;br&gt;&lt;div class="audio"&gt;[sound:はん.mp3]&lt;/div&gt;</v>
      </c>
      <c r="H1191" s="3" t="str">
        <f t="shared" si="1"/>
        <v>(n): một nửa</v>
      </c>
      <c r="I1191" s="6" t="s">
        <v>6415</v>
      </c>
      <c r="J1191" s="6" t="s">
        <v>6416</v>
      </c>
      <c r="K1191" s="7">
        <f t="shared" si="2"/>
        <v>0.5467077182</v>
      </c>
    </row>
    <row r="1192">
      <c r="A1192" s="4">
        <v>1192.0</v>
      </c>
      <c r="B1192" s="5" t="s">
        <v>6417</v>
      </c>
      <c r="C1192" s="5" t="s">
        <v>6418</v>
      </c>
      <c r="D1192" s="5" t="s">
        <v>6419</v>
      </c>
      <c r="E1192" s="6" t="s">
        <v>74</v>
      </c>
      <c r="F1192" s="6" t="s">
        <v>6420</v>
      </c>
      <c r="G1192" s="3" t="str">
        <f>IFERROR(__xludf.DUMMYFUNCTION("REGEXREPLACE(
D1192,
""([一-龯々]+)\[([^\]]+)\]"",
""&lt;ruby&gt;$1&lt;rt&gt;$2&lt;/rt&gt;&lt;/ruby&gt;""
)&amp;""&lt;br&gt;&lt;div class=""""audio""""&gt;[sound:""&amp;C1192&amp;"".mp3]&lt;/div&gt;"""),"&lt;ruby&gt;記事&lt;rt&gt;きじ&lt;/rt&gt;&lt;/ruby&gt;&lt;br&gt;&lt;div class=""audio""&gt;[sound:きじ.mp3]&lt;/div&gt;")</f>
        <v>&lt;ruby&gt;記事&lt;rt&gt;きじ&lt;/rt&gt;&lt;/ruby&gt;&lt;br&gt;&lt;div class="audio"&gt;[sound:きじ.mp3]&lt;/div&gt;</v>
      </c>
      <c r="H1192" s="3" t="str">
        <f t="shared" si="1"/>
        <v>(n): bài báo</v>
      </c>
      <c r="I1192" s="6" t="s">
        <v>6421</v>
      </c>
      <c r="J1192" s="6" t="s">
        <v>6422</v>
      </c>
      <c r="K1192" s="7">
        <f t="shared" si="2"/>
        <v>0.9595660587</v>
      </c>
    </row>
    <row r="1193">
      <c r="A1193" s="4">
        <v>1193.0</v>
      </c>
      <c r="B1193" s="5" t="s">
        <v>6423</v>
      </c>
      <c r="C1193" s="5" t="s">
        <v>6424</v>
      </c>
      <c r="D1193" s="5" t="s">
        <v>6423</v>
      </c>
      <c r="E1193" s="6" t="s">
        <v>74</v>
      </c>
      <c r="F1193" s="6" t="s">
        <v>6425</v>
      </c>
      <c r="G1193" s="3" t="str">
        <f>IFERROR(__xludf.DUMMYFUNCTION("REGEXREPLACE(
D1193,
""([一-龯々]+)\[([^\]]+)\]"",
""&lt;ruby&gt;$1&lt;rt&gt;$2&lt;/rt&gt;&lt;/ruby&gt;""
)&amp;""&lt;br&gt;&lt;div class=""""audio""""&gt;[sound:""&amp;C1193&amp;"".mp3]&lt;/div&gt;"""),"プール&lt;br&gt;&lt;div class=""audio""&gt;[sound:ぷーる.mp3]&lt;/div&gt;")</f>
        <v>プール&lt;br&gt;&lt;div class="audio"&gt;[sound:ぷーる.mp3]&lt;/div&gt;</v>
      </c>
      <c r="H1193" s="3" t="str">
        <f t="shared" si="1"/>
        <v>(n): bể bơi</v>
      </c>
      <c r="I1193" s="6" t="s">
        <v>6426</v>
      </c>
      <c r="J1193" s="6" t="s">
        <v>6427</v>
      </c>
      <c r="K1193" s="7">
        <f t="shared" si="2"/>
        <v>0.1513039773</v>
      </c>
    </row>
    <row r="1194">
      <c r="A1194" s="4">
        <v>1194.0</v>
      </c>
      <c r="B1194" s="5" t="s">
        <v>6428</v>
      </c>
      <c r="C1194" s="5" t="s">
        <v>6429</v>
      </c>
      <c r="D1194" s="5" t="s">
        <v>6430</v>
      </c>
      <c r="E1194" s="6" t="s">
        <v>74</v>
      </c>
      <c r="F1194" s="6" t="s">
        <v>1396</v>
      </c>
      <c r="G1194" s="3" t="str">
        <f>IFERROR(__xludf.DUMMYFUNCTION("REGEXREPLACE(
D1194,
""([一-龯々]+)\[([^\]]+)\]"",
""&lt;ruby&gt;$1&lt;rt&gt;$2&lt;/rt&gt;&lt;/ruby&gt;""
)&amp;""&lt;br&gt;&lt;div class=""""audio""""&gt;[sound:""&amp;C1194&amp;"".mp3]&lt;/div&gt;"""),"&lt;ruby&gt;女子&lt;rt&gt;じょし&lt;/rt&gt;&lt;/ruby&gt;&lt;br&gt;&lt;div class=""audio""&gt;[sound:じょし.mp3]&lt;/div&gt;")</f>
        <v>&lt;ruby&gt;女子&lt;rt&gt;じょし&lt;/rt&gt;&lt;/ruby&gt;&lt;br&gt;&lt;div class="audio"&gt;[sound:じょし.mp3]&lt;/div&gt;</v>
      </c>
      <c r="H1194" s="3" t="str">
        <f t="shared" si="1"/>
        <v>(n): phụ nữ</v>
      </c>
      <c r="I1194" s="6" t="s">
        <v>6431</v>
      </c>
      <c r="J1194" s="6" t="s">
        <v>6432</v>
      </c>
      <c r="K1194" s="7">
        <f t="shared" si="2"/>
        <v>0.2746264817</v>
      </c>
    </row>
    <row r="1195">
      <c r="A1195" s="4">
        <v>1195.0</v>
      </c>
      <c r="B1195" s="5" t="s">
        <v>6433</v>
      </c>
      <c r="C1195" s="5" t="s">
        <v>6434</v>
      </c>
      <c r="D1195" s="5" t="s">
        <v>6435</v>
      </c>
      <c r="E1195" s="6" t="s">
        <v>74</v>
      </c>
      <c r="F1195" s="6" t="s">
        <v>6436</v>
      </c>
      <c r="G1195" s="3" t="str">
        <f>IFERROR(__xludf.DUMMYFUNCTION("REGEXREPLACE(
D1195,
""([一-龯々]+)\[([^\]]+)\]"",
""&lt;ruby&gt;$1&lt;rt&gt;$2&lt;/rt&gt;&lt;/ruby&gt;""
)&amp;""&lt;br&gt;&lt;div class=""""audio""""&gt;[sound:""&amp;C1195&amp;"".mp3]&lt;/div&gt;"""),"&lt;ruby&gt;絵&lt;rt&gt;え&lt;/rt&gt;&lt;/ruby&gt;&lt;br&gt;&lt;div class=""audio""&gt;[sound:え.mp3]&lt;/div&gt;")</f>
        <v>&lt;ruby&gt;絵&lt;rt&gt;え&lt;/rt&gt;&lt;/ruby&gt;&lt;br&gt;&lt;div class="audio"&gt;[sound:え.mp3]&lt;/div&gt;</v>
      </c>
      <c r="H1195" s="3" t="str">
        <f t="shared" si="1"/>
        <v>(n): tranh</v>
      </c>
      <c r="I1195" s="6" t="s">
        <v>6437</v>
      </c>
      <c r="J1195" s="6" t="s">
        <v>6438</v>
      </c>
      <c r="K1195" s="7">
        <f t="shared" si="2"/>
        <v>0.9801736485</v>
      </c>
    </row>
    <row r="1196">
      <c r="A1196" s="4">
        <v>1196.0</v>
      </c>
      <c r="B1196" s="5" t="s">
        <v>6439</v>
      </c>
      <c r="C1196" s="5" t="s">
        <v>6440</v>
      </c>
      <c r="D1196" s="5" t="s">
        <v>6441</v>
      </c>
      <c r="E1196" s="6" t="s">
        <v>74</v>
      </c>
      <c r="F1196" s="6" t="s">
        <v>6442</v>
      </c>
      <c r="G1196" s="3" t="str">
        <f>IFERROR(__xludf.DUMMYFUNCTION("REGEXREPLACE(
D1196,
""([一-龯々]+)\[([^\]]+)\]"",
""&lt;ruby&gt;$1&lt;rt&gt;$2&lt;/rt&gt;&lt;/ruby&gt;""
)&amp;""&lt;br&gt;&lt;div class=""""audio""""&gt;[sound:""&amp;C1196&amp;"".mp3]&lt;/div&gt;"""),"&lt;ruby&gt;胸&lt;rt&gt;むね&lt;/rt&gt;&lt;/ruby&gt;&lt;br&gt;&lt;div class=""audio""&gt;[sound:むね.mp3]&lt;/div&gt;")</f>
        <v>&lt;ruby&gt;胸&lt;rt&gt;むね&lt;/rt&gt;&lt;/ruby&gt;&lt;br&gt;&lt;div class="audio"&gt;[sound:むね.mp3]&lt;/div&gt;</v>
      </c>
      <c r="H1196" s="3" t="str">
        <f t="shared" si="1"/>
        <v>(n): ngực</v>
      </c>
      <c r="I1196" s="6" t="s">
        <v>6443</v>
      </c>
      <c r="J1196" s="6" t="s">
        <v>6444</v>
      </c>
      <c r="K1196" s="7">
        <f t="shared" si="2"/>
        <v>0.9677238428</v>
      </c>
    </row>
    <row r="1197">
      <c r="A1197" s="4">
        <v>1197.0</v>
      </c>
      <c r="B1197" s="5" t="s">
        <v>6445</v>
      </c>
      <c r="C1197" s="5" t="s">
        <v>6446</v>
      </c>
      <c r="D1197" s="5" t="s">
        <v>6447</v>
      </c>
      <c r="E1197" s="6" t="s">
        <v>24</v>
      </c>
      <c r="F1197" s="6" t="s">
        <v>6448</v>
      </c>
      <c r="G1197" s="3" t="str">
        <f>IFERROR(__xludf.DUMMYFUNCTION("REGEXREPLACE(
D1197,
""([一-龯々]+)\[([^\]]+)\]"",
""&lt;ruby&gt;$1&lt;rt&gt;$2&lt;/rt&gt;&lt;/ruby&gt;""
)&amp;""&lt;br&gt;&lt;div class=""""audio""""&gt;[sound:""&amp;C1197&amp;"".mp3]&lt;/div&gt;"""),"&lt;ruby&gt;遊&lt;rt&gt;あそ&lt;/rt&gt;&lt;/ruby&gt;ぶ&lt;br&gt;&lt;div class=""audio""&gt;[sound:あそぶ.mp3]&lt;/div&gt;")</f>
        <v>&lt;ruby&gt;遊&lt;rt&gt;あそ&lt;/rt&gt;&lt;/ruby&gt;ぶ&lt;br&gt;&lt;div class="audio"&gt;[sound:あそぶ.mp3]&lt;/div&gt;</v>
      </c>
      <c r="H1197" s="3" t="str">
        <f t="shared" si="1"/>
        <v>(v): chơi</v>
      </c>
      <c r="I1197" s="6" t="s">
        <v>6449</v>
      </c>
      <c r="J1197" s="6" t="s">
        <v>6450</v>
      </c>
      <c r="K1197" s="7">
        <f t="shared" si="2"/>
        <v>0.6179666562</v>
      </c>
    </row>
    <row r="1198">
      <c r="A1198" s="4">
        <v>1198.0</v>
      </c>
      <c r="B1198" s="5" t="s">
        <v>6451</v>
      </c>
      <c r="C1198" s="5" t="s">
        <v>6451</v>
      </c>
      <c r="D1198" s="5" t="s">
        <v>6451</v>
      </c>
      <c r="E1198" s="6" t="s">
        <v>74</v>
      </c>
      <c r="F1198" s="6" t="s">
        <v>6452</v>
      </c>
      <c r="G1198" s="3" t="str">
        <f>IFERROR(__xludf.DUMMYFUNCTION("REGEXREPLACE(
D1198,
""([一-龯々]+)\[([^\]]+)\]"",
""&lt;ruby&gt;$1&lt;rt&gt;$2&lt;/rt&gt;&lt;/ruby&gt;""
)&amp;""&lt;br&gt;&lt;div class=""""audio""""&gt;[sound:""&amp;C1198&amp;"".mp3]&lt;/div&gt;"""),"かばん&lt;br&gt;&lt;div class=""audio""&gt;[sound:かばん.mp3]&lt;/div&gt;")</f>
        <v>かばん&lt;br&gt;&lt;div class="audio"&gt;[sound:かばん.mp3]&lt;/div&gt;</v>
      </c>
      <c r="H1198" s="3" t="str">
        <f t="shared" si="1"/>
        <v>(n): cặp sách</v>
      </c>
      <c r="I1198" s="6" t="s">
        <v>6453</v>
      </c>
      <c r="J1198" s="6" t="s">
        <v>6454</v>
      </c>
      <c r="K1198" s="7">
        <f t="shared" si="2"/>
        <v>0.8114152321</v>
      </c>
    </row>
    <row r="1199">
      <c r="A1199" s="4">
        <v>1199.0</v>
      </c>
      <c r="B1199" s="5" t="s">
        <v>6455</v>
      </c>
      <c r="C1199" s="5" t="s">
        <v>6456</v>
      </c>
      <c r="D1199" s="5" t="s">
        <v>6455</v>
      </c>
      <c r="E1199" s="6" t="s">
        <v>74</v>
      </c>
      <c r="F1199" s="6" t="s">
        <v>6457</v>
      </c>
      <c r="G1199" s="3" t="str">
        <f>IFERROR(__xludf.DUMMYFUNCTION("REGEXREPLACE(
D1199,
""([一-龯々]+)\[([^\]]+)\]"",
""&lt;ruby&gt;$1&lt;rt&gt;$2&lt;/rt&gt;&lt;/ruby&gt;""
)&amp;""&lt;br&gt;&lt;div class=""""audio""""&gt;[sound:""&amp;C1199&amp;"".mp3]&lt;/div&gt;"""),"スーツ&lt;br&gt;&lt;div class=""audio""&gt;[sound:すーつ.mp3]&lt;/div&gt;")</f>
        <v>スーツ&lt;br&gt;&lt;div class="audio"&gt;[sound:すーつ.mp3]&lt;/div&gt;</v>
      </c>
      <c r="H1199" s="3" t="str">
        <f t="shared" si="1"/>
        <v>(n): bộ vest</v>
      </c>
      <c r="I1199" s="6" t="s">
        <v>6458</v>
      </c>
      <c r="J1199" s="6" t="s">
        <v>6459</v>
      </c>
      <c r="K1199" s="7">
        <f t="shared" si="2"/>
        <v>0.3907602662</v>
      </c>
    </row>
    <row r="1200">
      <c r="A1200" s="4">
        <v>1200.0</v>
      </c>
      <c r="B1200" s="5" t="s">
        <v>6460</v>
      </c>
      <c r="C1200" s="5" t="s">
        <v>6460</v>
      </c>
      <c r="D1200" s="5" t="s">
        <v>6460</v>
      </c>
      <c r="E1200" s="6" t="s">
        <v>44</v>
      </c>
      <c r="F1200" s="6" t="s">
        <v>2295</v>
      </c>
      <c r="G1200" s="3" t="str">
        <f>IFERROR(__xludf.DUMMYFUNCTION("REGEXREPLACE(
D1200,
""([一-龯々]+)\[([^\]]+)\]"",
""&lt;ruby&gt;$1&lt;rt&gt;$2&lt;/rt&gt;&lt;/ruby&gt;""
)&amp;""&lt;br&gt;&lt;div class=""""audio""""&gt;[sound:""&amp;C1200&amp;"".mp3]&lt;/div&gt;"""),"どっち&lt;br&gt;&lt;div class=""audio""&gt;[sound:どっち.mp3]&lt;/div&gt;")</f>
        <v>どっち&lt;br&gt;&lt;div class="audio"&gt;[sound:どっち.mp3]&lt;/div&gt;</v>
      </c>
      <c r="H1200" s="3" t="str">
        <f t="shared" si="1"/>
        <v>(pron): bên nào</v>
      </c>
      <c r="I1200" s="6" t="s">
        <v>6461</v>
      </c>
      <c r="J1200" s="6" t="s">
        <v>6462</v>
      </c>
      <c r="K1200" s="7">
        <f t="shared" si="2"/>
        <v>0.4809839889</v>
      </c>
    </row>
    <row r="1201">
      <c r="A1201" s="4">
        <v>1201.0</v>
      </c>
      <c r="B1201" s="5" t="s">
        <v>6463</v>
      </c>
      <c r="C1201" s="5" t="s">
        <v>6464</v>
      </c>
      <c r="D1201" s="5" t="s">
        <v>6465</v>
      </c>
      <c r="E1201" s="6" t="s">
        <v>24</v>
      </c>
      <c r="F1201" s="6" t="s">
        <v>6466</v>
      </c>
      <c r="G1201" s="3" t="str">
        <f>IFERROR(__xludf.DUMMYFUNCTION("REGEXREPLACE(
D1201,
""([一-龯々]+)\[([^\]]+)\]"",
""&lt;ruby&gt;$1&lt;rt&gt;$2&lt;/rt&gt;&lt;/ruby&gt;""
)&amp;""&lt;br&gt;&lt;div class=""""audio""""&gt;[sound:""&amp;C1201&amp;"".mp3]&lt;/div&gt;"""),"&lt;ruby&gt;組&lt;rt&gt;く&lt;/rt&gt;&lt;/ruby&gt;む&lt;br&gt;&lt;div class=""audio""&gt;[sound:くむ.mp3]&lt;/div&gt;")</f>
        <v>&lt;ruby&gt;組&lt;rt&gt;く&lt;/rt&gt;&lt;/ruby&gt;む&lt;br&gt;&lt;div class="audio"&gt;[sound:くむ.mp3]&lt;/div&gt;</v>
      </c>
      <c r="H1201" s="3" t="str">
        <f t="shared" si="1"/>
        <v>(v): bắt cặp</v>
      </c>
      <c r="I1201" s="6" t="s">
        <v>6467</v>
      </c>
      <c r="J1201" s="6" t="s">
        <v>6468</v>
      </c>
      <c r="K1201" s="7">
        <f t="shared" si="2"/>
        <v>0.4621621881</v>
      </c>
    </row>
    <row r="1202">
      <c r="A1202" s="4">
        <v>1202.0</v>
      </c>
      <c r="B1202" s="5" t="s">
        <v>6469</v>
      </c>
      <c r="C1202" s="5" t="s">
        <v>6469</v>
      </c>
      <c r="D1202" s="5" t="s">
        <v>6469</v>
      </c>
      <c r="E1202" s="6" t="s">
        <v>74</v>
      </c>
      <c r="F1202" s="6" t="s">
        <v>6470</v>
      </c>
      <c r="G1202" s="3" t="str">
        <f>IFERROR(__xludf.DUMMYFUNCTION("REGEXREPLACE(
D1202,
""([一-龯々]+)\[([^\]]+)\]"",
""&lt;ruby&gt;$1&lt;rt&gt;$2&lt;/rt&gt;&lt;/ruby&gt;""
)&amp;""&lt;br&gt;&lt;div class=""""audio""""&gt;[sound:""&amp;C1202&amp;"".mp3]&lt;/div&gt;"""),"ネクタイ&lt;br&gt;&lt;div class=""audio""&gt;[sound:ネクタイ.mp3]&lt;/div&gt;")</f>
        <v>ネクタイ&lt;br&gt;&lt;div class="audio"&gt;[sound:ネクタイ.mp3]&lt;/div&gt;</v>
      </c>
      <c r="H1202" s="3" t="str">
        <f t="shared" si="1"/>
        <v>(n): cà vạt</v>
      </c>
      <c r="I1202" s="6" t="s">
        <v>6471</v>
      </c>
      <c r="J1202" s="6" t="s">
        <v>6472</v>
      </c>
      <c r="K1202" s="7">
        <f t="shared" si="2"/>
        <v>0.9329899486</v>
      </c>
    </row>
    <row r="1203">
      <c r="A1203" s="4">
        <v>1203.0</v>
      </c>
      <c r="B1203" s="5" t="s">
        <v>6473</v>
      </c>
      <c r="C1203" s="5" t="s">
        <v>6474</v>
      </c>
      <c r="D1203" s="5" t="s">
        <v>6475</v>
      </c>
      <c r="E1203" s="6" t="s">
        <v>74</v>
      </c>
      <c r="F1203" s="6" t="s">
        <v>6476</v>
      </c>
      <c r="G1203" s="3" t="str">
        <f>IFERROR(__xludf.DUMMYFUNCTION("REGEXREPLACE(
D1203,
""([一-龯々]+)\[([^\]]+)\]"",
""&lt;ruby&gt;$1&lt;rt&gt;$2&lt;/rt&gt;&lt;/ruby&gt;""
)&amp;""&lt;br&gt;&lt;div class=""""audio""""&gt;[sound:""&amp;C1203&amp;"".mp3]&lt;/div&gt;"""),"&lt;ruby&gt;両方&lt;rt&gt;りょうほう&lt;/rt&gt;&lt;/ruby&gt;&lt;br&gt;&lt;div class=""audio""&gt;[sound:りょうほう.mp3]&lt;/div&gt;")</f>
        <v>&lt;ruby&gt;両方&lt;rt&gt;りょうほう&lt;/rt&gt;&lt;/ruby&gt;&lt;br&gt;&lt;div class="audio"&gt;[sound:りょうほう.mp3]&lt;/div&gt;</v>
      </c>
      <c r="H1203" s="3" t="str">
        <f t="shared" si="1"/>
        <v>(n): cả hai</v>
      </c>
      <c r="I1203" s="6" t="s">
        <v>6477</v>
      </c>
      <c r="J1203" s="6" t="s">
        <v>6478</v>
      </c>
      <c r="K1203" s="7">
        <f t="shared" si="2"/>
        <v>0.3554353482</v>
      </c>
    </row>
    <row r="1204">
      <c r="A1204" s="4">
        <v>1204.0</v>
      </c>
      <c r="B1204" s="5" t="s">
        <v>6479</v>
      </c>
      <c r="C1204" s="5" t="s">
        <v>6480</v>
      </c>
      <c r="D1204" s="5" t="s">
        <v>6481</v>
      </c>
      <c r="E1204" s="6" t="s">
        <v>74</v>
      </c>
      <c r="F1204" s="6" t="s">
        <v>6482</v>
      </c>
      <c r="G1204" s="3" t="str">
        <f>IFERROR(__xludf.DUMMYFUNCTION("REGEXREPLACE(
D1204,
""([一-龯々]+)\[([^\]]+)\]"",
""&lt;ruby&gt;$1&lt;rt&gt;$2&lt;/rt&gt;&lt;/ruby&gt;""
)&amp;""&lt;br&gt;&lt;div class=""""audio""""&gt;[sound:""&amp;C1204&amp;"".mp3]&lt;/div&gt;"""),"&lt;ruby&gt;人口&lt;rt&gt;じんこう&lt;/rt&gt;&lt;/ruby&gt;&lt;br&gt;&lt;div class=""audio""&gt;[sound:じんこう.mp3]&lt;/div&gt;")</f>
        <v>&lt;ruby&gt;人口&lt;rt&gt;じんこう&lt;/rt&gt;&lt;/ruby&gt;&lt;br&gt;&lt;div class="audio"&gt;[sound:じんこう.mp3]&lt;/div&gt;</v>
      </c>
      <c r="H1204" s="3" t="str">
        <f t="shared" si="1"/>
        <v>(n): dân số</v>
      </c>
      <c r="I1204" s="6" t="s">
        <v>6483</v>
      </c>
      <c r="J1204" s="6" t="s">
        <v>6484</v>
      </c>
      <c r="K1204" s="7">
        <f t="shared" si="2"/>
        <v>0.849950534</v>
      </c>
    </row>
    <row r="1205">
      <c r="A1205" s="4">
        <v>1205.0</v>
      </c>
      <c r="B1205" s="5" t="s">
        <v>6485</v>
      </c>
      <c r="C1205" s="5" t="s">
        <v>6486</v>
      </c>
      <c r="D1205" s="5" t="s">
        <v>6487</v>
      </c>
      <c r="E1205" s="6" t="s">
        <v>24</v>
      </c>
      <c r="F1205" s="6" t="s">
        <v>4291</v>
      </c>
      <c r="G1205" s="3" t="str">
        <f>IFERROR(__xludf.DUMMYFUNCTION("REGEXREPLACE(
D1205,
""([一-龯々]+)\[([^\]]+)\]"",
""&lt;ruby&gt;$1&lt;rt&gt;$2&lt;/rt&gt;&lt;/ruby&gt;""
)&amp;""&lt;br&gt;&lt;div class=""""audio""""&gt;[sound:""&amp;C1205&amp;"".mp3]&lt;/div&gt;"""),"&lt;ruby&gt;閉&lt;rt&gt;し&lt;/rt&gt;&lt;/ruby&gt;める&lt;br&gt;&lt;div class=""audio""&gt;[sound:しめる.mp3]&lt;/div&gt;")</f>
        <v>&lt;ruby&gt;閉&lt;rt&gt;し&lt;/rt&gt;&lt;/ruby&gt;める&lt;br&gt;&lt;div class="audio"&gt;[sound:しめる.mp3]&lt;/div&gt;</v>
      </c>
      <c r="H1205" s="3" t="str">
        <f t="shared" si="1"/>
        <v>(v): đóng</v>
      </c>
      <c r="I1205" s="6" t="s">
        <v>6488</v>
      </c>
      <c r="J1205" s="6" t="s">
        <v>6489</v>
      </c>
      <c r="K1205" s="7">
        <f t="shared" si="2"/>
        <v>0.1827215616</v>
      </c>
    </row>
    <row r="1206">
      <c r="A1206" s="4">
        <v>1206.0</v>
      </c>
      <c r="B1206" s="5" t="s">
        <v>6490</v>
      </c>
      <c r="C1206" s="5" t="s">
        <v>6491</v>
      </c>
      <c r="D1206" s="5" t="s">
        <v>6490</v>
      </c>
      <c r="E1206" s="6" t="s">
        <v>74</v>
      </c>
      <c r="F1206" s="6" t="s">
        <v>6492</v>
      </c>
      <c r="G1206" s="3" t="str">
        <f>IFERROR(__xludf.DUMMYFUNCTION("REGEXREPLACE(
D1206,
""([一-龯々]+)\[([^\]]+)\]"",
""&lt;ruby&gt;$1&lt;rt&gt;$2&lt;/rt&gt;&lt;/ruby&gt;""
)&amp;""&lt;br&gt;&lt;div class=""""audio""""&gt;[sound:""&amp;C1206&amp;"".mp3]&lt;/div&gt;"""),"テーブル&lt;br&gt;&lt;div class=""audio""&gt;[sound:てーぶる.mp3]&lt;/div&gt;")</f>
        <v>テーブル&lt;br&gt;&lt;div class="audio"&gt;[sound:てーぶる.mp3]&lt;/div&gt;</v>
      </c>
      <c r="H1206" s="3" t="str">
        <f t="shared" si="1"/>
        <v>(n): bàn</v>
      </c>
      <c r="I1206" s="6" t="s">
        <v>6493</v>
      </c>
      <c r="J1206" s="6" t="s">
        <v>6494</v>
      </c>
      <c r="K1206" s="7">
        <f t="shared" si="2"/>
        <v>0.7230187163</v>
      </c>
    </row>
    <row r="1207">
      <c r="A1207" s="4">
        <v>1207.0</v>
      </c>
      <c r="B1207" s="5" t="s">
        <v>6495</v>
      </c>
      <c r="C1207" s="5" t="s">
        <v>6496</v>
      </c>
      <c r="D1207" s="5" t="s">
        <v>6497</v>
      </c>
      <c r="E1207" s="6" t="s">
        <v>24</v>
      </c>
      <c r="F1207" s="6" t="s">
        <v>6498</v>
      </c>
      <c r="G1207" s="3" t="str">
        <f>IFERROR(__xludf.DUMMYFUNCTION("REGEXREPLACE(
D1207,
""([一-龯々]+)\[([^\]]+)\]"",
""&lt;ruby&gt;$1&lt;rt&gt;$2&lt;/rt&gt;&lt;/ruby&gt;""
)&amp;""&lt;br&gt;&lt;div class=""""audio""""&gt;[sound:""&amp;C1207&amp;"".mp3]&lt;/div&gt;"""),"&lt;ruby&gt;押&lt;rt&gt;おさ&lt;/rt&gt;&lt;/ruby&gt;える&lt;br&gt;&lt;div class=""audio""&gt;[sound:おさえる.mp3]&lt;/div&gt;")</f>
        <v>&lt;ruby&gt;押&lt;rt&gt;おさ&lt;/rt&gt;&lt;/ruby&gt;える&lt;br&gt;&lt;div class="audio"&gt;[sound:おさえる.mp3]&lt;/div&gt;</v>
      </c>
      <c r="H1207" s="3" t="str">
        <f t="shared" si="1"/>
        <v>(v): giữ</v>
      </c>
      <c r="I1207" s="6" t="s">
        <v>6499</v>
      </c>
      <c r="J1207" s="6" t="s">
        <v>6500</v>
      </c>
      <c r="K1207" s="7">
        <f t="shared" si="2"/>
        <v>0.1049845409</v>
      </c>
    </row>
    <row r="1208">
      <c r="A1208" s="4">
        <v>1208.0</v>
      </c>
      <c r="B1208" s="5" t="s">
        <v>6501</v>
      </c>
      <c r="C1208" s="5" t="s">
        <v>6502</v>
      </c>
      <c r="D1208" s="5" t="s">
        <v>6503</v>
      </c>
      <c r="E1208" s="6" t="s">
        <v>58</v>
      </c>
      <c r="F1208" s="6" t="s">
        <v>6504</v>
      </c>
      <c r="G1208" s="3" t="str">
        <f>IFERROR(__xludf.DUMMYFUNCTION("REGEXREPLACE(
D1208,
""([一-龯々]+)\[([^\]]+)\]"",
""&lt;ruby&gt;$1&lt;rt&gt;$2&lt;/rt&gt;&lt;/ruby&gt;""
)&amp;""&lt;br&gt;&lt;div class=""""audio""""&gt;[sound:""&amp;C1208&amp;"".mp3]&lt;/div&gt;"""),"&lt;ruby&gt;三&lt;rt&gt;みっ&lt;/rt&gt;&lt;/ruby&gt;つ&lt;br&gt;&lt;div class=""audio""&gt;[sound:みっつ.mp3]&lt;/div&gt;")</f>
        <v>&lt;ruby&gt;三&lt;rt&gt;みっ&lt;/rt&gt;&lt;/ruby&gt;つ&lt;br&gt;&lt;div class="audio"&gt;[sound:みっつ.mp3]&lt;/div&gt;</v>
      </c>
      <c r="H1208" s="3" t="str">
        <f t="shared" si="1"/>
        <v>(num): ba cái</v>
      </c>
      <c r="I1208" s="6" t="s">
        <v>6505</v>
      </c>
      <c r="J1208" s="6" t="s">
        <v>6506</v>
      </c>
      <c r="K1208" s="7">
        <f t="shared" si="2"/>
        <v>0.5196654641</v>
      </c>
    </row>
    <row r="1209">
      <c r="A1209" s="4">
        <v>1209.0</v>
      </c>
      <c r="B1209" s="5" t="s">
        <v>6507</v>
      </c>
      <c r="C1209" s="5" t="s">
        <v>6508</v>
      </c>
      <c r="D1209" s="5" t="s">
        <v>6509</v>
      </c>
      <c r="E1209" s="6" t="s">
        <v>85</v>
      </c>
      <c r="F1209" s="6" t="s">
        <v>6510</v>
      </c>
      <c r="G1209" s="3" t="str">
        <f>IFERROR(__xludf.DUMMYFUNCTION("REGEXREPLACE(
D1209,
""([一-龯々]+)\[([^\]]+)\]"",
""&lt;ruby&gt;$1&lt;rt&gt;$2&lt;/rt&gt;&lt;/ruby&gt;""
)&amp;""&lt;br&gt;&lt;div class=""""audio""""&gt;[sound:""&amp;C1209&amp;"".mp3]&lt;/div&gt;"""),"&lt;ruby&gt;中々&lt;rt&gt;なかなか&lt;/rt&gt;&lt;/ruby&gt;&lt;br&gt;&lt;div class=""audio""&gt;[sound:なかなか.mp3]&lt;/div&gt;")</f>
        <v>&lt;ruby&gt;中々&lt;rt&gt;なかなか&lt;/rt&gt;&lt;/ruby&gt;&lt;br&gt;&lt;div class="audio"&gt;[sound:なかなか.mp3]&lt;/div&gt;</v>
      </c>
      <c r="H1209" s="3" t="str">
        <f t="shared" si="1"/>
        <v>(adv): khá là</v>
      </c>
      <c r="I1209" s="6" t="s">
        <v>6511</v>
      </c>
      <c r="J1209" s="6" t="s">
        <v>6512</v>
      </c>
      <c r="K1209" s="7">
        <f t="shared" si="2"/>
        <v>0.2974398957</v>
      </c>
    </row>
    <row r="1210">
      <c r="A1210" s="4">
        <v>1210.0</v>
      </c>
      <c r="B1210" s="5" t="s">
        <v>6513</v>
      </c>
      <c r="C1210" s="5" t="s">
        <v>6514</v>
      </c>
      <c r="D1210" s="5" t="s">
        <v>6515</v>
      </c>
      <c r="E1210" s="6" t="s">
        <v>74</v>
      </c>
      <c r="F1210" s="6" t="s">
        <v>6516</v>
      </c>
      <c r="G1210" s="3" t="str">
        <f>IFERROR(__xludf.DUMMYFUNCTION("REGEXREPLACE(
D1210,
""([一-龯々]+)\[([^\]]+)\]"",
""&lt;ruby&gt;$1&lt;rt&gt;$2&lt;/rt&gt;&lt;/ruby&gt;""
)&amp;""&lt;br&gt;&lt;div class=""""audio""""&gt;[sound:""&amp;C1210&amp;"".mp3]&lt;/div&gt;"""),"&lt;ruby&gt;制度&lt;rt&gt;せいど&lt;/rt&gt;&lt;/ruby&gt;&lt;br&gt;&lt;div class=""audio""&gt;[sound:せいど.mp3]&lt;/div&gt;")</f>
        <v>&lt;ruby&gt;制度&lt;rt&gt;せいど&lt;/rt&gt;&lt;/ruby&gt;&lt;br&gt;&lt;div class="audio"&gt;[sound:せいど.mp3]&lt;/div&gt;</v>
      </c>
      <c r="H1210" s="3" t="str">
        <f t="shared" si="1"/>
        <v>(n): chế độ</v>
      </c>
      <c r="I1210" s="6" t="s">
        <v>6517</v>
      </c>
      <c r="J1210" s="6" t="s">
        <v>6518</v>
      </c>
      <c r="K1210" s="7">
        <f t="shared" si="2"/>
        <v>0.6933905884</v>
      </c>
    </row>
    <row r="1211">
      <c r="A1211" s="4">
        <v>1211.0</v>
      </c>
      <c r="B1211" s="5" t="s">
        <v>6519</v>
      </c>
      <c r="C1211" s="5" t="s">
        <v>6519</v>
      </c>
      <c r="D1211" s="5" t="s">
        <v>6519</v>
      </c>
      <c r="E1211" s="6" t="s">
        <v>74</v>
      </c>
      <c r="F1211" s="6" t="s">
        <v>6520</v>
      </c>
      <c r="G1211" s="3" t="str">
        <f>IFERROR(__xludf.DUMMYFUNCTION("REGEXREPLACE(
D1211,
""([一-龯々]+)\[([^\]]+)\]"",
""&lt;ruby&gt;$1&lt;rt&gt;$2&lt;/rt&gt;&lt;/ruby&gt;""
)&amp;""&lt;br&gt;&lt;div class=""""audio""""&gt;[sound:""&amp;C1211&amp;"".mp3]&lt;/div&gt;"""),"ガラス&lt;br&gt;&lt;div class=""audio""&gt;[sound:ガラス.mp3]&lt;/div&gt;")</f>
        <v>ガラス&lt;br&gt;&lt;div class="audio"&gt;[sound:ガラス.mp3]&lt;/div&gt;</v>
      </c>
      <c r="H1211" s="3" t="str">
        <f t="shared" si="1"/>
        <v>(n): thủy tinh</v>
      </c>
      <c r="I1211" s="6" t="s">
        <v>6521</v>
      </c>
      <c r="J1211" s="6" t="s">
        <v>6522</v>
      </c>
      <c r="K1211" s="7">
        <f t="shared" si="2"/>
        <v>0.3895648635</v>
      </c>
    </row>
    <row r="1212">
      <c r="A1212" s="4">
        <v>1212.0</v>
      </c>
      <c r="B1212" s="5" t="s">
        <v>6523</v>
      </c>
      <c r="C1212" s="5" t="s">
        <v>6524</v>
      </c>
      <c r="D1212" s="5" t="s">
        <v>6525</v>
      </c>
      <c r="E1212" s="6" t="s">
        <v>58</v>
      </c>
      <c r="F1212" s="6" t="s">
        <v>6526</v>
      </c>
      <c r="G1212" s="3" t="str">
        <f>IFERROR(__xludf.DUMMYFUNCTION("REGEXREPLACE(
D1212,
""([一-龯々]+)\[([^\]]+)\]"",
""&lt;ruby&gt;$1&lt;rt&gt;$2&lt;/rt&gt;&lt;/ruby&gt;""
)&amp;""&lt;br&gt;&lt;div class=""""audio""""&gt;[sound:""&amp;C1212&amp;"".mp3]&lt;/div&gt;"""),"&lt;ruby&gt;百&lt;rt&gt;ひゃく&lt;/rt&gt;&lt;/ruby&gt;&lt;br&gt;&lt;div class=""audio""&gt;[sound:ひゃく.mp3]&lt;/div&gt;")</f>
        <v>&lt;ruby&gt;百&lt;rt&gt;ひゃく&lt;/rt&gt;&lt;/ruby&gt;&lt;br&gt;&lt;div class="audio"&gt;[sound:ひゃく.mp3]&lt;/div&gt;</v>
      </c>
      <c r="H1212" s="3" t="str">
        <f t="shared" si="1"/>
        <v>(num): trăm</v>
      </c>
      <c r="I1212" s="6" t="s">
        <v>6527</v>
      </c>
      <c r="J1212" s="6" t="s">
        <v>6528</v>
      </c>
      <c r="K1212" s="7">
        <f t="shared" si="2"/>
        <v>0.6672610277</v>
      </c>
    </row>
    <row r="1213">
      <c r="A1213" s="4">
        <v>1213.0</v>
      </c>
      <c r="B1213" s="5" t="s">
        <v>6529</v>
      </c>
      <c r="C1213" s="5" t="s">
        <v>6530</v>
      </c>
      <c r="D1213" s="5" t="s">
        <v>6529</v>
      </c>
      <c r="E1213" s="6" t="s">
        <v>74</v>
      </c>
      <c r="F1213" s="6" t="s">
        <v>6531</v>
      </c>
      <c r="G1213" s="3" t="str">
        <f>IFERROR(__xludf.DUMMYFUNCTION("REGEXREPLACE(
D1213,
""([一-龯々]+)\[([^\]]+)\]"",
""&lt;ruby&gt;$1&lt;rt&gt;$2&lt;/rt&gt;&lt;/ruby&gt;""
)&amp;""&lt;br&gt;&lt;div class=""""audio""""&gt;[sound:""&amp;C1213&amp;"".mp3]&lt;/div&gt;"""),"カップ&lt;br&gt;&lt;div class=""audio""&gt;[sound:かっぷ.mp3]&lt;/div&gt;")</f>
        <v>カップ&lt;br&gt;&lt;div class="audio"&gt;[sound:かっぷ.mp3]&lt;/div&gt;</v>
      </c>
      <c r="H1213" s="3" t="str">
        <f t="shared" si="1"/>
        <v>(n): cốc</v>
      </c>
      <c r="I1213" s="6" t="s">
        <v>6532</v>
      </c>
      <c r="J1213" s="6" t="s">
        <v>6533</v>
      </c>
      <c r="K1213" s="7">
        <f t="shared" si="2"/>
        <v>0.1239766729</v>
      </c>
    </row>
    <row r="1214">
      <c r="A1214" s="4">
        <v>1214.0</v>
      </c>
      <c r="B1214" s="5" t="s">
        <v>6534</v>
      </c>
      <c r="C1214" s="5" t="s">
        <v>6534</v>
      </c>
      <c r="D1214" s="5" t="s">
        <v>6534</v>
      </c>
      <c r="E1214" s="6" t="s">
        <v>24</v>
      </c>
      <c r="F1214" s="6" t="s">
        <v>68</v>
      </c>
      <c r="G1214" s="3" t="str">
        <f>IFERROR(__xludf.DUMMYFUNCTION("REGEXREPLACE(
D1214,
""([一-龯々]+)\[([^\]]+)\]"",
""&lt;ruby&gt;$1&lt;rt&gt;$2&lt;/rt&gt;&lt;/ruby&gt;""
)&amp;""&lt;br&gt;&lt;div class=""""audio""""&gt;[sound:""&amp;C1214&amp;"".mp3]&lt;/div&gt;"""),"なさる&lt;br&gt;&lt;div class=""audio""&gt;[sound:なさる.mp3]&lt;/div&gt;")</f>
        <v>なさる&lt;br&gt;&lt;div class="audio"&gt;[sound:なさる.mp3]&lt;/div&gt;</v>
      </c>
      <c r="H1214" s="3" t="str">
        <f t="shared" si="1"/>
        <v>(v): làm</v>
      </c>
      <c r="I1214" s="6" t="s">
        <v>6535</v>
      </c>
      <c r="J1214" s="6" t="s">
        <v>6536</v>
      </c>
      <c r="K1214" s="7">
        <f t="shared" si="2"/>
        <v>0.8206167099</v>
      </c>
    </row>
    <row r="1215">
      <c r="A1215" s="4">
        <v>1215.0</v>
      </c>
      <c r="B1215" s="5" t="s">
        <v>6537</v>
      </c>
      <c r="C1215" s="5" t="s">
        <v>6538</v>
      </c>
      <c r="D1215" s="5" t="s">
        <v>6537</v>
      </c>
      <c r="E1215" s="6" t="s">
        <v>74</v>
      </c>
      <c r="F1215" s="6" t="s">
        <v>6539</v>
      </c>
      <c r="G1215" s="3" t="str">
        <f>IFERROR(__xludf.DUMMYFUNCTION("REGEXREPLACE(
D1215,
""([一-龯々]+)\[([^\]]+)\]"",
""&lt;ruby&gt;$1&lt;rt&gt;$2&lt;/rt&gt;&lt;/ruby&gt;""
)&amp;""&lt;br&gt;&lt;div class=""""audio""""&gt;[sound:""&amp;C1215&amp;"".mp3]&lt;/div&gt;"""),"ミス&lt;br&gt;&lt;div class=""audio""&gt;[sound:みす.mp3]&lt;/div&gt;")</f>
        <v>ミス&lt;br&gt;&lt;div class="audio"&gt;[sound:みす.mp3]&lt;/div&gt;</v>
      </c>
      <c r="H1215" s="3" t="str">
        <f t="shared" si="1"/>
        <v>(n): lỗi</v>
      </c>
      <c r="I1215" s="6" t="s">
        <v>6540</v>
      </c>
      <c r="J1215" s="6" t="s">
        <v>6541</v>
      </c>
      <c r="K1215" s="7">
        <f t="shared" si="2"/>
        <v>0.9253558008</v>
      </c>
    </row>
    <row r="1216">
      <c r="A1216" s="4">
        <v>1216.0</v>
      </c>
      <c r="B1216" s="5" t="s">
        <v>6542</v>
      </c>
      <c r="C1216" s="5" t="s">
        <v>6543</v>
      </c>
      <c r="D1216" s="5" t="s">
        <v>6544</v>
      </c>
      <c r="E1216" s="6" t="s">
        <v>24</v>
      </c>
      <c r="F1216" s="6" t="s">
        <v>6545</v>
      </c>
      <c r="G1216" s="3" t="str">
        <f>IFERROR(__xludf.DUMMYFUNCTION("REGEXREPLACE(
D1216,
""([一-龯々]+)\[([^\]]+)\]"",
""&lt;ruby&gt;$1&lt;rt&gt;$2&lt;/rt&gt;&lt;/ruby&gt;""
)&amp;""&lt;br&gt;&lt;div class=""""audio""""&gt;[sound:""&amp;C1216&amp;"".mp3]&lt;/div&gt;"""),"&lt;ruby&gt;指&lt;rt&gt;さ&lt;/rt&gt;&lt;/ruby&gt;す&lt;br&gt;&lt;div class=""audio""&gt;[sound:さす.mp3]&lt;/div&gt;")</f>
        <v>&lt;ruby&gt;指&lt;rt&gt;さ&lt;/rt&gt;&lt;/ruby&gt;す&lt;br&gt;&lt;div class="audio"&gt;[sound:さす.mp3]&lt;/div&gt;</v>
      </c>
      <c r="H1216" s="3" t="str">
        <f t="shared" si="1"/>
        <v>(v): chỉ</v>
      </c>
      <c r="I1216" s="6" t="s">
        <v>6546</v>
      </c>
      <c r="J1216" s="6" t="s">
        <v>6547</v>
      </c>
      <c r="K1216" s="7">
        <f t="shared" si="2"/>
        <v>0.4647236495</v>
      </c>
    </row>
    <row r="1217">
      <c r="A1217" s="4">
        <v>1217.0</v>
      </c>
      <c r="B1217" s="5" t="s">
        <v>6548</v>
      </c>
      <c r="C1217" s="5" t="s">
        <v>6549</v>
      </c>
      <c r="D1217" s="5" t="s">
        <v>6550</v>
      </c>
      <c r="E1217" s="6" t="s">
        <v>24</v>
      </c>
      <c r="F1217" s="6" t="s">
        <v>6551</v>
      </c>
      <c r="G1217" s="3" t="str">
        <f>IFERROR(__xludf.DUMMYFUNCTION("REGEXREPLACE(
D1217,
""([一-龯々]+)\[([^\]]+)\]"",
""&lt;ruby&gt;$1&lt;rt&gt;$2&lt;/rt&gt;&lt;/ruby&gt;""
)&amp;""&lt;br&gt;&lt;div class=""""audio""""&gt;[sound:""&amp;C1217&amp;"".mp3]&lt;/div&gt;"""),"&lt;ruby&gt;抱&lt;rt&gt;かか&lt;/rt&gt;&lt;/ruby&gt;える&lt;br&gt;&lt;div class=""audio""&gt;[sound:かかえる.mp3]&lt;/div&gt;")</f>
        <v>&lt;ruby&gt;抱&lt;rt&gt;かか&lt;/rt&gt;&lt;/ruby&gt;える&lt;br&gt;&lt;div class="audio"&gt;[sound:かかえる.mp3]&lt;/div&gt;</v>
      </c>
      <c r="H1217" s="3" t="str">
        <f t="shared" si="1"/>
        <v>(v): ôm</v>
      </c>
      <c r="I1217" s="6" t="s">
        <v>6552</v>
      </c>
      <c r="J1217" s="6" t="s">
        <v>6553</v>
      </c>
      <c r="K1217" s="7">
        <f t="shared" si="2"/>
        <v>0.4831162874</v>
      </c>
    </row>
    <row r="1218">
      <c r="A1218" s="4">
        <v>1218.0</v>
      </c>
      <c r="B1218" s="5" t="s">
        <v>6554</v>
      </c>
      <c r="C1218" s="5" t="s">
        <v>703</v>
      </c>
      <c r="D1218" s="5" t="s">
        <v>6555</v>
      </c>
      <c r="E1218" s="6" t="s">
        <v>74</v>
      </c>
      <c r="F1218" s="6" t="s">
        <v>109</v>
      </c>
      <c r="G1218" s="3" t="str">
        <f>IFERROR(__xludf.DUMMYFUNCTION("REGEXREPLACE(
D1218,
""([一-龯々]+)\[([^\]]+)\]"",
""&lt;ruby&gt;$1&lt;rt&gt;$2&lt;/rt&gt;&lt;/ruby&gt;""
)&amp;""&lt;br&gt;&lt;div class=""""audio""""&gt;[sound:""&amp;C1218&amp;"".mp3]&lt;/div&gt;"""),"&lt;ruby&gt;件&lt;rt&gt;けん&lt;/rt&gt;&lt;/ruby&gt;&lt;br&gt;&lt;div class=""audio""&gt;[sound:けん.mp3]&lt;/div&gt;")</f>
        <v>&lt;ruby&gt;件&lt;rt&gt;けん&lt;/rt&gt;&lt;/ruby&gt;&lt;br&gt;&lt;div class="audio"&gt;[sound:けん.mp3]&lt;/div&gt;</v>
      </c>
      <c r="H1218" s="3" t="str">
        <f t="shared" si="1"/>
        <v>(n): vấn đề</v>
      </c>
      <c r="I1218" s="6" t="s">
        <v>6556</v>
      </c>
      <c r="J1218" s="6" t="s">
        <v>6557</v>
      </c>
      <c r="K1218" s="7">
        <f t="shared" si="2"/>
        <v>0.6727515006</v>
      </c>
    </row>
    <row r="1219">
      <c r="A1219" s="4">
        <v>1219.0</v>
      </c>
      <c r="B1219" s="5" t="s">
        <v>6558</v>
      </c>
      <c r="C1219" s="5" t="s">
        <v>6559</v>
      </c>
      <c r="D1219" s="5" t="s">
        <v>6560</v>
      </c>
      <c r="E1219" s="6" t="s">
        <v>24</v>
      </c>
      <c r="F1219" s="6" t="s">
        <v>6561</v>
      </c>
      <c r="G1219" s="3" t="str">
        <f>IFERROR(__xludf.DUMMYFUNCTION("REGEXREPLACE(
D1219,
""([一-龯々]+)\[([^\]]+)\]"",
""&lt;ruby&gt;$1&lt;rt&gt;$2&lt;/rt&gt;&lt;/ruby&gt;""
)&amp;""&lt;br&gt;&lt;div class=""""audio""""&gt;[sound:""&amp;C1219&amp;"".mp3]&lt;/div&gt;"""),"&lt;ruby&gt;通&lt;rt&gt;とお&lt;/rt&gt;&lt;/ruby&gt;る&lt;br&gt;&lt;div class=""audio""&gt;[sound:とおる.mp3]&lt;/div&gt;")</f>
        <v>&lt;ruby&gt;通&lt;rt&gt;とお&lt;/rt&gt;&lt;/ruby&gt;る&lt;br&gt;&lt;div class="audio"&gt;[sound:とおる.mp3]&lt;/div&gt;</v>
      </c>
      <c r="H1219" s="3" t="str">
        <f t="shared" si="1"/>
        <v>(v): đi qua</v>
      </c>
      <c r="I1219" s="6" t="s">
        <v>6562</v>
      </c>
      <c r="J1219" s="6" t="s">
        <v>6563</v>
      </c>
      <c r="K1219" s="7">
        <f t="shared" si="2"/>
        <v>0.07675751236</v>
      </c>
    </row>
    <row r="1220">
      <c r="A1220" s="4">
        <v>1220.0</v>
      </c>
      <c r="B1220" s="5" t="s">
        <v>6564</v>
      </c>
      <c r="C1220" s="5" t="s">
        <v>6565</v>
      </c>
      <c r="D1220" s="5" t="s">
        <v>6564</v>
      </c>
      <c r="E1220" s="6" t="s">
        <v>74</v>
      </c>
      <c r="F1220" s="6" t="s">
        <v>6566</v>
      </c>
      <c r="G1220" s="3" t="str">
        <f>IFERROR(__xludf.DUMMYFUNCTION("REGEXREPLACE(
D1220,
""([一-龯々]+)\[([^\]]+)\]"",
""&lt;ruby&gt;$1&lt;rt&gt;$2&lt;/rt&gt;&lt;/ruby&gt;""
)&amp;""&lt;br&gt;&lt;div class=""""audio""""&gt;[sound:""&amp;C1220&amp;"".mp3]&lt;/div&gt;"""),"パンツ&lt;br&gt;&lt;div class=""audio""&gt;[sound:ぱんつ.mp3]&lt;/div&gt;")</f>
        <v>パンツ&lt;br&gt;&lt;div class="audio"&gt;[sound:ぱんつ.mp3]&lt;/div&gt;</v>
      </c>
      <c r="H1220" s="3" t="str">
        <f t="shared" si="1"/>
        <v>(n): quần</v>
      </c>
      <c r="I1220" s="6" t="s">
        <v>6567</v>
      </c>
      <c r="J1220" s="6" t="s">
        <v>6568</v>
      </c>
      <c r="K1220" s="7">
        <f t="shared" si="2"/>
        <v>0.07458797773</v>
      </c>
    </row>
    <row r="1221">
      <c r="A1221" s="4">
        <v>1221.0</v>
      </c>
      <c r="B1221" s="5" t="s">
        <v>6569</v>
      </c>
      <c r="C1221" s="5" t="s">
        <v>6570</v>
      </c>
      <c r="D1221" s="5" t="s">
        <v>6569</v>
      </c>
      <c r="E1221" s="6" t="s">
        <v>74</v>
      </c>
      <c r="F1221" s="6" t="s">
        <v>6571</v>
      </c>
      <c r="G1221" s="3" t="str">
        <f>IFERROR(__xludf.DUMMYFUNCTION("REGEXREPLACE(
D1221,
""([一-龯々]+)\[([^\]]+)\]"",
""&lt;ruby&gt;$1&lt;rt&gt;$2&lt;/rt&gt;&lt;/ruby&gt;""
)&amp;""&lt;br&gt;&lt;div class=""""audio""""&gt;[sound:""&amp;C1221&amp;"".mp3]&lt;/div&gt;"""),"セット&lt;br&gt;&lt;div class=""audio""&gt;[sound:せっと.mp3]&lt;/div&gt;")</f>
        <v>セット&lt;br&gt;&lt;div class="audio"&gt;[sound:せっと.mp3]&lt;/div&gt;</v>
      </c>
      <c r="H1221" s="3" t="str">
        <f t="shared" si="1"/>
        <v>(n): bộ</v>
      </c>
      <c r="I1221" s="6" t="s">
        <v>6572</v>
      </c>
      <c r="J1221" s="6" t="s">
        <v>6573</v>
      </c>
      <c r="K1221" s="7">
        <f t="shared" si="2"/>
        <v>0.660967386</v>
      </c>
    </row>
    <row r="1222">
      <c r="A1222" s="4">
        <v>1222.0</v>
      </c>
      <c r="B1222" s="5" t="s">
        <v>6574</v>
      </c>
      <c r="C1222" s="5" t="s">
        <v>6575</v>
      </c>
      <c r="D1222" s="5" t="s">
        <v>6576</v>
      </c>
      <c r="E1222" s="6" t="s">
        <v>74</v>
      </c>
      <c r="F1222" s="6" t="s">
        <v>6577</v>
      </c>
      <c r="G1222" s="3" t="str">
        <f>IFERROR(__xludf.DUMMYFUNCTION("REGEXREPLACE(
D1222,
""([一-龯々]+)\[([^\]]+)\]"",
""&lt;ruby&gt;$1&lt;rt&gt;$2&lt;/rt&gt;&lt;/ruby&gt;""
)&amp;""&lt;br&gt;&lt;div class=""""audio""""&gt;[sound:""&amp;C1222&amp;"".mp3]&lt;/div&gt;"""),"&lt;ruby&gt;以来&lt;rt&gt;いらい&lt;/rt&gt;&lt;/ruby&gt;&lt;br&gt;&lt;div class=""audio""&gt;[sound:いらい.mp3]&lt;/div&gt;")</f>
        <v>&lt;ruby&gt;以来&lt;rt&gt;いらい&lt;/rt&gt;&lt;/ruby&gt;&lt;br&gt;&lt;div class="audio"&gt;[sound:いらい.mp3]&lt;/div&gt;</v>
      </c>
      <c r="H1222" s="3" t="str">
        <f t="shared" si="1"/>
        <v>(n): kể từ đó</v>
      </c>
      <c r="I1222" s="6" t="s">
        <v>6578</v>
      </c>
      <c r="J1222" s="6" t="s">
        <v>6579</v>
      </c>
      <c r="K1222" s="7">
        <f t="shared" si="2"/>
        <v>0.6081873026</v>
      </c>
    </row>
    <row r="1223">
      <c r="A1223" s="4">
        <v>1223.0</v>
      </c>
      <c r="B1223" s="5" t="s">
        <v>6580</v>
      </c>
      <c r="C1223" s="5" t="s">
        <v>6581</v>
      </c>
      <c r="D1223" s="5" t="s">
        <v>6580</v>
      </c>
      <c r="E1223" s="6" t="s">
        <v>74</v>
      </c>
      <c r="F1223" s="6" t="s">
        <v>6582</v>
      </c>
      <c r="G1223" s="3" t="str">
        <f>IFERROR(__xludf.DUMMYFUNCTION("REGEXREPLACE(
D1223,
""([一-龯々]+)\[([^\]]+)\]"",
""&lt;ruby&gt;$1&lt;rt&gt;$2&lt;/rt&gt;&lt;/ruby&gt;""
)&amp;""&lt;br&gt;&lt;div class=""""audio""""&gt;[sound:""&amp;C1223&amp;"".mp3]&lt;/div&gt;"""),"タクシー&lt;br&gt;&lt;div class=""audio""&gt;[sound:たくしー.mp3]&lt;/div&gt;")</f>
        <v>タクシー&lt;br&gt;&lt;div class="audio"&gt;[sound:たくしー.mp3]&lt;/div&gt;</v>
      </c>
      <c r="H1223" s="3" t="str">
        <f t="shared" si="1"/>
        <v>(n): xe taxi</v>
      </c>
      <c r="I1223" s="6" t="s">
        <v>6583</v>
      </c>
      <c r="J1223" s="6" t="s">
        <v>6584</v>
      </c>
      <c r="K1223" s="7">
        <f t="shared" si="2"/>
        <v>0.08190589043</v>
      </c>
    </row>
    <row r="1224">
      <c r="A1224" s="4">
        <v>1224.0</v>
      </c>
      <c r="B1224" s="5" t="s">
        <v>6585</v>
      </c>
      <c r="C1224" s="5" t="s">
        <v>6585</v>
      </c>
      <c r="D1224" s="5" t="s">
        <v>6585</v>
      </c>
      <c r="E1224" s="6" t="s">
        <v>85</v>
      </c>
      <c r="F1224" s="6" t="s">
        <v>6586</v>
      </c>
      <c r="G1224" s="3" t="str">
        <f>IFERROR(__xludf.DUMMYFUNCTION("REGEXREPLACE(
D1224,
""([一-龯々]+)\[([^\]]+)\]"",
""&lt;ruby&gt;$1&lt;rt&gt;$2&lt;/rt&gt;&lt;/ruby&gt;""
)&amp;""&lt;br&gt;&lt;div class=""""audio""""&gt;[sound:""&amp;C1224&amp;"".mp3]&lt;/div&gt;"""),"まっすぐ&lt;br&gt;&lt;div class=""audio""&gt;[sound:まっすぐ.mp3]&lt;/div&gt;")</f>
        <v>まっすぐ&lt;br&gt;&lt;div class="audio"&gt;[sound:まっすぐ.mp3]&lt;/div&gt;</v>
      </c>
      <c r="H1224" s="3" t="str">
        <f t="shared" si="1"/>
        <v>(adv): thẳng</v>
      </c>
      <c r="I1224" s="6" t="s">
        <v>6587</v>
      </c>
      <c r="J1224" s="6" t="s">
        <v>6588</v>
      </c>
      <c r="K1224" s="7">
        <f t="shared" si="2"/>
        <v>0.5850125287</v>
      </c>
    </row>
    <row r="1225">
      <c r="A1225" s="4">
        <v>1225.0</v>
      </c>
      <c r="B1225" s="5" t="s">
        <v>6589</v>
      </c>
      <c r="C1225" s="5" t="s">
        <v>6590</v>
      </c>
      <c r="D1225" s="5" t="s">
        <v>6589</v>
      </c>
      <c r="E1225" s="6" t="s">
        <v>74</v>
      </c>
      <c r="F1225" s="6" t="s">
        <v>6591</v>
      </c>
      <c r="G1225" s="3" t="str">
        <f>IFERROR(__xludf.DUMMYFUNCTION("REGEXREPLACE(
D1225,
""([一-龯々]+)\[([^\]]+)\]"",
""&lt;ruby&gt;$1&lt;rt&gt;$2&lt;/rt&gt;&lt;/ruby&gt;""
)&amp;""&lt;br&gt;&lt;div class=""""audio""""&gt;[sound:""&amp;C1225&amp;"".mp3]&lt;/div&gt;"""),"カーテン&lt;br&gt;&lt;div class=""audio""&gt;[sound:かーてん.mp3]&lt;/div&gt;")</f>
        <v>カーテン&lt;br&gt;&lt;div class="audio"&gt;[sound:かーてん.mp3]&lt;/div&gt;</v>
      </c>
      <c r="H1225" s="3" t="str">
        <f t="shared" si="1"/>
        <v>(n): rèm</v>
      </c>
      <c r="I1225" s="6" t="s">
        <v>6592</v>
      </c>
      <c r="J1225" s="6" t="s">
        <v>6593</v>
      </c>
      <c r="K1225" s="7">
        <f t="shared" si="2"/>
        <v>0.8231247039</v>
      </c>
    </row>
    <row r="1226">
      <c r="A1226" s="4">
        <v>1226.0</v>
      </c>
      <c r="B1226" s="5" t="s">
        <v>6594</v>
      </c>
      <c r="C1226" s="5" t="s">
        <v>6595</v>
      </c>
      <c r="D1226" s="5" t="s">
        <v>6594</v>
      </c>
      <c r="E1226" s="6" t="s">
        <v>74</v>
      </c>
      <c r="F1226" s="6" t="s">
        <v>6596</v>
      </c>
      <c r="G1226" s="3" t="str">
        <f>IFERROR(__xludf.DUMMYFUNCTION("REGEXREPLACE(
D1226,
""([一-龯々]+)\[([^\]]+)\]"",
""&lt;ruby&gt;$1&lt;rt&gt;$2&lt;/rt&gt;&lt;/ruby&gt;""
)&amp;""&lt;br&gt;&lt;div class=""""audio""""&gt;[sound:""&amp;C1226&amp;"".mp3]&lt;/div&gt;"""),"ガス&lt;br&gt;&lt;div class=""audio""&gt;[sound:がす.mp3]&lt;/div&gt;")</f>
        <v>ガス&lt;br&gt;&lt;div class="audio"&gt;[sound:がす.mp3]&lt;/div&gt;</v>
      </c>
      <c r="H1226" s="3" t="str">
        <f t="shared" si="1"/>
        <v>(n): gas</v>
      </c>
      <c r="I1226" s="6" t="s">
        <v>6597</v>
      </c>
      <c r="J1226" s="6" t="s">
        <v>6598</v>
      </c>
      <c r="K1226" s="7">
        <f t="shared" si="2"/>
        <v>0.4544344372</v>
      </c>
    </row>
    <row r="1227">
      <c r="A1227" s="4">
        <v>1227.0</v>
      </c>
      <c r="B1227" s="5" t="s">
        <v>6599</v>
      </c>
      <c r="C1227" s="5" t="s">
        <v>454</v>
      </c>
      <c r="D1227" s="5" t="s">
        <v>6600</v>
      </c>
      <c r="E1227" s="6" t="s">
        <v>74</v>
      </c>
      <c r="F1227" s="6" t="s">
        <v>6601</v>
      </c>
      <c r="G1227" s="3" t="str">
        <f>IFERROR(__xludf.DUMMYFUNCTION("REGEXREPLACE(
D1227,
""([一-龯々]+)\[([^\]]+)\]"",
""&lt;ruby&gt;$1&lt;rt&gt;$2&lt;/rt&gt;&lt;/ruby&gt;""
)&amp;""&lt;br&gt;&lt;div class=""""audio""""&gt;[sound:""&amp;C1227&amp;"".mp3]&lt;/div&gt;"""),"&lt;ruby&gt;火&lt;rt&gt;ひ&lt;/rt&gt;&lt;/ruby&gt;&lt;br&gt;&lt;div class=""audio""&gt;[sound:ひ.mp3]&lt;/div&gt;")</f>
        <v>&lt;ruby&gt;火&lt;rt&gt;ひ&lt;/rt&gt;&lt;/ruby&gt;&lt;br&gt;&lt;div class="audio"&gt;[sound:ひ.mp3]&lt;/div&gt;</v>
      </c>
      <c r="H1227" s="3" t="str">
        <f t="shared" si="1"/>
        <v>(n): lửa</v>
      </c>
      <c r="I1227" s="6" t="s">
        <v>6602</v>
      </c>
      <c r="J1227" s="6" t="s">
        <v>6603</v>
      </c>
      <c r="K1227" s="7">
        <f t="shared" si="2"/>
        <v>0.4388445578</v>
      </c>
    </row>
    <row r="1228">
      <c r="A1228" s="4">
        <v>1228.0</v>
      </c>
      <c r="B1228" s="5" t="s">
        <v>6604</v>
      </c>
      <c r="C1228" s="5" t="s">
        <v>6605</v>
      </c>
      <c r="D1228" s="5" t="s">
        <v>6606</v>
      </c>
      <c r="E1228" s="6" t="s">
        <v>24</v>
      </c>
      <c r="F1228" s="6" t="s">
        <v>5982</v>
      </c>
      <c r="G1228" s="3" t="str">
        <f>IFERROR(__xludf.DUMMYFUNCTION("REGEXREPLACE(
D1228,
""([一-龯々]+)\[([^\]]+)\]"",
""&lt;ruby&gt;$1&lt;rt&gt;$2&lt;/rt&gt;&lt;/ruby&gt;""
)&amp;""&lt;br&gt;&lt;div class=""""audio""""&gt;[sound:""&amp;C1228&amp;"".mp3]&lt;/div&gt;"""),"&lt;ruby&gt;返&lt;rt&gt;かえ&lt;/rt&gt;&lt;/ruby&gt;す&lt;br&gt;&lt;div class=""audio""&gt;[sound:かえす.mp3]&lt;/div&gt;")</f>
        <v>&lt;ruby&gt;返&lt;rt&gt;かえ&lt;/rt&gt;&lt;/ruby&gt;す&lt;br&gt;&lt;div class="audio"&gt;[sound:かえす.mp3]&lt;/div&gt;</v>
      </c>
      <c r="H1228" s="3" t="str">
        <f t="shared" si="1"/>
        <v>(v): trả</v>
      </c>
      <c r="I1228" s="6" t="s">
        <v>6607</v>
      </c>
      <c r="J1228" s="6" t="s">
        <v>6608</v>
      </c>
      <c r="K1228" s="7">
        <f t="shared" si="2"/>
        <v>0.09557126923</v>
      </c>
    </row>
    <row r="1229">
      <c r="A1229" s="4">
        <v>1229.0</v>
      </c>
      <c r="B1229" s="5" t="s">
        <v>6609</v>
      </c>
      <c r="C1229" s="5" t="s">
        <v>6610</v>
      </c>
      <c r="D1229" s="5" t="s">
        <v>6611</v>
      </c>
      <c r="E1229" s="6" t="s">
        <v>74</v>
      </c>
      <c r="F1229" s="6" t="s">
        <v>6612</v>
      </c>
      <c r="G1229" s="3" t="str">
        <f>IFERROR(__xludf.DUMMYFUNCTION("REGEXREPLACE(
D1229,
""([一-龯々]+)\[([^\]]+)\]"",
""&lt;ruby&gt;$1&lt;rt&gt;$2&lt;/rt&gt;&lt;/ruby&gt;""
)&amp;""&lt;br&gt;&lt;div class=""""audio""""&gt;[sound:""&amp;C1229&amp;"".mp3]&lt;/div&gt;"""),"&lt;ruby&gt;指&lt;rt&gt;ゆび&lt;/rt&gt;&lt;/ruby&gt;&lt;br&gt;&lt;div class=""audio""&gt;[sound:ゆび.mp3]&lt;/div&gt;")</f>
        <v>&lt;ruby&gt;指&lt;rt&gt;ゆび&lt;/rt&gt;&lt;/ruby&gt;&lt;br&gt;&lt;div class="audio"&gt;[sound:ゆび.mp3]&lt;/div&gt;</v>
      </c>
      <c r="H1229" s="3" t="str">
        <f t="shared" si="1"/>
        <v>(n): ngón tay</v>
      </c>
      <c r="I1229" s="6" t="s">
        <v>6613</v>
      </c>
      <c r="J1229" s="6" t="s">
        <v>6614</v>
      </c>
      <c r="K1229" s="7">
        <f t="shared" si="2"/>
        <v>0.08651237579</v>
      </c>
    </row>
    <row r="1230">
      <c r="A1230" s="4">
        <v>1230.0</v>
      </c>
      <c r="B1230" s="5" t="s">
        <v>6615</v>
      </c>
      <c r="C1230" s="5" t="s">
        <v>6615</v>
      </c>
      <c r="D1230" s="5" t="s">
        <v>6615</v>
      </c>
      <c r="E1230" s="6" t="s">
        <v>74</v>
      </c>
      <c r="F1230" s="6" t="s">
        <v>6616</v>
      </c>
      <c r="G1230" s="3" t="str">
        <f>IFERROR(__xludf.DUMMYFUNCTION("REGEXREPLACE(
D1230,
""([一-龯々]+)\[([^\]]+)\]"",
""&lt;ruby&gt;$1&lt;rt&gt;$2&lt;/rt&gt;&lt;/ruby&gt;""
)&amp;""&lt;br&gt;&lt;div class=""""audio""""&gt;[sound:""&amp;C1230&amp;"".mp3]&lt;/div&gt;"""),"ごみ&lt;br&gt;&lt;div class=""audio""&gt;[sound:ごみ.mp3]&lt;/div&gt;")</f>
        <v>ごみ&lt;br&gt;&lt;div class="audio"&gt;[sound:ごみ.mp3]&lt;/div&gt;</v>
      </c>
      <c r="H1230" s="3" t="str">
        <f t="shared" si="1"/>
        <v>(n): rác</v>
      </c>
      <c r="I1230" s="6" t="s">
        <v>6617</v>
      </c>
      <c r="J1230" s="6" t="s">
        <v>6618</v>
      </c>
      <c r="K1230" s="7">
        <f t="shared" si="2"/>
        <v>0.9080058098</v>
      </c>
    </row>
    <row r="1231">
      <c r="A1231" s="4">
        <v>1231.0</v>
      </c>
      <c r="B1231" s="5" t="s">
        <v>6619</v>
      </c>
      <c r="C1231" s="5" t="s">
        <v>6620</v>
      </c>
      <c r="D1231" s="5" t="s">
        <v>6621</v>
      </c>
      <c r="E1231" s="6" t="s">
        <v>24</v>
      </c>
      <c r="F1231" s="6" t="s">
        <v>6622</v>
      </c>
      <c r="G1231" s="3" t="str">
        <f>IFERROR(__xludf.DUMMYFUNCTION("REGEXREPLACE(
D1231,
""([一-龯々]+)\[([^\]]+)\]"",
""&lt;ruby&gt;$1&lt;rt&gt;$2&lt;/rt&gt;&lt;/ruby&gt;""
)&amp;""&lt;br&gt;&lt;div class=""""audio""""&gt;[sound:""&amp;C1231&amp;"".mp3]&lt;/div&gt;"""),"&lt;ruby&gt;上&lt;rt&gt;のぼ&lt;/rt&gt;&lt;/ruby&gt;る&lt;br&gt;&lt;div class=""audio""&gt;[sound:のぼる.mp3]&lt;/div&gt;")</f>
        <v>&lt;ruby&gt;上&lt;rt&gt;のぼ&lt;/rt&gt;&lt;/ruby&gt;る&lt;br&gt;&lt;div class="audio"&gt;[sound:のぼる.mp3]&lt;/div&gt;</v>
      </c>
      <c r="H1231" s="3" t="str">
        <f t="shared" si="1"/>
        <v>(v): leo</v>
      </c>
      <c r="I1231" s="6" t="s">
        <v>6623</v>
      </c>
      <c r="J1231" s="6" t="s">
        <v>1374</v>
      </c>
      <c r="K1231" s="7">
        <f t="shared" si="2"/>
        <v>0.0355140426</v>
      </c>
    </row>
    <row r="1232">
      <c r="A1232" s="4">
        <v>1232.0</v>
      </c>
      <c r="B1232" s="5" t="s">
        <v>6624</v>
      </c>
      <c r="C1232" s="5" t="s">
        <v>6625</v>
      </c>
      <c r="D1232" s="5" t="s">
        <v>6626</v>
      </c>
      <c r="E1232" s="6" t="s">
        <v>74</v>
      </c>
      <c r="F1232" s="6" t="s">
        <v>6627</v>
      </c>
      <c r="G1232" s="3" t="str">
        <f>IFERROR(__xludf.DUMMYFUNCTION("REGEXREPLACE(
D1232,
""([一-龯々]+)\[([^\]]+)\]"",
""&lt;ruby&gt;$1&lt;rt&gt;$2&lt;/rt&gt;&lt;/ruby&gt;""
)&amp;""&lt;br&gt;&lt;div class=""""audio""""&gt;[sound:""&amp;C1232&amp;"".mp3]&lt;/div&gt;"""),"&lt;ruby&gt;手紙&lt;rt&gt;てがみ&lt;/rt&gt;&lt;/ruby&gt;&lt;br&gt;&lt;div class=""audio""&gt;[sound:てがみ.mp3]&lt;/div&gt;")</f>
        <v>&lt;ruby&gt;手紙&lt;rt&gt;てがみ&lt;/rt&gt;&lt;/ruby&gt;&lt;br&gt;&lt;div class="audio"&gt;[sound:てがみ.mp3]&lt;/div&gt;</v>
      </c>
      <c r="H1232" s="3" t="str">
        <f t="shared" si="1"/>
        <v>(n): thư</v>
      </c>
      <c r="I1232" s="6" t="s">
        <v>6628</v>
      </c>
      <c r="J1232" s="6" t="s">
        <v>6629</v>
      </c>
      <c r="K1232" s="7">
        <f t="shared" si="2"/>
        <v>0.07622789717</v>
      </c>
    </row>
    <row r="1233">
      <c r="A1233" s="4">
        <v>1233.0</v>
      </c>
      <c r="B1233" s="5" t="s">
        <v>6630</v>
      </c>
      <c r="C1233" s="5" t="s">
        <v>6631</v>
      </c>
      <c r="D1233" s="5" t="s">
        <v>6630</v>
      </c>
      <c r="E1233" s="6" t="s">
        <v>74</v>
      </c>
      <c r="F1233" s="6" t="s">
        <v>6632</v>
      </c>
      <c r="G1233" s="3" t="str">
        <f>IFERROR(__xludf.DUMMYFUNCTION("REGEXREPLACE(
D1233,
""([一-龯々]+)\[([^\]]+)\]"",
""&lt;ruby&gt;$1&lt;rt&gt;$2&lt;/rt&gt;&lt;/ruby&gt;""
)&amp;""&lt;br&gt;&lt;div class=""""audio""""&gt;[sound:""&amp;C1233&amp;"".mp3]&lt;/div&gt;"""),"ドア&lt;br&gt;&lt;div class=""audio""&gt;[sound:どあ.mp3]&lt;/div&gt;")</f>
        <v>ドア&lt;br&gt;&lt;div class="audio"&gt;[sound:どあ.mp3]&lt;/div&gt;</v>
      </c>
      <c r="H1233" s="3" t="str">
        <f t="shared" si="1"/>
        <v>(n): cửa</v>
      </c>
      <c r="I1233" s="6" t="s">
        <v>6633</v>
      </c>
      <c r="J1233" s="6" t="s">
        <v>6634</v>
      </c>
      <c r="K1233" s="7">
        <f t="shared" si="2"/>
        <v>0.6235730313</v>
      </c>
    </row>
    <row r="1234">
      <c r="A1234" s="4">
        <v>1234.0</v>
      </c>
      <c r="B1234" s="5" t="s">
        <v>6635</v>
      </c>
      <c r="C1234" s="5" t="s">
        <v>6636</v>
      </c>
      <c r="D1234" s="5" t="s">
        <v>6637</v>
      </c>
      <c r="E1234" s="6" t="s">
        <v>11</v>
      </c>
      <c r="F1234" s="6" t="s">
        <v>6638</v>
      </c>
      <c r="G1234" s="3" t="str">
        <f>IFERROR(__xludf.DUMMYFUNCTION("REGEXREPLACE(
D1234,
""([一-龯々]+)\[([^\]]+)\]"",
""&lt;ruby&gt;$1&lt;rt&gt;$2&lt;/rt&gt;&lt;/ruby&gt;""
)&amp;""&lt;br&gt;&lt;div class=""""audio""""&gt;[sound:""&amp;C1234&amp;"".mp3]&lt;/div&gt;"""),"&lt;ruby&gt;下手&lt;rt&gt;へた&lt;/rt&gt;&lt;/ruby&gt;&lt;br&gt;&lt;div class=""audio""&gt;[sound:へた.mp3]&lt;/div&gt;")</f>
        <v>&lt;ruby&gt;下手&lt;rt&gt;へた&lt;/rt&gt;&lt;/ruby&gt;&lt;br&gt;&lt;div class="audio"&gt;[sound:へた.mp3]&lt;/div&gt;</v>
      </c>
      <c r="H1234" s="3" t="str">
        <f t="shared" si="1"/>
        <v>(adj): kém</v>
      </c>
      <c r="I1234" s="6" t="s">
        <v>6639</v>
      </c>
      <c r="J1234" s="6" t="s">
        <v>6640</v>
      </c>
      <c r="K1234" s="7">
        <f t="shared" si="2"/>
        <v>0.1357832879</v>
      </c>
    </row>
    <row r="1235">
      <c r="A1235" s="4">
        <v>1235.0</v>
      </c>
      <c r="B1235" s="5" t="s">
        <v>6641</v>
      </c>
      <c r="C1235" s="5" t="s">
        <v>6642</v>
      </c>
      <c r="D1235" s="5" t="s">
        <v>6643</v>
      </c>
      <c r="E1235" s="6" t="s">
        <v>24</v>
      </c>
      <c r="F1235" s="6" t="s">
        <v>6644</v>
      </c>
      <c r="G1235" s="3" t="str">
        <f>IFERROR(__xludf.DUMMYFUNCTION("REGEXREPLACE(
D1235,
""([一-龯々]+)\[([^\]]+)\]"",
""&lt;ruby&gt;$1&lt;rt&gt;$2&lt;/rt&gt;&lt;/ruby&gt;""
)&amp;""&lt;br&gt;&lt;div class=""""audio""""&gt;[sound:""&amp;C1235&amp;"".mp3]&lt;/div&gt;"""),"&lt;ruby&gt;抜&lt;rt&gt;ぬ&lt;/rt&gt;&lt;/ruby&gt;く&lt;br&gt;&lt;div class=""audio""&gt;[sound:ぬく.mp3]&lt;/div&gt;")</f>
        <v>&lt;ruby&gt;抜&lt;rt&gt;ぬ&lt;/rt&gt;&lt;/ruby&gt;く&lt;br&gt;&lt;div class="audio"&gt;[sound:ぬく.mp3]&lt;/div&gt;</v>
      </c>
      <c r="H1235" s="3" t="str">
        <f t="shared" si="1"/>
        <v>(v): nhổ</v>
      </c>
      <c r="I1235" s="6" t="s">
        <v>6645</v>
      </c>
      <c r="J1235" s="6" t="s">
        <v>6646</v>
      </c>
      <c r="K1235" s="7">
        <f t="shared" si="2"/>
        <v>0.2287892812</v>
      </c>
    </row>
    <row r="1236">
      <c r="A1236" s="4">
        <v>1236.0</v>
      </c>
      <c r="B1236" s="5" t="s">
        <v>6647</v>
      </c>
      <c r="C1236" s="5" t="s">
        <v>6648</v>
      </c>
      <c r="D1236" s="5" t="s">
        <v>6649</v>
      </c>
      <c r="E1236" s="6" t="s">
        <v>74</v>
      </c>
      <c r="F1236" s="6" t="s">
        <v>6650</v>
      </c>
      <c r="G1236" s="3" t="str">
        <f>IFERROR(__xludf.DUMMYFUNCTION("REGEXREPLACE(
D1236,
""([一-龯々]+)\[([^\]]+)\]"",
""&lt;ruby&gt;$1&lt;rt&gt;$2&lt;/rt&gt;&lt;/ruby&gt;""
)&amp;""&lt;br&gt;&lt;div class=""""audio""""&gt;[sound:""&amp;C1236&amp;"".mp3]&lt;/div&gt;"""),"&lt;ruby&gt;与党&lt;rt&gt;よとう&lt;/rt&gt;&lt;/ruby&gt;&lt;br&gt;&lt;div class=""audio""&gt;[sound:よとう.mp3]&lt;/div&gt;")</f>
        <v>&lt;ruby&gt;与党&lt;rt&gt;よとう&lt;/rt&gt;&lt;/ruby&gt;&lt;br&gt;&lt;div class="audio"&gt;[sound:よとう.mp3]&lt;/div&gt;</v>
      </c>
      <c r="H1236" s="3" t="str">
        <f t="shared" si="1"/>
        <v>(n): đảng cầm quyền</v>
      </c>
      <c r="I1236" s="6" t="s">
        <v>6651</v>
      </c>
      <c r="J1236" s="6" t="s">
        <v>6652</v>
      </c>
      <c r="K1236" s="7">
        <f t="shared" si="2"/>
        <v>0.9393429382</v>
      </c>
    </row>
    <row r="1237">
      <c r="A1237" s="4">
        <v>1237.0</v>
      </c>
      <c r="B1237" s="5" t="s">
        <v>6653</v>
      </c>
      <c r="C1237" s="5" t="s">
        <v>6654</v>
      </c>
      <c r="D1237" s="5" t="s">
        <v>6655</v>
      </c>
      <c r="E1237" s="6" t="s">
        <v>74</v>
      </c>
      <c r="F1237" s="6" t="s">
        <v>6656</v>
      </c>
      <c r="G1237" s="3" t="str">
        <f>IFERROR(__xludf.DUMMYFUNCTION("REGEXREPLACE(
D1237,
""([一-龯々]+)\[([^\]]+)\]"",
""&lt;ruby&gt;$1&lt;rt&gt;$2&lt;/rt&gt;&lt;/ruby&gt;""
)&amp;""&lt;br&gt;&lt;div class=""""audio""""&gt;[sound:""&amp;C1237&amp;"".mp3]&lt;/div&gt;"""),"&lt;ruby&gt;主人公&lt;rt&gt;しゅじんこう&lt;/rt&gt;&lt;/ruby&gt;&lt;br&gt;&lt;div class=""audio""&gt;[sound:しゅじんこう.mp3]&lt;/div&gt;")</f>
        <v>&lt;ruby&gt;主人公&lt;rt&gt;しゅじんこう&lt;/rt&gt;&lt;/ruby&gt;&lt;br&gt;&lt;div class="audio"&gt;[sound:しゅじんこう.mp3]&lt;/div&gt;</v>
      </c>
      <c r="H1237" s="3" t="str">
        <f t="shared" si="1"/>
        <v>(n): nhân vật chính</v>
      </c>
      <c r="I1237" s="6" t="s">
        <v>6657</v>
      </c>
      <c r="J1237" s="6" t="s">
        <v>6658</v>
      </c>
      <c r="K1237" s="7">
        <f t="shared" si="2"/>
        <v>0.4986621293</v>
      </c>
    </row>
    <row r="1238">
      <c r="A1238" s="4">
        <v>1238.0</v>
      </c>
      <c r="B1238" s="5" t="s">
        <v>6659</v>
      </c>
      <c r="C1238" s="5" t="s">
        <v>6660</v>
      </c>
      <c r="D1238" s="5" t="s">
        <v>6661</v>
      </c>
      <c r="E1238" s="6" t="s">
        <v>74</v>
      </c>
      <c r="F1238" s="6" t="s">
        <v>6662</v>
      </c>
      <c r="G1238" s="3" t="str">
        <f>IFERROR(__xludf.DUMMYFUNCTION("REGEXREPLACE(
D1238,
""([一-龯々]+)\[([^\]]+)\]"",
""&lt;ruby&gt;$1&lt;rt&gt;$2&lt;/rt&gt;&lt;/ruby&gt;""
)&amp;""&lt;br&gt;&lt;div class=""""audio""""&gt;[sound:""&amp;C1238&amp;"".mp3]&lt;/div&gt;"""),"&lt;ruby&gt;革命&lt;rt&gt;かくめい&lt;/rt&gt;&lt;/ruby&gt;&lt;br&gt;&lt;div class=""audio""&gt;[sound:かくめい.mp3]&lt;/div&gt;")</f>
        <v>&lt;ruby&gt;革命&lt;rt&gt;かくめい&lt;/rt&gt;&lt;/ruby&gt;&lt;br&gt;&lt;div class="audio"&gt;[sound:かくめい.mp3]&lt;/div&gt;</v>
      </c>
      <c r="H1238" s="3" t="str">
        <f t="shared" si="1"/>
        <v>(n): cuộc cách mạng</v>
      </c>
      <c r="I1238" s="6" t="s">
        <v>6663</v>
      </c>
      <c r="J1238" s="6" t="s">
        <v>6664</v>
      </c>
      <c r="K1238" s="7">
        <f t="shared" si="2"/>
        <v>0.7037510393</v>
      </c>
    </row>
    <row r="1239">
      <c r="A1239" s="4">
        <v>1239.0</v>
      </c>
      <c r="B1239" s="5" t="s">
        <v>6665</v>
      </c>
      <c r="C1239" s="5" t="s">
        <v>6666</v>
      </c>
      <c r="D1239" s="5" t="s">
        <v>6667</v>
      </c>
      <c r="E1239" s="6" t="s">
        <v>74</v>
      </c>
      <c r="F1239" s="6" t="s">
        <v>6668</v>
      </c>
      <c r="G1239" s="3" t="str">
        <f>IFERROR(__xludf.DUMMYFUNCTION("REGEXREPLACE(
D1239,
""([一-龯々]+)\[([^\]]+)\]"",
""&lt;ruby&gt;$1&lt;rt&gt;$2&lt;/rt&gt;&lt;/ruby&gt;""
)&amp;""&lt;br&gt;&lt;div class=""""audio""""&gt;[sound:""&amp;C1239&amp;"".mp3]&lt;/div&gt;"""),"&lt;ruby&gt;出演&lt;rt&gt;しゅつえん&lt;/rt&gt;&lt;/ruby&gt;&lt;br&gt;&lt;div class=""audio""&gt;[sound:しゅつえん.mp3]&lt;/div&gt;")</f>
        <v>&lt;ruby&gt;出演&lt;rt&gt;しゅつえん&lt;/rt&gt;&lt;/ruby&gt;&lt;br&gt;&lt;div class="audio"&gt;[sound:しゅつえん.mp3]&lt;/div&gt;</v>
      </c>
      <c r="H1239" s="3" t="str">
        <f t="shared" si="1"/>
        <v>(n): sự trình diễn</v>
      </c>
      <c r="I1239" s="6" t="s">
        <v>6669</v>
      </c>
      <c r="J1239" s="6" t="s">
        <v>6670</v>
      </c>
      <c r="K1239" s="7">
        <f t="shared" si="2"/>
        <v>0.3561158653</v>
      </c>
    </row>
    <row r="1240">
      <c r="A1240" s="4">
        <v>1240.0</v>
      </c>
      <c r="B1240" s="5" t="s">
        <v>6671</v>
      </c>
      <c r="C1240" s="5" t="s">
        <v>6672</v>
      </c>
      <c r="D1240" s="5" t="s">
        <v>6673</v>
      </c>
      <c r="E1240" s="6" t="s">
        <v>74</v>
      </c>
      <c r="F1240" s="6" t="s">
        <v>6674</v>
      </c>
      <c r="G1240" s="3" t="str">
        <f>IFERROR(__xludf.DUMMYFUNCTION("REGEXREPLACE(
D1240,
""([一-龯々]+)\[([^\]]+)\]"",
""&lt;ruby&gt;$1&lt;rt&gt;$2&lt;/rt&gt;&lt;/ruby&gt;""
)&amp;""&lt;br&gt;&lt;div class=""""audio""""&gt;[sound:""&amp;C1240&amp;"".mp3]&lt;/div&gt;"""),"&lt;ruby&gt;格差&lt;rt&gt;かくさ&lt;/rt&gt;&lt;/ruby&gt;&lt;br&gt;&lt;div class=""audio""&gt;[sound:かくさ.mp3]&lt;/div&gt;")</f>
        <v>&lt;ruby&gt;格差&lt;rt&gt;かくさ&lt;/rt&gt;&lt;/ruby&gt;&lt;br&gt;&lt;div class="audio"&gt;[sound:かくさ.mp3]&lt;/div&gt;</v>
      </c>
      <c r="H1240" s="3" t="str">
        <f t="shared" si="1"/>
        <v>(n): sự chênh lệch</v>
      </c>
      <c r="I1240" s="6" t="s">
        <v>6675</v>
      </c>
      <c r="J1240" s="6" t="s">
        <v>6676</v>
      </c>
      <c r="K1240" s="7">
        <f t="shared" si="2"/>
        <v>0.488196299</v>
      </c>
    </row>
    <row r="1241">
      <c r="A1241" s="4">
        <v>1241.0</v>
      </c>
      <c r="B1241" s="5" t="s">
        <v>6677</v>
      </c>
      <c r="C1241" s="5" t="s">
        <v>6678</v>
      </c>
      <c r="D1241" s="5" t="s">
        <v>6679</v>
      </c>
      <c r="E1241" s="6" t="s">
        <v>74</v>
      </c>
      <c r="F1241" s="6" t="s">
        <v>6680</v>
      </c>
      <c r="G1241" s="3" t="str">
        <f>IFERROR(__xludf.DUMMYFUNCTION("REGEXREPLACE(
D1241,
""([一-龯々]+)\[([^\]]+)\]"",
""&lt;ruby&gt;$1&lt;rt&gt;$2&lt;/rt&gt;&lt;/ruby&gt;""
)&amp;""&lt;br&gt;&lt;div class=""""audio""""&gt;[sound:""&amp;C1241&amp;"".mp3]&lt;/div&gt;"""),"&lt;ruby&gt;転換&lt;rt&gt;てんかん&lt;/rt&gt;&lt;/ruby&gt;&lt;br&gt;&lt;div class=""audio""&gt;[sound:てんかん.mp3]&lt;/div&gt;")</f>
        <v>&lt;ruby&gt;転換&lt;rt&gt;てんかん&lt;/rt&gt;&lt;/ruby&gt;&lt;br&gt;&lt;div class="audio"&gt;[sound:てんかん.mp3]&lt;/div&gt;</v>
      </c>
      <c r="H1241" s="3" t="str">
        <f t="shared" si="1"/>
        <v>(n): sự chuyển đổi</v>
      </c>
      <c r="I1241" s="6" t="s">
        <v>6681</v>
      </c>
      <c r="J1241" s="6" t="s">
        <v>6682</v>
      </c>
      <c r="K1241" s="7">
        <f t="shared" si="2"/>
        <v>0.4179529392</v>
      </c>
    </row>
    <row r="1242">
      <c r="A1242" s="4">
        <v>1242.0</v>
      </c>
      <c r="B1242" s="5" t="s">
        <v>6683</v>
      </c>
      <c r="C1242" s="5" t="s">
        <v>6684</v>
      </c>
      <c r="D1242" s="5" t="s">
        <v>6685</v>
      </c>
      <c r="E1242" s="6" t="s">
        <v>74</v>
      </c>
      <c r="F1242" s="6" t="s">
        <v>6686</v>
      </c>
      <c r="G1242" s="3" t="str">
        <f>IFERROR(__xludf.DUMMYFUNCTION("REGEXREPLACE(
D1242,
""([一-龯々]+)\[([^\]]+)\]"",
""&lt;ruby&gt;$1&lt;rt&gt;$2&lt;/rt&gt;&lt;/ruby&gt;""
)&amp;""&lt;br&gt;&lt;div class=""""audio""""&gt;[sound:""&amp;C1242&amp;"".mp3]&lt;/div&gt;"""),"&lt;ruby&gt;進展&lt;rt&gt;しんてん&lt;/rt&gt;&lt;/ruby&gt;&lt;br&gt;&lt;div class=""audio""&gt;[sound:しんてん.mp3]&lt;/div&gt;")</f>
        <v>&lt;ruby&gt;進展&lt;rt&gt;しんてん&lt;/rt&gt;&lt;/ruby&gt;&lt;br&gt;&lt;div class="audio"&gt;[sound:しんてん.mp3]&lt;/div&gt;</v>
      </c>
      <c r="H1242" s="3" t="str">
        <f t="shared" si="1"/>
        <v>(n): sự phát triển</v>
      </c>
      <c r="I1242" s="6" t="s">
        <v>6687</v>
      </c>
      <c r="J1242" s="6" t="s">
        <v>6688</v>
      </c>
      <c r="K1242" s="7">
        <f t="shared" si="2"/>
        <v>0.01073836918</v>
      </c>
    </row>
    <row r="1243">
      <c r="A1243" s="4">
        <v>1243.0</v>
      </c>
      <c r="B1243" s="5" t="s">
        <v>6689</v>
      </c>
      <c r="C1243" s="5" t="s">
        <v>6690</v>
      </c>
      <c r="D1243" s="5" t="s">
        <v>6691</v>
      </c>
      <c r="E1243" s="6" t="s">
        <v>74</v>
      </c>
      <c r="F1243" s="6" t="s">
        <v>6692</v>
      </c>
      <c r="G1243" s="3" t="str">
        <f>IFERROR(__xludf.DUMMYFUNCTION("REGEXREPLACE(
D1243,
""([一-龯々]+)\[([^\]]+)\]"",
""&lt;ruby&gt;$1&lt;rt&gt;$2&lt;/rt&gt;&lt;/ruby&gt;""
)&amp;""&lt;br&gt;&lt;div class=""""audio""""&gt;[sound:""&amp;C1243&amp;"".mp3]&lt;/div&gt;"""),"&lt;ruby&gt;取引&lt;rt&gt;とりひき&lt;/rt&gt;&lt;/ruby&gt;&lt;br&gt;&lt;div class=""audio""&gt;[sound:とりひき.mp3]&lt;/div&gt;")</f>
        <v>&lt;ruby&gt;取引&lt;rt&gt;とりひき&lt;/rt&gt;&lt;/ruby&gt;&lt;br&gt;&lt;div class="audio"&gt;[sound:とりひき.mp3]&lt;/div&gt;</v>
      </c>
      <c r="H1243" s="3" t="str">
        <f t="shared" si="1"/>
        <v>(n): sự giao dịch</v>
      </c>
      <c r="I1243" s="6" t="s">
        <v>6693</v>
      </c>
      <c r="J1243" s="6" t="s">
        <v>6694</v>
      </c>
      <c r="K1243" s="7">
        <f t="shared" si="2"/>
        <v>0.09786699189</v>
      </c>
    </row>
    <row r="1244">
      <c r="A1244" s="4">
        <v>1244.0</v>
      </c>
      <c r="B1244" s="5" t="s">
        <v>6695</v>
      </c>
      <c r="C1244" s="5" t="s">
        <v>6696</v>
      </c>
      <c r="D1244" s="5" t="s">
        <v>6697</v>
      </c>
      <c r="E1244" s="6" t="s">
        <v>74</v>
      </c>
      <c r="F1244" s="6" t="s">
        <v>6698</v>
      </c>
      <c r="G1244" s="3" t="str">
        <f>IFERROR(__xludf.DUMMYFUNCTION("REGEXREPLACE(
D1244,
""([一-龯々]+)\[([^\]]+)\]"",
""&lt;ruby&gt;$1&lt;rt&gt;$2&lt;/rt&gt;&lt;/ruby&gt;""
)&amp;""&lt;br&gt;&lt;div class=""""audio""""&gt;[sound:""&amp;C1244&amp;"".mp3]&lt;/div&gt;"""),"&lt;ruby&gt;発言&lt;rt&gt;はつげん&lt;/rt&gt;&lt;/ruby&gt;&lt;br&gt;&lt;div class=""audio""&gt;[sound:はつげん.mp3]&lt;/div&gt;")</f>
        <v>&lt;ruby&gt;発言&lt;rt&gt;はつげん&lt;/rt&gt;&lt;/ruby&gt;&lt;br&gt;&lt;div class="audio"&gt;[sound:はつげん.mp3]&lt;/div&gt;</v>
      </c>
      <c r="H1244" s="3" t="str">
        <f t="shared" si="1"/>
        <v>(n): sự phát biểu</v>
      </c>
      <c r="I1244" s="6" t="s">
        <v>6699</v>
      </c>
      <c r="J1244" s="6" t="s">
        <v>6700</v>
      </c>
      <c r="K1244" s="7">
        <f t="shared" si="2"/>
        <v>0.5353905809</v>
      </c>
    </row>
    <row r="1245">
      <c r="A1245" s="4">
        <v>1245.0</v>
      </c>
      <c r="B1245" s="5" t="s">
        <v>6701</v>
      </c>
      <c r="C1245" s="5" t="s">
        <v>6702</v>
      </c>
      <c r="D1245" s="5" t="s">
        <v>6703</v>
      </c>
      <c r="E1245" s="6" t="s">
        <v>74</v>
      </c>
      <c r="F1245" s="6" t="s">
        <v>6704</v>
      </c>
      <c r="G1245" s="3" t="str">
        <f>IFERROR(__xludf.DUMMYFUNCTION("REGEXREPLACE(
D1245,
""([一-龯々]+)\[([^\]]+)\]"",
""&lt;ruby&gt;$1&lt;rt&gt;$2&lt;/rt&gt;&lt;/ruby&gt;""
)&amp;""&lt;br&gt;&lt;div class=""""audio""""&gt;[sound:""&amp;C1245&amp;"".mp3]&lt;/div&gt;"""),"&lt;ruby&gt;退職&lt;rt&gt;たいしょく&lt;/rt&gt;&lt;/ruby&gt;&lt;br&gt;&lt;div class=""audio""&gt;[sound:たいしょく.mp3]&lt;/div&gt;")</f>
        <v>&lt;ruby&gt;退職&lt;rt&gt;たいしょく&lt;/rt&gt;&lt;/ruby&gt;&lt;br&gt;&lt;div class="audio"&gt;[sound:たいしょく.mp3]&lt;/div&gt;</v>
      </c>
      <c r="H1245" s="3" t="str">
        <f t="shared" si="1"/>
        <v>(n): sự nghỉ việc</v>
      </c>
      <c r="I1245" s="6" t="s">
        <v>6705</v>
      </c>
      <c r="J1245" s="6" t="s">
        <v>6706</v>
      </c>
      <c r="K1245" s="7">
        <f t="shared" si="2"/>
        <v>0.2118516999</v>
      </c>
    </row>
    <row r="1246">
      <c r="A1246" s="4">
        <v>1246.0</v>
      </c>
      <c r="B1246" s="5" t="s">
        <v>6707</v>
      </c>
      <c r="C1246" s="5" t="s">
        <v>6708</v>
      </c>
      <c r="D1246" s="5" t="s">
        <v>6709</v>
      </c>
      <c r="E1246" s="6" t="s">
        <v>74</v>
      </c>
      <c r="F1246" s="6" t="s">
        <v>6710</v>
      </c>
      <c r="G1246" s="3" t="str">
        <f>IFERROR(__xludf.DUMMYFUNCTION("REGEXREPLACE(
D1246,
""([一-龯々]+)\[([^\]]+)\]"",
""&lt;ruby&gt;$1&lt;rt&gt;$2&lt;/rt&gt;&lt;/ruby&gt;""
)&amp;""&lt;br&gt;&lt;div class=""""audio""""&gt;[sound:""&amp;C1246&amp;"".mp3]&lt;/div&gt;"""),"&lt;ruby&gt;首脳&lt;rt&gt;しゅのう&lt;/rt&gt;&lt;/ruby&gt;&lt;br&gt;&lt;div class=""audio""&gt;[sound:しゅのう.mp3]&lt;/div&gt;")</f>
        <v>&lt;ruby&gt;首脳&lt;rt&gt;しゅのう&lt;/rt&gt;&lt;/ruby&gt;&lt;br&gt;&lt;div class="audio"&gt;[sound:しゅのう.mp3]&lt;/div&gt;</v>
      </c>
      <c r="H1246" s="3" t="str">
        <f t="shared" si="1"/>
        <v>(n): nhà lãnh đạo</v>
      </c>
      <c r="I1246" s="6" t="s">
        <v>6711</v>
      </c>
      <c r="J1246" s="6" t="s">
        <v>6712</v>
      </c>
      <c r="K1246" s="7">
        <f t="shared" si="2"/>
        <v>0.8628229794</v>
      </c>
    </row>
    <row r="1247">
      <c r="A1247" s="4">
        <v>1247.0</v>
      </c>
      <c r="B1247" s="5" t="s">
        <v>6713</v>
      </c>
      <c r="C1247" s="5" t="s">
        <v>6714</v>
      </c>
      <c r="D1247" s="5" t="s">
        <v>6715</v>
      </c>
      <c r="E1247" s="6" t="s">
        <v>74</v>
      </c>
      <c r="F1247" s="6" t="s">
        <v>6716</v>
      </c>
      <c r="G1247" s="3" t="str">
        <f>IFERROR(__xludf.DUMMYFUNCTION("REGEXREPLACE(
D1247,
""([一-龯々]+)\[([^\]]+)\]"",
""&lt;ruby&gt;$1&lt;rt&gt;$2&lt;/rt&gt;&lt;/ruby&gt;""
)&amp;""&lt;br&gt;&lt;div class=""""audio""""&gt;[sound:""&amp;C1247&amp;"".mp3]&lt;/div&gt;"""),"&lt;ruby&gt;再現&lt;rt&gt;さいげん&lt;/rt&gt;&lt;/ruby&gt;&lt;br&gt;&lt;div class=""audio""&gt;[sound:さいげん.mp3]&lt;/div&gt;")</f>
        <v>&lt;ruby&gt;再現&lt;rt&gt;さいげん&lt;/rt&gt;&lt;/ruby&gt;&lt;br&gt;&lt;div class="audio"&gt;[sound:さいげん.mp3]&lt;/div&gt;</v>
      </c>
      <c r="H1247" s="3" t="str">
        <f t="shared" si="1"/>
        <v>(n): sự tái hiện</v>
      </c>
      <c r="I1247" s="6" t="s">
        <v>6717</v>
      </c>
      <c r="J1247" s="6" t="s">
        <v>6718</v>
      </c>
      <c r="K1247" s="7">
        <f t="shared" si="2"/>
        <v>0.6993622204</v>
      </c>
    </row>
    <row r="1248">
      <c r="A1248" s="4">
        <v>1248.0</v>
      </c>
      <c r="B1248" s="5" t="s">
        <v>6719</v>
      </c>
      <c r="C1248" s="5" t="s">
        <v>6720</v>
      </c>
      <c r="D1248" s="5" t="s">
        <v>6721</v>
      </c>
      <c r="E1248" s="6" t="s">
        <v>74</v>
      </c>
      <c r="F1248" s="6" t="s">
        <v>6722</v>
      </c>
      <c r="G1248" s="3" t="str">
        <f>IFERROR(__xludf.DUMMYFUNCTION("REGEXREPLACE(
D1248,
""([一-龯々]+)\[([^\]]+)\]"",
""&lt;ruby&gt;$1&lt;rt&gt;$2&lt;/rt&gt;&lt;/ruby&gt;""
)&amp;""&lt;br&gt;&lt;div class=""""audio""""&gt;[sound:""&amp;C1248&amp;"".mp3]&lt;/div&gt;"""),"&lt;ruby&gt;勝利&lt;rt&gt;しょうり&lt;/rt&gt;&lt;/ruby&gt;&lt;br&gt;&lt;div class=""audio""&gt;[sound:しょうり.mp3]&lt;/div&gt;")</f>
        <v>&lt;ruby&gt;勝利&lt;rt&gt;しょうり&lt;/rt&gt;&lt;/ruby&gt;&lt;br&gt;&lt;div class="audio"&gt;[sound:しょうり.mp3]&lt;/div&gt;</v>
      </c>
      <c r="H1248" s="3" t="str">
        <f t="shared" si="1"/>
        <v>(n): chiến thắng</v>
      </c>
      <c r="I1248" s="6" t="s">
        <v>6723</v>
      </c>
      <c r="J1248" s="6" t="s">
        <v>6724</v>
      </c>
      <c r="K1248" s="7">
        <f t="shared" si="2"/>
        <v>0.5206334637</v>
      </c>
    </row>
    <row r="1249">
      <c r="A1249" s="4">
        <v>1249.0</v>
      </c>
      <c r="B1249" s="5" t="s">
        <v>6725</v>
      </c>
      <c r="C1249" s="5" t="s">
        <v>6726</v>
      </c>
      <c r="D1249" s="5" t="s">
        <v>6727</v>
      </c>
      <c r="E1249" s="6" t="s">
        <v>74</v>
      </c>
      <c r="F1249" s="6" t="s">
        <v>6728</v>
      </c>
      <c r="G1249" s="3" t="str">
        <f>IFERROR(__xludf.DUMMYFUNCTION("REGEXREPLACE(
D1249,
""([一-龯々]+)\[([^\]]+)\]"",
""&lt;ruby&gt;$1&lt;rt&gt;$2&lt;/rt&gt;&lt;/ruby&gt;""
)&amp;""&lt;br&gt;&lt;div class=""""audio""""&gt;[sound:""&amp;C1249&amp;"".mp3]&lt;/div&gt;"""),"&lt;ruby&gt;危機&lt;rt&gt;きき&lt;/rt&gt;&lt;/ruby&gt;&lt;br&gt;&lt;div class=""audio""&gt;[sound:きき.mp3]&lt;/div&gt;")</f>
        <v>&lt;ruby&gt;危機&lt;rt&gt;きき&lt;/rt&gt;&lt;/ruby&gt;&lt;br&gt;&lt;div class="audio"&gt;[sound:きき.mp3]&lt;/div&gt;</v>
      </c>
      <c r="H1249" s="3" t="str">
        <f t="shared" si="1"/>
        <v>(n): khủng hoảng</v>
      </c>
      <c r="I1249" s="6" t="s">
        <v>6729</v>
      </c>
      <c r="J1249" s="6" t="s">
        <v>6730</v>
      </c>
      <c r="K1249" s="7">
        <f t="shared" si="2"/>
        <v>0.6628692121</v>
      </c>
    </row>
    <row r="1250">
      <c r="A1250" s="4">
        <v>1250.0</v>
      </c>
      <c r="B1250" s="5" t="s">
        <v>6731</v>
      </c>
      <c r="C1250" s="5" t="s">
        <v>6732</v>
      </c>
      <c r="D1250" s="5" t="s">
        <v>6733</v>
      </c>
      <c r="E1250" s="6" t="s">
        <v>74</v>
      </c>
      <c r="F1250" s="6" t="s">
        <v>6734</v>
      </c>
      <c r="G1250" s="3" t="str">
        <f>IFERROR(__xludf.DUMMYFUNCTION("REGEXREPLACE(
D1250,
""([一-龯々]+)\[([^\]]+)\]"",
""&lt;ruby&gt;$1&lt;rt&gt;$2&lt;/rt&gt;&lt;/ruby&gt;""
)&amp;""&lt;br&gt;&lt;div class=""""audio""""&gt;[sound:""&amp;C1250&amp;"".mp3]&lt;/div&gt;"""),"&lt;ruby&gt;蓄積&lt;rt&gt;ちくせき&lt;/rt&gt;&lt;/ruby&gt;&lt;br&gt;&lt;div class=""audio""&gt;[sound:ちくせき.mp3]&lt;/div&gt;")</f>
        <v>&lt;ruby&gt;蓄積&lt;rt&gt;ちくせき&lt;/rt&gt;&lt;/ruby&gt;&lt;br&gt;&lt;div class="audio"&gt;[sound:ちくせき.mp3]&lt;/div&gt;</v>
      </c>
      <c r="H1250" s="3" t="str">
        <f t="shared" si="1"/>
        <v>(n): sự tích lũy</v>
      </c>
      <c r="I1250" s="6" t="s">
        <v>6735</v>
      </c>
      <c r="J1250" s="6" t="s">
        <v>6736</v>
      </c>
      <c r="K1250" s="7">
        <f t="shared" si="2"/>
        <v>0.6883028309</v>
      </c>
    </row>
    <row r="1251">
      <c r="A1251" s="4">
        <v>1251.0</v>
      </c>
      <c r="B1251" s="5" t="s">
        <v>6737</v>
      </c>
      <c r="C1251" s="5" t="s">
        <v>6738</v>
      </c>
      <c r="D1251" s="5" t="s">
        <v>6739</v>
      </c>
      <c r="E1251" s="6" t="s">
        <v>74</v>
      </c>
      <c r="F1251" s="6" t="s">
        <v>5073</v>
      </c>
      <c r="G1251" s="3" t="str">
        <f>IFERROR(__xludf.DUMMYFUNCTION("REGEXREPLACE(
D1251,
""([一-龯々]+)\[([^\]]+)\]"",
""&lt;ruby&gt;$1&lt;rt&gt;$2&lt;/rt&gt;&lt;/ruby&gt;""
)&amp;""&lt;br&gt;&lt;div class=""""audio""""&gt;[sound:""&amp;C1251&amp;"".mp3]&lt;/div&gt;"""),"&lt;ruby&gt;通常&lt;rt&gt;つうじょう&lt;/rt&gt;&lt;/ruby&gt;&lt;br&gt;&lt;div class=""audio""&gt;[sound:つうじょう.mp3]&lt;/div&gt;")</f>
        <v>&lt;ruby&gt;通常&lt;rt&gt;つうじょう&lt;/rt&gt;&lt;/ruby&gt;&lt;br&gt;&lt;div class="audio"&gt;[sound:つうじょう.mp3]&lt;/div&gt;</v>
      </c>
      <c r="H1251" s="3" t="str">
        <f t="shared" si="1"/>
        <v>(n): bình thường</v>
      </c>
      <c r="I1251" s="6" t="s">
        <v>6740</v>
      </c>
      <c r="J1251" s="6" t="s">
        <v>6741</v>
      </c>
      <c r="K1251" s="7">
        <f t="shared" si="2"/>
        <v>0.3085604465</v>
      </c>
    </row>
    <row r="1252">
      <c r="A1252" s="4">
        <v>1252.0</v>
      </c>
      <c r="B1252" s="5" t="s">
        <v>6742</v>
      </c>
      <c r="C1252" s="5" t="s">
        <v>6743</v>
      </c>
      <c r="D1252" s="5" t="s">
        <v>6744</v>
      </c>
      <c r="E1252" s="6" t="s">
        <v>74</v>
      </c>
      <c r="F1252" s="6" t="s">
        <v>6745</v>
      </c>
      <c r="G1252" s="3" t="str">
        <f>IFERROR(__xludf.DUMMYFUNCTION("REGEXREPLACE(
D1252,
""([一-龯々]+)\[([^\]]+)\]"",
""&lt;ruby&gt;$1&lt;rt&gt;$2&lt;/rt&gt;&lt;/ruby&gt;""
)&amp;""&lt;br&gt;&lt;div class=""""audio""""&gt;[sound:""&amp;C1252&amp;"".mp3]&lt;/div&gt;"""),"&lt;ruby&gt;進化&lt;rt&gt;しんか&lt;/rt&gt;&lt;/ruby&gt;&lt;br&gt;&lt;div class=""audio""&gt;[sound:しんか.mp3]&lt;/div&gt;")</f>
        <v>&lt;ruby&gt;進化&lt;rt&gt;しんか&lt;/rt&gt;&lt;/ruby&gt;&lt;br&gt;&lt;div class="audio"&gt;[sound:しんか.mp3]&lt;/div&gt;</v>
      </c>
      <c r="H1252" s="3" t="str">
        <f t="shared" si="1"/>
        <v>(n): sự tiến hóa</v>
      </c>
      <c r="I1252" s="6" t="s">
        <v>6746</v>
      </c>
      <c r="J1252" s="6" t="s">
        <v>6747</v>
      </c>
      <c r="K1252" s="7">
        <f t="shared" si="2"/>
        <v>0.3997806954</v>
      </c>
    </row>
    <row r="1253">
      <c r="A1253" s="4">
        <v>1253.0</v>
      </c>
      <c r="B1253" s="5" t="s">
        <v>6748</v>
      </c>
      <c r="C1253" s="5" t="s">
        <v>6749</v>
      </c>
      <c r="D1253" s="5" t="s">
        <v>6750</v>
      </c>
      <c r="E1253" s="6" t="s">
        <v>74</v>
      </c>
      <c r="F1253" s="6" t="s">
        <v>6751</v>
      </c>
      <c r="G1253" s="3" t="str">
        <f>IFERROR(__xludf.DUMMYFUNCTION("REGEXREPLACE(
D1253,
""([一-龯々]+)\[([^\]]+)\]"",
""&lt;ruby&gt;$1&lt;rt&gt;$2&lt;/rt&gt;&lt;/ruby&gt;""
)&amp;""&lt;br&gt;&lt;div class=""""audio""""&gt;[sound:""&amp;C1253&amp;"".mp3]&lt;/div&gt;"""),"&lt;ruby&gt;配慮&lt;rt&gt;はいりょ&lt;/rt&gt;&lt;/ruby&gt;&lt;br&gt;&lt;div class=""audio""&gt;[sound:はいりょ.mp3]&lt;/div&gt;")</f>
        <v>&lt;ruby&gt;配慮&lt;rt&gt;はいりょ&lt;/rt&gt;&lt;/ruby&gt;&lt;br&gt;&lt;div class="audio"&gt;[sound:はいりょ.mp3]&lt;/div&gt;</v>
      </c>
      <c r="H1253" s="3" t="str">
        <f t="shared" si="1"/>
        <v>(n): sự quan tâm</v>
      </c>
      <c r="I1253" s="6" t="s">
        <v>6752</v>
      </c>
      <c r="J1253" s="6" t="s">
        <v>6753</v>
      </c>
      <c r="K1253" s="7">
        <f t="shared" si="2"/>
        <v>0.2420892293</v>
      </c>
    </row>
    <row r="1254">
      <c r="A1254" s="4">
        <v>1254.0</v>
      </c>
      <c r="B1254" s="5" t="s">
        <v>6754</v>
      </c>
      <c r="C1254" s="5" t="s">
        <v>6755</v>
      </c>
      <c r="D1254" s="5" t="s">
        <v>6756</v>
      </c>
      <c r="E1254" s="6" t="s">
        <v>74</v>
      </c>
      <c r="F1254" s="6" t="s">
        <v>6757</v>
      </c>
      <c r="G1254" s="3" t="str">
        <f>IFERROR(__xludf.DUMMYFUNCTION("REGEXREPLACE(
D1254,
""([一-龯々]+)\[([^\]]+)\]"",
""&lt;ruby&gt;$1&lt;rt&gt;$2&lt;/rt&gt;&lt;/ruby&gt;""
)&amp;""&lt;br&gt;&lt;div class=""""audio""""&gt;[sound:""&amp;C1254&amp;"".mp3]&lt;/div&gt;"""),"&lt;ruby&gt;防衛&lt;rt&gt;ぼうえい&lt;/rt&gt;&lt;/ruby&gt;&lt;br&gt;&lt;div class=""audio""&gt;[sound:ぼうえい.mp3]&lt;/div&gt;")</f>
        <v>&lt;ruby&gt;防衛&lt;rt&gt;ぼうえい&lt;/rt&gt;&lt;/ruby&gt;&lt;br&gt;&lt;div class="audio"&gt;[sound:ぼうえい.mp3]&lt;/div&gt;</v>
      </c>
      <c r="H1254" s="3" t="str">
        <f t="shared" si="1"/>
        <v>(n): sự phòng vệ</v>
      </c>
      <c r="I1254" s="6" t="s">
        <v>6758</v>
      </c>
      <c r="J1254" s="6" t="s">
        <v>6759</v>
      </c>
      <c r="K1254" s="7">
        <f t="shared" si="2"/>
        <v>0.1636531825</v>
      </c>
    </row>
    <row r="1255">
      <c r="A1255" s="4">
        <v>1255.0</v>
      </c>
      <c r="B1255" s="5" t="s">
        <v>6760</v>
      </c>
      <c r="C1255" s="5" t="s">
        <v>6761</v>
      </c>
      <c r="D1255" s="5" t="s">
        <v>6760</v>
      </c>
      <c r="E1255" s="6" t="s">
        <v>74</v>
      </c>
      <c r="F1255" s="6" t="s">
        <v>6762</v>
      </c>
      <c r="G1255" s="3" t="str">
        <f>IFERROR(__xludf.DUMMYFUNCTION("REGEXREPLACE(
D1255,
""([一-龯々]+)\[([^\]]+)\]"",
""&lt;ruby&gt;$1&lt;rt&gt;$2&lt;/rt&gt;&lt;/ruby&gt;""
)&amp;""&lt;br&gt;&lt;div class=""""audio""""&gt;[sound:""&amp;C1255&amp;"".mp3]&lt;/div&gt;"""),"センス&lt;br&gt;&lt;div class=""audio""&gt;[sound:せんす.mp3]&lt;/div&gt;")</f>
        <v>センス&lt;br&gt;&lt;div class="audio"&gt;[sound:せんす.mp3]&lt;/div&gt;</v>
      </c>
      <c r="H1255" s="3" t="str">
        <f t="shared" si="1"/>
        <v>(n): gu thẩm mỹ</v>
      </c>
      <c r="I1255" s="6" t="s">
        <v>6763</v>
      </c>
      <c r="J1255" s="6" t="s">
        <v>6764</v>
      </c>
      <c r="K1255" s="7">
        <f t="shared" si="2"/>
        <v>0.5887590374</v>
      </c>
    </row>
    <row r="1256">
      <c r="A1256" s="4">
        <v>1256.0</v>
      </c>
      <c r="B1256" s="5" t="s">
        <v>6765</v>
      </c>
      <c r="C1256" s="5" t="s">
        <v>6766</v>
      </c>
      <c r="D1256" s="5" t="s">
        <v>6765</v>
      </c>
      <c r="E1256" s="6" t="s">
        <v>74</v>
      </c>
      <c r="F1256" s="6" t="s">
        <v>4926</v>
      </c>
      <c r="G1256" s="3" t="str">
        <f>IFERROR(__xludf.DUMMYFUNCTION("REGEXREPLACE(
D1256,
""([一-龯々]+)\[([^\]]+)\]"",
""&lt;ruby&gt;$1&lt;rt&gt;$2&lt;/rt&gt;&lt;/ruby&gt;""
)&amp;""&lt;br&gt;&lt;div class=""""audio""""&gt;[sound:""&amp;C1256&amp;"".mp3]&lt;/div&gt;"""),"ホール&lt;br&gt;&lt;div class=""audio""&gt;[sound:ほーる.mp3]&lt;/div&gt;")</f>
        <v>ホール&lt;br&gt;&lt;div class="audio"&gt;[sound:ほーる.mp3]&lt;/div&gt;</v>
      </c>
      <c r="H1256" s="3" t="str">
        <f t="shared" si="1"/>
        <v>(n): hội trường</v>
      </c>
      <c r="I1256" s="6" t="s">
        <v>6767</v>
      </c>
      <c r="J1256" s="6" t="s">
        <v>6768</v>
      </c>
      <c r="K1256" s="7">
        <f t="shared" si="2"/>
        <v>0.425652823</v>
      </c>
    </row>
    <row r="1257">
      <c r="A1257" s="4">
        <v>1257.0</v>
      </c>
      <c r="B1257" s="5" t="s">
        <v>6769</v>
      </c>
      <c r="C1257" s="5" t="s">
        <v>6770</v>
      </c>
      <c r="D1257" s="5" t="s">
        <v>6771</v>
      </c>
      <c r="E1257" s="6" t="s">
        <v>74</v>
      </c>
      <c r="F1257" s="6" t="s">
        <v>6772</v>
      </c>
      <c r="G1257" s="3" t="str">
        <f>IFERROR(__xludf.DUMMYFUNCTION("REGEXREPLACE(
D1257,
""([一-龯々]+)\[([^\]]+)\]"",
""&lt;ruby&gt;$1&lt;rt&gt;$2&lt;/rt&gt;&lt;/ruby&gt;""
)&amp;""&lt;br&gt;&lt;div class=""""audio""""&gt;[sound:""&amp;C1257&amp;"".mp3]&lt;/div&gt;"""),"&lt;ruby&gt;介護&lt;rt&gt;かいご&lt;/rt&gt;&lt;/ruby&gt;&lt;br&gt;&lt;div class=""audio""&gt;[sound:かいご.mp3]&lt;/div&gt;")</f>
        <v>&lt;ruby&gt;介護&lt;rt&gt;かいご&lt;/rt&gt;&lt;/ruby&gt;&lt;br&gt;&lt;div class="audio"&gt;[sound:かいご.mp3]&lt;/div&gt;</v>
      </c>
      <c r="H1257" s="3" t="str">
        <f t="shared" si="1"/>
        <v>(n): điều dưỡng</v>
      </c>
      <c r="I1257" s="6" t="s">
        <v>6773</v>
      </c>
      <c r="J1257" s="6" t="s">
        <v>6774</v>
      </c>
      <c r="K1257" s="7">
        <f t="shared" si="2"/>
        <v>0.4238201749</v>
      </c>
    </row>
    <row r="1258">
      <c r="A1258" s="4">
        <v>1258.0</v>
      </c>
      <c r="B1258" s="5" t="s">
        <v>6775</v>
      </c>
      <c r="C1258" s="5" t="s">
        <v>6776</v>
      </c>
      <c r="D1258" s="5" t="s">
        <v>6777</v>
      </c>
      <c r="E1258" s="6" t="s">
        <v>74</v>
      </c>
      <c r="F1258" s="6" t="s">
        <v>6778</v>
      </c>
      <c r="G1258" s="3" t="str">
        <f>IFERROR(__xludf.DUMMYFUNCTION("REGEXREPLACE(
D1258,
""([一-龯々]+)\[([^\]]+)\]"",
""&lt;ruby&gt;$1&lt;rt&gt;$2&lt;/rt&gt;&lt;/ruby&gt;""
)&amp;""&lt;br&gt;&lt;div class=""""audio""""&gt;[sound:""&amp;C1258&amp;"".mp3]&lt;/div&gt;"""),"&lt;ruby&gt;助&lt;rt&gt;たす&lt;/rt&gt;&lt;/ruby&gt;け&lt;br&gt;&lt;div class=""audio""&gt;[sound:たすけ.mp3]&lt;/div&gt;")</f>
        <v>&lt;ruby&gt;助&lt;rt&gt;たす&lt;/rt&gt;&lt;/ruby&gt;け&lt;br&gt;&lt;div class="audio"&gt;[sound:たすけ.mp3]&lt;/div&gt;</v>
      </c>
      <c r="H1258" s="3" t="str">
        <f t="shared" si="1"/>
        <v>(n): sự giúp đỡ</v>
      </c>
      <c r="I1258" s="6" t="s">
        <v>6779</v>
      </c>
      <c r="J1258" s="6" t="s">
        <v>6780</v>
      </c>
      <c r="K1258" s="7">
        <f t="shared" si="2"/>
        <v>0.6976424083</v>
      </c>
    </row>
    <row r="1259">
      <c r="A1259" s="4">
        <v>1259.0</v>
      </c>
      <c r="B1259" s="5" t="s">
        <v>6781</v>
      </c>
      <c r="C1259" s="5" t="s">
        <v>6782</v>
      </c>
      <c r="D1259" s="5" t="s">
        <v>6783</v>
      </c>
      <c r="E1259" s="6" t="s">
        <v>24</v>
      </c>
      <c r="F1259" s="6" t="s">
        <v>6784</v>
      </c>
      <c r="G1259" s="3" t="str">
        <f>IFERROR(__xludf.DUMMYFUNCTION("REGEXREPLACE(
D1259,
""([一-龯々]+)\[([^\]]+)\]"",
""&lt;ruby&gt;$1&lt;rt&gt;$2&lt;/rt&gt;&lt;/ruby&gt;""
)&amp;""&lt;br&gt;&lt;div class=""""audio""""&gt;[sound:""&amp;C1259&amp;"".mp3]&lt;/div&gt;"""),"&lt;ruby&gt;収&lt;rt&gt;おさ&lt;/rt&gt;&lt;/ruby&gt;まる&lt;br&gt;&lt;div class=""audio""&gt;[sound:おさまる.mp3]&lt;/div&gt;")</f>
        <v>&lt;ruby&gt;収&lt;rt&gt;おさ&lt;/rt&gt;&lt;/ruby&gt;まる&lt;br&gt;&lt;div class="audio"&gt;[sound:おさまる.mp3]&lt;/div&gt;</v>
      </c>
      <c r="H1259" s="3" t="str">
        <f t="shared" si="1"/>
        <v>(v): lắng xuống</v>
      </c>
      <c r="I1259" s="6" t="s">
        <v>6785</v>
      </c>
      <c r="J1259" s="6" t="s">
        <v>6786</v>
      </c>
      <c r="K1259" s="7">
        <f t="shared" si="2"/>
        <v>0.3252018558</v>
      </c>
    </row>
    <row r="1260">
      <c r="A1260" s="4">
        <v>1260.0</v>
      </c>
      <c r="B1260" s="5" t="s">
        <v>6787</v>
      </c>
      <c r="C1260" s="5" t="s">
        <v>6788</v>
      </c>
      <c r="D1260" s="5" t="s">
        <v>6789</v>
      </c>
      <c r="E1260" s="6" t="s">
        <v>74</v>
      </c>
      <c r="F1260" s="6" t="s">
        <v>6790</v>
      </c>
      <c r="G1260" s="3" t="str">
        <f>IFERROR(__xludf.DUMMYFUNCTION("REGEXREPLACE(
D1260,
""([一-龯々]+)\[([^\]]+)\]"",
""&lt;ruby&gt;$1&lt;rt&gt;$2&lt;/rt&gt;&lt;/ruby&gt;""
)&amp;""&lt;br&gt;&lt;div class=""""audio""""&gt;[sound:""&amp;C1260&amp;"".mp3]&lt;/div&gt;"""),"&lt;ruby&gt;品質&lt;rt&gt;ひんしつ&lt;/rt&gt;&lt;/ruby&gt;&lt;br&gt;&lt;div class=""audio""&gt;[sound:ひんしつ.mp3]&lt;/div&gt;")</f>
        <v>&lt;ruby&gt;品質&lt;rt&gt;ひんしつ&lt;/rt&gt;&lt;/ruby&gt;&lt;br&gt;&lt;div class="audio"&gt;[sound:ひんしつ.mp3]&lt;/div&gt;</v>
      </c>
      <c r="H1260" s="3" t="str">
        <f t="shared" si="1"/>
        <v>(n): chất lượng</v>
      </c>
      <c r="I1260" s="6" t="s">
        <v>6791</v>
      </c>
      <c r="J1260" s="6" t="s">
        <v>6792</v>
      </c>
      <c r="K1260" s="7">
        <f t="shared" si="2"/>
        <v>0.6960231906</v>
      </c>
    </row>
    <row r="1261">
      <c r="A1261" s="4">
        <v>1261.0</v>
      </c>
      <c r="B1261" s="5" t="s">
        <v>6793</v>
      </c>
      <c r="C1261" s="5" t="s">
        <v>6794</v>
      </c>
      <c r="D1261" s="5" t="s">
        <v>6795</v>
      </c>
      <c r="E1261" s="6" t="s">
        <v>74</v>
      </c>
      <c r="F1261" s="6" t="s">
        <v>6796</v>
      </c>
      <c r="G1261" s="3" t="str">
        <f>IFERROR(__xludf.DUMMYFUNCTION("REGEXREPLACE(
D1261,
""([一-龯々]+)\[([^\]]+)\]"",
""&lt;ruby&gt;$1&lt;rt&gt;$2&lt;/rt&gt;&lt;/ruby&gt;""
)&amp;""&lt;br&gt;&lt;div class=""""audio""""&gt;[sound:""&amp;C1261&amp;"".mp3]&lt;/div&gt;"""),"&lt;ruby&gt;登録&lt;rt&gt;とうろく&lt;/rt&gt;&lt;/ruby&gt;&lt;br&gt;&lt;div class=""audio""&gt;[sound:とうろく.mp3]&lt;/div&gt;")</f>
        <v>&lt;ruby&gt;登録&lt;rt&gt;とうろく&lt;/rt&gt;&lt;/ruby&gt;&lt;br&gt;&lt;div class="audio"&gt;[sound:とうろく.mp3]&lt;/div&gt;</v>
      </c>
      <c r="H1261" s="3" t="str">
        <f t="shared" si="1"/>
        <v>(n): sự đăng ký</v>
      </c>
      <c r="I1261" s="6" t="s">
        <v>6797</v>
      </c>
      <c r="J1261" s="6" t="s">
        <v>6798</v>
      </c>
      <c r="K1261" s="7">
        <f t="shared" si="2"/>
        <v>0.510711357</v>
      </c>
    </row>
    <row r="1262">
      <c r="A1262" s="4">
        <v>1262.0</v>
      </c>
      <c r="B1262" s="5" t="s">
        <v>6799</v>
      </c>
      <c r="C1262" s="5" t="s">
        <v>6800</v>
      </c>
      <c r="D1262" s="5" t="s">
        <v>6801</v>
      </c>
      <c r="E1262" s="6" t="s">
        <v>74</v>
      </c>
      <c r="F1262" s="6" t="s">
        <v>6802</v>
      </c>
      <c r="G1262" s="3" t="str">
        <f>IFERROR(__xludf.DUMMYFUNCTION("REGEXREPLACE(
D1262,
""([一-龯々]+)\[([^\]]+)\]"",
""&lt;ruby&gt;$1&lt;rt&gt;$2&lt;/rt&gt;&lt;/ruby&gt;""
)&amp;""&lt;br&gt;&lt;div class=""""audio""""&gt;[sound:""&amp;C1262&amp;"".mp3]&lt;/div&gt;"""),"&lt;ruby&gt;育成&lt;rt&gt;いくせい&lt;/rt&gt;&lt;/ruby&gt;&lt;br&gt;&lt;div class=""audio""&gt;[sound:いくせい.mp3]&lt;/div&gt;")</f>
        <v>&lt;ruby&gt;育成&lt;rt&gt;いくせい&lt;/rt&gt;&lt;/ruby&gt;&lt;br&gt;&lt;div class="audio"&gt;[sound:いくせい.mp3]&lt;/div&gt;</v>
      </c>
      <c r="H1262" s="3" t="str">
        <f t="shared" si="1"/>
        <v>(n): nuôi dưỡng</v>
      </c>
      <c r="I1262" s="6" t="s">
        <v>6803</v>
      </c>
      <c r="J1262" s="6" t="s">
        <v>6804</v>
      </c>
      <c r="K1262" s="7">
        <f t="shared" si="2"/>
        <v>0.3037890709</v>
      </c>
    </row>
    <row r="1263">
      <c r="A1263" s="4">
        <v>1263.0</v>
      </c>
      <c r="B1263" s="5" t="s">
        <v>6805</v>
      </c>
      <c r="C1263" s="5" t="s">
        <v>6806</v>
      </c>
      <c r="D1263" s="5" t="s">
        <v>6807</v>
      </c>
      <c r="E1263" s="6" t="s">
        <v>74</v>
      </c>
      <c r="F1263" s="6" t="s">
        <v>6808</v>
      </c>
      <c r="G1263" s="3" t="str">
        <f>IFERROR(__xludf.DUMMYFUNCTION("REGEXREPLACE(
D1263,
""([一-龯々]+)\[([^\]]+)\]"",
""&lt;ruby&gt;$1&lt;rt&gt;$2&lt;/rt&gt;&lt;/ruby&gt;""
)&amp;""&lt;br&gt;&lt;div class=""""audio""""&gt;[sound:""&amp;C1263&amp;"".mp3]&lt;/div&gt;"""),"&lt;ruby&gt;賃金&lt;rt&gt;ちんぎん&lt;/rt&gt;&lt;/ruby&gt;&lt;br&gt;&lt;div class=""audio""&gt;[sound:ちんぎん.mp3]&lt;/div&gt;")</f>
        <v>&lt;ruby&gt;賃金&lt;rt&gt;ちんぎん&lt;/rt&gt;&lt;/ruby&gt;&lt;br&gt;&lt;div class="audio"&gt;[sound:ちんぎん.mp3]&lt;/div&gt;</v>
      </c>
      <c r="H1263" s="3" t="str">
        <f t="shared" si="1"/>
        <v>(n): tiền lương</v>
      </c>
      <c r="I1263" s="6" t="s">
        <v>6809</v>
      </c>
      <c r="J1263" s="6" t="s">
        <v>6810</v>
      </c>
      <c r="K1263" s="7">
        <f t="shared" si="2"/>
        <v>0.9603191977</v>
      </c>
    </row>
    <row r="1264">
      <c r="A1264" s="4">
        <v>1264.0</v>
      </c>
      <c r="B1264" s="5" t="s">
        <v>6811</v>
      </c>
      <c r="C1264" s="5" t="s">
        <v>6812</v>
      </c>
      <c r="D1264" s="5" t="s">
        <v>6813</v>
      </c>
      <c r="E1264" s="6" t="s">
        <v>74</v>
      </c>
      <c r="F1264" s="6" t="s">
        <v>6814</v>
      </c>
      <c r="G1264" s="3" t="str">
        <f>IFERROR(__xludf.DUMMYFUNCTION("REGEXREPLACE(
D1264,
""([一-龯々]+)\[([^\]]+)\]"",
""&lt;ruby&gt;$1&lt;rt&gt;$2&lt;/rt&gt;&lt;/ruby&gt;""
)&amp;""&lt;br&gt;&lt;div class=""""audio""""&gt;[sound:""&amp;C1264&amp;"".mp3]&lt;/div&gt;"""),"&lt;ruby&gt;進出&lt;rt&gt;しんしゅつ&lt;/rt&gt;&lt;/ruby&gt;&lt;br&gt;&lt;div class=""audio""&gt;[sound:しんしゅつ.mp3]&lt;/div&gt;")</f>
        <v>&lt;ruby&gt;進出&lt;rt&gt;しんしゅつ&lt;/rt&gt;&lt;/ruby&gt;&lt;br&gt;&lt;div class="audio"&gt;[sound:しんしゅつ.mp3]&lt;/div&gt;</v>
      </c>
      <c r="H1264" s="3" t="str">
        <f t="shared" si="1"/>
        <v>(n): sự tiến ra</v>
      </c>
      <c r="I1264" s="6" t="s">
        <v>6815</v>
      </c>
      <c r="J1264" s="6" t="s">
        <v>6816</v>
      </c>
      <c r="K1264" s="7">
        <f t="shared" si="2"/>
        <v>0.5053061369</v>
      </c>
    </row>
    <row r="1265">
      <c r="A1265" s="4">
        <v>1265.0</v>
      </c>
      <c r="B1265" s="5" t="s">
        <v>6817</v>
      </c>
      <c r="C1265" s="5" t="s">
        <v>6818</v>
      </c>
      <c r="D1265" s="5" t="s">
        <v>6819</v>
      </c>
      <c r="E1265" s="6" t="s">
        <v>74</v>
      </c>
      <c r="F1265" s="6" t="s">
        <v>6820</v>
      </c>
      <c r="G1265" s="3" t="str">
        <f>IFERROR(__xludf.DUMMYFUNCTION("REGEXREPLACE(
D1265,
""([一-龯々]+)\[([^\]]+)\]"",
""&lt;ruby&gt;$1&lt;rt&gt;$2&lt;/rt&gt;&lt;/ruby&gt;""
)&amp;""&lt;br&gt;&lt;div class=""""audio""""&gt;[sound:""&amp;C1265&amp;"".mp3]&lt;/div&gt;"""),"&lt;ruby&gt;運用&lt;rt&gt;うんよう&lt;/rt&gt;&lt;/ruby&gt;&lt;br&gt;&lt;div class=""audio""&gt;[sound:うんよう.mp3]&lt;/div&gt;")</f>
        <v>&lt;ruby&gt;運用&lt;rt&gt;うんよう&lt;/rt&gt;&lt;/ruby&gt;&lt;br&gt;&lt;div class="audio"&gt;[sound:うんよう.mp3]&lt;/div&gt;</v>
      </c>
      <c r="H1265" s="3" t="str">
        <f t="shared" si="1"/>
        <v>(n): sự sử dụng</v>
      </c>
      <c r="I1265" s="6" t="s">
        <v>6821</v>
      </c>
      <c r="J1265" s="6" t="s">
        <v>6822</v>
      </c>
      <c r="K1265" s="7">
        <f t="shared" si="2"/>
        <v>0.320560838</v>
      </c>
    </row>
    <row r="1266">
      <c r="A1266" s="4">
        <v>1266.0</v>
      </c>
      <c r="B1266" s="5" t="s">
        <v>6823</v>
      </c>
      <c r="C1266" s="5" t="s">
        <v>6824</v>
      </c>
      <c r="D1266" s="5" t="s">
        <v>6823</v>
      </c>
      <c r="E1266" s="6" t="s">
        <v>74</v>
      </c>
      <c r="F1266" s="6" t="s">
        <v>6825</v>
      </c>
      <c r="G1266" s="3" t="str">
        <f>IFERROR(__xludf.DUMMYFUNCTION("REGEXREPLACE(
D1266,
""([一-龯々]+)\[([^\]]+)\]"",
""&lt;ruby&gt;$1&lt;rt&gt;$2&lt;/rt&gt;&lt;/ruby&gt;""
)&amp;""&lt;br&gt;&lt;div class=""""audio""""&gt;[sound:""&amp;C1266&amp;"".mp3]&lt;/div&gt;"""),"ガイド&lt;br&gt;&lt;div class=""audio""&gt;[sound:がいど.mp3]&lt;/div&gt;")</f>
        <v>ガイド&lt;br&gt;&lt;div class="audio"&gt;[sound:がいど.mp3]&lt;/div&gt;</v>
      </c>
      <c r="H1266" s="3" t="str">
        <f t="shared" si="1"/>
        <v>(n): hướng dẫn</v>
      </c>
      <c r="I1266" s="6" t="s">
        <v>6826</v>
      </c>
      <c r="J1266" s="6" t="s">
        <v>6827</v>
      </c>
      <c r="K1266" s="7">
        <f t="shared" si="2"/>
        <v>0.8805994688</v>
      </c>
    </row>
    <row r="1267">
      <c r="A1267" s="4">
        <v>1267.0</v>
      </c>
      <c r="B1267" s="5" t="s">
        <v>6828</v>
      </c>
      <c r="C1267" s="5" t="s">
        <v>6828</v>
      </c>
      <c r="D1267" s="5" t="s">
        <v>6828</v>
      </c>
      <c r="E1267" s="6" t="s">
        <v>85</v>
      </c>
      <c r="F1267" s="6" t="s">
        <v>1097</v>
      </c>
      <c r="G1267" s="3" t="str">
        <f>IFERROR(__xludf.DUMMYFUNCTION("REGEXREPLACE(
D1267,
""([一-龯々]+)\[([^\]]+)\]"",
""&lt;ruby&gt;$1&lt;rt&gt;$2&lt;/rt&gt;&lt;/ruby&gt;""
)&amp;""&lt;br&gt;&lt;div class=""""audio""""&gt;[sound:""&amp;C1267&amp;"".mp3]&lt;/div&gt;"""),"ぐっと&lt;br&gt;&lt;div class=""audio""&gt;[sound:ぐっと.mp3]&lt;/div&gt;")</f>
        <v>ぐっと&lt;br&gt;&lt;div class="audio"&gt;[sound:ぐっと.mp3]&lt;/div&gt;</v>
      </c>
      <c r="H1267" s="3" t="str">
        <f t="shared" si="1"/>
        <v>(adv): hơn nhiều</v>
      </c>
      <c r="I1267" s="6" t="s">
        <v>6829</v>
      </c>
      <c r="J1267" s="6" t="s">
        <v>6830</v>
      </c>
      <c r="K1267" s="7">
        <f t="shared" si="2"/>
        <v>0.8643925876</v>
      </c>
    </row>
    <row r="1268">
      <c r="A1268" s="4">
        <v>1268.0</v>
      </c>
      <c r="B1268" s="5" t="s">
        <v>6831</v>
      </c>
      <c r="C1268" s="5" t="s">
        <v>6832</v>
      </c>
      <c r="D1268" s="5" t="s">
        <v>6831</v>
      </c>
      <c r="E1268" s="6" t="s">
        <v>74</v>
      </c>
      <c r="F1268" s="6" t="s">
        <v>6833</v>
      </c>
      <c r="G1268" s="3" t="str">
        <f>IFERROR(__xludf.DUMMYFUNCTION("REGEXREPLACE(
D1268,
""([一-龯々]+)\[([^\]]+)\]"",
""&lt;ruby&gt;$1&lt;rt&gt;$2&lt;/rt&gt;&lt;/ruby&gt;""
)&amp;""&lt;br&gt;&lt;div class=""""audio""""&gt;[sound:""&amp;C1268&amp;"".mp3]&lt;/div&gt;"""),"ショー&lt;br&gt;&lt;div class=""audio""&gt;[sound:しょー.mp3]&lt;/div&gt;")</f>
        <v>ショー&lt;br&gt;&lt;div class="audio"&gt;[sound:しょー.mp3]&lt;/div&gt;</v>
      </c>
      <c r="H1268" s="3" t="str">
        <f t="shared" si="1"/>
        <v>(n): buổi diễn</v>
      </c>
      <c r="I1268" s="6" t="s">
        <v>6834</v>
      </c>
      <c r="J1268" s="6" t="s">
        <v>6835</v>
      </c>
      <c r="K1268" s="7">
        <f t="shared" si="2"/>
        <v>0.6038581401</v>
      </c>
    </row>
    <row r="1269">
      <c r="A1269" s="4">
        <v>1269.0</v>
      </c>
      <c r="B1269" s="5" t="s">
        <v>6836</v>
      </c>
      <c r="C1269" s="5" t="s">
        <v>6837</v>
      </c>
      <c r="D1269" s="5" t="s">
        <v>6836</v>
      </c>
      <c r="E1269" s="6" t="s">
        <v>74</v>
      </c>
      <c r="F1269" s="6" t="s">
        <v>6838</v>
      </c>
      <c r="G1269" s="3" t="str">
        <f>IFERROR(__xludf.DUMMYFUNCTION("REGEXREPLACE(
D1269,
""([一-龯々]+)\[([^\]]+)\]"",
""&lt;ruby&gt;$1&lt;rt&gt;$2&lt;/rt&gt;&lt;/ruby&gt;""
)&amp;""&lt;br&gt;&lt;div class=""""audio""""&gt;[sound:""&amp;C1269&amp;"".mp3]&lt;/div&gt;"""),"スタジオ&lt;br&gt;&lt;div class=""audio""&gt;[sound:すたじお.mp3]&lt;/div&gt;")</f>
        <v>スタジオ&lt;br&gt;&lt;div class="audio"&gt;[sound:すたじお.mp3]&lt;/div&gt;</v>
      </c>
      <c r="H1269" s="3" t="str">
        <f t="shared" si="1"/>
        <v>(n): phòng thu</v>
      </c>
      <c r="I1269" s="6" t="s">
        <v>6839</v>
      </c>
      <c r="J1269" s="6" t="s">
        <v>6840</v>
      </c>
      <c r="K1269" s="7">
        <f t="shared" si="2"/>
        <v>0.661236701</v>
      </c>
    </row>
    <row r="1270">
      <c r="A1270" s="4">
        <v>1270.0</v>
      </c>
      <c r="B1270" s="5" t="s">
        <v>6841</v>
      </c>
      <c r="C1270" s="5" t="s">
        <v>6842</v>
      </c>
      <c r="D1270" s="5" t="s">
        <v>6843</v>
      </c>
      <c r="E1270" s="6" t="s">
        <v>24</v>
      </c>
      <c r="F1270" s="6" t="s">
        <v>6844</v>
      </c>
      <c r="G1270" s="3" t="str">
        <f>IFERROR(__xludf.DUMMYFUNCTION("REGEXREPLACE(
D1270,
""([一-龯々]+)\[([^\]]+)\]"",
""&lt;ruby&gt;$1&lt;rt&gt;$2&lt;/rt&gt;&lt;/ruby&gt;""
)&amp;""&lt;br&gt;&lt;div class=""""audio""""&gt;[sound:""&amp;C1270&amp;"".mp3]&lt;/div&gt;"""),"&lt;ruby&gt;会見&lt;rt&gt;かいけん&lt;/rt&gt;&lt;/ruby&gt;&lt;br&gt;&lt;div class=""audio""&gt;[sound:かいけん.mp3]&lt;/div&gt;")</f>
        <v>&lt;ruby&gt;会見&lt;rt&gt;かいけん&lt;/rt&gt;&lt;/ruby&gt;&lt;br&gt;&lt;div class="audio"&gt;[sound:かいけん.mp3]&lt;/div&gt;</v>
      </c>
      <c r="H1270" s="3" t="str">
        <f t="shared" si="1"/>
        <v>(v): phỏng vấn</v>
      </c>
      <c r="I1270" s="6" t="s">
        <v>6845</v>
      </c>
      <c r="J1270" s="6" t="s">
        <v>6846</v>
      </c>
      <c r="K1270" s="7">
        <f t="shared" si="2"/>
        <v>0.8145333571</v>
      </c>
    </row>
    <row r="1271">
      <c r="A1271" s="4">
        <v>1271.0</v>
      </c>
      <c r="B1271" s="5" t="s">
        <v>6847</v>
      </c>
      <c r="C1271" s="5" t="s">
        <v>6848</v>
      </c>
      <c r="D1271" s="5" t="s">
        <v>6849</v>
      </c>
      <c r="E1271" s="6" t="s">
        <v>74</v>
      </c>
      <c r="F1271" s="6" t="s">
        <v>6850</v>
      </c>
      <c r="G1271" s="3" t="str">
        <f>IFERROR(__xludf.DUMMYFUNCTION("REGEXREPLACE(
D1271,
""([一-龯々]+)\[([^\]]+)\]"",
""&lt;ruby&gt;$1&lt;rt&gt;$2&lt;/rt&gt;&lt;/ruby&gt;""
)&amp;""&lt;br&gt;&lt;div class=""""audio""""&gt;[sound:""&amp;C1271&amp;"".mp3]&lt;/div&gt;"""),"&lt;ruby&gt;公&lt;rt&gt;おおやけ&lt;/rt&gt;&lt;/ruby&gt;&lt;br&gt;&lt;div class=""audio""&gt;[sound:おおやけ.mp3]&lt;/div&gt;")</f>
        <v>&lt;ruby&gt;公&lt;rt&gt;おおやけ&lt;/rt&gt;&lt;/ruby&gt;&lt;br&gt;&lt;div class="audio"&gt;[sound:おおやけ.mp3]&lt;/div&gt;</v>
      </c>
      <c r="H1271" s="3" t="str">
        <f t="shared" si="1"/>
        <v>(n): công cộng</v>
      </c>
      <c r="I1271" s="6" t="s">
        <v>6851</v>
      </c>
      <c r="J1271" s="6" t="s">
        <v>6852</v>
      </c>
      <c r="K1271" s="7">
        <f t="shared" si="2"/>
        <v>0.6767581055</v>
      </c>
    </row>
    <row r="1272">
      <c r="A1272" s="4">
        <v>1272.0</v>
      </c>
      <c r="B1272" s="5" t="s">
        <v>6853</v>
      </c>
      <c r="C1272" s="5" t="s">
        <v>6854</v>
      </c>
      <c r="D1272" s="5" t="s">
        <v>6855</v>
      </c>
      <c r="E1272" s="6" t="s">
        <v>74</v>
      </c>
      <c r="F1272" s="6" t="s">
        <v>6856</v>
      </c>
      <c r="G1272" s="3" t="str">
        <f>IFERROR(__xludf.DUMMYFUNCTION("REGEXREPLACE(
D1272,
""([一-龯々]+)\[([^\]]+)\]"",
""&lt;ruby&gt;$1&lt;rt&gt;$2&lt;/rt&gt;&lt;/ruby&gt;""
)&amp;""&lt;br&gt;&lt;div class=""""audio""""&gt;[sound:""&amp;C1272&amp;"".mp3]&lt;/div&gt;"""),"&lt;ruby&gt;効率&lt;rt&gt;こうりつ&lt;/rt&gt;&lt;/ruby&gt;&lt;br&gt;&lt;div class=""audio""&gt;[sound:こうりつ.mp3]&lt;/div&gt;")</f>
        <v>&lt;ruby&gt;効率&lt;rt&gt;こうりつ&lt;/rt&gt;&lt;/ruby&gt;&lt;br&gt;&lt;div class="audio"&gt;[sound:こうりつ.mp3]&lt;/div&gt;</v>
      </c>
      <c r="H1272" s="3" t="str">
        <f t="shared" si="1"/>
        <v>(n): hiệu suất</v>
      </c>
      <c r="I1272" s="6" t="s">
        <v>6857</v>
      </c>
      <c r="J1272" s="6" t="s">
        <v>6858</v>
      </c>
      <c r="K1272" s="7">
        <f t="shared" si="2"/>
        <v>0.4424368732</v>
      </c>
    </row>
    <row r="1273">
      <c r="A1273" s="4">
        <v>1273.0</v>
      </c>
      <c r="B1273" s="5" t="s">
        <v>6859</v>
      </c>
      <c r="C1273" s="5" t="s">
        <v>6860</v>
      </c>
      <c r="D1273" s="5" t="s">
        <v>6861</v>
      </c>
      <c r="E1273" s="6" t="s">
        <v>74</v>
      </c>
      <c r="F1273" s="6" t="s">
        <v>746</v>
      </c>
      <c r="G1273" s="3" t="str">
        <f>IFERROR(__xludf.DUMMYFUNCTION("REGEXREPLACE(
D1273,
""([一-龯々]+)\[([^\]]+)\]"",
""&lt;ruby&gt;$1&lt;rt&gt;$2&lt;/rt&gt;&lt;/ruby&gt;""
)&amp;""&lt;br&gt;&lt;div class=""""audio""""&gt;[sound:""&amp;C1273&amp;"".mp3]&lt;/div&gt;"""),"&lt;ruby&gt;勤務&lt;rt&gt;きんむ&lt;/rt&gt;&lt;/ruby&gt;&lt;br&gt;&lt;div class=""audio""&gt;[sound:きんむ.mp3]&lt;/div&gt;")</f>
        <v>&lt;ruby&gt;勤務&lt;rt&gt;きんむ&lt;/rt&gt;&lt;/ruby&gt;&lt;br&gt;&lt;div class="audio"&gt;[sound:きんむ.mp3]&lt;/div&gt;</v>
      </c>
      <c r="H1273" s="3" t="str">
        <f t="shared" si="1"/>
        <v>(n): công việc</v>
      </c>
      <c r="I1273" s="6" t="s">
        <v>6862</v>
      </c>
      <c r="J1273" s="6" t="s">
        <v>6863</v>
      </c>
      <c r="K1273" s="7">
        <f t="shared" si="2"/>
        <v>0.2515795915</v>
      </c>
    </row>
    <row r="1274">
      <c r="A1274" s="4">
        <v>1274.0</v>
      </c>
      <c r="B1274" s="5" t="s">
        <v>6864</v>
      </c>
      <c r="C1274" s="5" t="s">
        <v>6865</v>
      </c>
      <c r="D1274" s="5" t="s">
        <v>6866</v>
      </c>
      <c r="E1274" s="6" t="s">
        <v>24</v>
      </c>
      <c r="F1274" s="6" t="s">
        <v>6867</v>
      </c>
      <c r="G1274" s="3" t="str">
        <f>IFERROR(__xludf.DUMMYFUNCTION("REGEXREPLACE(
D1274,
""([一-龯々]+)\[([^\]]+)\]"",
""&lt;ruby&gt;$1&lt;rt&gt;$2&lt;/rt&gt;&lt;/ruby&gt;""
)&amp;""&lt;br&gt;&lt;div class=""""audio""""&gt;[sound:""&amp;C1274&amp;"".mp3]&lt;/div&gt;"""),"&lt;ruby&gt;受&lt;rt&gt;う&lt;/rt&gt;&lt;/ruby&gt;け&lt;ruby&gt;入&lt;rt&gt;い&lt;/rt&gt;&lt;/ruby&gt;れる&lt;br&gt;&lt;div class=""audio""&gt;[sound:うけいれる.mp3]&lt;/div&gt;")</f>
        <v>&lt;ruby&gt;受&lt;rt&gt;う&lt;/rt&gt;&lt;/ruby&gt;け&lt;ruby&gt;入&lt;rt&gt;い&lt;/rt&gt;&lt;/ruby&gt;れる&lt;br&gt;&lt;div class="audio"&gt;[sound:うけいれる.mp3]&lt;/div&gt;</v>
      </c>
      <c r="H1274" s="3" t="str">
        <f t="shared" si="1"/>
        <v>(v): chấp nhận</v>
      </c>
      <c r="I1274" s="6" t="s">
        <v>6868</v>
      </c>
      <c r="J1274" s="6" t="s">
        <v>6869</v>
      </c>
      <c r="K1274" s="7">
        <f t="shared" si="2"/>
        <v>0.1224032292</v>
      </c>
    </row>
    <row r="1275">
      <c r="A1275" s="4">
        <v>1275.0</v>
      </c>
      <c r="B1275" s="5" t="s">
        <v>6870</v>
      </c>
      <c r="C1275" s="5" t="s">
        <v>6871</v>
      </c>
      <c r="D1275" s="5" t="s">
        <v>6872</v>
      </c>
      <c r="E1275" s="6" t="s">
        <v>74</v>
      </c>
      <c r="F1275" s="6" t="s">
        <v>6873</v>
      </c>
      <c r="G1275" s="3" t="str">
        <f>IFERROR(__xludf.DUMMYFUNCTION("REGEXREPLACE(
D1275,
""([一-龯々]+)\[([^\]]+)\]"",
""&lt;ruby&gt;$1&lt;rt&gt;$2&lt;/rt&gt;&lt;/ruby&gt;""
)&amp;""&lt;br&gt;&lt;div class=""""audio""""&gt;[sound:""&amp;C1275&amp;"".mp3]&lt;/div&gt;"""),"&lt;ruby&gt;補助&lt;rt&gt;ほじょ&lt;/rt&gt;&lt;/ruby&gt;&lt;br&gt;&lt;div class=""audio""&gt;[sound:ほじょ.mp3]&lt;/div&gt;")</f>
        <v>&lt;ruby&gt;補助&lt;rt&gt;ほじょ&lt;/rt&gt;&lt;/ruby&gt;&lt;br&gt;&lt;div class="audio"&gt;[sound:ほじょ.mp3]&lt;/div&gt;</v>
      </c>
      <c r="H1275" s="3" t="str">
        <f t="shared" si="1"/>
        <v>(n): sự hỗ trợ</v>
      </c>
      <c r="I1275" s="6" t="s">
        <v>6874</v>
      </c>
      <c r="J1275" s="6" t="s">
        <v>6875</v>
      </c>
      <c r="K1275" s="7">
        <f t="shared" si="2"/>
        <v>0.2372321528</v>
      </c>
    </row>
    <row r="1276">
      <c r="A1276" s="4">
        <v>1276.0</v>
      </c>
      <c r="B1276" s="5" t="s">
        <v>6876</v>
      </c>
      <c r="C1276" s="5" t="s">
        <v>4530</v>
      </c>
      <c r="D1276" s="5" t="s">
        <v>6877</v>
      </c>
      <c r="E1276" s="6" t="s">
        <v>74</v>
      </c>
      <c r="F1276" s="6" t="s">
        <v>6878</v>
      </c>
      <c r="G1276" s="3" t="str">
        <f>IFERROR(__xludf.DUMMYFUNCTION("REGEXREPLACE(
D1276,
""([一-龯々]+)\[([^\]]+)\]"",
""&lt;ruby&gt;$1&lt;rt&gt;$2&lt;/rt&gt;&lt;/ruby&gt;""
)&amp;""&lt;br&gt;&lt;div class=""""audio""""&gt;[sound:""&amp;C1276&amp;"".mp3]&lt;/div&gt;"""),"&lt;ruby&gt;規格&lt;rt&gt;きかく&lt;/rt&gt;&lt;/ruby&gt;&lt;br&gt;&lt;div class=""audio""&gt;[sound:きかく.mp3]&lt;/div&gt;")</f>
        <v>&lt;ruby&gt;規格&lt;rt&gt;きかく&lt;/rt&gt;&lt;/ruby&gt;&lt;br&gt;&lt;div class="audio"&gt;[sound:きかく.mp3]&lt;/div&gt;</v>
      </c>
      <c r="H1276" s="3" t="str">
        <f t="shared" si="1"/>
        <v>(n): quy chuẩn</v>
      </c>
      <c r="I1276" s="6" t="s">
        <v>6879</v>
      </c>
      <c r="J1276" s="6" t="s">
        <v>6880</v>
      </c>
      <c r="K1276" s="7">
        <f t="shared" si="2"/>
        <v>0.3592462042</v>
      </c>
    </row>
    <row r="1277">
      <c r="A1277" s="4">
        <v>1277.0</v>
      </c>
      <c r="B1277" s="5" t="s">
        <v>6881</v>
      </c>
      <c r="C1277" s="5" t="s">
        <v>6882</v>
      </c>
      <c r="D1277" s="5" t="s">
        <v>6883</v>
      </c>
      <c r="E1277" s="6" t="s">
        <v>74</v>
      </c>
      <c r="F1277" s="6" t="s">
        <v>6884</v>
      </c>
      <c r="G1277" s="3" t="str">
        <f>IFERROR(__xludf.DUMMYFUNCTION("REGEXREPLACE(
D1277,
""([一-龯々]+)\[([^\]]+)\]"",
""&lt;ruby&gt;$1&lt;rt&gt;$2&lt;/rt&gt;&lt;/ruby&gt;""
)&amp;""&lt;br&gt;&lt;div class=""""audio""""&gt;[sound:""&amp;C1277&amp;"".mp3]&lt;/div&gt;"""),"&lt;ruby&gt;観点&lt;rt&gt;かんてん&lt;/rt&gt;&lt;/ruby&gt;&lt;br&gt;&lt;div class=""audio""&gt;[sound:かんてん.mp3]&lt;/div&gt;")</f>
        <v>&lt;ruby&gt;観点&lt;rt&gt;かんてん&lt;/rt&gt;&lt;/ruby&gt;&lt;br&gt;&lt;div class="audio"&gt;[sound:かんてん.mp3]&lt;/div&gt;</v>
      </c>
      <c r="H1277" s="3" t="str">
        <f t="shared" si="1"/>
        <v>(n): quan điểm</v>
      </c>
      <c r="I1277" s="6" t="s">
        <v>6885</v>
      </c>
      <c r="J1277" s="6" t="s">
        <v>6886</v>
      </c>
      <c r="K1277" s="7">
        <f t="shared" si="2"/>
        <v>0.6338487592</v>
      </c>
    </row>
    <row r="1278">
      <c r="A1278" s="4">
        <v>1278.0</v>
      </c>
      <c r="B1278" s="5" t="s">
        <v>6887</v>
      </c>
      <c r="C1278" s="5" t="s">
        <v>6888</v>
      </c>
      <c r="D1278" s="5" t="s">
        <v>6887</v>
      </c>
      <c r="E1278" s="6" t="s">
        <v>74</v>
      </c>
      <c r="F1278" s="6" t="s">
        <v>6889</v>
      </c>
      <c r="G1278" s="3" t="str">
        <f>IFERROR(__xludf.DUMMYFUNCTION("REGEXREPLACE(
D1278,
""([一-龯々]+)\[([^\]]+)\]"",
""&lt;ruby&gt;$1&lt;rt&gt;$2&lt;/rt&gt;&lt;/ruby&gt;""
)&amp;""&lt;br&gt;&lt;div class=""""audio""""&gt;[sound:""&amp;C1278&amp;"".mp3]&lt;/div&gt;"""),"ジャンル&lt;br&gt;&lt;div class=""audio""&gt;[sound:じゃんる.mp3]&lt;/div&gt;")</f>
        <v>ジャンル&lt;br&gt;&lt;div class="audio"&gt;[sound:じゃんる.mp3]&lt;/div&gt;</v>
      </c>
      <c r="H1278" s="3" t="str">
        <f t="shared" si="1"/>
        <v>(n): thể loại</v>
      </c>
      <c r="I1278" s="6" t="s">
        <v>6890</v>
      </c>
      <c r="J1278" s="6" t="s">
        <v>6891</v>
      </c>
      <c r="K1278" s="7">
        <f t="shared" si="2"/>
        <v>0.05792005165</v>
      </c>
    </row>
    <row r="1279">
      <c r="A1279" s="4">
        <v>1279.0</v>
      </c>
      <c r="B1279" s="5" t="s">
        <v>6892</v>
      </c>
      <c r="C1279" s="5" t="s">
        <v>6893</v>
      </c>
      <c r="D1279" s="5" t="s">
        <v>6892</v>
      </c>
      <c r="E1279" s="6" t="s">
        <v>74</v>
      </c>
      <c r="F1279" s="6" t="s">
        <v>6894</v>
      </c>
      <c r="G1279" s="3" t="str">
        <f>IFERROR(__xludf.DUMMYFUNCTION("REGEXREPLACE(
D1279,
""([一-龯々]+)\[([^\]]+)\]"",
""&lt;ruby&gt;$1&lt;rt&gt;$2&lt;/rt&gt;&lt;/ruby&gt;""
)&amp;""&lt;br&gt;&lt;div class=""""audio""""&gt;[sound:""&amp;C1279&amp;"".mp3]&lt;/div&gt;"""),"セール&lt;br&gt;&lt;div class=""audio""&gt;[sound:せーる.mp3]&lt;/div&gt;")</f>
        <v>セール&lt;br&gt;&lt;div class="audio"&gt;[sound:せーる.mp3]&lt;/div&gt;</v>
      </c>
      <c r="H1279" s="3" t="str">
        <f t="shared" si="1"/>
        <v>(n): giảm giá</v>
      </c>
      <c r="I1279" s="6" t="s">
        <v>6895</v>
      </c>
      <c r="J1279" s="6" t="s">
        <v>6896</v>
      </c>
      <c r="K1279" s="7">
        <f t="shared" si="2"/>
        <v>0.4682637</v>
      </c>
    </row>
    <row r="1280">
      <c r="A1280" s="4">
        <v>1280.0</v>
      </c>
      <c r="B1280" s="5" t="s">
        <v>6897</v>
      </c>
      <c r="C1280" s="5" t="s">
        <v>6898</v>
      </c>
      <c r="D1280" s="5" t="s">
        <v>6897</v>
      </c>
      <c r="E1280" s="6" t="s">
        <v>74</v>
      </c>
      <c r="F1280" s="6" t="s">
        <v>6899</v>
      </c>
      <c r="G1280" s="3" t="str">
        <f>IFERROR(__xludf.DUMMYFUNCTION("REGEXREPLACE(
D1280,
""([一-龯々]+)\[([^\]]+)\]"",
""&lt;ruby&gt;$1&lt;rt&gt;$2&lt;/rt&gt;&lt;/ruby&gt;""
)&amp;""&lt;br&gt;&lt;div class=""""audio""""&gt;[sound:""&amp;C1280&amp;"".mp3]&lt;/div&gt;"""),"マーク&lt;br&gt;&lt;div class=""audio""&gt;[sound:まーく.mp3]&lt;/div&gt;")</f>
        <v>マーク&lt;br&gt;&lt;div class="audio"&gt;[sound:まーく.mp3]&lt;/div&gt;</v>
      </c>
      <c r="H1280" s="3" t="str">
        <f t="shared" si="1"/>
        <v>(n): dấu hiệu</v>
      </c>
      <c r="I1280" s="6" t="s">
        <v>6900</v>
      </c>
      <c r="J1280" s="6" t="s">
        <v>6901</v>
      </c>
      <c r="K1280" s="7">
        <f t="shared" si="2"/>
        <v>0.4531279597</v>
      </c>
    </row>
    <row r="1281">
      <c r="A1281" s="4">
        <v>1281.0</v>
      </c>
      <c r="B1281" s="5" t="s">
        <v>6902</v>
      </c>
      <c r="C1281" s="5" t="s">
        <v>6903</v>
      </c>
      <c r="D1281" s="5" t="s">
        <v>6904</v>
      </c>
      <c r="E1281" s="6" t="s">
        <v>24</v>
      </c>
      <c r="F1281" s="6" t="s">
        <v>1076</v>
      </c>
      <c r="G1281" s="3" t="str">
        <f>IFERROR(__xludf.DUMMYFUNCTION("REGEXREPLACE(
D1281,
""([一-龯々]+)\[([^\]]+)\]"",
""&lt;ruby&gt;$1&lt;rt&gt;$2&lt;/rt&gt;&lt;/ruby&gt;""
)&amp;""&lt;br&gt;&lt;div class=""""audio""""&gt;[sound:""&amp;C1281&amp;"".mp3]&lt;/div&gt;"""),"&lt;ruby&gt;上昇&lt;rt&gt;じょうしょう&lt;/rt&gt;&lt;/ruby&gt;&lt;br&gt;&lt;div class=""audio""&gt;[sound:じょうしょう.mp3]&lt;/div&gt;")</f>
        <v>&lt;ruby&gt;上昇&lt;rt&gt;じょうしょう&lt;/rt&gt;&lt;/ruby&gt;&lt;br&gt;&lt;div class="audio"&gt;[sound:じょうしょう.mp3]&lt;/div&gt;</v>
      </c>
      <c r="H1281" s="3" t="str">
        <f t="shared" si="1"/>
        <v>(v): tăng lên</v>
      </c>
      <c r="I1281" s="6" t="s">
        <v>6905</v>
      </c>
      <c r="J1281" s="6" t="s">
        <v>6906</v>
      </c>
      <c r="K1281" s="7">
        <f t="shared" si="2"/>
        <v>0.6672201566</v>
      </c>
    </row>
    <row r="1282">
      <c r="A1282" s="4">
        <v>1282.0</v>
      </c>
      <c r="B1282" s="5" t="s">
        <v>6907</v>
      </c>
      <c r="C1282" s="5" t="s">
        <v>6908</v>
      </c>
      <c r="D1282" s="5" t="s">
        <v>6909</v>
      </c>
      <c r="E1282" s="6" t="s">
        <v>74</v>
      </c>
      <c r="F1282" s="6" t="s">
        <v>6910</v>
      </c>
      <c r="G1282" s="3" t="str">
        <f>IFERROR(__xludf.DUMMYFUNCTION("REGEXREPLACE(
D1282,
""([一-龯々]+)\[([^\]]+)\]"",
""&lt;ruby&gt;$1&lt;rt&gt;$2&lt;/rt&gt;&lt;/ruby&gt;""
)&amp;""&lt;br&gt;&lt;div class=""""audio""""&gt;[sound:""&amp;C1282&amp;"".mp3]&lt;/div&gt;"""),"&lt;ruby&gt;人材&lt;rt&gt;じんざい&lt;/rt&gt;&lt;/ruby&gt;&lt;br&gt;&lt;div class=""audio""&gt;[sound:じんざい.mp3]&lt;/div&gt;")</f>
        <v>&lt;ruby&gt;人材&lt;rt&gt;じんざい&lt;/rt&gt;&lt;/ruby&gt;&lt;br&gt;&lt;div class="audio"&gt;[sound:じんざい.mp3]&lt;/div&gt;</v>
      </c>
      <c r="H1282" s="3" t="str">
        <f t="shared" si="1"/>
        <v>(n): nhân tài</v>
      </c>
      <c r="I1282" s="6" t="s">
        <v>6911</v>
      </c>
      <c r="J1282" s="6" t="s">
        <v>6912</v>
      </c>
      <c r="K1282" s="7">
        <f t="shared" si="2"/>
        <v>0.2213567426</v>
      </c>
    </row>
    <row r="1283">
      <c r="A1283" s="4">
        <v>1283.0</v>
      </c>
      <c r="B1283" s="5" t="s">
        <v>6913</v>
      </c>
      <c r="C1283" s="5" t="s">
        <v>6914</v>
      </c>
      <c r="D1283" s="5" t="s">
        <v>6915</v>
      </c>
      <c r="E1283" s="6" t="s">
        <v>44</v>
      </c>
      <c r="F1283" s="6" t="s">
        <v>6916</v>
      </c>
      <c r="G1283" s="3" t="str">
        <f>IFERROR(__xludf.DUMMYFUNCTION("REGEXREPLACE(
D1283,
""([一-龯々]+)\[([^\]]+)\]"",
""&lt;ruby&gt;$1&lt;rt&gt;$2&lt;/rt&gt;&lt;/ruby&gt;""
)&amp;""&lt;br&gt;&lt;div class=""""audio""""&gt;[sound:""&amp;C1283&amp;"".mp3]&lt;/div&gt;"""),"&lt;ruby&gt;奴&lt;rt&gt;やつ&lt;/rt&gt;&lt;/ruby&gt;&lt;br&gt;&lt;div class=""audio""&gt;[sound:やつ.mp3]&lt;/div&gt;")</f>
        <v>&lt;ruby&gt;奴&lt;rt&gt;やつ&lt;/rt&gt;&lt;/ruby&gt;&lt;br&gt;&lt;div class="audio"&gt;[sound:やつ.mp3]&lt;/div&gt;</v>
      </c>
      <c r="H1283" s="3" t="str">
        <f t="shared" si="1"/>
        <v>(pron): thằng đó</v>
      </c>
      <c r="I1283" s="6" t="s">
        <v>6917</v>
      </c>
      <c r="J1283" s="6" t="s">
        <v>6918</v>
      </c>
      <c r="K1283" s="7">
        <f t="shared" si="2"/>
        <v>0.06538741121</v>
      </c>
    </row>
    <row r="1284">
      <c r="A1284" s="4">
        <v>1284.0</v>
      </c>
      <c r="B1284" s="5" t="s">
        <v>6919</v>
      </c>
      <c r="C1284" s="5" t="s">
        <v>6920</v>
      </c>
      <c r="D1284" s="5" t="s">
        <v>6921</v>
      </c>
      <c r="E1284" s="6" t="s">
        <v>74</v>
      </c>
      <c r="F1284" s="6" t="s">
        <v>6922</v>
      </c>
      <c r="G1284" s="3" t="str">
        <f>IFERROR(__xludf.DUMMYFUNCTION("REGEXREPLACE(
D1284,
""([一-龯々]+)\[([^\]]+)\]"",
""&lt;ruby&gt;$1&lt;rt&gt;$2&lt;/rt&gt;&lt;/ruby&gt;""
)&amp;""&lt;br&gt;&lt;div class=""""audio""""&gt;[sound:""&amp;C1284&amp;"".mp3]&lt;/div&gt;"""),"&lt;ruby&gt;条約&lt;rt&gt;じょうやく&lt;/rt&gt;&lt;/ruby&gt;&lt;br&gt;&lt;div class=""audio""&gt;[sound:じょうやく.mp3]&lt;/div&gt;")</f>
        <v>&lt;ruby&gt;条約&lt;rt&gt;じょうやく&lt;/rt&gt;&lt;/ruby&gt;&lt;br&gt;&lt;div class="audio"&gt;[sound:じょうやく.mp3]&lt;/div&gt;</v>
      </c>
      <c r="H1284" s="3" t="str">
        <f t="shared" si="1"/>
        <v>(n): hiệp ước</v>
      </c>
      <c r="I1284" s="6" t="s">
        <v>6923</v>
      </c>
      <c r="J1284" s="6" t="s">
        <v>6924</v>
      </c>
      <c r="K1284" s="7">
        <f t="shared" si="2"/>
        <v>0.5788439802</v>
      </c>
    </row>
    <row r="1285">
      <c r="A1285" s="4">
        <v>1285.0</v>
      </c>
      <c r="B1285" s="5" t="s">
        <v>6925</v>
      </c>
      <c r="C1285" s="5" t="s">
        <v>6926</v>
      </c>
      <c r="D1285" s="5" t="s">
        <v>6927</v>
      </c>
      <c r="E1285" s="6" t="s">
        <v>74</v>
      </c>
      <c r="F1285" s="6" t="s">
        <v>6928</v>
      </c>
      <c r="G1285" s="3" t="str">
        <f>IFERROR(__xludf.DUMMYFUNCTION("REGEXREPLACE(
D1285,
""([一-龯々]+)\[([^\]]+)\]"",
""&lt;ruby&gt;$1&lt;rt&gt;$2&lt;/rt&gt;&lt;/ruby&gt;""
)&amp;""&lt;br&gt;&lt;div class=""""audio""""&gt;[sound:""&amp;C1285&amp;"".mp3]&lt;/div&gt;"""),"&lt;ruby&gt;株式&lt;rt&gt;かぶしき&lt;/rt&gt;&lt;/ruby&gt;&lt;br&gt;&lt;div class=""audio""&gt;[sound:かぶしき.mp3]&lt;/div&gt;")</f>
        <v>&lt;ruby&gt;株式&lt;rt&gt;かぶしき&lt;/rt&gt;&lt;/ruby&gt;&lt;br&gt;&lt;div class="audio"&gt;[sound:かぶしき.mp3]&lt;/div&gt;</v>
      </c>
      <c r="H1285" s="3" t="str">
        <f t="shared" si="1"/>
        <v>(n): cổ phiếu</v>
      </c>
      <c r="I1285" s="6" t="s">
        <v>6929</v>
      </c>
      <c r="J1285" s="6" t="s">
        <v>6930</v>
      </c>
      <c r="K1285" s="7">
        <f t="shared" si="2"/>
        <v>0.3920395422</v>
      </c>
    </row>
    <row r="1286">
      <c r="A1286" s="4">
        <v>1286.0</v>
      </c>
      <c r="B1286" s="5" t="s">
        <v>6931</v>
      </c>
      <c r="C1286" s="5" t="s">
        <v>6932</v>
      </c>
      <c r="D1286" s="5" t="s">
        <v>6933</v>
      </c>
      <c r="E1286" s="6" t="s">
        <v>74</v>
      </c>
      <c r="F1286" s="6" t="s">
        <v>6934</v>
      </c>
      <c r="G1286" s="3" t="str">
        <f>IFERROR(__xludf.DUMMYFUNCTION("REGEXREPLACE(
D1286,
""([一-龯々]+)\[([^\]]+)\]"",
""&lt;ruby&gt;$1&lt;rt&gt;$2&lt;/rt&gt;&lt;/ruby&gt;""
)&amp;""&lt;br&gt;&lt;div class=""""audio""""&gt;[sound:""&amp;C1286&amp;"".mp3]&lt;/div&gt;"""),"&lt;ruby&gt;装備&lt;rt&gt;そうび&lt;/rt&gt;&lt;/ruby&gt;&lt;br&gt;&lt;div class=""audio""&gt;[sound:そうび.mp3]&lt;/div&gt;")</f>
        <v>&lt;ruby&gt;装備&lt;rt&gt;そうび&lt;/rt&gt;&lt;/ruby&gt;&lt;br&gt;&lt;div class="audio"&gt;[sound:そうび.mp3]&lt;/div&gt;</v>
      </c>
      <c r="H1286" s="3" t="str">
        <f t="shared" si="1"/>
        <v>(n): trang bị</v>
      </c>
      <c r="I1286" s="6" t="s">
        <v>6935</v>
      </c>
      <c r="J1286" s="6" t="s">
        <v>6936</v>
      </c>
      <c r="K1286" s="7">
        <f t="shared" si="2"/>
        <v>0.7318078849</v>
      </c>
    </row>
    <row r="1287">
      <c r="A1287" s="4">
        <v>1287.0</v>
      </c>
      <c r="B1287" s="5" t="s">
        <v>6937</v>
      </c>
      <c r="C1287" s="5" t="s">
        <v>6938</v>
      </c>
      <c r="D1287" s="5" t="s">
        <v>6939</v>
      </c>
      <c r="E1287" s="6" t="s">
        <v>74</v>
      </c>
      <c r="F1287" s="6" t="s">
        <v>6940</v>
      </c>
      <c r="G1287" s="3" t="str">
        <f>IFERROR(__xludf.DUMMYFUNCTION("REGEXREPLACE(
D1287,
""([一-龯々]+)\[([^\]]+)\]"",
""&lt;ruby&gt;$1&lt;rt&gt;$2&lt;/rt&gt;&lt;/ruby&gt;""
)&amp;""&lt;br&gt;&lt;div class=""""audio""""&gt;[sound:""&amp;C1287&amp;"".mp3]&lt;/div&gt;"""),"&lt;ruby&gt;証拠&lt;rt&gt;しょうこ&lt;/rt&gt;&lt;/ruby&gt;&lt;br&gt;&lt;div class=""audio""&gt;[sound:しょうこ.mp3]&lt;/div&gt;")</f>
        <v>&lt;ruby&gt;証拠&lt;rt&gt;しょうこ&lt;/rt&gt;&lt;/ruby&gt;&lt;br&gt;&lt;div class="audio"&gt;[sound:しょうこ.mp3]&lt;/div&gt;</v>
      </c>
      <c r="H1287" s="3" t="str">
        <f t="shared" si="1"/>
        <v>(n): chứng cứ</v>
      </c>
      <c r="I1287" s="6" t="s">
        <v>6941</v>
      </c>
      <c r="J1287" s="6" t="s">
        <v>6942</v>
      </c>
      <c r="K1287" s="7">
        <f t="shared" si="2"/>
        <v>0.006872668687</v>
      </c>
    </row>
    <row r="1288">
      <c r="A1288" s="4">
        <v>1288.0</v>
      </c>
      <c r="B1288" s="5" t="s">
        <v>6943</v>
      </c>
      <c r="C1288" s="5" t="s">
        <v>6944</v>
      </c>
      <c r="D1288" s="5" t="s">
        <v>6945</v>
      </c>
      <c r="E1288" s="6" t="s">
        <v>74</v>
      </c>
      <c r="F1288" s="6" t="s">
        <v>6946</v>
      </c>
      <c r="G1288" s="3" t="str">
        <f>IFERROR(__xludf.DUMMYFUNCTION("REGEXREPLACE(
D1288,
""([一-龯々]+)\[([^\]]+)\]"",
""&lt;ruby&gt;$1&lt;rt&gt;$2&lt;/rt&gt;&lt;/ruby&gt;""
)&amp;""&lt;br&gt;&lt;div class=""""audio""""&gt;[sound:""&amp;C1288&amp;"".mp3]&lt;/div&gt;"""),"&lt;ruby&gt;領域&lt;rt&gt;りょういき&lt;/rt&gt;&lt;/ruby&gt;&lt;br&gt;&lt;div class=""audio""&gt;[sound:りょういき.mp3]&lt;/div&gt;")</f>
        <v>&lt;ruby&gt;領域&lt;rt&gt;りょういき&lt;/rt&gt;&lt;/ruby&gt;&lt;br&gt;&lt;div class="audio"&gt;[sound:りょういき.mp3]&lt;/div&gt;</v>
      </c>
      <c r="H1288" s="3" t="str">
        <f t="shared" si="1"/>
        <v>(n): lĩnh vực</v>
      </c>
      <c r="I1288" s="6" t="s">
        <v>6947</v>
      </c>
      <c r="J1288" s="6" t="s">
        <v>6948</v>
      </c>
      <c r="K1288" s="7">
        <f t="shared" si="2"/>
        <v>0.4990249506</v>
      </c>
    </row>
    <row r="1289">
      <c r="A1289" s="4">
        <v>1289.0</v>
      </c>
      <c r="B1289" s="5" t="s">
        <v>6949</v>
      </c>
      <c r="C1289" s="5" t="s">
        <v>6949</v>
      </c>
      <c r="D1289" s="5" t="s">
        <v>6949</v>
      </c>
      <c r="E1289" s="6" t="s">
        <v>85</v>
      </c>
      <c r="F1289" s="6" t="s">
        <v>6950</v>
      </c>
      <c r="G1289" s="3" t="str">
        <f>IFERROR(__xludf.DUMMYFUNCTION("REGEXREPLACE(
D1289,
""([一-龯々]+)\[([^\]]+)\]"",
""&lt;ruby&gt;$1&lt;rt&gt;$2&lt;/rt&gt;&lt;/ruby&gt;""
)&amp;""&lt;br&gt;&lt;div class=""""audio""""&gt;[sound:""&amp;C1289&amp;"".mp3]&lt;/div&gt;"""),"いかに&lt;br&gt;&lt;div class=""audio""&gt;[sound:いかに.mp3]&lt;/div&gt;")</f>
        <v>いかに&lt;br&gt;&lt;div class="audio"&gt;[sound:いかに.mp3]&lt;/div&gt;</v>
      </c>
      <c r="H1289" s="3" t="str">
        <f t="shared" si="1"/>
        <v>(adv): thế nào</v>
      </c>
      <c r="I1289" s="6" t="s">
        <v>6951</v>
      </c>
      <c r="J1289" s="6" t="s">
        <v>6952</v>
      </c>
      <c r="K1289" s="7">
        <f t="shared" si="2"/>
        <v>0.4109796312</v>
      </c>
    </row>
    <row r="1290">
      <c r="A1290" s="4">
        <v>1290.0</v>
      </c>
      <c r="B1290" s="5" t="s">
        <v>6953</v>
      </c>
      <c r="C1290" s="5" t="s">
        <v>6953</v>
      </c>
      <c r="D1290" s="5" t="s">
        <v>6953</v>
      </c>
      <c r="E1290" s="6" t="s">
        <v>24</v>
      </c>
      <c r="F1290" s="6" t="s">
        <v>6954</v>
      </c>
      <c r="G1290" s="3" t="str">
        <f>IFERROR(__xludf.DUMMYFUNCTION("REGEXREPLACE(
D1290,
""([一-龯々]+)\[([^\]]+)\]"",
""&lt;ruby&gt;$1&lt;rt&gt;$2&lt;/rt&gt;&lt;/ruby&gt;""
)&amp;""&lt;br&gt;&lt;div class=""""audio""""&gt;[sound:""&amp;C1290&amp;"".mp3]&lt;/div&gt;"""),"もたらす&lt;br&gt;&lt;div class=""audio""&gt;[sound:もたらす.mp3]&lt;/div&gt;")</f>
        <v>もたらす&lt;br&gt;&lt;div class="audio"&gt;[sound:もたらす.mp3]&lt;/div&gt;</v>
      </c>
      <c r="H1290" s="3" t="str">
        <f t="shared" si="1"/>
        <v>(v): đem lại</v>
      </c>
      <c r="I1290" s="6" t="s">
        <v>6955</v>
      </c>
      <c r="J1290" s="6" t="s">
        <v>6956</v>
      </c>
      <c r="K1290" s="7">
        <f t="shared" si="2"/>
        <v>0.9482822854</v>
      </c>
    </row>
    <row r="1291">
      <c r="A1291" s="4">
        <v>1291.0</v>
      </c>
      <c r="B1291" s="5" t="s">
        <v>6957</v>
      </c>
      <c r="C1291" s="5" t="s">
        <v>6958</v>
      </c>
      <c r="D1291" s="5" t="s">
        <v>6959</v>
      </c>
      <c r="E1291" s="6" t="s">
        <v>74</v>
      </c>
      <c r="F1291" s="6" t="s">
        <v>1320</v>
      </c>
      <c r="G1291" s="3" t="str">
        <f>IFERROR(__xludf.DUMMYFUNCTION("REGEXREPLACE(
D1291,
""([一-龯々]+)\[([^\]]+)\]"",
""&lt;ruby&gt;$1&lt;rt&gt;$2&lt;/rt&gt;&lt;/ruby&gt;""
)&amp;""&lt;br&gt;&lt;div class=""""audio""""&gt;[sound:""&amp;C1291&amp;"".mp3]&lt;/div&gt;"""),"&lt;ruby&gt;上&lt;rt&gt;あ&lt;/rt&gt;&lt;/ruby&gt;がり&lt;br&gt;&lt;div class=""audio""&gt;[sound:あがり.mp3]&lt;/div&gt;")</f>
        <v>&lt;ruby&gt;上&lt;rt&gt;あ&lt;/rt&gt;&lt;/ruby&gt;がり&lt;br&gt;&lt;div class="audio"&gt;[sound:あがり.mp3]&lt;/div&gt;</v>
      </c>
      <c r="H1291" s="3" t="str">
        <f t="shared" si="1"/>
        <v>(n): kết quả</v>
      </c>
      <c r="I1291" s="6" t="s">
        <v>6960</v>
      </c>
      <c r="J1291" s="6" t="s">
        <v>6961</v>
      </c>
      <c r="K1291" s="7">
        <f t="shared" si="2"/>
        <v>0.7030333399</v>
      </c>
    </row>
    <row r="1292">
      <c r="A1292" s="4">
        <v>1292.0</v>
      </c>
      <c r="B1292" s="5" t="s">
        <v>6962</v>
      </c>
      <c r="C1292" s="5" t="s">
        <v>6963</v>
      </c>
      <c r="D1292" s="5" t="s">
        <v>6964</v>
      </c>
      <c r="E1292" s="6" t="s">
        <v>74</v>
      </c>
      <c r="F1292" s="6" t="s">
        <v>6965</v>
      </c>
      <c r="G1292" s="3" t="str">
        <f>IFERROR(__xludf.DUMMYFUNCTION("REGEXREPLACE(
D1292,
""([一-龯々]+)\[([^\]]+)\]"",
""&lt;ruby&gt;$1&lt;rt&gt;$2&lt;/rt&gt;&lt;/ruby&gt;""
)&amp;""&lt;br&gt;&lt;div class=""""audio""""&gt;[sound:""&amp;C1292&amp;"".mp3]&lt;/div&gt;"""),"&lt;ruby&gt;作&lt;rt&gt;つく&lt;/rt&gt;&lt;/ruby&gt;り&lt;br&gt;&lt;div class=""audio""&gt;[sound:つくり.mp3]&lt;/div&gt;")</f>
        <v>&lt;ruby&gt;作&lt;rt&gt;つく&lt;/rt&gt;&lt;/ruby&gt;り&lt;br&gt;&lt;div class="audio"&gt;[sound:つくり.mp3]&lt;/div&gt;</v>
      </c>
      <c r="H1292" s="3" t="str">
        <f t="shared" si="1"/>
        <v>(n): cấu tạo</v>
      </c>
      <c r="I1292" s="6" t="s">
        <v>6966</v>
      </c>
      <c r="J1292" s="6" t="s">
        <v>6967</v>
      </c>
      <c r="K1292" s="7">
        <f t="shared" si="2"/>
        <v>0.7322452829</v>
      </c>
    </row>
    <row r="1293">
      <c r="A1293" s="4">
        <v>1293.0</v>
      </c>
      <c r="B1293" s="5" t="s">
        <v>6968</v>
      </c>
      <c r="C1293" s="5" t="s">
        <v>6969</v>
      </c>
      <c r="D1293" s="5" t="s">
        <v>6970</v>
      </c>
      <c r="E1293" s="6" t="s">
        <v>74</v>
      </c>
      <c r="F1293" s="6" t="s">
        <v>6971</v>
      </c>
      <c r="G1293" s="3" t="str">
        <f>IFERROR(__xludf.DUMMYFUNCTION("REGEXREPLACE(
D1293,
""([一-龯々]+)\[([^\]]+)\]"",
""&lt;ruby&gt;$1&lt;rt&gt;$2&lt;/rt&gt;&lt;/ruby&gt;""
)&amp;""&lt;br&gt;&lt;div class=""""audio""""&gt;[sound:""&amp;C1293&amp;"".mp3]&lt;/div&gt;"""),"&lt;ruby&gt;使命&lt;rt&gt;しめい&lt;/rt&gt;&lt;/ruby&gt;&lt;br&gt;&lt;div class=""audio""&gt;[sound:しめい.mp3]&lt;/div&gt;")</f>
        <v>&lt;ruby&gt;使命&lt;rt&gt;しめい&lt;/rt&gt;&lt;/ruby&gt;&lt;br&gt;&lt;div class="audio"&gt;[sound:しめい.mp3]&lt;/div&gt;</v>
      </c>
      <c r="H1293" s="3" t="str">
        <f t="shared" si="1"/>
        <v>(n): sứ mệnh</v>
      </c>
      <c r="I1293" s="6" t="s">
        <v>6972</v>
      </c>
      <c r="J1293" s="6" t="s">
        <v>6973</v>
      </c>
      <c r="K1293" s="7">
        <f t="shared" si="2"/>
        <v>0.4459449675</v>
      </c>
    </row>
    <row r="1294">
      <c r="A1294" s="4">
        <v>1294.0</v>
      </c>
      <c r="B1294" s="5" t="s">
        <v>6974</v>
      </c>
      <c r="C1294" s="5" t="s">
        <v>6975</v>
      </c>
      <c r="D1294" s="5" t="s">
        <v>6976</v>
      </c>
      <c r="E1294" s="6" t="s">
        <v>74</v>
      </c>
      <c r="F1294" s="6" t="s">
        <v>6977</v>
      </c>
      <c r="G1294" s="3" t="str">
        <f>IFERROR(__xludf.DUMMYFUNCTION("REGEXREPLACE(
D1294,
""([一-龯々]+)\[([^\]]+)\]"",
""&lt;ruby&gt;$1&lt;rt&gt;$2&lt;/rt&gt;&lt;/ruby&gt;""
)&amp;""&lt;br&gt;&lt;div class=""""audio""""&gt;[sound:""&amp;C1294&amp;"".mp3]&lt;/div&gt;"""),"&lt;ruby&gt;側面&lt;rt&gt;そくめん&lt;/rt&gt;&lt;/ruby&gt;&lt;br&gt;&lt;div class=""audio""&gt;[sound:そくめん.mp3]&lt;/div&gt;")</f>
        <v>&lt;ruby&gt;側面&lt;rt&gt;そくめん&lt;/rt&gt;&lt;/ruby&gt;&lt;br&gt;&lt;div class="audio"&gt;[sound:そくめん.mp3]&lt;/div&gt;</v>
      </c>
      <c r="H1294" s="3" t="str">
        <f t="shared" si="1"/>
        <v>(n): mặt bên</v>
      </c>
      <c r="I1294" s="6" t="s">
        <v>6978</v>
      </c>
      <c r="J1294" s="6" t="s">
        <v>6979</v>
      </c>
      <c r="K1294" s="7">
        <f t="shared" si="2"/>
        <v>0.5588729369</v>
      </c>
    </row>
    <row r="1295">
      <c r="A1295" s="4">
        <v>1295.0</v>
      </c>
      <c r="B1295" s="5" t="s">
        <v>6980</v>
      </c>
      <c r="C1295" s="5" t="s">
        <v>6981</v>
      </c>
      <c r="D1295" s="5" t="s">
        <v>6982</v>
      </c>
      <c r="E1295" s="6" t="s">
        <v>74</v>
      </c>
      <c r="F1295" s="6" t="s">
        <v>6983</v>
      </c>
      <c r="G1295" s="3" t="str">
        <f>IFERROR(__xludf.DUMMYFUNCTION("REGEXREPLACE(
D1295,
""([一-龯々]+)\[([^\]]+)\]"",
""&lt;ruby&gt;$1&lt;rt&gt;$2&lt;/rt&gt;&lt;/ruby&gt;""
)&amp;""&lt;br&gt;&lt;div class=""""audio""""&gt;[sound:""&amp;C1295&amp;"".mp3]&lt;/div&gt;"""),"&lt;ruby&gt;前提&lt;rt&gt;ぜんてい&lt;/rt&gt;&lt;/ruby&gt;&lt;br&gt;&lt;div class=""audio""&gt;[sound:ぜんてい.mp3]&lt;/div&gt;")</f>
        <v>&lt;ruby&gt;前提&lt;rt&gt;ぜんてい&lt;/rt&gt;&lt;/ruby&gt;&lt;br&gt;&lt;div class="audio"&gt;[sound:ぜんてい.mp3]&lt;/div&gt;</v>
      </c>
      <c r="H1295" s="3" t="str">
        <f t="shared" si="1"/>
        <v>(n): tiền đề</v>
      </c>
      <c r="I1295" s="6" t="s">
        <v>6984</v>
      </c>
      <c r="J1295" s="6" t="s">
        <v>6985</v>
      </c>
      <c r="K1295" s="7">
        <f t="shared" si="2"/>
        <v>0.07148374056</v>
      </c>
    </row>
    <row r="1296">
      <c r="A1296" s="4">
        <v>1296.0</v>
      </c>
      <c r="B1296" s="5" t="s">
        <v>6986</v>
      </c>
      <c r="C1296" s="5" t="s">
        <v>6987</v>
      </c>
      <c r="D1296" s="5" t="s">
        <v>6988</v>
      </c>
      <c r="E1296" s="6" t="s">
        <v>11</v>
      </c>
      <c r="F1296" s="6" t="s">
        <v>6989</v>
      </c>
      <c r="G1296" s="3" t="str">
        <f>IFERROR(__xludf.DUMMYFUNCTION("REGEXREPLACE(
D1296,
""([一-龯々]+)\[([^\]]+)\]"",
""&lt;ruby&gt;$1&lt;rt&gt;$2&lt;/rt&gt;&lt;/ruby&gt;""
)&amp;""&lt;br&gt;&lt;div class=""""audio""""&gt;[sound:""&amp;C1296&amp;"".mp3]&lt;/div&gt;"""),"&lt;ruby&gt;著&lt;rt&gt;いちじる&lt;/rt&gt;&lt;/ruby&gt;しい&lt;br&gt;&lt;div class=""audio""&gt;[sound:いちじるしい.mp3]&lt;/div&gt;")</f>
        <v>&lt;ruby&gt;著&lt;rt&gt;いちじる&lt;/rt&gt;&lt;/ruby&gt;しい&lt;br&gt;&lt;div class="audio"&gt;[sound:いちじるしい.mp3]&lt;/div&gt;</v>
      </c>
      <c r="H1296" s="3" t="str">
        <f t="shared" si="1"/>
        <v>(adj): đáng kể</v>
      </c>
      <c r="I1296" s="6" t="s">
        <v>6990</v>
      </c>
      <c r="J1296" s="6" t="s">
        <v>6991</v>
      </c>
      <c r="K1296" s="7">
        <f t="shared" si="2"/>
        <v>0.0478159343</v>
      </c>
    </row>
    <row r="1297">
      <c r="A1297" s="4">
        <v>1297.0</v>
      </c>
      <c r="B1297" s="5" t="s">
        <v>6992</v>
      </c>
      <c r="C1297" s="5" t="s">
        <v>6993</v>
      </c>
      <c r="D1297" s="5" t="s">
        <v>6994</v>
      </c>
      <c r="E1297" s="6" t="s">
        <v>74</v>
      </c>
      <c r="F1297" s="6" t="s">
        <v>6995</v>
      </c>
      <c r="G1297" s="3" t="str">
        <f>IFERROR(__xludf.DUMMYFUNCTION("REGEXREPLACE(
D1297,
""([一-龯々]+)\[([^\]]+)\]"",
""&lt;ruby&gt;$1&lt;rt&gt;$2&lt;/rt&gt;&lt;/ruby&gt;""
)&amp;""&lt;br&gt;&lt;div class=""""audio""""&gt;[sound:""&amp;C1297&amp;"".mp3]&lt;/div&gt;"""),"&lt;ruby&gt;資産&lt;rt&gt;しさん&lt;/rt&gt;&lt;/ruby&gt;&lt;br&gt;&lt;div class=""audio""&gt;[sound:しさん.mp3]&lt;/div&gt;")</f>
        <v>&lt;ruby&gt;資産&lt;rt&gt;しさん&lt;/rt&gt;&lt;/ruby&gt;&lt;br&gt;&lt;div class="audio"&gt;[sound:しさん.mp3]&lt;/div&gt;</v>
      </c>
      <c r="H1297" s="3" t="str">
        <f t="shared" si="1"/>
        <v>(n): tài sản</v>
      </c>
      <c r="I1297" s="6" t="s">
        <v>6996</v>
      </c>
      <c r="J1297" s="6" t="s">
        <v>6997</v>
      </c>
      <c r="K1297" s="7">
        <f t="shared" si="2"/>
        <v>0.3985141067</v>
      </c>
    </row>
    <row r="1298">
      <c r="A1298" s="4">
        <v>1298.0</v>
      </c>
      <c r="B1298" s="5" t="s">
        <v>6998</v>
      </c>
      <c r="C1298" s="5" t="s">
        <v>6999</v>
      </c>
      <c r="D1298" s="5" t="s">
        <v>7000</v>
      </c>
      <c r="E1298" s="6" t="s">
        <v>74</v>
      </c>
      <c r="F1298" s="6" t="s">
        <v>7001</v>
      </c>
      <c r="G1298" s="3" t="str">
        <f>IFERROR(__xludf.DUMMYFUNCTION("REGEXREPLACE(
D1298,
""([一-龯々]+)\[([^\]]+)\]"",
""&lt;ruby&gt;$1&lt;rt&gt;$2&lt;/rt&gt;&lt;/ruby&gt;""
)&amp;""&lt;br&gt;&lt;div class=""""audio""""&gt;[sound:""&amp;C1298&amp;"".mp3]&lt;/div&gt;"""),"&lt;ruby&gt;運命&lt;rt&gt;うんめい&lt;/rt&gt;&lt;/ruby&gt;&lt;br&gt;&lt;div class=""audio""&gt;[sound:うんめい.mp3]&lt;/div&gt;")</f>
        <v>&lt;ruby&gt;運命&lt;rt&gt;うんめい&lt;/rt&gt;&lt;/ruby&gt;&lt;br&gt;&lt;div class="audio"&gt;[sound:うんめい.mp3]&lt;/div&gt;</v>
      </c>
      <c r="H1298" s="3" t="str">
        <f t="shared" si="1"/>
        <v>(n): số phận</v>
      </c>
      <c r="I1298" s="6" t="s">
        <v>7002</v>
      </c>
      <c r="J1298" s="6" t="s">
        <v>7003</v>
      </c>
      <c r="K1298" s="7">
        <f t="shared" si="2"/>
        <v>0.5965063008</v>
      </c>
    </row>
    <row r="1299">
      <c r="A1299" s="4">
        <v>1299.0</v>
      </c>
      <c r="B1299" s="5" t="s">
        <v>7004</v>
      </c>
      <c r="C1299" s="5" t="s">
        <v>7004</v>
      </c>
      <c r="D1299" s="5" t="s">
        <v>7004</v>
      </c>
      <c r="E1299" s="6" t="s">
        <v>85</v>
      </c>
      <c r="F1299" s="6" t="s">
        <v>7005</v>
      </c>
      <c r="G1299" s="3" t="str">
        <f>IFERROR(__xludf.DUMMYFUNCTION("REGEXREPLACE(
D1299,
""([一-龯々]+)\[([^\]]+)\]"",
""&lt;ruby&gt;$1&lt;rt&gt;$2&lt;/rt&gt;&lt;/ruby&gt;""
)&amp;""&lt;br&gt;&lt;div class=""""audio""""&gt;[sound:""&amp;C1299&amp;"".mp3]&lt;/div&gt;"""),"かりに&lt;br&gt;&lt;div class=""audio""&gt;[sound:かりに.mp3]&lt;/div&gt;")</f>
        <v>かりに&lt;br&gt;&lt;div class="audio"&gt;[sound:かりに.mp3]&lt;/div&gt;</v>
      </c>
      <c r="H1299" s="3" t="str">
        <f t="shared" si="1"/>
        <v>(adv): giả sử</v>
      </c>
      <c r="I1299" s="6" t="s">
        <v>7006</v>
      </c>
      <c r="J1299" s="6" t="s">
        <v>7007</v>
      </c>
      <c r="K1299" s="7">
        <f t="shared" si="2"/>
        <v>0.946696679</v>
      </c>
    </row>
    <row r="1300">
      <c r="A1300" s="4">
        <v>1300.0</v>
      </c>
      <c r="B1300" s="5" t="s">
        <v>7008</v>
      </c>
      <c r="C1300" s="5" t="s">
        <v>7009</v>
      </c>
      <c r="D1300" s="5" t="s">
        <v>7008</v>
      </c>
      <c r="E1300" s="6" t="s">
        <v>74</v>
      </c>
      <c r="F1300" s="6" t="s">
        <v>7010</v>
      </c>
      <c r="G1300" s="3" t="str">
        <f>IFERROR(__xludf.DUMMYFUNCTION("REGEXREPLACE(
D1300,
""([一-龯々]+)\[([^\]]+)\]"",
""&lt;ruby&gt;$1&lt;rt&gt;$2&lt;/rt&gt;&lt;/ruby&gt;""
)&amp;""&lt;br&gt;&lt;div class=""""audio""""&gt;[sound:""&amp;C1300&amp;"".mp3]&lt;/div&gt;"""),"クイズ&lt;br&gt;&lt;div class=""audio""&gt;[sound:くいず.mp3]&lt;/div&gt;")</f>
        <v>クイズ&lt;br&gt;&lt;div class="audio"&gt;[sound:くいず.mp3]&lt;/div&gt;</v>
      </c>
      <c r="H1300" s="3" t="str">
        <f t="shared" si="1"/>
        <v>(n): đố vui</v>
      </c>
      <c r="I1300" s="6" t="s">
        <v>7011</v>
      </c>
      <c r="J1300" s="6" t="s">
        <v>7012</v>
      </c>
      <c r="K1300" s="7">
        <f t="shared" si="2"/>
        <v>0.8752701131</v>
      </c>
    </row>
    <row r="1301">
      <c r="A1301" s="4">
        <v>1301.0</v>
      </c>
      <c r="B1301" s="5" t="s">
        <v>7013</v>
      </c>
      <c r="C1301" s="5" t="s">
        <v>7013</v>
      </c>
      <c r="D1301" s="5" t="s">
        <v>7013</v>
      </c>
      <c r="E1301" s="6" t="s">
        <v>24</v>
      </c>
      <c r="F1301" s="6" t="s">
        <v>7014</v>
      </c>
      <c r="G1301" s="3" t="str">
        <f>IFERROR(__xludf.DUMMYFUNCTION("REGEXREPLACE(
D1301,
""([一-龯々]+)\[([^\]]+)\]"",
""&lt;ruby&gt;$1&lt;rt&gt;$2&lt;/rt&gt;&lt;/ruby&gt;""
)&amp;""&lt;br&gt;&lt;div class=""""audio""""&gt;[sound:""&amp;C1301&amp;"".mp3]&lt;/div&gt;"""),"こだわる&lt;br&gt;&lt;div class=""audio""&gt;[sound:こだわる.mp3]&lt;/div&gt;")</f>
        <v>こだわる&lt;br&gt;&lt;div class="audio"&gt;[sound:こだわる.mp3]&lt;/div&gt;</v>
      </c>
      <c r="H1301" s="3" t="str">
        <f t="shared" si="1"/>
        <v>(v): câu nệ</v>
      </c>
      <c r="I1301" s="6" t="s">
        <v>7015</v>
      </c>
      <c r="J1301" s="6" t="s">
        <v>7016</v>
      </c>
      <c r="K1301" s="7">
        <f t="shared" si="2"/>
        <v>0.06690348104</v>
      </c>
    </row>
    <row r="1302">
      <c r="A1302" s="4">
        <v>1302.0</v>
      </c>
      <c r="B1302" s="5" t="s">
        <v>7017</v>
      </c>
      <c r="C1302" s="5" t="s">
        <v>7018</v>
      </c>
      <c r="D1302" s="5" t="s">
        <v>7017</v>
      </c>
      <c r="E1302" s="6" t="s">
        <v>74</v>
      </c>
      <c r="F1302" s="6" t="s">
        <v>7019</v>
      </c>
      <c r="G1302" s="3" t="str">
        <f>IFERROR(__xludf.DUMMYFUNCTION("REGEXREPLACE(
D1302,
""([一-龯々]+)\[([^\]]+)\]"",
""&lt;ruby&gt;$1&lt;rt&gt;$2&lt;/rt&gt;&lt;/ruby&gt;""
)&amp;""&lt;br&gt;&lt;div class=""""audio""""&gt;[sound:""&amp;C1302&amp;"".mp3]&lt;/div&gt;"""),"ドライバー&lt;br&gt;&lt;div class=""audio""&gt;[sound:どらいばー.mp3]&lt;/div&gt;")</f>
        <v>ドライバー&lt;br&gt;&lt;div class="audio"&gt;[sound:どらいばー.mp3]&lt;/div&gt;</v>
      </c>
      <c r="H1302" s="3" t="str">
        <f t="shared" si="1"/>
        <v>(n): tài xế</v>
      </c>
      <c r="I1302" s="6" t="s">
        <v>7020</v>
      </c>
      <c r="J1302" s="6" t="s">
        <v>7021</v>
      </c>
      <c r="K1302" s="7">
        <f t="shared" si="2"/>
        <v>0.08528124928</v>
      </c>
    </row>
    <row r="1303">
      <c r="A1303" s="4">
        <v>1303.0</v>
      </c>
      <c r="B1303" s="5" t="s">
        <v>7022</v>
      </c>
      <c r="C1303" s="5" t="s">
        <v>7023</v>
      </c>
      <c r="D1303" s="5" t="s">
        <v>7022</v>
      </c>
      <c r="E1303" s="6" t="s">
        <v>74</v>
      </c>
      <c r="F1303" s="6" t="s">
        <v>7024</v>
      </c>
      <c r="G1303" s="3" t="str">
        <f>IFERROR(__xludf.DUMMYFUNCTION("REGEXREPLACE(
D1303,
""([一-龯々]+)\[([^\]]+)\]"",
""&lt;ruby&gt;$1&lt;rt&gt;$2&lt;/rt&gt;&lt;/ruby&gt;""
)&amp;""&lt;br&gt;&lt;div class=""""audio""""&gt;[sound:""&amp;C1303&amp;"".mp3]&lt;/div&gt;"""),"ポジション&lt;br&gt;&lt;div class=""audio""&gt;[sound:ぽじしょん.mp3]&lt;/div&gt;")</f>
        <v>ポジション&lt;br&gt;&lt;div class="audio"&gt;[sound:ぽじしょん.mp3]&lt;/div&gt;</v>
      </c>
      <c r="H1303" s="3" t="str">
        <f t="shared" si="1"/>
        <v>(n): vị trí</v>
      </c>
      <c r="I1303" s="6" t="s">
        <v>7025</v>
      </c>
      <c r="J1303" s="6" t="s">
        <v>7026</v>
      </c>
      <c r="K1303" s="7">
        <f t="shared" si="2"/>
        <v>0.01053939585</v>
      </c>
    </row>
    <row r="1304">
      <c r="A1304" s="4">
        <v>1304.0</v>
      </c>
      <c r="B1304" s="5" t="s">
        <v>7027</v>
      </c>
      <c r="C1304" s="5" t="s">
        <v>7028</v>
      </c>
      <c r="D1304" s="5" t="s">
        <v>7029</v>
      </c>
      <c r="E1304" s="6" t="s">
        <v>74</v>
      </c>
      <c r="F1304" s="6" t="s">
        <v>3957</v>
      </c>
      <c r="G1304" s="3" t="str">
        <f>IFERROR(__xludf.DUMMYFUNCTION("REGEXREPLACE(
D1304,
""([一-龯々]+)\[([^\]]+)\]"",
""&lt;ruby&gt;$1&lt;rt&gt;$2&lt;/rt&gt;&lt;/ruby&gt;""
)&amp;""&lt;br&gt;&lt;div class=""""audio""""&gt;[sound:""&amp;C1304&amp;"".mp3]&lt;/div&gt;"""),"&lt;ruby&gt;一切&lt;rt&gt;いっさい&lt;/rt&gt;&lt;/ruby&gt;&lt;br&gt;&lt;div class=""audio""&gt;[sound:いっさい.mp3]&lt;/div&gt;")</f>
        <v>&lt;ruby&gt;一切&lt;rt&gt;いっさい&lt;/rt&gt;&lt;/ruby&gt;&lt;br&gt;&lt;div class="audio"&gt;[sound:いっさい.mp3]&lt;/div&gt;</v>
      </c>
      <c r="H1304" s="3" t="str">
        <f t="shared" si="1"/>
        <v>(n): tất cả</v>
      </c>
      <c r="I1304" s="6" t="s">
        <v>7030</v>
      </c>
      <c r="J1304" s="6" t="s">
        <v>7031</v>
      </c>
      <c r="K1304" s="7">
        <f t="shared" si="2"/>
        <v>0.1201495287</v>
      </c>
    </row>
    <row r="1305">
      <c r="A1305" s="4">
        <v>1305.0</v>
      </c>
      <c r="B1305" s="5" t="s">
        <v>7032</v>
      </c>
      <c r="C1305" s="5" t="s">
        <v>7033</v>
      </c>
      <c r="D1305" s="5" t="s">
        <v>7034</v>
      </c>
      <c r="E1305" s="6" t="s">
        <v>24</v>
      </c>
      <c r="F1305" s="6" t="s">
        <v>7035</v>
      </c>
      <c r="G1305" s="3" t="str">
        <f>IFERROR(__xludf.DUMMYFUNCTION("REGEXREPLACE(
D1305,
""([一-龯々]+)\[([^\]]+)\]"",
""&lt;ruby&gt;$1&lt;rt&gt;$2&lt;/rt&gt;&lt;/ruby&gt;""
)&amp;""&lt;br&gt;&lt;div class=""""audio""""&gt;[sound:""&amp;C1305&amp;"".mp3]&lt;/div&gt;"""),"&lt;ruby&gt;取&lt;rt&gt;と&lt;/rt&gt;&lt;/ruby&gt;り&lt;ruby&gt;組&lt;rt&gt;く&lt;/rt&gt;&lt;/ruby&gt;む&lt;br&gt;&lt;div class=""audio""&gt;[sound:とりくむ.mp3]&lt;/div&gt;")</f>
        <v>&lt;ruby&gt;取&lt;rt&gt;と&lt;/rt&gt;&lt;/ruby&gt;り&lt;ruby&gt;組&lt;rt&gt;く&lt;/rt&gt;&lt;/ruby&gt;む&lt;br&gt;&lt;div class="audio"&gt;[sound:とりくむ.mp3]&lt;/div&gt;</v>
      </c>
      <c r="H1305" s="3" t="str">
        <f t="shared" si="1"/>
        <v>(v): nỗ lực</v>
      </c>
      <c r="I1305" s="6" t="s">
        <v>7036</v>
      </c>
      <c r="J1305" s="6" t="s">
        <v>7037</v>
      </c>
      <c r="K1305" s="7">
        <f t="shared" si="2"/>
        <v>0.6538830718</v>
      </c>
    </row>
    <row r="1306">
      <c r="A1306" s="4">
        <v>1306.0</v>
      </c>
      <c r="B1306" s="5" t="s">
        <v>7038</v>
      </c>
      <c r="C1306" s="5" t="s">
        <v>7039</v>
      </c>
      <c r="D1306" s="5" t="s">
        <v>7040</v>
      </c>
      <c r="E1306" s="6" t="s">
        <v>74</v>
      </c>
      <c r="F1306" s="6" t="s">
        <v>7041</v>
      </c>
      <c r="G1306" s="3" t="str">
        <f>IFERROR(__xludf.DUMMYFUNCTION("REGEXREPLACE(
D1306,
""([一-龯々]+)\[([^\]]+)\]"",
""&lt;ruby&gt;$1&lt;rt&gt;$2&lt;/rt&gt;&lt;/ruby&gt;""
)&amp;""&lt;br&gt;&lt;div class=""""audio""""&gt;[sound:""&amp;C1306&amp;"".mp3]&lt;/div&gt;"""),"&lt;ruby&gt;繊維&lt;rt&gt;せんい&lt;/rt&gt;&lt;/ruby&gt;&lt;br&gt;&lt;div class=""audio""&gt;[sound:せんい.mp3]&lt;/div&gt;")</f>
        <v>&lt;ruby&gt;繊維&lt;rt&gt;せんい&lt;/rt&gt;&lt;/ruby&gt;&lt;br&gt;&lt;div class="audio"&gt;[sound:せんい.mp3]&lt;/div&gt;</v>
      </c>
      <c r="H1306" s="3" t="str">
        <f t="shared" si="1"/>
        <v>(n): sợi</v>
      </c>
      <c r="I1306" s="6" t="s">
        <v>7042</v>
      </c>
      <c r="J1306" s="6" t="s">
        <v>7043</v>
      </c>
      <c r="K1306" s="7">
        <f t="shared" si="2"/>
        <v>0.5731651362</v>
      </c>
    </row>
    <row r="1307">
      <c r="A1307" s="4">
        <v>1307.0</v>
      </c>
      <c r="B1307" s="5" t="s">
        <v>7044</v>
      </c>
      <c r="C1307" s="5" t="s">
        <v>7045</v>
      </c>
      <c r="D1307" s="5" t="s">
        <v>7046</v>
      </c>
      <c r="E1307" s="6" t="s">
        <v>74</v>
      </c>
      <c r="F1307" s="6" t="s">
        <v>2201</v>
      </c>
      <c r="G1307" s="3" t="str">
        <f>IFERROR(__xludf.DUMMYFUNCTION("REGEXREPLACE(
D1307,
""([一-龯々]+)\[([^\]]+)\]"",
""&lt;ruby&gt;$1&lt;rt&gt;$2&lt;/rt&gt;&lt;/ruby&gt;""
)&amp;""&lt;br&gt;&lt;div class=""""audio""""&gt;[sound:""&amp;C1307&amp;"".mp3]&lt;/div&gt;"""),"&lt;ruby&gt;肉体&lt;rt&gt;にくたい&lt;/rt&gt;&lt;/ruby&gt;&lt;br&gt;&lt;div class=""audio""&gt;[sound:にくたい.mp3]&lt;/div&gt;")</f>
        <v>&lt;ruby&gt;肉体&lt;rt&gt;にくたい&lt;/rt&gt;&lt;/ruby&gt;&lt;br&gt;&lt;div class="audio"&gt;[sound:にくたい.mp3]&lt;/div&gt;</v>
      </c>
      <c r="H1307" s="3" t="str">
        <f t="shared" si="1"/>
        <v>(n): cơ thể</v>
      </c>
      <c r="I1307" s="6" t="s">
        <v>7047</v>
      </c>
      <c r="J1307" s="6" t="s">
        <v>7048</v>
      </c>
      <c r="K1307" s="7">
        <f t="shared" si="2"/>
        <v>0.8650337021</v>
      </c>
    </row>
    <row r="1308">
      <c r="A1308" s="4">
        <v>1308.0</v>
      </c>
      <c r="B1308" s="5" t="s">
        <v>7049</v>
      </c>
      <c r="C1308" s="5" t="s">
        <v>7050</v>
      </c>
      <c r="D1308" s="5" t="s">
        <v>7049</v>
      </c>
      <c r="E1308" s="6" t="s">
        <v>74</v>
      </c>
      <c r="F1308" s="6" t="s">
        <v>7051</v>
      </c>
      <c r="G1308" s="3" t="str">
        <f>IFERROR(__xludf.DUMMYFUNCTION("REGEXREPLACE(
D1308,
""([一-龯々]+)\[([^\]]+)\]"",
""&lt;ruby&gt;$1&lt;rt&gt;$2&lt;/rt&gt;&lt;/ruby&gt;""
)&amp;""&lt;br&gt;&lt;div class=""""audio""""&gt;[sound:""&amp;C1308&amp;"".mp3]&lt;/div&gt;"""),"ヒント&lt;br&gt;&lt;div class=""audio""&gt;[sound:ひんと.mp3]&lt;/div&gt;")</f>
        <v>ヒント&lt;br&gt;&lt;div class="audio"&gt;[sound:ひんと.mp3]&lt;/div&gt;</v>
      </c>
      <c r="H1308" s="3" t="str">
        <f t="shared" si="1"/>
        <v>(n): gợi ý</v>
      </c>
      <c r="I1308" s="6" t="s">
        <v>7052</v>
      </c>
      <c r="J1308" s="6" t="s">
        <v>7053</v>
      </c>
      <c r="K1308" s="7">
        <f t="shared" si="2"/>
        <v>0.007581786662</v>
      </c>
    </row>
    <row r="1309">
      <c r="A1309" s="4">
        <v>1309.0</v>
      </c>
      <c r="B1309" s="5" t="s">
        <v>7054</v>
      </c>
      <c r="C1309" s="5" t="s">
        <v>7055</v>
      </c>
      <c r="D1309" s="5" t="s">
        <v>7054</v>
      </c>
      <c r="E1309" s="6" t="s">
        <v>74</v>
      </c>
      <c r="F1309" s="6" t="s">
        <v>7056</v>
      </c>
      <c r="G1309" s="3" t="str">
        <f>IFERROR(__xludf.DUMMYFUNCTION("REGEXREPLACE(
D1309,
""([一-龯々]+)\[([^\]]+)\]"",
""&lt;ruby&gt;$1&lt;rt&gt;$2&lt;/rt&gt;&lt;/ruby&gt;""
)&amp;""&lt;br&gt;&lt;div class=""""audio""""&gt;[sound:""&amp;C1309&amp;"".mp3]&lt;/div&gt;"""),"ジャンプ&lt;br&gt;&lt;div class=""audio""&gt;[sound:じゃんぷ.mp3]&lt;/div&gt;")</f>
        <v>ジャンプ&lt;br&gt;&lt;div class="audio"&gt;[sound:じゃんぷ.mp3]&lt;/div&gt;</v>
      </c>
      <c r="H1309" s="3" t="str">
        <f t="shared" si="1"/>
        <v>(n): nhảy</v>
      </c>
      <c r="I1309" s="6" t="s">
        <v>7057</v>
      </c>
      <c r="J1309" s="6" t="s">
        <v>7058</v>
      </c>
      <c r="K1309" s="7">
        <f t="shared" si="2"/>
        <v>0.3377690477</v>
      </c>
    </row>
    <row r="1310">
      <c r="A1310" s="4">
        <v>1310.0</v>
      </c>
      <c r="B1310" s="5" t="s">
        <v>7059</v>
      </c>
      <c r="C1310" s="5" t="s">
        <v>7060</v>
      </c>
      <c r="D1310" s="5" t="s">
        <v>7061</v>
      </c>
      <c r="E1310" s="6" t="s">
        <v>24</v>
      </c>
      <c r="F1310" s="6" t="s">
        <v>728</v>
      </c>
      <c r="G1310" s="3" t="str">
        <f>IFERROR(__xludf.DUMMYFUNCTION("REGEXREPLACE(
D1310,
""([一-龯々]+)\[([^\]]+)\]"",
""&lt;ruby&gt;$1&lt;rt&gt;$2&lt;/rt&gt;&lt;/ruby&gt;""
)&amp;""&lt;br&gt;&lt;div class=""""audio""""&gt;[sound:""&amp;C1310&amp;"".mp3]&lt;/div&gt;"""),"&lt;ruby&gt;了解&lt;rt&gt;りょうかい&lt;/rt&gt;&lt;/ruby&gt;&lt;br&gt;&lt;div class=""audio""&gt;[sound:りょうかい.mp3]&lt;/div&gt;")</f>
        <v>&lt;ruby&gt;了解&lt;rt&gt;りょうかい&lt;/rt&gt;&lt;/ruby&gt;&lt;br&gt;&lt;div class="audio"&gt;[sound:りょうかい.mp3]&lt;/div&gt;</v>
      </c>
      <c r="H1310" s="3" t="str">
        <f t="shared" si="1"/>
        <v>(v): hiểu</v>
      </c>
      <c r="I1310" s="6" t="s">
        <v>7062</v>
      </c>
      <c r="J1310" s="6" t="s">
        <v>7063</v>
      </c>
      <c r="K1310" s="7">
        <f t="shared" si="2"/>
        <v>0.7648229673</v>
      </c>
    </row>
    <row r="1311">
      <c r="A1311" s="4">
        <v>1311.0</v>
      </c>
      <c r="B1311" s="5" t="s">
        <v>7064</v>
      </c>
      <c r="C1311" s="5" t="s">
        <v>7065</v>
      </c>
      <c r="D1311" s="5" t="s">
        <v>7066</v>
      </c>
      <c r="E1311" s="6" t="s">
        <v>24</v>
      </c>
      <c r="F1311" s="6" t="s">
        <v>7067</v>
      </c>
      <c r="G1311" s="3" t="str">
        <f>IFERROR(__xludf.DUMMYFUNCTION("REGEXREPLACE(
D1311,
""([一-龯々]+)\[([^\]]+)\]"",
""&lt;ruby&gt;$1&lt;rt&gt;$2&lt;/rt&gt;&lt;/ruby&gt;""
)&amp;""&lt;br&gt;&lt;div class=""""audio""""&gt;[sound:""&amp;C1311&amp;"".mp3]&lt;/div&gt;"""),"&lt;ruby&gt;叩&lt;rt&gt;たた&lt;/rt&gt;&lt;/ruby&gt;く&lt;br&gt;&lt;div class=""audio""&gt;[sound:たたく.mp3]&lt;/div&gt;")</f>
        <v>&lt;ruby&gt;叩&lt;rt&gt;たた&lt;/rt&gt;&lt;/ruby&gt;く&lt;br&gt;&lt;div class="audio"&gt;[sound:たたく.mp3]&lt;/div&gt;</v>
      </c>
      <c r="H1311" s="3" t="str">
        <f t="shared" si="1"/>
        <v>(v): vỗ</v>
      </c>
      <c r="I1311" s="6" t="s">
        <v>7068</v>
      </c>
      <c r="J1311" s="6" t="s">
        <v>7069</v>
      </c>
      <c r="K1311" s="7">
        <f t="shared" si="2"/>
        <v>0.9594074007</v>
      </c>
    </row>
    <row r="1312">
      <c r="A1312" s="4">
        <v>1312.0</v>
      </c>
      <c r="B1312" s="5" t="s">
        <v>7070</v>
      </c>
      <c r="C1312" s="5" t="s">
        <v>7071</v>
      </c>
      <c r="D1312" s="5" t="s">
        <v>7072</v>
      </c>
      <c r="E1312" s="6" t="s">
        <v>74</v>
      </c>
      <c r="F1312" s="6" t="s">
        <v>1420</v>
      </c>
      <c r="G1312" s="3" t="str">
        <f>IFERROR(__xludf.DUMMYFUNCTION("REGEXREPLACE(
D1312,
""([一-龯々]+)\[([^\]]+)\]"",
""&lt;ruby&gt;$1&lt;rt&gt;$2&lt;/rt&gt;&lt;/ruby&gt;""
)&amp;""&lt;br&gt;&lt;div class=""""audio""""&gt;[sound:""&amp;C1312&amp;"".mp3]&lt;/div&gt;"""),"&lt;ruby&gt;困難&lt;rt&gt;こんなん&lt;/rt&gt;&lt;/ruby&gt;&lt;br&gt;&lt;div class=""audio""&gt;[sound:こんなん.mp3]&lt;/div&gt;")</f>
        <v>&lt;ruby&gt;困難&lt;rt&gt;こんなん&lt;/rt&gt;&lt;/ruby&gt;&lt;br&gt;&lt;div class="audio"&gt;[sound:こんなん.mp3]&lt;/div&gt;</v>
      </c>
      <c r="H1312" s="3" t="str">
        <f t="shared" si="1"/>
        <v>(n): khó khăn</v>
      </c>
      <c r="I1312" s="6" t="s">
        <v>7073</v>
      </c>
      <c r="J1312" s="6" t="s">
        <v>7074</v>
      </c>
      <c r="K1312" s="7">
        <f t="shared" si="2"/>
        <v>0.6112718983</v>
      </c>
    </row>
    <row r="1313">
      <c r="A1313" s="4">
        <v>1313.0</v>
      </c>
      <c r="B1313" s="5" t="s">
        <v>7075</v>
      </c>
      <c r="C1313" s="5" t="s">
        <v>7076</v>
      </c>
      <c r="D1313" s="5" t="s">
        <v>7077</v>
      </c>
      <c r="E1313" s="6" t="s">
        <v>74</v>
      </c>
      <c r="F1313" s="6" t="s">
        <v>7078</v>
      </c>
      <c r="G1313" s="3" t="str">
        <f>IFERROR(__xludf.DUMMYFUNCTION("REGEXREPLACE(
D1313,
""([一-龯々]+)\[([^\]]+)\]"",
""&lt;ruby&gt;$1&lt;rt&gt;$2&lt;/rt&gt;&lt;/ruby&gt;""
)&amp;""&lt;br&gt;&lt;div class=""""audio""""&gt;[sound:""&amp;C1313&amp;"".mp3]&lt;/div&gt;"""),"&lt;ruby&gt;提案&lt;rt&gt;ていあん&lt;/rt&gt;&lt;/ruby&gt;&lt;br&gt;&lt;div class=""audio""&gt;[sound:ていあん.mp3]&lt;/div&gt;")</f>
        <v>&lt;ruby&gt;提案&lt;rt&gt;ていあん&lt;/rt&gt;&lt;/ruby&gt;&lt;br&gt;&lt;div class="audio"&gt;[sound:ていあん.mp3]&lt;/div&gt;</v>
      </c>
      <c r="H1313" s="3" t="str">
        <f t="shared" si="1"/>
        <v>(n): đề xuất</v>
      </c>
      <c r="I1313" s="6" t="s">
        <v>7079</v>
      </c>
      <c r="J1313" s="6" t="s">
        <v>7080</v>
      </c>
      <c r="K1313" s="7">
        <f t="shared" si="2"/>
        <v>0.4725638666</v>
      </c>
    </row>
    <row r="1314">
      <c r="A1314" s="4">
        <v>1314.0</v>
      </c>
      <c r="B1314" s="5" t="s">
        <v>7081</v>
      </c>
      <c r="C1314" s="5" t="s">
        <v>7082</v>
      </c>
      <c r="D1314" s="5" t="s">
        <v>7083</v>
      </c>
      <c r="E1314" s="6" t="s">
        <v>74</v>
      </c>
      <c r="F1314" s="6" t="s">
        <v>7084</v>
      </c>
      <c r="G1314" s="3" t="str">
        <f>IFERROR(__xludf.DUMMYFUNCTION("REGEXREPLACE(
D1314,
""([一-龯々]+)\[([^\]]+)\]"",
""&lt;ruby&gt;$1&lt;rt&gt;$2&lt;/rt&gt;&lt;/ruby&gt;""
)&amp;""&lt;br&gt;&lt;div class=""""audio""""&gt;[sound:""&amp;C1314&amp;"".mp3]&lt;/div&gt;"""),"&lt;ruby&gt;日曜日&lt;rt&gt;にちようび&lt;/rt&gt;&lt;/ruby&gt;&lt;br&gt;&lt;div class=""audio""&gt;[sound:にちようび.mp3]&lt;/div&gt;")</f>
        <v>&lt;ruby&gt;日曜日&lt;rt&gt;にちようび&lt;/rt&gt;&lt;/ruby&gt;&lt;br&gt;&lt;div class="audio"&gt;[sound:にちようび.mp3]&lt;/div&gt;</v>
      </c>
      <c r="H1314" s="3" t="str">
        <f t="shared" si="1"/>
        <v>(n): chủ nhật</v>
      </c>
      <c r="I1314" s="6" t="s">
        <v>7085</v>
      </c>
      <c r="J1314" s="6" t="s">
        <v>7086</v>
      </c>
      <c r="K1314" s="7">
        <f t="shared" si="2"/>
        <v>0.8326128419</v>
      </c>
    </row>
    <row r="1315">
      <c r="A1315" s="4">
        <v>1315.0</v>
      </c>
      <c r="B1315" s="5" t="s">
        <v>7087</v>
      </c>
      <c r="C1315" s="5" t="s">
        <v>7088</v>
      </c>
      <c r="D1315" s="5" t="s">
        <v>7089</v>
      </c>
      <c r="E1315" s="6" t="s">
        <v>74</v>
      </c>
      <c r="F1315" s="6" t="s">
        <v>7090</v>
      </c>
      <c r="G1315" s="3" t="str">
        <f>IFERROR(__xludf.DUMMYFUNCTION("REGEXREPLACE(
D1315,
""([一-龯々]+)\[([^\]]+)\]"",
""&lt;ruby&gt;$1&lt;rt&gt;$2&lt;/rt&gt;&lt;/ruby&gt;""
)&amp;""&lt;br&gt;&lt;div class=""""audio""""&gt;[sound:""&amp;C1315&amp;"".mp3]&lt;/div&gt;"""),"&lt;ruby&gt;来年&lt;rt&gt;らいねん&lt;/rt&gt;&lt;/ruby&gt;&lt;br&gt;&lt;div class=""audio""&gt;[sound:らいねん.mp3]&lt;/div&gt;")</f>
        <v>&lt;ruby&gt;来年&lt;rt&gt;らいねん&lt;/rt&gt;&lt;/ruby&gt;&lt;br&gt;&lt;div class="audio"&gt;[sound:らいねん.mp3]&lt;/div&gt;</v>
      </c>
      <c r="H1315" s="3" t="str">
        <f t="shared" si="1"/>
        <v>(n): năm sau</v>
      </c>
      <c r="I1315" s="6" t="s">
        <v>7091</v>
      </c>
      <c r="J1315" s="6" t="s">
        <v>7092</v>
      </c>
      <c r="K1315" s="7">
        <f t="shared" si="2"/>
        <v>0.8305732091</v>
      </c>
    </row>
    <row r="1316">
      <c r="A1316" s="4">
        <v>1316.0</v>
      </c>
      <c r="B1316" s="5" t="s">
        <v>7093</v>
      </c>
      <c r="C1316" s="5" t="s">
        <v>7094</v>
      </c>
      <c r="D1316" s="5" t="s">
        <v>7095</v>
      </c>
      <c r="E1316" s="6" t="s">
        <v>24</v>
      </c>
      <c r="F1316" s="6" t="s">
        <v>7096</v>
      </c>
      <c r="G1316" s="3" t="str">
        <f>IFERROR(__xludf.DUMMYFUNCTION("REGEXREPLACE(
D1316,
""([一-龯々]+)\[([^\]]+)\]"",
""&lt;ruby&gt;$1&lt;rt&gt;$2&lt;/rt&gt;&lt;/ruby&gt;""
)&amp;""&lt;br&gt;&lt;div class=""""audio""""&gt;[sound:""&amp;C1316&amp;"".mp3]&lt;/div&gt;"""),"&lt;ruby&gt;呼&lt;rt&gt;よ&lt;/rt&gt;&lt;/ruby&gt;び&lt;ruby&gt;出&lt;rt&gt;だ&lt;/rt&gt;&lt;/ruby&gt;す&lt;br&gt;&lt;div class=""audio""&gt;[sound:よびだす.mp3]&lt;/div&gt;")</f>
        <v>&lt;ruby&gt;呼&lt;rt&gt;よ&lt;/rt&gt;&lt;/ruby&gt;び&lt;ruby&gt;出&lt;rt&gt;だ&lt;/rt&gt;&lt;/ruby&gt;す&lt;br&gt;&lt;div class="audio"&gt;[sound:よびだす.mp3]&lt;/div&gt;</v>
      </c>
      <c r="H1316" s="3" t="str">
        <f t="shared" si="1"/>
        <v>(v): gọi ra</v>
      </c>
      <c r="I1316" s="6" t="s">
        <v>7097</v>
      </c>
      <c r="J1316" s="6" t="s">
        <v>7098</v>
      </c>
      <c r="K1316" s="7">
        <f t="shared" si="2"/>
        <v>0.6679143639</v>
      </c>
    </row>
    <row r="1317">
      <c r="A1317" s="4">
        <v>1317.0</v>
      </c>
      <c r="B1317" s="5" t="s">
        <v>7099</v>
      </c>
      <c r="C1317" s="5" t="s">
        <v>7100</v>
      </c>
      <c r="D1317" s="5" t="s">
        <v>7101</v>
      </c>
      <c r="E1317" s="6" t="s">
        <v>74</v>
      </c>
      <c r="F1317" s="6" t="s">
        <v>7102</v>
      </c>
      <c r="G1317" s="3" t="str">
        <f>IFERROR(__xludf.DUMMYFUNCTION("REGEXREPLACE(
D1317,
""([一-龯々]+)\[([^\]]+)\]"",
""&lt;ruby&gt;$1&lt;rt&gt;$2&lt;/rt&gt;&lt;/ruby&gt;""
)&amp;""&lt;br&gt;&lt;div class=""""audio""""&gt;[sound:""&amp;C1317&amp;"".mp3]&lt;/div&gt;"""),"&lt;ruby&gt;地球&lt;rt&gt;ちきゅう&lt;/rt&gt;&lt;/ruby&gt;&lt;br&gt;&lt;div class=""audio""&gt;[sound:ちきゅう.mp3]&lt;/div&gt;")</f>
        <v>&lt;ruby&gt;地球&lt;rt&gt;ちきゅう&lt;/rt&gt;&lt;/ruby&gt;&lt;br&gt;&lt;div class="audio"&gt;[sound:ちきゅう.mp3]&lt;/div&gt;</v>
      </c>
      <c r="H1317" s="3" t="str">
        <f t="shared" si="1"/>
        <v>(n): trái đất</v>
      </c>
      <c r="I1317" s="6" t="s">
        <v>7103</v>
      </c>
      <c r="J1317" s="6" t="s">
        <v>7104</v>
      </c>
      <c r="K1317" s="7">
        <f t="shared" si="2"/>
        <v>0.4335098365</v>
      </c>
    </row>
    <row r="1318">
      <c r="A1318" s="4">
        <v>1318.0</v>
      </c>
      <c r="B1318" s="5" t="s">
        <v>7105</v>
      </c>
      <c r="C1318" s="5" t="s">
        <v>7106</v>
      </c>
      <c r="D1318" s="5" t="s">
        <v>7107</v>
      </c>
      <c r="E1318" s="6" t="s">
        <v>74</v>
      </c>
      <c r="F1318" s="6" t="s">
        <v>7108</v>
      </c>
      <c r="G1318" s="3" t="str">
        <f>IFERROR(__xludf.DUMMYFUNCTION("REGEXREPLACE(
D1318,
""([一-龯々]+)\[([^\]]+)\]"",
""&lt;ruby&gt;$1&lt;rt&gt;$2&lt;/rt&gt;&lt;/ruby&gt;""
)&amp;""&lt;br&gt;&lt;div class=""""audio""""&gt;[sound:""&amp;C1318&amp;"".mp3]&lt;/div&gt;"""),"&lt;ruby&gt;姿勢&lt;rt&gt;しせい&lt;/rt&gt;&lt;/ruby&gt;&lt;br&gt;&lt;div class=""audio""&gt;[sound:しせい.mp3]&lt;/div&gt;")</f>
        <v>&lt;ruby&gt;姿勢&lt;rt&gt;しせい&lt;/rt&gt;&lt;/ruby&gt;&lt;br&gt;&lt;div class="audio"&gt;[sound:しせい.mp3]&lt;/div&gt;</v>
      </c>
      <c r="H1318" s="3" t="str">
        <f t="shared" si="1"/>
        <v>(n): tư thế</v>
      </c>
      <c r="I1318" s="6" t="s">
        <v>7109</v>
      </c>
      <c r="J1318" s="6" t="s">
        <v>7110</v>
      </c>
      <c r="K1318" s="7">
        <f t="shared" si="2"/>
        <v>0.7542890916</v>
      </c>
    </row>
    <row r="1319">
      <c r="A1319" s="4">
        <v>1319.0</v>
      </c>
      <c r="B1319" s="5" t="s">
        <v>7111</v>
      </c>
      <c r="C1319" s="5" t="s">
        <v>7112</v>
      </c>
      <c r="D1319" s="5" t="s">
        <v>7113</v>
      </c>
      <c r="E1319" s="6" t="s">
        <v>24</v>
      </c>
      <c r="F1319" s="6" t="s">
        <v>7114</v>
      </c>
      <c r="G1319" s="3" t="str">
        <f>IFERROR(__xludf.DUMMYFUNCTION("REGEXREPLACE(
D1319,
""([一-龯々]+)\[([^\]]+)\]"",
""&lt;ruby&gt;$1&lt;rt&gt;$2&lt;/rt&gt;&lt;/ruby&gt;""
)&amp;""&lt;br&gt;&lt;div class=""""audio""""&gt;[sound:""&amp;C1319&amp;"".mp3]&lt;/div&gt;"""),"&lt;ruby&gt;止&lt;rt&gt;と&lt;/rt&gt;&lt;/ruby&gt;める&lt;br&gt;&lt;div class=""audio""&gt;[sound:とめる.mp3]&lt;/div&gt;")</f>
        <v>&lt;ruby&gt;止&lt;rt&gt;と&lt;/rt&gt;&lt;/ruby&gt;める&lt;br&gt;&lt;div class="audio"&gt;[sound:とめる.mp3]&lt;/div&gt;</v>
      </c>
      <c r="H1319" s="3" t="str">
        <f t="shared" si="1"/>
        <v>(v): dừng</v>
      </c>
      <c r="I1319" s="6" t="s">
        <v>7115</v>
      </c>
      <c r="J1319" s="6" t="s">
        <v>7116</v>
      </c>
      <c r="K1319" s="7">
        <f t="shared" si="2"/>
        <v>0.5194932403</v>
      </c>
    </row>
    <row r="1320">
      <c r="A1320" s="4">
        <v>1320.0</v>
      </c>
      <c r="B1320" s="5" t="s">
        <v>7117</v>
      </c>
      <c r="C1320" s="5" t="s">
        <v>7118</v>
      </c>
      <c r="D1320" s="5" t="s">
        <v>7119</v>
      </c>
      <c r="E1320" s="6" t="s">
        <v>74</v>
      </c>
      <c r="F1320" s="6" t="s">
        <v>7120</v>
      </c>
      <c r="G1320" s="3" t="str">
        <f>IFERROR(__xludf.DUMMYFUNCTION("REGEXREPLACE(
D1320,
""([一-龯々]+)\[([^\]]+)\]"",
""&lt;ruby&gt;$1&lt;rt&gt;$2&lt;/rt&gt;&lt;/ruby&gt;""
)&amp;""&lt;br&gt;&lt;div class=""""audio""""&gt;[sound:""&amp;C1320&amp;"".mp3]&lt;/div&gt;"""),"&lt;ruby&gt;従来&lt;rt&gt;じゅうらい&lt;/rt&gt;&lt;/ruby&gt;&lt;br&gt;&lt;div class=""audio""&gt;[sound:じゅうらい.mp3]&lt;/div&gt;")</f>
        <v>&lt;ruby&gt;従来&lt;rt&gt;じゅうらい&lt;/rt&gt;&lt;/ruby&gt;&lt;br&gt;&lt;div class="audio"&gt;[sound:じゅうらい.mp3]&lt;/div&gt;</v>
      </c>
      <c r="H1320" s="3" t="str">
        <f t="shared" si="1"/>
        <v>(n): từ trước đến nay</v>
      </c>
      <c r="I1320" s="6" t="s">
        <v>7121</v>
      </c>
      <c r="J1320" s="6" t="s">
        <v>7122</v>
      </c>
      <c r="K1320" s="7">
        <f t="shared" si="2"/>
        <v>0.1256645027</v>
      </c>
    </row>
    <row r="1321">
      <c r="A1321" s="4">
        <v>1321.0</v>
      </c>
      <c r="B1321" s="5" t="s">
        <v>7123</v>
      </c>
      <c r="C1321" s="5" t="s">
        <v>7124</v>
      </c>
      <c r="D1321" s="5" t="s">
        <v>7125</v>
      </c>
      <c r="E1321" s="6" t="s">
        <v>74</v>
      </c>
      <c r="F1321" s="6" t="s">
        <v>7126</v>
      </c>
      <c r="G1321" s="3" t="str">
        <f>IFERROR(__xludf.DUMMYFUNCTION("REGEXREPLACE(
D1321,
""([一-龯々]+)\[([^\]]+)\]"",
""&lt;ruby&gt;$1&lt;rt&gt;$2&lt;/rt&gt;&lt;/ruby&gt;""
)&amp;""&lt;br&gt;&lt;div class=""""audio""""&gt;[sound:""&amp;C1321&amp;"".mp3]&lt;/div&gt;"""),"&lt;ruby&gt;方式&lt;rt&gt;ほうしき&lt;/rt&gt;&lt;/ruby&gt;&lt;br&gt;&lt;div class=""audio""&gt;[sound:ほうしき.mp3]&lt;/div&gt;")</f>
        <v>&lt;ruby&gt;方式&lt;rt&gt;ほうしき&lt;/rt&gt;&lt;/ruby&gt;&lt;br&gt;&lt;div class="audio"&gt;[sound:ほうしき.mp3]&lt;/div&gt;</v>
      </c>
      <c r="H1321" s="3" t="str">
        <f t="shared" si="1"/>
        <v>(n): phương thức</v>
      </c>
      <c r="I1321" s="6" t="s">
        <v>7127</v>
      </c>
      <c r="J1321" s="6" t="s">
        <v>7128</v>
      </c>
      <c r="K1321" s="7">
        <f t="shared" si="2"/>
        <v>0.7307672588</v>
      </c>
    </row>
    <row r="1322">
      <c r="A1322" s="4">
        <v>1322.0</v>
      </c>
      <c r="B1322" s="5" t="s">
        <v>7129</v>
      </c>
      <c r="C1322" s="5" t="s">
        <v>7130</v>
      </c>
      <c r="D1322" s="5" t="s">
        <v>7131</v>
      </c>
      <c r="E1322" s="6" t="s">
        <v>24</v>
      </c>
      <c r="F1322" s="6" t="s">
        <v>5038</v>
      </c>
      <c r="G1322" s="3" t="str">
        <f>IFERROR(__xludf.DUMMYFUNCTION("REGEXREPLACE(
D1322,
""([一-龯々]+)\[([^\]]+)\]"",
""&lt;ruby&gt;$1&lt;rt&gt;$2&lt;/rt&gt;&lt;/ruby&gt;""
)&amp;""&lt;br&gt;&lt;div class=""""audio""""&gt;[sound:""&amp;C1322&amp;"".mp3]&lt;/div&gt;"""),"&lt;ruby&gt;成&lt;rt&gt;な&lt;/rt&gt;&lt;/ruby&gt;り&lt;ruby&gt;立&lt;rt&gt;た&lt;/rt&gt;&lt;/ruby&gt;つ&lt;br&gt;&lt;div class=""audio""&gt;[sound:なりたつ.mp3]&lt;/div&gt;")</f>
        <v>&lt;ruby&gt;成&lt;rt&gt;な&lt;/rt&gt;&lt;/ruby&gt;り&lt;ruby&gt;立&lt;rt&gt;た&lt;/rt&gt;&lt;/ruby&gt;つ&lt;br&gt;&lt;div class="audio"&gt;[sound:なりたつ.mp3]&lt;/div&gt;</v>
      </c>
      <c r="H1322" s="3" t="str">
        <f t="shared" si="1"/>
        <v>(v): hình thành</v>
      </c>
      <c r="I1322" s="6" t="s">
        <v>7132</v>
      </c>
      <c r="J1322" s="6" t="s">
        <v>7133</v>
      </c>
      <c r="K1322" s="7">
        <f t="shared" si="2"/>
        <v>0.2027121862</v>
      </c>
    </row>
    <row r="1323">
      <c r="A1323" s="4">
        <v>1323.0</v>
      </c>
      <c r="B1323" s="5" t="s">
        <v>7134</v>
      </c>
      <c r="C1323" s="5" t="s">
        <v>7135</v>
      </c>
      <c r="D1323" s="5" t="s">
        <v>7136</v>
      </c>
      <c r="E1323" s="6" t="s">
        <v>74</v>
      </c>
      <c r="F1323" s="6" t="s">
        <v>7137</v>
      </c>
      <c r="G1323" s="3" t="str">
        <f>IFERROR(__xludf.DUMMYFUNCTION("REGEXREPLACE(
D1323,
""([一-龯々]+)\[([^\]]+)\]"",
""&lt;ruby&gt;$1&lt;rt&gt;$2&lt;/rt&gt;&lt;/ruby&gt;""
)&amp;""&lt;br&gt;&lt;div class=""""audio""""&gt;[sound:""&amp;C1323&amp;"".mp3]&lt;/div&gt;"""),"&lt;ruby&gt;対話&lt;rt&gt;たいわ&lt;/rt&gt;&lt;/ruby&gt;&lt;br&gt;&lt;div class=""audio""&gt;[sound:たいわ.mp3]&lt;/div&gt;")</f>
        <v>&lt;ruby&gt;対話&lt;rt&gt;たいわ&lt;/rt&gt;&lt;/ruby&gt;&lt;br&gt;&lt;div class="audio"&gt;[sound:たいわ.mp3]&lt;/div&gt;</v>
      </c>
      <c r="H1323" s="3" t="str">
        <f t="shared" si="1"/>
        <v>(n): đối thoại</v>
      </c>
      <c r="I1323" s="6" t="s">
        <v>7138</v>
      </c>
      <c r="J1323" s="6" t="s">
        <v>7139</v>
      </c>
      <c r="K1323" s="7">
        <f t="shared" si="2"/>
        <v>0.08545613134</v>
      </c>
    </row>
    <row r="1324">
      <c r="A1324" s="4">
        <v>1324.0</v>
      </c>
      <c r="B1324" s="5" t="s">
        <v>7140</v>
      </c>
      <c r="C1324" s="5" t="s">
        <v>7141</v>
      </c>
      <c r="D1324" s="5" t="s">
        <v>7142</v>
      </c>
      <c r="E1324" s="6" t="s">
        <v>74</v>
      </c>
      <c r="F1324" s="6" t="s">
        <v>7143</v>
      </c>
      <c r="G1324" s="3" t="str">
        <f>IFERROR(__xludf.DUMMYFUNCTION("REGEXREPLACE(
D1324,
""([一-龯々]+)\[([^\]]+)\]"",
""&lt;ruby&gt;$1&lt;rt&gt;$2&lt;/rt&gt;&lt;/ruby&gt;""
)&amp;""&lt;br&gt;&lt;div class=""""audio""""&gt;[sound:""&amp;C1324&amp;"".mp3]&lt;/div&gt;"""),"&lt;ruby&gt;展示&lt;rt&gt;てんじ&lt;/rt&gt;&lt;/ruby&gt;&lt;br&gt;&lt;div class=""audio""&gt;[sound:てんじ.mp3]&lt;/div&gt;")</f>
        <v>&lt;ruby&gt;展示&lt;rt&gt;てんじ&lt;/rt&gt;&lt;/ruby&gt;&lt;br&gt;&lt;div class="audio"&gt;[sound:てんじ.mp3]&lt;/div&gt;</v>
      </c>
      <c r="H1324" s="3" t="str">
        <f t="shared" si="1"/>
        <v>(n): trưng bày</v>
      </c>
      <c r="I1324" s="6" t="s">
        <v>7144</v>
      </c>
      <c r="J1324" s="6" t="s">
        <v>7145</v>
      </c>
      <c r="K1324" s="7">
        <f t="shared" si="2"/>
        <v>0.6301909306</v>
      </c>
    </row>
    <row r="1325">
      <c r="A1325" s="4">
        <v>1325.0</v>
      </c>
      <c r="B1325" s="5" t="s">
        <v>7146</v>
      </c>
      <c r="C1325" s="5" t="s">
        <v>7147</v>
      </c>
      <c r="D1325" s="5" t="s">
        <v>7148</v>
      </c>
      <c r="E1325" s="6" t="s">
        <v>74</v>
      </c>
      <c r="F1325" s="6" t="s">
        <v>7149</v>
      </c>
      <c r="G1325" s="3" t="str">
        <f>IFERROR(__xludf.DUMMYFUNCTION("REGEXREPLACE(
D1325,
""([一-龯々]+)\[([^\]]+)\]"",
""&lt;ruby&gt;$1&lt;rt&gt;$2&lt;/rt&gt;&lt;/ruby&gt;""
)&amp;""&lt;br&gt;&lt;div class=""""audio""""&gt;[sound:""&amp;C1325&amp;"".mp3]&lt;/div&gt;"""),"&lt;ruby&gt;改革&lt;rt&gt;かいかく&lt;/rt&gt;&lt;/ruby&gt;&lt;br&gt;&lt;div class=""audio""&gt;[sound:かいかく.mp3]&lt;/div&gt;")</f>
        <v>&lt;ruby&gt;改革&lt;rt&gt;かいかく&lt;/rt&gt;&lt;/ruby&gt;&lt;br&gt;&lt;div class="audio"&gt;[sound:かいかく.mp3]&lt;/div&gt;</v>
      </c>
      <c r="H1325" s="3" t="str">
        <f t="shared" si="1"/>
        <v>(n): cải cách</v>
      </c>
      <c r="I1325" s="6" t="s">
        <v>7150</v>
      </c>
      <c r="J1325" s="6" t="s">
        <v>7151</v>
      </c>
      <c r="K1325" s="7">
        <f t="shared" si="2"/>
        <v>0.7766236596</v>
      </c>
    </row>
    <row r="1326">
      <c r="A1326" s="4">
        <v>1326.0</v>
      </c>
      <c r="B1326" s="5" t="s">
        <v>7152</v>
      </c>
      <c r="C1326" s="5" t="s">
        <v>7153</v>
      </c>
      <c r="D1326" s="5" t="s">
        <v>7154</v>
      </c>
      <c r="E1326" s="6" t="s">
        <v>11</v>
      </c>
      <c r="F1326" s="6" t="s">
        <v>7155</v>
      </c>
      <c r="G1326" s="3" t="str">
        <f>IFERROR(__xludf.DUMMYFUNCTION("REGEXREPLACE(
D1326,
""([一-龯々]+)\[([^\]]+)\]"",
""&lt;ruby&gt;$1&lt;rt&gt;$2&lt;/rt&gt;&lt;/ruby&gt;""
)&amp;""&lt;br&gt;&lt;div class=""""audio""""&gt;[sound:""&amp;C1326&amp;"".mp3]&lt;/div&gt;"""),"&lt;ruby&gt;可愛&lt;rt&gt;かわい&lt;/rt&gt;&lt;/ruby&gt;そう&lt;br&gt;&lt;div class=""audio""&gt;[sound:かわいそう.mp3]&lt;/div&gt;")</f>
        <v>&lt;ruby&gt;可愛&lt;rt&gt;かわい&lt;/rt&gt;&lt;/ruby&gt;そう&lt;br&gt;&lt;div class="audio"&gt;[sound:かわいそう.mp3]&lt;/div&gt;</v>
      </c>
      <c r="H1326" s="3" t="str">
        <f t="shared" si="1"/>
        <v>(adj): đáng thương</v>
      </c>
      <c r="I1326" s="6" t="s">
        <v>7156</v>
      </c>
      <c r="J1326" s="6" t="s">
        <v>7157</v>
      </c>
      <c r="K1326" s="7">
        <f t="shared" si="2"/>
        <v>0.09587215713</v>
      </c>
    </row>
    <row r="1327">
      <c r="A1327" s="4">
        <v>1327.0</v>
      </c>
      <c r="B1327" s="5" t="s">
        <v>7158</v>
      </c>
      <c r="C1327" s="5" t="s">
        <v>7159</v>
      </c>
      <c r="D1327" s="5" t="s">
        <v>7160</v>
      </c>
      <c r="E1327" s="6" t="s">
        <v>74</v>
      </c>
      <c r="F1327" s="6" t="s">
        <v>7161</v>
      </c>
      <c r="G1327" s="3" t="str">
        <f>IFERROR(__xludf.DUMMYFUNCTION("REGEXREPLACE(
D1327,
""([一-龯々]+)\[([^\]]+)\]"",
""&lt;ruby&gt;$1&lt;rt&gt;$2&lt;/rt&gt;&lt;/ruby&gt;""
)&amp;""&lt;br&gt;&lt;div class=""""audio""""&gt;[sound:""&amp;C1327&amp;"".mp3]&lt;/div&gt;"""),"&lt;ruby&gt;商売&lt;rt&gt;しょうばい&lt;/rt&gt;&lt;/ruby&gt;&lt;br&gt;&lt;div class=""audio""&gt;[sound:しょうばい.mp3]&lt;/div&gt;")</f>
        <v>&lt;ruby&gt;商売&lt;rt&gt;しょうばい&lt;/rt&gt;&lt;/ruby&gt;&lt;br&gt;&lt;div class="audio"&gt;[sound:しょうばい.mp3]&lt;/div&gt;</v>
      </c>
      <c r="H1327" s="3" t="str">
        <f t="shared" si="1"/>
        <v>(n): buôn bán</v>
      </c>
      <c r="I1327" s="6" t="s">
        <v>7162</v>
      </c>
      <c r="J1327" s="6" t="s">
        <v>7163</v>
      </c>
      <c r="K1327" s="7">
        <f t="shared" si="2"/>
        <v>0.8561147495</v>
      </c>
    </row>
    <row r="1328">
      <c r="A1328" s="4">
        <v>1328.0</v>
      </c>
      <c r="B1328" s="5" t="s">
        <v>7164</v>
      </c>
      <c r="C1328" s="5" t="s">
        <v>7165</v>
      </c>
      <c r="D1328" s="5" t="s">
        <v>7166</v>
      </c>
      <c r="E1328" s="6" t="s">
        <v>74</v>
      </c>
      <c r="F1328" s="6" t="s">
        <v>7167</v>
      </c>
      <c r="G1328" s="3" t="str">
        <f>IFERROR(__xludf.DUMMYFUNCTION("REGEXREPLACE(
D1328,
""([一-龯々]+)\[([^\]]+)\]"",
""&lt;ruby&gt;$1&lt;rt&gt;$2&lt;/rt&gt;&lt;/ruby&gt;""
)&amp;""&lt;br&gt;&lt;div class=""""audio""""&gt;[sound:""&amp;C1328&amp;"".mp3]&lt;/div&gt;"""),"&lt;ruby&gt;国会&lt;rt&gt;こっかい&lt;/rt&gt;&lt;/ruby&gt;&lt;br&gt;&lt;div class=""audio""&gt;[sound:こっかい.mp3]&lt;/div&gt;")</f>
        <v>&lt;ruby&gt;国会&lt;rt&gt;こっかい&lt;/rt&gt;&lt;/ruby&gt;&lt;br&gt;&lt;div class="audio"&gt;[sound:こっかい.mp3]&lt;/div&gt;</v>
      </c>
      <c r="H1328" s="3" t="str">
        <f t="shared" si="1"/>
        <v>(n): quốc hội</v>
      </c>
      <c r="I1328" s="6" t="s">
        <v>7168</v>
      </c>
      <c r="J1328" s="6" t="s">
        <v>7169</v>
      </c>
      <c r="K1328" s="7">
        <f t="shared" si="2"/>
        <v>0.8129634892</v>
      </c>
    </row>
    <row r="1329">
      <c r="A1329" s="4">
        <v>1329.0</v>
      </c>
      <c r="B1329" s="5" t="s">
        <v>7170</v>
      </c>
      <c r="C1329" s="5" t="s">
        <v>7171</v>
      </c>
      <c r="D1329" s="5" t="s">
        <v>7172</v>
      </c>
      <c r="E1329" s="6" t="s">
        <v>24</v>
      </c>
      <c r="F1329" s="6" t="s">
        <v>7173</v>
      </c>
      <c r="G1329" s="3" t="str">
        <f>IFERROR(__xludf.DUMMYFUNCTION("REGEXREPLACE(
D1329,
""([一-龯々]+)\[([^\]]+)\]"",
""&lt;ruby&gt;$1&lt;rt&gt;$2&lt;/rt&gt;&lt;/ruby&gt;""
)&amp;""&lt;br&gt;&lt;div class=""""audio""""&gt;[sound:""&amp;C1329&amp;"".mp3]&lt;/div&gt;"""),"&lt;ruby&gt;増&lt;rt&gt;ふ&lt;/rt&gt;&lt;/ruby&gt;やす&lt;br&gt;&lt;div class=""audio""&gt;[sound:ふやす.mp3]&lt;/div&gt;")</f>
        <v>&lt;ruby&gt;増&lt;rt&gt;ふ&lt;/rt&gt;&lt;/ruby&gt;やす&lt;br&gt;&lt;div class="audio"&gt;[sound:ふやす.mp3]&lt;/div&gt;</v>
      </c>
      <c r="H1329" s="3" t="str">
        <f t="shared" si="1"/>
        <v>(v): tăng thêm</v>
      </c>
      <c r="I1329" s="6" t="s">
        <v>7174</v>
      </c>
      <c r="J1329" s="6" t="s">
        <v>7175</v>
      </c>
      <c r="K1329" s="7">
        <f t="shared" si="2"/>
        <v>0.6105857723</v>
      </c>
    </row>
    <row r="1330">
      <c r="A1330" s="4">
        <v>1330.0</v>
      </c>
      <c r="B1330" s="5" t="s">
        <v>7176</v>
      </c>
      <c r="C1330" s="5" t="s">
        <v>7177</v>
      </c>
      <c r="D1330" s="5" t="s">
        <v>7178</v>
      </c>
      <c r="E1330" s="6" t="s">
        <v>74</v>
      </c>
      <c r="F1330" s="6" t="s">
        <v>7179</v>
      </c>
      <c r="G1330" s="3" t="str">
        <f>IFERROR(__xludf.DUMMYFUNCTION("REGEXREPLACE(
D1330,
""([一-龯々]+)\[([^\]]+)\]"",
""&lt;ruby&gt;$1&lt;rt&gt;$2&lt;/rt&gt;&lt;/ruby&gt;""
)&amp;""&lt;br&gt;&lt;div class=""""audio""""&gt;[sound:""&amp;C1330&amp;"".mp3]&lt;/div&gt;"""),"&lt;ruby&gt;期間&lt;rt&gt;きかん&lt;/rt&gt;&lt;/ruby&gt;&lt;br&gt;&lt;div class=""audio""&gt;[sound:きかん.mp3]&lt;/div&gt;")</f>
        <v>&lt;ruby&gt;期間&lt;rt&gt;きかん&lt;/rt&gt;&lt;/ruby&gt;&lt;br&gt;&lt;div class="audio"&gt;[sound:きかん.mp3]&lt;/div&gt;</v>
      </c>
      <c r="H1330" s="3" t="str">
        <f t="shared" si="1"/>
        <v>(n): thời hạn</v>
      </c>
      <c r="I1330" s="6" t="s">
        <v>7180</v>
      </c>
      <c r="J1330" s="6" t="s">
        <v>7181</v>
      </c>
      <c r="K1330" s="7">
        <f t="shared" si="2"/>
        <v>0.9047903859</v>
      </c>
    </row>
    <row r="1331">
      <c r="A1331" s="4">
        <v>1331.0</v>
      </c>
      <c r="B1331" s="5" t="s">
        <v>7182</v>
      </c>
      <c r="C1331" s="5" t="s">
        <v>7183</v>
      </c>
      <c r="D1331" s="5" t="s">
        <v>7184</v>
      </c>
      <c r="E1331" s="6" t="s">
        <v>74</v>
      </c>
      <c r="F1331" s="6" t="s">
        <v>978</v>
      </c>
      <c r="G1331" s="3" t="str">
        <f>IFERROR(__xludf.DUMMYFUNCTION("REGEXREPLACE(
D1331,
""([一-龯々]+)\[([^\]]+)\]"",
""&lt;ruby&gt;$1&lt;rt&gt;$2&lt;/rt&gt;&lt;/ruby&gt;""
)&amp;""&lt;br&gt;&lt;div class=""""audio""""&gt;[sound:""&amp;C1331&amp;"".mp3]&lt;/div&gt;"""),"&lt;ruby&gt;実行&lt;rt&gt;じっこう&lt;/rt&gt;&lt;/ruby&gt;&lt;br&gt;&lt;div class=""audio""&gt;[sound:じっこう.mp3]&lt;/div&gt;")</f>
        <v>&lt;ruby&gt;実行&lt;rt&gt;じっこう&lt;/rt&gt;&lt;/ruby&gt;&lt;br&gt;&lt;div class="audio"&gt;[sound:じっこう.mp3]&lt;/div&gt;</v>
      </c>
      <c r="H1331" s="3" t="str">
        <f t="shared" si="1"/>
        <v>(n): thực hiện</v>
      </c>
      <c r="I1331" s="6" t="s">
        <v>7185</v>
      </c>
      <c r="J1331" s="6" t="s">
        <v>5086</v>
      </c>
      <c r="K1331" s="7">
        <f t="shared" si="2"/>
        <v>0.4232030622</v>
      </c>
    </row>
    <row r="1332">
      <c r="A1332" s="4">
        <v>1332.0</v>
      </c>
      <c r="B1332" s="5" t="s">
        <v>7186</v>
      </c>
      <c r="C1332" s="5" t="s">
        <v>7187</v>
      </c>
      <c r="D1332" s="5" t="s">
        <v>7188</v>
      </c>
      <c r="E1332" s="6" t="s">
        <v>74</v>
      </c>
      <c r="F1332" s="6" t="s">
        <v>7189</v>
      </c>
      <c r="G1332" s="3" t="str">
        <f>IFERROR(__xludf.DUMMYFUNCTION("REGEXREPLACE(
D1332,
""([一-龯々]+)\[([^\]]+)\]"",
""&lt;ruby&gt;$1&lt;rt&gt;$2&lt;/rt&gt;&lt;/ruby&gt;""
)&amp;""&lt;br&gt;&lt;div class=""""audio""""&gt;[sound:""&amp;C1332&amp;"".mp3]&lt;/div&gt;"""),"&lt;ruby&gt;東&lt;rt&gt;ひがし&lt;/rt&gt;&lt;/ruby&gt;&lt;br&gt;&lt;div class=""audio""&gt;[sound:ひがし.mp3]&lt;/div&gt;")</f>
        <v>&lt;ruby&gt;東&lt;rt&gt;ひがし&lt;/rt&gt;&lt;/ruby&gt;&lt;br&gt;&lt;div class="audio"&gt;[sound:ひがし.mp3]&lt;/div&gt;</v>
      </c>
      <c r="H1332" s="3" t="str">
        <f t="shared" si="1"/>
        <v>(n): phía đông</v>
      </c>
      <c r="I1332" s="6" t="s">
        <v>7190</v>
      </c>
      <c r="J1332" s="6" t="s">
        <v>7191</v>
      </c>
      <c r="K1332" s="7">
        <f t="shared" si="2"/>
        <v>0.8138143299</v>
      </c>
    </row>
    <row r="1333">
      <c r="A1333" s="4">
        <v>1333.0</v>
      </c>
      <c r="B1333" s="5" t="s">
        <v>7192</v>
      </c>
      <c r="C1333" s="5" t="s">
        <v>2984</v>
      </c>
      <c r="D1333" s="5" t="s">
        <v>7193</v>
      </c>
      <c r="E1333" s="6" t="s">
        <v>74</v>
      </c>
      <c r="F1333" s="6" t="s">
        <v>7194</v>
      </c>
      <c r="G1333" s="3" t="str">
        <f>IFERROR(__xludf.DUMMYFUNCTION("REGEXREPLACE(
D1333,
""([一-龯々]+)\[([^\]]+)\]"",
""&lt;ruby&gt;$1&lt;rt&gt;$2&lt;/rt&gt;&lt;/ruby&gt;""
)&amp;""&lt;br&gt;&lt;div class=""""audio""""&gt;[sound:""&amp;C1333&amp;"".mp3]&lt;/div&gt;"""),"&lt;ruby&gt;機能&lt;rt&gt;きのう&lt;/rt&gt;&lt;/ruby&gt;&lt;br&gt;&lt;div class=""audio""&gt;[sound:きのう.mp3]&lt;/div&gt;")</f>
        <v>&lt;ruby&gt;機能&lt;rt&gt;きのう&lt;/rt&gt;&lt;/ruby&gt;&lt;br&gt;&lt;div class="audio"&gt;[sound:きのう.mp3]&lt;/div&gt;</v>
      </c>
      <c r="H1333" s="3" t="str">
        <f t="shared" si="1"/>
        <v>(n): chức năng</v>
      </c>
      <c r="I1333" s="6" t="s">
        <v>7195</v>
      </c>
      <c r="J1333" s="6" t="s">
        <v>7196</v>
      </c>
      <c r="K1333" s="7">
        <f t="shared" si="2"/>
        <v>0.9619017356</v>
      </c>
    </row>
    <row r="1334">
      <c r="A1334" s="4">
        <v>1334.0</v>
      </c>
      <c r="B1334" s="5" t="s">
        <v>7197</v>
      </c>
      <c r="C1334" s="5" t="s">
        <v>7198</v>
      </c>
      <c r="D1334" s="5" t="s">
        <v>7199</v>
      </c>
      <c r="E1334" s="6" t="s">
        <v>74</v>
      </c>
      <c r="F1334" s="6" t="s">
        <v>7200</v>
      </c>
      <c r="G1334" s="3" t="str">
        <f>IFERROR(__xludf.DUMMYFUNCTION("REGEXREPLACE(
D1334,
""([一-龯々]+)\[([^\]]+)\]"",
""&lt;ruby&gt;$1&lt;rt&gt;$2&lt;/rt&gt;&lt;/ruby&gt;""
)&amp;""&lt;br&gt;&lt;div class=""""audio""""&gt;[sound:""&amp;C1334&amp;"".mp3]&lt;/div&gt;"""),"&lt;ruby&gt;場面&lt;rt&gt;ばめん&lt;/rt&gt;&lt;/ruby&gt;&lt;br&gt;&lt;div class=""audio""&gt;[sound:ばめん.mp3]&lt;/div&gt;")</f>
        <v>&lt;ruby&gt;場面&lt;rt&gt;ばめん&lt;/rt&gt;&lt;/ruby&gt;&lt;br&gt;&lt;div class="audio"&gt;[sound:ばめん.mp3]&lt;/div&gt;</v>
      </c>
      <c r="H1334" s="3" t="str">
        <f t="shared" si="1"/>
        <v>(n): cảnh</v>
      </c>
      <c r="I1334" s="6" t="s">
        <v>7201</v>
      </c>
      <c r="J1334" s="6" t="s">
        <v>7202</v>
      </c>
      <c r="K1334" s="7">
        <f t="shared" si="2"/>
        <v>0.2123721494</v>
      </c>
    </row>
    <row r="1335">
      <c r="A1335" s="4">
        <v>1335.0</v>
      </c>
      <c r="B1335" s="5" t="s">
        <v>7203</v>
      </c>
      <c r="C1335" s="5" t="s">
        <v>7204</v>
      </c>
      <c r="D1335" s="5" t="s">
        <v>7205</v>
      </c>
      <c r="E1335" s="6" t="s">
        <v>11</v>
      </c>
      <c r="F1335" s="6" t="s">
        <v>7206</v>
      </c>
      <c r="G1335" s="3" t="str">
        <f>IFERROR(__xludf.DUMMYFUNCTION("REGEXREPLACE(
D1335,
""([一-龯々]+)\[([^\]]+)\]"",
""&lt;ruby&gt;$1&lt;rt&gt;$2&lt;/rt&gt;&lt;/ruby&gt;""
)&amp;""&lt;br&gt;&lt;div class=""""audio""""&gt;[sound:""&amp;C1335&amp;"".mp3]&lt;/div&gt;"""),"&lt;ruby&gt;真剣&lt;rt&gt;しんけん&lt;/rt&gt;&lt;/ruby&gt;&lt;br&gt;&lt;div class=""audio""&gt;[sound:しんけん.mp3]&lt;/div&gt;")</f>
        <v>&lt;ruby&gt;真剣&lt;rt&gt;しんけん&lt;/rt&gt;&lt;/ruby&gt;&lt;br&gt;&lt;div class="audio"&gt;[sound:しんけん.mp3]&lt;/div&gt;</v>
      </c>
      <c r="H1335" s="3" t="str">
        <f t="shared" si="1"/>
        <v>(adj): nghiêm túc</v>
      </c>
      <c r="I1335" s="6" t="s">
        <v>7207</v>
      </c>
      <c r="J1335" s="6" t="s">
        <v>7208</v>
      </c>
      <c r="K1335" s="7">
        <f t="shared" si="2"/>
        <v>0.4221701847</v>
      </c>
    </row>
    <row r="1336">
      <c r="A1336" s="4">
        <v>1336.0</v>
      </c>
      <c r="B1336" s="5" t="s">
        <v>7209</v>
      </c>
      <c r="C1336" s="5" t="s">
        <v>7210</v>
      </c>
      <c r="D1336" s="5" t="s">
        <v>7211</v>
      </c>
      <c r="E1336" s="6" t="s">
        <v>85</v>
      </c>
      <c r="F1336" s="6" t="s">
        <v>7212</v>
      </c>
      <c r="G1336" s="3" t="str">
        <f>IFERROR(__xludf.DUMMYFUNCTION("REGEXREPLACE(
D1336,
""([一-龯々]+)\[([^\]]+)\]"",
""&lt;ruby&gt;$1&lt;rt&gt;$2&lt;/rt&gt;&lt;/ruby&gt;""
)&amp;""&lt;br&gt;&lt;div class=""""audio""""&gt;[sound:""&amp;C1336&amp;"".mp3]&lt;/div&gt;"""),"&lt;ruby&gt;多分&lt;rt&gt;たぶん&lt;/rt&gt;&lt;/ruby&gt;&lt;br&gt;&lt;div class=""audio""&gt;[sound:たぶん.mp3]&lt;/div&gt;")</f>
        <v>&lt;ruby&gt;多分&lt;rt&gt;たぶん&lt;/rt&gt;&lt;/ruby&gt;&lt;br&gt;&lt;div class="audio"&gt;[sound:たぶん.mp3]&lt;/div&gt;</v>
      </c>
      <c r="H1336" s="3" t="str">
        <f t="shared" si="1"/>
        <v>(adv): có lẽ</v>
      </c>
      <c r="I1336" s="6" t="s">
        <v>7213</v>
      </c>
      <c r="J1336" s="6" t="s">
        <v>7214</v>
      </c>
      <c r="K1336" s="7">
        <f t="shared" si="2"/>
        <v>0.9434419548</v>
      </c>
    </row>
    <row r="1337">
      <c r="A1337" s="4">
        <v>1337.0</v>
      </c>
      <c r="B1337" s="5" t="s">
        <v>7215</v>
      </c>
      <c r="C1337" s="5" t="s">
        <v>7216</v>
      </c>
      <c r="D1337" s="5" t="s">
        <v>7217</v>
      </c>
      <c r="E1337" s="6" t="s">
        <v>74</v>
      </c>
      <c r="F1337" s="6" t="s">
        <v>7218</v>
      </c>
      <c r="G1337" s="3" t="str">
        <f>IFERROR(__xludf.DUMMYFUNCTION("REGEXREPLACE(
D1337,
""([一-龯々]+)\[([^\]]+)\]"",
""&lt;ruby&gt;$1&lt;rt&gt;$2&lt;/rt&gt;&lt;/ruby&gt;""
)&amp;""&lt;br&gt;&lt;div class=""""audio""""&gt;[sound:""&amp;C1337&amp;"".mp3]&lt;/div&gt;"""),"&lt;ruby&gt;会員&lt;rt&gt;かいいん&lt;/rt&gt;&lt;/ruby&gt;&lt;br&gt;&lt;div class=""audio""&gt;[sound:かいいん.mp3]&lt;/div&gt;")</f>
        <v>&lt;ruby&gt;会員&lt;rt&gt;かいいん&lt;/rt&gt;&lt;/ruby&gt;&lt;br&gt;&lt;div class="audio"&gt;[sound:かいいん.mp3]&lt;/div&gt;</v>
      </c>
      <c r="H1337" s="3" t="str">
        <f t="shared" si="1"/>
        <v>(n): hội viên</v>
      </c>
      <c r="I1337" s="6" t="s">
        <v>7219</v>
      </c>
      <c r="J1337" s="6" t="s">
        <v>7220</v>
      </c>
      <c r="K1337" s="7">
        <f t="shared" si="2"/>
        <v>0.260505548</v>
      </c>
    </row>
    <row r="1338">
      <c r="A1338" s="4">
        <v>1338.0</v>
      </c>
      <c r="B1338" s="5" t="s">
        <v>7221</v>
      </c>
      <c r="C1338" s="5" t="s">
        <v>7222</v>
      </c>
      <c r="D1338" s="5" t="s">
        <v>7223</v>
      </c>
      <c r="E1338" s="6" t="s">
        <v>24</v>
      </c>
      <c r="F1338" s="6" t="s">
        <v>7224</v>
      </c>
      <c r="G1338" s="3" t="str">
        <f>IFERROR(__xludf.DUMMYFUNCTION("REGEXREPLACE(
D1338,
""([一-龯々]+)\[([^\]]+)\]"",
""&lt;ruby&gt;$1&lt;rt&gt;$2&lt;/rt&gt;&lt;/ruby&gt;""
)&amp;""&lt;br&gt;&lt;div class=""""audio""""&gt;[sound:""&amp;C1338&amp;"".mp3]&lt;/div&gt;"""),"&lt;ruby&gt;取&lt;rt&gt;と&lt;/rt&gt;&lt;/ruby&gt;り&lt;ruby&gt;消&lt;rt&gt;け&lt;/rt&gt;&lt;/ruby&gt;す&lt;br&gt;&lt;div class=""audio""&gt;[sound:とりけす.mp3]&lt;/div&gt;")</f>
        <v>&lt;ruby&gt;取&lt;rt&gt;と&lt;/rt&gt;&lt;/ruby&gt;り&lt;ruby&gt;消&lt;rt&gt;け&lt;/rt&gt;&lt;/ruby&gt;す&lt;br&gt;&lt;div class="audio"&gt;[sound:とりけす.mp3]&lt;/div&gt;</v>
      </c>
      <c r="H1338" s="3" t="str">
        <f t="shared" si="1"/>
        <v>(v): hủy bỏ</v>
      </c>
      <c r="I1338" s="6" t="s">
        <v>7225</v>
      </c>
      <c r="J1338" s="6" t="s">
        <v>7226</v>
      </c>
      <c r="K1338" s="7">
        <f t="shared" si="2"/>
        <v>0.8180404306</v>
      </c>
    </row>
    <row r="1339">
      <c r="A1339" s="4">
        <v>1339.0</v>
      </c>
      <c r="B1339" s="5" t="s">
        <v>7227</v>
      </c>
      <c r="C1339" s="5" t="s">
        <v>7228</v>
      </c>
      <c r="D1339" s="5" t="s">
        <v>7229</v>
      </c>
      <c r="E1339" s="6" t="s">
        <v>11</v>
      </c>
      <c r="F1339" s="6" t="s">
        <v>7230</v>
      </c>
      <c r="G1339" s="3" t="str">
        <f>IFERROR(__xludf.DUMMYFUNCTION("REGEXREPLACE(
D1339,
""([一-龯々]+)\[([^\]]+)\]"",
""&lt;ruby&gt;$1&lt;rt&gt;$2&lt;/rt&gt;&lt;/ruby&gt;""
)&amp;""&lt;br&gt;&lt;div class=""""audio""""&gt;[sound:""&amp;C1339&amp;"".mp3]&lt;/div&gt;"""),"&lt;ruby&gt;硬&lt;rt&gt;かた&lt;/rt&gt;&lt;/ruby&gt;い&lt;br&gt;&lt;div class=""audio""&gt;[sound:かたい.mp3]&lt;/div&gt;")</f>
        <v>&lt;ruby&gt;硬&lt;rt&gt;かた&lt;/rt&gt;&lt;/ruby&gt;い&lt;br&gt;&lt;div class="audio"&gt;[sound:かたい.mp3]&lt;/div&gt;</v>
      </c>
      <c r="H1339" s="3" t="str">
        <f t="shared" si="1"/>
        <v>(adj): cứng</v>
      </c>
      <c r="I1339" s="6" t="s">
        <v>7231</v>
      </c>
      <c r="J1339" s="6" t="s">
        <v>7232</v>
      </c>
      <c r="K1339" s="7">
        <f t="shared" si="2"/>
        <v>0.8185407971</v>
      </c>
    </row>
    <row r="1340">
      <c r="A1340" s="4">
        <v>1340.0</v>
      </c>
      <c r="B1340" s="5" t="s">
        <v>7233</v>
      </c>
      <c r="C1340" s="5" t="s">
        <v>7234</v>
      </c>
      <c r="D1340" s="5" t="s">
        <v>7235</v>
      </c>
      <c r="E1340" s="6" t="s">
        <v>74</v>
      </c>
      <c r="F1340" s="6" t="s">
        <v>7236</v>
      </c>
      <c r="G1340" s="3" t="str">
        <f>IFERROR(__xludf.DUMMYFUNCTION("REGEXREPLACE(
D1340,
""([一-龯々]+)\[([^\]]+)\]"",
""&lt;ruby&gt;$1&lt;rt&gt;$2&lt;/rt&gt;&lt;/ruby&gt;""
)&amp;""&lt;br&gt;&lt;div class=""""audio""""&gt;[sound:""&amp;C1340&amp;"".mp3]&lt;/div&gt;"""),"&lt;ruby&gt;研修&lt;rt&gt;けんしゅう&lt;/rt&gt;&lt;/ruby&gt;&lt;br&gt;&lt;div class=""audio""&gt;[sound:けんしゅう.mp3]&lt;/div&gt;")</f>
        <v>&lt;ruby&gt;研修&lt;rt&gt;けんしゅう&lt;/rt&gt;&lt;/ruby&gt;&lt;br&gt;&lt;div class="audio"&gt;[sound:けんしゅう.mp3]&lt;/div&gt;</v>
      </c>
      <c r="H1340" s="3" t="str">
        <f t="shared" si="1"/>
        <v>(n): đào tạo</v>
      </c>
      <c r="I1340" s="6" t="s">
        <v>7237</v>
      </c>
      <c r="J1340" s="6" t="s">
        <v>7238</v>
      </c>
      <c r="K1340" s="7">
        <f t="shared" si="2"/>
        <v>0.771411468</v>
      </c>
    </row>
    <row r="1341">
      <c r="A1341" s="4">
        <v>1341.0</v>
      </c>
      <c r="B1341" s="5" t="s">
        <v>7239</v>
      </c>
      <c r="C1341" s="5" t="s">
        <v>7240</v>
      </c>
      <c r="D1341" s="5" t="s">
        <v>7241</v>
      </c>
      <c r="E1341" s="6" t="s">
        <v>74</v>
      </c>
      <c r="F1341" s="6" t="s">
        <v>7242</v>
      </c>
      <c r="G1341" s="3" t="str">
        <f>IFERROR(__xludf.DUMMYFUNCTION("REGEXREPLACE(
D1341,
""([一-龯々]+)\[([^\]]+)\]"",
""&lt;ruby&gt;$1&lt;rt&gt;$2&lt;/rt&gt;&lt;/ruby&gt;""
)&amp;""&lt;br&gt;&lt;div class=""""audio""""&gt;[sound:""&amp;C1341&amp;"".mp3]&lt;/div&gt;"""),"&lt;ruby&gt;金額&lt;rt&gt;きんがく&lt;/rt&gt;&lt;/ruby&gt;&lt;br&gt;&lt;div class=""audio""&gt;[sound:きんがく.mp3]&lt;/div&gt;")</f>
        <v>&lt;ruby&gt;金額&lt;rt&gt;きんがく&lt;/rt&gt;&lt;/ruby&gt;&lt;br&gt;&lt;div class="audio"&gt;[sound:きんがく.mp3]&lt;/div&gt;</v>
      </c>
      <c r="H1341" s="3" t="str">
        <f t="shared" si="1"/>
        <v>(n): số tiền</v>
      </c>
      <c r="I1341" s="6" t="s">
        <v>7243</v>
      </c>
      <c r="J1341" s="6" t="s">
        <v>7244</v>
      </c>
      <c r="K1341" s="7">
        <f t="shared" si="2"/>
        <v>0.5950717556</v>
      </c>
    </row>
    <row r="1342">
      <c r="A1342" s="4">
        <v>1342.0</v>
      </c>
      <c r="B1342" s="5" t="s">
        <v>7245</v>
      </c>
      <c r="C1342" s="5" t="s">
        <v>1127</v>
      </c>
      <c r="D1342" s="5" t="s">
        <v>7246</v>
      </c>
      <c r="E1342" s="6" t="s">
        <v>74</v>
      </c>
      <c r="F1342" s="6" t="s">
        <v>7247</v>
      </c>
      <c r="G1342" s="3" t="str">
        <f>IFERROR(__xludf.DUMMYFUNCTION("REGEXREPLACE(
D1342,
""([一-龯々]+)\[([^\]]+)\]"",
""&lt;ruby&gt;$1&lt;rt&gt;$2&lt;/rt&gt;&lt;/ruby&gt;""
)&amp;""&lt;br&gt;&lt;div class=""""audio""""&gt;[sound:""&amp;C1342&amp;"".mp3]&lt;/div&gt;"""),"&lt;ruby&gt;文&lt;rt&gt;ぶん&lt;/rt&gt;&lt;/ruby&gt;&lt;br&gt;&lt;div class=""audio""&gt;[sound:ぶん.mp3]&lt;/div&gt;")</f>
        <v>&lt;ruby&gt;文&lt;rt&gt;ぶん&lt;/rt&gt;&lt;/ruby&gt;&lt;br&gt;&lt;div class="audio"&gt;[sound:ぶん.mp3]&lt;/div&gt;</v>
      </c>
      <c r="H1342" s="3" t="str">
        <f t="shared" si="1"/>
        <v>(n): câu</v>
      </c>
      <c r="I1342" s="6" t="s">
        <v>7248</v>
      </c>
      <c r="J1342" s="6" t="s">
        <v>7249</v>
      </c>
      <c r="K1342" s="7">
        <f t="shared" si="2"/>
        <v>0.8909888189</v>
      </c>
    </row>
    <row r="1343">
      <c r="A1343" s="4">
        <v>1343.0</v>
      </c>
      <c r="B1343" s="5" t="s">
        <v>7250</v>
      </c>
      <c r="C1343" s="5" t="s">
        <v>7251</v>
      </c>
      <c r="D1343" s="5" t="s">
        <v>7252</v>
      </c>
      <c r="E1343" s="6" t="s">
        <v>74</v>
      </c>
      <c r="F1343" s="6" t="s">
        <v>7253</v>
      </c>
      <c r="G1343" s="3" t="str">
        <f>IFERROR(__xludf.DUMMYFUNCTION("REGEXREPLACE(
D1343,
""([一-龯々]+)\[([^\]]+)\]"",
""&lt;ruby&gt;$1&lt;rt&gt;$2&lt;/rt&gt;&lt;/ruby&gt;""
)&amp;""&lt;br&gt;&lt;div class=""""audio""""&gt;[sound:""&amp;C1343&amp;"".mp3]&lt;/div&gt;"""),"&lt;ruby&gt;春&lt;rt&gt;はる&lt;/rt&gt;&lt;/ruby&gt;&lt;br&gt;&lt;div class=""audio""&gt;[sound:はる.mp3]&lt;/div&gt;")</f>
        <v>&lt;ruby&gt;春&lt;rt&gt;はる&lt;/rt&gt;&lt;/ruby&gt;&lt;br&gt;&lt;div class="audio"&gt;[sound:はる.mp3]&lt;/div&gt;</v>
      </c>
      <c r="H1343" s="3" t="str">
        <f t="shared" si="1"/>
        <v>(n): mùa xuân</v>
      </c>
      <c r="I1343" s="6" t="s">
        <v>7254</v>
      </c>
      <c r="J1343" s="6" t="s">
        <v>7255</v>
      </c>
      <c r="K1343" s="7">
        <f t="shared" si="2"/>
        <v>0.7646310731</v>
      </c>
    </row>
    <row r="1344">
      <c r="A1344" s="4">
        <v>1344.0</v>
      </c>
      <c r="B1344" s="5" t="s">
        <v>7256</v>
      </c>
      <c r="C1344" s="5" t="s">
        <v>7257</v>
      </c>
      <c r="D1344" s="5" t="s">
        <v>7258</v>
      </c>
      <c r="E1344" s="6" t="s">
        <v>24</v>
      </c>
      <c r="F1344" s="6" t="s">
        <v>7259</v>
      </c>
      <c r="G1344" s="3" t="str">
        <f>IFERROR(__xludf.DUMMYFUNCTION("REGEXREPLACE(
D1344,
""([一-龯々]+)\[([^\]]+)\]"",
""&lt;ruby&gt;$1&lt;rt&gt;$2&lt;/rt&gt;&lt;/ruby&gt;""
)&amp;""&lt;br&gt;&lt;div class=""""audio""""&gt;[sound:""&amp;C1344&amp;"".mp3]&lt;/div&gt;"""),"&lt;ruby&gt;寄&lt;rt&gt;よ&lt;/rt&gt;&lt;/ruby&gt;せる&lt;br&gt;&lt;div class=""audio""&gt;[sound:よせる.mp3]&lt;/div&gt;")</f>
        <v>&lt;ruby&gt;寄&lt;rt&gt;よ&lt;/rt&gt;&lt;/ruby&gt;せる&lt;br&gt;&lt;div class="audio"&gt;[sound:よせる.mp3]&lt;/div&gt;</v>
      </c>
      <c r="H1344" s="3" t="str">
        <f t="shared" si="1"/>
        <v>(v): gần lại</v>
      </c>
      <c r="I1344" s="6" t="s">
        <v>7260</v>
      </c>
      <c r="J1344" s="6" t="s">
        <v>7261</v>
      </c>
      <c r="K1344" s="7">
        <f t="shared" si="2"/>
        <v>0.2113366528</v>
      </c>
    </row>
    <row r="1345">
      <c r="A1345" s="4">
        <v>1345.0</v>
      </c>
      <c r="B1345" s="5" t="s">
        <v>7262</v>
      </c>
      <c r="C1345" s="5" t="s">
        <v>7263</v>
      </c>
      <c r="D1345" s="5" t="s">
        <v>7264</v>
      </c>
      <c r="E1345" s="6" t="s">
        <v>74</v>
      </c>
      <c r="F1345" s="6" t="s">
        <v>7265</v>
      </c>
      <c r="G1345" s="3" t="str">
        <f>IFERROR(__xludf.DUMMYFUNCTION("REGEXREPLACE(
D1345,
""([一-龯々]+)\[([^\]]+)\]"",
""&lt;ruby&gt;$1&lt;rt&gt;$2&lt;/rt&gt;&lt;/ruby&gt;""
)&amp;""&lt;br&gt;&lt;div class=""""audio""""&gt;[sound:""&amp;C1345&amp;"".mp3]&lt;/div&gt;"""),"&lt;ruby&gt;郵便局&lt;rt&gt;ゆうびんきょく&lt;/rt&gt;&lt;/ruby&gt;&lt;br&gt;&lt;div class=""audio""&gt;[sound:ゆうびんきょく.mp3]&lt;/div&gt;")</f>
        <v>&lt;ruby&gt;郵便局&lt;rt&gt;ゆうびんきょく&lt;/rt&gt;&lt;/ruby&gt;&lt;br&gt;&lt;div class="audio"&gt;[sound:ゆうびんきょく.mp3]&lt;/div&gt;</v>
      </c>
      <c r="H1345" s="3" t="str">
        <f t="shared" si="1"/>
        <v>(n): bưu cục</v>
      </c>
      <c r="I1345" s="6" t="s">
        <v>7266</v>
      </c>
      <c r="J1345" s="6" t="s">
        <v>7267</v>
      </c>
      <c r="K1345" s="7">
        <f t="shared" si="2"/>
        <v>0.1608134053</v>
      </c>
    </row>
    <row r="1346">
      <c r="A1346" s="4">
        <v>1346.0</v>
      </c>
      <c r="B1346" s="5" t="s">
        <v>7268</v>
      </c>
      <c r="C1346" s="5" t="s">
        <v>7269</v>
      </c>
      <c r="D1346" s="5" t="s">
        <v>7270</v>
      </c>
      <c r="E1346" s="6" t="s">
        <v>24</v>
      </c>
      <c r="F1346" s="6" t="s">
        <v>7271</v>
      </c>
      <c r="G1346" s="3" t="str">
        <f>IFERROR(__xludf.DUMMYFUNCTION("REGEXREPLACE(
D1346,
""([一-龯々]+)\[([^\]]+)\]"",
""&lt;ruby&gt;$1&lt;rt&gt;$2&lt;/rt&gt;&lt;/ruby&gt;""
)&amp;""&lt;br&gt;&lt;div class=""""audio""""&gt;[sound:""&amp;C1346&amp;"".mp3]&lt;/div&gt;"""),"&lt;ruby&gt;外&lt;rt&gt;はず&lt;/rt&gt;&lt;/ruby&gt;す&lt;br&gt;&lt;div class=""audio""&gt;[sound:はずす.mp3]&lt;/div&gt;")</f>
        <v>&lt;ruby&gt;外&lt;rt&gt;はず&lt;/rt&gt;&lt;/ruby&gt;す&lt;br&gt;&lt;div class="audio"&gt;[sound:はずす.mp3]&lt;/div&gt;</v>
      </c>
      <c r="H1346" s="3" t="str">
        <f t="shared" si="1"/>
        <v>(v): tháo</v>
      </c>
      <c r="I1346" s="6" t="s">
        <v>7272</v>
      </c>
      <c r="J1346" s="6" t="s">
        <v>7273</v>
      </c>
      <c r="K1346" s="7">
        <f t="shared" si="2"/>
        <v>0.2891497324</v>
      </c>
    </row>
    <row r="1347">
      <c r="A1347" s="4">
        <v>1347.0</v>
      </c>
      <c r="B1347" s="5" t="s">
        <v>7274</v>
      </c>
      <c r="C1347" s="5" t="s">
        <v>7275</v>
      </c>
      <c r="D1347" s="5" t="s">
        <v>7276</v>
      </c>
      <c r="E1347" s="6" t="s">
        <v>74</v>
      </c>
      <c r="F1347" s="6" t="s">
        <v>7277</v>
      </c>
      <c r="G1347" s="3" t="str">
        <f>IFERROR(__xludf.DUMMYFUNCTION("REGEXREPLACE(
D1347,
""([一-龯々]+)\[([^\]]+)\]"",
""&lt;ruby&gt;$1&lt;rt&gt;$2&lt;/rt&gt;&lt;/ruby&gt;""
)&amp;""&lt;br&gt;&lt;div class=""""audio""""&gt;[sound:""&amp;C1347&amp;"".mp3]&lt;/div&gt;"""),"&lt;ruby&gt;眼鏡&lt;rt&gt;めがね&lt;/rt&gt;&lt;/ruby&gt;&lt;br&gt;&lt;div class=""audio""&gt;[sound:めがね.mp3]&lt;/div&gt;")</f>
        <v>&lt;ruby&gt;眼鏡&lt;rt&gt;めがね&lt;/rt&gt;&lt;/ruby&gt;&lt;br&gt;&lt;div class="audio"&gt;[sound:めがね.mp3]&lt;/div&gt;</v>
      </c>
      <c r="H1347" s="3" t="str">
        <f t="shared" si="1"/>
        <v>(n): kính</v>
      </c>
      <c r="I1347" s="6" t="s">
        <v>7278</v>
      </c>
      <c r="J1347" s="6" t="s">
        <v>7279</v>
      </c>
      <c r="K1347" s="7">
        <f t="shared" si="2"/>
        <v>0.08731918972</v>
      </c>
    </row>
    <row r="1348">
      <c r="A1348" s="4">
        <v>1348.0</v>
      </c>
      <c r="B1348" s="5" t="s">
        <v>7280</v>
      </c>
      <c r="C1348" s="5" t="s">
        <v>7281</v>
      </c>
      <c r="D1348" s="5" t="s">
        <v>7282</v>
      </c>
      <c r="E1348" s="6" t="s">
        <v>24</v>
      </c>
      <c r="F1348" s="6" t="s">
        <v>7283</v>
      </c>
      <c r="G1348" s="3" t="str">
        <f>IFERROR(__xludf.DUMMYFUNCTION("REGEXREPLACE(
D1348,
""([一-龯々]+)\[([^\]]+)\]"",
""&lt;ruby&gt;$1&lt;rt&gt;$2&lt;/rt&gt;&lt;/ruby&gt;""
)&amp;""&lt;br&gt;&lt;div class=""""audio""""&gt;[sound:""&amp;C1348&amp;"".mp3]&lt;/div&gt;"""),"&lt;ruby&gt;捨&lt;rt&gt;す&lt;/rt&gt;&lt;/ruby&gt;てる&lt;br&gt;&lt;div class=""audio""&gt;[sound:すてる.mp3]&lt;/div&gt;")</f>
        <v>&lt;ruby&gt;捨&lt;rt&gt;す&lt;/rt&gt;&lt;/ruby&gt;てる&lt;br&gt;&lt;div class="audio"&gt;[sound:すてる.mp3]&lt;/div&gt;</v>
      </c>
      <c r="H1348" s="3" t="str">
        <f t="shared" si="1"/>
        <v>(v): vứt bỏ</v>
      </c>
      <c r="I1348" s="6" t="s">
        <v>7284</v>
      </c>
      <c r="J1348" s="6" t="s">
        <v>7285</v>
      </c>
      <c r="K1348" s="7">
        <f t="shared" si="2"/>
        <v>0.3673125617</v>
      </c>
    </row>
    <row r="1349">
      <c r="A1349" s="4">
        <v>1349.0</v>
      </c>
      <c r="B1349" s="5" t="s">
        <v>7286</v>
      </c>
      <c r="C1349" s="5" t="s">
        <v>7287</v>
      </c>
      <c r="D1349" s="5" t="s">
        <v>7288</v>
      </c>
      <c r="E1349" s="6" t="s">
        <v>74</v>
      </c>
      <c r="F1349" s="6" t="s">
        <v>7289</v>
      </c>
      <c r="G1349" s="3" t="str">
        <f>IFERROR(__xludf.DUMMYFUNCTION("REGEXREPLACE(
D1349,
""([一-龯々]+)\[([^\]]+)\]"",
""&lt;ruby&gt;$1&lt;rt&gt;$2&lt;/rt&gt;&lt;/ruby&gt;""
)&amp;""&lt;br&gt;&lt;div class=""""audio""""&gt;[sound:""&amp;C1349&amp;"".mp3]&lt;/div&gt;"""),"&lt;ruby&gt;地下&lt;rt&gt;ちか&lt;/rt&gt;&lt;/ruby&gt;&lt;br&gt;&lt;div class=""audio""&gt;[sound:ちか.mp3]&lt;/div&gt;")</f>
        <v>&lt;ruby&gt;地下&lt;rt&gt;ちか&lt;/rt&gt;&lt;/ruby&gt;&lt;br&gt;&lt;div class="audio"&gt;[sound:ちか.mp3]&lt;/div&gt;</v>
      </c>
      <c r="H1349" s="3" t="str">
        <f t="shared" si="1"/>
        <v>(n): ngầm</v>
      </c>
      <c r="I1349" s="6" t="s">
        <v>7290</v>
      </c>
      <c r="J1349" s="6" t="s">
        <v>7291</v>
      </c>
      <c r="K1349" s="7">
        <f t="shared" si="2"/>
        <v>0.4398515619</v>
      </c>
    </row>
    <row r="1350">
      <c r="A1350" s="4">
        <v>1350.0</v>
      </c>
      <c r="B1350" s="5" t="s">
        <v>7292</v>
      </c>
      <c r="C1350" s="5" t="s">
        <v>7293</v>
      </c>
      <c r="D1350" s="5" t="s">
        <v>7294</v>
      </c>
      <c r="E1350" s="6" t="s">
        <v>74</v>
      </c>
      <c r="F1350" s="6" t="s">
        <v>7295</v>
      </c>
      <c r="G1350" s="3" t="str">
        <f>IFERROR(__xludf.DUMMYFUNCTION("REGEXREPLACE(
D1350,
""([一-龯々]+)\[([^\]]+)\]"",
""&lt;ruby&gt;$1&lt;rt&gt;$2&lt;/rt&gt;&lt;/ruby&gt;""
)&amp;""&lt;br&gt;&lt;div class=""""audio""""&gt;[sound:""&amp;C1350&amp;"".mp3]&lt;/div&gt;"""),"&lt;ruby&gt;月曜日&lt;rt&gt;げつようび&lt;/rt&gt;&lt;/ruby&gt;&lt;br&gt;&lt;div class=""audio""&gt;[sound:げつようび.mp3]&lt;/div&gt;")</f>
        <v>&lt;ruby&gt;月曜日&lt;rt&gt;げつようび&lt;/rt&gt;&lt;/ruby&gt;&lt;br&gt;&lt;div class="audio"&gt;[sound:げつようび.mp3]&lt;/div&gt;</v>
      </c>
      <c r="H1350" s="3" t="str">
        <f t="shared" si="1"/>
        <v>(n): thứ hai</v>
      </c>
      <c r="I1350" s="6" t="s">
        <v>7296</v>
      </c>
      <c r="J1350" s="6" t="s">
        <v>7297</v>
      </c>
      <c r="K1350" s="7">
        <f t="shared" si="2"/>
        <v>0.1814816374</v>
      </c>
    </row>
    <row r="1351">
      <c r="A1351" s="4">
        <v>1351.0</v>
      </c>
      <c r="B1351" s="5" t="s">
        <v>7298</v>
      </c>
      <c r="C1351" s="5" t="s">
        <v>732</v>
      </c>
      <c r="D1351" s="5" t="s">
        <v>7299</v>
      </c>
      <c r="E1351" s="6" t="s">
        <v>74</v>
      </c>
      <c r="F1351" s="6" t="s">
        <v>7300</v>
      </c>
      <c r="G1351" s="3" t="str">
        <f>IFERROR(__xludf.DUMMYFUNCTION("REGEXREPLACE(
D1351,
""([一-龯々]+)\[([^\]]+)\]"",
""&lt;ruby&gt;$1&lt;rt&gt;$2&lt;/rt&gt;&lt;/ruby&gt;""
)&amp;""&lt;br&gt;&lt;div class=""""audio""""&gt;[sound:""&amp;C1351&amp;"".mp3]&lt;/div&gt;"""),"&lt;ruby&gt;奥&lt;rt&gt;おく&lt;/rt&gt;&lt;/ruby&gt;&lt;br&gt;&lt;div class=""audio""&gt;[sound:おく.mp3]&lt;/div&gt;")</f>
        <v>&lt;ruby&gt;奥&lt;rt&gt;おく&lt;/rt&gt;&lt;/ruby&gt;&lt;br&gt;&lt;div class="audio"&gt;[sound:おく.mp3]&lt;/div&gt;</v>
      </c>
      <c r="H1351" s="3" t="str">
        <f t="shared" si="1"/>
        <v>(n): sâu bên trong</v>
      </c>
      <c r="I1351" s="6" t="s">
        <v>7301</v>
      </c>
      <c r="J1351" s="6" t="s">
        <v>7302</v>
      </c>
      <c r="K1351" s="7">
        <f t="shared" si="2"/>
        <v>0.1208909274</v>
      </c>
    </row>
    <row r="1352">
      <c r="A1352" s="4">
        <v>1352.0</v>
      </c>
      <c r="B1352" s="5" t="s">
        <v>7303</v>
      </c>
      <c r="C1352" s="5" t="s">
        <v>7304</v>
      </c>
      <c r="D1352" s="5" t="s">
        <v>7305</v>
      </c>
      <c r="E1352" s="6" t="s">
        <v>74</v>
      </c>
      <c r="F1352" s="6" t="s">
        <v>7306</v>
      </c>
      <c r="G1352" s="3" t="str">
        <f>IFERROR(__xludf.DUMMYFUNCTION("REGEXREPLACE(
D1352,
""([一-龯々]+)\[([^\]]+)\]"",
""&lt;ruby&gt;$1&lt;rt&gt;$2&lt;/rt&gt;&lt;/ruby&gt;""
)&amp;""&lt;br&gt;&lt;div class=""""audio""""&gt;[sound:""&amp;C1352&amp;"".mp3]&lt;/div&gt;"""),"&lt;ruby&gt;喜&lt;rt&gt;よろこ&lt;/rt&gt;&lt;/ruby&gt;び&lt;br&gt;&lt;div class=""audio""&gt;[sound:よろこび.mp3]&lt;/div&gt;")</f>
        <v>&lt;ruby&gt;喜&lt;rt&gt;よろこ&lt;/rt&gt;&lt;/ruby&gt;び&lt;br&gt;&lt;div class="audio"&gt;[sound:よろこび.mp3]&lt;/div&gt;</v>
      </c>
      <c r="H1352" s="3" t="str">
        <f t="shared" si="1"/>
        <v>(n): niềm vui</v>
      </c>
      <c r="I1352" s="6" t="s">
        <v>7307</v>
      </c>
      <c r="J1352" s="6" t="s">
        <v>7308</v>
      </c>
      <c r="K1352" s="7">
        <f t="shared" si="2"/>
        <v>0.004300049541</v>
      </c>
    </row>
    <row r="1353">
      <c r="A1353" s="4">
        <v>1353.0</v>
      </c>
      <c r="B1353" s="5" t="s">
        <v>7309</v>
      </c>
      <c r="C1353" s="5" t="s">
        <v>7310</v>
      </c>
      <c r="D1353" s="5" t="s">
        <v>7311</v>
      </c>
      <c r="E1353" s="6" t="s">
        <v>74</v>
      </c>
      <c r="F1353" s="6" t="s">
        <v>6240</v>
      </c>
      <c r="G1353" s="3" t="str">
        <f>IFERROR(__xludf.DUMMYFUNCTION("REGEXREPLACE(
D1353,
""([一-龯々]+)\[([^\]]+)\]"",
""&lt;ruby&gt;$1&lt;rt&gt;$2&lt;/rt&gt;&lt;/ruby&gt;""
)&amp;""&lt;br&gt;&lt;div class=""""audio""""&gt;[sound:""&amp;C1353&amp;"".mp3]&lt;/div&gt;"""),"&lt;ruby&gt;様子&lt;rt&gt;ようす&lt;/rt&gt;&lt;/ruby&gt;&lt;br&gt;&lt;div class=""audio""&gt;[sound:ようす.mp3]&lt;/div&gt;")</f>
        <v>&lt;ruby&gt;様子&lt;rt&gt;ようす&lt;/rt&gt;&lt;/ruby&gt;&lt;br&gt;&lt;div class="audio"&gt;[sound:ようす.mp3]&lt;/div&gt;</v>
      </c>
      <c r="H1353" s="3" t="str">
        <f t="shared" si="1"/>
        <v>(n): tình trạng</v>
      </c>
      <c r="I1353" s="6" t="s">
        <v>7312</v>
      </c>
      <c r="J1353" s="6" t="s">
        <v>7313</v>
      </c>
      <c r="K1353" s="7">
        <f t="shared" si="2"/>
        <v>0.2134300852</v>
      </c>
    </row>
    <row r="1354">
      <c r="A1354" s="4">
        <v>1354.0</v>
      </c>
      <c r="B1354" s="5" t="s">
        <v>7314</v>
      </c>
      <c r="C1354" s="5" t="s">
        <v>7315</v>
      </c>
      <c r="D1354" s="5" t="s">
        <v>7316</v>
      </c>
      <c r="E1354" s="6" t="s">
        <v>24</v>
      </c>
      <c r="F1354" s="6" t="s">
        <v>7317</v>
      </c>
      <c r="G1354" s="3" t="str">
        <f>IFERROR(__xludf.DUMMYFUNCTION("REGEXREPLACE(
D1354,
""([一-龯々]+)\[([^\]]+)\]"",
""&lt;ruby&gt;$1&lt;rt&gt;$2&lt;/rt&gt;&lt;/ruby&gt;""
)&amp;""&lt;br&gt;&lt;div class=""""audio""""&gt;[sound:""&amp;C1354&amp;"".mp3]&lt;/div&gt;"""),"&lt;ruby&gt;吸&lt;rt&gt;す&lt;/rt&gt;&lt;/ruby&gt;う&lt;br&gt;&lt;div class=""audio""&gt;[sound:すう.mp3]&lt;/div&gt;")</f>
        <v>&lt;ruby&gt;吸&lt;rt&gt;す&lt;/rt&gt;&lt;/ruby&gt;う&lt;br&gt;&lt;div class="audio"&gt;[sound:すう.mp3]&lt;/div&gt;</v>
      </c>
      <c r="H1354" s="3" t="str">
        <f t="shared" si="1"/>
        <v>(v): hít</v>
      </c>
      <c r="I1354" s="6" t="s">
        <v>7318</v>
      </c>
      <c r="J1354" s="6" t="s">
        <v>7319</v>
      </c>
      <c r="K1354" s="7">
        <f t="shared" si="2"/>
        <v>0.5379367323</v>
      </c>
    </row>
    <row r="1355">
      <c r="A1355" s="4">
        <v>1355.0</v>
      </c>
      <c r="B1355" s="5" t="s">
        <v>7320</v>
      </c>
      <c r="C1355" s="5" t="s">
        <v>7321</v>
      </c>
      <c r="D1355" s="5" t="s">
        <v>7322</v>
      </c>
      <c r="E1355" s="6" t="s">
        <v>74</v>
      </c>
      <c r="F1355" s="6" t="s">
        <v>7323</v>
      </c>
      <c r="G1355" s="3" t="str">
        <f>IFERROR(__xludf.DUMMYFUNCTION("REGEXREPLACE(
D1355,
""([一-龯々]+)\[([^\]]+)\]"",
""&lt;ruby&gt;$1&lt;rt&gt;$2&lt;/rt&gt;&lt;/ruby&gt;""
)&amp;""&lt;br&gt;&lt;div class=""""audio""""&gt;[sound:""&amp;C1355&amp;"".mp3]&lt;/div&gt;"""),"&lt;ruby&gt;料金&lt;rt&gt;りょうきん&lt;/rt&gt;&lt;/ruby&gt;&lt;br&gt;&lt;div class=""audio""&gt;[sound:りょうきん.mp3]&lt;/div&gt;")</f>
        <v>&lt;ruby&gt;料金&lt;rt&gt;りょうきん&lt;/rt&gt;&lt;/ruby&gt;&lt;br&gt;&lt;div class="audio"&gt;[sound:りょうきん.mp3]&lt;/div&gt;</v>
      </c>
      <c r="H1355" s="3" t="str">
        <f t="shared" si="1"/>
        <v>(n): cước phí</v>
      </c>
      <c r="I1355" s="6" t="s">
        <v>7324</v>
      </c>
      <c r="J1355" s="6" t="s">
        <v>7325</v>
      </c>
      <c r="K1355" s="7">
        <f t="shared" si="2"/>
        <v>0.9085495642</v>
      </c>
    </row>
    <row r="1356">
      <c r="A1356" s="4">
        <v>1356.0</v>
      </c>
      <c r="B1356" s="5" t="s">
        <v>7326</v>
      </c>
      <c r="C1356" s="5" t="s">
        <v>3014</v>
      </c>
      <c r="D1356" s="5" t="s">
        <v>7327</v>
      </c>
      <c r="E1356" s="6" t="s">
        <v>74</v>
      </c>
      <c r="F1356" s="6" t="s">
        <v>7328</v>
      </c>
      <c r="G1356" s="3" t="str">
        <f>IFERROR(__xludf.DUMMYFUNCTION("REGEXREPLACE(
D1356,
""([一-龯々]+)\[([^\]]+)\]"",
""&lt;ruby&gt;$1&lt;rt&gt;$2&lt;/rt&gt;&lt;/ruby&gt;""
)&amp;""&lt;br&gt;&lt;div class=""""audio""""&gt;[sound:""&amp;C1356&amp;"".mp3]&lt;/div&gt;"""),"&lt;ruby&gt;服&lt;rt&gt;ふく&lt;/rt&gt;&lt;/ruby&gt;&lt;br&gt;&lt;div class=""audio""&gt;[sound:ふく.mp3]&lt;/div&gt;")</f>
        <v>&lt;ruby&gt;服&lt;rt&gt;ふく&lt;/rt&gt;&lt;/ruby&gt;&lt;br&gt;&lt;div class="audio"&gt;[sound:ふく.mp3]&lt;/div&gt;</v>
      </c>
      <c r="H1356" s="3" t="str">
        <f t="shared" si="1"/>
        <v>(n): quần áo</v>
      </c>
      <c r="I1356" s="6" t="s">
        <v>7329</v>
      </c>
      <c r="J1356" s="6" t="s">
        <v>7330</v>
      </c>
      <c r="K1356" s="7">
        <f t="shared" si="2"/>
        <v>0.5100464008</v>
      </c>
    </row>
    <row r="1357">
      <c r="A1357" s="4">
        <v>1357.0</v>
      </c>
      <c r="B1357" s="5" t="s">
        <v>7331</v>
      </c>
      <c r="C1357" s="5" t="s">
        <v>7332</v>
      </c>
      <c r="D1357" s="5" t="s">
        <v>7333</v>
      </c>
      <c r="E1357" s="6" t="s">
        <v>74</v>
      </c>
      <c r="F1357" s="6" t="s">
        <v>7334</v>
      </c>
      <c r="G1357" s="3" t="str">
        <f>IFERROR(__xludf.DUMMYFUNCTION("REGEXREPLACE(
D1357,
""([一-龯々]+)\[([^\]]+)\]"",
""&lt;ruby&gt;$1&lt;rt&gt;$2&lt;/rt&gt;&lt;/ruby&gt;""
)&amp;""&lt;br&gt;&lt;div class=""""audio""""&gt;[sound:""&amp;C1357&amp;"".mp3]&lt;/div&gt;"""),"&lt;ruby&gt;数字&lt;rt&gt;すうじ&lt;/rt&gt;&lt;/ruby&gt;&lt;br&gt;&lt;div class=""audio""&gt;[sound:すうじ.mp3]&lt;/div&gt;")</f>
        <v>&lt;ruby&gt;数字&lt;rt&gt;すうじ&lt;/rt&gt;&lt;/ruby&gt;&lt;br&gt;&lt;div class="audio"&gt;[sound:すうじ.mp3]&lt;/div&gt;</v>
      </c>
      <c r="H1357" s="3" t="str">
        <f t="shared" si="1"/>
        <v>(n): chữ số</v>
      </c>
      <c r="I1357" s="6" t="s">
        <v>7335</v>
      </c>
      <c r="J1357" s="6" t="s">
        <v>7336</v>
      </c>
      <c r="K1357" s="7">
        <f t="shared" si="2"/>
        <v>0.5179447812</v>
      </c>
    </row>
    <row r="1358">
      <c r="A1358" s="4">
        <v>1358.0</v>
      </c>
      <c r="B1358" s="5" t="s">
        <v>7337</v>
      </c>
      <c r="C1358" s="5" t="s">
        <v>7338</v>
      </c>
      <c r="D1358" s="5" t="s">
        <v>7339</v>
      </c>
      <c r="E1358" s="6" t="s">
        <v>74</v>
      </c>
      <c r="F1358" s="6" t="s">
        <v>7340</v>
      </c>
      <c r="G1358" s="3" t="str">
        <f>IFERROR(__xludf.DUMMYFUNCTION("REGEXREPLACE(
D1358,
""([一-龯々]+)\[([^\]]+)\]"",
""&lt;ruby&gt;$1&lt;rt&gt;$2&lt;/rt&gt;&lt;/ruby&gt;""
)&amp;""&lt;br&gt;&lt;div class=""""audio""""&gt;[sound:""&amp;C1358&amp;"".mp3]&lt;/div&gt;"""),"&lt;ruby&gt;母親&lt;rt&gt;ははおや&lt;/rt&gt;&lt;/ruby&gt;&lt;br&gt;&lt;div class=""audio""&gt;[sound:ははおや.mp3]&lt;/div&gt;")</f>
        <v>&lt;ruby&gt;母親&lt;rt&gt;ははおや&lt;/rt&gt;&lt;/ruby&gt;&lt;br&gt;&lt;div class="audio"&gt;[sound:ははおや.mp3]&lt;/div&gt;</v>
      </c>
      <c r="H1358" s="3" t="str">
        <f t="shared" si="1"/>
        <v>(n): người mẹ</v>
      </c>
      <c r="I1358" s="6" t="s">
        <v>7341</v>
      </c>
      <c r="J1358" s="6" t="s">
        <v>7342</v>
      </c>
      <c r="K1358" s="7">
        <f t="shared" si="2"/>
        <v>0.8844786978</v>
      </c>
    </row>
    <row r="1359">
      <c r="A1359" s="4">
        <v>1359.0</v>
      </c>
      <c r="B1359" s="5" t="s">
        <v>7343</v>
      </c>
      <c r="C1359" s="5" t="s">
        <v>7344</v>
      </c>
      <c r="D1359" s="5" t="s">
        <v>7345</v>
      </c>
      <c r="E1359" s="6" t="s">
        <v>74</v>
      </c>
      <c r="F1359" s="6" t="s">
        <v>7346</v>
      </c>
      <c r="G1359" s="3" t="str">
        <f>IFERROR(__xludf.DUMMYFUNCTION("REGEXREPLACE(
D1359,
""([一-龯々]+)\[([^\]]+)\]"",
""&lt;ruby&gt;$1&lt;rt&gt;$2&lt;/rt&gt;&lt;/ruby&gt;""
)&amp;""&lt;br&gt;&lt;div class=""""audio""""&gt;[sound:""&amp;C1359&amp;"".mp3]&lt;/div&gt;"""),"&lt;ruby&gt;客観&lt;rt&gt;きゃっかん&lt;/rt&gt;&lt;/ruby&gt;&lt;br&gt;&lt;div class=""audio""&gt;[sound:きゃっかん.mp3]&lt;/div&gt;")</f>
        <v>&lt;ruby&gt;客観&lt;rt&gt;きゃっかん&lt;/rt&gt;&lt;/ruby&gt;&lt;br&gt;&lt;div class="audio"&gt;[sound:きゃっかん.mp3]&lt;/div&gt;</v>
      </c>
      <c r="H1359" s="3" t="str">
        <f t="shared" si="1"/>
        <v>(n): khách quan</v>
      </c>
      <c r="I1359" s="6" t="s">
        <v>7347</v>
      </c>
      <c r="J1359" s="6" t="s">
        <v>7348</v>
      </c>
      <c r="K1359" s="7">
        <f t="shared" si="2"/>
        <v>0.7620012877</v>
      </c>
    </row>
    <row r="1360">
      <c r="A1360" s="4">
        <v>1360.0</v>
      </c>
      <c r="B1360" s="5" t="s">
        <v>7349</v>
      </c>
      <c r="C1360" s="5" t="s">
        <v>7350</v>
      </c>
      <c r="D1360" s="5" t="s">
        <v>7351</v>
      </c>
      <c r="E1360" s="6" t="s">
        <v>74</v>
      </c>
      <c r="F1360" s="6" t="s">
        <v>7352</v>
      </c>
      <c r="G1360" s="3" t="str">
        <f>IFERROR(__xludf.DUMMYFUNCTION("REGEXREPLACE(
D1360,
""([一-龯々]+)\[([^\]]+)\]"",
""&lt;ruby&gt;$1&lt;rt&gt;$2&lt;/rt&gt;&lt;/ruby&gt;""
)&amp;""&lt;br&gt;&lt;div class=""""audio""""&gt;[sound:""&amp;C1360&amp;"".mp3]&lt;/div&gt;"""),"&lt;ruby&gt;政権&lt;rt&gt;せいけん&lt;/rt&gt;&lt;/ruby&gt;&lt;br&gt;&lt;div class=""audio""&gt;[sound:せいけん.mp3]&lt;/div&gt;")</f>
        <v>&lt;ruby&gt;政権&lt;rt&gt;せいけん&lt;/rt&gt;&lt;/ruby&gt;&lt;br&gt;&lt;div class="audio"&gt;[sound:せいけん.mp3]&lt;/div&gt;</v>
      </c>
      <c r="H1360" s="3" t="str">
        <f t="shared" si="1"/>
        <v>(n): chính quyền</v>
      </c>
      <c r="I1360" s="6" t="s">
        <v>7353</v>
      </c>
      <c r="J1360" s="6" t="s">
        <v>7354</v>
      </c>
      <c r="K1360" s="7">
        <f t="shared" si="2"/>
        <v>0.1272591503</v>
      </c>
    </row>
    <row r="1361">
      <c r="A1361" s="4">
        <v>1361.0</v>
      </c>
      <c r="B1361" s="5" t="s">
        <v>7355</v>
      </c>
      <c r="C1361" s="5" t="s">
        <v>7356</v>
      </c>
      <c r="D1361" s="5" t="s">
        <v>7357</v>
      </c>
      <c r="E1361" s="6" t="s">
        <v>74</v>
      </c>
      <c r="F1361" s="6" t="s">
        <v>7358</v>
      </c>
      <c r="G1361" s="3" t="str">
        <f>IFERROR(__xludf.DUMMYFUNCTION("REGEXREPLACE(
D1361,
""([一-龯々]+)\[([^\]]+)\]"",
""&lt;ruby&gt;$1&lt;rt&gt;$2&lt;/rt&gt;&lt;/ruby&gt;""
)&amp;""&lt;br&gt;&lt;div class=""""audio""""&gt;[sound:""&amp;C1361&amp;"".mp3]&lt;/div&gt;"""),"&lt;ruby&gt;所属&lt;rt&gt;しょぞく&lt;/rt&gt;&lt;/ruby&gt;&lt;br&gt;&lt;div class=""audio""&gt;[sound:しょぞく.mp3]&lt;/div&gt;")</f>
        <v>&lt;ruby&gt;所属&lt;rt&gt;しょぞく&lt;/rt&gt;&lt;/ruby&gt;&lt;br&gt;&lt;div class="audio"&gt;[sound:しょぞく.mp3]&lt;/div&gt;</v>
      </c>
      <c r="H1361" s="3" t="str">
        <f t="shared" si="1"/>
        <v>(n): trực thuộc</v>
      </c>
      <c r="I1361" s="6" t="s">
        <v>7359</v>
      </c>
      <c r="J1361" s="6" t="s">
        <v>7360</v>
      </c>
      <c r="K1361" s="7">
        <f t="shared" si="2"/>
        <v>0.8257009918</v>
      </c>
    </row>
    <row r="1362">
      <c r="A1362" s="4">
        <v>1362.0</v>
      </c>
      <c r="B1362" s="5" t="s">
        <v>7361</v>
      </c>
      <c r="C1362" s="5" t="s">
        <v>7362</v>
      </c>
      <c r="D1362" s="5" t="s">
        <v>7363</v>
      </c>
      <c r="E1362" s="6" t="s">
        <v>74</v>
      </c>
      <c r="F1362" s="6" t="s">
        <v>7364</v>
      </c>
      <c r="G1362" s="3" t="str">
        <f>IFERROR(__xludf.DUMMYFUNCTION("REGEXREPLACE(
D1362,
""([一-龯々]+)\[([^\]]+)\]"",
""&lt;ruby&gt;$1&lt;rt&gt;$2&lt;/rt&gt;&lt;/ruby&gt;""
)&amp;""&lt;br&gt;&lt;div class=""""audio""""&gt;[sound:""&amp;C1362&amp;"".mp3]&lt;/div&gt;"""),"&lt;ruby&gt;強制&lt;rt&gt;きょうせい&lt;/rt&gt;&lt;/ruby&gt;&lt;br&gt;&lt;div class=""audio""&gt;[sound:きょうせい.mp3]&lt;/div&gt;")</f>
        <v>&lt;ruby&gt;強制&lt;rt&gt;きょうせい&lt;/rt&gt;&lt;/ruby&gt;&lt;br&gt;&lt;div class="audio"&gt;[sound:きょうせい.mp3]&lt;/div&gt;</v>
      </c>
      <c r="H1362" s="3" t="str">
        <f t="shared" si="1"/>
        <v>(n): cưỡng chế</v>
      </c>
      <c r="I1362" s="6" t="s">
        <v>7365</v>
      </c>
      <c r="J1362" s="6" t="s">
        <v>7366</v>
      </c>
      <c r="K1362" s="7">
        <f t="shared" si="2"/>
        <v>0.959777366</v>
      </c>
    </row>
    <row r="1363">
      <c r="A1363" s="4">
        <v>1363.0</v>
      </c>
      <c r="B1363" s="5" t="s">
        <v>7367</v>
      </c>
      <c r="C1363" s="5" t="s">
        <v>7368</v>
      </c>
      <c r="D1363" s="5" t="s">
        <v>7369</v>
      </c>
      <c r="E1363" s="6" t="s">
        <v>74</v>
      </c>
      <c r="F1363" s="6" t="s">
        <v>2440</v>
      </c>
      <c r="G1363" s="3" t="str">
        <f>IFERROR(__xludf.DUMMYFUNCTION("REGEXREPLACE(
D1363,
""([一-龯々]+)\[([^\]]+)\]"",
""&lt;ruby&gt;$1&lt;rt&gt;$2&lt;/rt&gt;&lt;/ruby&gt;""
)&amp;""&lt;br&gt;&lt;div class=""""audio""""&gt;[sound:""&amp;C1363&amp;"".mp3]&lt;/div&gt;"""),"&lt;ruby&gt;工学&lt;rt&gt;こうがく&lt;/rt&gt;&lt;/ruby&gt;&lt;br&gt;&lt;div class=""audio""&gt;[sound:こうがく.mp3]&lt;/div&gt;")</f>
        <v>&lt;ruby&gt;工学&lt;rt&gt;こうがく&lt;/rt&gt;&lt;/ruby&gt;&lt;br&gt;&lt;div class="audio"&gt;[sound:こうがく.mp3]&lt;/div&gt;</v>
      </c>
      <c r="H1363" s="3" t="str">
        <f t="shared" si="1"/>
        <v>(n): kỹ thuật</v>
      </c>
      <c r="I1363" s="6" t="s">
        <v>7370</v>
      </c>
      <c r="J1363" s="6" t="s">
        <v>7371</v>
      </c>
      <c r="K1363" s="7">
        <f t="shared" si="2"/>
        <v>0.7905961171</v>
      </c>
    </row>
    <row r="1364">
      <c r="A1364" s="4">
        <v>1364.0</v>
      </c>
      <c r="B1364" s="5" t="s">
        <v>7372</v>
      </c>
      <c r="C1364" s="5" t="s">
        <v>7373</v>
      </c>
      <c r="D1364" s="5" t="s">
        <v>7374</v>
      </c>
      <c r="E1364" s="6" t="s">
        <v>74</v>
      </c>
      <c r="F1364" s="6" t="s">
        <v>7375</v>
      </c>
      <c r="G1364" s="3" t="str">
        <f>IFERROR(__xludf.DUMMYFUNCTION("REGEXREPLACE(
D1364,
""([一-龯々]+)\[([^\]]+)\]"",
""&lt;ruby&gt;$1&lt;rt&gt;$2&lt;/rt&gt;&lt;/ruby&gt;""
)&amp;""&lt;br&gt;&lt;div class=""""audio""""&gt;[sound:""&amp;C1364&amp;"".mp3]&lt;/div&gt;"""),"&lt;ruby&gt;情勢&lt;rt&gt;じょうせい&lt;/rt&gt;&lt;/ruby&gt;&lt;br&gt;&lt;div class=""audio""&gt;[sound:じょうせい.mp3]&lt;/div&gt;")</f>
        <v>&lt;ruby&gt;情勢&lt;rt&gt;じょうせい&lt;/rt&gt;&lt;/ruby&gt;&lt;br&gt;&lt;div class="audio"&gt;[sound:じょうせい.mp3]&lt;/div&gt;</v>
      </c>
      <c r="H1364" s="3" t="str">
        <f t="shared" si="1"/>
        <v>(n): tình thế</v>
      </c>
      <c r="I1364" s="6" t="s">
        <v>7376</v>
      </c>
      <c r="J1364" s="6" t="s">
        <v>7377</v>
      </c>
      <c r="K1364" s="7">
        <f t="shared" si="2"/>
        <v>0.05213301319</v>
      </c>
    </row>
    <row r="1365">
      <c r="A1365" s="4">
        <v>1365.0</v>
      </c>
      <c r="B1365" s="5" t="s">
        <v>7378</v>
      </c>
      <c r="C1365" s="5" t="s">
        <v>7379</v>
      </c>
      <c r="D1365" s="5" t="s">
        <v>7380</v>
      </c>
      <c r="E1365" s="6" t="s">
        <v>74</v>
      </c>
      <c r="F1365" s="6" t="s">
        <v>2186</v>
      </c>
      <c r="G1365" s="3" t="str">
        <f>IFERROR(__xludf.DUMMYFUNCTION("REGEXREPLACE(
D1365,
""([一-龯々]+)\[([^\]]+)\]"",
""&lt;ruby&gt;$1&lt;rt&gt;$2&lt;/rt&gt;&lt;/ruby&gt;""
)&amp;""&lt;br&gt;&lt;div class=""""audio""""&gt;[sound:""&amp;C1365&amp;"".mp3]&lt;/div&gt;"""),"&lt;ruby&gt;映像&lt;rt&gt;えいぞう&lt;/rt&gt;&lt;/ruby&gt;&lt;br&gt;&lt;div class=""audio""&gt;[sound:えいぞう.mp3]&lt;/div&gt;")</f>
        <v>&lt;ruby&gt;映像&lt;rt&gt;えいぞう&lt;/rt&gt;&lt;/ruby&gt;&lt;br&gt;&lt;div class="audio"&gt;[sound:えいぞう.mp3]&lt;/div&gt;</v>
      </c>
      <c r="H1365" s="3" t="str">
        <f t="shared" si="1"/>
        <v>(n): hình ảnh</v>
      </c>
      <c r="I1365" s="6" t="s">
        <v>7381</v>
      </c>
      <c r="J1365" s="6" t="s">
        <v>7382</v>
      </c>
      <c r="K1365" s="7">
        <f t="shared" si="2"/>
        <v>0.05650958272</v>
      </c>
    </row>
    <row r="1366">
      <c r="A1366" s="4">
        <v>1366.0</v>
      </c>
      <c r="B1366" s="5" t="s">
        <v>7383</v>
      </c>
      <c r="C1366" s="5" t="s">
        <v>7384</v>
      </c>
      <c r="D1366" s="5" t="s">
        <v>7385</v>
      </c>
      <c r="E1366" s="6" t="s">
        <v>24</v>
      </c>
      <c r="F1366" s="6" t="s">
        <v>7386</v>
      </c>
      <c r="G1366" s="3" t="str">
        <f>IFERROR(__xludf.DUMMYFUNCTION("REGEXREPLACE(
D1366,
""([一-龯々]+)\[([^\]]+)\]"",
""&lt;ruby&gt;$1&lt;rt&gt;$2&lt;/rt&gt;&lt;/ruby&gt;""
)&amp;""&lt;br&gt;&lt;div class=""""audio""""&gt;[sound:""&amp;C1366&amp;"".mp3]&lt;/div&gt;"""),"&lt;ruby&gt;導&lt;rt&gt;みちび&lt;/rt&gt;&lt;/ruby&gt;く&lt;br&gt;&lt;div class=""audio""&gt;[sound:みちびく.mp3]&lt;/div&gt;")</f>
        <v>&lt;ruby&gt;導&lt;rt&gt;みちび&lt;/rt&gt;&lt;/ruby&gt;く&lt;br&gt;&lt;div class="audio"&gt;[sound:みちびく.mp3]&lt;/div&gt;</v>
      </c>
      <c r="H1366" s="3" t="str">
        <f t="shared" si="1"/>
        <v>(v): dẫn dắt</v>
      </c>
      <c r="I1366" s="6" t="s">
        <v>7387</v>
      </c>
      <c r="J1366" s="6" t="s">
        <v>7388</v>
      </c>
      <c r="K1366" s="7">
        <f t="shared" si="2"/>
        <v>0.5557157942</v>
      </c>
    </row>
    <row r="1367">
      <c r="A1367" s="4">
        <v>1367.0</v>
      </c>
      <c r="B1367" s="5" t="s">
        <v>7389</v>
      </c>
      <c r="C1367" s="5" t="s">
        <v>7390</v>
      </c>
      <c r="D1367" s="5" t="s">
        <v>7391</v>
      </c>
      <c r="E1367" s="6" t="s">
        <v>74</v>
      </c>
      <c r="F1367" s="6" t="s">
        <v>7392</v>
      </c>
      <c r="G1367" s="3" t="str">
        <f>IFERROR(__xludf.DUMMYFUNCTION("REGEXREPLACE(
D1367,
""([一-龯々]+)\[([^\]]+)\]"",
""&lt;ruby&gt;$1&lt;rt&gt;$2&lt;/rt&gt;&lt;/ruby&gt;""
)&amp;""&lt;br&gt;&lt;div class=""""audio""""&gt;[sound:""&amp;C1367&amp;"".mp3]&lt;/div&gt;"""),"&lt;ruby&gt;履歴&lt;rt&gt;りれき&lt;/rt&gt;&lt;/ruby&gt;&lt;br&gt;&lt;div class=""audio""&gt;[sound:りれき.mp3]&lt;/div&gt;")</f>
        <v>&lt;ruby&gt;履歴&lt;rt&gt;りれき&lt;/rt&gt;&lt;/ruby&gt;&lt;br&gt;&lt;div class="audio"&gt;[sound:りれき.mp3]&lt;/div&gt;</v>
      </c>
      <c r="H1367" s="3" t="str">
        <f t="shared" si="1"/>
        <v>(n): lý lịch</v>
      </c>
      <c r="I1367" s="6" t="s">
        <v>7393</v>
      </c>
      <c r="J1367" s="6" t="s">
        <v>7394</v>
      </c>
      <c r="K1367" s="7">
        <f t="shared" si="2"/>
        <v>0.2898260535</v>
      </c>
    </row>
    <row r="1368">
      <c r="A1368" s="4">
        <v>1368.0</v>
      </c>
      <c r="B1368" s="5" t="s">
        <v>7395</v>
      </c>
      <c r="C1368" s="5" t="s">
        <v>7396</v>
      </c>
      <c r="D1368" s="5" t="s">
        <v>7397</v>
      </c>
      <c r="E1368" s="6" t="s">
        <v>74</v>
      </c>
      <c r="F1368" s="6" t="s">
        <v>7398</v>
      </c>
      <c r="G1368" s="3" t="str">
        <f>IFERROR(__xludf.DUMMYFUNCTION("REGEXREPLACE(
D1368,
""([一-龯々]+)\[([^\]]+)\]"",
""&lt;ruby&gt;$1&lt;rt&gt;$2&lt;/rt&gt;&lt;/ruby&gt;""
)&amp;""&lt;br&gt;&lt;div class=""""audio""""&gt;[sound:""&amp;C1368&amp;"".mp3]&lt;/div&gt;"""),"&lt;ruby&gt;拒否&lt;rt&gt;きょひ&lt;/rt&gt;&lt;/ruby&gt;&lt;br&gt;&lt;div class=""audio""&gt;[sound:きょひ.mp3]&lt;/div&gt;")</f>
        <v>&lt;ruby&gt;拒否&lt;rt&gt;きょひ&lt;/rt&gt;&lt;/ruby&gt;&lt;br&gt;&lt;div class="audio"&gt;[sound:きょひ.mp3]&lt;/div&gt;</v>
      </c>
      <c r="H1368" s="3" t="str">
        <f t="shared" si="1"/>
        <v>(n): từ chối</v>
      </c>
      <c r="I1368" s="6" t="s">
        <v>7399</v>
      </c>
      <c r="J1368" s="6" t="s">
        <v>7400</v>
      </c>
      <c r="K1368" s="7">
        <f t="shared" si="2"/>
        <v>0.718962349</v>
      </c>
    </row>
    <row r="1369">
      <c r="A1369" s="4">
        <v>1369.0</v>
      </c>
      <c r="B1369" s="5" t="s">
        <v>7401</v>
      </c>
      <c r="C1369" s="5" t="s">
        <v>7402</v>
      </c>
      <c r="D1369" s="5" t="s">
        <v>7403</v>
      </c>
      <c r="E1369" s="6" t="s">
        <v>74</v>
      </c>
      <c r="F1369" s="6" t="s">
        <v>7404</v>
      </c>
      <c r="G1369" s="3" t="str">
        <f>IFERROR(__xludf.DUMMYFUNCTION("REGEXREPLACE(
D1369,
""([一-龯々]+)\[([^\]]+)\]"",
""&lt;ruby&gt;$1&lt;rt&gt;$2&lt;/rt&gt;&lt;/ruby&gt;""
)&amp;""&lt;br&gt;&lt;div class=""""audio""""&gt;[sound:""&amp;C1369&amp;"".mp3]&lt;/div&gt;"""),"&lt;ruby&gt;文書&lt;rt&gt;ぶんしょ&lt;/rt&gt;&lt;/ruby&gt;&lt;br&gt;&lt;div class=""audio""&gt;[sound:ぶんしょ.mp3]&lt;/div&gt;")</f>
        <v>&lt;ruby&gt;文書&lt;rt&gt;ぶんしょ&lt;/rt&gt;&lt;/ruby&gt;&lt;br&gt;&lt;div class="audio"&gt;[sound:ぶんしょ.mp3]&lt;/div&gt;</v>
      </c>
      <c r="H1369" s="3" t="str">
        <f t="shared" si="1"/>
        <v>(n): văn bản</v>
      </c>
      <c r="I1369" s="6" t="s">
        <v>7405</v>
      </c>
      <c r="J1369" s="6" t="s">
        <v>7406</v>
      </c>
      <c r="K1369" s="7">
        <f t="shared" si="2"/>
        <v>0.5076758111</v>
      </c>
    </row>
    <row r="1370">
      <c r="A1370" s="4">
        <v>1370.0</v>
      </c>
      <c r="B1370" s="5" t="s">
        <v>7407</v>
      </c>
      <c r="C1370" s="5" t="s">
        <v>7408</v>
      </c>
      <c r="D1370" s="5" t="s">
        <v>7409</v>
      </c>
      <c r="E1370" s="6" t="s">
        <v>74</v>
      </c>
      <c r="F1370" s="6" t="s">
        <v>7410</v>
      </c>
      <c r="G1370" s="3" t="str">
        <f>IFERROR(__xludf.DUMMYFUNCTION("REGEXREPLACE(
D1370,
""([一-龯々]+)\[([^\]]+)\]"",
""&lt;ruby&gt;$1&lt;rt&gt;$2&lt;/rt&gt;&lt;/ruby&gt;""
)&amp;""&lt;br&gt;&lt;div class=""""audio""""&gt;[sound:""&amp;C1370&amp;"".mp3]&lt;/div&gt;"""),"&lt;ruby&gt;廃止&lt;rt&gt;はいし&lt;/rt&gt;&lt;/ruby&gt;&lt;br&gt;&lt;div class=""audio""&gt;[sound:はいし.mp3]&lt;/div&gt;")</f>
        <v>&lt;ruby&gt;廃止&lt;rt&gt;はいし&lt;/rt&gt;&lt;/ruby&gt;&lt;br&gt;&lt;div class="audio"&gt;[sound:はいし.mp3]&lt;/div&gt;</v>
      </c>
      <c r="H1370" s="3" t="str">
        <f t="shared" si="1"/>
        <v>(n): bãi bỏ</v>
      </c>
      <c r="I1370" s="6" t="s">
        <v>7411</v>
      </c>
      <c r="J1370" s="6" t="s">
        <v>7412</v>
      </c>
      <c r="K1370" s="7">
        <f t="shared" si="2"/>
        <v>0.8756021038</v>
      </c>
    </row>
    <row r="1371">
      <c r="A1371" s="4">
        <v>1371.0</v>
      </c>
      <c r="B1371" s="5" t="s">
        <v>7413</v>
      </c>
      <c r="C1371" s="5" t="s">
        <v>7414</v>
      </c>
      <c r="D1371" s="5" t="s">
        <v>7415</v>
      </c>
      <c r="E1371" s="6" t="s">
        <v>74</v>
      </c>
      <c r="F1371" s="6" t="s">
        <v>7416</v>
      </c>
      <c r="G1371" s="3" t="str">
        <f>IFERROR(__xludf.DUMMYFUNCTION("REGEXREPLACE(
D1371,
""([一-龯々]+)\[([^\]]+)\]"",
""&lt;ruby&gt;$1&lt;rt&gt;$2&lt;/rt&gt;&lt;/ruby&gt;""
)&amp;""&lt;br&gt;&lt;div class=""""audio""""&gt;[sound:""&amp;C1371&amp;"".mp3]&lt;/div&gt;"""),"&lt;ruby&gt;恐&lt;rt&gt;おそ&lt;/rt&gt;&lt;/ruby&gt;れ&lt;br&gt;&lt;div class=""audio""&gt;[sound:おそれ.mp3]&lt;/div&gt;")</f>
        <v>&lt;ruby&gt;恐&lt;rt&gt;おそ&lt;/rt&gt;&lt;/ruby&gt;れ&lt;br&gt;&lt;div class="audio"&gt;[sound:おそれ.mp3]&lt;/div&gt;</v>
      </c>
      <c r="H1371" s="3" t="str">
        <f t="shared" si="1"/>
        <v>(n): nỗi sợ</v>
      </c>
      <c r="I1371" s="6" t="s">
        <v>7417</v>
      </c>
      <c r="J1371" s="6" t="s">
        <v>7418</v>
      </c>
      <c r="K1371" s="7">
        <f t="shared" si="2"/>
        <v>0.813551183</v>
      </c>
    </row>
    <row r="1372">
      <c r="A1372" s="4">
        <v>1372.0</v>
      </c>
      <c r="B1372" s="5" t="s">
        <v>7419</v>
      </c>
      <c r="C1372" s="5" t="s">
        <v>7420</v>
      </c>
      <c r="D1372" s="5" t="s">
        <v>7421</v>
      </c>
      <c r="E1372" s="6" t="s">
        <v>74</v>
      </c>
      <c r="F1372" s="6" t="s">
        <v>7422</v>
      </c>
      <c r="G1372" s="3" t="str">
        <f>IFERROR(__xludf.DUMMYFUNCTION("REGEXREPLACE(
D1372,
""([一-龯々]+)\[([^\]]+)\]"",
""&lt;ruby&gt;$1&lt;rt&gt;$2&lt;/rt&gt;&lt;/ruby&gt;""
)&amp;""&lt;br&gt;&lt;div class=""""audio""""&gt;[sound:""&amp;C1372&amp;"".mp3]&lt;/div&gt;"""),"&lt;ruby&gt;投入&lt;rt&gt;とうにゅう&lt;/rt&gt;&lt;/ruby&gt;&lt;br&gt;&lt;div class=""audio""&gt;[sound:とうにゅう.mp3]&lt;/div&gt;")</f>
        <v>&lt;ruby&gt;投入&lt;rt&gt;とうにゅう&lt;/rt&gt;&lt;/ruby&gt;&lt;br&gt;&lt;div class="audio"&gt;[sound:とうにゅう.mp3]&lt;/div&gt;</v>
      </c>
      <c r="H1372" s="3" t="str">
        <f t="shared" si="1"/>
        <v>(n): bỏ vào</v>
      </c>
      <c r="I1372" s="6" t="s">
        <v>7423</v>
      </c>
      <c r="J1372" s="6" t="s">
        <v>7424</v>
      </c>
      <c r="K1372" s="7">
        <f t="shared" si="2"/>
        <v>0.2204550081</v>
      </c>
    </row>
    <row r="1373">
      <c r="A1373" s="4">
        <v>1373.0</v>
      </c>
      <c r="B1373" s="5" t="s">
        <v>7425</v>
      </c>
      <c r="C1373" s="5" t="s">
        <v>7426</v>
      </c>
      <c r="D1373" s="5" t="s">
        <v>7427</v>
      </c>
      <c r="E1373" s="6" t="s">
        <v>74</v>
      </c>
      <c r="F1373" s="6" t="s">
        <v>4654</v>
      </c>
      <c r="G1373" s="3" t="str">
        <f>IFERROR(__xludf.DUMMYFUNCTION("REGEXREPLACE(
D1373,
""([一-龯々]+)\[([^\]]+)\]"",
""&lt;ruby&gt;$1&lt;rt&gt;$2&lt;/rt&gt;&lt;/ruby&gt;""
)&amp;""&lt;br&gt;&lt;div class=""""audio""""&gt;[sound:""&amp;C1373&amp;"".mp3]&lt;/div&gt;"""),"&lt;ruby&gt;施設&lt;rt&gt;しせつ&lt;/rt&gt;&lt;/ruby&gt;&lt;br&gt;&lt;div class=""audio""&gt;[sound:しせつ.mp3]&lt;/div&gt;")</f>
        <v>&lt;ruby&gt;施設&lt;rt&gt;しせつ&lt;/rt&gt;&lt;/ruby&gt;&lt;br&gt;&lt;div class="audio"&gt;[sound:しせつ.mp3]&lt;/div&gt;</v>
      </c>
      <c r="H1373" s="3" t="str">
        <f t="shared" si="1"/>
        <v>(n): cơ sở</v>
      </c>
      <c r="I1373" s="6" t="s">
        <v>7428</v>
      </c>
      <c r="J1373" s="6" t="s">
        <v>7429</v>
      </c>
      <c r="K1373" s="7">
        <f t="shared" si="2"/>
        <v>0.4276318348</v>
      </c>
    </row>
    <row r="1374">
      <c r="A1374" s="4">
        <v>1374.0</v>
      </c>
      <c r="B1374" s="5" t="s">
        <v>7430</v>
      </c>
      <c r="C1374" s="5" t="s">
        <v>7431</v>
      </c>
      <c r="D1374" s="5" t="s">
        <v>7432</v>
      </c>
      <c r="E1374" s="6" t="s">
        <v>85</v>
      </c>
      <c r="F1374" s="6" t="s">
        <v>7433</v>
      </c>
      <c r="G1374" s="3" t="str">
        <f>IFERROR(__xludf.DUMMYFUNCTION("REGEXREPLACE(
D1374,
""([一-龯々]+)\[([^\]]+)\]"",
""&lt;ruby&gt;$1&lt;rt&gt;$2&lt;/rt&gt;&lt;/ruby&gt;""
)&amp;""&lt;br&gt;&lt;div class=""""audio""""&gt;[sound:""&amp;C1374&amp;"".mp3]&lt;/div&gt;"""),"&lt;ruby&gt;最&lt;rt&gt;もっと&lt;/rt&gt;&lt;/ruby&gt;も&lt;br&gt;&lt;div class=""audio""&gt;[sound:もっとも.mp3]&lt;/div&gt;")</f>
        <v>&lt;ruby&gt;最&lt;rt&gt;もっと&lt;/rt&gt;&lt;/ruby&gt;も&lt;br&gt;&lt;div class="audio"&gt;[sound:もっとも.mp3]&lt;/div&gt;</v>
      </c>
      <c r="H1374" s="3" t="str">
        <f t="shared" si="1"/>
        <v>(adv): nhất</v>
      </c>
      <c r="I1374" s="6" t="s">
        <v>7434</v>
      </c>
      <c r="J1374" s="6" t="s">
        <v>7435</v>
      </c>
      <c r="K1374" s="7">
        <f t="shared" si="2"/>
        <v>0.2019869923</v>
      </c>
    </row>
    <row r="1375">
      <c r="A1375" s="4">
        <v>1375.0</v>
      </c>
      <c r="B1375" s="5" t="s">
        <v>7436</v>
      </c>
      <c r="C1375" s="5" t="s">
        <v>7437</v>
      </c>
      <c r="D1375" s="5" t="s">
        <v>7438</v>
      </c>
      <c r="E1375" s="6" t="s">
        <v>74</v>
      </c>
      <c r="F1375" s="6" t="s">
        <v>7439</v>
      </c>
      <c r="G1375" s="3" t="str">
        <f>IFERROR(__xludf.DUMMYFUNCTION("REGEXREPLACE(
D1375,
""([一-龯々]+)\[([^\]]+)\]"",
""&lt;ruby&gt;$1&lt;rt&gt;$2&lt;/rt&gt;&lt;/ruby&gt;""
)&amp;""&lt;br&gt;&lt;div class=""""audio""""&gt;[sound:""&amp;C1375&amp;"".mp3]&lt;/div&gt;"""),"&lt;ruby&gt;改善&lt;rt&gt;かいぜん&lt;/rt&gt;&lt;/ruby&gt;&lt;br&gt;&lt;div class=""audio""&gt;[sound:かいぜん.mp3]&lt;/div&gt;")</f>
        <v>&lt;ruby&gt;改善&lt;rt&gt;かいぜん&lt;/rt&gt;&lt;/ruby&gt;&lt;br&gt;&lt;div class="audio"&gt;[sound:かいぜん.mp3]&lt;/div&gt;</v>
      </c>
      <c r="H1375" s="3" t="str">
        <f t="shared" si="1"/>
        <v>(n): cải thiện</v>
      </c>
      <c r="I1375" s="6" t="s">
        <v>7440</v>
      </c>
      <c r="J1375" s="6" t="s">
        <v>7441</v>
      </c>
      <c r="K1375" s="7">
        <f t="shared" si="2"/>
        <v>0.345145737</v>
      </c>
    </row>
    <row r="1376">
      <c r="A1376" s="4">
        <v>1376.0</v>
      </c>
      <c r="B1376" s="5" t="s">
        <v>7442</v>
      </c>
      <c r="C1376" s="5" t="s">
        <v>7443</v>
      </c>
      <c r="D1376" s="5" t="s">
        <v>7444</v>
      </c>
      <c r="E1376" s="6" t="s">
        <v>74</v>
      </c>
      <c r="F1376" s="6" t="s">
        <v>7445</v>
      </c>
      <c r="G1376" s="3" t="str">
        <f>IFERROR(__xludf.DUMMYFUNCTION("REGEXREPLACE(
D1376,
""([一-龯々]+)\[([^\]]+)\]"",
""&lt;ruby&gt;$1&lt;rt&gt;$2&lt;/rt&gt;&lt;/ruby&gt;""
)&amp;""&lt;br&gt;&lt;div class=""""audio""""&gt;[sound:""&amp;C1376&amp;"".mp3]&lt;/div&gt;"""),"&lt;ruby&gt;毎年&lt;rt&gt;まいとし&lt;/rt&gt;&lt;/ruby&gt;&lt;br&gt;&lt;div class=""audio""&gt;[sound:まいとし.mp3]&lt;/div&gt;")</f>
        <v>&lt;ruby&gt;毎年&lt;rt&gt;まいとし&lt;/rt&gt;&lt;/ruby&gt;&lt;br&gt;&lt;div class="audio"&gt;[sound:まいとし.mp3]&lt;/div&gt;</v>
      </c>
      <c r="H1376" s="3" t="str">
        <f t="shared" si="1"/>
        <v>(n): mỗi năm</v>
      </c>
      <c r="I1376" s="6" t="s">
        <v>7446</v>
      </c>
      <c r="J1376" s="6" t="s">
        <v>7447</v>
      </c>
      <c r="K1376" s="7">
        <f t="shared" si="2"/>
        <v>0.3494954608</v>
      </c>
    </row>
    <row r="1377">
      <c r="A1377" s="4">
        <v>1377.0</v>
      </c>
      <c r="B1377" s="5" t="s">
        <v>7448</v>
      </c>
      <c r="C1377" s="5" t="s">
        <v>7449</v>
      </c>
      <c r="D1377" s="5" t="s">
        <v>7450</v>
      </c>
      <c r="E1377" s="6" t="s">
        <v>74</v>
      </c>
      <c r="F1377" s="6" t="s">
        <v>7451</v>
      </c>
      <c r="G1377" s="3" t="str">
        <f>IFERROR(__xludf.DUMMYFUNCTION("REGEXREPLACE(
D1377,
""([一-龯々]+)\[([^\]]+)\]"",
""&lt;ruby&gt;$1&lt;rt&gt;$2&lt;/rt&gt;&lt;/ruby&gt;""
)&amp;""&lt;br&gt;&lt;div class=""""audio""""&gt;[sound:""&amp;C1377&amp;"".mp3]&lt;/div&gt;"""),"&lt;ruby&gt;来月&lt;rt&gt;らいげつ&lt;/rt&gt;&lt;/ruby&gt;&lt;br&gt;&lt;div class=""audio""&gt;[sound:らいげつ.mp3]&lt;/div&gt;")</f>
        <v>&lt;ruby&gt;来月&lt;rt&gt;らいげつ&lt;/rt&gt;&lt;/ruby&gt;&lt;br&gt;&lt;div class="audio"&gt;[sound:らいげつ.mp3]&lt;/div&gt;</v>
      </c>
      <c r="H1377" s="3" t="str">
        <f t="shared" si="1"/>
        <v>(n): tháng sau</v>
      </c>
      <c r="I1377" s="6" t="s">
        <v>7452</v>
      </c>
      <c r="J1377" s="6" t="s">
        <v>7453</v>
      </c>
      <c r="K1377" s="7">
        <f t="shared" si="2"/>
        <v>0.7524079855</v>
      </c>
    </row>
    <row r="1378">
      <c r="A1378" s="4">
        <v>1378.0</v>
      </c>
      <c r="B1378" s="5" t="s">
        <v>7454</v>
      </c>
      <c r="C1378" s="5" t="s">
        <v>7455</v>
      </c>
      <c r="D1378" s="5" t="s">
        <v>7456</v>
      </c>
      <c r="E1378" s="6" t="s">
        <v>24</v>
      </c>
      <c r="F1378" s="6" t="s">
        <v>7457</v>
      </c>
      <c r="G1378" s="3" t="str">
        <f>IFERROR(__xludf.DUMMYFUNCTION("REGEXREPLACE(
D1378,
""([一-龯々]+)\[([^\]]+)\]"",
""&lt;ruby&gt;$1&lt;rt&gt;$2&lt;/rt&gt;&lt;/ruby&gt;""
)&amp;""&lt;br&gt;&lt;div class=""""audio""""&gt;[sound:""&amp;C1378&amp;"".mp3]&lt;/div&gt;"""),"&lt;ruby&gt;壊&lt;rt&gt;こわ&lt;/rt&gt;&lt;/ruby&gt;す&lt;br&gt;&lt;div class=""audio""&gt;[sound:こわす.mp3]&lt;/div&gt;")</f>
        <v>&lt;ruby&gt;壊&lt;rt&gt;こわ&lt;/rt&gt;&lt;/ruby&gt;す&lt;br&gt;&lt;div class="audio"&gt;[sound:こわす.mp3]&lt;/div&gt;</v>
      </c>
      <c r="H1378" s="3" t="str">
        <f t="shared" si="1"/>
        <v>(v): phá hủy</v>
      </c>
      <c r="I1378" s="6" t="s">
        <v>7458</v>
      </c>
      <c r="J1378" s="6" t="s">
        <v>7459</v>
      </c>
      <c r="K1378" s="7">
        <f t="shared" si="2"/>
        <v>0.5302452651</v>
      </c>
    </row>
    <row r="1379">
      <c r="A1379" s="4">
        <v>1379.0</v>
      </c>
      <c r="B1379" s="5" t="s">
        <v>7460</v>
      </c>
      <c r="C1379" s="5" t="s">
        <v>7461</v>
      </c>
      <c r="D1379" s="5" t="s">
        <v>7462</v>
      </c>
      <c r="E1379" s="6" t="s">
        <v>24</v>
      </c>
      <c r="F1379" s="6" t="s">
        <v>7463</v>
      </c>
      <c r="G1379" s="3" t="str">
        <f>IFERROR(__xludf.DUMMYFUNCTION("REGEXREPLACE(
D1379,
""([一-龯々]+)\[([^\]]+)\]"",
""&lt;ruby&gt;$1&lt;rt&gt;$2&lt;/rt&gt;&lt;/ruby&gt;""
)&amp;""&lt;br&gt;&lt;div class=""""audio""""&gt;[sound:""&amp;C1379&amp;"".mp3]&lt;/div&gt;"""),"&lt;ruby&gt;叫&lt;rt&gt;さけ&lt;/rt&gt;&lt;/ruby&gt;ぶ&lt;br&gt;&lt;div class=""audio""&gt;[sound:さけぶ.mp3]&lt;/div&gt;")</f>
        <v>&lt;ruby&gt;叫&lt;rt&gt;さけ&lt;/rt&gt;&lt;/ruby&gt;ぶ&lt;br&gt;&lt;div class="audio"&gt;[sound:さけぶ.mp3]&lt;/div&gt;</v>
      </c>
      <c r="H1379" s="3" t="str">
        <f t="shared" si="1"/>
        <v>(v): hét</v>
      </c>
      <c r="I1379" s="6" t="s">
        <v>7464</v>
      </c>
      <c r="J1379" s="6" t="s">
        <v>7465</v>
      </c>
      <c r="K1379" s="7">
        <f t="shared" si="2"/>
        <v>0.2298260147</v>
      </c>
    </row>
    <row r="1380">
      <c r="A1380" s="4">
        <v>1380.0</v>
      </c>
      <c r="B1380" s="5" t="s">
        <v>7466</v>
      </c>
      <c r="C1380" s="5" t="s">
        <v>7467</v>
      </c>
      <c r="D1380" s="5" t="s">
        <v>7468</v>
      </c>
      <c r="E1380" s="6" t="s">
        <v>74</v>
      </c>
      <c r="F1380" s="6" t="s">
        <v>7469</v>
      </c>
      <c r="G1380" s="3" t="str">
        <f>IFERROR(__xludf.DUMMYFUNCTION("REGEXREPLACE(
D1380,
""([一-龯々]+)\[([^\]]+)\]"",
""&lt;ruby&gt;$1&lt;rt&gt;$2&lt;/rt&gt;&lt;/ruby&gt;""
)&amp;""&lt;br&gt;&lt;div class=""""audio""""&gt;[sound:""&amp;C1380&amp;"".mp3]&lt;/div&gt;"""),"&lt;ruby&gt;実験&lt;rt&gt;じっけん&lt;/rt&gt;&lt;/ruby&gt;&lt;br&gt;&lt;div class=""audio""&gt;[sound:じっけん.mp3]&lt;/div&gt;")</f>
        <v>&lt;ruby&gt;実験&lt;rt&gt;じっけん&lt;/rt&gt;&lt;/ruby&gt;&lt;br&gt;&lt;div class="audio"&gt;[sound:じっけん.mp3]&lt;/div&gt;</v>
      </c>
      <c r="H1380" s="3" t="str">
        <f t="shared" si="1"/>
        <v>(n): thí nghiệm</v>
      </c>
      <c r="I1380" s="6" t="s">
        <v>7470</v>
      </c>
      <c r="J1380" s="6" t="s">
        <v>7471</v>
      </c>
      <c r="K1380" s="7">
        <f t="shared" si="2"/>
        <v>0.1904886651</v>
      </c>
    </row>
    <row r="1381">
      <c r="A1381" s="4">
        <v>1381.0</v>
      </c>
      <c r="B1381" s="5" t="s">
        <v>7472</v>
      </c>
      <c r="C1381" s="5" t="s">
        <v>7473</v>
      </c>
      <c r="D1381" s="5" t="s">
        <v>7474</v>
      </c>
      <c r="E1381" s="6" t="s">
        <v>74</v>
      </c>
      <c r="F1381" s="6" t="s">
        <v>7475</v>
      </c>
      <c r="G1381" s="3" t="str">
        <f>IFERROR(__xludf.DUMMYFUNCTION("REGEXREPLACE(
D1381,
""([一-龯々]+)\[([^\]]+)\]"",
""&lt;ruby&gt;$1&lt;rt&gt;$2&lt;/rt&gt;&lt;/ruby&gt;""
)&amp;""&lt;br&gt;&lt;div class=""""audio""""&gt;[sound:""&amp;C1381&amp;"".mp3]&lt;/div&gt;"""),"&lt;ruby&gt;昔&lt;rt&gt;むかし&lt;/rt&gt;&lt;/ruby&gt;&lt;br&gt;&lt;div class=""audio""&gt;[sound:むかし.mp3]&lt;/div&gt;")</f>
        <v>&lt;ruby&gt;昔&lt;rt&gt;むかし&lt;/rt&gt;&lt;/ruby&gt;&lt;br&gt;&lt;div class="audio"&gt;[sound:むかし.mp3]&lt;/div&gt;</v>
      </c>
      <c r="H1381" s="3" t="str">
        <f t="shared" si="1"/>
        <v>(n): ngày xưa</v>
      </c>
      <c r="I1381" s="6" t="s">
        <v>7476</v>
      </c>
      <c r="J1381" s="6" t="s">
        <v>7477</v>
      </c>
      <c r="K1381" s="7">
        <f t="shared" si="2"/>
        <v>0.4743339269</v>
      </c>
    </row>
    <row r="1382">
      <c r="A1382" s="4">
        <v>1382.0</v>
      </c>
      <c r="B1382" s="5" t="s">
        <v>7478</v>
      </c>
      <c r="C1382" s="5" t="s">
        <v>7479</v>
      </c>
      <c r="D1382" s="5" t="s">
        <v>7480</v>
      </c>
      <c r="E1382" s="6" t="s">
        <v>74</v>
      </c>
      <c r="F1382" s="6" t="s">
        <v>7481</v>
      </c>
      <c r="G1382" s="3" t="str">
        <f>IFERROR(__xludf.DUMMYFUNCTION("REGEXREPLACE(
D1382,
""([一-龯々]+)\[([^\]]+)\]"",
""&lt;ruby&gt;$1&lt;rt&gt;$2&lt;/rt&gt;&lt;/ruby&gt;""
)&amp;""&lt;br&gt;&lt;div class=""""audio""""&gt;[sound:""&amp;C1382&amp;"".mp3]&lt;/div&gt;"""),"&lt;ruby&gt;地位&lt;rt&gt;ちい&lt;/rt&gt;&lt;/ruby&gt;&lt;br&gt;&lt;div class=""audio""&gt;[sound:ちい.mp3]&lt;/div&gt;")</f>
        <v>&lt;ruby&gt;地位&lt;rt&gt;ちい&lt;/rt&gt;&lt;/ruby&gt;&lt;br&gt;&lt;div class="audio"&gt;[sound:ちい.mp3]&lt;/div&gt;</v>
      </c>
      <c r="H1382" s="3" t="str">
        <f t="shared" si="1"/>
        <v>(n): địa vị</v>
      </c>
      <c r="I1382" s="6" t="s">
        <v>7482</v>
      </c>
      <c r="J1382" s="6" t="s">
        <v>7483</v>
      </c>
      <c r="K1382" s="7">
        <f t="shared" si="2"/>
        <v>0.09458773734</v>
      </c>
    </row>
    <row r="1383">
      <c r="A1383" s="4">
        <v>1383.0</v>
      </c>
      <c r="B1383" s="5" t="s">
        <v>7484</v>
      </c>
      <c r="C1383" s="5" t="s">
        <v>7485</v>
      </c>
      <c r="D1383" s="5" t="s">
        <v>7486</v>
      </c>
      <c r="E1383" s="6" t="s">
        <v>74</v>
      </c>
      <c r="F1383" s="6" t="s">
        <v>7487</v>
      </c>
      <c r="G1383" s="3" t="str">
        <f>IFERROR(__xludf.DUMMYFUNCTION("REGEXREPLACE(
D1383,
""([一-龯々]+)\[([^\]]+)\]"",
""&lt;ruby&gt;$1&lt;rt&gt;$2&lt;/rt&gt;&lt;/ruby&gt;""
)&amp;""&lt;br&gt;&lt;div class=""""audio""""&gt;[sound:""&amp;C1383&amp;"".mp3]&lt;/div&gt;"""),"&lt;ruby&gt;回転&lt;rt&gt;かいてん&lt;/rt&gt;&lt;/ruby&gt;&lt;br&gt;&lt;div class=""audio""&gt;[sound:かいてん.mp3]&lt;/div&gt;")</f>
        <v>&lt;ruby&gt;回転&lt;rt&gt;かいてん&lt;/rt&gt;&lt;/ruby&gt;&lt;br&gt;&lt;div class="audio"&gt;[sound:かいてん.mp3]&lt;/div&gt;</v>
      </c>
      <c r="H1383" s="3" t="str">
        <f t="shared" si="1"/>
        <v>(n): xoay</v>
      </c>
      <c r="I1383" s="6" t="s">
        <v>7488</v>
      </c>
      <c r="J1383" s="6" t="s">
        <v>7489</v>
      </c>
      <c r="K1383" s="7">
        <f t="shared" si="2"/>
        <v>0.4337424011</v>
      </c>
    </row>
    <row r="1384">
      <c r="A1384" s="4">
        <v>1384.0</v>
      </c>
      <c r="B1384" s="5" t="s">
        <v>7490</v>
      </c>
      <c r="C1384" s="5" t="s">
        <v>7491</v>
      </c>
      <c r="D1384" s="5" t="s">
        <v>7492</v>
      </c>
      <c r="E1384" s="6" t="s">
        <v>74</v>
      </c>
      <c r="F1384" s="6" t="s">
        <v>7493</v>
      </c>
      <c r="G1384" s="3" t="str">
        <f>IFERROR(__xludf.DUMMYFUNCTION("REGEXREPLACE(
D1384,
""([一-龯々]+)\[([^\]]+)\]"",
""&lt;ruby&gt;$1&lt;rt&gt;$2&lt;/rt&gt;&lt;/ruby&gt;""
)&amp;""&lt;br&gt;&lt;div class=""""audio""""&gt;[sound:""&amp;C1384&amp;"".mp3]&lt;/div&gt;"""),"&lt;ruby&gt;文章&lt;rt&gt;ぶんしょう&lt;/rt&gt;&lt;/ruby&gt;&lt;br&gt;&lt;div class=""audio""&gt;[sound:ぶんしょう.mp3]&lt;/div&gt;")</f>
        <v>&lt;ruby&gt;文章&lt;rt&gt;ぶんしょう&lt;/rt&gt;&lt;/ruby&gt;&lt;br&gt;&lt;div class="audio"&gt;[sound:ぶんしょう.mp3]&lt;/div&gt;</v>
      </c>
      <c r="H1384" s="3" t="str">
        <f t="shared" si="1"/>
        <v>(n): đoạn văn</v>
      </c>
      <c r="I1384" s="6" t="s">
        <v>7494</v>
      </c>
      <c r="J1384" s="6" t="s">
        <v>7495</v>
      </c>
      <c r="K1384" s="7">
        <f t="shared" si="2"/>
        <v>0.5370482739</v>
      </c>
    </row>
    <row r="1385">
      <c r="A1385" s="4">
        <v>1385.0</v>
      </c>
      <c r="B1385" s="5" t="s">
        <v>7496</v>
      </c>
      <c r="C1385" s="5" t="s">
        <v>7497</v>
      </c>
      <c r="D1385" s="5" t="s">
        <v>7498</v>
      </c>
      <c r="E1385" s="6" t="s">
        <v>74</v>
      </c>
      <c r="F1385" s="6" t="s">
        <v>7499</v>
      </c>
      <c r="G1385" s="3" t="str">
        <f>IFERROR(__xludf.DUMMYFUNCTION("REGEXREPLACE(
D1385,
""([一-龯々]+)\[([^\]]+)\]"",
""&lt;ruby&gt;$1&lt;rt&gt;$2&lt;/rt&gt;&lt;/ruby&gt;""
)&amp;""&lt;br&gt;&lt;div class=""""audio""""&gt;[sound:""&amp;C1385&amp;"".mp3]&lt;/div&gt;"""),"&lt;ruby&gt;歌&lt;rt&gt;うた&lt;/rt&gt;&lt;/ruby&gt;&lt;br&gt;&lt;div class=""audio""&gt;[sound:うた.mp3]&lt;/div&gt;")</f>
        <v>&lt;ruby&gt;歌&lt;rt&gt;うた&lt;/rt&gt;&lt;/ruby&gt;&lt;br&gt;&lt;div class="audio"&gt;[sound:うた.mp3]&lt;/div&gt;</v>
      </c>
      <c r="H1385" s="3" t="str">
        <f t="shared" si="1"/>
        <v>(n): bài hát</v>
      </c>
      <c r="I1385" s="6" t="s">
        <v>7500</v>
      </c>
      <c r="J1385" s="6" t="s">
        <v>7501</v>
      </c>
      <c r="K1385" s="7">
        <f t="shared" si="2"/>
        <v>0.2188056998</v>
      </c>
    </row>
    <row r="1386">
      <c r="A1386" s="4">
        <v>1386.0</v>
      </c>
      <c r="B1386" s="5" t="s">
        <v>7502</v>
      </c>
      <c r="C1386" s="5" t="s">
        <v>7503</v>
      </c>
      <c r="D1386" s="5" t="s">
        <v>7504</v>
      </c>
      <c r="E1386" s="6" t="s">
        <v>74</v>
      </c>
      <c r="F1386" s="6" t="s">
        <v>6274</v>
      </c>
      <c r="G1386" s="3" t="str">
        <f>IFERROR(__xludf.DUMMYFUNCTION("REGEXREPLACE(
D1386,
""([一-龯々]+)\[([^\]]+)\]"",
""&lt;ruby&gt;$1&lt;rt&gt;$2&lt;/rt&gt;&lt;/ruby&gt;""
)&amp;""&lt;br&gt;&lt;div class=""""audio""""&gt;[sound:""&amp;C1386&amp;"".mp3]&lt;/div&gt;"""),"&lt;ruby&gt;機会&lt;rt&gt;きかい&lt;/rt&gt;&lt;/ruby&gt;&lt;br&gt;&lt;div class=""audio""&gt;[sound:きかい.mp3]&lt;/div&gt;")</f>
        <v>&lt;ruby&gt;機会&lt;rt&gt;きかい&lt;/rt&gt;&lt;/ruby&gt;&lt;br&gt;&lt;div class="audio"&gt;[sound:きかい.mp3]&lt;/div&gt;</v>
      </c>
      <c r="H1386" s="3" t="str">
        <f t="shared" si="1"/>
        <v>(n): cơ hội</v>
      </c>
      <c r="I1386" s="6" t="s">
        <v>7505</v>
      </c>
      <c r="J1386" s="6" t="s">
        <v>7506</v>
      </c>
      <c r="K1386" s="7">
        <f t="shared" si="2"/>
        <v>0.3899273887</v>
      </c>
    </row>
    <row r="1387">
      <c r="A1387" s="4">
        <v>1387.0</v>
      </c>
      <c r="B1387" s="5" t="s">
        <v>7507</v>
      </c>
      <c r="C1387" s="5" t="s">
        <v>7508</v>
      </c>
      <c r="D1387" s="5" t="s">
        <v>7509</v>
      </c>
      <c r="E1387" s="6" t="s">
        <v>74</v>
      </c>
      <c r="F1387" s="6" t="s">
        <v>7510</v>
      </c>
      <c r="G1387" s="3" t="str">
        <f>IFERROR(__xludf.DUMMYFUNCTION("REGEXREPLACE(
D1387,
""([一-龯々]+)\[([^\]]+)\]"",
""&lt;ruby&gt;$1&lt;rt&gt;$2&lt;/rt&gt;&lt;/ruby&gt;""
)&amp;""&lt;br&gt;&lt;div class=""""audio""""&gt;[sound:""&amp;C1387&amp;"".mp3]&lt;/div&gt;"""),"&lt;ruby&gt;呼吸&lt;rt&gt;こきゅう&lt;/rt&gt;&lt;/ruby&gt;&lt;br&gt;&lt;div class=""audio""&gt;[sound:こきゅう.mp3]&lt;/div&gt;")</f>
        <v>&lt;ruby&gt;呼吸&lt;rt&gt;こきゅう&lt;/rt&gt;&lt;/ruby&gt;&lt;br&gt;&lt;div class="audio"&gt;[sound:こきゅう.mp3]&lt;/div&gt;</v>
      </c>
      <c r="H1387" s="3" t="str">
        <f t="shared" si="1"/>
        <v>(n): hô hấp</v>
      </c>
      <c r="I1387" s="6" t="s">
        <v>7511</v>
      </c>
      <c r="J1387" s="6" t="s">
        <v>7512</v>
      </c>
      <c r="K1387" s="7">
        <f t="shared" si="2"/>
        <v>0.2549880184</v>
      </c>
    </row>
    <row r="1388">
      <c r="A1388" s="4">
        <v>1388.0</v>
      </c>
      <c r="B1388" s="5" t="s">
        <v>7513</v>
      </c>
      <c r="C1388" s="5" t="s">
        <v>7514</v>
      </c>
      <c r="D1388" s="5" t="s">
        <v>7515</v>
      </c>
      <c r="E1388" s="6" t="s">
        <v>74</v>
      </c>
      <c r="F1388" s="6" t="s">
        <v>7516</v>
      </c>
      <c r="G1388" s="3" t="str">
        <f>IFERROR(__xludf.DUMMYFUNCTION("REGEXREPLACE(
D1388,
""([一-龯々]+)\[([^\]]+)\]"",
""&lt;ruby&gt;$1&lt;rt&gt;$2&lt;/rt&gt;&lt;/ruby&gt;""
)&amp;""&lt;br&gt;&lt;div class=""""audio""""&gt;[sound:""&amp;C1388&amp;"".mp3]&lt;/div&gt;"""),"&lt;ruby&gt;悩&lt;rt&gt;なや&lt;/rt&gt;&lt;/ruby&gt;み&lt;br&gt;&lt;div class=""audio""&gt;[sound:なやみ.mp3]&lt;/div&gt;")</f>
        <v>&lt;ruby&gt;悩&lt;rt&gt;なや&lt;/rt&gt;&lt;/ruby&gt;み&lt;br&gt;&lt;div class="audio"&gt;[sound:なやみ.mp3]&lt;/div&gt;</v>
      </c>
      <c r="H1388" s="3" t="str">
        <f t="shared" si="1"/>
        <v>(n): nỗi lo</v>
      </c>
      <c r="I1388" s="6" t="s">
        <v>7517</v>
      </c>
      <c r="J1388" s="6" t="s">
        <v>7518</v>
      </c>
      <c r="K1388" s="7">
        <f t="shared" si="2"/>
        <v>0.667676215</v>
      </c>
    </row>
    <row r="1389">
      <c r="A1389" s="4">
        <v>1389.0</v>
      </c>
      <c r="B1389" s="5" t="s">
        <v>7519</v>
      </c>
      <c r="C1389" s="5" t="s">
        <v>7520</v>
      </c>
      <c r="D1389" s="5" t="s">
        <v>7521</v>
      </c>
      <c r="E1389" s="6" t="s">
        <v>74</v>
      </c>
      <c r="F1389" s="6" t="s">
        <v>7522</v>
      </c>
      <c r="G1389" s="3" t="str">
        <f>IFERROR(__xludf.DUMMYFUNCTION("REGEXREPLACE(
D1389,
""([一-龯々]+)\[([^\]]+)\]"",
""&lt;ruby&gt;$1&lt;rt&gt;$2&lt;/rt&gt;&lt;/ruby&gt;""
)&amp;""&lt;br&gt;&lt;div class=""""audio""""&gt;[sound:""&amp;C1389&amp;"".mp3]&lt;/div&gt;"""),"&lt;ruby&gt;実業家&lt;rt&gt;じつぎょうか&lt;/rt&gt;&lt;/ruby&gt;&lt;br&gt;&lt;div class=""audio""&gt;[sound:じつぎょうか.mp3]&lt;/div&gt;")</f>
        <v>&lt;ruby&gt;実業家&lt;rt&gt;じつぎょうか&lt;/rt&gt;&lt;/ruby&gt;&lt;br&gt;&lt;div class="audio"&gt;[sound:じつぎょうか.mp3]&lt;/div&gt;</v>
      </c>
      <c r="H1389" s="3" t="str">
        <f t="shared" si="1"/>
        <v>(n): nhà kinh doanh</v>
      </c>
      <c r="I1389" s="6" t="s">
        <v>7523</v>
      </c>
      <c r="J1389" s="6" t="s">
        <v>7524</v>
      </c>
      <c r="K1389" s="7">
        <f t="shared" si="2"/>
        <v>0.8676503755</v>
      </c>
    </row>
    <row r="1390">
      <c r="A1390" s="4">
        <v>1390.0</v>
      </c>
      <c r="B1390" s="5" t="s">
        <v>7525</v>
      </c>
      <c r="C1390" s="5" t="s">
        <v>7526</v>
      </c>
      <c r="D1390" s="5" t="s">
        <v>7527</v>
      </c>
      <c r="E1390" s="6" t="s">
        <v>74</v>
      </c>
      <c r="F1390" s="6" t="s">
        <v>3619</v>
      </c>
      <c r="G1390" s="3" t="str">
        <f>IFERROR(__xludf.DUMMYFUNCTION("REGEXREPLACE(
D1390,
""([一-龯々]+)\[([^\]]+)\]"",
""&lt;ruby&gt;$1&lt;rt&gt;$2&lt;/rt&gt;&lt;/ruby&gt;""
)&amp;""&lt;br&gt;&lt;div class=""""audio""""&gt;[sound:""&amp;C1390&amp;"".mp3]&lt;/div&gt;"""),"&lt;ruby&gt;手法&lt;rt&gt;しゅほう&lt;/rt&gt;&lt;/ruby&gt;&lt;br&gt;&lt;div class=""audio""&gt;[sound:しゅほう.mp3]&lt;/div&gt;")</f>
        <v>&lt;ruby&gt;手法&lt;rt&gt;しゅほう&lt;/rt&gt;&lt;/ruby&gt;&lt;br&gt;&lt;div class="audio"&gt;[sound:しゅほう.mp3]&lt;/div&gt;</v>
      </c>
      <c r="H1390" s="3" t="str">
        <f t="shared" si="1"/>
        <v>(n): phương pháp</v>
      </c>
      <c r="I1390" s="6" t="s">
        <v>7528</v>
      </c>
      <c r="J1390" s="6" t="s">
        <v>7529</v>
      </c>
      <c r="K1390" s="7">
        <f t="shared" si="2"/>
        <v>0.3760319703</v>
      </c>
    </row>
    <row r="1391">
      <c r="A1391" s="4">
        <v>1391.0</v>
      </c>
      <c r="B1391" s="5" t="s">
        <v>7530</v>
      </c>
      <c r="C1391" s="5" t="s">
        <v>7531</v>
      </c>
      <c r="D1391" s="5" t="s">
        <v>7532</v>
      </c>
      <c r="E1391" s="6" t="s">
        <v>74</v>
      </c>
      <c r="F1391" s="6" t="s">
        <v>7533</v>
      </c>
      <c r="G1391" s="3" t="str">
        <f>IFERROR(__xludf.DUMMYFUNCTION("REGEXREPLACE(
D1391,
""([一-龯々]+)\[([^\]]+)\]"",
""&lt;ruby&gt;$1&lt;rt&gt;$2&lt;/rt&gt;&lt;/ruby&gt;""
)&amp;""&lt;br&gt;&lt;div class=""""audio""""&gt;[sound:""&amp;C1391&amp;"".mp3]&lt;/div&gt;"""),"&lt;ruby&gt;復活&lt;rt&gt;ふっかつ&lt;/rt&gt;&lt;/ruby&gt;&lt;br&gt;&lt;div class=""audio""&gt;[sound:ふっかつ.mp3]&lt;/div&gt;")</f>
        <v>&lt;ruby&gt;復活&lt;rt&gt;ふっかつ&lt;/rt&gt;&lt;/ruby&gt;&lt;br&gt;&lt;div class="audio"&gt;[sound:ふっかつ.mp3]&lt;/div&gt;</v>
      </c>
      <c r="H1391" s="3" t="str">
        <f t="shared" si="1"/>
        <v>(n): sống lại</v>
      </c>
      <c r="I1391" s="6" t="s">
        <v>7534</v>
      </c>
      <c r="J1391" s="6" t="s">
        <v>7535</v>
      </c>
      <c r="K1391" s="7">
        <f t="shared" si="2"/>
        <v>0.827497084</v>
      </c>
    </row>
    <row r="1392">
      <c r="A1392" s="4">
        <v>1392.0</v>
      </c>
      <c r="B1392" s="5" t="s">
        <v>7536</v>
      </c>
      <c r="C1392" s="5" t="s">
        <v>7537</v>
      </c>
      <c r="D1392" s="5" t="s">
        <v>7538</v>
      </c>
      <c r="E1392" s="6" t="s">
        <v>74</v>
      </c>
      <c r="F1392" s="6" t="s">
        <v>2440</v>
      </c>
      <c r="G1392" s="3" t="str">
        <f>IFERROR(__xludf.DUMMYFUNCTION("REGEXREPLACE(
D1392,
""([一-龯々]+)\[([^\]]+)\]"",
""&lt;ruby&gt;$1&lt;rt&gt;$2&lt;/rt&gt;&lt;/ruby&gt;""
)&amp;""&lt;br&gt;&lt;div class=""""audio""""&gt;[sound:""&amp;C1392&amp;"".mp3]&lt;/div&gt;"""),"&lt;ruby&gt;技&lt;rt&gt;わざ&lt;/rt&gt;&lt;/ruby&gt;&lt;br&gt;&lt;div class=""audio""&gt;[sound:わざ.mp3]&lt;/div&gt;")</f>
        <v>&lt;ruby&gt;技&lt;rt&gt;わざ&lt;/rt&gt;&lt;/ruby&gt;&lt;br&gt;&lt;div class="audio"&gt;[sound:わざ.mp3]&lt;/div&gt;</v>
      </c>
      <c r="H1392" s="3" t="str">
        <f t="shared" si="1"/>
        <v>(n): kỹ thuật</v>
      </c>
      <c r="I1392" s="6" t="s">
        <v>7539</v>
      </c>
      <c r="J1392" s="6" t="s">
        <v>7540</v>
      </c>
      <c r="K1392" s="7">
        <f t="shared" si="2"/>
        <v>0.1722128615</v>
      </c>
    </row>
    <row r="1393">
      <c r="A1393" s="4">
        <v>1393.0</v>
      </c>
      <c r="B1393" s="5" t="s">
        <v>7541</v>
      </c>
      <c r="C1393" s="5" t="s">
        <v>7542</v>
      </c>
      <c r="D1393" s="5" t="s">
        <v>7543</v>
      </c>
      <c r="E1393" s="6" t="s">
        <v>24</v>
      </c>
      <c r="F1393" s="6" t="s">
        <v>7544</v>
      </c>
      <c r="G1393" s="3" t="str">
        <f>IFERROR(__xludf.DUMMYFUNCTION("REGEXREPLACE(
D1393,
""([一-龯々]+)\[([^\]]+)\]"",
""&lt;ruby&gt;$1&lt;rt&gt;$2&lt;/rt&gt;&lt;/ruby&gt;""
)&amp;""&lt;br&gt;&lt;div class=""""audio""""&gt;[sound:""&amp;C1393&amp;"".mp3]&lt;/div&gt;"""),"&lt;ruby&gt;振&lt;rt&gt;ふ&lt;/rt&gt;&lt;/ruby&gt;り&lt;ruby&gt;返&lt;rt&gt;かえ&lt;/rt&gt;&lt;/ruby&gt;る&lt;br&gt;&lt;div class=""audio""&gt;[sound:ふりかえる.mp3]&lt;/div&gt;")</f>
        <v>&lt;ruby&gt;振&lt;rt&gt;ふ&lt;/rt&gt;&lt;/ruby&gt;り&lt;ruby&gt;返&lt;rt&gt;かえ&lt;/rt&gt;&lt;/ruby&gt;る&lt;br&gt;&lt;div class="audio"&gt;[sound:ふりかえる.mp3]&lt;/div&gt;</v>
      </c>
      <c r="H1393" s="3" t="str">
        <f t="shared" si="1"/>
        <v>(v): nhìn lại</v>
      </c>
      <c r="I1393" s="6" t="s">
        <v>7545</v>
      </c>
      <c r="J1393" s="6" t="s">
        <v>7546</v>
      </c>
      <c r="K1393" s="7">
        <f t="shared" si="2"/>
        <v>0.4865650074</v>
      </c>
    </row>
    <row r="1394">
      <c r="A1394" s="4">
        <v>1394.0</v>
      </c>
      <c r="B1394" s="5" t="s">
        <v>7547</v>
      </c>
      <c r="C1394" s="5" t="s">
        <v>7548</v>
      </c>
      <c r="D1394" s="5" t="s">
        <v>7549</v>
      </c>
      <c r="E1394" s="6" t="s">
        <v>74</v>
      </c>
      <c r="F1394" s="6" t="s">
        <v>7550</v>
      </c>
      <c r="G1394" s="3" t="str">
        <f>IFERROR(__xludf.DUMMYFUNCTION("REGEXREPLACE(
D1394,
""([一-龯々]+)\[([^\]]+)\]"",
""&lt;ruby&gt;$1&lt;rt&gt;$2&lt;/rt&gt;&lt;/ruby&gt;""
)&amp;""&lt;br&gt;&lt;div class=""""audio""""&gt;[sound:""&amp;C1394&amp;"".mp3]&lt;/div&gt;"""),"&lt;ruby&gt;手当&lt;rt&gt;てあて&lt;/rt&gt;&lt;/ruby&gt;&lt;br&gt;&lt;div class=""audio""&gt;[sound:てあて.mp3]&lt;/div&gt;")</f>
        <v>&lt;ruby&gt;手当&lt;rt&gt;てあて&lt;/rt&gt;&lt;/ruby&gt;&lt;br&gt;&lt;div class="audio"&gt;[sound:てあて.mp3]&lt;/div&gt;</v>
      </c>
      <c r="H1394" s="3" t="str">
        <f t="shared" si="1"/>
        <v>(n): phụ cấp</v>
      </c>
      <c r="I1394" s="6" t="s">
        <v>7551</v>
      </c>
      <c r="J1394" s="6" t="s">
        <v>7552</v>
      </c>
      <c r="K1394" s="7">
        <f t="shared" si="2"/>
        <v>0.03965235305</v>
      </c>
    </row>
    <row r="1395">
      <c r="A1395" s="4">
        <v>1395.0</v>
      </c>
      <c r="B1395" s="5" t="s">
        <v>7553</v>
      </c>
      <c r="C1395" s="5" t="s">
        <v>7554</v>
      </c>
      <c r="D1395" s="5" t="s">
        <v>7555</v>
      </c>
      <c r="E1395" s="6" t="s">
        <v>74</v>
      </c>
      <c r="F1395" s="6" t="s">
        <v>7556</v>
      </c>
      <c r="G1395" s="3" t="str">
        <f>IFERROR(__xludf.DUMMYFUNCTION("REGEXREPLACE(
D1395,
""([一-龯々]+)\[([^\]]+)\]"",
""&lt;ruby&gt;$1&lt;rt&gt;$2&lt;/rt&gt;&lt;/ruby&gt;""
)&amp;""&lt;br&gt;&lt;div class=""""audio""""&gt;[sound:""&amp;C1395&amp;"".mp3]&lt;/div&gt;"""),"&lt;ruby&gt;把握&lt;rt&gt;はあく&lt;/rt&gt;&lt;/ruby&gt;&lt;br&gt;&lt;div class=""audio""&gt;[sound:はあく.mp3]&lt;/div&gt;")</f>
        <v>&lt;ruby&gt;把握&lt;rt&gt;はあく&lt;/rt&gt;&lt;/ruby&gt;&lt;br&gt;&lt;div class="audio"&gt;[sound:はあく.mp3]&lt;/div&gt;</v>
      </c>
      <c r="H1395" s="3" t="str">
        <f t="shared" si="1"/>
        <v>(n): nắm bắt</v>
      </c>
      <c r="I1395" s="6" t="s">
        <v>7557</v>
      </c>
      <c r="J1395" s="6" t="s">
        <v>7558</v>
      </c>
      <c r="K1395" s="7">
        <f t="shared" si="2"/>
        <v>0.6308759383</v>
      </c>
    </row>
    <row r="1396">
      <c r="A1396" s="4">
        <v>1396.0</v>
      </c>
      <c r="B1396" s="5" t="s">
        <v>7559</v>
      </c>
      <c r="C1396" s="5" t="s">
        <v>7560</v>
      </c>
      <c r="D1396" s="5" t="s">
        <v>7561</v>
      </c>
      <c r="E1396" s="6" t="s">
        <v>74</v>
      </c>
      <c r="F1396" s="6" t="s">
        <v>7562</v>
      </c>
      <c r="G1396" s="3" t="str">
        <f>IFERROR(__xludf.DUMMYFUNCTION("REGEXREPLACE(
D1396,
""([一-龯々]+)\[([^\]]+)\]"",
""&lt;ruby&gt;$1&lt;rt&gt;$2&lt;/rt&gt;&lt;/ruby&gt;""
)&amp;""&lt;br&gt;&lt;div class=""""audio""""&gt;[sound:""&amp;C1396&amp;"".mp3]&lt;/div&gt;"""),"&lt;ruby&gt;幹部&lt;rt&gt;かんぶ&lt;/rt&gt;&lt;/ruby&gt;&lt;br&gt;&lt;div class=""audio""&gt;[sound:かんぶ.mp3]&lt;/div&gt;")</f>
        <v>&lt;ruby&gt;幹部&lt;rt&gt;かんぶ&lt;/rt&gt;&lt;/ruby&gt;&lt;br&gt;&lt;div class="audio"&gt;[sound:かんぶ.mp3]&lt;/div&gt;</v>
      </c>
      <c r="H1396" s="3" t="str">
        <f t="shared" si="1"/>
        <v>(n): cán bộ</v>
      </c>
      <c r="I1396" s="6" t="s">
        <v>7563</v>
      </c>
      <c r="J1396" s="6" t="s">
        <v>7564</v>
      </c>
      <c r="K1396" s="7">
        <f t="shared" si="2"/>
        <v>0.5892204776</v>
      </c>
    </row>
    <row r="1397">
      <c r="A1397" s="4">
        <v>1397.0</v>
      </c>
      <c r="B1397" s="5" t="s">
        <v>7565</v>
      </c>
      <c r="C1397" s="5" t="s">
        <v>7566</v>
      </c>
      <c r="D1397" s="5" t="s">
        <v>7567</v>
      </c>
      <c r="E1397" s="6" t="s">
        <v>24</v>
      </c>
      <c r="F1397" s="6" t="s">
        <v>7568</v>
      </c>
      <c r="G1397" s="3" t="str">
        <f>IFERROR(__xludf.DUMMYFUNCTION("REGEXREPLACE(
D1397,
""([一-龯々]+)\[([^\]]+)\]"",
""&lt;ruby&gt;$1&lt;rt&gt;$2&lt;/rt&gt;&lt;/ruby&gt;""
)&amp;""&lt;br&gt;&lt;div class=""""audio""""&gt;[sound:""&amp;C1397&amp;"".mp3]&lt;/div&gt;"""),"&lt;ruby&gt;有&lt;rt&gt;ゆう&lt;/rt&gt;&lt;/ruby&gt;する&lt;br&gt;&lt;div class=""audio""&gt;[sound:ゆうする.mp3]&lt;/div&gt;")</f>
        <v>&lt;ruby&gt;有&lt;rt&gt;ゆう&lt;/rt&gt;&lt;/ruby&gt;する&lt;br&gt;&lt;div class="audio"&gt;[sound:ゆうする.mp3]&lt;/div&gt;</v>
      </c>
      <c r="H1397" s="3" t="str">
        <f t="shared" si="1"/>
        <v>(v): sở hữu</v>
      </c>
      <c r="I1397" s="6" t="s">
        <v>7569</v>
      </c>
      <c r="J1397" s="6" t="s">
        <v>7570</v>
      </c>
      <c r="K1397" s="7">
        <f t="shared" si="2"/>
        <v>0.3893017703</v>
      </c>
    </row>
    <row r="1398">
      <c r="A1398" s="4">
        <v>1398.0</v>
      </c>
      <c r="B1398" s="5" t="s">
        <v>7571</v>
      </c>
      <c r="C1398" s="5" t="s">
        <v>6043</v>
      </c>
      <c r="D1398" s="5" t="s">
        <v>7572</v>
      </c>
      <c r="E1398" s="6" t="s">
        <v>74</v>
      </c>
      <c r="F1398" s="6" t="s">
        <v>7573</v>
      </c>
      <c r="G1398" s="3" t="str">
        <f>IFERROR(__xludf.DUMMYFUNCTION("REGEXREPLACE(
D1398,
""([一-龯々]+)\[([^\]]+)\]"",
""&lt;ruby&gt;$1&lt;rt&gt;$2&lt;/rt&gt;&lt;/ruby&gt;""
)&amp;""&lt;br&gt;&lt;div class=""""audio""""&gt;[sound:""&amp;C1398&amp;"".mp3]&lt;/div&gt;"""),"&lt;ruby&gt;相&lt;rt&gt;あい&lt;/rt&gt;&lt;/ruby&gt;&lt;br&gt;&lt;div class=""audio""&gt;[sound:あい.mp3]&lt;/div&gt;")</f>
        <v>&lt;ruby&gt;相&lt;rt&gt;あい&lt;/rt&gt;&lt;/ruby&gt;&lt;br&gt;&lt;div class="audio"&gt;[sound:あい.mp3]&lt;/div&gt;</v>
      </c>
      <c r="H1398" s="3" t="str">
        <f t="shared" si="1"/>
        <v>(n): tương trợ</v>
      </c>
      <c r="I1398" s="6" t="s">
        <v>7574</v>
      </c>
      <c r="J1398" s="6" t="s">
        <v>7575</v>
      </c>
      <c r="K1398" s="7">
        <f t="shared" si="2"/>
        <v>0.3858244984</v>
      </c>
    </row>
    <row r="1399">
      <c r="A1399" s="4">
        <v>1399.0</v>
      </c>
      <c r="B1399" s="5" t="s">
        <v>7576</v>
      </c>
      <c r="C1399" s="5" t="s">
        <v>7577</v>
      </c>
      <c r="D1399" s="5" t="s">
        <v>7578</v>
      </c>
      <c r="E1399" s="6" t="s">
        <v>74</v>
      </c>
      <c r="F1399" s="6" t="s">
        <v>7579</v>
      </c>
      <c r="G1399" s="3" t="str">
        <f>IFERROR(__xludf.DUMMYFUNCTION("REGEXREPLACE(
D1399,
""([一-龯々]+)\[([^\]]+)\]"",
""&lt;ruby&gt;$1&lt;rt&gt;$2&lt;/rt&gt;&lt;/ruby&gt;""
)&amp;""&lt;br&gt;&lt;div class=""""audio""""&gt;[sound:""&amp;C1399&amp;"".mp3]&lt;/div&gt;"""),"&lt;ruby&gt;世論&lt;rt&gt;よろん&lt;/rt&gt;&lt;/ruby&gt;&lt;br&gt;&lt;div class=""audio""&gt;[sound:よろん.mp3]&lt;/div&gt;")</f>
        <v>&lt;ruby&gt;世論&lt;rt&gt;よろん&lt;/rt&gt;&lt;/ruby&gt;&lt;br&gt;&lt;div class="audio"&gt;[sound:よろん.mp3]&lt;/div&gt;</v>
      </c>
      <c r="H1399" s="3" t="str">
        <f t="shared" si="1"/>
        <v>(n): dư luận</v>
      </c>
      <c r="I1399" s="6" t="s">
        <v>7580</v>
      </c>
      <c r="J1399" s="6" t="s">
        <v>7581</v>
      </c>
      <c r="K1399" s="7">
        <f t="shared" si="2"/>
        <v>0.7475305251</v>
      </c>
    </row>
    <row r="1400">
      <c r="A1400" s="4">
        <v>1400.0</v>
      </c>
      <c r="B1400" s="5" t="s">
        <v>7582</v>
      </c>
      <c r="C1400" s="5" t="s">
        <v>7583</v>
      </c>
      <c r="D1400" s="5" t="s">
        <v>7584</v>
      </c>
      <c r="E1400" s="6" t="s">
        <v>74</v>
      </c>
      <c r="F1400" s="6" t="s">
        <v>3144</v>
      </c>
      <c r="G1400" s="3" t="str">
        <f>IFERROR(__xludf.DUMMYFUNCTION("REGEXREPLACE(
D1400,
""([一-龯々]+)\[([^\]]+)\]"",
""&lt;ruby&gt;$1&lt;rt&gt;$2&lt;/rt&gt;&lt;/ruby&gt;""
)&amp;""&lt;br&gt;&lt;div class=""""audio""""&gt;[sound:""&amp;C1400&amp;"".mp3]&lt;/div&gt;"""),"&lt;ruby&gt;限&lt;rt&gt;かぎ&lt;/rt&gt;&lt;/ruby&gt;り&lt;br&gt;&lt;div class=""audio""&gt;[sound:かぎり.mp3]&lt;/div&gt;")</f>
        <v>&lt;ruby&gt;限&lt;rt&gt;かぎ&lt;/rt&gt;&lt;/ruby&gt;り&lt;br&gt;&lt;div class="audio"&gt;[sound:かぎり.mp3]&lt;/div&gt;</v>
      </c>
      <c r="H1400" s="3" t="str">
        <f t="shared" si="1"/>
        <v>(n): giới hạn</v>
      </c>
      <c r="I1400" s="6" t="s">
        <v>7585</v>
      </c>
      <c r="J1400" s="6" t="s">
        <v>7586</v>
      </c>
      <c r="K1400" s="7">
        <f t="shared" si="2"/>
        <v>0.588094805</v>
      </c>
    </row>
    <row r="1401">
      <c r="A1401" s="4">
        <v>1401.0</v>
      </c>
      <c r="B1401" s="5" t="s">
        <v>7587</v>
      </c>
      <c r="C1401" s="5" t="s">
        <v>7588</v>
      </c>
      <c r="D1401" s="5" t="s">
        <v>7589</v>
      </c>
      <c r="E1401" s="6" t="s">
        <v>74</v>
      </c>
      <c r="F1401" s="6" t="s">
        <v>3327</v>
      </c>
      <c r="G1401" s="3" t="str">
        <f>IFERROR(__xludf.DUMMYFUNCTION("REGEXREPLACE(
D1401,
""([一-龯々]+)\[([^\]]+)\]"",
""&lt;ruby&gt;$1&lt;rt&gt;$2&lt;/rt&gt;&lt;/ruby&gt;""
)&amp;""&lt;br&gt;&lt;div class=""""audio""""&gt;[sound:""&amp;C1401&amp;"".mp3]&lt;/div&gt;"""),"&lt;ruby&gt;夕方&lt;rt&gt;ゆうがた&lt;/rt&gt;&lt;/ruby&gt;&lt;br&gt;&lt;div class=""audio""&gt;[sound:ゆうがた.mp3]&lt;/div&gt;")</f>
        <v>&lt;ruby&gt;夕方&lt;rt&gt;ゆうがた&lt;/rt&gt;&lt;/ruby&gt;&lt;br&gt;&lt;div class="audio"&gt;[sound:ゆうがた.mp3]&lt;/div&gt;</v>
      </c>
      <c r="H1401" s="3" t="str">
        <f t="shared" si="1"/>
        <v>(n): buổi chiều</v>
      </c>
      <c r="I1401" s="6" t="s">
        <v>7590</v>
      </c>
      <c r="J1401" s="6" t="s">
        <v>7591</v>
      </c>
      <c r="K1401" s="7">
        <f t="shared" si="2"/>
        <v>0.9027172065</v>
      </c>
    </row>
    <row r="1402">
      <c r="A1402" s="4">
        <v>1402.0</v>
      </c>
      <c r="B1402" s="5" t="s">
        <v>7592</v>
      </c>
      <c r="C1402" s="5" t="s">
        <v>7593</v>
      </c>
      <c r="D1402" s="5" t="s">
        <v>7594</v>
      </c>
      <c r="E1402" s="6" t="s">
        <v>24</v>
      </c>
      <c r="F1402" s="6" t="s">
        <v>7595</v>
      </c>
      <c r="G1402" s="3" t="str">
        <f>IFERROR(__xludf.DUMMYFUNCTION("REGEXREPLACE(
D1402,
""([一-龯々]+)\[([^\]]+)\]"",
""&lt;ruby&gt;$1&lt;rt&gt;$2&lt;/rt&gt;&lt;/ruby&gt;""
)&amp;""&lt;br&gt;&lt;div class=""""audio""""&gt;[sound:""&amp;C1402&amp;"".mp3]&lt;/div&gt;"""),"&lt;ruby&gt;防&lt;rt&gt;ふせ&lt;/rt&gt;&lt;/ruby&gt;ぐ&lt;br&gt;&lt;div class=""audio""&gt;[sound:ふせぐ.mp3]&lt;/div&gt;")</f>
        <v>&lt;ruby&gt;防&lt;rt&gt;ふせ&lt;/rt&gt;&lt;/ruby&gt;ぐ&lt;br&gt;&lt;div class="audio"&gt;[sound:ふせぐ.mp3]&lt;/div&gt;</v>
      </c>
      <c r="H1402" s="3" t="str">
        <f t="shared" si="1"/>
        <v>(v): ngăn chặn</v>
      </c>
      <c r="I1402" s="6" t="s">
        <v>7596</v>
      </c>
      <c r="J1402" s="6" t="s">
        <v>7597</v>
      </c>
      <c r="K1402" s="7">
        <f t="shared" si="2"/>
        <v>0.2313001547</v>
      </c>
    </row>
    <row r="1403">
      <c r="A1403" s="4">
        <v>1403.0</v>
      </c>
      <c r="B1403" s="5" t="s">
        <v>7598</v>
      </c>
      <c r="C1403" s="5" t="s">
        <v>7598</v>
      </c>
      <c r="D1403" s="5" t="s">
        <v>7598</v>
      </c>
      <c r="E1403" s="6" t="s">
        <v>85</v>
      </c>
      <c r="F1403" s="6" t="s">
        <v>5529</v>
      </c>
      <c r="G1403" s="3" t="str">
        <f>IFERROR(__xludf.DUMMYFUNCTION("REGEXREPLACE(
D1403,
""([一-龯々]+)\[([^\]]+)\]"",
""&lt;ruby&gt;$1&lt;rt&gt;$2&lt;/rt&gt;&lt;/ruby&gt;""
)&amp;""&lt;br&gt;&lt;div class=""""audio""""&gt;[sound:""&amp;C1403&amp;"".mp3]&lt;/div&gt;"""),"やがて&lt;br&gt;&lt;div class=""audio""&gt;[sound:やがて.mp3]&lt;/div&gt;")</f>
        <v>やがて&lt;br&gt;&lt;div class="audio"&gt;[sound:やがて.mp3]&lt;/div&gt;</v>
      </c>
      <c r="H1403" s="3" t="str">
        <f t="shared" si="1"/>
        <v>(adv): chẳng bao lâu</v>
      </c>
      <c r="I1403" s="6" t="s">
        <v>7599</v>
      </c>
      <c r="J1403" s="6" t="s">
        <v>7600</v>
      </c>
      <c r="K1403" s="7">
        <f t="shared" si="2"/>
        <v>0.793023983</v>
      </c>
    </row>
    <row r="1404">
      <c r="A1404" s="4">
        <v>1404.0</v>
      </c>
      <c r="B1404" s="5" t="s">
        <v>7601</v>
      </c>
      <c r="C1404" s="5" t="s">
        <v>7602</v>
      </c>
      <c r="D1404" s="5" t="s">
        <v>7603</v>
      </c>
      <c r="E1404" s="6" t="s">
        <v>74</v>
      </c>
      <c r="F1404" s="6" t="s">
        <v>7604</v>
      </c>
      <c r="G1404" s="3" t="str">
        <f>IFERROR(__xludf.DUMMYFUNCTION("REGEXREPLACE(
D1404,
""([一-龯々]+)\[([^\]]+)\]"",
""&lt;ruby&gt;$1&lt;rt&gt;$2&lt;/rt&gt;&lt;/ruby&gt;""
)&amp;""&lt;br&gt;&lt;div class=""""audio""""&gt;[sound:""&amp;C1404&amp;"".mp3]&lt;/div&gt;"""),"&lt;ruby&gt;対立&lt;rt&gt;たいりつ&lt;/rt&gt;&lt;/ruby&gt;&lt;br&gt;&lt;div class=""audio""&gt;[sound:たいりつ.mp3]&lt;/div&gt;")</f>
        <v>&lt;ruby&gt;対立&lt;rt&gt;たいりつ&lt;/rt&gt;&lt;/ruby&gt;&lt;br&gt;&lt;div class="audio"&gt;[sound:たいりつ.mp3]&lt;/div&gt;</v>
      </c>
      <c r="H1404" s="3" t="str">
        <f t="shared" si="1"/>
        <v>(n): đối lập</v>
      </c>
      <c r="I1404" s="6" t="s">
        <v>7605</v>
      </c>
      <c r="J1404" s="6" t="s">
        <v>7606</v>
      </c>
      <c r="K1404" s="7">
        <f t="shared" si="2"/>
        <v>0.3095830414</v>
      </c>
    </row>
    <row r="1405">
      <c r="A1405" s="4">
        <v>1405.0</v>
      </c>
      <c r="B1405" s="5" t="s">
        <v>7607</v>
      </c>
      <c r="C1405" s="5" t="s">
        <v>7608</v>
      </c>
      <c r="D1405" s="5" t="s">
        <v>7609</v>
      </c>
      <c r="E1405" s="6" t="s">
        <v>74</v>
      </c>
      <c r="F1405" s="6" t="s">
        <v>7610</v>
      </c>
      <c r="G1405" s="3" t="str">
        <f>IFERROR(__xludf.DUMMYFUNCTION("REGEXREPLACE(
D1405,
""([一-龯々]+)\[([^\]]+)\]"",
""&lt;ruby&gt;$1&lt;rt&gt;$2&lt;/rt&gt;&lt;/ruby&gt;""
)&amp;""&lt;br&gt;&lt;div class=""""audio""""&gt;[sound:""&amp;C1405&amp;"".mp3]&lt;/div&gt;"""),"&lt;ruby&gt;神社&lt;rt&gt;じんじゃ&lt;/rt&gt;&lt;/ruby&gt;&lt;br&gt;&lt;div class=""audio""&gt;[sound:じんじゃ.mp3]&lt;/div&gt;")</f>
        <v>&lt;ruby&gt;神社&lt;rt&gt;じんじゃ&lt;/rt&gt;&lt;/ruby&gt;&lt;br&gt;&lt;div class="audio"&gt;[sound:じんじゃ.mp3]&lt;/div&gt;</v>
      </c>
      <c r="H1405" s="3" t="str">
        <f t="shared" si="1"/>
        <v>(n): đền thờ</v>
      </c>
      <c r="I1405" s="6" t="s">
        <v>7611</v>
      </c>
      <c r="J1405" s="6" t="s">
        <v>7612</v>
      </c>
      <c r="K1405" s="7">
        <f t="shared" si="2"/>
        <v>0.2844978893</v>
      </c>
    </row>
    <row r="1406">
      <c r="A1406" s="4">
        <v>1406.0</v>
      </c>
      <c r="B1406" s="5" t="s">
        <v>7613</v>
      </c>
      <c r="C1406" s="5" t="s">
        <v>7614</v>
      </c>
      <c r="D1406" s="5" t="s">
        <v>7615</v>
      </c>
      <c r="E1406" s="6" t="s">
        <v>74</v>
      </c>
      <c r="F1406" s="6" t="s">
        <v>7616</v>
      </c>
      <c r="G1406" s="3" t="str">
        <f>IFERROR(__xludf.DUMMYFUNCTION("REGEXREPLACE(
D1406,
""([一-龯々]+)\[([^\]]+)\]"",
""&lt;ruby&gt;$1&lt;rt&gt;$2&lt;/rt&gt;&lt;/ruby&gt;""
)&amp;""&lt;br&gt;&lt;div class=""""audio""""&gt;[sound:""&amp;C1406&amp;"".mp3]&lt;/div&gt;"""),"&lt;ruby&gt;女&lt;rt&gt;おんな&lt;/rt&gt;&lt;/ruby&gt;の&lt;ruby&gt;人&lt;rt&gt;ひと&lt;/rt&gt;&lt;/ruby&gt;&lt;br&gt;&lt;div class=""audio""&gt;[sound:おんなのひと.mp3]&lt;/div&gt;")</f>
        <v>&lt;ruby&gt;女&lt;rt&gt;おんな&lt;/rt&gt;&lt;/ruby&gt;の&lt;ruby&gt;人&lt;rt&gt;ひと&lt;/rt&gt;&lt;/ruby&gt;&lt;br&gt;&lt;div class="audio"&gt;[sound:おんなのひと.mp3]&lt;/div&gt;</v>
      </c>
      <c r="H1406" s="3" t="str">
        <f t="shared" si="1"/>
        <v>(n): người phụ nữ</v>
      </c>
      <c r="I1406" s="6" t="s">
        <v>7617</v>
      </c>
      <c r="J1406" s="6" t="s">
        <v>7618</v>
      </c>
      <c r="K1406" s="7">
        <f t="shared" si="2"/>
        <v>0.881069546</v>
      </c>
    </row>
    <row r="1407">
      <c r="A1407" s="4">
        <v>1407.0</v>
      </c>
      <c r="B1407" s="5" t="s">
        <v>7619</v>
      </c>
      <c r="C1407" s="5" t="s">
        <v>7619</v>
      </c>
      <c r="D1407" s="5" t="s">
        <v>7619</v>
      </c>
      <c r="E1407" s="6" t="s">
        <v>85</v>
      </c>
      <c r="F1407" s="6" t="s">
        <v>7620</v>
      </c>
      <c r="G1407" s="3" t="str">
        <f>IFERROR(__xludf.DUMMYFUNCTION("REGEXREPLACE(
D1407,
""([一-龯々]+)\[([^\]]+)\]"",
""&lt;ruby&gt;$1&lt;rt&gt;$2&lt;/rt&gt;&lt;/ruby&gt;""
)&amp;""&lt;br&gt;&lt;div class=""""audio""""&gt;[sound:""&amp;C1407&amp;"".mp3]&lt;/div&gt;"""),"あいにく&lt;br&gt;&lt;div class=""audio""&gt;[sound:あいにく.mp3]&lt;/div&gt;")</f>
        <v>あいにく&lt;br&gt;&lt;div class="audio"&gt;[sound:あいにく.mp3]&lt;/div&gt;</v>
      </c>
      <c r="H1407" s="3" t="str">
        <f t="shared" si="1"/>
        <v>(adv): tiếc là</v>
      </c>
      <c r="I1407" s="6" t="s">
        <v>7621</v>
      </c>
      <c r="J1407" s="6" t="s">
        <v>7622</v>
      </c>
      <c r="K1407" s="7">
        <f t="shared" si="2"/>
        <v>0.2864185721</v>
      </c>
    </row>
    <row r="1408">
      <c r="A1408" s="4">
        <v>1408.0</v>
      </c>
      <c r="B1408" s="5" t="s">
        <v>7623</v>
      </c>
      <c r="C1408" s="5" t="s">
        <v>7624</v>
      </c>
      <c r="D1408" s="5" t="s">
        <v>7625</v>
      </c>
      <c r="E1408" s="6" t="s">
        <v>74</v>
      </c>
      <c r="F1408" s="6" t="s">
        <v>7626</v>
      </c>
      <c r="G1408" s="3" t="str">
        <f>IFERROR(__xludf.DUMMYFUNCTION("REGEXREPLACE(
D1408,
""([一-龯々]+)\[([^\]]+)\]"",
""&lt;ruby&gt;$1&lt;rt&gt;$2&lt;/rt&gt;&lt;/ruby&gt;""
)&amp;""&lt;br&gt;&lt;div class=""""audio""""&gt;[sound:""&amp;C1408&amp;"".mp3]&lt;/div&gt;"""),"&lt;ruby&gt;続&lt;rt&gt;つづ&lt;/rt&gt;&lt;/ruby&gt;き&lt;br&gt;&lt;div class=""audio""&gt;[sound:つづき.mp3]&lt;/div&gt;")</f>
        <v>&lt;ruby&gt;続&lt;rt&gt;つづ&lt;/rt&gt;&lt;/ruby&gt;き&lt;br&gt;&lt;div class="audio"&gt;[sound:つづき.mp3]&lt;/div&gt;</v>
      </c>
      <c r="H1408" s="3" t="str">
        <f t="shared" si="1"/>
        <v>(n): phần tiếp theo</v>
      </c>
      <c r="I1408" s="6" t="s">
        <v>7627</v>
      </c>
      <c r="J1408" s="6" t="s">
        <v>7628</v>
      </c>
      <c r="K1408" s="7">
        <f t="shared" si="2"/>
        <v>0.2645187684</v>
      </c>
    </row>
    <row r="1409">
      <c r="A1409" s="4">
        <v>1409.0</v>
      </c>
      <c r="B1409" s="5" t="s">
        <v>7629</v>
      </c>
      <c r="C1409" s="5" t="s">
        <v>7630</v>
      </c>
      <c r="D1409" s="5" t="s">
        <v>7631</v>
      </c>
      <c r="E1409" s="6" t="s">
        <v>74</v>
      </c>
      <c r="F1409" s="6" t="s">
        <v>7632</v>
      </c>
      <c r="G1409" s="3" t="str">
        <f>IFERROR(__xludf.DUMMYFUNCTION("REGEXREPLACE(
D1409,
""([一-龯々]+)\[([^\]]+)\]"",
""&lt;ruby&gt;$1&lt;rt&gt;$2&lt;/rt&gt;&lt;/ruby&gt;""
)&amp;""&lt;br&gt;&lt;div class=""""audio""""&gt;[sound:""&amp;C1409&amp;"".mp3]&lt;/div&gt;"""),"&lt;ruby&gt;秘密&lt;rt&gt;ひみつ&lt;/rt&gt;&lt;/ruby&gt;&lt;br&gt;&lt;div class=""audio""&gt;[sound:ひみつ.mp3]&lt;/div&gt;")</f>
        <v>&lt;ruby&gt;秘密&lt;rt&gt;ひみつ&lt;/rt&gt;&lt;/ruby&gt;&lt;br&gt;&lt;div class="audio"&gt;[sound:ひみつ.mp3]&lt;/div&gt;</v>
      </c>
      <c r="H1409" s="3" t="str">
        <f t="shared" si="1"/>
        <v>(n): bí mật</v>
      </c>
      <c r="I1409" s="6" t="s">
        <v>7633</v>
      </c>
      <c r="J1409" s="6" t="s">
        <v>7634</v>
      </c>
      <c r="K1409" s="7">
        <f t="shared" si="2"/>
        <v>0.2893208345</v>
      </c>
    </row>
    <row r="1410">
      <c r="A1410" s="4">
        <v>1410.0</v>
      </c>
      <c r="B1410" s="5" t="s">
        <v>7635</v>
      </c>
      <c r="C1410" s="5" t="s">
        <v>7636</v>
      </c>
      <c r="D1410" s="5" t="s">
        <v>7637</v>
      </c>
      <c r="E1410" s="6" t="s">
        <v>24</v>
      </c>
      <c r="F1410" s="6" t="s">
        <v>7638</v>
      </c>
      <c r="G1410" s="3" t="str">
        <f>IFERROR(__xludf.DUMMYFUNCTION("REGEXREPLACE(
D1410,
""([一-龯々]+)\[([^\]]+)\]"",
""&lt;ruby&gt;$1&lt;rt&gt;$2&lt;/rt&gt;&lt;/ruby&gt;""
)&amp;""&lt;br&gt;&lt;div class=""""audio""""&gt;[sound:""&amp;C1410&amp;"".mp3]&lt;/div&gt;"""),"&lt;ruby&gt;描&lt;rt&gt;えが&lt;/rt&gt;&lt;/ruby&gt;く&lt;br&gt;&lt;div class=""audio""&gt;[sound:えがく.mp3]&lt;/div&gt;")</f>
        <v>&lt;ruby&gt;描&lt;rt&gt;えが&lt;/rt&gt;&lt;/ruby&gt;く&lt;br&gt;&lt;div class="audio"&gt;[sound:えがく.mp3]&lt;/div&gt;</v>
      </c>
      <c r="H1410" s="3" t="str">
        <f t="shared" si="1"/>
        <v>(v): vẽ</v>
      </c>
      <c r="I1410" s="6" t="s">
        <v>7639</v>
      </c>
      <c r="J1410" s="6" t="s">
        <v>7640</v>
      </c>
      <c r="K1410" s="7">
        <f t="shared" si="2"/>
        <v>0.8831968511</v>
      </c>
    </row>
    <row r="1411">
      <c r="A1411" s="4">
        <v>1411.0</v>
      </c>
      <c r="B1411" s="5" t="s">
        <v>7641</v>
      </c>
      <c r="C1411" s="5" t="s">
        <v>7642</v>
      </c>
      <c r="D1411" s="5" t="s">
        <v>7641</v>
      </c>
      <c r="E1411" s="6" t="s">
        <v>74</v>
      </c>
      <c r="F1411" s="6" t="s">
        <v>7643</v>
      </c>
      <c r="G1411" s="3" t="str">
        <f>IFERROR(__xludf.DUMMYFUNCTION("REGEXREPLACE(
D1411,
""([一-龯々]+)\[([^\]]+)\]"",
""&lt;ruby&gt;$1&lt;rt&gt;$2&lt;/rt&gt;&lt;/ruby&gt;""
)&amp;""&lt;br&gt;&lt;div class=""""audio""""&gt;[sound:""&amp;C1411&amp;"".mp3]&lt;/div&gt;"""),"レジ&lt;br&gt;&lt;div class=""audio""&gt;[sound:れじ.mp3]&lt;/div&gt;")</f>
        <v>レジ&lt;br&gt;&lt;div class="audio"&gt;[sound:れじ.mp3]&lt;/div&gt;</v>
      </c>
      <c r="H1411" s="3" t="str">
        <f t="shared" si="1"/>
        <v>(n): máy tính tiền</v>
      </c>
      <c r="I1411" s="6" t="s">
        <v>7644</v>
      </c>
      <c r="J1411" s="6" t="s">
        <v>7645</v>
      </c>
      <c r="K1411" s="7">
        <f t="shared" si="2"/>
        <v>0.7244264116</v>
      </c>
    </row>
    <row r="1412">
      <c r="A1412" s="4">
        <v>1412.0</v>
      </c>
      <c r="B1412" s="5" t="s">
        <v>7646</v>
      </c>
      <c r="C1412" s="5" t="s">
        <v>7647</v>
      </c>
      <c r="D1412" s="5" t="s">
        <v>7648</v>
      </c>
      <c r="E1412" s="6" t="s">
        <v>24</v>
      </c>
      <c r="F1412" s="6" t="s">
        <v>7649</v>
      </c>
      <c r="G1412" s="3" t="str">
        <f>IFERROR(__xludf.DUMMYFUNCTION("REGEXREPLACE(
D1412,
""([一-龯々]+)\[([^\]]+)\]"",
""&lt;ruby&gt;$1&lt;rt&gt;$2&lt;/rt&gt;&lt;/ruby&gt;""
)&amp;""&lt;br&gt;&lt;div class=""""audio""""&gt;[sound:""&amp;C1412&amp;"".mp3]&lt;/div&gt;"""),"&lt;ruby&gt;味&lt;rt&gt;あじ&lt;/rt&gt;&lt;/ruby&gt;わう&lt;br&gt;&lt;div class=""audio""&gt;[sound:あじわう.mp3]&lt;/div&gt;")</f>
        <v>&lt;ruby&gt;味&lt;rt&gt;あじ&lt;/rt&gt;&lt;/ruby&gt;わう&lt;br&gt;&lt;div class="audio"&gt;[sound:あじわう.mp3]&lt;/div&gt;</v>
      </c>
      <c r="H1412" s="3" t="str">
        <f t="shared" si="1"/>
        <v>(v): thưởng thức</v>
      </c>
      <c r="I1412" s="6" t="s">
        <v>7650</v>
      </c>
      <c r="J1412" s="6" t="s">
        <v>7651</v>
      </c>
      <c r="K1412" s="7">
        <f t="shared" si="2"/>
        <v>0.8829675154</v>
      </c>
    </row>
    <row r="1413">
      <c r="A1413" s="4">
        <v>1413.0</v>
      </c>
      <c r="B1413" s="5" t="s">
        <v>7652</v>
      </c>
      <c r="C1413" s="5" t="s">
        <v>7652</v>
      </c>
      <c r="D1413" s="5" t="s">
        <v>7652</v>
      </c>
      <c r="E1413" s="6" t="s">
        <v>11</v>
      </c>
      <c r="F1413" s="6" t="s">
        <v>2032</v>
      </c>
      <c r="G1413" s="3" t="str">
        <f>IFERROR(__xludf.DUMMYFUNCTION("REGEXREPLACE(
D1413,
""([一-龯々]+)\[([^\]]+)\]"",
""&lt;ruby&gt;$1&lt;rt&gt;$2&lt;/rt&gt;&lt;/ruby&gt;""
)&amp;""&lt;br&gt;&lt;div class=""""audio""""&gt;[sound:""&amp;C1413&amp;"".mp3]&lt;/div&gt;"""),"りっぱ&lt;br&gt;&lt;div class=""audio""&gt;[sound:りっぱ.mp3]&lt;/div&gt;")</f>
        <v>りっぱ&lt;br&gt;&lt;div class="audio"&gt;[sound:りっぱ.mp3]&lt;/div&gt;</v>
      </c>
      <c r="H1413" s="3" t="str">
        <f t="shared" si="1"/>
        <v>(adj): tuyệt vời</v>
      </c>
      <c r="I1413" s="6" t="s">
        <v>7653</v>
      </c>
      <c r="J1413" s="6" t="s">
        <v>7654</v>
      </c>
      <c r="K1413" s="7">
        <f t="shared" si="2"/>
        <v>0.07940172389</v>
      </c>
    </row>
    <row r="1414">
      <c r="A1414" s="4">
        <v>1414.0</v>
      </c>
      <c r="B1414" s="5" t="s">
        <v>7655</v>
      </c>
      <c r="C1414" s="5" t="s">
        <v>7656</v>
      </c>
      <c r="D1414" s="5" t="s">
        <v>7655</v>
      </c>
      <c r="E1414" s="6" t="s">
        <v>74</v>
      </c>
      <c r="F1414" s="6" t="s">
        <v>7657</v>
      </c>
      <c r="G1414" s="3" t="str">
        <f>IFERROR(__xludf.DUMMYFUNCTION("REGEXREPLACE(
D1414,
""([一-龯々]+)\[([^\]]+)\]"",
""&lt;ruby&gt;$1&lt;rt&gt;$2&lt;/rt&gt;&lt;/ruby&gt;""
)&amp;""&lt;br&gt;&lt;div class=""""audio""""&gt;[sound:""&amp;C1414&amp;"".mp3]&lt;/div&gt;"""),"アフリカ&lt;br&gt;&lt;div class=""audio""&gt;[sound:あふりか.mp3]&lt;/div&gt;")</f>
        <v>アフリカ&lt;br&gt;&lt;div class="audio"&gt;[sound:あふりか.mp3]&lt;/div&gt;</v>
      </c>
      <c r="H1414" s="3" t="str">
        <f t="shared" si="1"/>
        <v>(n): châu phi</v>
      </c>
      <c r="I1414" s="6" t="s">
        <v>7658</v>
      </c>
      <c r="J1414" s="6" t="s">
        <v>7659</v>
      </c>
      <c r="K1414" s="7">
        <f t="shared" si="2"/>
        <v>0.5776973375</v>
      </c>
    </row>
    <row r="1415">
      <c r="A1415" s="4">
        <v>1415.0</v>
      </c>
      <c r="B1415" s="5" t="s">
        <v>7660</v>
      </c>
      <c r="C1415" s="5" t="s">
        <v>7661</v>
      </c>
      <c r="D1415" s="5" t="s">
        <v>7662</v>
      </c>
      <c r="E1415" s="6" t="s">
        <v>74</v>
      </c>
      <c r="F1415" s="6" t="s">
        <v>7663</v>
      </c>
      <c r="G1415" s="3" t="str">
        <f>IFERROR(__xludf.DUMMYFUNCTION("REGEXREPLACE(
D1415,
""([一-龯々]+)\[([^\]]+)\]"",
""&lt;ruby&gt;$1&lt;rt&gt;$2&lt;/rt&gt;&lt;/ruby&gt;""
)&amp;""&lt;br&gt;&lt;div class=""""audio""""&gt;[sound:""&amp;C1415&amp;"".mp3]&lt;/div&gt;"""),"&lt;ruby&gt;秒&lt;rt&gt;びょう&lt;/rt&gt;&lt;/ruby&gt;&lt;br&gt;&lt;div class=""audio""&gt;[sound:びょう.mp3]&lt;/div&gt;")</f>
        <v>&lt;ruby&gt;秒&lt;rt&gt;びょう&lt;/rt&gt;&lt;/ruby&gt;&lt;br&gt;&lt;div class="audio"&gt;[sound:びょう.mp3]&lt;/div&gt;</v>
      </c>
      <c r="H1415" s="3" t="str">
        <f t="shared" si="1"/>
        <v>(n): giây</v>
      </c>
      <c r="I1415" s="6" t="s">
        <v>7664</v>
      </c>
      <c r="J1415" s="6" t="s">
        <v>7665</v>
      </c>
      <c r="K1415" s="7">
        <f t="shared" si="2"/>
        <v>0.7765136835</v>
      </c>
    </row>
    <row r="1416">
      <c r="A1416" s="4">
        <v>1416.0</v>
      </c>
      <c r="B1416" s="5" t="s">
        <v>7666</v>
      </c>
      <c r="C1416" s="5" t="s">
        <v>7667</v>
      </c>
      <c r="D1416" s="5" t="s">
        <v>7668</v>
      </c>
      <c r="E1416" s="6" t="s">
        <v>74</v>
      </c>
      <c r="F1416" s="6" t="s">
        <v>7669</v>
      </c>
      <c r="G1416" s="3" t="str">
        <f>IFERROR(__xludf.DUMMYFUNCTION("REGEXREPLACE(
D1416,
""([一-龯々]+)\[([^\]]+)\]"",
""&lt;ruby&gt;$1&lt;rt&gt;$2&lt;/rt&gt;&lt;/ruby&gt;""
)&amp;""&lt;br&gt;&lt;div class=""""audio""""&gt;[sound:""&amp;C1416&amp;"".mp3]&lt;/div&gt;"""),"&lt;ruby&gt;性質&lt;rt&gt;せいしつ&lt;/rt&gt;&lt;/ruby&gt;&lt;br&gt;&lt;div class=""audio""&gt;[sound:せいしつ.mp3]&lt;/div&gt;")</f>
        <v>&lt;ruby&gt;性質&lt;rt&gt;せいしつ&lt;/rt&gt;&lt;/ruby&gt;&lt;br&gt;&lt;div class="audio"&gt;[sound:せいしつ.mp3]&lt;/div&gt;</v>
      </c>
      <c r="H1416" s="3" t="str">
        <f t="shared" si="1"/>
        <v>(n): tính chất</v>
      </c>
      <c r="I1416" s="6" t="s">
        <v>7670</v>
      </c>
      <c r="J1416" s="6" t="s">
        <v>7671</v>
      </c>
      <c r="K1416" s="7">
        <f t="shared" si="2"/>
        <v>0.404609465</v>
      </c>
    </row>
    <row r="1417">
      <c r="A1417" s="4">
        <v>1417.0</v>
      </c>
      <c r="B1417" s="5" t="s">
        <v>7672</v>
      </c>
      <c r="C1417" s="5" t="s">
        <v>7673</v>
      </c>
      <c r="D1417" s="5" t="s">
        <v>7674</v>
      </c>
      <c r="E1417" s="6" t="s">
        <v>24</v>
      </c>
      <c r="F1417" s="6" t="s">
        <v>2175</v>
      </c>
      <c r="G1417" s="3" t="str">
        <f>IFERROR(__xludf.DUMMYFUNCTION("REGEXREPLACE(
D1417,
""([一-龯々]+)\[([^\]]+)\]"",
""&lt;ruby&gt;$1&lt;rt&gt;$2&lt;/rt&gt;&lt;/ruby&gt;""
)&amp;""&lt;br&gt;&lt;div class=""""audio""""&gt;[sound:""&amp;C1417&amp;"".mp3]&lt;/div&gt;"""),"&lt;ruby&gt;祝&lt;rt&gt;いわ&lt;/rt&gt;&lt;/ruby&gt;う&lt;br&gt;&lt;div class=""audio""&gt;[sound:いわう.mp3]&lt;/div&gt;")</f>
        <v>&lt;ruby&gt;祝&lt;rt&gt;いわ&lt;/rt&gt;&lt;/ruby&gt;う&lt;br&gt;&lt;div class="audio"&gt;[sound:いわう.mp3]&lt;/div&gt;</v>
      </c>
      <c r="H1417" s="3" t="str">
        <f t="shared" si="1"/>
        <v>(v): chúc mừng</v>
      </c>
      <c r="I1417" s="6" t="s">
        <v>7675</v>
      </c>
      <c r="J1417" s="6" t="s">
        <v>7676</v>
      </c>
      <c r="K1417" s="7">
        <f t="shared" si="2"/>
        <v>0.5318301134</v>
      </c>
    </row>
    <row r="1418">
      <c r="A1418" s="4">
        <v>1418.0</v>
      </c>
      <c r="B1418" s="5" t="s">
        <v>7677</v>
      </c>
      <c r="C1418" s="5" t="s">
        <v>7678</v>
      </c>
      <c r="D1418" s="5" t="s">
        <v>7679</v>
      </c>
      <c r="E1418" s="6" t="s">
        <v>74</v>
      </c>
      <c r="F1418" s="6" t="s">
        <v>7680</v>
      </c>
      <c r="G1418" s="3" t="str">
        <f>IFERROR(__xludf.DUMMYFUNCTION("REGEXREPLACE(
D1418,
""([一-龯々]+)\[([^\]]+)\]"",
""&lt;ruby&gt;$1&lt;rt&gt;$2&lt;/rt&gt;&lt;/ruby&gt;""
)&amp;""&lt;br&gt;&lt;div class=""""audio""""&gt;[sound:""&amp;C1418&amp;"".mp3]&lt;/div&gt;"""),"&lt;ruby&gt;組合&lt;rt&gt;くみあい&lt;/rt&gt;&lt;/ruby&gt;&lt;br&gt;&lt;div class=""audio""&gt;[sound:くみあい.mp3]&lt;/div&gt;")</f>
        <v>&lt;ruby&gt;組合&lt;rt&gt;くみあい&lt;/rt&gt;&lt;/ruby&gt;&lt;br&gt;&lt;div class="audio"&gt;[sound:くみあい.mp3]&lt;/div&gt;</v>
      </c>
      <c r="H1418" s="3" t="str">
        <f t="shared" si="1"/>
        <v>(n): công đoàn</v>
      </c>
      <c r="I1418" s="6" t="s">
        <v>7681</v>
      </c>
      <c r="J1418" s="6" t="s">
        <v>7682</v>
      </c>
      <c r="K1418" s="7">
        <f t="shared" si="2"/>
        <v>0.08194276331</v>
      </c>
    </row>
    <row r="1419">
      <c r="A1419" s="4">
        <v>1419.0</v>
      </c>
      <c r="B1419" s="5" t="s">
        <v>7683</v>
      </c>
      <c r="C1419" s="5" t="s">
        <v>7684</v>
      </c>
      <c r="D1419" s="5" t="s">
        <v>7685</v>
      </c>
      <c r="E1419" s="6" t="s">
        <v>74</v>
      </c>
      <c r="F1419" s="6" t="s">
        <v>3109</v>
      </c>
      <c r="G1419" s="3" t="str">
        <f>IFERROR(__xludf.DUMMYFUNCTION("REGEXREPLACE(
D1419,
""([一-龯々]+)\[([^\]]+)\]"",
""&lt;ruby&gt;$1&lt;rt&gt;$2&lt;/rt&gt;&lt;/ruby&gt;""
)&amp;""&lt;br&gt;&lt;div class=""""audio""""&gt;[sound:""&amp;C1419&amp;"".mp3]&lt;/div&gt;"""),"&lt;ruby&gt;集中&lt;rt&gt;しゅうちゅう&lt;/rt&gt;&lt;/ruby&gt;&lt;br&gt;&lt;div class=""audio""&gt;[sound:しゅうちゅう.mp3]&lt;/div&gt;")</f>
        <v>&lt;ruby&gt;集中&lt;rt&gt;しゅうちゅう&lt;/rt&gt;&lt;/ruby&gt;&lt;br&gt;&lt;div class="audio"&gt;[sound:しゅうちゅう.mp3]&lt;/div&gt;</v>
      </c>
      <c r="H1419" s="3" t="str">
        <f t="shared" si="1"/>
        <v>(n): tập trung</v>
      </c>
      <c r="I1419" s="6" t="s">
        <v>7686</v>
      </c>
      <c r="J1419" s="6" t="s">
        <v>7687</v>
      </c>
      <c r="K1419" s="7">
        <f t="shared" si="2"/>
        <v>0.8276736222</v>
      </c>
    </row>
    <row r="1420">
      <c r="A1420" s="4">
        <v>1420.0</v>
      </c>
      <c r="B1420" s="5" t="s">
        <v>7688</v>
      </c>
      <c r="C1420" s="5" t="s">
        <v>7689</v>
      </c>
      <c r="D1420" s="5" t="s">
        <v>7690</v>
      </c>
      <c r="E1420" s="6" t="s">
        <v>24</v>
      </c>
      <c r="F1420" s="6" t="s">
        <v>7691</v>
      </c>
      <c r="G1420" s="3" t="str">
        <f>IFERROR(__xludf.DUMMYFUNCTION("REGEXREPLACE(
D1420,
""([一-龯々]+)\[([^\]]+)\]"",
""&lt;ruby&gt;$1&lt;rt&gt;$2&lt;/rt&gt;&lt;/ruby&gt;""
)&amp;""&lt;br&gt;&lt;div class=""""audio""""&gt;[sound:""&amp;C1420&amp;"".mp3]&lt;/div&gt;"""),"&lt;ruby&gt;決&lt;rt&gt;き&lt;/rt&gt;&lt;/ruby&gt;まる&lt;br&gt;&lt;div class=""audio""&gt;[sound:きまる.mp3]&lt;/div&gt;")</f>
        <v>&lt;ruby&gt;決&lt;rt&gt;き&lt;/rt&gt;&lt;/ruby&gt;まる&lt;br&gt;&lt;div class="audio"&gt;[sound:きまる.mp3]&lt;/div&gt;</v>
      </c>
      <c r="H1420" s="3" t="str">
        <f t="shared" si="1"/>
        <v>(v): được quyết định</v>
      </c>
      <c r="I1420" s="6" t="s">
        <v>7692</v>
      </c>
      <c r="J1420" s="6" t="s">
        <v>7693</v>
      </c>
      <c r="K1420" s="7">
        <f t="shared" si="2"/>
        <v>0.3060684948</v>
      </c>
    </row>
    <row r="1421">
      <c r="A1421" s="4">
        <v>1421.0</v>
      </c>
      <c r="B1421" s="5" t="s">
        <v>7694</v>
      </c>
      <c r="C1421" s="5" t="s">
        <v>1019</v>
      </c>
      <c r="D1421" s="5" t="s">
        <v>7695</v>
      </c>
      <c r="E1421" s="6" t="s">
        <v>24</v>
      </c>
      <c r="F1421" s="6" t="s">
        <v>7696</v>
      </c>
      <c r="G1421" s="3" t="str">
        <f>IFERROR(__xludf.DUMMYFUNCTION("REGEXREPLACE(
D1421,
""([一-龯々]+)\[([^\]]+)\]"",
""&lt;ruby&gt;$1&lt;rt&gt;$2&lt;/rt&gt;&lt;/ruby&gt;""
)&amp;""&lt;br&gt;&lt;div class=""""audio""""&gt;[sound:""&amp;C1421&amp;"".mp3]&lt;/div&gt;"""),"&lt;ruby&gt;建&lt;rt&gt;た&lt;/rt&gt;&lt;/ruby&gt;つ&lt;br&gt;&lt;div class=""audio""&gt;[sound:たつ.mp3]&lt;/div&gt;")</f>
        <v>&lt;ruby&gt;建&lt;rt&gt;た&lt;/rt&gt;&lt;/ruby&gt;つ&lt;br&gt;&lt;div class="audio"&gt;[sound:たつ.mp3]&lt;/div&gt;</v>
      </c>
      <c r="H1421" s="3" t="str">
        <f t="shared" si="1"/>
        <v>(v): được xây dựng</v>
      </c>
      <c r="I1421" s="6" t="s">
        <v>7697</v>
      </c>
      <c r="J1421" s="6" t="s">
        <v>7698</v>
      </c>
      <c r="K1421" s="7">
        <f t="shared" si="2"/>
        <v>0.5077850588</v>
      </c>
    </row>
    <row r="1422">
      <c r="A1422" s="4">
        <v>1422.0</v>
      </c>
      <c r="B1422" s="5" t="s">
        <v>7699</v>
      </c>
      <c r="C1422" s="5" t="s">
        <v>7700</v>
      </c>
      <c r="D1422" s="5" t="s">
        <v>7701</v>
      </c>
      <c r="E1422" s="6" t="s">
        <v>85</v>
      </c>
      <c r="F1422" s="6" t="s">
        <v>1736</v>
      </c>
      <c r="G1422" s="3" t="str">
        <f>IFERROR(__xludf.DUMMYFUNCTION("REGEXREPLACE(
D1422,
""([一-龯々]+)\[([^\]]+)\]"",
""&lt;ruby&gt;$1&lt;rt&gt;$2&lt;/rt&gt;&lt;/ruby&gt;""
)&amp;""&lt;br&gt;&lt;div class=""""audio""""&gt;[sound:""&amp;C1422&amp;"".mp3]&lt;/div&gt;"""),"&lt;ruby&gt;共&lt;rt&gt;とも&lt;/rt&gt;&lt;/ruby&gt;に&lt;br&gt;&lt;div class=""audio""&gt;[sound:ともに.mp3]&lt;/div&gt;")</f>
        <v>&lt;ruby&gt;共&lt;rt&gt;とも&lt;/rt&gt;&lt;/ruby&gt;に&lt;br&gt;&lt;div class="audio"&gt;[sound:ともに.mp3]&lt;/div&gt;</v>
      </c>
      <c r="H1422" s="3" t="str">
        <f t="shared" si="1"/>
        <v>(adv): cùng nhau</v>
      </c>
      <c r="I1422" s="6" t="s">
        <v>7702</v>
      </c>
      <c r="J1422" s="6" t="s">
        <v>7703</v>
      </c>
      <c r="K1422" s="7">
        <f t="shared" si="2"/>
        <v>0.6880892576</v>
      </c>
    </row>
    <row r="1423">
      <c r="A1423" s="4">
        <v>1423.0</v>
      </c>
      <c r="B1423" s="5" t="s">
        <v>7704</v>
      </c>
      <c r="C1423" s="5" t="s">
        <v>7705</v>
      </c>
      <c r="D1423" s="5" t="s">
        <v>7706</v>
      </c>
      <c r="E1423" s="6" t="s">
        <v>58</v>
      </c>
      <c r="F1423" s="6" t="s">
        <v>7707</v>
      </c>
      <c r="G1423" s="3" t="str">
        <f>IFERROR(__xludf.DUMMYFUNCTION("REGEXREPLACE(
D1423,
""([一-龯々]+)\[([^\]]+)\]"",
""&lt;ruby&gt;$1&lt;rt&gt;$2&lt;/rt&gt;&lt;/ruby&gt;""
)&amp;""&lt;br&gt;&lt;div class=""""audio""""&gt;[sound:""&amp;C1423&amp;"".mp3]&lt;/div&gt;"""),"&lt;ruby&gt;四日&lt;rt&gt;よっか&lt;/rt&gt;&lt;/ruby&gt;&lt;br&gt;&lt;div class=""audio""&gt;[sound:よっか.mp3]&lt;/div&gt;")</f>
        <v>&lt;ruby&gt;四日&lt;rt&gt;よっか&lt;/rt&gt;&lt;/ruby&gt;&lt;br&gt;&lt;div class="audio"&gt;[sound:よっか.mp3]&lt;/div&gt;</v>
      </c>
      <c r="H1423" s="3" t="str">
        <f t="shared" si="1"/>
        <v>(num): ngày bốn</v>
      </c>
      <c r="I1423" s="6" t="s">
        <v>7708</v>
      </c>
      <c r="J1423" s="6" t="s">
        <v>7709</v>
      </c>
      <c r="K1423" s="7">
        <f t="shared" si="2"/>
        <v>0.5614034554</v>
      </c>
    </row>
    <row r="1424">
      <c r="A1424" s="4">
        <v>1424.0</v>
      </c>
      <c r="B1424" s="5" t="s">
        <v>7710</v>
      </c>
      <c r="C1424" s="5" t="s">
        <v>7711</v>
      </c>
      <c r="D1424" s="5" t="s">
        <v>7712</v>
      </c>
      <c r="E1424" s="6" t="s">
        <v>74</v>
      </c>
      <c r="F1424" s="6" t="s">
        <v>7713</v>
      </c>
      <c r="G1424" s="3" t="str">
        <f>IFERROR(__xludf.DUMMYFUNCTION("REGEXREPLACE(
D1424,
""([一-龯々]+)\[([^\]]+)\]"",
""&lt;ruby&gt;$1&lt;rt&gt;$2&lt;/rt&gt;&lt;/ruby&gt;""
)&amp;""&lt;br&gt;&lt;div class=""""audio""""&gt;[sound:""&amp;C1424&amp;"".mp3]&lt;/div&gt;"""),"&lt;ruby&gt;平和&lt;rt&gt;へいわ&lt;/rt&gt;&lt;/ruby&gt;&lt;br&gt;&lt;div class=""audio""&gt;[sound:へいわ.mp3]&lt;/div&gt;")</f>
        <v>&lt;ruby&gt;平和&lt;rt&gt;へいわ&lt;/rt&gt;&lt;/ruby&gt;&lt;br&gt;&lt;div class="audio"&gt;[sound:へいわ.mp3]&lt;/div&gt;</v>
      </c>
      <c r="H1424" s="3" t="str">
        <f t="shared" si="1"/>
        <v>(n): hòa bình</v>
      </c>
      <c r="I1424" s="6" t="s">
        <v>7714</v>
      </c>
      <c r="J1424" s="6" t="s">
        <v>7715</v>
      </c>
      <c r="K1424" s="7">
        <f t="shared" si="2"/>
        <v>0.8720293893</v>
      </c>
    </row>
    <row r="1425">
      <c r="A1425" s="4">
        <v>1425.0</v>
      </c>
      <c r="B1425" s="5" t="s">
        <v>7716</v>
      </c>
      <c r="C1425" s="5" t="s">
        <v>7716</v>
      </c>
      <c r="D1425" s="5" t="s">
        <v>7716</v>
      </c>
      <c r="E1425" s="6" t="s">
        <v>85</v>
      </c>
      <c r="F1425" s="6" t="s">
        <v>7717</v>
      </c>
      <c r="G1425" s="3" t="str">
        <f>IFERROR(__xludf.DUMMYFUNCTION("REGEXREPLACE(
D1425,
""([一-龯々]+)\[([^\]]+)\]"",
""&lt;ruby&gt;$1&lt;rt&gt;$2&lt;/rt&gt;&lt;/ruby&gt;""
)&amp;""&lt;br&gt;&lt;div class=""""audio""""&gt;[sound:""&amp;C1425&amp;"".mp3]&lt;/div&gt;"""),"まさか&lt;br&gt;&lt;div class=""audio""&gt;[sound:まさか.mp3]&lt;/div&gt;")</f>
        <v>まさか&lt;br&gt;&lt;div class="audio"&gt;[sound:まさか.mp3]&lt;/div&gt;</v>
      </c>
      <c r="H1425" s="3" t="str">
        <f t="shared" si="1"/>
        <v>(adv): không thể nào</v>
      </c>
      <c r="I1425" s="6" t="s">
        <v>7718</v>
      </c>
      <c r="J1425" s="6" t="s">
        <v>7719</v>
      </c>
      <c r="K1425" s="7">
        <f t="shared" si="2"/>
        <v>0.3176709095</v>
      </c>
    </row>
    <row r="1426">
      <c r="A1426" s="4">
        <v>1426.0</v>
      </c>
      <c r="B1426" s="5" t="s">
        <v>7720</v>
      </c>
      <c r="C1426" s="5" t="s">
        <v>7721</v>
      </c>
      <c r="D1426" s="5" t="s">
        <v>7722</v>
      </c>
      <c r="E1426" s="6" t="s">
        <v>74</v>
      </c>
      <c r="F1426" s="6" t="s">
        <v>7723</v>
      </c>
      <c r="G1426" s="3" t="str">
        <f>IFERROR(__xludf.DUMMYFUNCTION("REGEXREPLACE(
D1426,
""([一-龯々]+)\[([^\]]+)\]"",
""&lt;ruby&gt;$1&lt;rt&gt;$2&lt;/rt&gt;&lt;/ruby&gt;""
)&amp;""&lt;br&gt;&lt;div class=""""audio""""&gt;[sound:""&amp;C1426&amp;"".mp3]&lt;/div&gt;"""),"&lt;ruby&gt;始&lt;rt&gt;はじ&lt;/rt&gt;&lt;/ruby&gt;まり&lt;br&gt;&lt;div class=""audio""&gt;[sound:はじまり.mp3]&lt;/div&gt;")</f>
        <v>&lt;ruby&gt;始&lt;rt&gt;はじ&lt;/rt&gt;&lt;/ruby&gt;まり&lt;br&gt;&lt;div class="audio"&gt;[sound:はじまり.mp3]&lt;/div&gt;</v>
      </c>
      <c r="H1426" s="3" t="str">
        <f t="shared" si="1"/>
        <v>(n): sự bắt đầu</v>
      </c>
      <c r="I1426" s="6" t="s">
        <v>7724</v>
      </c>
      <c r="J1426" s="6" t="s">
        <v>7725</v>
      </c>
      <c r="K1426" s="7">
        <f t="shared" si="2"/>
        <v>0.38728014</v>
      </c>
    </row>
    <row r="1427">
      <c r="A1427" s="4">
        <v>1427.0</v>
      </c>
      <c r="B1427" s="5" t="s">
        <v>7726</v>
      </c>
      <c r="C1427" s="5" t="s">
        <v>7727</v>
      </c>
      <c r="D1427" s="5" t="s">
        <v>7728</v>
      </c>
      <c r="E1427" s="6" t="s">
        <v>24</v>
      </c>
      <c r="F1427" s="6" t="s">
        <v>5800</v>
      </c>
      <c r="G1427" s="3" t="str">
        <f>IFERROR(__xludf.DUMMYFUNCTION("REGEXREPLACE(
D1427,
""([一-龯々]+)\[([^\]]+)\]"",
""&lt;ruby&gt;$1&lt;rt&gt;$2&lt;/rt&gt;&lt;/ruby&gt;""
)&amp;""&lt;br&gt;&lt;div class=""""audio""""&gt;[sound:""&amp;C1427&amp;"".mp3]&lt;/div&gt;"""),"&lt;ruby&gt;驚&lt;rt&gt;おどろ&lt;/rt&gt;&lt;/ruby&gt;く&lt;br&gt;&lt;div class=""audio""&gt;[sound:おどろく.mp3]&lt;/div&gt;")</f>
        <v>&lt;ruby&gt;驚&lt;rt&gt;おどろ&lt;/rt&gt;&lt;/ruby&gt;く&lt;br&gt;&lt;div class="audio"&gt;[sound:おどろく.mp3]&lt;/div&gt;</v>
      </c>
      <c r="H1427" s="3" t="str">
        <f t="shared" si="1"/>
        <v>(v): ngạc nhiên</v>
      </c>
      <c r="I1427" s="6" t="s">
        <v>7729</v>
      </c>
      <c r="J1427" s="6" t="s">
        <v>7730</v>
      </c>
      <c r="K1427" s="7">
        <f t="shared" si="2"/>
        <v>0.3974911352</v>
      </c>
    </row>
    <row r="1428">
      <c r="A1428" s="4">
        <v>1428.0</v>
      </c>
      <c r="B1428" s="5" t="s">
        <v>7731</v>
      </c>
      <c r="C1428" s="5" t="s">
        <v>7732</v>
      </c>
      <c r="D1428" s="5" t="s">
        <v>7733</v>
      </c>
      <c r="E1428" s="6" t="s">
        <v>74</v>
      </c>
      <c r="F1428" s="6" t="s">
        <v>7734</v>
      </c>
      <c r="G1428" s="3" t="str">
        <f>IFERROR(__xludf.DUMMYFUNCTION("REGEXREPLACE(
D1428,
""([一-龯々]+)\[([^\]]+)\]"",
""&lt;ruby&gt;$1&lt;rt&gt;$2&lt;/rt&gt;&lt;/ruby&gt;""
)&amp;""&lt;br&gt;&lt;div class=""""audio""""&gt;[sound:""&amp;C1428&amp;"".mp3]&lt;/div&gt;"""),"&lt;ruby&gt;強調&lt;rt&gt;きょうちょう&lt;/rt&gt;&lt;/ruby&gt;&lt;br&gt;&lt;div class=""audio""&gt;[sound:きょうちょう.mp3]&lt;/div&gt;")</f>
        <v>&lt;ruby&gt;強調&lt;rt&gt;きょうちょう&lt;/rt&gt;&lt;/ruby&gt;&lt;br&gt;&lt;div class="audio"&gt;[sound:きょうちょう.mp3]&lt;/div&gt;</v>
      </c>
      <c r="H1428" s="3" t="str">
        <f t="shared" si="1"/>
        <v>(n): nhấn mạnh</v>
      </c>
      <c r="I1428" s="6" t="s">
        <v>7735</v>
      </c>
      <c r="J1428" s="6" t="s">
        <v>7736</v>
      </c>
      <c r="K1428" s="7">
        <f t="shared" si="2"/>
        <v>0.8343684025</v>
      </c>
    </row>
    <row r="1429">
      <c r="A1429" s="4">
        <v>1429.0</v>
      </c>
      <c r="B1429" s="5" t="s">
        <v>7737</v>
      </c>
      <c r="C1429" s="5" t="s">
        <v>7738</v>
      </c>
      <c r="D1429" s="5" t="s">
        <v>7739</v>
      </c>
      <c r="E1429" s="6" t="s">
        <v>74</v>
      </c>
      <c r="F1429" s="6" t="s">
        <v>7740</v>
      </c>
      <c r="G1429" s="3" t="str">
        <f>IFERROR(__xludf.DUMMYFUNCTION("REGEXREPLACE(
D1429,
""([一-龯々]+)\[([^\]]+)\]"",
""&lt;ruby&gt;$1&lt;rt&gt;$2&lt;/rt&gt;&lt;/ruby&gt;""
)&amp;""&lt;br&gt;&lt;div class=""""audio""""&gt;[sound:""&amp;C1429&amp;"".mp3]&lt;/div&gt;"""),"&lt;ruby&gt;問&lt;rt&gt;と&lt;/rt&gt;&lt;/ruby&gt;い&lt;ruby&gt;合&lt;rt&gt;あ&lt;/rt&gt;&lt;/ruby&gt;わせ&lt;br&gt;&lt;div class=""audio""&gt;[sound:といあわせ.mp3]&lt;/div&gt;")</f>
        <v>&lt;ruby&gt;問&lt;rt&gt;と&lt;/rt&gt;&lt;/ruby&gt;い&lt;ruby&gt;合&lt;rt&gt;あ&lt;/rt&gt;&lt;/ruby&gt;わせ&lt;br&gt;&lt;div class="audio"&gt;[sound:といあわせ.mp3]&lt;/div&gt;</v>
      </c>
      <c r="H1429" s="3" t="str">
        <f t="shared" si="1"/>
        <v>(n): truy vấn</v>
      </c>
      <c r="I1429" s="6" t="s">
        <v>7741</v>
      </c>
      <c r="J1429" s="6" t="s">
        <v>7742</v>
      </c>
      <c r="K1429" s="7">
        <f t="shared" si="2"/>
        <v>0.4414075478</v>
      </c>
    </row>
    <row r="1430">
      <c r="A1430" s="4">
        <v>1430.0</v>
      </c>
      <c r="B1430" s="5" t="s">
        <v>7743</v>
      </c>
      <c r="C1430" s="5" t="s">
        <v>7744</v>
      </c>
      <c r="D1430" s="5" t="s">
        <v>7745</v>
      </c>
      <c r="E1430" s="6" t="s">
        <v>85</v>
      </c>
      <c r="F1430" s="6" t="s">
        <v>103</v>
      </c>
      <c r="G1430" s="3" t="str">
        <f>IFERROR(__xludf.DUMMYFUNCTION("REGEXREPLACE(
D1430,
""([一-龯々]+)\[([^\]]+)\]"",
""&lt;ruby&gt;$1&lt;rt&gt;$2&lt;/rt&gt;&lt;/ruby&gt;""
)&amp;""&lt;br&gt;&lt;div class=""""audio""""&gt;[sound:""&amp;C1430&amp;"".mp3]&lt;/div&gt;"""),"&lt;ruby&gt;少々&lt;rt&gt;しょうしょう&lt;/rt&gt;&lt;/ruby&gt;&lt;br&gt;&lt;div class=""audio""&gt;[sound:しょうしょう.mp3]&lt;/div&gt;")</f>
        <v>&lt;ruby&gt;少々&lt;rt&gt;しょうしょう&lt;/rt&gt;&lt;/ruby&gt;&lt;br&gt;&lt;div class="audio"&gt;[sound:しょうしょう.mp3]&lt;/div&gt;</v>
      </c>
      <c r="H1430" s="3" t="str">
        <f t="shared" si="1"/>
        <v>(adv): một chút</v>
      </c>
      <c r="I1430" s="6" t="s">
        <v>7746</v>
      </c>
      <c r="J1430" s="6" t="s">
        <v>7747</v>
      </c>
      <c r="K1430" s="7">
        <f t="shared" si="2"/>
        <v>0.380883402</v>
      </c>
    </row>
    <row r="1431">
      <c r="A1431" s="4">
        <v>1431.0</v>
      </c>
      <c r="B1431" s="5" t="s">
        <v>7748</v>
      </c>
      <c r="C1431" s="5" t="s">
        <v>7749</v>
      </c>
      <c r="D1431" s="5" t="s">
        <v>7750</v>
      </c>
      <c r="E1431" s="6" t="s">
        <v>74</v>
      </c>
      <c r="F1431" s="6" t="s">
        <v>7751</v>
      </c>
      <c r="G1431" s="3" t="str">
        <f>IFERROR(__xludf.DUMMYFUNCTION("REGEXREPLACE(
D1431,
""([一-龯々]+)\[([^\]]+)\]"",
""&lt;ruby&gt;$1&lt;rt&gt;$2&lt;/rt&gt;&lt;/ruby&gt;""
)&amp;""&lt;br&gt;&lt;div class=""""audio""""&gt;[sound:""&amp;C1431&amp;"".mp3]&lt;/div&gt;"""),"&lt;ruby&gt;来週&lt;rt&gt;らいしゅう&lt;/rt&gt;&lt;/ruby&gt;&lt;br&gt;&lt;div class=""audio""&gt;[sound:らいしゅう.mp3]&lt;/div&gt;")</f>
        <v>&lt;ruby&gt;来週&lt;rt&gt;らいしゅう&lt;/rt&gt;&lt;/ruby&gt;&lt;br&gt;&lt;div class="audio"&gt;[sound:らいしゅう.mp3]&lt;/div&gt;</v>
      </c>
      <c r="H1431" s="3" t="str">
        <f t="shared" si="1"/>
        <v>(n): tuần sau</v>
      </c>
      <c r="I1431" s="6" t="s">
        <v>7752</v>
      </c>
      <c r="J1431" s="6" t="s">
        <v>7753</v>
      </c>
      <c r="K1431" s="7">
        <f t="shared" si="2"/>
        <v>0.3775378316</v>
      </c>
    </row>
    <row r="1432">
      <c r="A1432" s="4">
        <v>1432.0</v>
      </c>
      <c r="B1432" s="5" t="s">
        <v>7754</v>
      </c>
      <c r="C1432" s="5" t="s">
        <v>7755</v>
      </c>
      <c r="D1432" s="5" t="s">
        <v>7756</v>
      </c>
      <c r="E1432" s="6" t="s">
        <v>74</v>
      </c>
      <c r="F1432" s="6" t="s">
        <v>2569</v>
      </c>
      <c r="G1432" s="3" t="str">
        <f>IFERROR(__xludf.DUMMYFUNCTION("REGEXREPLACE(
D1432,
""([一-龯々]+)\[([^\]]+)\]"",
""&lt;ruby&gt;$1&lt;rt&gt;$2&lt;/rt&gt;&lt;/ruby&gt;""
)&amp;""&lt;br&gt;&lt;div class=""""audio""""&gt;[sound:""&amp;C1432&amp;"".mp3]&lt;/div&gt;"""),"&lt;ruby&gt;規制&lt;rt&gt;きせい&lt;/rt&gt;&lt;/ruby&gt;&lt;br&gt;&lt;div class=""audio""&gt;[sound:きせい.mp3]&lt;/div&gt;")</f>
        <v>&lt;ruby&gt;規制&lt;rt&gt;きせい&lt;/rt&gt;&lt;/ruby&gt;&lt;br&gt;&lt;div class="audio"&gt;[sound:きせい.mp3]&lt;/div&gt;</v>
      </c>
      <c r="H1432" s="3" t="str">
        <f t="shared" si="1"/>
        <v>(n): quy định</v>
      </c>
      <c r="I1432" s="6" t="s">
        <v>7757</v>
      </c>
      <c r="J1432" s="6" t="s">
        <v>7758</v>
      </c>
      <c r="K1432" s="7">
        <f t="shared" si="2"/>
        <v>0.2271545704</v>
      </c>
    </row>
    <row r="1433">
      <c r="A1433" s="4">
        <v>1433.0</v>
      </c>
      <c r="B1433" s="5" t="s">
        <v>7759</v>
      </c>
      <c r="C1433" s="5" t="s">
        <v>7760</v>
      </c>
      <c r="D1433" s="5" t="s">
        <v>7761</v>
      </c>
      <c r="E1433" s="6" t="s">
        <v>74</v>
      </c>
      <c r="F1433" s="6" t="s">
        <v>7762</v>
      </c>
      <c r="G1433" s="3" t="str">
        <f>IFERROR(__xludf.DUMMYFUNCTION("REGEXREPLACE(
D1433,
""([一-龯々]+)\[([^\]]+)\]"",
""&lt;ruby&gt;$1&lt;rt&gt;$2&lt;/rt&gt;&lt;/ruby&gt;""
)&amp;""&lt;br&gt;&lt;div class=""""audio""""&gt;[sound:""&amp;C1433&amp;"".mp3]&lt;/div&gt;"""),"&lt;ruby&gt;宿泊&lt;rt&gt;しゅくはく&lt;/rt&gt;&lt;/ruby&gt;&lt;br&gt;&lt;div class=""audio""&gt;[sound:しゅくはく.mp3]&lt;/div&gt;")</f>
        <v>&lt;ruby&gt;宿泊&lt;rt&gt;しゅくはく&lt;/rt&gt;&lt;/ruby&gt;&lt;br&gt;&lt;div class="audio"&gt;[sound:しゅくはく.mp3]&lt;/div&gt;</v>
      </c>
      <c r="H1433" s="3" t="str">
        <f t="shared" si="1"/>
        <v>(n): lưu trú</v>
      </c>
      <c r="I1433" s="6" t="s">
        <v>7763</v>
      </c>
      <c r="J1433" s="6" t="s">
        <v>7764</v>
      </c>
      <c r="K1433" s="7">
        <f t="shared" si="2"/>
        <v>0.5445554057</v>
      </c>
    </row>
    <row r="1434">
      <c r="A1434" s="4">
        <v>1434.0</v>
      </c>
      <c r="B1434" s="5" t="s">
        <v>7765</v>
      </c>
      <c r="C1434" s="5" t="s">
        <v>7766</v>
      </c>
      <c r="D1434" s="5" t="s">
        <v>7767</v>
      </c>
      <c r="E1434" s="6" t="s">
        <v>74</v>
      </c>
      <c r="F1434" s="6" t="s">
        <v>7768</v>
      </c>
      <c r="G1434" s="3" t="str">
        <f>IFERROR(__xludf.DUMMYFUNCTION("REGEXREPLACE(
D1434,
""([一-龯々]+)\[([^\]]+)\]"",
""&lt;ruby&gt;$1&lt;rt&gt;$2&lt;/rt&gt;&lt;/ruby&gt;""
)&amp;""&lt;br&gt;&lt;div class=""""audio""""&gt;[sound:""&amp;C1434&amp;"".mp3]&lt;/div&gt;"""),"&lt;ruby&gt;想像&lt;rt&gt;そうぞう&lt;/rt&gt;&lt;/ruby&gt;&lt;br&gt;&lt;div class=""audio""&gt;[sound:そうぞう.mp3]&lt;/div&gt;")</f>
        <v>&lt;ruby&gt;想像&lt;rt&gt;そうぞう&lt;/rt&gt;&lt;/ruby&gt;&lt;br&gt;&lt;div class="audio"&gt;[sound:そうぞう.mp3]&lt;/div&gt;</v>
      </c>
      <c r="H1434" s="3" t="str">
        <f t="shared" si="1"/>
        <v>(n): tưởng tượng</v>
      </c>
      <c r="I1434" s="6" t="s">
        <v>7769</v>
      </c>
      <c r="J1434" s="6" t="s">
        <v>7770</v>
      </c>
      <c r="K1434" s="7">
        <f t="shared" si="2"/>
        <v>0.9907818308</v>
      </c>
    </row>
    <row r="1435">
      <c r="A1435" s="4">
        <v>1435.0</v>
      </c>
      <c r="B1435" s="5" t="s">
        <v>7771</v>
      </c>
      <c r="C1435" s="5" t="s">
        <v>7772</v>
      </c>
      <c r="D1435" s="5" t="s">
        <v>7773</v>
      </c>
      <c r="E1435" s="6" t="s">
        <v>74</v>
      </c>
      <c r="F1435" s="6" t="s">
        <v>7774</v>
      </c>
      <c r="G1435" s="3" t="str">
        <f>IFERROR(__xludf.DUMMYFUNCTION("REGEXREPLACE(
D1435,
""([一-龯々]+)\[([^\]]+)\]"",
""&lt;ruby&gt;$1&lt;rt&gt;$2&lt;/rt&gt;&lt;/ruby&gt;""
)&amp;""&lt;br&gt;&lt;div class=""""audio""""&gt;[sound:""&amp;C1435&amp;"".mp3]&lt;/div&gt;"""),"&lt;ruby&gt;知事&lt;rt&gt;ちじ&lt;/rt&gt;&lt;/ruby&gt;&lt;br&gt;&lt;div class=""audio""&gt;[sound:ちじ.mp3]&lt;/div&gt;")</f>
        <v>&lt;ruby&gt;知事&lt;rt&gt;ちじ&lt;/rt&gt;&lt;/ruby&gt;&lt;br&gt;&lt;div class="audio"&gt;[sound:ちじ.mp3]&lt;/div&gt;</v>
      </c>
      <c r="H1435" s="3" t="str">
        <f t="shared" si="1"/>
        <v>(n): tỉnh trưởng</v>
      </c>
      <c r="I1435" s="6" t="s">
        <v>7775</v>
      </c>
      <c r="J1435" s="6" t="s">
        <v>7776</v>
      </c>
      <c r="K1435" s="7">
        <f t="shared" si="2"/>
        <v>0.5257125668</v>
      </c>
    </row>
    <row r="1436">
      <c r="A1436" s="4">
        <v>1436.0</v>
      </c>
      <c r="B1436" s="5" t="s">
        <v>7777</v>
      </c>
      <c r="C1436" s="5" t="s">
        <v>7778</v>
      </c>
      <c r="D1436" s="5" t="s">
        <v>7779</v>
      </c>
      <c r="E1436" s="6" t="s">
        <v>85</v>
      </c>
      <c r="F1436" s="6" t="s">
        <v>4743</v>
      </c>
      <c r="G1436" s="3" t="str">
        <f>IFERROR(__xludf.DUMMYFUNCTION("REGEXREPLACE(
D1436,
""([一-龯々]+)\[([^\]]+)\]"",
""&lt;ruby&gt;$1&lt;rt&gt;$2&lt;/rt&gt;&lt;/ruby&gt;""
)&amp;""&lt;br&gt;&lt;div class=""""audio""""&gt;[sound:""&amp;C1436&amp;"".mp3]&lt;/div&gt;"""),"&lt;ruby&gt;全&lt;rt&gt;まった&lt;/rt&gt;&lt;/ruby&gt;く&lt;br&gt;&lt;div class=""audio""&gt;[sound:まったく.mp3]&lt;/div&gt;")</f>
        <v>&lt;ruby&gt;全&lt;rt&gt;まった&lt;/rt&gt;&lt;/ruby&gt;く&lt;br&gt;&lt;div class="audio"&gt;[sound:まったく.mp3]&lt;/div&gt;</v>
      </c>
      <c r="H1436" s="3" t="str">
        <f t="shared" si="1"/>
        <v>(adv): hoàn toàn</v>
      </c>
      <c r="I1436" s="6" t="s">
        <v>7780</v>
      </c>
      <c r="J1436" s="6" t="s">
        <v>7781</v>
      </c>
      <c r="K1436" s="7">
        <f t="shared" si="2"/>
        <v>0.7352624693</v>
      </c>
    </row>
    <row r="1437">
      <c r="A1437" s="4">
        <v>1437.0</v>
      </c>
      <c r="B1437" s="5" t="s">
        <v>7782</v>
      </c>
      <c r="C1437" s="5" t="s">
        <v>7783</v>
      </c>
      <c r="D1437" s="5" t="s">
        <v>7784</v>
      </c>
      <c r="E1437" s="6" t="s">
        <v>24</v>
      </c>
      <c r="F1437" s="6" t="s">
        <v>7785</v>
      </c>
      <c r="G1437" s="3" t="str">
        <f>IFERROR(__xludf.DUMMYFUNCTION("REGEXREPLACE(
D1437,
""([一-龯々]+)\[([^\]]+)\]"",
""&lt;ruby&gt;$1&lt;rt&gt;$2&lt;/rt&gt;&lt;/ruby&gt;""
)&amp;""&lt;br&gt;&lt;div class=""""audio""""&gt;[sound:""&amp;C1437&amp;"".mp3]&lt;/div&gt;"""),"&lt;ruby&gt;固&lt;rt&gt;かた&lt;/rt&gt;&lt;/ruby&gt;まる&lt;br&gt;&lt;div class=""audio""&gt;[sound:かたまる.mp3]&lt;/div&gt;")</f>
        <v>&lt;ruby&gt;固&lt;rt&gt;かた&lt;/rt&gt;&lt;/ruby&gt;まる&lt;br&gt;&lt;div class="audio"&gt;[sound:かたまる.mp3]&lt;/div&gt;</v>
      </c>
      <c r="H1437" s="3" t="str">
        <f t="shared" si="1"/>
        <v>(v): đông cứng</v>
      </c>
      <c r="I1437" s="6" t="s">
        <v>7786</v>
      </c>
      <c r="J1437" s="6" t="s">
        <v>7787</v>
      </c>
      <c r="K1437" s="7">
        <f t="shared" si="2"/>
        <v>0.9686499661</v>
      </c>
    </row>
    <row r="1438">
      <c r="A1438" s="4">
        <v>1438.0</v>
      </c>
      <c r="B1438" s="5" t="s">
        <v>7788</v>
      </c>
      <c r="C1438" s="5" t="s">
        <v>7789</v>
      </c>
      <c r="D1438" s="5" t="s">
        <v>7790</v>
      </c>
      <c r="E1438" s="6" t="s">
        <v>11</v>
      </c>
      <c r="F1438" s="6" t="s">
        <v>7791</v>
      </c>
      <c r="G1438" s="3" t="str">
        <f>IFERROR(__xludf.DUMMYFUNCTION("REGEXREPLACE(
D1438,
""([一-龯々]+)\[([^\]]+)\]"",
""&lt;ruby&gt;$1&lt;rt&gt;$2&lt;/rt&gt;&lt;/ruby&gt;""
)&amp;""&lt;br&gt;&lt;div class=""""audio""""&gt;[sound:""&amp;C1438&amp;"".mp3]&lt;/div&gt;"""),"&lt;ruby&gt;強力&lt;rt&gt;きょうりょく&lt;/rt&gt;&lt;/ruby&gt;&lt;br&gt;&lt;div class=""audio""&gt;[sound:きょうりょく.mp3]&lt;/div&gt;")</f>
        <v>&lt;ruby&gt;強力&lt;rt&gt;きょうりょく&lt;/rt&gt;&lt;/ruby&gt;&lt;br&gt;&lt;div class="audio"&gt;[sound:きょうりょく.mp3]&lt;/div&gt;</v>
      </c>
      <c r="H1438" s="3" t="str">
        <f t="shared" si="1"/>
        <v>(adj): hùng mạnh</v>
      </c>
      <c r="I1438" s="6" t="s">
        <v>7792</v>
      </c>
      <c r="J1438" s="6" t="s">
        <v>7793</v>
      </c>
      <c r="K1438" s="7">
        <f t="shared" si="2"/>
        <v>0.3387414902</v>
      </c>
    </row>
    <row r="1439">
      <c r="A1439" s="4">
        <v>1439.0</v>
      </c>
      <c r="B1439" s="5" t="s">
        <v>7794</v>
      </c>
      <c r="C1439" s="5" t="s">
        <v>7795</v>
      </c>
      <c r="D1439" s="5" t="s">
        <v>7796</v>
      </c>
      <c r="E1439" s="6" t="s">
        <v>74</v>
      </c>
      <c r="F1439" s="6" t="s">
        <v>7797</v>
      </c>
      <c r="G1439" s="3" t="str">
        <f>IFERROR(__xludf.DUMMYFUNCTION("REGEXREPLACE(
D1439,
""([一-龯々]+)\[([^\]]+)\]"",
""&lt;ruby&gt;$1&lt;rt&gt;$2&lt;/rt&gt;&lt;/ruby&gt;""
)&amp;""&lt;br&gt;&lt;div class=""""audio""""&gt;[sound:""&amp;C1439&amp;"".mp3]&lt;/div&gt;"""),"&lt;ruby&gt;税金&lt;rt&gt;ぜいきん&lt;/rt&gt;&lt;/ruby&gt;&lt;br&gt;&lt;div class=""audio""&gt;[sound:ぜいきん.mp3]&lt;/div&gt;")</f>
        <v>&lt;ruby&gt;税金&lt;rt&gt;ぜいきん&lt;/rt&gt;&lt;/ruby&gt;&lt;br&gt;&lt;div class="audio"&gt;[sound:ぜいきん.mp3]&lt;/div&gt;</v>
      </c>
      <c r="H1439" s="3" t="str">
        <f t="shared" si="1"/>
        <v>(n): tiền thuế</v>
      </c>
      <c r="I1439" s="6" t="s">
        <v>7798</v>
      </c>
      <c r="J1439" s="6" t="s">
        <v>7799</v>
      </c>
      <c r="K1439" s="7">
        <f t="shared" si="2"/>
        <v>0.8030557235</v>
      </c>
    </row>
    <row r="1440">
      <c r="A1440" s="4">
        <v>1440.0</v>
      </c>
      <c r="B1440" s="5" t="s">
        <v>7800</v>
      </c>
      <c r="C1440" s="5" t="s">
        <v>7801</v>
      </c>
      <c r="D1440" s="5" t="s">
        <v>7802</v>
      </c>
      <c r="E1440" s="6" t="s">
        <v>74</v>
      </c>
      <c r="F1440" s="6" t="s">
        <v>2827</v>
      </c>
      <c r="G1440" s="3" t="str">
        <f>IFERROR(__xludf.DUMMYFUNCTION("REGEXREPLACE(
D1440,
""([一-龯々]+)\[([^\]]+)\]"",
""&lt;ruby&gt;$1&lt;rt&gt;$2&lt;/rt&gt;&lt;/ruby&gt;""
)&amp;""&lt;br&gt;&lt;div class=""""audio""""&gt;[sound:""&amp;C1440&amp;"".mp3]&lt;/div&gt;"""),"&lt;ruby&gt;年代&lt;rt&gt;ねんだい&lt;/rt&gt;&lt;/ruby&gt;&lt;br&gt;&lt;div class=""audio""&gt;[sound:ねんだい.mp3]&lt;/div&gt;")</f>
        <v>&lt;ruby&gt;年代&lt;rt&gt;ねんだい&lt;/rt&gt;&lt;/ruby&gt;&lt;br&gt;&lt;div class="audio"&gt;[sound:ねんだい.mp3]&lt;/div&gt;</v>
      </c>
      <c r="H1440" s="3" t="str">
        <f t="shared" si="1"/>
        <v>(n): thời đại</v>
      </c>
      <c r="I1440" s="6" t="s">
        <v>7803</v>
      </c>
      <c r="J1440" s="6" t="s">
        <v>7804</v>
      </c>
      <c r="K1440" s="7">
        <f t="shared" si="2"/>
        <v>0.8504695184</v>
      </c>
    </row>
    <row r="1441">
      <c r="A1441" s="4">
        <v>1441.0</v>
      </c>
      <c r="B1441" s="5" t="s">
        <v>7805</v>
      </c>
      <c r="C1441" s="5" t="s">
        <v>7806</v>
      </c>
      <c r="D1441" s="5" t="s">
        <v>7807</v>
      </c>
      <c r="E1441" s="6" t="s">
        <v>11</v>
      </c>
      <c r="F1441" s="6" t="s">
        <v>7808</v>
      </c>
      <c r="G1441" s="3" t="str">
        <f>IFERROR(__xludf.DUMMYFUNCTION("REGEXREPLACE(
D1441,
""([一-龯々]+)\[([^\]]+)\]"",
""&lt;ruby&gt;$1&lt;rt&gt;$2&lt;/rt&gt;&lt;/ruby&gt;""
)&amp;""&lt;br&gt;&lt;div class=""""audio""""&gt;[sound:""&amp;C1441&amp;"".mp3]&lt;/div&gt;"""),"&lt;ruby&gt;様々&lt;rt&gt;さまざま&lt;/rt&gt;&lt;/ruby&gt;&lt;br&gt;&lt;div class=""audio""&gt;[sound:さまざま.mp3]&lt;/div&gt;")</f>
        <v>&lt;ruby&gt;様々&lt;rt&gt;さまざま&lt;/rt&gt;&lt;/ruby&gt;&lt;br&gt;&lt;div class="audio"&gt;[sound:さまざま.mp3]&lt;/div&gt;</v>
      </c>
      <c r="H1441" s="3" t="str">
        <f t="shared" si="1"/>
        <v>(adj): đa dạng</v>
      </c>
      <c r="I1441" s="6" t="s">
        <v>7809</v>
      </c>
      <c r="J1441" s="6" t="s">
        <v>7810</v>
      </c>
      <c r="K1441" s="7">
        <f t="shared" si="2"/>
        <v>0.1680668698</v>
      </c>
    </row>
    <row r="1442">
      <c r="A1442" s="4">
        <v>1442.0</v>
      </c>
      <c r="B1442" s="5" t="s">
        <v>7811</v>
      </c>
      <c r="C1442" s="5" t="s">
        <v>7812</v>
      </c>
      <c r="D1442" s="5" t="s">
        <v>7813</v>
      </c>
      <c r="E1442" s="6" t="s">
        <v>74</v>
      </c>
      <c r="F1442" s="6" t="s">
        <v>7814</v>
      </c>
      <c r="G1442" s="3" t="str">
        <f>IFERROR(__xludf.DUMMYFUNCTION("REGEXREPLACE(
D1442,
""([一-龯々]+)\[([^\]]+)\]"",
""&lt;ruby&gt;$1&lt;rt&gt;$2&lt;/rt&gt;&lt;/ruby&gt;""
)&amp;""&lt;br&gt;&lt;div class=""""audio""""&gt;[sound:""&amp;C1442&amp;"".mp3]&lt;/div&gt;"""),"&lt;ruby&gt;雑誌&lt;rt&gt;ざっし&lt;/rt&gt;&lt;/ruby&gt;&lt;br&gt;&lt;div class=""audio""&gt;[sound:ざっし.mp3]&lt;/div&gt;")</f>
        <v>&lt;ruby&gt;雑誌&lt;rt&gt;ざっし&lt;/rt&gt;&lt;/ruby&gt;&lt;br&gt;&lt;div class="audio"&gt;[sound:ざっし.mp3]&lt;/div&gt;</v>
      </c>
      <c r="H1442" s="3" t="str">
        <f t="shared" si="1"/>
        <v>(n): tạp chí</v>
      </c>
      <c r="I1442" s="6" t="s">
        <v>7815</v>
      </c>
      <c r="J1442" s="6" t="s">
        <v>7816</v>
      </c>
      <c r="K1442" s="7">
        <f t="shared" si="2"/>
        <v>0.529141748</v>
      </c>
    </row>
    <row r="1443">
      <c r="A1443" s="4">
        <v>1443.0</v>
      </c>
      <c r="B1443" s="5" t="s">
        <v>7817</v>
      </c>
      <c r="C1443" s="5" t="s">
        <v>7818</v>
      </c>
      <c r="D1443" s="5" t="s">
        <v>7819</v>
      </c>
      <c r="E1443" s="6" t="s">
        <v>74</v>
      </c>
      <c r="F1443" s="6" t="s">
        <v>7820</v>
      </c>
      <c r="G1443" s="3" t="str">
        <f>IFERROR(__xludf.DUMMYFUNCTION("REGEXREPLACE(
D1443,
""([一-龯々]+)\[([^\]]+)\]"",
""&lt;ruby&gt;$1&lt;rt&gt;$2&lt;/rt&gt;&lt;/ruby&gt;""
)&amp;""&lt;br&gt;&lt;div class=""""audio""""&gt;[sound:""&amp;C1443&amp;"".mp3]&lt;/div&gt;"""),"&lt;ruby&gt;壁&lt;rt&gt;かべ&lt;/rt&gt;&lt;/ruby&gt;&lt;br&gt;&lt;div class=""audio""&gt;[sound:かべ.mp3]&lt;/div&gt;")</f>
        <v>&lt;ruby&gt;壁&lt;rt&gt;かべ&lt;/rt&gt;&lt;/ruby&gt;&lt;br&gt;&lt;div class="audio"&gt;[sound:かべ.mp3]&lt;/div&gt;</v>
      </c>
      <c r="H1443" s="3" t="str">
        <f t="shared" si="1"/>
        <v>(n): tường</v>
      </c>
      <c r="I1443" s="6" t="s">
        <v>7821</v>
      </c>
      <c r="J1443" s="6" t="s">
        <v>7822</v>
      </c>
      <c r="K1443" s="7">
        <f t="shared" si="2"/>
        <v>0.5207180657</v>
      </c>
    </row>
    <row r="1444">
      <c r="A1444" s="4">
        <v>1444.0</v>
      </c>
      <c r="B1444" s="5" t="s">
        <v>7823</v>
      </c>
      <c r="C1444" s="5" t="s">
        <v>7824</v>
      </c>
      <c r="D1444" s="5" t="s">
        <v>7825</v>
      </c>
      <c r="E1444" s="6" t="s">
        <v>24</v>
      </c>
      <c r="F1444" s="6" t="s">
        <v>7826</v>
      </c>
      <c r="G1444" s="3" t="str">
        <f>IFERROR(__xludf.DUMMYFUNCTION("REGEXREPLACE(
D1444,
""([一-龯々]+)\[([^\]]+)\]"",
""&lt;ruby&gt;$1&lt;rt&gt;$2&lt;/rt&gt;&lt;/ruby&gt;""
)&amp;""&lt;br&gt;&lt;div class=""""audio""""&gt;[sound:""&amp;C1444&amp;"".mp3]&lt;/div&gt;"""),"&lt;ruby&gt;見&lt;rt&gt;み&lt;/rt&gt;&lt;/ruby&gt;つかる&lt;br&gt;&lt;div class=""audio""&gt;[sound:みつかる.mp3]&lt;/div&gt;")</f>
        <v>&lt;ruby&gt;見&lt;rt&gt;み&lt;/rt&gt;&lt;/ruby&gt;つかる&lt;br&gt;&lt;div class="audio"&gt;[sound:みつかる.mp3]&lt;/div&gt;</v>
      </c>
      <c r="H1444" s="3" t="str">
        <f t="shared" si="1"/>
        <v>(v): được tìm thấy</v>
      </c>
      <c r="I1444" s="6" t="s">
        <v>7827</v>
      </c>
      <c r="J1444" s="6" t="s">
        <v>7828</v>
      </c>
      <c r="K1444" s="7">
        <f t="shared" si="2"/>
        <v>0.09129396372</v>
      </c>
    </row>
    <row r="1445">
      <c r="A1445" s="4">
        <v>1445.0</v>
      </c>
      <c r="B1445" s="5" t="s">
        <v>7829</v>
      </c>
      <c r="C1445" s="5" t="s">
        <v>7830</v>
      </c>
      <c r="D1445" s="5" t="s">
        <v>7831</v>
      </c>
      <c r="E1445" s="6" t="s">
        <v>74</v>
      </c>
      <c r="F1445" s="6" t="s">
        <v>7832</v>
      </c>
      <c r="G1445" s="3" t="str">
        <f>IFERROR(__xludf.DUMMYFUNCTION("REGEXREPLACE(
D1445,
""([一-龯々]+)\[([^\]]+)\]"",
""&lt;ruby&gt;$1&lt;rt&gt;$2&lt;/rt&gt;&lt;/ruby&gt;""
)&amp;""&lt;br&gt;&lt;div class=""""audio""""&gt;[sound:""&amp;C1445&amp;"".mp3]&lt;/div&gt;"""),"&lt;ruby&gt;職場&lt;rt&gt;しょくば&lt;/rt&gt;&lt;/ruby&gt;&lt;br&gt;&lt;div class=""audio""&gt;[sound:しょくば.mp3]&lt;/div&gt;")</f>
        <v>&lt;ruby&gt;職場&lt;rt&gt;しょくば&lt;/rt&gt;&lt;/ruby&gt;&lt;br&gt;&lt;div class="audio"&gt;[sound:しょくば.mp3]&lt;/div&gt;</v>
      </c>
      <c r="H1445" s="3" t="str">
        <f t="shared" si="1"/>
        <v>(n): nơi làm việc</v>
      </c>
      <c r="I1445" s="6" t="s">
        <v>7833</v>
      </c>
      <c r="J1445" s="6" t="s">
        <v>7834</v>
      </c>
      <c r="K1445" s="7">
        <f t="shared" si="2"/>
        <v>0.01593309821</v>
      </c>
    </row>
    <row r="1446">
      <c r="A1446" s="4">
        <v>1446.0</v>
      </c>
      <c r="B1446" s="5" t="s">
        <v>7835</v>
      </c>
      <c r="C1446" s="5" t="s">
        <v>7836</v>
      </c>
      <c r="D1446" s="5" t="s">
        <v>7837</v>
      </c>
      <c r="E1446" s="6" t="s">
        <v>74</v>
      </c>
      <c r="F1446" s="6" t="s">
        <v>7838</v>
      </c>
      <c r="G1446" s="3" t="str">
        <f>IFERROR(__xludf.DUMMYFUNCTION("REGEXREPLACE(
D1446,
""([一-龯々]+)\[([^\]]+)\]"",
""&lt;ruby&gt;$1&lt;rt&gt;$2&lt;/rt&gt;&lt;/ruby&gt;""
)&amp;""&lt;br&gt;&lt;div class=""""audio""""&gt;[sound:""&amp;C1446&amp;"".mp3]&lt;/div&gt;"""),"&lt;ruby&gt;少年&lt;rt&gt;しょうねん&lt;/rt&gt;&lt;/ruby&gt;&lt;br&gt;&lt;div class=""audio""&gt;[sound:しょうねん.mp3]&lt;/div&gt;")</f>
        <v>&lt;ruby&gt;少年&lt;rt&gt;しょうねん&lt;/rt&gt;&lt;/ruby&gt;&lt;br&gt;&lt;div class="audio"&gt;[sound:しょうねん.mp3]&lt;/div&gt;</v>
      </c>
      <c r="H1446" s="3" t="str">
        <f t="shared" si="1"/>
        <v>(n): thiếu niên</v>
      </c>
      <c r="I1446" s="6" t="s">
        <v>7839</v>
      </c>
      <c r="J1446" s="6" t="s">
        <v>7840</v>
      </c>
      <c r="K1446" s="7">
        <f t="shared" si="2"/>
        <v>0.8398584395</v>
      </c>
    </row>
    <row r="1447">
      <c r="A1447" s="4">
        <v>1447.0</v>
      </c>
      <c r="B1447" s="5" t="s">
        <v>7841</v>
      </c>
      <c r="C1447" s="5" t="s">
        <v>7842</v>
      </c>
      <c r="D1447" s="5" t="s">
        <v>7843</v>
      </c>
      <c r="E1447" s="6" t="s">
        <v>74</v>
      </c>
      <c r="F1447" s="6" t="s">
        <v>7844</v>
      </c>
      <c r="G1447" s="3" t="str">
        <f>IFERROR(__xludf.DUMMYFUNCTION("REGEXREPLACE(
D1447,
""([一-龯々]+)\[([^\]]+)\]"",
""&lt;ruby&gt;$1&lt;rt&gt;$2&lt;/rt&gt;&lt;/ruby&gt;""
)&amp;""&lt;br&gt;&lt;div class=""""audio""""&gt;[sound:""&amp;C1447&amp;"".mp3]&lt;/div&gt;"""),"&lt;ruby&gt;判断&lt;rt&gt;はんだん&lt;/rt&gt;&lt;/ruby&gt;&lt;br&gt;&lt;div class=""audio""&gt;[sound:はんだん.mp3]&lt;/div&gt;")</f>
        <v>&lt;ruby&gt;判断&lt;rt&gt;はんだん&lt;/rt&gt;&lt;/ruby&gt;&lt;br&gt;&lt;div class="audio"&gt;[sound:はんだん.mp3]&lt;/div&gt;</v>
      </c>
      <c r="H1447" s="3" t="str">
        <f t="shared" si="1"/>
        <v>(n): phán đoán</v>
      </c>
      <c r="I1447" s="6" t="s">
        <v>7845</v>
      </c>
      <c r="J1447" s="6" t="s">
        <v>7846</v>
      </c>
      <c r="K1447" s="7">
        <f t="shared" si="2"/>
        <v>0.4808429611</v>
      </c>
    </row>
    <row r="1448">
      <c r="A1448" s="4">
        <v>1448.0</v>
      </c>
      <c r="B1448" s="5" t="s">
        <v>7847</v>
      </c>
      <c r="C1448" s="5" t="s">
        <v>7848</v>
      </c>
      <c r="D1448" s="5" t="s">
        <v>7849</v>
      </c>
      <c r="E1448" s="6" t="s">
        <v>74</v>
      </c>
      <c r="F1448" s="6" t="s">
        <v>7850</v>
      </c>
      <c r="G1448" s="3" t="str">
        <f>IFERROR(__xludf.DUMMYFUNCTION("REGEXREPLACE(
D1448,
""([一-龯々]+)\[([^\]]+)\]"",
""&lt;ruby&gt;$1&lt;rt&gt;$2&lt;/rt&gt;&lt;/ruby&gt;""
)&amp;""&lt;br&gt;&lt;div class=""""audio""""&gt;[sound:""&amp;C1448&amp;"".mp3]&lt;/div&gt;"""),"&lt;ruby&gt;差別&lt;rt&gt;さべつ&lt;/rt&gt;&lt;/ruby&gt;&lt;br&gt;&lt;div class=""audio""&gt;[sound:さべつ.mp3]&lt;/div&gt;")</f>
        <v>&lt;ruby&gt;差別&lt;rt&gt;さべつ&lt;/rt&gt;&lt;/ruby&gt;&lt;br&gt;&lt;div class="audio"&gt;[sound:さべつ.mp3]&lt;/div&gt;</v>
      </c>
      <c r="H1448" s="3" t="str">
        <f t="shared" si="1"/>
        <v>(n): phân biệt</v>
      </c>
      <c r="I1448" s="6" t="s">
        <v>7851</v>
      </c>
      <c r="J1448" s="6" t="s">
        <v>7852</v>
      </c>
      <c r="K1448" s="7">
        <f t="shared" si="2"/>
        <v>0.3914626888</v>
      </c>
    </row>
    <row r="1449">
      <c r="A1449" s="4">
        <v>1449.0</v>
      </c>
      <c r="B1449" s="5" t="s">
        <v>7853</v>
      </c>
      <c r="C1449" s="5" t="s">
        <v>7854</v>
      </c>
      <c r="D1449" s="5" t="s">
        <v>7855</v>
      </c>
      <c r="E1449" s="6" t="s">
        <v>74</v>
      </c>
      <c r="F1449" s="6" t="s">
        <v>7856</v>
      </c>
      <c r="G1449" s="3" t="str">
        <f>IFERROR(__xludf.DUMMYFUNCTION("REGEXREPLACE(
D1449,
""([一-龯々]+)\[([^\]]+)\]"",
""&lt;ruby&gt;$1&lt;rt&gt;$2&lt;/rt&gt;&lt;/ruby&gt;""
)&amp;""&lt;br&gt;&lt;div class=""""audio""""&gt;[sound:""&amp;C1449&amp;"".mp3]&lt;/div&gt;"""),"&lt;ruby&gt;患者&lt;rt&gt;かんじゃ&lt;/rt&gt;&lt;/ruby&gt;&lt;br&gt;&lt;div class=""audio""&gt;[sound:かんじゃ.mp3]&lt;/div&gt;")</f>
        <v>&lt;ruby&gt;患者&lt;rt&gt;かんじゃ&lt;/rt&gt;&lt;/ruby&gt;&lt;br&gt;&lt;div class="audio"&gt;[sound:かんじゃ.mp3]&lt;/div&gt;</v>
      </c>
      <c r="H1449" s="3" t="str">
        <f t="shared" si="1"/>
        <v>(n): bệnh nhân</v>
      </c>
      <c r="I1449" s="6" t="s">
        <v>7857</v>
      </c>
      <c r="J1449" s="6" t="s">
        <v>7858</v>
      </c>
      <c r="K1449" s="7">
        <f t="shared" si="2"/>
        <v>0.5080456055</v>
      </c>
    </row>
    <row r="1450">
      <c r="A1450" s="4">
        <v>1450.0</v>
      </c>
      <c r="B1450" s="5" t="s">
        <v>7859</v>
      </c>
      <c r="C1450" s="5" t="s">
        <v>7860</v>
      </c>
      <c r="D1450" s="5" t="s">
        <v>7861</v>
      </c>
      <c r="E1450" s="6" t="s">
        <v>11</v>
      </c>
      <c r="F1450" s="6" t="s">
        <v>7862</v>
      </c>
      <c r="G1450" s="3" t="str">
        <f>IFERROR(__xludf.DUMMYFUNCTION("REGEXREPLACE(
D1450,
""([一-龯々]+)\[([^\]]+)\]"",
""&lt;ruby&gt;$1&lt;rt&gt;$2&lt;/rt&gt;&lt;/ruby&gt;""
)&amp;""&lt;br&gt;&lt;div class=""""audio""""&gt;[sound:""&amp;C1450&amp;"".mp3]&lt;/div&gt;"""),"&lt;ruby&gt;積極的&lt;rt&gt;せっきょくてき&lt;/rt&gt;&lt;/ruby&gt;&lt;br&gt;&lt;div class=""audio""&gt;[sound:せっきょくてき.mp3]&lt;/div&gt;")</f>
        <v>&lt;ruby&gt;積極的&lt;rt&gt;せっきょくてき&lt;/rt&gt;&lt;/ruby&gt;&lt;br&gt;&lt;div class="audio"&gt;[sound:せっきょくてき.mp3]&lt;/div&gt;</v>
      </c>
      <c r="H1450" s="3" t="str">
        <f t="shared" si="1"/>
        <v>(adj): tích cực</v>
      </c>
      <c r="I1450" s="6" t="s">
        <v>7863</v>
      </c>
      <c r="J1450" s="6" t="s">
        <v>7864</v>
      </c>
      <c r="K1450" s="7">
        <f t="shared" si="2"/>
        <v>0.6028488644</v>
      </c>
    </row>
    <row r="1451">
      <c r="A1451" s="4">
        <v>1451.0</v>
      </c>
      <c r="B1451" s="5" t="s">
        <v>7865</v>
      </c>
      <c r="C1451" s="5" t="s">
        <v>7866</v>
      </c>
      <c r="D1451" s="5" t="s">
        <v>7867</v>
      </c>
      <c r="E1451" s="6" t="s">
        <v>74</v>
      </c>
      <c r="F1451" s="6" t="s">
        <v>7868</v>
      </c>
      <c r="G1451" s="3" t="str">
        <f>IFERROR(__xludf.DUMMYFUNCTION("REGEXREPLACE(
D1451,
""([一-龯々]+)\[([^\]]+)\]"",
""&lt;ruby&gt;$1&lt;rt&gt;$2&lt;/rt&gt;&lt;/ruby&gt;""
)&amp;""&lt;br&gt;&lt;div class=""""audio""""&gt;[sound:""&amp;C1451&amp;"".mp3]&lt;/div&gt;"""),"&lt;ruby&gt;信用&lt;rt&gt;しんよう&lt;/rt&gt;&lt;/ruby&gt;&lt;br&gt;&lt;div class=""audio""&gt;[sound:しんよう.mp3]&lt;/div&gt;")</f>
        <v>&lt;ruby&gt;信用&lt;rt&gt;しんよう&lt;/rt&gt;&lt;/ruby&gt;&lt;br&gt;&lt;div class="audio"&gt;[sound:しんよう.mp3]&lt;/div&gt;</v>
      </c>
      <c r="H1451" s="3" t="str">
        <f t="shared" si="1"/>
        <v>(n): tin cậy</v>
      </c>
      <c r="I1451" s="6" t="s">
        <v>7869</v>
      </c>
      <c r="J1451" s="6" t="s">
        <v>7870</v>
      </c>
      <c r="K1451" s="7">
        <f t="shared" si="2"/>
        <v>0.1733691674</v>
      </c>
    </row>
    <row r="1452">
      <c r="A1452" s="4">
        <v>1452.0</v>
      </c>
      <c r="B1452" s="5" t="s">
        <v>7871</v>
      </c>
      <c r="C1452" s="5" t="s">
        <v>7872</v>
      </c>
      <c r="D1452" s="5" t="s">
        <v>7873</v>
      </c>
      <c r="E1452" s="6" t="s">
        <v>74</v>
      </c>
      <c r="F1452" s="6" t="s">
        <v>7874</v>
      </c>
      <c r="G1452" s="3" t="str">
        <f>IFERROR(__xludf.DUMMYFUNCTION("REGEXREPLACE(
D1452,
""([一-龯々]+)\[([^\]]+)\]"",
""&lt;ruby&gt;$1&lt;rt&gt;$2&lt;/rt&gt;&lt;/ruby&gt;""
)&amp;""&lt;br&gt;&lt;div class=""""audio""""&gt;[sound:""&amp;C1452&amp;"".mp3]&lt;/div&gt;"""),"&lt;ruby&gt;策&lt;rt&gt;さく&lt;/rt&gt;&lt;/ruby&gt;&lt;br&gt;&lt;div class=""audio""&gt;[sound:さく.mp3]&lt;/div&gt;")</f>
        <v>&lt;ruby&gt;策&lt;rt&gt;さく&lt;/rt&gt;&lt;/ruby&gt;&lt;br&gt;&lt;div class="audio"&gt;[sound:さく.mp3]&lt;/div&gt;</v>
      </c>
      <c r="H1452" s="3" t="str">
        <f t="shared" si="1"/>
        <v>(n): kế sách</v>
      </c>
      <c r="I1452" s="6" t="s">
        <v>7875</v>
      </c>
      <c r="J1452" s="6" t="s">
        <v>7876</v>
      </c>
      <c r="K1452" s="7">
        <f t="shared" si="2"/>
        <v>0.5167802221</v>
      </c>
    </row>
    <row r="1453">
      <c r="A1453" s="4">
        <v>1453.0</v>
      </c>
      <c r="B1453" s="5" t="s">
        <v>7877</v>
      </c>
      <c r="C1453" s="5" t="s">
        <v>7878</v>
      </c>
      <c r="D1453" s="5" t="s">
        <v>7879</v>
      </c>
      <c r="E1453" s="6" t="s">
        <v>24</v>
      </c>
      <c r="F1453" s="6" t="s">
        <v>7880</v>
      </c>
      <c r="G1453" s="3" t="str">
        <f>IFERROR(__xludf.DUMMYFUNCTION("REGEXREPLACE(
D1453,
""([一-龯々]+)\[([^\]]+)\]"",
""&lt;ruby&gt;$1&lt;rt&gt;$2&lt;/rt&gt;&lt;/ruby&gt;""
)&amp;""&lt;br&gt;&lt;div class=""""audio""""&gt;[sound:""&amp;C1453&amp;"".mp3]&lt;/div&gt;"""),"&lt;ruby&gt;繋&lt;rt&gt;つな&lt;/rt&gt;&lt;/ruby&gt;がる&lt;br&gt;&lt;div class=""audio""&gt;[sound:つながる.mp3]&lt;/div&gt;")</f>
        <v>&lt;ruby&gt;繋&lt;rt&gt;つな&lt;/rt&gt;&lt;/ruby&gt;がる&lt;br&gt;&lt;div class="audio"&gt;[sound:つながる.mp3]&lt;/div&gt;</v>
      </c>
      <c r="H1453" s="3" t="str">
        <f t="shared" si="1"/>
        <v>(v): kết nối</v>
      </c>
      <c r="I1453" s="6" t="s">
        <v>7881</v>
      </c>
      <c r="J1453" s="6" t="s">
        <v>7882</v>
      </c>
      <c r="K1453" s="7">
        <f t="shared" si="2"/>
        <v>0.1564537238</v>
      </c>
    </row>
    <row r="1454">
      <c r="A1454" s="4">
        <v>1454.0</v>
      </c>
      <c r="B1454" s="5" t="s">
        <v>7883</v>
      </c>
      <c r="C1454" s="5" t="s">
        <v>7884</v>
      </c>
      <c r="D1454" s="5" t="s">
        <v>7885</v>
      </c>
      <c r="E1454" s="6" t="s">
        <v>24</v>
      </c>
      <c r="F1454" s="6" t="s">
        <v>7886</v>
      </c>
      <c r="G1454" s="3" t="str">
        <f>IFERROR(__xludf.DUMMYFUNCTION("REGEXREPLACE(
D1454,
""([一-龯々]+)\[([^\]]+)\]"",
""&lt;ruby&gt;$1&lt;rt&gt;$2&lt;/rt&gt;&lt;/ruby&gt;""
)&amp;""&lt;br&gt;&lt;div class=""""audio""""&gt;[sound:""&amp;C1454&amp;"".mp3]&lt;/div&gt;"""),"&lt;ruby&gt;育&lt;rt&gt;そだ&lt;/rt&gt;&lt;/ruby&gt;つ&lt;br&gt;&lt;div class=""audio""&gt;[sound:そだつ.mp3]&lt;/div&gt;")</f>
        <v>&lt;ruby&gt;育&lt;rt&gt;そだ&lt;/rt&gt;&lt;/ruby&gt;つ&lt;br&gt;&lt;div class="audio"&gt;[sound:そだつ.mp3]&lt;/div&gt;</v>
      </c>
      <c r="H1454" s="3" t="str">
        <f t="shared" si="1"/>
        <v>(v): lớn lên</v>
      </c>
      <c r="I1454" s="6" t="s">
        <v>7887</v>
      </c>
      <c r="J1454" s="6" t="s">
        <v>7888</v>
      </c>
      <c r="K1454" s="7">
        <f t="shared" si="2"/>
        <v>0.0389958902</v>
      </c>
    </row>
    <row r="1455">
      <c r="A1455" s="4">
        <v>1455.0</v>
      </c>
      <c r="B1455" s="5" t="s">
        <v>7889</v>
      </c>
      <c r="C1455" s="5" t="s">
        <v>7890</v>
      </c>
      <c r="D1455" s="5" t="s">
        <v>7891</v>
      </c>
      <c r="E1455" s="6" t="s">
        <v>74</v>
      </c>
      <c r="F1455" s="6" t="s">
        <v>3969</v>
      </c>
      <c r="G1455" s="3" t="str">
        <f>IFERROR(__xludf.DUMMYFUNCTION("REGEXREPLACE(
D1455,
""([一-龯々]+)\[([^\]]+)\]"",
""&lt;ruby&gt;$1&lt;rt&gt;$2&lt;/rt&gt;&lt;/ruby&gt;""
)&amp;""&lt;br&gt;&lt;div class=""""audio""""&gt;[sound:""&amp;C1455&amp;"".mp3]&lt;/div&gt;"""),"&lt;ruby&gt;注目&lt;rt&gt;ちゅうもく&lt;/rt&gt;&lt;/ruby&gt;&lt;br&gt;&lt;div class=""audio""&gt;[sound:ちゅうもく.mp3]&lt;/div&gt;")</f>
        <v>&lt;ruby&gt;注目&lt;rt&gt;ちゅうもく&lt;/rt&gt;&lt;/ruby&gt;&lt;br&gt;&lt;div class="audio"&gt;[sound:ちゅうもく.mp3]&lt;/div&gt;</v>
      </c>
      <c r="H1455" s="3" t="str">
        <f t="shared" si="1"/>
        <v>(n): chú ý</v>
      </c>
      <c r="I1455" s="6" t="s">
        <v>7892</v>
      </c>
      <c r="J1455" s="6" t="s">
        <v>7893</v>
      </c>
      <c r="K1455" s="7">
        <f t="shared" si="2"/>
        <v>0.07285205522</v>
      </c>
    </row>
    <row r="1456">
      <c r="A1456" s="4">
        <v>1456.0</v>
      </c>
      <c r="B1456" s="5" t="s">
        <v>7894</v>
      </c>
      <c r="C1456" s="5" t="s">
        <v>7895</v>
      </c>
      <c r="D1456" s="5" t="s">
        <v>7896</v>
      </c>
      <c r="E1456" s="6" t="s">
        <v>24</v>
      </c>
      <c r="F1456" s="6" t="s">
        <v>7897</v>
      </c>
      <c r="G1456" s="3" t="str">
        <f>IFERROR(__xludf.DUMMYFUNCTION("REGEXREPLACE(
D1456,
""([一-龯々]+)\[([^\]]+)\]"",
""&lt;ruby&gt;$1&lt;rt&gt;$2&lt;/rt&gt;&lt;/ruby&gt;""
)&amp;""&lt;br&gt;&lt;div class=""""audio""""&gt;[sound:""&amp;C1456&amp;"".mp3]&lt;/div&gt;"""),"&lt;ruby&gt;差&lt;rt&gt;さ&lt;/rt&gt;&lt;/ruby&gt;し&lt;ruby&gt;上&lt;rt&gt;あ&lt;/rt&gt;&lt;/ruby&gt;げる&lt;br&gt;&lt;div class=""audio""&gt;[sound:さしあげる.mp3]&lt;/div&gt;")</f>
        <v>&lt;ruby&gt;差&lt;rt&gt;さ&lt;/rt&gt;&lt;/ruby&gt;し&lt;ruby&gt;上&lt;rt&gt;あ&lt;/rt&gt;&lt;/ruby&gt;げる&lt;br&gt;&lt;div class="audio"&gt;[sound:さしあげる.mp3]&lt;/div&gt;</v>
      </c>
      <c r="H1456" s="3" t="str">
        <f t="shared" si="1"/>
        <v>(v): biếu</v>
      </c>
      <c r="I1456" s="6" t="s">
        <v>7898</v>
      </c>
      <c r="J1456" s="6" t="s">
        <v>7899</v>
      </c>
      <c r="K1456" s="7">
        <f t="shared" si="2"/>
        <v>0.03130370206</v>
      </c>
    </row>
    <row r="1457">
      <c r="A1457" s="4">
        <v>1457.0</v>
      </c>
      <c r="B1457" s="5" t="s">
        <v>7900</v>
      </c>
      <c r="C1457" s="5" t="s">
        <v>7901</v>
      </c>
      <c r="D1457" s="5" t="s">
        <v>7902</v>
      </c>
      <c r="E1457" s="6" t="s">
        <v>24</v>
      </c>
      <c r="F1457" s="6" t="s">
        <v>7903</v>
      </c>
      <c r="G1457" s="3" t="str">
        <f>IFERROR(__xludf.DUMMYFUNCTION("REGEXREPLACE(
D1457,
""([一-龯々]+)\[([^\]]+)\]"",
""&lt;ruby&gt;$1&lt;rt&gt;$2&lt;/rt&gt;&lt;/ruby&gt;""
)&amp;""&lt;br&gt;&lt;div class=""""audio""""&gt;[sound:""&amp;C1457&amp;"".mp3]&lt;/div&gt;"""),"&lt;ruby&gt;積&lt;rt&gt;つ&lt;/rt&gt;&lt;/ruby&gt;む&lt;br&gt;&lt;div class=""audio""&gt;[sound:つむ.mp3]&lt;/div&gt;")</f>
        <v>&lt;ruby&gt;積&lt;rt&gt;つ&lt;/rt&gt;&lt;/ruby&gt;む&lt;br&gt;&lt;div class="audio"&gt;[sound:つむ.mp3]&lt;/div&gt;</v>
      </c>
      <c r="H1457" s="3" t="str">
        <f t="shared" si="1"/>
        <v>(v): chất</v>
      </c>
      <c r="I1457" s="6" t="s">
        <v>7904</v>
      </c>
      <c r="J1457" s="6" t="s">
        <v>7905</v>
      </c>
      <c r="K1457" s="7">
        <f t="shared" si="2"/>
        <v>0.283307463</v>
      </c>
    </row>
    <row r="1458">
      <c r="A1458" s="4">
        <v>1458.0</v>
      </c>
      <c r="B1458" s="5" t="s">
        <v>7906</v>
      </c>
      <c r="C1458" s="5" t="s">
        <v>7907</v>
      </c>
      <c r="D1458" s="5" t="s">
        <v>7908</v>
      </c>
      <c r="E1458" s="6" t="s">
        <v>74</v>
      </c>
      <c r="F1458" s="6" t="s">
        <v>7909</v>
      </c>
      <c r="G1458" s="3" t="str">
        <f>IFERROR(__xludf.DUMMYFUNCTION("REGEXREPLACE(
D1458,
""([一-龯々]+)\[([^\]]+)\]"",
""&lt;ruby&gt;$1&lt;rt&gt;$2&lt;/rt&gt;&lt;/ruby&gt;""
)&amp;""&lt;br&gt;&lt;div class=""""audio""""&gt;[sound:""&amp;C1458&amp;"".mp3]&lt;/div&gt;"""),"&lt;ruby&gt;際&lt;rt&gt;さい&lt;/rt&gt;&lt;/ruby&gt;&lt;br&gt;&lt;div class=""audio""&gt;[sound:さい.mp3]&lt;/div&gt;")</f>
        <v>&lt;ruby&gt;際&lt;rt&gt;さい&lt;/rt&gt;&lt;/ruby&gt;&lt;br&gt;&lt;div class="audio"&gt;[sound:さい.mp3]&lt;/div&gt;</v>
      </c>
      <c r="H1458" s="3" t="str">
        <f t="shared" si="1"/>
        <v>(n): khi</v>
      </c>
      <c r="I1458" s="6" t="s">
        <v>7910</v>
      </c>
      <c r="J1458" s="6" t="s">
        <v>7911</v>
      </c>
      <c r="K1458" s="7">
        <f t="shared" si="2"/>
        <v>0.3010255781</v>
      </c>
    </row>
    <row r="1459">
      <c r="A1459" s="4">
        <v>1459.0</v>
      </c>
      <c r="B1459" s="5" t="s">
        <v>7912</v>
      </c>
      <c r="C1459" s="5" t="s">
        <v>7913</v>
      </c>
      <c r="D1459" s="5" t="s">
        <v>7914</v>
      </c>
      <c r="E1459" s="6" t="s">
        <v>74</v>
      </c>
      <c r="F1459" s="6" t="s">
        <v>7915</v>
      </c>
      <c r="G1459" s="3" t="str">
        <f>IFERROR(__xludf.DUMMYFUNCTION("REGEXREPLACE(
D1459,
""([一-龯々]+)\[([^\]]+)\]"",
""&lt;ruby&gt;$1&lt;rt&gt;$2&lt;/rt&gt;&lt;/ruby&gt;""
)&amp;""&lt;br&gt;&lt;div class=""""audio""""&gt;[sound:""&amp;C1459&amp;"".mp3]&lt;/div&gt;"""),"&lt;ruby&gt;現場&lt;rt&gt;げんば&lt;/rt&gt;&lt;/ruby&gt;&lt;br&gt;&lt;div class=""audio""&gt;[sound:げんば.mp3]&lt;/div&gt;")</f>
        <v>&lt;ruby&gt;現場&lt;rt&gt;げんば&lt;/rt&gt;&lt;/ruby&gt;&lt;br&gt;&lt;div class="audio"&gt;[sound:げんば.mp3]&lt;/div&gt;</v>
      </c>
      <c r="H1459" s="3" t="str">
        <f t="shared" si="1"/>
        <v>(n): hiện trường</v>
      </c>
      <c r="I1459" s="6" t="s">
        <v>7916</v>
      </c>
      <c r="J1459" s="6" t="s">
        <v>7917</v>
      </c>
      <c r="K1459" s="7">
        <f t="shared" si="2"/>
        <v>0.4514716367</v>
      </c>
    </row>
    <row r="1460">
      <c r="A1460" s="4">
        <v>1460.0</v>
      </c>
      <c r="B1460" s="5" t="s">
        <v>7918</v>
      </c>
      <c r="C1460" s="5" t="s">
        <v>7919</v>
      </c>
      <c r="D1460" s="5" t="s">
        <v>7920</v>
      </c>
      <c r="E1460" s="6" t="s">
        <v>74</v>
      </c>
      <c r="F1460" s="6" t="s">
        <v>7921</v>
      </c>
      <c r="G1460" s="3" t="str">
        <f>IFERROR(__xludf.DUMMYFUNCTION("REGEXREPLACE(
D1460,
""([一-龯々]+)\[([^\]]+)\]"",
""&lt;ruby&gt;$1&lt;rt&gt;$2&lt;/rt&gt;&lt;/ruby&gt;""
)&amp;""&lt;br&gt;&lt;div class=""""audio""""&gt;[sound:""&amp;C1460&amp;"".mp3]&lt;/div&gt;"""),"&lt;ruby&gt;戦&lt;rt&gt;たたか&lt;/rt&gt;&lt;/ruby&gt;い&lt;br&gt;&lt;div class=""audio""&gt;[sound:たたかい.mp3]&lt;/div&gt;")</f>
        <v>&lt;ruby&gt;戦&lt;rt&gt;たたか&lt;/rt&gt;&lt;/ruby&gt;い&lt;br&gt;&lt;div class="audio"&gt;[sound:たたかい.mp3]&lt;/div&gt;</v>
      </c>
      <c r="H1460" s="3" t="str">
        <f t="shared" si="1"/>
        <v>(n): trận chiến</v>
      </c>
      <c r="I1460" s="6" t="s">
        <v>7922</v>
      </c>
      <c r="J1460" s="6" t="s">
        <v>7923</v>
      </c>
      <c r="K1460" s="7">
        <f t="shared" si="2"/>
        <v>0.9011111968</v>
      </c>
    </row>
    <row r="1461">
      <c r="A1461" s="4">
        <v>1461.0</v>
      </c>
      <c r="B1461" s="5" t="s">
        <v>7924</v>
      </c>
      <c r="C1461" s="5" t="s">
        <v>7925</v>
      </c>
      <c r="D1461" s="5" t="s">
        <v>7926</v>
      </c>
      <c r="E1461" s="6" t="s">
        <v>74</v>
      </c>
      <c r="F1461" s="6" t="s">
        <v>7927</v>
      </c>
      <c r="G1461" s="3" t="str">
        <f>IFERROR(__xludf.DUMMYFUNCTION("REGEXREPLACE(
D1461,
""([一-龯々]+)\[([^\]]+)\]"",
""&lt;ruby&gt;$1&lt;rt&gt;$2&lt;/rt&gt;&lt;/ruby&gt;""
)&amp;""&lt;br&gt;&lt;div class=""""audio""""&gt;[sound:""&amp;C1461&amp;"".mp3]&lt;/div&gt;"""),"&lt;ruby&gt;形式&lt;rt&gt;けいしき&lt;/rt&gt;&lt;/ruby&gt;&lt;br&gt;&lt;div class=""audio""&gt;[sound:けいしき.mp3]&lt;/div&gt;")</f>
        <v>&lt;ruby&gt;形式&lt;rt&gt;けいしき&lt;/rt&gt;&lt;/ruby&gt;&lt;br&gt;&lt;div class="audio"&gt;[sound:けいしき.mp3]&lt;/div&gt;</v>
      </c>
      <c r="H1461" s="3" t="str">
        <f t="shared" si="1"/>
        <v>(n): hình thức</v>
      </c>
      <c r="I1461" s="6" t="s">
        <v>7928</v>
      </c>
      <c r="J1461" s="6" t="s">
        <v>7929</v>
      </c>
      <c r="K1461" s="7">
        <f t="shared" si="2"/>
        <v>0.5007684814</v>
      </c>
    </row>
    <row r="1462">
      <c r="A1462" s="4">
        <v>1462.0</v>
      </c>
      <c r="B1462" s="5" t="s">
        <v>7930</v>
      </c>
      <c r="C1462" s="5" t="s">
        <v>7931</v>
      </c>
      <c r="D1462" s="5" t="s">
        <v>7932</v>
      </c>
      <c r="E1462" s="6" t="s">
        <v>74</v>
      </c>
      <c r="F1462" s="6" t="s">
        <v>7933</v>
      </c>
      <c r="G1462" s="3" t="str">
        <f>IFERROR(__xludf.DUMMYFUNCTION("REGEXREPLACE(
D1462,
""([一-龯々]+)\[([^\]]+)\]"",
""&lt;ruby&gt;$1&lt;rt&gt;$2&lt;/rt&gt;&lt;/ruby&gt;""
)&amp;""&lt;br&gt;&lt;div class=""""audio""""&gt;[sound:""&amp;C1462&amp;"".mp3]&lt;/div&gt;"""),"&lt;ruby&gt;性能&lt;rt&gt;せいのう&lt;/rt&gt;&lt;/ruby&gt;&lt;br&gt;&lt;div class=""audio""&gt;[sound:せいのう.mp3]&lt;/div&gt;")</f>
        <v>&lt;ruby&gt;性能&lt;rt&gt;せいのう&lt;/rt&gt;&lt;/ruby&gt;&lt;br&gt;&lt;div class="audio"&gt;[sound:せいのう.mp3]&lt;/div&gt;</v>
      </c>
      <c r="H1462" s="3" t="str">
        <f t="shared" si="1"/>
        <v>(n): hiệu năng</v>
      </c>
      <c r="I1462" s="6" t="s">
        <v>7934</v>
      </c>
      <c r="J1462" s="6" t="s">
        <v>7935</v>
      </c>
      <c r="K1462" s="7">
        <f t="shared" si="2"/>
        <v>0.3738209015</v>
      </c>
    </row>
    <row r="1463">
      <c r="A1463" s="4">
        <v>1463.0</v>
      </c>
      <c r="B1463" s="5" t="s">
        <v>7936</v>
      </c>
      <c r="C1463" s="5" t="s">
        <v>7937</v>
      </c>
      <c r="D1463" s="5" t="s">
        <v>7938</v>
      </c>
      <c r="E1463" s="6" t="s">
        <v>74</v>
      </c>
      <c r="F1463" s="6" t="s">
        <v>7939</v>
      </c>
      <c r="G1463" s="3" t="str">
        <f>IFERROR(__xludf.DUMMYFUNCTION("REGEXREPLACE(
D1463,
""([一-龯々]+)\[([^\]]+)\]"",
""&lt;ruby&gt;$1&lt;rt&gt;$2&lt;/rt&gt;&lt;/ruby&gt;""
)&amp;""&lt;br&gt;&lt;div class=""""audio""""&gt;[sound:""&amp;C1463&amp;"".mp3]&lt;/div&gt;"""),"&lt;ruby&gt;上司&lt;rt&gt;じょうし&lt;/rt&gt;&lt;/ruby&gt;&lt;br&gt;&lt;div class=""audio""&gt;[sound:じょうし.mp3]&lt;/div&gt;")</f>
        <v>&lt;ruby&gt;上司&lt;rt&gt;じょうし&lt;/rt&gt;&lt;/ruby&gt;&lt;br&gt;&lt;div class="audio"&gt;[sound:じょうし.mp3]&lt;/div&gt;</v>
      </c>
      <c r="H1463" s="3" t="str">
        <f t="shared" si="1"/>
        <v>(n): cấp trên</v>
      </c>
      <c r="I1463" s="6" t="s">
        <v>7940</v>
      </c>
      <c r="J1463" s="6" t="s">
        <v>7941</v>
      </c>
      <c r="K1463" s="7">
        <f t="shared" si="2"/>
        <v>0.1527157443</v>
      </c>
    </row>
    <row r="1464">
      <c r="A1464" s="4">
        <v>1464.0</v>
      </c>
      <c r="B1464" s="5" t="s">
        <v>7942</v>
      </c>
      <c r="C1464" s="5" t="s">
        <v>7943</v>
      </c>
      <c r="D1464" s="5" t="s">
        <v>7944</v>
      </c>
      <c r="E1464" s="6" t="s">
        <v>24</v>
      </c>
      <c r="F1464" s="6" t="s">
        <v>1314</v>
      </c>
      <c r="G1464" s="3" t="str">
        <f>IFERROR(__xludf.DUMMYFUNCTION("REGEXREPLACE(
D1464,
""([一-龯々]+)\[([^\]]+)\]"",
""&lt;ruby&gt;$1&lt;rt&gt;$2&lt;/rt&gt;&lt;/ruby&gt;""
)&amp;""&lt;br&gt;&lt;div class=""""audio""""&gt;[sound:""&amp;C1464&amp;"".mp3]&lt;/div&gt;"""),"&lt;ruby&gt;終&lt;rt&gt;お&lt;/rt&gt;&lt;/ruby&gt;える&lt;br&gt;&lt;div class=""audio""&gt;[sound:おえる.mp3]&lt;/div&gt;")</f>
        <v>&lt;ruby&gt;終&lt;rt&gt;お&lt;/rt&gt;&lt;/ruby&gt;える&lt;br&gt;&lt;div class="audio"&gt;[sound:おえる.mp3]&lt;/div&gt;</v>
      </c>
      <c r="H1464" s="3" t="str">
        <f t="shared" si="1"/>
        <v>(v): kết thúc</v>
      </c>
      <c r="I1464" s="6" t="s">
        <v>7945</v>
      </c>
      <c r="J1464" s="6" t="s">
        <v>7946</v>
      </c>
      <c r="K1464" s="7">
        <f t="shared" si="2"/>
        <v>0.2975834122</v>
      </c>
    </row>
    <row r="1465">
      <c r="A1465" s="4">
        <v>1465.0</v>
      </c>
      <c r="B1465" s="5" t="s">
        <v>7947</v>
      </c>
      <c r="C1465" s="5" t="s">
        <v>7948</v>
      </c>
      <c r="D1465" s="5" t="s">
        <v>7949</v>
      </c>
      <c r="E1465" s="6" t="s">
        <v>74</v>
      </c>
      <c r="F1465" s="6" t="s">
        <v>7950</v>
      </c>
      <c r="G1465" s="3" t="str">
        <f>IFERROR(__xludf.DUMMYFUNCTION("REGEXREPLACE(
D1465,
""([一-龯々]+)\[([^\]]+)\]"",
""&lt;ruby&gt;$1&lt;rt&gt;$2&lt;/rt&gt;&lt;/ruby&gt;""
)&amp;""&lt;br&gt;&lt;div class=""""audio""""&gt;[sound:""&amp;C1465&amp;"".mp3]&lt;/div&gt;"""),"&lt;ruby&gt;舞台&lt;rt&gt;ぶたい&lt;/rt&gt;&lt;/ruby&gt;&lt;br&gt;&lt;div class=""audio""&gt;[sound:ぶたい.mp3]&lt;/div&gt;")</f>
        <v>&lt;ruby&gt;舞台&lt;rt&gt;ぶたい&lt;/rt&gt;&lt;/ruby&gt;&lt;br&gt;&lt;div class="audio"&gt;[sound:ぶたい.mp3]&lt;/div&gt;</v>
      </c>
      <c r="H1465" s="3" t="str">
        <f t="shared" si="1"/>
        <v>(n): sân khấu</v>
      </c>
      <c r="I1465" s="6" t="s">
        <v>7951</v>
      </c>
      <c r="J1465" s="6" t="s">
        <v>7952</v>
      </c>
      <c r="K1465" s="7">
        <f t="shared" si="2"/>
        <v>0.8942261959</v>
      </c>
    </row>
    <row r="1466">
      <c r="A1466" s="4">
        <v>1466.0</v>
      </c>
      <c r="B1466" s="5" t="s">
        <v>7953</v>
      </c>
      <c r="C1466" s="5" t="s">
        <v>7954</v>
      </c>
      <c r="D1466" s="5" t="s">
        <v>7955</v>
      </c>
      <c r="E1466" s="6" t="s">
        <v>74</v>
      </c>
      <c r="F1466" s="6" t="s">
        <v>7956</v>
      </c>
      <c r="G1466" s="3" t="str">
        <f>IFERROR(__xludf.DUMMYFUNCTION("REGEXREPLACE(
D1466,
""([一-龯々]+)\[([^\]]+)\]"",
""&lt;ruby&gt;$1&lt;rt&gt;$2&lt;/rt&gt;&lt;/ruby&gt;""
)&amp;""&lt;br&gt;&lt;div class=""""audio""""&gt;[sound:""&amp;C1466&amp;"".mp3]&lt;/div&gt;"""),"&lt;ruby&gt;警察&lt;rt&gt;けいさつ&lt;/rt&gt;&lt;/ruby&gt;&lt;br&gt;&lt;div class=""audio""&gt;[sound:けいさつ.mp3]&lt;/div&gt;")</f>
        <v>&lt;ruby&gt;警察&lt;rt&gt;けいさつ&lt;/rt&gt;&lt;/ruby&gt;&lt;br&gt;&lt;div class="audio"&gt;[sound:けいさつ.mp3]&lt;/div&gt;</v>
      </c>
      <c r="H1466" s="3" t="str">
        <f t="shared" si="1"/>
        <v>(n): cảnh sát</v>
      </c>
      <c r="I1466" s="6" t="s">
        <v>7957</v>
      </c>
      <c r="J1466" s="6" t="s">
        <v>7958</v>
      </c>
      <c r="K1466" s="7">
        <f t="shared" si="2"/>
        <v>0.2832120523</v>
      </c>
    </row>
    <row r="1467">
      <c r="A1467" s="4">
        <v>1467.0</v>
      </c>
      <c r="B1467" s="5" t="s">
        <v>7959</v>
      </c>
      <c r="C1467" s="5" t="s">
        <v>7960</v>
      </c>
      <c r="D1467" s="5" t="s">
        <v>7961</v>
      </c>
      <c r="E1467" s="6" t="s">
        <v>74</v>
      </c>
      <c r="F1467" s="6" t="s">
        <v>7962</v>
      </c>
      <c r="G1467" s="3" t="str">
        <f>IFERROR(__xludf.DUMMYFUNCTION("REGEXREPLACE(
D1467,
""([一-龯々]+)\[([^\]]+)\]"",
""&lt;ruby&gt;$1&lt;rt&gt;$2&lt;/rt&gt;&lt;/ruby&gt;""
)&amp;""&lt;br&gt;&lt;div class=""""audio""""&gt;[sound:""&amp;C1467&amp;"".mp3]&lt;/div&gt;"""),"&lt;ruby&gt;会計&lt;rt&gt;かいけい&lt;/rt&gt;&lt;/ruby&gt;&lt;br&gt;&lt;div class=""audio""&gt;[sound:かいけい.mp3]&lt;/div&gt;")</f>
        <v>&lt;ruby&gt;会計&lt;rt&gt;かいけい&lt;/rt&gt;&lt;/ruby&gt;&lt;br&gt;&lt;div class="audio"&gt;[sound:かいけい.mp3]&lt;/div&gt;</v>
      </c>
      <c r="H1467" s="3" t="str">
        <f t="shared" si="1"/>
        <v>(n): kế toán</v>
      </c>
      <c r="I1467" s="6" t="s">
        <v>7963</v>
      </c>
      <c r="J1467" s="6" t="s">
        <v>7964</v>
      </c>
      <c r="K1467" s="7">
        <f t="shared" si="2"/>
        <v>0.4547973331</v>
      </c>
    </row>
    <row r="1468">
      <c r="A1468" s="4">
        <v>1468.0</v>
      </c>
      <c r="B1468" s="5" t="s">
        <v>7965</v>
      </c>
      <c r="C1468" s="5" t="s">
        <v>7966</v>
      </c>
      <c r="D1468" s="5" t="s">
        <v>7967</v>
      </c>
      <c r="E1468" s="6" t="s">
        <v>74</v>
      </c>
      <c r="F1468" s="6" t="s">
        <v>7968</v>
      </c>
      <c r="G1468" s="3" t="str">
        <f>IFERROR(__xludf.DUMMYFUNCTION("REGEXREPLACE(
D1468,
""([一-龯々]+)\[([^\]]+)\]"",
""&lt;ruby&gt;$1&lt;rt&gt;$2&lt;/rt&gt;&lt;/ruby&gt;""
)&amp;""&lt;br&gt;&lt;div class=""""audio""""&gt;[sound:""&amp;C1468&amp;"".mp3]&lt;/div&gt;"""),"&lt;ruby&gt;荷物&lt;rt&gt;にもつ&lt;/rt&gt;&lt;/ruby&gt;&lt;br&gt;&lt;div class=""audio""&gt;[sound:にもつ.mp3]&lt;/div&gt;")</f>
        <v>&lt;ruby&gt;荷物&lt;rt&gt;にもつ&lt;/rt&gt;&lt;/ruby&gt;&lt;br&gt;&lt;div class="audio"&gt;[sound:にもつ.mp3]&lt;/div&gt;</v>
      </c>
      <c r="H1468" s="3" t="str">
        <f t="shared" si="1"/>
        <v>(n): hành lý</v>
      </c>
      <c r="I1468" s="6" t="s">
        <v>7969</v>
      </c>
      <c r="J1468" s="6" t="s">
        <v>7970</v>
      </c>
      <c r="K1468" s="7">
        <f t="shared" si="2"/>
        <v>0.5420017072</v>
      </c>
    </row>
    <row r="1469">
      <c r="A1469" s="4">
        <v>1469.0</v>
      </c>
      <c r="B1469" s="5" t="s">
        <v>7971</v>
      </c>
      <c r="C1469" s="5" t="s">
        <v>7972</v>
      </c>
      <c r="D1469" s="5" t="s">
        <v>7973</v>
      </c>
      <c r="E1469" s="6" t="s">
        <v>11</v>
      </c>
      <c r="F1469" s="6" t="s">
        <v>852</v>
      </c>
      <c r="G1469" s="3" t="str">
        <f>IFERROR(__xludf.DUMMYFUNCTION("REGEXREPLACE(
D1469,
""([一-龯々]+)\[([^\]]+)\]"",
""&lt;ruby&gt;$1&lt;rt&gt;$2&lt;/rt&gt;&lt;/ruby&gt;""
)&amp;""&lt;br&gt;&lt;div class=""""audio""""&gt;[sound:""&amp;C1469&amp;"".mp3]&lt;/div&gt;"""),"&lt;ruby&gt;変&lt;rt&gt;へん&lt;/rt&gt;&lt;/ruby&gt;&lt;br&gt;&lt;div class=""audio""&gt;[sound:へん.mp3]&lt;/div&gt;")</f>
        <v>&lt;ruby&gt;変&lt;rt&gt;へん&lt;/rt&gt;&lt;/ruby&gt;&lt;br&gt;&lt;div class="audio"&gt;[sound:へん.mp3]&lt;/div&gt;</v>
      </c>
      <c r="H1469" s="3" t="str">
        <f t="shared" si="1"/>
        <v>(adj): kỳ lạ</v>
      </c>
      <c r="I1469" s="6" t="s">
        <v>7974</v>
      </c>
      <c r="J1469" s="6" t="s">
        <v>7975</v>
      </c>
      <c r="K1469" s="7">
        <f t="shared" si="2"/>
        <v>0.8137572746</v>
      </c>
    </row>
    <row r="1470">
      <c r="A1470" s="4">
        <v>1470.0</v>
      </c>
      <c r="B1470" s="5" t="s">
        <v>7976</v>
      </c>
      <c r="C1470" s="5" t="s">
        <v>7977</v>
      </c>
      <c r="D1470" s="5" t="s">
        <v>7978</v>
      </c>
      <c r="E1470" s="6" t="s">
        <v>74</v>
      </c>
      <c r="F1470" s="6" t="s">
        <v>7979</v>
      </c>
      <c r="G1470" s="3" t="str">
        <f>IFERROR(__xludf.DUMMYFUNCTION("REGEXREPLACE(
D1470,
""([一-龯々]+)\[([^\]]+)\]"",
""&lt;ruby&gt;$1&lt;rt&gt;$2&lt;/rt&gt;&lt;/ruby&gt;""
)&amp;""&lt;br&gt;&lt;div class=""""audio""""&gt;[sound:""&amp;C1470&amp;"".mp3]&lt;/div&gt;"""),"&lt;ruby&gt;鳥&lt;rt&gt;とり&lt;/rt&gt;&lt;/ruby&gt;&lt;br&gt;&lt;div class=""audio""&gt;[sound:とり.mp3]&lt;/div&gt;")</f>
        <v>&lt;ruby&gt;鳥&lt;rt&gt;とり&lt;/rt&gt;&lt;/ruby&gt;&lt;br&gt;&lt;div class="audio"&gt;[sound:とり.mp3]&lt;/div&gt;</v>
      </c>
      <c r="H1470" s="3" t="str">
        <f t="shared" si="1"/>
        <v>(n): chim</v>
      </c>
      <c r="I1470" s="6" t="s">
        <v>7980</v>
      </c>
      <c r="J1470" s="6" t="s">
        <v>7981</v>
      </c>
      <c r="K1470" s="7">
        <f t="shared" si="2"/>
        <v>0.2723310992</v>
      </c>
    </row>
    <row r="1471">
      <c r="A1471" s="4">
        <v>1471.0</v>
      </c>
      <c r="B1471" s="5" t="s">
        <v>7982</v>
      </c>
      <c r="C1471" s="5" t="s">
        <v>6543</v>
      </c>
      <c r="D1471" s="5" t="s">
        <v>7983</v>
      </c>
      <c r="E1471" s="6" t="s">
        <v>24</v>
      </c>
      <c r="F1471" s="6" t="s">
        <v>7984</v>
      </c>
      <c r="G1471" s="3" t="str">
        <f>IFERROR(__xludf.DUMMYFUNCTION("REGEXREPLACE(
D1471,
""([一-龯々]+)\[([^\]]+)\]"",
""&lt;ruby&gt;$1&lt;rt&gt;$2&lt;/rt&gt;&lt;/ruby&gt;""
)&amp;""&lt;br&gt;&lt;div class=""""audio""""&gt;[sound:""&amp;C1471&amp;"".mp3]&lt;/div&gt;"""),"&lt;ruby&gt;差&lt;rt&gt;さ&lt;/rt&gt;&lt;/ruby&gt;す&lt;br&gt;&lt;div class=""audio""&gt;[sound:さす.mp3]&lt;/div&gt;")</f>
        <v>&lt;ruby&gt;差&lt;rt&gt;さ&lt;/rt&gt;&lt;/ruby&gt;す&lt;br&gt;&lt;div class="audio"&gt;[sound:さす.mp3]&lt;/div&gt;</v>
      </c>
      <c r="H1471" s="3" t="str">
        <f t="shared" si="1"/>
        <v>(v): đâm</v>
      </c>
      <c r="I1471" s="6" t="s">
        <v>7985</v>
      </c>
      <c r="J1471" s="6" t="s">
        <v>7986</v>
      </c>
      <c r="K1471" s="7">
        <f t="shared" si="2"/>
        <v>0.4936850369</v>
      </c>
    </row>
    <row r="1472">
      <c r="A1472" s="4">
        <v>1472.0</v>
      </c>
      <c r="B1472" s="5" t="s">
        <v>7987</v>
      </c>
      <c r="C1472" s="5" t="s">
        <v>7988</v>
      </c>
      <c r="D1472" s="5" t="s">
        <v>7989</v>
      </c>
      <c r="E1472" s="6" t="s">
        <v>24</v>
      </c>
      <c r="F1472" s="6" t="s">
        <v>7990</v>
      </c>
      <c r="G1472" s="3" t="str">
        <f>IFERROR(__xludf.DUMMYFUNCTION("REGEXREPLACE(
D1472,
""([一-龯々]+)\[([^\]]+)\]"",
""&lt;ruby&gt;$1&lt;rt&gt;$2&lt;/rt&gt;&lt;/ruby&gt;""
)&amp;""&lt;br&gt;&lt;div class=""""audio""""&gt;[sound:""&amp;C1472&amp;"".mp3]&lt;/div&gt;"""),"&lt;ruby&gt;飛&lt;rt&gt;と&lt;/rt&gt;&lt;/ruby&gt;ぶ&lt;br&gt;&lt;div class=""audio""&gt;[sound:とぶ.mp3]&lt;/div&gt;")</f>
        <v>&lt;ruby&gt;飛&lt;rt&gt;と&lt;/rt&gt;&lt;/ruby&gt;ぶ&lt;br&gt;&lt;div class="audio"&gt;[sound:とぶ.mp3]&lt;/div&gt;</v>
      </c>
      <c r="H1472" s="3" t="str">
        <f t="shared" si="1"/>
        <v>(v): bay</v>
      </c>
      <c r="I1472" s="6" t="s">
        <v>7991</v>
      </c>
      <c r="J1472" s="6" t="s">
        <v>7992</v>
      </c>
      <c r="K1472" s="7">
        <f t="shared" si="2"/>
        <v>0.4193984872</v>
      </c>
    </row>
    <row r="1473">
      <c r="A1473" s="4">
        <v>1473.0</v>
      </c>
      <c r="B1473" s="5" t="s">
        <v>7993</v>
      </c>
      <c r="C1473" s="5" t="s">
        <v>7994</v>
      </c>
      <c r="D1473" s="5" t="s">
        <v>7993</v>
      </c>
      <c r="E1473" s="6" t="s">
        <v>74</v>
      </c>
      <c r="F1473" s="6" t="s">
        <v>4346</v>
      </c>
      <c r="G1473" s="3" t="str">
        <f>IFERROR(__xludf.DUMMYFUNCTION("REGEXREPLACE(
D1473,
""([一-龯々]+)\[([^\]]+)\]"",
""&lt;ruby&gt;$1&lt;rt&gt;$2&lt;/rt&gt;&lt;/ruby&gt;""
)&amp;""&lt;br&gt;&lt;div class=""""audio""""&gt;[sound:""&amp;C1473&amp;"".mp3]&lt;/div&gt;"""),"マスコミ&lt;br&gt;&lt;div class=""audio""&gt;[sound:ますこみ.mp3]&lt;/div&gt;")</f>
        <v>マスコミ&lt;br&gt;&lt;div class="audio"&gt;[sound:ますこみ.mp3]&lt;/div&gt;</v>
      </c>
      <c r="H1473" s="3" t="str">
        <f t="shared" si="1"/>
        <v>(n): truyền thông</v>
      </c>
      <c r="I1473" s="6" t="s">
        <v>7995</v>
      </c>
      <c r="J1473" s="6" t="s">
        <v>7996</v>
      </c>
      <c r="K1473" s="7">
        <f t="shared" si="2"/>
        <v>0.7227106762</v>
      </c>
    </row>
    <row r="1474">
      <c r="A1474" s="4">
        <v>1474.0</v>
      </c>
      <c r="B1474" s="5" t="s">
        <v>7997</v>
      </c>
      <c r="C1474" s="5" t="s">
        <v>7998</v>
      </c>
      <c r="D1474" s="5" t="s">
        <v>7999</v>
      </c>
      <c r="E1474" s="6" t="s">
        <v>24</v>
      </c>
      <c r="F1474" s="6" t="s">
        <v>8000</v>
      </c>
      <c r="G1474" s="3" t="str">
        <f>IFERROR(__xludf.DUMMYFUNCTION("REGEXREPLACE(
D1474,
""([一-龯々]+)\[([^\]]+)\]"",
""&lt;ruby&gt;$1&lt;rt&gt;$2&lt;/rt&gt;&lt;/ruby&gt;""
)&amp;""&lt;br&gt;&lt;div class=""""audio""""&gt;[sound:""&amp;C1474&amp;"".mp3]&lt;/div&gt;"""),"&lt;ruby&gt;延&lt;rt&gt;の&lt;/rt&gt;&lt;/ruby&gt;びる&lt;br&gt;&lt;div class=""audio""&gt;[sound:のびる.mp3]&lt;/div&gt;")</f>
        <v>&lt;ruby&gt;延&lt;rt&gt;の&lt;/rt&gt;&lt;/ruby&gt;びる&lt;br&gt;&lt;div class="audio"&gt;[sound:のびる.mp3]&lt;/div&gt;</v>
      </c>
      <c r="H1474" s="3" t="str">
        <f t="shared" si="1"/>
        <v>(v): được kéo dài</v>
      </c>
      <c r="I1474" s="6" t="s">
        <v>8001</v>
      </c>
      <c r="J1474" s="6" t="s">
        <v>8002</v>
      </c>
      <c r="K1474" s="7">
        <f t="shared" si="2"/>
        <v>0.2188774407</v>
      </c>
    </row>
    <row r="1475">
      <c r="A1475" s="4">
        <v>1475.0</v>
      </c>
      <c r="B1475" s="5" t="s">
        <v>8003</v>
      </c>
      <c r="C1475" s="5" t="s">
        <v>8004</v>
      </c>
      <c r="D1475" s="5" t="s">
        <v>8005</v>
      </c>
      <c r="E1475" s="6" t="s">
        <v>74</v>
      </c>
      <c r="F1475" s="6" t="s">
        <v>8006</v>
      </c>
      <c r="G1475" s="3" t="str">
        <f>IFERROR(__xludf.DUMMYFUNCTION("REGEXREPLACE(
D1475,
""([一-龯々]+)\[([^\]]+)\]"",
""&lt;ruby&gt;$1&lt;rt&gt;$2&lt;/rt&gt;&lt;/ruby&gt;""
)&amp;""&lt;br&gt;&lt;div class=""""audio""""&gt;[sound:""&amp;C1475&amp;"".mp3]&lt;/div&gt;"""),"&lt;ruby&gt;先月&lt;rt&gt;せんげつ&lt;/rt&gt;&lt;/ruby&gt;&lt;br&gt;&lt;div class=""audio""&gt;[sound:せんげつ.mp3]&lt;/div&gt;")</f>
        <v>&lt;ruby&gt;先月&lt;rt&gt;せんげつ&lt;/rt&gt;&lt;/ruby&gt;&lt;br&gt;&lt;div class="audio"&gt;[sound:せんげつ.mp3]&lt;/div&gt;</v>
      </c>
      <c r="H1475" s="3" t="str">
        <f t="shared" si="1"/>
        <v>(n): tháng trước</v>
      </c>
      <c r="I1475" s="6" t="s">
        <v>8007</v>
      </c>
      <c r="J1475" s="6" t="s">
        <v>8008</v>
      </c>
      <c r="K1475" s="7">
        <f t="shared" si="2"/>
        <v>0.7126963659</v>
      </c>
    </row>
    <row r="1476">
      <c r="A1476" s="4">
        <v>1476.0</v>
      </c>
      <c r="B1476" s="5" t="s">
        <v>8009</v>
      </c>
      <c r="C1476" s="5" t="s">
        <v>8010</v>
      </c>
      <c r="D1476" s="5" t="s">
        <v>8011</v>
      </c>
      <c r="E1476" s="6" t="s">
        <v>11</v>
      </c>
      <c r="F1476" s="6" t="s">
        <v>8012</v>
      </c>
      <c r="G1476" s="3" t="str">
        <f>IFERROR(__xludf.DUMMYFUNCTION("REGEXREPLACE(
D1476,
""([一-龯々]+)\[([^\]]+)\]"",
""&lt;ruby&gt;$1&lt;rt&gt;$2&lt;/rt&gt;&lt;/ruby&gt;""
)&amp;""&lt;br&gt;&lt;div class=""""audio""""&gt;[sound:""&amp;C1476&amp;"".mp3]&lt;/div&gt;"""),"&lt;ruby&gt;厳&lt;rt&gt;きび&lt;/rt&gt;&lt;/ruby&gt;しい&lt;br&gt;&lt;div class=""audio""&gt;[sound:きびしい.mp3]&lt;/div&gt;")</f>
        <v>&lt;ruby&gt;厳&lt;rt&gt;きび&lt;/rt&gt;&lt;/ruby&gt;しい&lt;br&gt;&lt;div class="audio"&gt;[sound:きびしい.mp3]&lt;/div&gt;</v>
      </c>
      <c r="H1476" s="3" t="str">
        <f t="shared" si="1"/>
        <v>(adj): nghiêm khắc</v>
      </c>
      <c r="I1476" s="6" t="s">
        <v>8013</v>
      </c>
      <c r="J1476" s="6" t="s">
        <v>8014</v>
      </c>
      <c r="K1476" s="7">
        <f t="shared" si="2"/>
        <v>0.2819783118</v>
      </c>
    </row>
    <row r="1477">
      <c r="A1477" s="4">
        <v>1477.0</v>
      </c>
      <c r="B1477" s="5" t="s">
        <v>8015</v>
      </c>
      <c r="C1477" s="5" t="s">
        <v>8016</v>
      </c>
      <c r="D1477" s="5" t="s">
        <v>8017</v>
      </c>
      <c r="E1477" s="6" t="s">
        <v>74</v>
      </c>
      <c r="F1477" s="6" t="s">
        <v>8018</v>
      </c>
      <c r="G1477" s="3" t="str">
        <f>IFERROR(__xludf.DUMMYFUNCTION("REGEXREPLACE(
D1477,
""([一-龯々]+)\[([^\]]+)\]"",
""&lt;ruby&gt;$1&lt;rt&gt;$2&lt;/rt&gt;&lt;/ruby&gt;""
)&amp;""&lt;br&gt;&lt;div class=""""audio""""&gt;[sound:""&amp;C1477&amp;"".mp3]&lt;/div&gt;"""),"&lt;ruby&gt;記者&lt;rt&gt;きしゃ&lt;/rt&gt;&lt;/ruby&gt;&lt;br&gt;&lt;div class=""audio""&gt;[sound:きしゃ.mp3]&lt;/div&gt;")</f>
        <v>&lt;ruby&gt;記者&lt;rt&gt;きしゃ&lt;/rt&gt;&lt;/ruby&gt;&lt;br&gt;&lt;div class="audio"&gt;[sound:きしゃ.mp3]&lt;/div&gt;</v>
      </c>
      <c r="H1477" s="3" t="str">
        <f t="shared" si="1"/>
        <v>(n): phóng viên</v>
      </c>
      <c r="I1477" s="6" t="s">
        <v>8019</v>
      </c>
      <c r="J1477" s="6" t="s">
        <v>8020</v>
      </c>
      <c r="K1477" s="7">
        <f t="shared" si="2"/>
        <v>0.2524974249</v>
      </c>
    </row>
    <row r="1478">
      <c r="A1478" s="4">
        <v>1478.0</v>
      </c>
      <c r="B1478" s="5" t="s">
        <v>8021</v>
      </c>
      <c r="C1478" s="5" t="s">
        <v>8022</v>
      </c>
      <c r="D1478" s="5" t="s">
        <v>8023</v>
      </c>
      <c r="E1478" s="6" t="s">
        <v>74</v>
      </c>
      <c r="F1478" s="6" t="s">
        <v>8024</v>
      </c>
      <c r="G1478" s="3" t="str">
        <f>IFERROR(__xludf.DUMMYFUNCTION("REGEXREPLACE(
D1478,
""([一-龯々]+)\[([^\]]+)\]"",
""&lt;ruby&gt;$1&lt;rt&gt;$2&lt;/rt&gt;&lt;/ruby&gt;""
)&amp;""&lt;br&gt;&lt;div class=""""audio""""&gt;[sound:""&amp;C1478&amp;"".mp3]&lt;/div&gt;"""),"&lt;ruby&gt;途中&lt;rt&gt;とちゅう&lt;/rt&gt;&lt;/ruby&gt;&lt;br&gt;&lt;div class=""audio""&gt;[sound:とちゅう.mp3]&lt;/div&gt;")</f>
        <v>&lt;ruby&gt;途中&lt;rt&gt;とちゅう&lt;/rt&gt;&lt;/ruby&gt;&lt;br&gt;&lt;div class="audio"&gt;[sound:とちゅう.mp3]&lt;/div&gt;</v>
      </c>
      <c r="H1478" s="3" t="str">
        <f t="shared" si="1"/>
        <v>(n): giữa đường</v>
      </c>
      <c r="I1478" s="6" t="s">
        <v>8025</v>
      </c>
      <c r="J1478" s="6" t="s">
        <v>8026</v>
      </c>
      <c r="K1478" s="7">
        <f t="shared" si="2"/>
        <v>0.5871473688</v>
      </c>
    </row>
    <row r="1479">
      <c r="A1479" s="4">
        <v>1479.0</v>
      </c>
      <c r="B1479" s="5" t="s">
        <v>8027</v>
      </c>
      <c r="C1479" s="5" t="s">
        <v>8028</v>
      </c>
      <c r="D1479" s="5" t="s">
        <v>8029</v>
      </c>
      <c r="E1479" s="6" t="s">
        <v>74</v>
      </c>
      <c r="F1479" s="6" t="s">
        <v>8030</v>
      </c>
      <c r="G1479" s="3" t="str">
        <f>IFERROR(__xludf.DUMMYFUNCTION("REGEXREPLACE(
D1479,
""([一-龯々]+)\[([^\]]+)\]"",
""&lt;ruby&gt;$1&lt;rt&gt;$2&lt;/rt&gt;&lt;/ruby&gt;""
)&amp;""&lt;br&gt;&lt;div class=""""audio""""&gt;[sound:""&amp;C1479&amp;"".mp3]&lt;/div&gt;"""),"&lt;ruby&gt;法&lt;rt&gt;ほう&lt;/rt&gt;&lt;/ruby&gt;&lt;br&gt;&lt;div class=""audio""&gt;[sound:ほう.mp3]&lt;/div&gt;")</f>
        <v>&lt;ruby&gt;法&lt;rt&gt;ほう&lt;/rt&gt;&lt;/ruby&gt;&lt;br&gt;&lt;div class="audio"&gt;[sound:ほう.mp3]&lt;/div&gt;</v>
      </c>
      <c r="H1479" s="3" t="str">
        <f t="shared" si="1"/>
        <v>(n): pháp luật</v>
      </c>
      <c r="I1479" s="6" t="s">
        <v>8031</v>
      </c>
      <c r="J1479" s="6" t="s">
        <v>8032</v>
      </c>
      <c r="K1479" s="7">
        <f t="shared" si="2"/>
        <v>0.4589233436</v>
      </c>
    </row>
    <row r="1480">
      <c r="A1480" s="4">
        <v>1480.0</v>
      </c>
      <c r="B1480" s="5" t="s">
        <v>8033</v>
      </c>
      <c r="C1480" s="5" t="s">
        <v>8034</v>
      </c>
      <c r="D1480" s="5" t="s">
        <v>8035</v>
      </c>
      <c r="E1480" s="6" t="s">
        <v>85</v>
      </c>
      <c r="F1480" s="6" t="s">
        <v>8036</v>
      </c>
      <c r="G1480" s="3" t="str">
        <f>IFERROR(__xludf.DUMMYFUNCTION("REGEXREPLACE(
D1480,
""([一-龯々]+)\[([^\]]+)\]"",
""&lt;ruby&gt;$1&lt;rt&gt;$2&lt;/rt&gt;&lt;/ruby&gt;""
)&amp;""&lt;br&gt;&lt;div class=""""audio""""&gt;[sound:""&amp;C1480&amp;"".mp3]&lt;/div&gt;"""),"&lt;ruby&gt;一体&lt;rt&gt;いったい&lt;/rt&gt;&lt;/ruby&gt;&lt;br&gt;&lt;div class=""audio""&gt;[sound:いったい.mp3]&lt;/div&gt;")</f>
        <v>&lt;ruby&gt;一体&lt;rt&gt;いったい&lt;/rt&gt;&lt;/ruby&gt;&lt;br&gt;&lt;div class="audio"&gt;[sound:いったい.mp3]&lt;/div&gt;</v>
      </c>
      <c r="H1480" s="3" t="str">
        <f t="shared" si="1"/>
        <v>(adv): rốt cuộc</v>
      </c>
      <c r="I1480" s="6" t="s">
        <v>8037</v>
      </c>
      <c r="J1480" s="6" t="s">
        <v>8038</v>
      </c>
      <c r="K1480" s="7">
        <f t="shared" si="2"/>
        <v>0.4610612299</v>
      </c>
    </row>
    <row r="1481">
      <c r="A1481" s="4">
        <v>1481.0</v>
      </c>
      <c r="B1481" s="5" t="s">
        <v>8039</v>
      </c>
      <c r="C1481" s="5" t="s">
        <v>8040</v>
      </c>
      <c r="D1481" s="5" t="s">
        <v>8041</v>
      </c>
      <c r="E1481" s="6" t="s">
        <v>74</v>
      </c>
      <c r="F1481" s="6" t="s">
        <v>8042</v>
      </c>
      <c r="G1481" s="3" t="str">
        <f>IFERROR(__xludf.DUMMYFUNCTION("REGEXREPLACE(
D1481,
""([一-龯々]+)\[([^\]]+)\]"",
""&lt;ruby&gt;$1&lt;rt&gt;$2&lt;/rt&gt;&lt;/ruby&gt;""
)&amp;""&lt;br&gt;&lt;div class=""""audio""""&gt;[sound:""&amp;C1481&amp;"".mp3]&lt;/div&gt;"""),"&lt;ruby&gt;参加&lt;rt&gt;さんか&lt;/rt&gt;&lt;/ruby&gt;&lt;br&gt;&lt;div class=""audio""&gt;[sound:さんか.mp3]&lt;/div&gt;")</f>
        <v>&lt;ruby&gt;参加&lt;rt&gt;さんか&lt;/rt&gt;&lt;/ruby&gt;&lt;br&gt;&lt;div class="audio"&gt;[sound:さんか.mp3]&lt;/div&gt;</v>
      </c>
      <c r="H1481" s="3" t="str">
        <f t="shared" si="1"/>
        <v>(n): tham gia</v>
      </c>
      <c r="I1481" s="6" t="s">
        <v>8043</v>
      </c>
      <c r="J1481" s="6" t="s">
        <v>8044</v>
      </c>
      <c r="K1481" s="7">
        <f t="shared" si="2"/>
        <v>0.4691084717</v>
      </c>
    </row>
    <row r="1482">
      <c r="A1482" s="4">
        <v>1482.0</v>
      </c>
      <c r="B1482" s="5" t="s">
        <v>8045</v>
      </c>
      <c r="C1482" s="5" t="s">
        <v>8046</v>
      </c>
      <c r="D1482" s="5" t="s">
        <v>8047</v>
      </c>
      <c r="E1482" s="6" t="s">
        <v>74</v>
      </c>
      <c r="F1482" s="6" t="s">
        <v>8048</v>
      </c>
      <c r="G1482" s="3" t="str">
        <f>IFERROR(__xludf.DUMMYFUNCTION("REGEXREPLACE(
D1482,
""([一-龯々]+)\[([^\]]+)\]"",
""&lt;ruby&gt;$1&lt;rt&gt;$2&lt;/rt&gt;&lt;/ruby&gt;""
)&amp;""&lt;br&gt;&lt;div class=""""audio""""&gt;[sound:""&amp;C1482&amp;"".mp3]&lt;/div&gt;"""),"&lt;ruby&gt;工夫&lt;rt&gt;くふう&lt;/rt&gt;&lt;/ruby&gt;&lt;br&gt;&lt;div class=""audio""&gt;[sound:くふう.mp3]&lt;/div&gt;")</f>
        <v>&lt;ruby&gt;工夫&lt;rt&gt;くふう&lt;/rt&gt;&lt;/ruby&gt;&lt;br&gt;&lt;div class="audio"&gt;[sound:くふう.mp3]&lt;/div&gt;</v>
      </c>
      <c r="H1482" s="3" t="str">
        <f t="shared" si="1"/>
        <v>(n): công phu</v>
      </c>
      <c r="I1482" s="6" t="s">
        <v>8049</v>
      </c>
      <c r="J1482" s="6" t="s">
        <v>8050</v>
      </c>
      <c r="K1482" s="7">
        <f t="shared" si="2"/>
        <v>0.6354395264</v>
      </c>
    </row>
    <row r="1483">
      <c r="A1483" s="4">
        <v>1483.0</v>
      </c>
      <c r="B1483" s="5" t="s">
        <v>8051</v>
      </c>
      <c r="C1483" s="5" t="s">
        <v>8052</v>
      </c>
      <c r="D1483" s="5" t="s">
        <v>8053</v>
      </c>
      <c r="E1483" s="6" t="s">
        <v>74</v>
      </c>
      <c r="F1483" s="6" t="s">
        <v>8054</v>
      </c>
      <c r="G1483" s="3" t="str">
        <f>IFERROR(__xludf.DUMMYFUNCTION("REGEXREPLACE(
D1483,
""([一-龯々]+)\[([^\]]+)\]"",
""&lt;ruby&gt;$1&lt;rt&gt;$2&lt;/rt&gt;&lt;/ruby&gt;""
)&amp;""&lt;br&gt;&lt;div class=""""audio""""&gt;[sound:""&amp;C1483&amp;"".mp3]&lt;/div&gt;"""),"&lt;ruby&gt;手段&lt;rt&gt;しゅだん&lt;/rt&gt;&lt;/ruby&gt;&lt;br&gt;&lt;div class=""audio""&gt;[sound:しゅだん.mp3]&lt;/div&gt;")</f>
        <v>&lt;ruby&gt;手段&lt;rt&gt;しゅだん&lt;/rt&gt;&lt;/ruby&gt;&lt;br&gt;&lt;div class="audio"&gt;[sound:しゅだん.mp3]&lt;/div&gt;</v>
      </c>
      <c r="H1483" s="3" t="str">
        <f t="shared" si="1"/>
        <v>(n): thủ đoạn</v>
      </c>
      <c r="I1483" s="6" t="s">
        <v>8055</v>
      </c>
      <c r="J1483" s="6" t="s">
        <v>8056</v>
      </c>
      <c r="K1483" s="7">
        <f t="shared" si="2"/>
        <v>0.1563308341</v>
      </c>
    </row>
    <row r="1484">
      <c r="A1484" s="4">
        <v>1484.0</v>
      </c>
      <c r="B1484" s="5" t="s">
        <v>8057</v>
      </c>
      <c r="C1484" s="5" t="s">
        <v>8058</v>
      </c>
      <c r="D1484" s="5" t="s">
        <v>8059</v>
      </c>
      <c r="E1484" s="6" t="s">
        <v>24</v>
      </c>
      <c r="F1484" s="6" t="s">
        <v>8060</v>
      </c>
      <c r="G1484" s="3" t="str">
        <f>IFERROR(__xludf.DUMMYFUNCTION("REGEXREPLACE(
D1484,
""([一-龯々]+)\[([^\]]+)\]"",
""&lt;ruby&gt;$1&lt;rt&gt;$2&lt;/rt&gt;&lt;/ruby&gt;""
)&amp;""&lt;br&gt;&lt;div class=""""audio""""&gt;[sound:""&amp;C1484&amp;"".mp3]&lt;/div&gt;"""),"&lt;ruby&gt;立&lt;rt&gt;た&lt;/rt&gt;&lt;/ruby&gt;ち&lt;ruby&gt;上&lt;rt&gt;あ&lt;/rt&gt;&lt;/ruby&gt;がる&lt;br&gt;&lt;div class=""audio""&gt;[sound:たちあがる.mp3]&lt;/div&gt;")</f>
        <v>&lt;ruby&gt;立&lt;rt&gt;た&lt;/rt&gt;&lt;/ruby&gt;ち&lt;ruby&gt;上&lt;rt&gt;あ&lt;/rt&gt;&lt;/ruby&gt;がる&lt;br&gt;&lt;div class="audio"&gt;[sound:たちあがる.mp3]&lt;/div&gt;</v>
      </c>
      <c r="H1484" s="3" t="str">
        <f t="shared" si="1"/>
        <v>(v): đứng dậy</v>
      </c>
      <c r="I1484" s="6" t="s">
        <v>8061</v>
      </c>
      <c r="J1484" s="6" t="s">
        <v>8062</v>
      </c>
      <c r="K1484" s="7">
        <f t="shared" si="2"/>
        <v>0.5113825471</v>
      </c>
    </row>
    <row r="1485">
      <c r="A1485" s="4">
        <v>1485.0</v>
      </c>
      <c r="B1485" s="5" t="s">
        <v>8063</v>
      </c>
      <c r="C1485" s="5" t="s">
        <v>8064</v>
      </c>
      <c r="D1485" s="5" t="s">
        <v>8065</v>
      </c>
      <c r="E1485" s="6" t="s">
        <v>74</v>
      </c>
      <c r="F1485" s="6" t="s">
        <v>8066</v>
      </c>
      <c r="G1485" s="3" t="str">
        <f>IFERROR(__xludf.DUMMYFUNCTION("REGEXREPLACE(
D1485,
""([一-龯々]+)\[([^\]]+)\]"",
""&lt;ruby&gt;$1&lt;rt&gt;$2&lt;/rt&gt;&lt;/ruby&gt;""
)&amp;""&lt;br&gt;&lt;div class=""""audio""""&gt;[sound:""&amp;C1485&amp;"".mp3]&lt;/div&gt;"""),"&lt;ruby&gt;装置&lt;rt&gt;そうち&lt;/rt&gt;&lt;/ruby&gt;&lt;br&gt;&lt;div class=""audio""&gt;[sound:そうち.mp3]&lt;/div&gt;")</f>
        <v>&lt;ruby&gt;装置&lt;rt&gt;そうち&lt;/rt&gt;&lt;/ruby&gt;&lt;br&gt;&lt;div class="audio"&gt;[sound:そうち.mp3]&lt;/div&gt;</v>
      </c>
      <c r="H1485" s="3" t="str">
        <f t="shared" si="1"/>
        <v>(n): thiết bị</v>
      </c>
      <c r="I1485" s="6" t="s">
        <v>8067</v>
      </c>
      <c r="J1485" s="6" t="s">
        <v>8068</v>
      </c>
      <c r="K1485" s="7">
        <f t="shared" si="2"/>
        <v>0.3695794392</v>
      </c>
    </row>
    <row r="1486">
      <c r="A1486" s="4">
        <v>1486.0</v>
      </c>
      <c r="B1486" s="5" t="s">
        <v>8069</v>
      </c>
      <c r="C1486" s="5" t="s">
        <v>8070</v>
      </c>
      <c r="D1486" s="5" t="s">
        <v>8071</v>
      </c>
      <c r="E1486" s="6" t="s">
        <v>74</v>
      </c>
      <c r="F1486" s="6" t="s">
        <v>8072</v>
      </c>
      <c r="G1486" s="3" t="str">
        <f>IFERROR(__xludf.DUMMYFUNCTION("REGEXREPLACE(
D1486,
""([一-龯々]+)\[([^\]]+)\]"",
""&lt;ruby&gt;$1&lt;rt&gt;$2&lt;/rt&gt;&lt;/ruby&gt;""
)&amp;""&lt;br&gt;&lt;div class=""""audio""""&gt;[sound:""&amp;C1486&amp;"".mp3]&lt;/div&gt;"""),"&lt;ruby&gt;許可&lt;rt&gt;きょか&lt;/rt&gt;&lt;/ruby&gt;&lt;br&gt;&lt;div class=""audio""&gt;[sound:きょか.mp3]&lt;/div&gt;")</f>
        <v>&lt;ruby&gt;許可&lt;rt&gt;きょか&lt;/rt&gt;&lt;/ruby&gt;&lt;br&gt;&lt;div class="audio"&gt;[sound:きょか.mp3]&lt;/div&gt;</v>
      </c>
      <c r="H1486" s="3" t="str">
        <f t="shared" si="1"/>
        <v>(n): cho phép</v>
      </c>
      <c r="I1486" s="6" t="s">
        <v>8073</v>
      </c>
      <c r="J1486" s="6" t="s">
        <v>8074</v>
      </c>
      <c r="K1486" s="7">
        <f t="shared" si="2"/>
        <v>0.432455665</v>
      </c>
    </row>
    <row r="1487">
      <c r="A1487" s="4">
        <v>1487.0</v>
      </c>
      <c r="B1487" s="5" t="s">
        <v>8075</v>
      </c>
      <c r="C1487" s="5" t="s">
        <v>8076</v>
      </c>
      <c r="D1487" s="5" t="s">
        <v>8077</v>
      </c>
      <c r="E1487" s="6" t="s">
        <v>24</v>
      </c>
      <c r="F1487" s="6" t="s">
        <v>8078</v>
      </c>
      <c r="G1487" s="3" t="str">
        <f>IFERROR(__xludf.DUMMYFUNCTION("REGEXREPLACE(
D1487,
""([一-龯々]+)\[([^\]]+)\]"",
""&lt;ruby&gt;$1&lt;rt&gt;$2&lt;/rt&gt;&lt;/ruby&gt;""
)&amp;""&lt;br&gt;&lt;div class=""""audio""""&gt;[sound:""&amp;C1487&amp;"".mp3]&lt;/div&gt;"""),"&lt;ruby&gt;高&lt;rt&gt;たか&lt;/rt&gt;&lt;/ruby&gt;める&lt;br&gt;&lt;div class=""audio""&gt;[sound:たかめる.mp3]&lt;/div&gt;")</f>
        <v>&lt;ruby&gt;高&lt;rt&gt;たか&lt;/rt&gt;&lt;/ruby&gt;める&lt;br&gt;&lt;div class="audio"&gt;[sound:たかめる.mp3]&lt;/div&gt;</v>
      </c>
      <c r="H1487" s="3" t="str">
        <f t="shared" si="1"/>
        <v>(v): nâng cao</v>
      </c>
      <c r="I1487" s="6" t="s">
        <v>8079</v>
      </c>
      <c r="J1487" s="6" t="s">
        <v>8080</v>
      </c>
      <c r="K1487" s="7">
        <f t="shared" si="2"/>
        <v>0.4511876842</v>
      </c>
    </row>
    <row r="1488">
      <c r="A1488" s="4">
        <v>1488.0</v>
      </c>
      <c r="B1488" s="5" t="s">
        <v>8081</v>
      </c>
      <c r="C1488" s="5" t="s">
        <v>6575</v>
      </c>
      <c r="D1488" s="5" t="s">
        <v>8082</v>
      </c>
      <c r="E1488" s="6" t="s">
        <v>74</v>
      </c>
      <c r="F1488" s="6" t="s">
        <v>4608</v>
      </c>
      <c r="G1488" s="3" t="str">
        <f>IFERROR(__xludf.DUMMYFUNCTION("REGEXREPLACE(
D1488,
""([一-龯々]+)\[([^\]]+)\]"",
""&lt;ruby&gt;$1&lt;rt&gt;$2&lt;/rt&gt;&lt;/ruby&gt;""
)&amp;""&lt;br&gt;&lt;div class=""""audio""""&gt;[sound:""&amp;C1488&amp;"".mp3]&lt;/div&gt;"""),"&lt;ruby&gt;依頼&lt;rt&gt;いらい&lt;/rt&gt;&lt;/ruby&gt;&lt;br&gt;&lt;div class=""audio""&gt;[sound:いらい.mp3]&lt;/div&gt;")</f>
        <v>&lt;ruby&gt;依頼&lt;rt&gt;いらい&lt;/rt&gt;&lt;/ruby&gt;&lt;br&gt;&lt;div class="audio"&gt;[sound:いらい.mp3]&lt;/div&gt;</v>
      </c>
      <c r="H1488" s="3" t="str">
        <f t="shared" si="1"/>
        <v>(n): yêu cầu</v>
      </c>
      <c r="I1488" s="6" t="s">
        <v>8083</v>
      </c>
      <c r="J1488" s="6" t="s">
        <v>8084</v>
      </c>
      <c r="K1488" s="7">
        <f t="shared" si="2"/>
        <v>0.7227161897</v>
      </c>
    </row>
    <row r="1489">
      <c r="A1489" s="4">
        <v>1489.0</v>
      </c>
      <c r="B1489" s="5" t="s">
        <v>8085</v>
      </c>
      <c r="C1489" s="5" t="s">
        <v>8086</v>
      </c>
      <c r="D1489" s="5" t="s">
        <v>8087</v>
      </c>
      <c r="E1489" s="6" t="s">
        <v>24</v>
      </c>
      <c r="F1489" s="6" t="s">
        <v>8088</v>
      </c>
      <c r="G1489" s="3" t="str">
        <f>IFERROR(__xludf.DUMMYFUNCTION("REGEXREPLACE(
D1489,
""([一-龯々]+)\[([^\]]+)\]"",
""&lt;ruby&gt;$1&lt;rt&gt;$2&lt;/rt&gt;&lt;/ruby&gt;""
)&amp;""&lt;br&gt;&lt;div class=""""audio""""&gt;[sound:""&amp;C1489&amp;"".mp3]&lt;/div&gt;"""),"&lt;ruby&gt;繰&lt;rt&gt;く&lt;/rt&gt;&lt;/ruby&gt;り&lt;ruby&gt;返&lt;rt&gt;かえ&lt;/rt&gt;&lt;/ruby&gt;す&lt;br&gt;&lt;div class=""audio""&gt;[sound:くりかえす.mp3]&lt;/div&gt;")</f>
        <v>&lt;ruby&gt;繰&lt;rt&gt;く&lt;/rt&gt;&lt;/ruby&gt;り&lt;ruby&gt;返&lt;rt&gt;かえ&lt;/rt&gt;&lt;/ruby&gt;す&lt;br&gt;&lt;div class="audio"&gt;[sound:くりかえす.mp3]&lt;/div&gt;</v>
      </c>
      <c r="H1489" s="3" t="str">
        <f t="shared" si="1"/>
        <v>(v): lặp lại</v>
      </c>
      <c r="I1489" s="6" t="s">
        <v>8089</v>
      </c>
      <c r="J1489" s="6" t="s">
        <v>8090</v>
      </c>
      <c r="K1489" s="7">
        <f t="shared" si="2"/>
        <v>0.7955669971</v>
      </c>
    </row>
    <row r="1490">
      <c r="A1490" s="4">
        <v>1490.0</v>
      </c>
      <c r="B1490" s="5" t="s">
        <v>8091</v>
      </c>
      <c r="C1490" s="5" t="s">
        <v>8092</v>
      </c>
      <c r="D1490" s="5" t="s">
        <v>8093</v>
      </c>
      <c r="E1490" s="6" t="s">
        <v>74</v>
      </c>
      <c r="F1490" s="6" t="s">
        <v>4608</v>
      </c>
      <c r="G1490" s="3" t="str">
        <f>IFERROR(__xludf.DUMMYFUNCTION("REGEXREPLACE(
D1490,
""([一-龯々]+)\[([^\]]+)\]"",
""&lt;ruby&gt;$1&lt;rt&gt;$2&lt;/rt&gt;&lt;/ruby&gt;""
)&amp;""&lt;br&gt;&lt;div class=""""audio""""&gt;[sound:""&amp;C1490&amp;"".mp3]&lt;/div&gt;"""),"&lt;ruby&gt;要求&lt;rt&gt;ようきゅう&lt;/rt&gt;&lt;/ruby&gt;&lt;br&gt;&lt;div class=""audio""&gt;[sound:ようきゅう.mp3]&lt;/div&gt;")</f>
        <v>&lt;ruby&gt;要求&lt;rt&gt;ようきゅう&lt;/rt&gt;&lt;/ruby&gt;&lt;br&gt;&lt;div class="audio"&gt;[sound:ようきゅう.mp3]&lt;/div&gt;</v>
      </c>
      <c r="H1490" s="3" t="str">
        <f t="shared" si="1"/>
        <v>(n): yêu cầu</v>
      </c>
      <c r="I1490" s="6" t="s">
        <v>8094</v>
      </c>
      <c r="J1490" s="6" t="s">
        <v>8095</v>
      </c>
      <c r="K1490" s="7">
        <f t="shared" si="2"/>
        <v>0.4755738105</v>
      </c>
    </row>
    <row r="1491">
      <c r="A1491" s="4">
        <v>1491.0</v>
      </c>
      <c r="B1491" s="5" t="s">
        <v>8096</v>
      </c>
      <c r="C1491" s="5" t="s">
        <v>8097</v>
      </c>
      <c r="D1491" s="5" t="s">
        <v>8098</v>
      </c>
      <c r="E1491" s="6" t="s">
        <v>74</v>
      </c>
      <c r="F1491" s="6" t="s">
        <v>8099</v>
      </c>
      <c r="G1491" s="3" t="str">
        <f>IFERROR(__xludf.DUMMYFUNCTION("REGEXREPLACE(
D1491,
""([一-龯々]+)\[([^\]]+)\]"",
""&lt;ruby&gt;$1&lt;rt&gt;$2&lt;/rt&gt;&lt;/ruby&gt;""
)&amp;""&lt;br&gt;&lt;div class=""""audio""""&gt;[sound:""&amp;C1491&amp;"".mp3]&lt;/div&gt;"""),"&lt;ruby&gt;保護&lt;rt&gt;ほご&lt;/rt&gt;&lt;/ruby&gt;&lt;br&gt;&lt;div class=""audio""&gt;[sound:ほご.mp3]&lt;/div&gt;")</f>
        <v>&lt;ruby&gt;保護&lt;rt&gt;ほご&lt;/rt&gt;&lt;/ruby&gt;&lt;br&gt;&lt;div class="audio"&gt;[sound:ほご.mp3]&lt;/div&gt;</v>
      </c>
      <c r="H1491" s="3" t="str">
        <f t="shared" si="1"/>
        <v>(n): bảo vệ</v>
      </c>
      <c r="I1491" s="6" t="s">
        <v>8100</v>
      </c>
      <c r="J1491" s="6" t="s">
        <v>8101</v>
      </c>
      <c r="K1491" s="7">
        <f t="shared" si="2"/>
        <v>0.3475615281</v>
      </c>
    </row>
    <row r="1492">
      <c r="A1492" s="4">
        <v>1492.0</v>
      </c>
      <c r="B1492" s="5" t="s">
        <v>8102</v>
      </c>
      <c r="C1492" s="5" t="s">
        <v>8103</v>
      </c>
      <c r="D1492" s="5" t="s">
        <v>8104</v>
      </c>
      <c r="E1492" s="6" t="s">
        <v>74</v>
      </c>
      <c r="F1492" s="6" t="s">
        <v>8105</v>
      </c>
      <c r="G1492" s="3" t="str">
        <f>IFERROR(__xludf.DUMMYFUNCTION("REGEXREPLACE(
D1492,
""([一-龯々]+)\[([^\]]+)\]"",
""&lt;ruby&gt;$1&lt;rt&gt;$2&lt;/rt&gt;&lt;/ruby&gt;""
)&amp;""&lt;br&gt;&lt;div class=""""audio""""&gt;[sound:""&amp;C1492&amp;"".mp3]&lt;/div&gt;"""),"&lt;ruby&gt;心理&lt;rt&gt;しんり&lt;/rt&gt;&lt;/ruby&gt;&lt;br&gt;&lt;div class=""audio""&gt;[sound:しんり.mp3]&lt;/div&gt;")</f>
        <v>&lt;ruby&gt;心理&lt;rt&gt;しんり&lt;/rt&gt;&lt;/ruby&gt;&lt;br&gt;&lt;div class="audio"&gt;[sound:しんり.mp3]&lt;/div&gt;</v>
      </c>
      <c r="H1492" s="3" t="str">
        <f t="shared" si="1"/>
        <v>(n): tâm lý</v>
      </c>
      <c r="I1492" s="6" t="s">
        <v>8106</v>
      </c>
      <c r="J1492" s="6" t="s">
        <v>8107</v>
      </c>
      <c r="K1492" s="7">
        <f t="shared" si="2"/>
        <v>0.1511713088</v>
      </c>
    </row>
    <row r="1493">
      <c r="A1493" s="4">
        <v>1493.0</v>
      </c>
      <c r="B1493" s="5" t="s">
        <v>8108</v>
      </c>
      <c r="C1493" s="5" t="s">
        <v>8109</v>
      </c>
      <c r="D1493" s="5" t="s">
        <v>8110</v>
      </c>
      <c r="E1493" s="6" t="s">
        <v>11</v>
      </c>
      <c r="F1493" s="6" t="s">
        <v>8111</v>
      </c>
      <c r="G1493" s="3" t="str">
        <f>IFERROR(__xludf.DUMMYFUNCTION("REGEXREPLACE(
D1493,
""([一-龯々]+)\[([^\]]+)\]"",
""&lt;ruby&gt;$1&lt;rt&gt;$2&lt;/rt&gt;&lt;/ruby&gt;""
)&amp;""&lt;br&gt;&lt;div class=""""audio""""&gt;[sound:""&amp;C1493&amp;"".mp3]&lt;/div&gt;"""),"&lt;ruby&gt;細&lt;rt&gt;ほそ&lt;/rt&gt;&lt;/ruby&gt;い&lt;br&gt;&lt;div class=""audio""&gt;[sound:ほそい.mp3]&lt;/div&gt;")</f>
        <v>&lt;ruby&gt;細&lt;rt&gt;ほそ&lt;/rt&gt;&lt;/ruby&gt;い&lt;br&gt;&lt;div class="audio"&gt;[sound:ほそい.mp3]&lt;/div&gt;</v>
      </c>
      <c r="H1493" s="3" t="str">
        <f t="shared" si="1"/>
        <v>(adj): mảnh</v>
      </c>
      <c r="I1493" s="6" t="s">
        <v>8112</v>
      </c>
      <c r="J1493" s="6" t="s">
        <v>8113</v>
      </c>
      <c r="K1493" s="7">
        <f t="shared" si="2"/>
        <v>0.2763961544</v>
      </c>
    </row>
    <row r="1494">
      <c r="A1494" s="4">
        <v>1494.0</v>
      </c>
      <c r="B1494" s="5" t="s">
        <v>8114</v>
      </c>
      <c r="C1494" s="5" t="s">
        <v>4073</v>
      </c>
      <c r="D1494" s="5" t="s">
        <v>8115</v>
      </c>
      <c r="E1494" s="6" t="s">
        <v>11</v>
      </c>
      <c r="F1494" s="6" t="s">
        <v>8116</v>
      </c>
      <c r="G1494" s="3" t="str">
        <f>IFERROR(__xludf.DUMMYFUNCTION("REGEXREPLACE(
D1494,
""([一-龯々]+)\[([^\]]+)\]"",
""&lt;ruby&gt;$1&lt;rt&gt;$2&lt;/rt&gt;&lt;/ruby&gt;""
)&amp;""&lt;br&gt;&lt;div class=""""audio""""&gt;[sound:""&amp;C1494&amp;"".mp3]&lt;/div&gt;"""),"&lt;ruby&gt;急&lt;rt&gt;きゅう&lt;/rt&gt;&lt;/ruby&gt;&lt;br&gt;&lt;div class=""audio""&gt;[sound:きゅう.mp3]&lt;/div&gt;")</f>
        <v>&lt;ruby&gt;急&lt;rt&gt;きゅう&lt;/rt&gt;&lt;/ruby&gt;&lt;br&gt;&lt;div class="audio"&gt;[sound:きゅう.mp3]&lt;/div&gt;</v>
      </c>
      <c r="H1494" s="3" t="str">
        <f t="shared" si="1"/>
        <v>(adj): gấp</v>
      </c>
      <c r="I1494" s="6" t="s">
        <v>8117</v>
      </c>
      <c r="J1494" s="6" t="s">
        <v>8118</v>
      </c>
      <c r="K1494" s="7">
        <f t="shared" si="2"/>
        <v>0.3493789053</v>
      </c>
    </row>
    <row r="1495">
      <c r="A1495" s="4">
        <v>1495.0</v>
      </c>
      <c r="B1495" s="5" t="s">
        <v>8119</v>
      </c>
      <c r="C1495" s="5" t="s">
        <v>8120</v>
      </c>
      <c r="D1495" s="5" t="s">
        <v>8121</v>
      </c>
      <c r="E1495" s="6" t="s">
        <v>74</v>
      </c>
      <c r="F1495" s="6" t="s">
        <v>4346</v>
      </c>
      <c r="G1495" s="3" t="str">
        <f>IFERROR(__xludf.DUMMYFUNCTION("REGEXREPLACE(
D1495,
""([一-龯々]+)\[([^\]]+)\]"",
""&lt;ruby&gt;$1&lt;rt&gt;$2&lt;/rt&gt;&lt;/ruby&gt;""
)&amp;""&lt;br&gt;&lt;div class=""""audio""""&gt;[sound:""&amp;C1495&amp;"".mp3]&lt;/div&gt;"""),"&lt;ruby&gt;通信&lt;rt&gt;つうしん&lt;/rt&gt;&lt;/ruby&gt;&lt;br&gt;&lt;div class=""audio""&gt;[sound:つうしん.mp3]&lt;/div&gt;")</f>
        <v>&lt;ruby&gt;通信&lt;rt&gt;つうしん&lt;/rt&gt;&lt;/ruby&gt;&lt;br&gt;&lt;div class="audio"&gt;[sound:つうしん.mp3]&lt;/div&gt;</v>
      </c>
      <c r="H1495" s="3" t="str">
        <f t="shared" si="1"/>
        <v>(n): truyền thông</v>
      </c>
      <c r="I1495" s="6" t="s">
        <v>8122</v>
      </c>
      <c r="J1495" s="6" t="s">
        <v>8123</v>
      </c>
      <c r="K1495" s="7">
        <f t="shared" si="2"/>
        <v>0.6289284682</v>
      </c>
    </row>
    <row r="1496">
      <c r="A1496" s="4">
        <v>1496.0</v>
      </c>
      <c r="B1496" s="5" t="s">
        <v>8124</v>
      </c>
      <c r="C1496" s="5" t="s">
        <v>8125</v>
      </c>
      <c r="D1496" s="5" t="s">
        <v>8126</v>
      </c>
      <c r="E1496" s="6" t="s">
        <v>74</v>
      </c>
      <c r="F1496" s="6" t="s">
        <v>8127</v>
      </c>
      <c r="G1496" s="3" t="str">
        <f>IFERROR(__xludf.DUMMYFUNCTION("REGEXREPLACE(
D1496,
""([一-龯々]+)\[([^\]]+)\]"",
""&lt;ruby&gt;$1&lt;rt&gt;$2&lt;/rt&gt;&lt;/ruby&gt;""
)&amp;""&lt;br&gt;&lt;div class=""""audio""""&gt;[sound:""&amp;C1496&amp;"".mp3]&lt;/div&gt;"""),"&lt;ruby&gt;中間&lt;rt&gt;ちゅうかん&lt;/rt&gt;&lt;/ruby&gt;&lt;br&gt;&lt;div class=""audio""&gt;[sound:ちゅうかん.mp3]&lt;/div&gt;")</f>
        <v>&lt;ruby&gt;中間&lt;rt&gt;ちゅうかん&lt;/rt&gt;&lt;/ruby&gt;&lt;br&gt;&lt;div class="audio"&gt;[sound:ちゅうかん.mp3]&lt;/div&gt;</v>
      </c>
      <c r="H1496" s="3" t="str">
        <f t="shared" si="1"/>
        <v>(n): trung gian</v>
      </c>
      <c r="I1496" s="6" t="s">
        <v>8128</v>
      </c>
      <c r="J1496" s="6" t="s">
        <v>8129</v>
      </c>
      <c r="K1496" s="7">
        <f t="shared" si="2"/>
        <v>0.1461448824</v>
      </c>
    </row>
    <row r="1497">
      <c r="A1497" s="4">
        <v>1497.0</v>
      </c>
      <c r="B1497" s="5" t="s">
        <v>8130</v>
      </c>
      <c r="C1497" s="5" t="s">
        <v>8131</v>
      </c>
      <c r="D1497" s="5" t="s">
        <v>8132</v>
      </c>
      <c r="E1497" s="6" t="s">
        <v>74</v>
      </c>
      <c r="F1497" s="6" t="s">
        <v>8133</v>
      </c>
      <c r="G1497" s="3" t="str">
        <f>IFERROR(__xludf.DUMMYFUNCTION("REGEXREPLACE(
D1497,
""([一-龯々]+)\[([^\]]+)\]"",
""&lt;ruby&gt;$1&lt;rt&gt;$2&lt;/rt&gt;&lt;/ruby&gt;""
)&amp;""&lt;br&gt;&lt;div class=""""audio""""&gt;[sound:""&amp;C1497&amp;"".mp3]&lt;/div&gt;"""),"&lt;ruby&gt;先週&lt;rt&gt;せんしゅう&lt;/rt&gt;&lt;/ruby&gt;&lt;br&gt;&lt;div class=""audio""&gt;[sound:せんしゅう.mp3]&lt;/div&gt;")</f>
        <v>&lt;ruby&gt;先週&lt;rt&gt;せんしゅう&lt;/rt&gt;&lt;/ruby&gt;&lt;br&gt;&lt;div class="audio"&gt;[sound:せんしゅう.mp3]&lt;/div&gt;</v>
      </c>
      <c r="H1497" s="3" t="str">
        <f t="shared" si="1"/>
        <v>(n): tuần trước</v>
      </c>
      <c r="I1497" s="6" t="s">
        <v>8134</v>
      </c>
      <c r="J1497" s="6" t="s">
        <v>8135</v>
      </c>
      <c r="K1497" s="7">
        <f t="shared" si="2"/>
        <v>0.795383378</v>
      </c>
    </row>
    <row r="1498">
      <c r="A1498" s="4">
        <v>1498.0</v>
      </c>
      <c r="B1498" s="5" t="s">
        <v>8136</v>
      </c>
      <c r="C1498" s="5" t="s">
        <v>8137</v>
      </c>
      <c r="D1498" s="5" t="s">
        <v>8138</v>
      </c>
      <c r="E1498" s="6" t="s">
        <v>24</v>
      </c>
      <c r="F1498" s="6" t="s">
        <v>8139</v>
      </c>
      <c r="G1498" s="3" t="str">
        <f>IFERROR(__xludf.DUMMYFUNCTION("REGEXREPLACE(
D1498,
""([一-龯々]+)\[([^\]]+)\]"",
""&lt;ruby&gt;$1&lt;rt&gt;$2&lt;/rt&gt;&lt;/ruby&gt;""
)&amp;""&lt;br&gt;&lt;div class=""""audio""""&gt;[sound:""&amp;C1498&amp;"".mp3]&lt;/div&gt;"""),"&lt;ruby&gt;育&lt;rt&gt;そだ&lt;/rt&gt;&lt;/ruby&gt;てる&lt;br&gt;&lt;div class=""audio""&gt;[sound:そだてる.mp3]&lt;/div&gt;")</f>
        <v>&lt;ruby&gt;育&lt;rt&gt;そだ&lt;/rt&gt;&lt;/ruby&gt;てる&lt;br&gt;&lt;div class="audio"&gt;[sound:そだてる.mp3]&lt;/div&gt;</v>
      </c>
      <c r="H1498" s="3" t="str">
        <f t="shared" si="1"/>
        <v>(v): nuôi dạy</v>
      </c>
      <c r="I1498" s="6" t="s">
        <v>8140</v>
      </c>
      <c r="J1498" s="6" t="s">
        <v>8141</v>
      </c>
      <c r="K1498" s="7">
        <f t="shared" si="2"/>
        <v>0.9145936155</v>
      </c>
    </row>
    <row r="1499">
      <c r="A1499" s="4">
        <v>1499.0</v>
      </c>
      <c r="B1499" s="5" t="s">
        <v>8142</v>
      </c>
      <c r="C1499" s="5" t="s">
        <v>8143</v>
      </c>
      <c r="D1499" s="5" t="s">
        <v>8144</v>
      </c>
      <c r="E1499" s="6" t="s">
        <v>74</v>
      </c>
      <c r="F1499" s="6" t="s">
        <v>657</v>
      </c>
      <c r="G1499" s="3" t="str">
        <f>IFERROR(__xludf.DUMMYFUNCTION("REGEXREPLACE(
D1499,
""([一-龯々]+)\[([^\]]+)\]"",
""&lt;ruby&gt;$1&lt;rt&gt;$2&lt;/rt&gt;&lt;/ruby&gt;""
)&amp;""&lt;br&gt;&lt;div class=""""audio""""&gt;[sound:""&amp;C1499&amp;"".mp3]&lt;/div&gt;"""),"&lt;ruby&gt;調整&lt;rt&gt;ちょうせい&lt;/rt&gt;&lt;/ruby&gt;&lt;br&gt;&lt;div class=""audio""&gt;[sound:ちょうせい.mp3]&lt;/div&gt;")</f>
        <v>&lt;ruby&gt;調整&lt;rt&gt;ちょうせい&lt;/rt&gt;&lt;/ruby&gt;&lt;br&gt;&lt;div class="audio"&gt;[sound:ちょうせい.mp3]&lt;/div&gt;</v>
      </c>
      <c r="H1499" s="3" t="str">
        <f t="shared" si="1"/>
        <v>(n): điều chỉnh</v>
      </c>
      <c r="I1499" s="6" t="s">
        <v>8145</v>
      </c>
      <c r="J1499" s="6" t="s">
        <v>8146</v>
      </c>
      <c r="K1499" s="7">
        <f t="shared" si="2"/>
        <v>0.796518526</v>
      </c>
    </row>
    <row r="1500">
      <c r="A1500" s="4">
        <v>1500.0</v>
      </c>
      <c r="B1500" s="5" t="s">
        <v>8147</v>
      </c>
      <c r="C1500" s="5" t="s">
        <v>8148</v>
      </c>
      <c r="D1500" s="5" t="s">
        <v>8149</v>
      </c>
      <c r="E1500" s="6" t="s">
        <v>74</v>
      </c>
      <c r="F1500" s="6" t="s">
        <v>3559</v>
      </c>
      <c r="G1500" s="3" t="str">
        <f>IFERROR(__xludf.DUMMYFUNCTION("REGEXREPLACE(
D1500,
""([一-龯々]+)\[([^\]]+)\]"",
""&lt;ruby&gt;$1&lt;rt&gt;$2&lt;/rt&gt;&lt;/ruby&gt;""
)&amp;""&lt;br&gt;&lt;div class=""""audio""""&gt;[sound:""&amp;C1500&amp;"".mp3]&lt;/div&gt;"""),"&lt;ruby&gt;信頼&lt;rt&gt;しんらい&lt;/rt&gt;&lt;/ruby&gt;&lt;br&gt;&lt;div class=""audio""&gt;[sound:しんらい.mp3]&lt;/div&gt;")</f>
        <v>&lt;ruby&gt;信頼&lt;rt&gt;しんらい&lt;/rt&gt;&lt;/ruby&gt;&lt;br&gt;&lt;div class="audio"&gt;[sound:しんらい.mp3]&lt;/div&gt;</v>
      </c>
      <c r="H1500" s="3" t="str">
        <f t="shared" si="1"/>
        <v>(n): tin tưởng</v>
      </c>
      <c r="I1500" s="6" t="s">
        <v>8150</v>
      </c>
      <c r="J1500" s="6" t="s">
        <v>8151</v>
      </c>
      <c r="K1500" s="7">
        <f t="shared" si="2"/>
        <v>0.9787959797</v>
      </c>
    </row>
    <row r="1501">
      <c r="A1501" s="4">
        <v>1501.0</v>
      </c>
      <c r="B1501" s="5" t="s">
        <v>8152</v>
      </c>
      <c r="C1501" s="5" t="s">
        <v>8153</v>
      </c>
      <c r="D1501" s="5" t="s">
        <v>8154</v>
      </c>
      <c r="E1501" s="6" t="s">
        <v>74</v>
      </c>
      <c r="F1501" s="6" t="s">
        <v>1957</v>
      </c>
      <c r="G1501" s="3" t="str">
        <f>IFERROR(__xludf.DUMMYFUNCTION("REGEXREPLACE(
D1501,
""([一-龯々]+)\[([^\]]+)\]"",
""&lt;ruby&gt;$1&lt;rt&gt;$2&lt;/rt&gt;&lt;/ruby&gt;""
)&amp;""&lt;br&gt;&lt;div class=""""audio""""&gt;[sound:""&amp;C1501&amp;"".mp3]&lt;/div&gt;"""),"&lt;ruby&gt;昼&lt;rt&gt;ひる&lt;/rt&gt;&lt;/ruby&gt;&lt;br&gt;&lt;div class=""audio""&gt;[sound:ひる.mp3]&lt;/div&gt;")</f>
        <v>&lt;ruby&gt;昼&lt;rt&gt;ひる&lt;/rt&gt;&lt;/ruby&gt;&lt;br&gt;&lt;div class="audio"&gt;[sound:ひる.mp3]&lt;/div&gt;</v>
      </c>
      <c r="H1501" s="3" t="str">
        <f t="shared" si="1"/>
        <v>(n): buổi trưa</v>
      </c>
      <c r="I1501" s="6" t="s">
        <v>8155</v>
      </c>
      <c r="J1501" s="6" t="s">
        <v>8156</v>
      </c>
      <c r="K1501" s="7">
        <f t="shared" si="2"/>
        <v>0.1109361781</v>
      </c>
    </row>
    <row r="1502">
      <c r="A1502" s="4">
        <v>1502.0</v>
      </c>
      <c r="B1502" s="5" t="s">
        <v>8157</v>
      </c>
      <c r="C1502" s="5" t="s">
        <v>2047</v>
      </c>
      <c r="D1502" s="5" t="s">
        <v>8158</v>
      </c>
      <c r="E1502" s="6" t="s">
        <v>24</v>
      </c>
      <c r="F1502" s="6" t="s">
        <v>8159</v>
      </c>
      <c r="G1502" s="3" t="str">
        <f>IFERROR(__xludf.DUMMYFUNCTION("REGEXREPLACE(
D1502,
""([一-龯々]+)\[([^\]]+)\]"",
""&lt;ruby&gt;$1&lt;rt&gt;$2&lt;/rt&gt;&lt;/ruby&gt;""
)&amp;""&lt;br&gt;&lt;div class=""""audio""""&gt;[sound:""&amp;C1502&amp;"".mp3]&lt;/div&gt;"""),"&lt;ruby&gt;伺&lt;rt&gt;うかが&lt;/rt&gt;&lt;/ruby&gt;う&lt;br&gt;&lt;div class=""audio""&gt;[sound:うかがう.mp3]&lt;/div&gt;")</f>
        <v>&lt;ruby&gt;伺&lt;rt&gt;うかが&lt;/rt&gt;&lt;/ruby&gt;う&lt;br&gt;&lt;div class="audio"&gt;[sound:うかがう.mp3]&lt;/div&gt;</v>
      </c>
      <c r="H1502" s="3" t="str">
        <f t="shared" si="1"/>
        <v>(v): hỏi thăm</v>
      </c>
      <c r="I1502" s="6" t="s">
        <v>8160</v>
      </c>
      <c r="J1502" s="6" t="s">
        <v>8161</v>
      </c>
      <c r="K1502" s="7">
        <f t="shared" si="2"/>
        <v>0.9755602571</v>
      </c>
    </row>
    <row r="1503">
      <c r="A1503" s="4">
        <v>1503.0</v>
      </c>
      <c r="B1503" s="5" t="s">
        <v>8162</v>
      </c>
      <c r="C1503" s="5" t="s">
        <v>8163</v>
      </c>
      <c r="D1503" s="5" t="s">
        <v>8164</v>
      </c>
      <c r="E1503" s="6" t="s">
        <v>74</v>
      </c>
      <c r="F1503" s="6" t="s">
        <v>8165</v>
      </c>
      <c r="G1503" s="3" t="str">
        <f>IFERROR(__xludf.DUMMYFUNCTION("REGEXREPLACE(
D1503,
""([一-龯々]+)\[([^\]]+)\]"",
""&lt;ruby&gt;$1&lt;rt&gt;$2&lt;/rt&gt;&lt;/ruby&gt;""
)&amp;""&lt;br&gt;&lt;div class=""""audio""""&gt;[sound:""&amp;C1503&amp;"".mp3]&lt;/div&gt;"""),"&lt;ruby&gt;選択&lt;rt&gt;せんたく&lt;/rt&gt;&lt;/ruby&gt;&lt;br&gt;&lt;div class=""audio""&gt;[sound:せんたく.mp3]&lt;/div&gt;")</f>
        <v>&lt;ruby&gt;選択&lt;rt&gt;せんたく&lt;/rt&gt;&lt;/ruby&gt;&lt;br&gt;&lt;div class="audio"&gt;[sound:せんたく.mp3]&lt;/div&gt;</v>
      </c>
      <c r="H1503" s="3" t="str">
        <f t="shared" si="1"/>
        <v>(n): lựa chọn</v>
      </c>
      <c r="I1503" s="6" t="s">
        <v>8166</v>
      </c>
      <c r="J1503" s="6" t="s">
        <v>8167</v>
      </c>
      <c r="K1503" s="7">
        <f t="shared" si="2"/>
        <v>0.3458390052</v>
      </c>
    </row>
    <row r="1504">
      <c r="A1504" s="4">
        <v>1504.0</v>
      </c>
      <c r="B1504" s="5" t="s">
        <v>8168</v>
      </c>
      <c r="C1504" s="5" t="s">
        <v>8169</v>
      </c>
      <c r="D1504" s="5" t="s">
        <v>8170</v>
      </c>
      <c r="E1504" s="6" t="s">
        <v>74</v>
      </c>
      <c r="F1504" s="6" t="s">
        <v>6414</v>
      </c>
      <c r="G1504" s="3" t="str">
        <f>IFERROR(__xludf.DUMMYFUNCTION("REGEXREPLACE(
D1504,
""([一-龯々]+)\[([^\]]+)\]"",
""&lt;ruby&gt;$1&lt;rt&gt;$2&lt;/rt&gt;&lt;/ruby&gt;""
)&amp;""&lt;br&gt;&lt;div class=""""audio""""&gt;[sound:""&amp;C1504&amp;"".mp3]&lt;/div&gt;"""),"&lt;ruby&gt;半分&lt;rt&gt;はんぶん&lt;/rt&gt;&lt;/ruby&gt;&lt;br&gt;&lt;div class=""audio""&gt;[sound:はんぶん.mp3]&lt;/div&gt;")</f>
        <v>&lt;ruby&gt;半分&lt;rt&gt;はんぶん&lt;/rt&gt;&lt;/ruby&gt;&lt;br&gt;&lt;div class="audio"&gt;[sound:はんぶん.mp3]&lt;/div&gt;</v>
      </c>
      <c r="H1504" s="3" t="str">
        <f t="shared" si="1"/>
        <v>(n): một nửa</v>
      </c>
      <c r="I1504" s="6" t="s">
        <v>8171</v>
      </c>
      <c r="J1504" s="6" t="s">
        <v>8172</v>
      </c>
      <c r="K1504" s="7">
        <f t="shared" si="2"/>
        <v>0.7140395959</v>
      </c>
    </row>
    <row r="1505">
      <c r="A1505" s="4">
        <v>1505.0</v>
      </c>
      <c r="B1505" s="5" t="s">
        <v>8173</v>
      </c>
      <c r="C1505" s="5" t="s">
        <v>8174</v>
      </c>
      <c r="D1505" s="5" t="s">
        <v>8175</v>
      </c>
      <c r="E1505" s="6" t="s">
        <v>74</v>
      </c>
      <c r="F1505" s="6" t="s">
        <v>8176</v>
      </c>
      <c r="G1505" s="3" t="str">
        <f>IFERROR(__xludf.DUMMYFUNCTION("REGEXREPLACE(
D1505,
""([一-龯々]+)\[([^\]]+)\]"",
""&lt;ruby&gt;$1&lt;rt&gt;$2&lt;/rt&gt;&lt;/ruby&gt;""
)&amp;""&lt;br&gt;&lt;div class=""""audio""""&gt;[sound:""&amp;C1505&amp;"".mp3]&lt;/div&gt;"""),"&lt;ruby&gt;手続&lt;rt&gt;てつづ&lt;/rt&gt;&lt;/ruby&gt;き&lt;br&gt;&lt;div class=""audio""&gt;[sound:てつづき.mp3]&lt;/div&gt;")</f>
        <v>&lt;ruby&gt;手続&lt;rt&gt;てつづ&lt;/rt&gt;&lt;/ruby&gt;き&lt;br&gt;&lt;div class="audio"&gt;[sound:てつづき.mp3]&lt;/div&gt;</v>
      </c>
      <c r="H1505" s="3" t="str">
        <f t="shared" si="1"/>
        <v>(n): thủ tục</v>
      </c>
      <c r="I1505" s="6" t="s">
        <v>8177</v>
      </c>
      <c r="J1505" s="6" t="s">
        <v>8178</v>
      </c>
      <c r="K1505" s="7">
        <f t="shared" si="2"/>
        <v>0.05787420339</v>
      </c>
    </row>
    <row r="1506">
      <c r="A1506" s="4">
        <v>1506.0</v>
      </c>
      <c r="B1506" s="5" t="s">
        <v>8179</v>
      </c>
      <c r="C1506" s="5" t="s">
        <v>8180</v>
      </c>
      <c r="D1506" s="5" t="s">
        <v>8181</v>
      </c>
      <c r="E1506" s="6" t="s">
        <v>74</v>
      </c>
      <c r="F1506" s="6" t="s">
        <v>8182</v>
      </c>
      <c r="G1506" s="3" t="str">
        <f>IFERROR(__xludf.DUMMYFUNCTION("REGEXREPLACE(
D1506,
""([一-龯々]+)\[([^\]]+)\]"",
""&lt;ruby&gt;$1&lt;rt&gt;$2&lt;/rt&gt;&lt;/ruby&gt;""
)&amp;""&lt;br&gt;&lt;div class=""""audio""""&gt;[sound:""&amp;C1506&amp;"".mp3]&lt;/div&gt;"""),"&lt;ruby&gt;維持&lt;rt&gt;いじ&lt;/rt&gt;&lt;/ruby&gt;&lt;br&gt;&lt;div class=""audio""&gt;[sound:いじ.mp3]&lt;/div&gt;")</f>
        <v>&lt;ruby&gt;維持&lt;rt&gt;いじ&lt;/rt&gt;&lt;/ruby&gt;&lt;br&gt;&lt;div class="audio"&gt;[sound:いじ.mp3]&lt;/div&gt;</v>
      </c>
      <c r="H1506" s="3" t="str">
        <f t="shared" si="1"/>
        <v>(n): duy trì</v>
      </c>
      <c r="I1506" s="6" t="s">
        <v>8183</v>
      </c>
      <c r="J1506" s="6" t="s">
        <v>8184</v>
      </c>
      <c r="K1506" s="7">
        <f t="shared" si="2"/>
        <v>0.2386818751</v>
      </c>
    </row>
    <row r="1507">
      <c r="A1507" s="4">
        <v>1507.0</v>
      </c>
      <c r="B1507" s="5" t="s">
        <v>8185</v>
      </c>
      <c r="C1507" s="5" t="s">
        <v>8186</v>
      </c>
      <c r="D1507" s="5" t="s">
        <v>8187</v>
      </c>
      <c r="E1507" s="6" t="s">
        <v>74</v>
      </c>
      <c r="F1507" s="6" t="s">
        <v>8188</v>
      </c>
      <c r="G1507" s="3" t="str">
        <f>IFERROR(__xludf.DUMMYFUNCTION("REGEXREPLACE(
D1507,
""([一-龯々]+)\[([^\]]+)\]"",
""&lt;ruby&gt;$1&lt;rt&gt;$2&lt;/rt&gt;&lt;/ruby&gt;""
)&amp;""&lt;br&gt;&lt;div class=""""audio""""&gt;[sound:""&amp;C1507&amp;"".mp3]&lt;/div&gt;"""),"&lt;ruby&gt;自動&lt;rt&gt;じどう&lt;/rt&gt;&lt;/ruby&gt;&lt;br&gt;&lt;div class=""audio""&gt;[sound:じどう.mp3]&lt;/div&gt;")</f>
        <v>&lt;ruby&gt;自動&lt;rt&gt;じどう&lt;/rt&gt;&lt;/ruby&gt;&lt;br&gt;&lt;div class="audio"&gt;[sound:じどう.mp3]&lt;/div&gt;</v>
      </c>
      <c r="H1507" s="3" t="str">
        <f t="shared" si="1"/>
        <v>(n): tự động</v>
      </c>
      <c r="I1507" s="6" t="s">
        <v>8189</v>
      </c>
      <c r="J1507" s="6" t="s">
        <v>8190</v>
      </c>
      <c r="K1507" s="7">
        <f t="shared" si="2"/>
        <v>0.4498872896</v>
      </c>
    </row>
    <row r="1508">
      <c r="A1508" s="4">
        <v>1508.0</v>
      </c>
      <c r="B1508" s="5" t="s">
        <v>8191</v>
      </c>
      <c r="C1508" s="5" t="s">
        <v>8192</v>
      </c>
      <c r="D1508" s="5" t="s">
        <v>8193</v>
      </c>
      <c r="E1508" s="6" t="s">
        <v>74</v>
      </c>
      <c r="F1508" s="6" t="s">
        <v>5522</v>
      </c>
      <c r="G1508" s="3" t="str">
        <f>IFERROR(__xludf.DUMMYFUNCTION("REGEXREPLACE(
D1508,
""([一-龯々]+)\[([^\]]+)\]"",
""&lt;ruby&gt;$1&lt;rt&gt;$2&lt;/rt&gt;&lt;/ruby&gt;""
)&amp;""&lt;br&gt;&lt;div class=""""audio""""&gt;[sound:""&amp;C1508&amp;"".mp3]&lt;/div&gt;"""),"&lt;ruby&gt;友達&lt;rt&gt;ともだち&lt;/rt&gt;&lt;/ruby&gt;&lt;br&gt;&lt;div class=""audio""&gt;[sound:ともだち.mp3]&lt;/div&gt;")</f>
        <v>&lt;ruby&gt;友達&lt;rt&gt;ともだち&lt;/rt&gt;&lt;/ruby&gt;&lt;br&gt;&lt;div class="audio"&gt;[sound:ともだち.mp3]&lt;/div&gt;</v>
      </c>
      <c r="H1508" s="3" t="str">
        <f t="shared" si="1"/>
        <v>(n): bạn bè</v>
      </c>
      <c r="I1508" s="6" t="s">
        <v>8194</v>
      </c>
      <c r="J1508" s="6" t="s">
        <v>8195</v>
      </c>
      <c r="K1508" s="7">
        <f t="shared" si="2"/>
        <v>0.910441475</v>
      </c>
    </row>
    <row r="1509">
      <c r="A1509" s="4">
        <v>1509.0</v>
      </c>
      <c r="B1509" s="5" t="s">
        <v>8196</v>
      </c>
      <c r="C1509" s="5" t="s">
        <v>8197</v>
      </c>
      <c r="D1509" s="5" t="s">
        <v>8198</v>
      </c>
      <c r="E1509" s="6" t="s">
        <v>11</v>
      </c>
      <c r="F1509" s="6" t="s">
        <v>8199</v>
      </c>
      <c r="G1509" s="3" t="str">
        <f>IFERROR(__xludf.DUMMYFUNCTION("REGEXREPLACE(
D1509,
""([一-龯々]+)\[([^\]]+)\]"",
""&lt;ruby&gt;$1&lt;rt&gt;$2&lt;/rt&gt;&lt;/ruby&gt;""
)&amp;""&lt;br&gt;&lt;div class=""""audio""""&gt;[sound:""&amp;C1509&amp;"".mp3]&lt;/div&gt;"""),"&lt;ruby&gt;無理&lt;rt&gt;むり&lt;/rt&gt;&lt;/ruby&gt;&lt;br&gt;&lt;div class=""audio""&gt;[sound:むり.mp3]&lt;/div&gt;")</f>
        <v>&lt;ruby&gt;無理&lt;rt&gt;むり&lt;/rt&gt;&lt;/ruby&gt;&lt;br&gt;&lt;div class="audio"&gt;[sound:むり.mp3]&lt;/div&gt;</v>
      </c>
      <c r="H1509" s="3" t="str">
        <f t="shared" si="1"/>
        <v>(adj): vô lý</v>
      </c>
      <c r="I1509" s="6" t="s">
        <v>8200</v>
      </c>
      <c r="J1509" s="6" t="s">
        <v>8201</v>
      </c>
      <c r="K1509" s="7">
        <f t="shared" si="2"/>
        <v>0.2046130554</v>
      </c>
    </row>
    <row r="1510">
      <c r="A1510" s="4">
        <v>1510.0</v>
      </c>
      <c r="B1510" s="5" t="s">
        <v>8202</v>
      </c>
      <c r="C1510" s="5" t="s">
        <v>8203</v>
      </c>
      <c r="D1510" s="5" t="s">
        <v>8204</v>
      </c>
      <c r="E1510" s="6" t="s">
        <v>74</v>
      </c>
      <c r="F1510" s="6" t="s">
        <v>8205</v>
      </c>
      <c r="G1510" s="3" t="str">
        <f>IFERROR(__xludf.DUMMYFUNCTION("REGEXREPLACE(
D1510,
""([一-龯々]+)\[([^\]]+)\]"",
""&lt;ruby&gt;$1&lt;rt&gt;$2&lt;/rt&gt;&lt;/ruby&gt;""
)&amp;""&lt;br&gt;&lt;div class=""""audio""""&gt;[sound:""&amp;C1510&amp;"".mp3]&lt;/div&gt;"""),"&lt;ruby&gt;選手&lt;rt&gt;せんしゅ&lt;/rt&gt;&lt;/ruby&gt;&lt;br&gt;&lt;div class=""audio""&gt;[sound:せんしゅ.mp3]&lt;/div&gt;")</f>
        <v>&lt;ruby&gt;選手&lt;rt&gt;せんしゅ&lt;/rt&gt;&lt;/ruby&gt;&lt;br&gt;&lt;div class="audio"&gt;[sound:せんしゅ.mp3]&lt;/div&gt;</v>
      </c>
      <c r="H1510" s="3" t="str">
        <f t="shared" si="1"/>
        <v>(n): vận động viên</v>
      </c>
      <c r="I1510" s="6" t="s">
        <v>8206</v>
      </c>
      <c r="J1510" s="6" t="s">
        <v>8207</v>
      </c>
      <c r="K1510" s="7">
        <f t="shared" si="2"/>
        <v>0.6447391219</v>
      </c>
    </row>
    <row r="1511">
      <c r="A1511" s="4">
        <v>1511.0</v>
      </c>
      <c r="B1511" s="5" t="s">
        <v>8208</v>
      </c>
      <c r="C1511" s="5" t="s">
        <v>8209</v>
      </c>
      <c r="D1511" s="5" t="s">
        <v>8210</v>
      </c>
      <c r="E1511" s="6" t="s">
        <v>74</v>
      </c>
      <c r="F1511" s="6" t="s">
        <v>4394</v>
      </c>
      <c r="G1511" s="3" t="str">
        <f>IFERROR(__xludf.DUMMYFUNCTION("REGEXREPLACE(
D1511,
""([一-龯々]+)\[([^\]]+)\]"",
""&lt;ruby&gt;$1&lt;rt&gt;$2&lt;/rt&gt;&lt;/ruby&gt;""
)&amp;""&lt;br&gt;&lt;div class=""""audio""""&gt;[sound:""&amp;C1511&amp;"".mp3]&lt;/div&gt;"""),"&lt;ruby&gt;原因&lt;rt&gt;げんいん&lt;/rt&gt;&lt;/ruby&gt;&lt;br&gt;&lt;div class=""audio""&gt;[sound:げんいん.mp3]&lt;/div&gt;")</f>
        <v>&lt;ruby&gt;原因&lt;rt&gt;げんいん&lt;/rt&gt;&lt;/ruby&gt;&lt;br&gt;&lt;div class="audio"&gt;[sound:げんいん.mp3]&lt;/div&gt;</v>
      </c>
      <c r="H1511" s="3" t="str">
        <f t="shared" si="1"/>
        <v>(n): nguyên nhân</v>
      </c>
      <c r="I1511" s="6" t="s">
        <v>8211</v>
      </c>
      <c r="J1511" s="6" t="s">
        <v>8212</v>
      </c>
      <c r="K1511" s="7">
        <f t="shared" si="2"/>
        <v>0.02088575897</v>
      </c>
    </row>
    <row r="1512">
      <c r="A1512" s="4">
        <v>1512.0</v>
      </c>
      <c r="B1512" s="5" t="s">
        <v>8213</v>
      </c>
      <c r="C1512" s="5" t="s">
        <v>8214</v>
      </c>
      <c r="D1512" s="5" t="s">
        <v>8215</v>
      </c>
      <c r="E1512" s="6" t="s">
        <v>24</v>
      </c>
      <c r="F1512" s="6" t="s">
        <v>8216</v>
      </c>
      <c r="G1512" s="3" t="str">
        <f>IFERROR(__xludf.DUMMYFUNCTION("REGEXREPLACE(
D1512,
""([一-龯々]+)\[([^\]]+)\]"",
""&lt;ruby&gt;$1&lt;rt&gt;$2&lt;/rt&gt;&lt;/ruby&gt;""
)&amp;""&lt;br&gt;&lt;div class=""""audio""""&gt;[sound:""&amp;C1512&amp;"".mp3]&lt;/div&gt;"""),"&lt;ruby&gt;祈&lt;rt&gt;いの&lt;/rt&gt;&lt;/ruby&gt;る&lt;br&gt;&lt;div class=""audio""&gt;[sound:いのる.mp3]&lt;/div&gt;")</f>
        <v>&lt;ruby&gt;祈&lt;rt&gt;いの&lt;/rt&gt;&lt;/ruby&gt;る&lt;br&gt;&lt;div class="audio"&gt;[sound:いのる.mp3]&lt;/div&gt;</v>
      </c>
      <c r="H1512" s="3" t="str">
        <f t="shared" si="1"/>
        <v>(v): cầu nguyện</v>
      </c>
      <c r="I1512" s="6" t="s">
        <v>8217</v>
      </c>
      <c r="J1512" s="6" t="s">
        <v>8218</v>
      </c>
      <c r="K1512" s="7">
        <f t="shared" si="2"/>
        <v>0.08102776948</v>
      </c>
    </row>
    <row r="1513">
      <c r="A1513" s="4">
        <v>1513.0</v>
      </c>
      <c r="B1513" s="5" t="s">
        <v>8219</v>
      </c>
      <c r="C1513" s="5" t="s">
        <v>8220</v>
      </c>
      <c r="D1513" s="5" t="s">
        <v>8221</v>
      </c>
      <c r="E1513" s="6" t="s">
        <v>74</v>
      </c>
      <c r="F1513" s="6" t="s">
        <v>8222</v>
      </c>
      <c r="G1513" s="3" t="str">
        <f>IFERROR(__xludf.DUMMYFUNCTION("REGEXREPLACE(
D1513,
""([一-龯々]+)\[([^\]]+)\]"",
""&lt;ruby&gt;$1&lt;rt&gt;$2&lt;/rt&gt;&lt;/ruby&gt;""
)&amp;""&lt;br&gt;&lt;div class=""""audio""""&gt;[sound:""&amp;C1513&amp;"".mp3]&lt;/div&gt;"""),"&lt;ruby&gt;笑&lt;rt&gt;わら&lt;/rt&gt;&lt;/ruby&gt;い&lt;br&gt;&lt;div class=""audio""&gt;[sound:わらい.mp3]&lt;/div&gt;")</f>
        <v>&lt;ruby&gt;笑&lt;rt&gt;わら&lt;/rt&gt;&lt;/ruby&gt;い&lt;br&gt;&lt;div class="audio"&gt;[sound:わらい.mp3]&lt;/div&gt;</v>
      </c>
      <c r="H1513" s="3" t="str">
        <f t="shared" si="1"/>
        <v>(n): tiếng cười</v>
      </c>
      <c r="I1513" s="6" t="s">
        <v>8223</v>
      </c>
      <c r="J1513" s="6" t="s">
        <v>8224</v>
      </c>
      <c r="K1513" s="7">
        <f t="shared" si="2"/>
        <v>0.3482968784</v>
      </c>
    </row>
    <row r="1514">
      <c r="A1514" s="4">
        <v>1514.0</v>
      </c>
      <c r="B1514" s="5" t="s">
        <v>8225</v>
      </c>
      <c r="C1514" s="5" t="s">
        <v>8226</v>
      </c>
      <c r="D1514" s="5" t="s">
        <v>8227</v>
      </c>
      <c r="E1514" s="6" t="s">
        <v>74</v>
      </c>
      <c r="F1514" s="6" t="s">
        <v>6790</v>
      </c>
      <c r="G1514" s="3" t="str">
        <f>IFERROR(__xludf.DUMMYFUNCTION("REGEXREPLACE(
D1514,
""([一-龯々]+)\[([^\]]+)\]"",
""&lt;ruby&gt;$1&lt;rt&gt;$2&lt;/rt&gt;&lt;/ruby&gt;""
)&amp;""&lt;br&gt;&lt;div class=""""audio""""&gt;[sound:""&amp;C1514&amp;"".mp3]&lt;/div&gt;"""),"&lt;ruby&gt;質&lt;rt&gt;しつ&lt;/rt&gt;&lt;/ruby&gt;&lt;br&gt;&lt;div class=""audio""&gt;[sound:しつ.mp3]&lt;/div&gt;")</f>
        <v>&lt;ruby&gt;質&lt;rt&gt;しつ&lt;/rt&gt;&lt;/ruby&gt;&lt;br&gt;&lt;div class="audio"&gt;[sound:しつ.mp3]&lt;/div&gt;</v>
      </c>
      <c r="H1514" s="3" t="str">
        <f t="shared" si="1"/>
        <v>(n): chất lượng</v>
      </c>
      <c r="I1514" s="6" t="s">
        <v>8228</v>
      </c>
      <c r="J1514" s="6" t="s">
        <v>8229</v>
      </c>
      <c r="K1514" s="7">
        <f t="shared" si="2"/>
        <v>0.8347566154</v>
      </c>
    </row>
    <row r="1515">
      <c r="A1515" s="4">
        <v>1515.0</v>
      </c>
      <c r="B1515" s="5" t="s">
        <v>8230</v>
      </c>
      <c r="C1515" s="5" t="s">
        <v>8231</v>
      </c>
      <c r="D1515" s="5" t="s">
        <v>8232</v>
      </c>
      <c r="E1515" s="6" t="s">
        <v>11</v>
      </c>
      <c r="F1515" s="6" t="s">
        <v>8233</v>
      </c>
      <c r="G1515" s="3" t="str">
        <f>IFERROR(__xludf.DUMMYFUNCTION("REGEXREPLACE(
D1515,
""([一-龯々]+)\[([^\]]+)\]"",
""&lt;ruby&gt;$1&lt;rt&gt;$2&lt;/rt&gt;&lt;/ruby&gt;""
)&amp;""&lt;br&gt;&lt;div class=""""audio""""&gt;[sound:""&amp;C1515&amp;"".mp3]&lt;/div&gt;"""),"&lt;ruby&gt;危険&lt;rt&gt;きけん&lt;/rt&gt;&lt;/ruby&gt;&lt;br&gt;&lt;div class=""audio""&gt;[sound:きけん.mp3]&lt;/div&gt;")</f>
        <v>&lt;ruby&gt;危険&lt;rt&gt;きけん&lt;/rt&gt;&lt;/ruby&gt;&lt;br&gt;&lt;div class="audio"&gt;[sound:きけん.mp3]&lt;/div&gt;</v>
      </c>
      <c r="H1515" s="3" t="str">
        <f t="shared" si="1"/>
        <v>(adj): nguy hiểm</v>
      </c>
      <c r="I1515" s="6" t="s">
        <v>8234</v>
      </c>
      <c r="J1515" s="6" t="s">
        <v>8235</v>
      </c>
      <c r="K1515" s="7">
        <f t="shared" si="2"/>
        <v>0.6819411279</v>
      </c>
    </row>
    <row r="1516">
      <c r="A1516" s="4">
        <v>1516.0</v>
      </c>
      <c r="B1516" s="5" t="s">
        <v>8236</v>
      </c>
      <c r="C1516" s="5" t="s">
        <v>8237</v>
      </c>
      <c r="D1516" s="5" t="s">
        <v>8238</v>
      </c>
      <c r="E1516" s="6" t="s">
        <v>24</v>
      </c>
      <c r="F1516" s="6" t="s">
        <v>8239</v>
      </c>
      <c r="G1516" s="3" t="str">
        <f>IFERROR(__xludf.DUMMYFUNCTION("REGEXREPLACE(
D1516,
""([一-龯々]+)\[([^\]]+)\]"",
""&lt;ruby&gt;$1&lt;rt&gt;$2&lt;/rt&gt;&lt;/ruby&gt;""
)&amp;""&lt;br&gt;&lt;div class=""""audio""""&gt;[sound:""&amp;C1516&amp;"".mp3]&lt;/div&gt;"""),"&lt;ruby&gt;従&lt;rt&gt;したが&lt;/rt&gt;&lt;/ruby&gt;う&lt;br&gt;&lt;div class=""audio""&gt;[sound:したがう.mp3]&lt;/div&gt;")</f>
        <v>&lt;ruby&gt;従&lt;rt&gt;したが&lt;/rt&gt;&lt;/ruby&gt;う&lt;br&gt;&lt;div class="audio"&gt;[sound:したがう.mp3]&lt;/div&gt;</v>
      </c>
      <c r="H1516" s="3" t="str">
        <f t="shared" si="1"/>
        <v>(v): tuân theo</v>
      </c>
      <c r="I1516" s="6" t="s">
        <v>8240</v>
      </c>
      <c r="J1516" s="6" t="s">
        <v>8241</v>
      </c>
      <c r="K1516" s="7">
        <f t="shared" si="2"/>
        <v>0.1029061755</v>
      </c>
    </row>
    <row r="1517">
      <c r="A1517" s="4">
        <v>1517.0</v>
      </c>
      <c r="B1517" s="5" t="s">
        <v>8242</v>
      </c>
      <c r="C1517" s="5" t="s">
        <v>8243</v>
      </c>
      <c r="D1517" s="5" t="s">
        <v>8244</v>
      </c>
      <c r="E1517" s="6" t="s">
        <v>74</v>
      </c>
      <c r="F1517" s="6" t="s">
        <v>8245</v>
      </c>
      <c r="G1517" s="3" t="str">
        <f>IFERROR(__xludf.DUMMYFUNCTION("REGEXREPLACE(
D1517,
""([一-龯々]+)\[([^\]]+)\]"",
""&lt;ruby&gt;$1&lt;rt&gt;$2&lt;/rt&gt;&lt;/ruby&gt;""
)&amp;""&lt;br&gt;&lt;div class=""""audio""""&gt;[sound:""&amp;C1517&amp;"".mp3]&lt;/div&gt;"""),"&lt;ruby&gt;担当&lt;rt&gt;たんとう&lt;/rt&gt;&lt;/ruby&gt;&lt;br&gt;&lt;div class=""audio""&gt;[sound:たんとう.mp3]&lt;/div&gt;")</f>
        <v>&lt;ruby&gt;担当&lt;rt&gt;たんとう&lt;/rt&gt;&lt;/ruby&gt;&lt;br&gt;&lt;div class="audio"&gt;[sound:たんとう.mp3]&lt;/div&gt;</v>
      </c>
      <c r="H1517" s="3" t="str">
        <f t="shared" si="1"/>
        <v>(n): đảm nhiệm</v>
      </c>
      <c r="I1517" s="6" t="s">
        <v>8246</v>
      </c>
      <c r="J1517" s="6" t="s">
        <v>8247</v>
      </c>
      <c r="K1517" s="7">
        <f t="shared" si="2"/>
        <v>0.5926612054</v>
      </c>
    </row>
    <row r="1518">
      <c r="A1518" s="4">
        <v>1518.0</v>
      </c>
      <c r="B1518" s="5" t="s">
        <v>8248</v>
      </c>
      <c r="C1518" s="5" t="s">
        <v>8249</v>
      </c>
      <c r="D1518" s="5" t="s">
        <v>8250</v>
      </c>
      <c r="E1518" s="6" t="s">
        <v>74</v>
      </c>
      <c r="F1518" s="6" t="s">
        <v>8251</v>
      </c>
      <c r="G1518" s="3" t="str">
        <f>IFERROR(__xludf.DUMMYFUNCTION("REGEXREPLACE(
D1518,
""([一-龯々]+)\[([^\]]+)\]"",
""&lt;ruby&gt;$1&lt;rt&gt;$2&lt;/rt&gt;&lt;/ruby&gt;""
)&amp;""&lt;br&gt;&lt;div class=""""audio""""&gt;[sound:""&amp;C1518&amp;"".mp3]&lt;/div&gt;"""),"&lt;ruby&gt;誕生日&lt;rt&gt;たんじょうび&lt;/rt&gt;&lt;/ruby&gt;&lt;br&gt;&lt;div class=""audio""&gt;[sound:たんじょうび.mp3]&lt;/div&gt;")</f>
        <v>&lt;ruby&gt;誕生日&lt;rt&gt;たんじょうび&lt;/rt&gt;&lt;/ruby&gt;&lt;br&gt;&lt;div class="audio"&gt;[sound:たんじょうび.mp3]&lt;/div&gt;</v>
      </c>
      <c r="H1518" s="3" t="str">
        <f t="shared" si="1"/>
        <v>(n): sinh nhật</v>
      </c>
      <c r="I1518" s="6" t="s">
        <v>8252</v>
      </c>
      <c r="J1518" s="6" t="s">
        <v>2177</v>
      </c>
      <c r="K1518" s="7">
        <f t="shared" si="2"/>
        <v>0.5921011038</v>
      </c>
    </row>
    <row r="1519">
      <c r="A1519" s="4">
        <v>1519.0</v>
      </c>
      <c r="B1519" s="5" t="s">
        <v>8253</v>
      </c>
      <c r="C1519" s="5" t="s">
        <v>8254</v>
      </c>
      <c r="D1519" s="5" t="s">
        <v>8255</v>
      </c>
      <c r="E1519" s="6" t="s">
        <v>74</v>
      </c>
      <c r="F1519" s="6" t="s">
        <v>6019</v>
      </c>
      <c r="G1519" s="3" t="str">
        <f>IFERROR(__xludf.DUMMYFUNCTION("REGEXREPLACE(
D1519,
""([一-龯々]+)\[([^\]]+)\]"",
""&lt;ruby&gt;$1&lt;rt&gt;$2&lt;/rt&gt;&lt;/ruby&gt;""
)&amp;""&lt;br&gt;&lt;div class=""""audio""""&gt;[sound:""&amp;C1519&amp;"".mp3]&lt;/div&gt;"""),"&lt;ruby&gt;道路&lt;rt&gt;どうろ&lt;/rt&gt;&lt;/ruby&gt;&lt;br&gt;&lt;div class=""audio""&gt;[sound:どうろ.mp3]&lt;/div&gt;")</f>
        <v>&lt;ruby&gt;道路&lt;rt&gt;どうろ&lt;/rt&gt;&lt;/ruby&gt;&lt;br&gt;&lt;div class="audio"&gt;[sound:どうろ.mp3]&lt;/div&gt;</v>
      </c>
      <c r="H1519" s="3" t="str">
        <f t="shared" si="1"/>
        <v>(n): con đường</v>
      </c>
      <c r="I1519" s="6" t="s">
        <v>8256</v>
      </c>
      <c r="J1519" s="6" t="s">
        <v>8257</v>
      </c>
      <c r="K1519" s="7">
        <f t="shared" si="2"/>
        <v>0.3958511349</v>
      </c>
    </row>
    <row r="1520">
      <c r="A1520" s="4">
        <v>1520.0</v>
      </c>
      <c r="B1520" s="5" t="s">
        <v>8258</v>
      </c>
      <c r="C1520" s="5" t="s">
        <v>8259</v>
      </c>
      <c r="D1520" s="5" t="s">
        <v>8258</v>
      </c>
      <c r="E1520" s="6" t="s">
        <v>74</v>
      </c>
      <c r="F1520" s="6" t="s">
        <v>8260</v>
      </c>
      <c r="G1520" s="3" t="str">
        <f>IFERROR(__xludf.DUMMYFUNCTION("REGEXREPLACE(
D1520,
""([一-龯々]+)\[([^\]]+)\]"",
""&lt;ruby&gt;$1&lt;rt&gt;$2&lt;/rt&gt;&lt;/ruby&gt;""
)&amp;""&lt;br&gt;&lt;div class=""""audio""""&gt;[sound:""&amp;C1520&amp;"".mp3]&lt;/div&gt;"""),"パスポート&lt;br&gt;&lt;div class=""audio""&gt;[sound:ぱすぽーと.mp3]&lt;/div&gt;")</f>
        <v>パスポート&lt;br&gt;&lt;div class="audio"&gt;[sound:ぱすぽーと.mp3]&lt;/div&gt;</v>
      </c>
      <c r="H1520" s="3" t="str">
        <f t="shared" si="1"/>
        <v>(n): hộ chiếu</v>
      </c>
      <c r="I1520" s="6" t="s">
        <v>8261</v>
      </c>
      <c r="J1520" s="6" t="s">
        <v>8262</v>
      </c>
      <c r="K1520" s="7">
        <f t="shared" si="2"/>
        <v>0.9247281105</v>
      </c>
    </row>
    <row r="1521">
      <c r="A1521" s="4">
        <v>1521.0</v>
      </c>
      <c r="B1521" s="5" t="s">
        <v>8263</v>
      </c>
      <c r="C1521" s="5" t="s">
        <v>8263</v>
      </c>
      <c r="D1521" s="5" t="s">
        <v>8263</v>
      </c>
      <c r="E1521" s="6" t="s">
        <v>85</v>
      </c>
      <c r="F1521" s="6" t="s">
        <v>8264</v>
      </c>
      <c r="G1521" s="3" t="str">
        <f>IFERROR(__xludf.DUMMYFUNCTION("REGEXREPLACE(
D1521,
""([一-龯々]+)\[([^\]]+)\]"",
""&lt;ruby&gt;$1&lt;rt&gt;$2&lt;/rt&gt;&lt;/ruby&gt;""
)&amp;""&lt;br&gt;&lt;div class=""""audio""""&gt;[sound:""&amp;C1521&amp;"".mp3]&lt;/div&gt;"""),"ぴったり&lt;br&gt;&lt;div class=""audio""&gt;[sound:ぴったり.mp3]&lt;/div&gt;")</f>
        <v>ぴったり&lt;br&gt;&lt;div class="audio"&gt;[sound:ぴったり.mp3]&lt;/div&gt;</v>
      </c>
      <c r="H1521" s="3" t="str">
        <f t="shared" si="1"/>
        <v>(adv): vừa khít</v>
      </c>
      <c r="I1521" s="6" t="s">
        <v>8265</v>
      </c>
      <c r="J1521" s="6" t="s">
        <v>8266</v>
      </c>
      <c r="K1521" s="7">
        <f t="shared" si="2"/>
        <v>0.1723530746</v>
      </c>
    </row>
    <row r="1522">
      <c r="A1522" s="4">
        <v>1522.0</v>
      </c>
      <c r="B1522" s="5" t="s">
        <v>8267</v>
      </c>
      <c r="C1522" s="5" t="s">
        <v>8268</v>
      </c>
      <c r="D1522" s="5" t="s">
        <v>8269</v>
      </c>
      <c r="E1522" s="6" t="s">
        <v>74</v>
      </c>
      <c r="F1522" s="6" t="s">
        <v>8270</v>
      </c>
      <c r="G1522" s="3" t="str">
        <f>IFERROR(__xludf.DUMMYFUNCTION("REGEXREPLACE(
D1522,
""([一-龯々]+)\[([^\]]+)\]"",
""&lt;ruby&gt;$1&lt;rt&gt;$2&lt;/rt&gt;&lt;/ruby&gt;""
)&amp;""&lt;br&gt;&lt;div class=""""audio""""&gt;[sound:""&amp;C1522&amp;"".mp3]&lt;/div&gt;"""),"&lt;ruby&gt;他人&lt;rt&gt;たにん&lt;/rt&gt;&lt;/ruby&gt;&lt;br&gt;&lt;div class=""audio""&gt;[sound:たにん.mp3]&lt;/div&gt;")</f>
        <v>&lt;ruby&gt;他人&lt;rt&gt;たにん&lt;/rt&gt;&lt;/ruby&gt;&lt;br&gt;&lt;div class="audio"&gt;[sound:たにん.mp3]&lt;/div&gt;</v>
      </c>
      <c r="H1522" s="3" t="str">
        <f t="shared" si="1"/>
        <v>(n): người lạ</v>
      </c>
      <c r="I1522" s="6" t="s">
        <v>8271</v>
      </c>
      <c r="J1522" s="6" t="s">
        <v>8272</v>
      </c>
      <c r="K1522" s="7">
        <f t="shared" si="2"/>
        <v>0.5927507018</v>
      </c>
    </row>
    <row r="1523">
      <c r="A1523" s="4">
        <v>1523.0</v>
      </c>
      <c r="B1523" s="5" t="s">
        <v>8273</v>
      </c>
      <c r="C1523" s="5" t="s">
        <v>8274</v>
      </c>
      <c r="D1523" s="5" t="s">
        <v>8275</v>
      </c>
      <c r="E1523" s="6" t="s">
        <v>24</v>
      </c>
      <c r="F1523" s="6" t="s">
        <v>8276</v>
      </c>
      <c r="G1523" s="3" t="str">
        <f>IFERROR(__xludf.DUMMYFUNCTION("REGEXREPLACE(
D1523,
""([一-龯々]+)\[([^\]]+)\]"",
""&lt;ruby&gt;$1&lt;rt&gt;$2&lt;/rt&gt;&lt;/ruby&gt;""
)&amp;""&lt;br&gt;&lt;div class=""""audio""""&gt;[sound:""&amp;C1523&amp;"".mp3]&lt;/div&gt;"""),"&lt;ruby&gt;別&lt;rt&gt;わか&lt;/rt&gt;&lt;/ruby&gt;れる&lt;br&gt;&lt;div class=""audio""&gt;[sound:わかれる.mp3]&lt;/div&gt;")</f>
        <v>&lt;ruby&gt;別&lt;rt&gt;わか&lt;/rt&gt;&lt;/ruby&gt;れる&lt;br&gt;&lt;div class="audio"&gt;[sound:わかれる.mp3]&lt;/div&gt;</v>
      </c>
      <c r="H1523" s="3" t="str">
        <f t="shared" si="1"/>
        <v>(v): chia tay</v>
      </c>
      <c r="I1523" s="6" t="s">
        <v>8277</v>
      </c>
      <c r="J1523" s="6" t="s">
        <v>8278</v>
      </c>
      <c r="K1523" s="7">
        <f t="shared" si="2"/>
        <v>0.3703518486</v>
      </c>
    </row>
    <row r="1524">
      <c r="A1524" s="4">
        <v>1524.0</v>
      </c>
      <c r="B1524" s="5" t="s">
        <v>8279</v>
      </c>
      <c r="C1524" s="5" t="s">
        <v>8280</v>
      </c>
      <c r="D1524" s="5" t="s">
        <v>8281</v>
      </c>
      <c r="E1524" s="6" t="s">
        <v>11</v>
      </c>
      <c r="F1524" s="6" t="s">
        <v>8282</v>
      </c>
      <c r="G1524" s="3" t="str">
        <f>IFERROR(__xludf.DUMMYFUNCTION("REGEXREPLACE(
D1524,
""([一-龯々]+)\[([^\]]+)\]"",
""&lt;ruby&gt;$1&lt;rt&gt;$2&lt;/rt&gt;&lt;/ruby&gt;""
)&amp;""&lt;br&gt;&lt;div class=""""audio""""&gt;[sound:""&amp;C1524&amp;"".mp3]&lt;/div&gt;"""),"&lt;ruby&gt;巨大&lt;rt&gt;きょだい&lt;/rt&gt;&lt;/ruby&gt;&lt;br&gt;&lt;div class=""audio""&gt;[sound:きょだい.mp3]&lt;/div&gt;")</f>
        <v>&lt;ruby&gt;巨大&lt;rt&gt;きょだい&lt;/rt&gt;&lt;/ruby&gt;&lt;br&gt;&lt;div class="audio"&gt;[sound:きょだい.mp3]&lt;/div&gt;</v>
      </c>
      <c r="H1524" s="3" t="str">
        <f t="shared" si="1"/>
        <v>(adj): khổng lồ</v>
      </c>
      <c r="I1524" s="6" t="s">
        <v>8283</v>
      </c>
      <c r="J1524" s="6" t="s">
        <v>8284</v>
      </c>
      <c r="K1524" s="7">
        <f t="shared" si="2"/>
        <v>0.9884044642</v>
      </c>
    </row>
    <row r="1525">
      <c r="A1525" s="4">
        <v>1525.0</v>
      </c>
      <c r="B1525" s="5" t="s">
        <v>8285</v>
      </c>
      <c r="C1525" s="5" t="s">
        <v>8286</v>
      </c>
      <c r="D1525" s="5" t="s">
        <v>8287</v>
      </c>
      <c r="E1525" s="6" t="s">
        <v>74</v>
      </c>
      <c r="F1525" s="6" t="s">
        <v>8288</v>
      </c>
      <c r="G1525" s="3" t="str">
        <f>IFERROR(__xludf.DUMMYFUNCTION("REGEXREPLACE(
D1525,
""([一-龯々]+)\[([^\]]+)\]"",
""&lt;ruby&gt;$1&lt;rt&gt;$2&lt;/rt&gt;&lt;/ruby&gt;""
)&amp;""&lt;br&gt;&lt;div class=""""audio""""&gt;[sound:""&amp;C1525&amp;"".mp3]&lt;/div&gt;"""),"&lt;ruby&gt;影&lt;rt&gt;かげ&lt;/rt&gt;&lt;/ruby&gt;&lt;br&gt;&lt;div class=""audio""&gt;[sound:かげ.mp3]&lt;/div&gt;")</f>
        <v>&lt;ruby&gt;影&lt;rt&gt;かげ&lt;/rt&gt;&lt;/ruby&gt;&lt;br&gt;&lt;div class="audio"&gt;[sound:かげ.mp3]&lt;/div&gt;</v>
      </c>
      <c r="H1525" s="3" t="str">
        <f t="shared" si="1"/>
        <v>(n): cái bóng</v>
      </c>
      <c r="I1525" s="6" t="s">
        <v>8289</v>
      </c>
      <c r="J1525" s="6" t="s">
        <v>8290</v>
      </c>
      <c r="K1525" s="7">
        <f t="shared" si="2"/>
        <v>0.7626301091</v>
      </c>
    </row>
    <row r="1526">
      <c r="A1526" s="4">
        <v>1526.0</v>
      </c>
      <c r="B1526" s="5" t="s">
        <v>8291</v>
      </c>
      <c r="C1526" s="5" t="s">
        <v>8292</v>
      </c>
      <c r="D1526" s="5" t="s">
        <v>8293</v>
      </c>
      <c r="E1526" s="6" t="s">
        <v>74</v>
      </c>
      <c r="F1526" s="6" t="s">
        <v>8294</v>
      </c>
      <c r="G1526" s="3" t="str">
        <f>IFERROR(__xludf.DUMMYFUNCTION("REGEXREPLACE(
D1526,
""([一-龯々]+)\[([^\]]+)\]"",
""&lt;ruby&gt;$1&lt;rt&gt;$2&lt;/rt&gt;&lt;/ruby&gt;""
)&amp;""&lt;br&gt;&lt;div class=""""audio""""&gt;[sound:""&amp;C1526&amp;"".mp3]&lt;/div&gt;"""),"&lt;ruby&gt;結論&lt;rt&gt;けつろん&lt;/rt&gt;&lt;/ruby&gt;&lt;br&gt;&lt;div class=""audio""&gt;[sound:けつろん.mp3]&lt;/div&gt;")</f>
        <v>&lt;ruby&gt;結論&lt;rt&gt;けつろん&lt;/rt&gt;&lt;/ruby&gt;&lt;br&gt;&lt;div class="audio"&gt;[sound:けつろん.mp3]&lt;/div&gt;</v>
      </c>
      <c r="H1526" s="3" t="str">
        <f t="shared" si="1"/>
        <v>(n): kết luận</v>
      </c>
      <c r="I1526" s="6" t="s">
        <v>8295</v>
      </c>
      <c r="J1526" s="6" t="s">
        <v>8296</v>
      </c>
      <c r="K1526" s="7">
        <f t="shared" si="2"/>
        <v>0.6911830784</v>
      </c>
    </row>
    <row r="1527">
      <c r="A1527" s="4">
        <v>1527.0</v>
      </c>
      <c r="B1527" s="5" t="s">
        <v>8297</v>
      </c>
      <c r="C1527" s="5" t="s">
        <v>8298</v>
      </c>
      <c r="D1527" s="5" t="s">
        <v>8299</v>
      </c>
      <c r="E1527" s="6" t="s">
        <v>24</v>
      </c>
      <c r="F1527" s="6" t="s">
        <v>8300</v>
      </c>
      <c r="G1527" s="3" t="str">
        <f>IFERROR(__xludf.DUMMYFUNCTION("REGEXREPLACE(
D1527,
""([一-龯々]+)\[([^\]]+)\]"",
""&lt;ruby&gt;$1&lt;rt&gt;$2&lt;/rt&gt;&lt;/ruby&gt;""
)&amp;""&lt;br&gt;&lt;div class=""""audio""""&gt;[sound:""&amp;C1527&amp;"".mp3]&lt;/div&gt;"""),"&lt;ruby&gt;高&lt;rt&gt;たか&lt;/rt&gt;&lt;/ruby&gt;まる&lt;br&gt;&lt;div class=""audio""&gt;[sound:たかまる.mp3]&lt;/div&gt;")</f>
        <v>&lt;ruby&gt;高&lt;rt&gt;たか&lt;/rt&gt;&lt;/ruby&gt;まる&lt;br&gt;&lt;div class="audio"&gt;[sound:たかまる.mp3]&lt;/div&gt;</v>
      </c>
      <c r="H1527" s="3" t="str">
        <f t="shared" si="1"/>
        <v>(v): dâng cao</v>
      </c>
      <c r="I1527" s="6" t="s">
        <v>8301</v>
      </c>
      <c r="J1527" s="6" t="s">
        <v>8302</v>
      </c>
      <c r="K1527" s="7">
        <f t="shared" si="2"/>
        <v>0.3874193459</v>
      </c>
    </row>
    <row r="1528">
      <c r="A1528" s="4">
        <v>1528.0</v>
      </c>
      <c r="B1528" s="5" t="s">
        <v>8303</v>
      </c>
      <c r="C1528" s="5" t="s">
        <v>8304</v>
      </c>
      <c r="D1528" s="5" t="s">
        <v>8305</v>
      </c>
      <c r="E1528" s="6" t="s">
        <v>74</v>
      </c>
      <c r="F1528" s="6" t="s">
        <v>8306</v>
      </c>
      <c r="G1528" s="3" t="str">
        <f>IFERROR(__xludf.DUMMYFUNCTION("REGEXREPLACE(
D1528,
""([一-龯々]+)\[([^\]]+)\]"",
""&lt;ruby&gt;$1&lt;rt&gt;$2&lt;/rt&gt;&lt;/ruby&gt;""
)&amp;""&lt;br&gt;&lt;div class=""""audio""""&gt;[sound:""&amp;C1528&amp;"".mp3]&lt;/div&gt;"""),"&lt;ruby&gt;体制&lt;rt&gt;たいせい&lt;/rt&gt;&lt;/ruby&gt;&lt;br&gt;&lt;div class=""audio""&gt;[sound:たいせい.mp3]&lt;/div&gt;")</f>
        <v>&lt;ruby&gt;体制&lt;rt&gt;たいせい&lt;/rt&gt;&lt;/ruby&gt;&lt;br&gt;&lt;div class="audio"&gt;[sound:たいせい.mp3]&lt;/div&gt;</v>
      </c>
      <c r="H1528" s="3" t="str">
        <f t="shared" si="1"/>
        <v>(n): thể chế</v>
      </c>
      <c r="I1528" s="6" t="s">
        <v>8307</v>
      </c>
      <c r="J1528" s="6" t="s">
        <v>8308</v>
      </c>
      <c r="K1528" s="7">
        <f t="shared" si="2"/>
        <v>0.7551196908</v>
      </c>
    </row>
    <row r="1529">
      <c r="A1529" s="4">
        <v>1529.0</v>
      </c>
      <c r="B1529" s="5" t="s">
        <v>8309</v>
      </c>
      <c r="C1529" s="5" t="s">
        <v>8310</v>
      </c>
      <c r="D1529" s="5" t="s">
        <v>8311</v>
      </c>
      <c r="E1529" s="6" t="s">
        <v>74</v>
      </c>
      <c r="F1529" s="6" t="s">
        <v>8312</v>
      </c>
      <c r="G1529" s="3" t="str">
        <f>IFERROR(__xludf.DUMMYFUNCTION("REGEXREPLACE(
D1529,
""([一-龯々]+)\[([^\]]+)\]"",
""&lt;ruby&gt;$1&lt;rt&gt;$2&lt;/rt&gt;&lt;/ruby&gt;""
)&amp;""&lt;br&gt;&lt;div class=""""audio""""&gt;[sound:""&amp;C1529&amp;"".mp3]&lt;/div&gt;"""),"&lt;ruby&gt;期待&lt;rt&gt;きたい&lt;/rt&gt;&lt;/ruby&gt;&lt;br&gt;&lt;div class=""audio""&gt;[sound:きたい.mp3]&lt;/div&gt;")</f>
        <v>&lt;ruby&gt;期待&lt;rt&gt;きたい&lt;/rt&gt;&lt;/ruby&gt;&lt;br&gt;&lt;div class="audio"&gt;[sound:きたい.mp3]&lt;/div&gt;</v>
      </c>
      <c r="H1529" s="3" t="str">
        <f t="shared" si="1"/>
        <v>(n): kỳ vọng</v>
      </c>
      <c r="I1529" s="6" t="s">
        <v>8313</v>
      </c>
      <c r="J1529" s="6" t="s">
        <v>8314</v>
      </c>
      <c r="K1529" s="7">
        <f t="shared" si="2"/>
        <v>0.7448064004</v>
      </c>
    </row>
    <row r="1530">
      <c r="A1530" s="4">
        <v>1530.0</v>
      </c>
      <c r="B1530" s="5" t="s">
        <v>8315</v>
      </c>
      <c r="C1530" s="5" t="s">
        <v>8316</v>
      </c>
      <c r="D1530" s="5" t="s">
        <v>8317</v>
      </c>
      <c r="E1530" s="6" t="s">
        <v>74</v>
      </c>
      <c r="F1530" s="6" t="s">
        <v>8318</v>
      </c>
      <c r="G1530" s="3" t="str">
        <f>IFERROR(__xludf.DUMMYFUNCTION("REGEXREPLACE(
D1530,
""([一-龯々]+)\[([^\]]+)\]"",
""&lt;ruby&gt;$1&lt;rt&gt;$2&lt;/rt&gt;&lt;/ruby&gt;""
)&amp;""&lt;br&gt;&lt;div class=""""audio""""&gt;[sound:""&amp;C1530&amp;"".mp3]&lt;/div&gt;"""),"&lt;ruby&gt;道具&lt;rt&gt;どうぐ&lt;/rt&gt;&lt;/ruby&gt;&lt;br&gt;&lt;div class=""audio""&gt;[sound:どうぐ.mp3]&lt;/div&gt;")</f>
        <v>&lt;ruby&gt;道具&lt;rt&gt;どうぐ&lt;/rt&gt;&lt;/ruby&gt;&lt;br&gt;&lt;div class="audio"&gt;[sound:どうぐ.mp3]&lt;/div&gt;</v>
      </c>
      <c r="H1530" s="3" t="str">
        <f t="shared" si="1"/>
        <v>(n): dụng cụ</v>
      </c>
      <c r="I1530" s="6" t="s">
        <v>8319</v>
      </c>
      <c r="J1530" s="6" t="s">
        <v>8320</v>
      </c>
      <c r="K1530" s="7">
        <f t="shared" si="2"/>
        <v>0.2710875795</v>
      </c>
    </row>
    <row r="1531">
      <c r="A1531" s="4">
        <v>1531.0</v>
      </c>
      <c r="B1531" s="5" t="s">
        <v>8321</v>
      </c>
      <c r="C1531" s="5" t="s">
        <v>56</v>
      </c>
      <c r="D1531" s="5" t="s">
        <v>8322</v>
      </c>
      <c r="E1531" s="6" t="s">
        <v>74</v>
      </c>
      <c r="F1531" s="6" t="s">
        <v>7024</v>
      </c>
      <c r="G1531" s="3" t="str">
        <f>IFERROR(__xludf.DUMMYFUNCTION("REGEXREPLACE(
D1531,
""([一-龯々]+)\[([^\]]+)\]"",
""&lt;ruby&gt;$1&lt;rt&gt;$2&lt;/rt&gt;&lt;/ruby&gt;""
)&amp;""&lt;br&gt;&lt;div class=""""audio""""&gt;[sound:""&amp;C1531&amp;"".mp3]&lt;/div&gt;"""),"&lt;ruby&gt;位置&lt;rt&gt;いち&lt;/rt&gt;&lt;/ruby&gt;&lt;br&gt;&lt;div class=""audio""&gt;[sound:いち.mp3]&lt;/div&gt;")</f>
        <v>&lt;ruby&gt;位置&lt;rt&gt;いち&lt;/rt&gt;&lt;/ruby&gt;&lt;br&gt;&lt;div class="audio"&gt;[sound:いち.mp3]&lt;/div&gt;</v>
      </c>
      <c r="H1531" s="3" t="str">
        <f t="shared" si="1"/>
        <v>(n): vị trí</v>
      </c>
      <c r="I1531" s="6" t="s">
        <v>8323</v>
      </c>
      <c r="J1531" s="6" t="s">
        <v>8324</v>
      </c>
      <c r="K1531" s="7">
        <f t="shared" si="2"/>
        <v>0.888809055</v>
      </c>
    </row>
    <row r="1532">
      <c r="A1532" s="4">
        <v>1532.0</v>
      </c>
      <c r="B1532" s="5" t="s">
        <v>8325</v>
      </c>
      <c r="C1532" s="5" t="s">
        <v>8326</v>
      </c>
      <c r="D1532" s="5" t="s">
        <v>8327</v>
      </c>
      <c r="E1532" s="6" t="s">
        <v>74</v>
      </c>
      <c r="F1532" s="6" t="s">
        <v>8328</v>
      </c>
      <c r="G1532" s="3" t="str">
        <f>IFERROR(__xludf.DUMMYFUNCTION("REGEXREPLACE(
D1532,
""([一-龯々]+)\[([^\]]+)\]"",
""&lt;ruby&gt;$1&lt;rt&gt;$2&lt;/rt&gt;&lt;/ruby&gt;""
)&amp;""&lt;br&gt;&lt;div class=""""audio""""&gt;[sound:""&amp;C1532&amp;"".mp3]&lt;/div&gt;"""),"&lt;ruby&gt;作成&lt;rt&gt;さくせい&lt;/rt&gt;&lt;/ruby&gt;&lt;br&gt;&lt;div class=""audio""&gt;[sound:さくせい.mp3]&lt;/div&gt;")</f>
        <v>&lt;ruby&gt;作成&lt;rt&gt;さくせい&lt;/rt&gt;&lt;/ruby&gt;&lt;br&gt;&lt;div class="audio"&gt;[sound:さくせい.mp3]&lt;/div&gt;</v>
      </c>
      <c r="H1532" s="3" t="str">
        <f t="shared" si="1"/>
        <v>(n): tạo ra</v>
      </c>
      <c r="I1532" s="6" t="s">
        <v>8329</v>
      </c>
      <c r="J1532" s="6" t="s">
        <v>8330</v>
      </c>
      <c r="K1532" s="7">
        <f t="shared" si="2"/>
        <v>0.6055727389</v>
      </c>
    </row>
    <row r="1533">
      <c r="A1533" s="4">
        <v>1533.0</v>
      </c>
      <c r="B1533" s="5" t="s">
        <v>8331</v>
      </c>
      <c r="C1533" s="5" t="s">
        <v>8332</v>
      </c>
      <c r="D1533" s="5" t="s">
        <v>8333</v>
      </c>
      <c r="E1533" s="6" t="s">
        <v>24</v>
      </c>
      <c r="F1533" s="6" t="s">
        <v>8334</v>
      </c>
      <c r="G1533" s="3" t="str">
        <f>IFERROR(__xludf.DUMMYFUNCTION("REGEXREPLACE(
D1533,
""([一-龯々]+)\[([^\]]+)\]"",
""&lt;ruby&gt;$1&lt;rt&gt;$2&lt;/rt&gt;&lt;/ruby&gt;""
)&amp;""&lt;br&gt;&lt;div class=""""audio""""&gt;[sound:""&amp;C1533&amp;"".mp3]&lt;/div&gt;"""),"&lt;ruby&gt;残&lt;rt&gt;のこ&lt;/rt&gt;&lt;/ruby&gt;す&lt;br&gt;&lt;div class=""audio""&gt;[sound:のこす.mp3]&lt;/div&gt;")</f>
        <v>&lt;ruby&gt;残&lt;rt&gt;のこ&lt;/rt&gt;&lt;/ruby&gt;す&lt;br&gt;&lt;div class="audio"&gt;[sound:のこす.mp3]&lt;/div&gt;</v>
      </c>
      <c r="H1533" s="3" t="str">
        <f t="shared" si="1"/>
        <v>(v): để lại</v>
      </c>
      <c r="I1533" s="6" t="s">
        <v>8335</v>
      </c>
      <c r="J1533" s="6" t="s">
        <v>8336</v>
      </c>
      <c r="K1533" s="7">
        <f t="shared" si="2"/>
        <v>0.7855078167</v>
      </c>
    </row>
    <row r="1534">
      <c r="A1534" s="4">
        <v>1534.0</v>
      </c>
      <c r="B1534" s="5" t="s">
        <v>8337</v>
      </c>
      <c r="C1534" s="5" t="s">
        <v>8338</v>
      </c>
      <c r="D1534" s="5" t="s">
        <v>8339</v>
      </c>
      <c r="E1534" s="6" t="s">
        <v>74</v>
      </c>
      <c r="F1534" s="6" t="s">
        <v>8340</v>
      </c>
      <c r="G1534" s="3" t="str">
        <f>IFERROR(__xludf.DUMMYFUNCTION("REGEXREPLACE(
D1534,
""([一-龯々]+)\[([^\]]+)\]"",
""&lt;ruby&gt;$1&lt;rt&gt;$2&lt;/rt&gt;&lt;/ruby&gt;""
)&amp;""&lt;br&gt;&lt;div class=""""audio""""&gt;[sound:""&amp;C1534&amp;"".mp3]&lt;/div&gt;"""),"&lt;ruby&gt;応援&lt;rt&gt;おうえん&lt;/rt&gt;&lt;/ruby&gt;&lt;br&gt;&lt;div class=""audio""&gt;[sound:おうえん.mp3]&lt;/div&gt;")</f>
        <v>&lt;ruby&gt;応援&lt;rt&gt;おうえん&lt;/rt&gt;&lt;/ruby&gt;&lt;br&gt;&lt;div class="audio"&gt;[sound:おうえん.mp3]&lt;/div&gt;</v>
      </c>
      <c r="H1534" s="3" t="str">
        <f t="shared" si="1"/>
        <v>(n): cổ vũ</v>
      </c>
      <c r="I1534" s="6" t="s">
        <v>8341</v>
      </c>
      <c r="J1534" s="6" t="s">
        <v>8342</v>
      </c>
      <c r="K1534" s="7">
        <f t="shared" si="2"/>
        <v>0.8981147185</v>
      </c>
    </row>
    <row r="1535">
      <c r="A1535" s="4">
        <v>1535.0</v>
      </c>
      <c r="B1535" s="5" t="s">
        <v>8343</v>
      </c>
      <c r="C1535" s="5" t="s">
        <v>289</v>
      </c>
      <c r="D1535" s="5" t="s">
        <v>8344</v>
      </c>
      <c r="E1535" s="6" t="s">
        <v>24</v>
      </c>
      <c r="F1535" s="6" t="s">
        <v>8345</v>
      </c>
      <c r="G1535" s="3" t="str">
        <f>IFERROR(__xludf.DUMMYFUNCTION("REGEXREPLACE(
D1535,
""([一-龯々]+)\[([^\]]+)\]"",
""&lt;ruby&gt;$1&lt;rt&gt;$2&lt;/rt&gt;&lt;/ruby&gt;""
)&amp;""&lt;br&gt;&lt;div class=""""audio""""&gt;[sound:""&amp;C1535&amp;"".mp3]&lt;/div&gt;"""),"&lt;ruby&gt;要&lt;rt&gt;い&lt;/rt&gt;&lt;/ruby&gt;る&lt;br&gt;&lt;div class=""audio""&gt;[sound:いる.mp3]&lt;/div&gt;")</f>
        <v>&lt;ruby&gt;要&lt;rt&gt;い&lt;/rt&gt;&lt;/ruby&gt;る&lt;br&gt;&lt;div class="audio"&gt;[sound:いる.mp3]&lt;/div&gt;</v>
      </c>
      <c r="H1535" s="3" t="str">
        <f t="shared" si="1"/>
        <v>(v): cần</v>
      </c>
      <c r="I1535" s="6" t="s">
        <v>8346</v>
      </c>
      <c r="J1535" s="6" t="s">
        <v>8347</v>
      </c>
      <c r="K1535" s="7">
        <f t="shared" si="2"/>
        <v>0.9908374217</v>
      </c>
    </row>
    <row r="1536">
      <c r="A1536" s="4">
        <v>1536.0</v>
      </c>
      <c r="B1536" s="5" t="s">
        <v>8348</v>
      </c>
      <c r="C1536" s="5" t="s">
        <v>8349</v>
      </c>
      <c r="D1536" s="5" t="s">
        <v>8350</v>
      </c>
      <c r="E1536" s="6" t="s">
        <v>74</v>
      </c>
      <c r="F1536" s="6" t="s">
        <v>8351</v>
      </c>
      <c r="G1536" s="3" t="str">
        <f>IFERROR(__xludf.DUMMYFUNCTION("REGEXREPLACE(
D1536,
""([一-龯々]+)\[([^\]]+)\]"",
""&lt;ruby&gt;$1&lt;rt&gt;$2&lt;/rt&gt;&lt;/ruby&gt;""
)&amp;""&lt;br&gt;&lt;div class=""""audio""""&gt;[sound:""&amp;C1536&amp;"".mp3]&lt;/div&gt;"""),"&lt;ruby&gt;芸術&lt;rt&gt;げいじゅつ&lt;/rt&gt;&lt;/ruby&gt;&lt;br&gt;&lt;div class=""audio""&gt;[sound:げいじゅつ.mp3]&lt;/div&gt;")</f>
        <v>&lt;ruby&gt;芸術&lt;rt&gt;げいじゅつ&lt;/rt&gt;&lt;/ruby&gt;&lt;br&gt;&lt;div class="audio"&gt;[sound:げいじゅつ.mp3]&lt;/div&gt;</v>
      </c>
      <c r="H1536" s="3" t="str">
        <f t="shared" si="1"/>
        <v>(n): nghệ thuật</v>
      </c>
      <c r="I1536" s="6" t="s">
        <v>8352</v>
      </c>
      <c r="J1536" s="6" t="s">
        <v>8353</v>
      </c>
      <c r="K1536" s="7">
        <f t="shared" si="2"/>
        <v>0.1705051945</v>
      </c>
    </row>
    <row r="1537">
      <c r="A1537" s="4">
        <v>1537.0</v>
      </c>
      <c r="B1537" s="5" t="s">
        <v>8354</v>
      </c>
      <c r="C1537" s="5" t="s">
        <v>8355</v>
      </c>
      <c r="D1537" s="5" t="s">
        <v>8356</v>
      </c>
      <c r="E1537" s="6" t="s">
        <v>74</v>
      </c>
      <c r="F1537" s="6" t="s">
        <v>8357</v>
      </c>
      <c r="G1537" s="3" t="str">
        <f>IFERROR(__xludf.DUMMYFUNCTION("REGEXREPLACE(
D1537,
""([一-龯々]+)\[([^\]]+)\]"",
""&lt;ruby&gt;$1&lt;rt&gt;$2&lt;/rt&gt;&lt;/ruby&gt;""
)&amp;""&lt;br&gt;&lt;div class=""""audio""""&gt;[sound:""&amp;C1537&amp;"".mp3]&lt;/div&gt;"""),"&lt;ruby&gt;利益&lt;rt&gt;りえき&lt;/rt&gt;&lt;/ruby&gt;&lt;br&gt;&lt;div class=""audio""&gt;[sound:りえき.mp3]&lt;/div&gt;")</f>
        <v>&lt;ruby&gt;利益&lt;rt&gt;りえき&lt;/rt&gt;&lt;/ruby&gt;&lt;br&gt;&lt;div class="audio"&gt;[sound:りえき.mp3]&lt;/div&gt;</v>
      </c>
      <c r="H1537" s="3" t="str">
        <f t="shared" si="1"/>
        <v>(n): lợi nhuận</v>
      </c>
      <c r="I1537" s="6" t="s">
        <v>8358</v>
      </c>
      <c r="J1537" s="6" t="s">
        <v>8359</v>
      </c>
      <c r="K1537" s="7">
        <f t="shared" si="2"/>
        <v>0.1317446465</v>
      </c>
    </row>
    <row r="1538">
      <c r="A1538" s="4">
        <v>1538.0</v>
      </c>
      <c r="B1538" s="5" t="s">
        <v>8360</v>
      </c>
      <c r="C1538" s="5" t="s">
        <v>8361</v>
      </c>
      <c r="D1538" s="5" t="s">
        <v>8362</v>
      </c>
      <c r="E1538" s="6" t="s">
        <v>74</v>
      </c>
      <c r="F1538" s="6" t="s">
        <v>8363</v>
      </c>
      <c r="G1538" s="3" t="str">
        <f>IFERROR(__xludf.DUMMYFUNCTION("REGEXREPLACE(
D1538,
""([一-龯々]+)\[([^\]]+)\]"",
""&lt;ruby&gt;$1&lt;rt&gt;$2&lt;/rt&gt;&lt;/ruby&gt;""
)&amp;""&lt;br&gt;&lt;div class=""""audio""""&gt;[sound:""&amp;C1538&amp;"".mp3]&lt;/div&gt;"""),"&lt;ruby&gt;売上&lt;rt&gt;うりあげ&lt;/rt&gt;&lt;/ruby&gt;&lt;br&gt;&lt;div class=""audio""&gt;[sound:うりあげ.mp3]&lt;/div&gt;")</f>
        <v>&lt;ruby&gt;売上&lt;rt&gt;うりあげ&lt;/rt&gt;&lt;/ruby&gt;&lt;br&gt;&lt;div class="audio"&gt;[sound:うりあげ.mp3]&lt;/div&gt;</v>
      </c>
      <c r="H1538" s="3" t="str">
        <f t="shared" si="1"/>
        <v>(n): doanh thu</v>
      </c>
      <c r="I1538" s="6" t="s">
        <v>8364</v>
      </c>
      <c r="J1538" s="6" t="s">
        <v>8365</v>
      </c>
      <c r="K1538" s="7">
        <f t="shared" si="2"/>
        <v>0.626133846</v>
      </c>
    </row>
    <row r="1539">
      <c r="A1539" s="4">
        <v>1539.0</v>
      </c>
      <c r="B1539" s="5" t="s">
        <v>8366</v>
      </c>
      <c r="C1539" s="5" t="s">
        <v>8367</v>
      </c>
      <c r="D1539" s="5" t="s">
        <v>8368</v>
      </c>
      <c r="E1539" s="6" t="s">
        <v>11</v>
      </c>
      <c r="F1539" s="6" t="s">
        <v>8369</v>
      </c>
      <c r="G1539" s="3" t="str">
        <f>IFERROR(__xludf.DUMMYFUNCTION("REGEXREPLACE(
D1539,
""([一-龯々]+)\[([^\]]+)\]"",
""&lt;ruby&gt;$1&lt;rt&gt;$2&lt;/rt&gt;&lt;/ruby&gt;""
)&amp;""&lt;br&gt;&lt;div class=""""audio""""&gt;[sound:""&amp;C1539&amp;"".mp3]&lt;/div&gt;"""),"&lt;ruby&gt;幸&lt;rt&gt;しあわ&lt;/rt&gt;&lt;/ruby&gt;せ&lt;br&gt;&lt;div class=""audio""&gt;[sound:しあわせ.mp3]&lt;/div&gt;")</f>
        <v>&lt;ruby&gt;幸&lt;rt&gt;しあわ&lt;/rt&gt;&lt;/ruby&gt;せ&lt;br&gt;&lt;div class="audio"&gt;[sound:しあわせ.mp3]&lt;/div&gt;</v>
      </c>
      <c r="H1539" s="3" t="str">
        <f t="shared" si="1"/>
        <v>(adj): hạnh phúc</v>
      </c>
      <c r="I1539" s="6" t="s">
        <v>8370</v>
      </c>
      <c r="J1539" s="6" t="s">
        <v>8371</v>
      </c>
      <c r="K1539" s="7">
        <f t="shared" si="2"/>
        <v>0.0984801264</v>
      </c>
    </row>
    <row r="1540">
      <c r="A1540" s="4">
        <v>1540.0</v>
      </c>
      <c r="B1540" s="5" t="s">
        <v>8372</v>
      </c>
      <c r="C1540" s="5" t="s">
        <v>8373</v>
      </c>
      <c r="D1540" s="5" t="s">
        <v>8374</v>
      </c>
      <c r="E1540" s="6" t="s">
        <v>74</v>
      </c>
      <c r="F1540" s="6" t="s">
        <v>8375</v>
      </c>
      <c r="G1540" s="3" t="str">
        <f>IFERROR(__xludf.DUMMYFUNCTION("REGEXREPLACE(
D1540,
""([一-龯々]+)\[([^\]]+)\]"",
""&lt;ruby&gt;$1&lt;rt&gt;$2&lt;/rt&gt;&lt;/ruby&gt;""
)&amp;""&lt;br&gt;&lt;div class=""""audio""""&gt;[sound:""&amp;C1540&amp;"".mp3]&lt;/div&gt;"""),"&lt;ruby&gt;我慢&lt;rt&gt;がまん&lt;/rt&gt;&lt;/ruby&gt;&lt;br&gt;&lt;div class=""audio""&gt;[sound:がまん.mp3]&lt;/div&gt;")</f>
        <v>&lt;ruby&gt;我慢&lt;rt&gt;がまん&lt;/rt&gt;&lt;/ruby&gt;&lt;br&gt;&lt;div class="audio"&gt;[sound:がまん.mp3]&lt;/div&gt;</v>
      </c>
      <c r="H1540" s="3" t="str">
        <f t="shared" si="1"/>
        <v>(n): kiên nhẫn</v>
      </c>
      <c r="I1540" s="6" t="s">
        <v>8376</v>
      </c>
      <c r="J1540" s="6" t="s">
        <v>8377</v>
      </c>
      <c r="K1540" s="7">
        <f t="shared" si="2"/>
        <v>0.8399603411</v>
      </c>
    </row>
    <row r="1541">
      <c r="A1541" s="4">
        <v>1541.0</v>
      </c>
      <c r="B1541" s="5" t="s">
        <v>8378</v>
      </c>
      <c r="C1541" s="5" t="s">
        <v>8379</v>
      </c>
      <c r="D1541" s="5" t="s">
        <v>8380</v>
      </c>
      <c r="E1541" s="6" t="s">
        <v>24</v>
      </c>
      <c r="F1541" s="6" t="s">
        <v>8381</v>
      </c>
      <c r="G1541" s="3" t="str">
        <f>IFERROR(__xludf.DUMMYFUNCTION("REGEXREPLACE(
D1541,
""([一-龯々]+)\[([^\]]+)\]"",
""&lt;ruby&gt;$1&lt;rt&gt;$2&lt;/rt&gt;&lt;/ruby&gt;""
)&amp;""&lt;br&gt;&lt;div class=""""audio""""&gt;[sound:""&amp;C1541&amp;"".mp3]&lt;/div&gt;"""),"&lt;ruby&gt;現&lt;rt&gt;あらわ&lt;/rt&gt;&lt;/ruby&gt;れる&lt;br&gt;&lt;div class=""audio""&gt;[sound:あらわれる.mp3]&lt;/div&gt;")</f>
        <v>&lt;ruby&gt;現&lt;rt&gt;あらわ&lt;/rt&gt;&lt;/ruby&gt;れる&lt;br&gt;&lt;div class="audio"&gt;[sound:あらわれる.mp3]&lt;/div&gt;</v>
      </c>
      <c r="H1541" s="3" t="str">
        <f t="shared" si="1"/>
        <v>(v): xuất hiện</v>
      </c>
      <c r="I1541" s="6" t="s">
        <v>8382</v>
      </c>
      <c r="J1541" s="6" t="s">
        <v>8383</v>
      </c>
      <c r="K1541" s="7">
        <f t="shared" si="2"/>
        <v>0.2240051574</v>
      </c>
    </row>
    <row r="1542">
      <c r="A1542" s="4">
        <v>1542.0</v>
      </c>
      <c r="B1542" s="5" t="s">
        <v>8384</v>
      </c>
      <c r="C1542" s="5" t="s">
        <v>8385</v>
      </c>
      <c r="D1542" s="5" t="s">
        <v>8386</v>
      </c>
      <c r="E1542" s="6" t="s">
        <v>74</v>
      </c>
      <c r="F1542" s="6" t="s">
        <v>8387</v>
      </c>
      <c r="G1542" s="3" t="str">
        <f>IFERROR(__xludf.DUMMYFUNCTION("REGEXREPLACE(
D1542,
""([一-龯々]+)\[([^\]]+)\]"",
""&lt;ruby&gt;$1&lt;rt&gt;$2&lt;/rt&gt;&lt;/ruby&gt;""
)&amp;""&lt;br&gt;&lt;div class=""""audio""""&gt;[sound:""&amp;C1542&amp;"".mp3]&lt;/div&gt;"""),"&lt;ruby&gt;現実&lt;rt&gt;げんじつ&lt;/rt&gt;&lt;/ruby&gt;&lt;br&gt;&lt;div class=""audio""&gt;[sound:げんじつ.mp3]&lt;/div&gt;")</f>
        <v>&lt;ruby&gt;現実&lt;rt&gt;げんじつ&lt;/rt&gt;&lt;/ruby&gt;&lt;br&gt;&lt;div class="audio"&gt;[sound:げんじつ.mp3]&lt;/div&gt;</v>
      </c>
      <c r="H1542" s="3" t="str">
        <f t="shared" si="1"/>
        <v>(n): hiện thực</v>
      </c>
      <c r="I1542" s="6" t="s">
        <v>8388</v>
      </c>
      <c r="J1542" s="6" t="s">
        <v>8389</v>
      </c>
      <c r="K1542" s="7">
        <f t="shared" si="2"/>
        <v>0.8289777021</v>
      </c>
    </row>
    <row r="1543">
      <c r="A1543" s="4">
        <v>1543.0</v>
      </c>
      <c r="B1543" s="5" t="s">
        <v>8390</v>
      </c>
      <c r="C1543" s="5" t="s">
        <v>8391</v>
      </c>
      <c r="D1543" s="5" t="s">
        <v>8392</v>
      </c>
      <c r="E1543" s="6" t="s">
        <v>74</v>
      </c>
      <c r="F1543" s="6" t="s">
        <v>8393</v>
      </c>
      <c r="G1543" s="3" t="str">
        <f>IFERROR(__xludf.DUMMYFUNCTION("REGEXREPLACE(
D1543,
""([一-龯々]+)\[([^\]]+)\]"",
""&lt;ruby&gt;$1&lt;rt&gt;$2&lt;/rt&gt;&lt;/ruby&gt;""
)&amp;""&lt;br&gt;&lt;div class=""""audio""""&gt;[sound:""&amp;C1543&amp;"".mp3]&lt;/div&gt;"""),"&lt;ruby&gt;逆&lt;rt&gt;ぎゃく&lt;/rt&gt;&lt;/ruby&gt;&lt;br&gt;&lt;div class=""audio""&gt;[sound:ぎゃく.mp3]&lt;/div&gt;")</f>
        <v>&lt;ruby&gt;逆&lt;rt&gt;ぎゃく&lt;/rt&gt;&lt;/ruby&gt;&lt;br&gt;&lt;div class="audio"&gt;[sound:ぎゃく.mp3]&lt;/div&gt;</v>
      </c>
      <c r="H1543" s="3" t="str">
        <f t="shared" si="1"/>
        <v>(n): ngược lại</v>
      </c>
      <c r="I1543" s="6" t="s">
        <v>8394</v>
      </c>
      <c r="J1543" s="6" t="s">
        <v>8395</v>
      </c>
      <c r="K1543" s="7">
        <f t="shared" si="2"/>
        <v>0.9421817046</v>
      </c>
    </row>
    <row r="1544">
      <c r="A1544" s="4">
        <v>1544.0</v>
      </c>
      <c r="B1544" s="5" t="s">
        <v>8396</v>
      </c>
      <c r="C1544" s="5" t="s">
        <v>8397</v>
      </c>
      <c r="D1544" s="5" t="s">
        <v>8396</v>
      </c>
      <c r="E1544" s="6" t="s">
        <v>74</v>
      </c>
      <c r="F1544" s="6" t="s">
        <v>8398</v>
      </c>
      <c r="G1544" s="3" t="str">
        <f>IFERROR(__xludf.DUMMYFUNCTION("REGEXREPLACE(
D1544,
""([一-龯々]+)\[([^\]]+)\]"",
""&lt;ruby&gt;$1&lt;rt&gt;$2&lt;/rt&gt;&lt;/ruby&gt;""
)&amp;""&lt;br&gt;&lt;div class=""""audio""""&gt;[sound:""&amp;C1544&amp;"".mp3]&lt;/div&gt;"""),"バンド&lt;br&gt;&lt;div class=""audio""&gt;[sound:ばんど.mp3]&lt;/div&gt;")</f>
        <v>バンド&lt;br&gt;&lt;div class="audio"&gt;[sound:ばんど.mp3]&lt;/div&gt;</v>
      </c>
      <c r="H1544" s="3" t="str">
        <f t="shared" si="1"/>
        <v>(n): ban nhạc</v>
      </c>
      <c r="I1544" s="6" t="s">
        <v>8399</v>
      </c>
      <c r="J1544" s="6" t="s">
        <v>8400</v>
      </c>
      <c r="K1544" s="7">
        <f t="shared" si="2"/>
        <v>0.7983498194</v>
      </c>
    </row>
    <row r="1545">
      <c r="A1545" s="4">
        <v>1545.0</v>
      </c>
      <c r="B1545" s="5" t="s">
        <v>8401</v>
      </c>
      <c r="C1545" s="5" t="s">
        <v>822</v>
      </c>
      <c r="D1545" s="5" t="s">
        <v>8402</v>
      </c>
      <c r="E1545" s="6" t="s">
        <v>24</v>
      </c>
      <c r="F1545" s="6" t="s">
        <v>4010</v>
      </c>
      <c r="G1545" s="3" t="str">
        <f>IFERROR(__xludf.DUMMYFUNCTION("REGEXREPLACE(
D1545,
""([一-龯々]+)\[([^\]]+)\]"",
""&lt;ruby&gt;$1&lt;rt&gt;$2&lt;/rt&gt;&lt;/ruby&gt;""
)&amp;""&lt;br&gt;&lt;div class=""""audio""""&gt;[sound:""&amp;C1545&amp;"".mp3]&lt;/div&gt;"""),"&lt;ruby&gt;代&lt;rt&gt;かわ&lt;/rt&gt;&lt;/ruby&gt;る&lt;br&gt;&lt;div class=""audio""&gt;[sound:かわる.mp3]&lt;/div&gt;")</f>
        <v>&lt;ruby&gt;代&lt;rt&gt;かわ&lt;/rt&gt;&lt;/ruby&gt;る&lt;br&gt;&lt;div class="audio"&gt;[sound:かわる.mp3]&lt;/div&gt;</v>
      </c>
      <c r="H1545" s="3" t="str">
        <f t="shared" si="1"/>
        <v>(v): thay thế</v>
      </c>
      <c r="I1545" s="6" t="s">
        <v>8403</v>
      </c>
      <c r="J1545" s="6" t="s">
        <v>8404</v>
      </c>
      <c r="K1545" s="7">
        <f t="shared" si="2"/>
        <v>0.5860186325</v>
      </c>
    </row>
    <row r="1546">
      <c r="A1546" s="4">
        <v>1546.0</v>
      </c>
      <c r="B1546" s="5" t="s">
        <v>8405</v>
      </c>
      <c r="C1546" s="5" t="s">
        <v>8406</v>
      </c>
      <c r="D1546" s="5" t="s">
        <v>8407</v>
      </c>
      <c r="E1546" s="6" t="s">
        <v>74</v>
      </c>
      <c r="F1546" s="6" t="s">
        <v>8408</v>
      </c>
      <c r="G1546" s="3" t="str">
        <f>IFERROR(__xludf.DUMMYFUNCTION("REGEXREPLACE(
D1546,
""([一-龯々]+)\[([^\]]+)\]"",
""&lt;ruby&gt;$1&lt;rt&gt;$2&lt;/rt&gt;&lt;/ruby&gt;""
)&amp;""&lt;br&gt;&lt;div class=""""audio""""&gt;[sound:""&amp;C1546&amp;"".mp3]&lt;/div&gt;"""),"&lt;ruby&gt;傾向&lt;rt&gt;けいこう&lt;/rt&gt;&lt;/ruby&gt;&lt;br&gt;&lt;div class=""audio""&gt;[sound:けいこう.mp3]&lt;/div&gt;")</f>
        <v>&lt;ruby&gt;傾向&lt;rt&gt;けいこう&lt;/rt&gt;&lt;/ruby&gt;&lt;br&gt;&lt;div class="audio"&gt;[sound:けいこう.mp3]&lt;/div&gt;</v>
      </c>
      <c r="H1546" s="3" t="str">
        <f t="shared" si="1"/>
        <v>(n): xu hướng</v>
      </c>
      <c r="I1546" s="6" t="s">
        <v>8409</v>
      </c>
      <c r="J1546" s="6" t="s">
        <v>8410</v>
      </c>
      <c r="K1546" s="7">
        <f t="shared" si="2"/>
        <v>0.3564104476</v>
      </c>
    </row>
    <row r="1547">
      <c r="A1547" s="4">
        <v>1547.0</v>
      </c>
      <c r="B1547" s="5" t="s">
        <v>8411</v>
      </c>
      <c r="C1547" s="5" t="s">
        <v>8412</v>
      </c>
      <c r="D1547" s="5" t="s">
        <v>8413</v>
      </c>
      <c r="E1547" s="6" t="s">
        <v>24</v>
      </c>
      <c r="F1547" s="6" t="s">
        <v>8414</v>
      </c>
      <c r="G1547" s="3" t="str">
        <f>IFERROR(__xludf.DUMMYFUNCTION("REGEXREPLACE(
D1547,
""([一-龯々]+)\[([^\]]+)\]"",
""&lt;ruby&gt;$1&lt;rt&gt;$2&lt;/rt&gt;&lt;/ruby&gt;""
)&amp;""&lt;br&gt;&lt;div class=""""audio""""&gt;[sound:""&amp;C1547&amp;"".mp3]&lt;/div&gt;"""),"&lt;ruby&gt;加&lt;rt&gt;くわ&lt;/rt&gt;&lt;/ruby&gt;える&lt;br&gt;&lt;div class=""audio""&gt;[sound:くわえる.mp3]&lt;/div&gt;")</f>
        <v>&lt;ruby&gt;加&lt;rt&gt;くわ&lt;/rt&gt;&lt;/ruby&gt;える&lt;br&gt;&lt;div class="audio"&gt;[sound:くわえる.mp3]&lt;/div&gt;</v>
      </c>
      <c r="H1547" s="3" t="str">
        <f t="shared" si="1"/>
        <v>(v): thêm vào</v>
      </c>
      <c r="I1547" s="6" t="s">
        <v>8415</v>
      </c>
      <c r="J1547" s="6" t="s">
        <v>8416</v>
      </c>
      <c r="K1547" s="7">
        <f t="shared" si="2"/>
        <v>0.6703415829</v>
      </c>
    </row>
    <row r="1548">
      <c r="A1548" s="4">
        <v>1548.0</v>
      </c>
      <c r="B1548" s="5" t="s">
        <v>8417</v>
      </c>
      <c r="C1548" s="5" t="s">
        <v>8418</v>
      </c>
      <c r="D1548" s="5" t="s">
        <v>8419</v>
      </c>
      <c r="E1548" s="6" t="s">
        <v>74</v>
      </c>
      <c r="F1548" s="6" t="s">
        <v>2385</v>
      </c>
      <c r="G1548" s="3" t="str">
        <f>IFERROR(__xludf.DUMMYFUNCTION("REGEXREPLACE(
D1548,
""([一-龯々]+)\[([^\]]+)\]"",
""&lt;ruby&gt;$1&lt;rt&gt;$2&lt;/rt&gt;&lt;/ruby&gt;""
)&amp;""&lt;br&gt;&lt;div class=""""audio""""&gt;[sound:""&amp;C1548&amp;"".mp3]&lt;/div&gt;"""),"&lt;ruby&gt;感覚&lt;rt&gt;かんかく&lt;/rt&gt;&lt;/ruby&gt;&lt;br&gt;&lt;div class=""audio""&gt;[sound:かんかく.mp3]&lt;/div&gt;")</f>
        <v>&lt;ruby&gt;感覚&lt;rt&gt;かんかく&lt;/rt&gt;&lt;/ruby&gt;&lt;br&gt;&lt;div class="audio"&gt;[sound:かんかく.mp3]&lt;/div&gt;</v>
      </c>
      <c r="H1548" s="3" t="str">
        <f t="shared" si="1"/>
        <v>(n): cảm giác</v>
      </c>
      <c r="I1548" s="6" t="s">
        <v>8420</v>
      </c>
      <c r="J1548" s="6" t="s">
        <v>8421</v>
      </c>
      <c r="K1548" s="7">
        <f t="shared" si="2"/>
        <v>0.4372865797</v>
      </c>
    </row>
    <row r="1549">
      <c r="A1549" s="4">
        <v>1549.0</v>
      </c>
      <c r="B1549" s="5" t="s">
        <v>8422</v>
      </c>
      <c r="C1549" s="5" t="s">
        <v>8423</v>
      </c>
      <c r="D1549" s="5" t="s">
        <v>8424</v>
      </c>
      <c r="E1549" s="6" t="s">
        <v>74</v>
      </c>
      <c r="F1549" s="6" t="s">
        <v>8425</v>
      </c>
      <c r="G1549" s="3" t="str">
        <f>IFERROR(__xludf.DUMMYFUNCTION("REGEXREPLACE(
D1549,
""([一-龯々]+)\[([^\]]+)\]"",
""&lt;ruby&gt;$1&lt;rt&gt;$2&lt;/rt&gt;&lt;/ruby&gt;""
)&amp;""&lt;br&gt;&lt;div class=""""audio""""&gt;[sound:""&amp;C1549&amp;"".mp3]&lt;/div&gt;"""),"&lt;ruby&gt;批判&lt;rt&gt;ひはん&lt;/rt&gt;&lt;/ruby&gt;&lt;br&gt;&lt;div class=""audio""&gt;[sound:ひはん.mp3]&lt;/div&gt;")</f>
        <v>&lt;ruby&gt;批判&lt;rt&gt;ひはん&lt;/rt&gt;&lt;/ruby&gt;&lt;br&gt;&lt;div class="audio"&gt;[sound:ひはん.mp3]&lt;/div&gt;</v>
      </c>
      <c r="H1549" s="3" t="str">
        <f t="shared" si="1"/>
        <v>(n): phê bình</v>
      </c>
      <c r="I1549" s="6" t="s">
        <v>8426</v>
      </c>
      <c r="J1549" s="6" t="s">
        <v>8427</v>
      </c>
      <c r="K1549" s="7">
        <f t="shared" si="2"/>
        <v>0.4625318466</v>
      </c>
    </row>
    <row r="1550">
      <c r="A1550" s="4">
        <v>1550.0</v>
      </c>
      <c r="B1550" s="5" t="s">
        <v>8428</v>
      </c>
      <c r="C1550" s="5" t="s">
        <v>5156</v>
      </c>
      <c r="D1550" s="5" t="s">
        <v>8429</v>
      </c>
      <c r="E1550" s="6" t="s">
        <v>24</v>
      </c>
      <c r="F1550" s="6" t="s">
        <v>8430</v>
      </c>
      <c r="G1550" s="3" t="str">
        <f>IFERROR(__xludf.DUMMYFUNCTION("REGEXREPLACE(
D1550,
""([一-龯々]+)\[([^\]]+)\]"",
""&lt;ruby&gt;$1&lt;rt&gt;$2&lt;/rt&gt;&lt;/ruby&gt;""
)&amp;""&lt;br&gt;&lt;div class=""""audio""""&gt;[sound:""&amp;C1550&amp;"".mp3]&lt;/div&gt;"""),"&lt;ruby&gt;無&lt;rt&gt;な&lt;/rt&gt;&lt;/ruby&gt;くなる&lt;br&gt;&lt;div class=""audio""&gt;[sound:なくなる.mp3]&lt;/div&gt;")</f>
        <v>&lt;ruby&gt;無&lt;rt&gt;な&lt;/rt&gt;&lt;/ruby&gt;くなる&lt;br&gt;&lt;div class="audio"&gt;[sound:なくなる.mp3]&lt;/div&gt;</v>
      </c>
      <c r="H1550" s="3" t="str">
        <f t="shared" si="1"/>
        <v>(v): biến mất</v>
      </c>
      <c r="I1550" s="6" t="s">
        <v>8431</v>
      </c>
      <c r="J1550" s="6" t="s">
        <v>8432</v>
      </c>
      <c r="K1550" s="7">
        <f t="shared" si="2"/>
        <v>0.1460638042</v>
      </c>
    </row>
    <row r="1551">
      <c r="A1551" s="4">
        <v>1551.0</v>
      </c>
      <c r="B1551" s="5" t="s">
        <v>8433</v>
      </c>
      <c r="C1551" s="5" t="s">
        <v>8434</v>
      </c>
      <c r="D1551" s="5" t="s">
        <v>8435</v>
      </c>
      <c r="E1551" s="6" t="s">
        <v>74</v>
      </c>
      <c r="F1551" s="6" t="s">
        <v>8436</v>
      </c>
      <c r="G1551" s="3" t="str">
        <f>IFERROR(__xludf.DUMMYFUNCTION("REGEXREPLACE(
D1551,
""([一-龯々]+)\[([^\]]+)\]"",
""&lt;ruby&gt;$1&lt;rt&gt;$2&lt;/rt&gt;&lt;/ruby&gt;""
)&amp;""&lt;br&gt;&lt;div class=""""audio""""&gt;[sound:""&amp;C1551&amp;"".mp3]&lt;/div&gt;"""),"&lt;ruby&gt;目標&lt;rt&gt;もくひょう&lt;/rt&gt;&lt;/ruby&gt;&lt;br&gt;&lt;div class=""audio""&gt;[sound:もくひょう.mp3]&lt;/div&gt;")</f>
        <v>&lt;ruby&gt;目標&lt;rt&gt;もくひょう&lt;/rt&gt;&lt;/ruby&gt;&lt;br&gt;&lt;div class="audio"&gt;[sound:もくひょう.mp3]&lt;/div&gt;</v>
      </c>
      <c r="H1551" s="3" t="str">
        <f t="shared" si="1"/>
        <v>(n): mục tiêu</v>
      </c>
      <c r="I1551" s="6" t="s">
        <v>8437</v>
      </c>
      <c r="J1551" s="6" t="s">
        <v>8438</v>
      </c>
      <c r="K1551" s="7">
        <f t="shared" si="2"/>
        <v>0.09626196584</v>
      </c>
    </row>
    <row r="1552">
      <c r="A1552" s="4">
        <v>1552.0</v>
      </c>
      <c r="B1552" s="5" t="s">
        <v>8439</v>
      </c>
      <c r="C1552" s="5" t="s">
        <v>8440</v>
      </c>
      <c r="D1552" s="5" t="s">
        <v>8441</v>
      </c>
      <c r="E1552" s="6" t="s">
        <v>24</v>
      </c>
      <c r="F1552" s="6" t="s">
        <v>8442</v>
      </c>
      <c r="G1552" s="3" t="str">
        <f>IFERROR(__xludf.DUMMYFUNCTION("REGEXREPLACE(
D1552,
""([一-龯々]+)\[([^\]]+)\]"",
""&lt;ruby&gt;$1&lt;rt&gt;$2&lt;/rt&gt;&lt;/ruby&gt;""
)&amp;""&lt;br&gt;&lt;div class=""""audio""""&gt;[sound:""&amp;C1552&amp;"".mp3]&lt;/div&gt;"""),"&lt;ruby&gt;崩&lt;rt&gt;くず&lt;/rt&gt;&lt;/ruby&gt;れる&lt;br&gt;&lt;div class=""audio""&gt;[sound:くずれる.mp3]&lt;/div&gt;")</f>
        <v>&lt;ruby&gt;崩&lt;rt&gt;くず&lt;/rt&gt;&lt;/ruby&gt;れる&lt;br&gt;&lt;div class="audio"&gt;[sound:くずれる.mp3]&lt;/div&gt;</v>
      </c>
      <c r="H1552" s="3" t="str">
        <f t="shared" si="1"/>
        <v>(v): sụp đổ</v>
      </c>
      <c r="I1552" s="6" t="s">
        <v>8443</v>
      </c>
      <c r="J1552" s="6" t="s">
        <v>8444</v>
      </c>
      <c r="K1552" s="7">
        <f t="shared" si="2"/>
        <v>0.409276788</v>
      </c>
    </row>
    <row r="1553">
      <c r="A1553" s="4">
        <v>1553.0</v>
      </c>
      <c r="B1553" s="5" t="s">
        <v>8445</v>
      </c>
      <c r="C1553" s="5" t="s">
        <v>8446</v>
      </c>
      <c r="D1553" s="5" t="s">
        <v>8447</v>
      </c>
      <c r="E1553" s="6" t="s">
        <v>24</v>
      </c>
      <c r="F1553" s="6" t="s">
        <v>6722</v>
      </c>
      <c r="G1553" s="3" t="str">
        <f>IFERROR(__xludf.DUMMYFUNCTION("REGEXREPLACE(
D1553,
""([一-龯々]+)\[([^\]]+)\]"",
""&lt;ruby&gt;$1&lt;rt&gt;$2&lt;/rt&gt;&lt;/ruby&gt;""
)&amp;""&lt;br&gt;&lt;div class=""""audio""""&gt;[sound:""&amp;C1553&amp;"".mp3]&lt;/div&gt;"""),"&lt;ruby&gt;勝&lt;rt&gt;か&lt;/rt&gt;&lt;/ruby&gt;つ&lt;br&gt;&lt;div class=""audio""&gt;[sound:かつ.mp3]&lt;/div&gt;")</f>
        <v>&lt;ruby&gt;勝&lt;rt&gt;か&lt;/rt&gt;&lt;/ruby&gt;つ&lt;br&gt;&lt;div class="audio"&gt;[sound:かつ.mp3]&lt;/div&gt;</v>
      </c>
      <c r="H1553" s="3" t="str">
        <f t="shared" si="1"/>
        <v>(v): chiến thắng</v>
      </c>
      <c r="I1553" s="6" t="s">
        <v>8448</v>
      </c>
      <c r="J1553" s="6" t="s">
        <v>8449</v>
      </c>
      <c r="K1553" s="7">
        <f t="shared" si="2"/>
        <v>0.3453884339</v>
      </c>
    </row>
    <row r="1554">
      <c r="A1554" s="4">
        <v>1554.0</v>
      </c>
      <c r="B1554" s="5" t="s">
        <v>8450</v>
      </c>
      <c r="C1554" s="5" t="s">
        <v>8451</v>
      </c>
      <c r="D1554" s="5" t="s">
        <v>8452</v>
      </c>
      <c r="E1554" s="6" t="s">
        <v>24</v>
      </c>
      <c r="F1554" s="6" t="s">
        <v>8453</v>
      </c>
      <c r="G1554" s="3" t="str">
        <f>IFERROR(__xludf.DUMMYFUNCTION("REGEXREPLACE(
D1554,
""([一-龯々]+)\[([^\]]+)\]"",
""&lt;ruby&gt;$1&lt;rt&gt;$2&lt;/rt&gt;&lt;/ruby&gt;""
)&amp;""&lt;br&gt;&lt;div class=""""audio""""&gt;[sound:""&amp;C1554&amp;"".mp3]&lt;/div&gt;"""),"&lt;ruby&gt;分&lt;rt&gt;わ&lt;/rt&gt;&lt;/ruby&gt;ける&lt;br&gt;&lt;div class=""audio""&gt;[sound:わける.mp3]&lt;/div&gt;")</f>
        <v>&lt;ruby&gt;分&lt;rt&gt;わ&lt;/rt&gt;&lt;/ruby&gt;ける&lt;br&gt;&lt;div class="audio"&gt;[sound:わける.mp3]&lt;/div&gt;</v>
      </c>
      <c r="H1554" s="3" t="str">
        <f t="shared" si="1"/>
        <v>(v): chia</v>
      </c>
      <c r="I1554" s="6" t="s">
        <v>8454</v>
      </c>
      <c r="J1554" s="6" t="s">
        <v>8455</v>
      </c>
      <c r="K1554" s="7">
        <f t="shared" si="2"/>
        <v>0.1623430485</v>
      </c>
    </row>
    <row r="1555">
      <c r="A1555" s="4">
        <v>1555.0</v>
      </c>
      <c r="B1555" s="5" t="s">
        <v>8456</v>
      </c>
      <c r="C1555" s="5" t="s">
        <v>8457</v>
      </c>
      <c r="D1555" s="5" t="s">
        <v>8458</v>
      </c>
      <c r="E1555" s="6" t="s">
        <v>11</v>
      </c>
      <c r="F1555" s="6" t="s">
        <v>8459</v>
      </c>
      <c r="G1555" s="3" t="str">
        <f>IFERROR(__xludf.DUMMYFUNCTION("REGEXREPLACE(
D1555,
""([一-龯々]+)\[([^\]]+)\]"",
""&lt;ruby&gt;$1&lt;rt&gt;$2&lt;/rt&gt;&lt;/ruby&gt;""
)&amp;""&lt;br&gt;&lt;div class=""""audio""""&gt;[sound:""&amp;C1555&amp;"".mp3]&lt;/div&gt;"""),"&lt;ruby&gt;欲&lt;rt&gt;ほ&lt;/rt&gt;&lt;/ruby&gt;しい&lt;br&gt;&lt;div class=""audio""&gt;[sound:ほしい.mp3]&lt;/div&gt;")</f>
        <v>&lt;ruby&gt;欲&lt;rt&gt;ほ&lt;/rt&gt;&lt;/ruby&gt;しい&lt;br&gt;&lt;div class="audio"&gt;[sound:ほしい.mp3]&lt;/div&gt;</v>
      </c>
      <c r="H1555" s="3" t="str">
        <f t="shared" si="1"/>
        <v>(adj): muốn</v>
      </c>
      <c r="I1555" s="6" t="s">
        <v>8460</v>
      </c>
      <c r="J1555" s="6" t="s">
        <v>8461</v>
      </c>
      <c r="K1555" s="7">
        <f t="shared" si="2"/>
        <v>0.3204133908</v>
      </c>
    </row>
    <row r="1556">
      <c r="A1556" s="4">
        <v>1556.0</v>
      </c>
      <c r="B1556" s="5" t="s">
        <v>8462</v>
      </c>
      <c r="C1556" s="5" t="s">
        <v>8463</v>
      </c>
      <c r="D1556" s="5" t="s">
        <v>8464</v>
      </c>
      <c r="E1556" s="6" t="s">
        <v>74</v>
      </c>
      <c r="F1556" s="6" t="s">
        <v>8465</v>
      </c>
      <c r="G1556" s="3" t="str">
        <f>IFERROR(__xludf.DUMMYFUNCTION("REGEXREPLACE(
D1556,
""([一-龯々]+)\[([^\]]+)\]"",
""&lt;ruby&gt;$1&lt;rt&gt;$2&lt;/rt&gt;&lt;/ruby&gt;""
)&amp;""&lt;br&gt;&lt;div class=""""audio""""&gt;[sound:""&amp;C1556&amp;"".mp3]&lt;/div&gt;"""),"&lt;ruby&gt;用&lt;rt&gt;よう&lt;/rt&gt;&lt;/ruby&gt;&lt;br&gt;&lt;div class=""audio""&gt;[sound:よう.mp3]&lt;/div&gt;")</f>
        <v>&lt;ruby&gt;用&lt;rt&gt;よう&lt;/rt&gt;&lt;/ruby&gt;&lt;br&gt;&lt;div class="audio"&gt;[sound:よう.mp3]&lt;/div&gt;</v>
      </c>
      <c r="H1556" s="3" t="str">
        <f t="shared" si="1"/>
        <v>(n): dùng</v>
      </c>
      <c r="I1556" s="6" t="s">
        <v>8466</v>
      </c>
      <c r="J1556" s="6" t="s">
        <v>8467</v>
      </c>
      <c r="K1556" s="7">
        <f t="shared" si="2"/>
        <v>0.9027450729</v>
      </c>
    </row>
    <row r="1557">
      <c r="A1557" s="4">
        <v>1557.0</v>
      </c>
      <c r="B1557" s="5" t="s">
        <v>8468</v>
      </c>
      <c r="C1557" s="5" t="s">
        <v>8469</v>
      </c>
      <c r="D1557" s="5" t="s">
        <v>8470</v>
      </c>
      <c r="E1557" s="6" t="s">
        <v>11</v>
      </c>
      <c r="F1557" s="6" t="s">
        <v>8471</v>
      </c>
      <c r="G1557" s="3" t="str">
        <f>IFERROR(__xludf.DUMMYFUNCTION("REGEXREPLACE(
D1557,
""([一-龯々]+)\[([^\]]+)\]"",
""&lt;ruby&gt;$1&lt;rt&gt;$2&lt;/rt&gt;&lt;/ruby&gt;""
)&amp;""&lt;br&gt;&lt;div class=""""audio""""&gt;[sound:""&amp;C1557&amp;"".mp3]&lt;/div&gt;"""),"&lt;ruby&gt;深&lt;rt&gt;ふか&lt;/rt&gt;&lt;/ruby&gt;い&lt;br&gt;&lt;div class=""audio""&gt;[sound:ふかい.mp3]&lt;/div&gt;")</f>
        <v>&lt;ruby&gt;深&lt;rt&gt;ふか&lt;/rt&gt;&lt;/ruby&gt;い&lt;br&gt;&lt;div class="audio"&gt;[sound:ふかい.mp3]&lt;/div&gt;</v>
      </c>
      <c r="H1557" s="3" t="str">
        <f t="shared" si="1"/>
        <v>(adj): sâu</v>
      </c>
      <c r="I1557" s="6" t="s">
        <v>8472</v>
      </c>
      <c r="J1557" s="6" t="s">
        <v>8473</v>
      </c>
      <c r="K1557" s="7">
        <f t="shared" si="2"/>
        <v>0.3533956442</v>
      </c>
    </row>
    <row r="1558">
      <c r="A1558" s="4">
        <v>1558.0</v>
      </c>
      <c r="B1558" s="5" t="s">
        <v>8474</v>
      </c>
      <c r="C1558" s="5" t="s">
        <v>8475</v>
      </c>
      <c r="D1558" s="5" t="s">
        <v>8476</v>
      </c>
      <c r="E1558" s="6" t="s">
        <v>74</v>
      </c>
      <c r="F1558" s="6" t="s">
        <v>8477</v>
      </c>
      <c r="G1558" s="3" t="str">
        <f>IFERROR(__xludf.DUMMYFUNCTION("REGEXREPLACE(
D1558,
""([一-龯々]+)\[([^\]]+)\]"",
""&lt;ruby&gt;$1&lt;rt&gt;$2&lt;/rt&gt;&lt;/ruby&gt;""
)&amp;""&lt;br&gt;&lt;div class=""""audio""""&gt;[sound:""&amp;C1558&amp;"".mp3]&lt;/div&gt;"""),"&lt;ruby&gt;箱&lt;rt&gt;はこ&lt;/rt&gt;&lt;/ruby&gt;&lt;br&gt;&lt;div class=""audio""&gt;[sound:はこ.mp3]&lt;/div&gt;")</f>
        <v>&lt;ruby&gt;箱&lt;rt&gt;はこ&lt;/rt&gt;&lt;/ruby&gt;&lt;br&gt;&lt;div class="audio"&gt;[sound:はこ.mp3]&lt;/div&gt;</v>
      </c>
      <c r="H1558" s="3" t="str">
        <f t="shared" si="1"/>
        <v>(n): hộp</v>
      </c>
      <c r="I1558" s="6" t="s">
        <v>8478</v>
      </c>
      <c r="J1558" s="6" t="s">
        <v>8479</v>
      </c>
      <c r="K1558" s="7">
        <f t="shared" si="2"/>
        <v>0.6788132688</v>
      </c>
    </row>
    <row r="1559">
      <c r="A1559" s="4">
        <v>1559.0</v>
      </c>
      <c r="B1559" s="5" t="s">
        <v>8480</v>
      </c>
      <c r="C1559" s="5" t="s">
        <v>8481</v>
      </c>
      <c r="D1559" s="5" t="s">
        <v>8482</v>
      </c>
      <c r="E1559" s="6" t="s">
        <v>74</v>
      </c>
      <c r="F1559" s="6" t="s">
        <v>8483</v>
      </c>
      <c r="G1559" s="3" t="str">
        <f>IFERROR(__xludf.DUMMYFUNCTION("REGEXREPLACE(
D1559,
""([一-龯々]+)\[([^\]]+)\]"",
""&lt;ruby&gt;$1&lt;rt&gt;$2&lt;/rt&gt;&lt;/ruby&gt;""
)&amp;""&lt;br&gt;&lt;div class=""""audio""""&gt;[sound:""&amp;C1559&amp;"".mp3]&lt;/div&gt;"""),"&lt;ruby&gt;番号&lt;rt&gt;ばんごう&lt;/rt&gt;&lt;/ruby&gt;&lt;br&gt;&lt;div class=""audio""&gt;[sound:ばんごう.mp3]&lt;/div&gt;")</f>
        <v>&lt;ruby&gt;番号&lt;rt&gt;ばんごう&lt;/rt&gt;&lt;/ruby&gt;&lt;br&gt;&lt;div class="audio"&gt;[sound:ばんごう.mp3]&lt;/div&gt;</v>
      </c>
      <c r="H1559" s="3" t="str">
        <f t="shared" si="1"/>
        <v>(n): số</v>
      </c>
      <c r="I1559" s="6" t="s">
        <v>8484</v>
      </c>
      <c r="J1559" s="6" t="s">
        <v>8485</v>
      </c>
      <c r="K1559" s="7">
        <f t="shared" si="2"/>
        <v>0.7271937144</v>
      </c>
    </row>
    <row r="1560">
      <c r="A1560" s="4">
        <v>1560.0</v>
      </c>
      <c r="B1560" s="5" t="s">
        <v>8486</v>
      </c>
      <c r="C1560" s="5" t="s">
        <v>8487</v>
      </c>
      <c r="D1560" s="5" t="s">
        <v>8488</v>
      </c>
      <c r="E1560" s="6" t="s">
        <v>24</v>
      </c>
      <c r="F1560" s="6" t="s">
        <v>8489</v>
      </c>
      <c r="G1560" s="3" t="str">
        <f>IFERROR(__xludf.DUMMYFUNCTION("REGEXREPLACE(
D1560,
""([一-龯々]+)\[([^\]]+)\]"",
""&lt;ruby&gt;$1&lt;rt&gt;$2&lt;/rt&gt;&lt;/ruby&gt;""
)&amp;""&lt;br&gt;&lt;div class=""""audio""""&gt;[sound:""&amp;C1560&amp;"".mp3]&lt;/div&gt;"""),"&lt;ruby&gt;触&lt;rt&gt;さわ&lt;/rt&gt;&lt;/ruby&gt;る&lt;br&gt;&lt;div class=""audio""&gt;[sound:さわる.mp3]&lt;/div&gt;")</f>
        <v>&lt;ruby&gt;触&lt;rt&gt;さわ&lt;/rt&gt;&lt;/ruby&gt;る&lt;br&gt;&lt;div class="audio"&gt;[sound:さわる.mp3]&lt;/div&gt;</v>
      </c>
      <c r="H1560" s="3" t="str">
        <f t="shared" si="1"/>
        <v>(v): sờ</v>
      </c>
      <c r="I1560" s="6" t="s">
        <v>8490</v>
      </c>
      <c r="J1560" s="6" t="s">
        <v>8491</v>
      </c>
      <c r="K1560" s="7">
        <f t="shared" si="2"/>
        <v>0.9425009479</v>
      </c>
    </row>
    <row r="1561">
      <c r="A1561" s="4">
        <v>1561.0</v>
      </c>
      <c r="B1561" s="5" t="s">
        <v>8492</v>
      </c>
      <c r="C1561" s="5" t="s">
        <v>8493</v>
      </c>
      <c r="D1561" s="5" t="s">
        <v>8494</v>
      </c>
      <c r="E1561" s="6" t="s">
        <v>74</v>
      </c>
      <c r="F1561" s="6" t="s">
        <v>2998</v>
      </c>
      <c r="G1561" s="3" t="str">
        <f>IFERROR(__xludf.DUMMYFUNCTION("REGEXREPLACE(
D1561,
""([一-龯々]+)\[([^\]]+)\]"",
""&lt;ruby&gt;$1&lt;rt&gt;$2&lt;/rt&gt;&lt;/ruby&gt;""
)&amp;""&lt;br&gt;&lt;div class=""""audio""""&gt;[sound:""&amp;C1561&amp;"".mp3]&lt;/div&gt;"""),"&lt;ruby&gt;奥&lt;rt&gt;おく&lt;/rt&gt;&lt;/ruby&gt;さん&lt;br&gt;&lt;div class=""audio""&gt;[sound:おくさん.mp3]&lt;/div&gt;")</f>
        <v>&lt;ruby&gt;奥&lt;rt&gt;おく&lt;/rt&gt;&lt;/ruby&gt;さん&lt;br&gt;&lt;div class="audio"&gt;[sound:おくさん.mp3]&lt;/div&gt;</v>
      </c>
      <c r="H1561" s="3" t="str">
        <f t="shared" si="1"/>
        <v>(n): vợ</v>
      </c>
      <c r="I1561" s="6" t="s">
        <v>8495</v>
      </c>
      <c r="J1561" s="6" t="s">
        <v>8496</v>
      </c>
      <c r="K1561" s="7">
        <f t="shared" si="2"/>
        <v>0.4129084128</v>
      </c>
    </row>
    <row r="1562">
      <c r="A1562" s="4">
        <v>1562.0</v>
      </c>
      <c r="B1562" s="5" t="s">
        <v>8497</v>
      </c>
      <c r="C1562" s="5" t="s">
        <v>8498</v>
      </c>
      <c r="D1562" s="5" t="s">
        <v>8499</v>
      </c>
      <c r="E1562" s="6" t="s">
        <v>74</v>
      </c>
      <c r="F1562" s="6" t="s">
        <v>8500</v>
      </c>
      <c r="G1562" s="3" t="str">
        <f>IFERROR(__xludf.DUMMYFUNCTION("REGEXREPLACE(
D1562,
""([一-龯々]+)\[([^\]]+)\]"",
""&lt;ruby&gt;$1&lt;rt&gt;$2&lt;/rt&gt;&lt;/ruby&gt;""
)&amp;""&lt;br&gt;&lt;div class=""""audio""""&gt;[sound:""&amp;C1562&amp;"".mp3]&lt;/div&gt;"""),"&lt;ruby&gt;成立&lt;rt&gt;せいりつ&lt;/rt&gt;&lt;/ruby&gt;&lt;br&gt;&lt;div class=""audio""&gt;[sound:せいりつ.mp3]&lt;/div&gt;")</f>
        <v>&lt;ruby&gt;成立&lt;rt&gt;せいりつ&lt;/rt&gt;&lt;/ruby&gt;&lt;br&gt;&lt;div class="audio"&gt;[sound:せいりつ.mp3]&lt;/div&gt;</v>
      </c>
      <c r="H1562" s="3" t="str">
        <f t="shared" si="1"/>
        <v>(n): thành lập</v>
      </c>
      <c r="I1562" s="6" t="s">
        <v>8501</v>
      </c>
      <c r="J1562" s="6" t="s">
        <v>8502</v>
      </c>
      <c r="K1562" s="7">
        <f t="shared" si="2"/>
        <v>0.4723335075</v>
      </c>
    </row>
    <row r="1563">
      <c r="A1563" s="4">
        <v>1563.0</v>
      </c>
      <c r="B1563" s="5" t="s">
        <v>8503</v>
      </c>
      <c r="C1563" s="5" t="s">
        <v>8504</v>
      </c>
      <c r="D1563" s="5" t="s">
        <v>8505</v>
      </c>
      <c r="E1563" s="6" t="s">
        <v>74</v>
      </c>
      <c r="F1563" s="6" t="s">
        <v>8506</v>
      </c>
      <c r="G1563" s="3" t="str">
        <f>IFERROR(__xludf.DUMMYFUNCTION("REGEXREPLACE(
D1563,
""([一-龯々]+)\[([^\]]+)\]"",
""&lt;ruby&gt;$1&lt;rt&gt;$2&lt;/rt&gt;&lt;/ruby&gt;""
)&amp;""&lt;br&gt;&lt;div class=""""audio""""&gt;[sound:""&amp;C1563&amp;"".mp3]&lt;/div&gt;"""),"&lt;ruby&gt;発表&lt;rt&gt;はっぴょう&lt;/rt&gt;&lt;/ruby&gt;&lt;br&gt;&lt;div class=""audio""&gt;[sound:はっぴょう.mp3]&lt;/div&gt;")</f>
        <v>&lt;ruby&gt;発表&lt;rt&gt;はっぴょう&lt;/rt&gt;&lt;/ruby&gt;&lt;br&gt;&lt;div class="audio"&gt;[sound:はっぴょう.mp3]&lt;/div&gt;</v>
      </c>
      <c r="H1563" s="3" t="str">
        <f t="shared" si="1"/>
        <v>(n): phát biểu</v>
      </c>
      <c r="I1563" s="6" t="s">
        <v>8507</v>
      </c>
      <c r="J1563" s="6" t="s">
        <v>8508</v>
      </c>
      <c r="K1563" s="7">
        <f t="shared" si="2"/>
        <v>0.7899272591</v>
      </c>
    </row>
    <row r="1564">
      <c r="A1564" s="4">
        <v>1564.0</v>
      </c>
      <c r="B1564" s="5" t="s">
        <v>8509</v>
      </c>
      <c r="C1564" s="5" t="s">
        <v>8510</v>
      </c>
      <c r="D1564" s="5" t="s">
        <v>8511</v>
      </c>
      <c r="E1564" s="6" t="s">
        <v>74</v>
      </c>
      <c r="F1564" s="6" t="s">
        <v>8512</v>
      </c>
      <c r="G1564" s="3" t="str">
        <f>IFERROR(__xludf.DUMMYFUNCTION("REGEXREPLACE(
D1564,
""([一-龯々]+)\[([^\]]+)\]"",
""&lt;ruby&gt;$1&lt;rt&gt;$2&lt;/rt&gt;&lt;/ruby&gt;""
)&amp;""&lt;br&gt;&lt;div class=""""audio""""&gt;[sound:""&amp;C1564&amp;"".mp3]&lt;/div&gt;"""),"&lt;ruby&gt;習慣&lt;rt&gt;しゅうかん&lt;/rt&gt;&lt;/ruby&gt;&lt;br&gt;&lt;div class=""audio""&gt;[sound:しゅうかん.mp3]&lt;/div&gt;")</f>
        <v>&lt;ruby&gt;習慣&lt;rt&gt;しゅうかん&lt;/rt&gt;&lt;/ruby&gt;&lt;br&gt;&lt;div class="audio"&gt;[sound:しゅうかん.mp3]&lt;/div&gt;</v>
      </c>
      <c r="H1564" s="3" t="str">
        <f t="shared" si="1"/>
        <v>(n): thói quen</v>
      </c>
      <c r="I1564" s="6" t="s">
        <v>8513</v>
      </c>
      <c r="J1564" s="6" t="s">
        <v>8514</v>
      </c>
      <c r="K1564" s="7">
        <f t="shared" si="2"/>
        <v>0.6496368634</v>
      </c>
    </row>
    <row r="1565">
      <c r="A1565" s="4">
        <v>1565.0</v>
      </c>
      <c r="B1565" s="5" t="s">
        <v>8515</v>
      </c>
      <c r="C1565" s="5" t="s">
        <v>8516</v>
      </c>
      <c r="D1565" s="5" t="s">
        <v>8517</v>
      </c>
      <c r="E1565" s="6" t="s">
        <v>74</v>
      </c>
      <c r="F1565" s="6" t="s">
        <v>8518</v>
      </c>
      <c r="G1565" s="3" t="str">
        <f>IFERROR(__xludf.DUMMYFUNCTION("REGEXREPLACE(
D1565,
""([一-龯々]+)\[([^\]]+)\]"",
""&lt;ruby&gt;$1&lt;rt&gt;$2&lt;/rt&gt;&lt;/ruby&gt;""
)&amp;""&lt;br&gt;&lt;div class=""""audio""""&gt;[sound:""&amp;C1565&amp;"".mp3]&lt;/div&gt;"""),"&lt;ruby&gt;虫&lt;rt&gt;むし&lt;/rt&gt;&lt;/ruby&gt;&lt;br&gt;&lt;div class=""audio""&gt;[sound:むし.mp3]&lt;/div&gt;")</f>
        <v>&lt;ruby&gt;虫&lt;rt&gt;むし&lt;/rt&gt;&lt;/ruby&gt;&lt;br&gt;&lt;div class="audio"&gt;[sound:むし.mp3]&lt;/div&gt;</v>
      </c>
      <c r="H1565" s="3" t="str">
        <f t="shared" si="1"/>
        <v>(n): côn trùng</v>
      </c>
      <c r="I1565" s="6" t="s">
        <v>8519</v>
      </c>
      <c r="J1565" s="6" t="s">
        <v>8520</v>
      </c>
      <c r="K1565" s="7">
        <f t="shared" si="2"/>
        <v>0.3237560617</v>
      </c>
    </row>
    <row r="1566">
      <c r="A1566" s="4">
        <v>1566.0</v>
      </c>
      <c r="B1566" s="5" t="s">
        <v>8521</v>
      </c>
      <c r="C1566" s="5" t="s">
        <v>8522</v>
      </c>
      <c r="D1566" s="5" t="s">
        <v>8523</v>
      </c>
      <c r="E1566" s="6" t="s">
        <v>24</v>
      </c>
      <c r="F1566" s="6" t="s">
        <v>8524</v>
      </c>
      <c r="G1566" s="3" t="str">
        <f>IFERROR(__xludf.DUMMYFUNCTION("REGEXREPLACE(
D1566,
""([一-龯々]+)\[([^\]]+)\]"",
""&lt;ruby&gt;$1&lt;rt&gt;$2&lt;/rt&gt;&lt;/ruby&gt;""
)&amp;""&lt;br&gt;&lt;div class=""""audio""""&gt;[sound:""&amp;C1566&amp;"".mp3]&lt;/div&gt;"""),"&lt;ruby&gt;交換&lt;rt&gt;こうかん&lt;/rt&gt;&lt;/ruby&gt;&lt;br&gt;&lt;div class=""audio""&gt;[sound:こうかん.mp3]&lt;/div&gt;")</f>
        <v>&lt;ruby&gt;交換&lt;rt&gt;こうかん&lt;/rt&gt;&lt;/ruby&gt;&lt;br&gt;&lt;div class="audio"&gt;[sound:こうかん.mp3]&lt;/div&gt;</v>
      </c>
      <c r="H1566" s="3" t="str">
        <f t="shared" si="1"/>
        <v>(v): trao đổi</v>
      </c>
      <c r="I1566" s="6" t="s">
        <v>8525</v>
      </c>
      <c r="J1566" s="6" t="s">
        <v>8526</v>
      </c>
      <c r="K1566" s="7">
        <f t="shared" si="2"/>
        <v>0.4552144761</v>
      </c>
    </row>
    <row r="1567">
      <c r="A1567" s="4">
        <v>1567.0</v>
      </c>
      <c r="B1567" s="5" t="s">
        <v>8527</v>
      </c>
      <c r="C1567" s="5" t="s">
        <v>8528</v>
      </c>
      <c r="D1567" s="5" t="s">
        <v>8529</v>
      </c>
      <c r="E1567" s="6" t="s">
        <v>24</v>
      </c>
      <c r="F1567" s="6" t="s">
        <v>5366</v>
      </c>
      <c r="G1567" s="3" t="str">
        <f>IFERROR(__xludf.DUMMYFUNCTION("REGEXREPLACE(
D1567,
""([一-龯々]+)\[([^\]]+)\]"",
""&lt;ruby&gt;$1&lt;rt&gt;$2&lt;/rt&gt;&lt;/ruby&gt;""
)&amp;""&lt;br&gt;&lt;div class=""""audio""""&gt;[sound:""&amp;C1567&amp;"".mp3]&lt;/div&gt;"""),"&lt;ruby&gt;出&lt;rt&gt;で&lt;/rt&gt;&lt;/ruby&gt;かける&lt;br&gt;&lt;div class=""audio""&gt;[sound:でかける.mp3]&lt;/div&gt;")</f>
        <v>&lt;ruby&gt;出&lt;rt&gt;で&lt;/rt&gt;&lt;/ruby&gt;かける&lt;br&gt;&lt;div class="audio"&gt;[sound:でかける.mp3]&lt;/div&gt;</v>
      </c>
      <c r="H1567" s="3" t="str">
        <f t="shared" si="1"/>
        <v>(v): ra ngoài</v>
      </c>
      <c r="I1567" s="6" t="s">
        <v>8530</v>
      </c>
      <c r="J1567" s="6" t="s">
        <v>8531</v>
      </c>
      <c r="K1567" s="7">
        <f t="shared" si="2"/>
        <v>0.2086703192</v>
      </c>
    </row>
    <row r="1568">
      <c r="A1568" s="4">
        <v>1568.0</v>
      </c>
      <c r="B1568" s="5" t="s">
        <v>8532</v>
      </c>
      <c r="C1568" s="5" t="s">
        <v>8533</v>
      </c>
      <c r="D1568" s="5" t="s">
        <v>8534</v>
      </c>
      <c r="E1568" s="6" t="s">
        <v>74</v>
      </c>
      <c r="F1568" s="6" t="s">
        <v>8535</v>
      </c>
      <c r="G1568" s="3" t="str">
        <f>IFERROR(__xludf.DUMMYFUNCTION("REGEXREPLACE(
D1568,
""([一-龯々]+)\[([^\]]+)\]"",
""&lt;ruby&gt;$1&lt;rt&gt;$2&lt;/rt&gt;&lt;/ruby&gt;""
)&amp;""&lt;br&gt;&lt;div class=""""audio""""&gt;[sound:""&amp;C1568&amp;"".mp3]&lt;/div&gt;"""),"&lt;ruby&gt;指定&lt;rt&gt;してい&lt;/rt&gt;&lt;/ruby&gt;&lt;br&gt;&lt;div class=""audio""&gt;[sound:してい.mp3]&lt;/div&gt;")</f>
        <v>&lt;ruby&gt;指定&lt;rt&gt;してい&lt;/rt&gt;&lt;/ruby&gt;&lt;br&gt;&lt;div class="audio"&gt;[sound:してい.mp3]&lt;/div&gt;</v>
      </c>
      <c r="H1568" s="3" t="str">
        <f t="shared" si="1"/>
        <v>(n): chỉ định</v>
      </c>
      <c r="I1568" s="6" t="s">
        <v>8536</v>
      </c>
      <c r="J1568" s="6" t="s">
        <v>8537</v>
      </c>
      <c r="K1568" s="7">
        <f t="shared" si="2"/>
        <v>0.4309813954</v>
      </c>
    </row>
    <row r="1569">
      <c r="A1569" s="4">
        <v>1569.0</v>
      </c>
      <c r="B1569" s="5" t="s">
        <v>8538</v>
      </c>
      <c r="C1569" s="5" t="s">
        <v>8539</v>
      </c>
      <c r="D1569" s="5" t="s">
        <v>8540</v>
      </c>
      <c r="E1569" s="6" t="s">
        <v>74</v>
      </c>
      <c r="F1569" s="6" t="s">
        <v>8541</v>
      </c>
      <c r="G1569" s="3" t="str">
        <f>IFERROR(__xludf.DUMMYFUNCTION("REGEXREPLACE(
D1569,
""([一-龯々]+)\[([^\]]+)\]"",
""&lt;ruby&gt;$1&lt;rt&gt;$2&lt;/rt&gt;&lt;/ruby&gt;""
)&amp;""&lt;br&gt;&lt;div class=""""audio""""&gt;[sound:""&amp;C1569&amp;"".mp3]&lt;/div&gt;"""),"&lt;ruby&gt;義務&lt;rt&gt;ぎむ&lt;/rt&gt;&lt;/ruby&gt;&lt;br&gt;&lt;div class=""audio""&gt;[sound:ぎむ.mp3]&lt;/div&gt;")</f>
        <v>&lt;ruby&gt;義務&lt;rt&gt;ぎむ&lt;/rt&gt;&lt;/ruby&gt;&lt;br&gt;&lt;div class="audio"&gt;[sound:ぎむ.mp3]&lt;/div&gt;</v>
      </c>
      <c r="H1569" s="3" t="str">
        <f t="shared" si="1"/>
        <v>(n): nghĩa vụ</v>
      </c>
      <c r="I1569" s="6" t="s">
        <v>8542</v>
      </c>
      <c r="J1569" s="6" t="s">
        <v>8543</v>
      </c>
      <c r="K1569" s="7">
        <f t="shared" si="2"/>
        <v>0.08908219549</v>
      </c>
    </row>
    <row r="1570">
      <c r="A1570" s="4">
        <v>1570.0</v>
      </c>
      <c r="B1570" s="5" t="s">
        <v>8544</v>
      </c>
      <c r="C1570" s="5" t="s">
        <v>8545</v>
      </c>
      <c r="D1570" s="5" t="s">
        <v>8546</v>
      </c>
      <c r="E1570" s="6" t="s">
        <v>24</v>
      </c>
      <c r="F1570" s="6" t="s">
        <v>8547</v>
      </c>
      <c r="G1570" s="3" t="str">
        <f>IFERROR(__xludf.DUMMYFUNCTION("REGEXREPLACE(
D1570,
""([一-龯々]+)\[([^\]]+)\]"",
""&lt;ruby&gt;$1&lt;rt&gt;$2&lt;/rt&gt;&lt;/ruby&gt;""
)&amp;""&lt;br&gt;&lt;div class=""""audio""""&gt;[sound:""&amp;C1570&amp;"".mp3]&lt;/div&gt;"""),"&lt;ruby&gt;超&lt;rt&gt;こ&lt;/rt&gt;&lt;/ruby&gt;える&lt;br&gt;&lt;div class=""audio""&gt;[sound:こえる.mp3]&lt;/div&gt;")</f>
        <v>&lt;ruby&gt;超&lt;rt&gt;こ&lt;/rt&gt;&lt;/ruby&gt;える&lt;br&gt;&lt;div class="audio"&gt;[sound:こえる.mp3]&lt;/div&gt;</v>
      </c>
      <c r="H1570" s="3" t="str">
        <f t="shared" si="1"/>
        <v>(v): vượt qua</v>
      </c>
      <c r="I1570" s="6" t="s">
        <v>8548</v>
      </c>
      <c r="J1570" s="6" t="s">
        <v>8549</v>
      </c>
      <c r="K1570" s="7">
        <f t="shared" si="2"/>
        <v>0.635933254</v>
      </c>
    </row>
    <row r="1571">
      <c r="A1571" s="4">
        <v>1571.0</v>
      </c>
      <c r="B1571" s="5" t="s">
        <v>8550</v>
      </c>
      <c r="C1571" s="5" t="s">
        <v>8551</v>
      </c>
      <c r="D1571" s="5" t="s">
        <v>8552</v>
      </c>
      <c r="E1571" s="6" t="s">
        <v>24</v>
      </c>
      <c r="F1571" s="6" t="s">
        <v>8553</v>
      </c>
      <c r="G1571" s="3" t="str">
        <f>IFERROR(__xludf.DUMMYFUNCTION("REGEXREPLACE(
D1571,
""([一-龯々]+)\[([^\]]+)\]"",
""&lt;ruby&gt;$1&lt;rt&gt;$2&lt;/rt&gt;&lt;/ruby&gt;""
)&amp;""&lt;br&gt;&lt;div class=""""audio""""&gt;[sound:""&amp;C1571&amp;"".mp3]&lt;/div&gt;"""),"&lt;ruby&gt;外&lt;rt&gt;はず&lt;/rt&gt;&lt;/ruby&gt;れる&lt;br&gt;&lt;div class=""audio""&gt;[sound:はずれる.mp3]&lt;/div&gt;")</f>
        <v>&lt;ruby&gt;外&lt;rt&gt;はず&lt;/rt&gt;&lt;/ruby&gt;れる&lt;br&gt;&lt;div class="audio"&gt;[sound:はずれる.mp3]&lt;/div&gt;</v>
      </c>
      <c r="H1571" s="3" t="str">
        <f t="shared" si="1"/>
        <v>(v): tuột ra</v>
      </c>
      <c r="I1571" s="6" t="s">
        <v>8554</v>
      </c>
      <c r="J1571" s="6" t="s">
        <v>8555</v>
      </c>
      <c r="K1571" s="7">
        <f t="shared" si="2"/>
        <v>0.6524603847</v>
      </c>
    </row>
    <row r="1572">
      <c r="A1572" s="4">
        <v>1572.0</v>
      </c>
      <c r="B1572" s="5" t="s">
        <v>8556</v>
      </c>
      <c r="C1572" s="5" t="s">
        <v>2383</v>
      </c>
      <c r="D1572" s="5" t="s">
        <v>8557</v>
      </c>
      <c r="E1572" s="6" t="s">
        <v>74</v>
      </c>
      <c r="F1572" s="6" t="s">
        <v>8558</v>
      </c>
      <c r="G1572" s="3" t="str">
        <f>IFERROR(__xludf.DUMMYFUNCTION("REGEXREPLACE(
D1572,
""([一-龯々]+)\[([^\]]+)\]"",
""&lt;ruby&gt;$1&lt;rt&gt;$2&lt;/rt&gt;&lt;/ruby&gt;""
)&amp;""&lt;br&gt;&lt;div class=""""audio""""&gt;[sound:""&amp;C1572&amp;"".mp3]&lt;/div&gt;"""),"&lt;ruby&gt;漢字&lt;rt&gt;かんじ&lt;/rt&gt;&lt;/ruby&gt;&lt;br&gt;&lt;div class=""audio""&gt;[sound:かんじ.mp3]&lt;/div&gt;")</f>
        <v>&lt;ruby&gt;漢字&lt;rt&gt;かんじ&lt;/rt&gt;&lt;/ruby&gt;&lt;br&gt;&lt;div class="audio"&gt;[sound:かんじ.mp3]&lt;/div&gt;</v>
      </c>
      <c r="H1572" s="3" t="str">
        <f t="shared" si="1"/>
        <v>(n): chữ hán</v>
      </c>
      <c r="I1572" s="6" t="s">
        <v>8559</v>
      </c>
      <c r="J1572" s="6" t="s">
        <v>8560</v>
      </c>
      <c r="K1572" s="7">
        <f t="shared" si="2"/>
        <v>0.01061314967</v>
      </c>
    </row>
    <row r="1573">
      <c r="A1573" s="4">
        <v>1573.0</v>
      </c>
      <c r="B1573" s="5" t="s">
        <v>8561</v>
      </c>
      <c r="C1573" s="5" t="s">
        <v>4177</v>
      </c>
      <c r="D1573" s="5" t="s">
        <v>8562</v>
      </c>
      <c r="E1573" s="6" t="s">
        <v>74</v>
      </c>
      <c r="F1573" s="6" t="s">
        <v>8563</v>
      </c>
      <c r="G1573" s="3" t="str">
        <f>IFERROR(__xludf.DUMMYFUNCTION("REGEXREPLACE(
D1573,
""([一-龯々]+)\[([^\]]+)\]"",
""&lt;ruby&gt;$1&lt;rt&gt;$2&lt;/rt&gt;&lt;/ruby&gt;""
)&amp;""&lt;br&gt;&lt;div class=""""audio""""&gt;[sound:""&amp;C1573&amp;"".mp3]&lt;/div&gt;"""),"&lt;ruby&gt;自己&lt;rt&gt;じこ&lt;/rt&gt;&lt;/ruby&gt;&lt;br&gt;&lt;div class=""audio""&gt;[sound:じこ.mp3]&lt;/div&gt;")</f>
        <v>&lt;ruby&gt;自己&lt;rt&gt;じこ&lt;/rt&gt;&lt;/ruby&gt;&lt;br&gt;&lt;div class="audio"&gt;[sound:じこ.mp3]&lt;/div&gt;</v>
      </c>
      <c r="H1573" s="3" t="str">
        <f t="shared" si="1"/>
        <v>(n): tự thân</v>
      </c>
      <c r="I1573" s="6" t="s">
        <v>8564</v>
      </c>
      <c r="J1573" s="6" t="s">
        <v>8565</v>
      </c>
      <c r="K1573" s="7">
        <f t="shared" si="2"/>
        <v>0.3378635434</v>
      </c>
    </row>
    <row r="1574">
      <c r="A1574" s="4">
        <v>1574.0</v>
      </c>
      <c r="B1574" s="5" t="s">
        <v>8566</v>
      </c>
      <c r="C1574" s="5" t="s">
        <v>8567</v>
      </c>
      <c r="D1574" s="5" t="s">
        <v>8568</v>
      </c>
      <c r="E1574" s="6" t="s">
        <v>11</v>
      </c>
      <c r="F1574" s="6" t="s">
        <v>8569</v>
      </c>
      <c r="G1574" s="3" t="str">
        <f>IFERROR(__xludf.DUMMYFUNCTION("REGEXREPLACE(
D1574,
""([一-龯々]+)\[([^\]]+)\]"",
""&lt;ruby&gt;$1&lt;rt&gt;$2&lt;/rt&gt;&lt;/ruby&gt;""
)&amp;""&lt;br&gt;&lt;div class=""""audio""""&gt;[sound:""&amp;C1574&amp;"".mp3]&lt;/div&gt;"""),"&lt;ruby&gt;苦&lt;rt&gt;くる&lt;/rt&gt;&lt;/ruby&gt;しい&lt;br&gt;&lt;div class=""audio""&gt;[sound:くるしい.mp3]&lt;/div&gt;")</f>
        <v>&lt;ruby&gt;苦&lt;rt&gt;くる&lt;/rt&gt;&lt;/ruby&gt;しい&lt;br&gt;&lt;div class="audio"&gt;[sound:くるしい.mp3]&lt;/div&gt;</v>
      </c>
      <c r="H1574" s="3" t="str">
        <f t="shared" si="1"/>
        <v>(adj): đau khổ</v>
      </c>
      <c r="I1574" s="6" t="s">
        <v>8570</v>
      </c>
      <c r="J1574" s="6" t="s">
        <v>8571</v>
      </c>
      <c r="K1574" s="7">
        <f t="shared" si="2"/>
        <v>0.06944635429</v>
      </c>
    </row>
    <row r="1575">
      <c r="A1575" s="4">
        <v>1575.0</v>
      </c>
      <c r="B1575" s="5" t="s">
        <v>8572</v>
      </c>
      <c r="C1575" s="5" t="s">
        <v>8573</v>
      </c>
      <c r="D1575" s="5" t="s">
        <v>8574</v>
      </c>
      <c r="E1575" s="6" t="s">
        <v>24</v>
      </c>
      <c r="F1575" s="6" t="s">
        <v>8575</v>
      </c>
      <c r="G1575" s="3" t="str">
        <f>IFERROR(__xludf.DUMMYFUNCTION("REGEXREPLACE(
D1575,
""([一-龯々]+)\[([^\]]+)\]"",
""&lt;ruby&gt;$1&lt;rt&gt;$2&lt;/rt&gt;&lt;/ruby&gt;""
)&amp;""&lt;br&gt;&lt;div class=""""audio""""&gt;[sound:""&amp;C1575&amp;"".mp3]&lt;/div&gt;"""),"&lt;ruby&gt;下&lt;rt&gt;くだ&lt;/rt&gt;&lt;/ruby&gt;す&lt;br&gt;&lt;div class=""audio""&gt;[sound:くだす.mp3]&lt;/div&gt;")</f>
        <v>&lt;ruby&gt;下&lt;rt&gt;くだ&lt;/rt&gt;&lt;/ruby&gt;す&lt;br&gt;&lt;div class="audio"&gt;[sound:くだす.mp3]&lt;/div&gt;</v>
      </c>
      <c r="H1575" s="3" t="str">
        <f t="shared" si="1"/>
        <v>(v): đưa ra</v>
      </c>
      <c r="I1575" s="6" t="s">
        <v>8576</v>
      </c>
      <c r="J1575" s="6" t="s">
        <v>8577</v>
      </c>
      <c r="K1575" s="7">
        <f t="shared" si="2"/>
        <v>0.7809660609</v>
      </c>
    </row>
    <row r="1576">
      <c r="A1576" s="4">
        <v>1576.0</v>
      </c>
      <c r="B1576" s="5" t="s">
        <v>8578</v>
      </c>
      <c r="C1576" s="5" t="s">
        <v>8579</v>
      </c>
      <c r="D1576" s="5" t="s">
        <v>8580</v>
      </c>
      <c r="E1576" s="6" t="s">
        <v>24</v>
      </c>
      <c r="F1576" s="6" t="s">
        <v>8581</v>
      </c>
      <c r="G1576" s="3" t="str">
        <f>IFERROR(__xludf.DUMMYFUNCTION("REGEXREPLACE(
D1576,
""([一-龯々]+)\[([^\]]+)\]"",
""&lt;ruby&gt;$1&lt;rt&gt;$2&lt;/rt&gt;&lt;/ruby&gt;""
)&amp;""&lt;br&gt;&lt;div class=""""audio""""&gt;[sound:""&amp;C1576&amp;"".mp3]&lt;/div&gt;"""),"&lt;ruby&gt;出会&lt;rt&gt;であ&lt;/rt&gt;&lt;/ruby&gt;う&lt;br&gt;&lt;div class=""audio""&gt;[sound:であう.mp3]&lt;/div&gt;")</f>
        <v>&lt;ruby&gt;出会&lt;rt&gt;であ&lt;/rt&gt;&lt;/ruby&gt;う&lt;br&gt;&lt;div class="audio"&gt;[sound:であう.mp3]&lt;/div&gt;</v>
      </c>
      <c r="H1576" s="3" t="str">
        <f t="shared" si="1"/>
        <v>(v): gặp gỡ</v>
      </c>
      <c r="I1576" s="6" t="s">
        <v>8582</v>
      </c>
      <c r="J1576" s="6" t="s">
        <v>8583</v>
      </c>
      <c r="K1576" s="7">
        <f t="shared" si="2"/>
        <v>0.06457493767</v>
      </c>
    </row>
    <row r="1577">
      <c r="A1577" s="4">
        <v>1577.0</v>
      </c>
      <c r="B1577" s="5" t="s">
        <v>8584</v>
      </c>
      <c r="C1577" s="5" t="s">
        <v>8585</v>
      </c>
      <c r="D1577" s="5" t="s">
        <v>8586</v>
      </c>
      <c r="E1577" s="6" t="s">
        <v>74</v>
      </c>
      <c r="F1577" s="6" t="s">
        <v>8587</v>
      </c>
      <c r="G1577" s="3" t="str">
        <f>IFERROR(__xludf.DUMMYFUNCTION("REGEXREPLACE(
D1577,
""([一-龯々]+)\[([^\]]+)\]"",
""&lt;ruby&gt;$1&lt;rt&gt;$2&lt;/rt&gt;&lt;/ruby&gt;""
)&amp;""&lt;br&gt;&lt;div class=""""audio""""&gt;[sound:""&amp;C1577&amp;"".mp3]&lt;/div&gt;"""),"&lt;ruby&gt;要素&lt;rt&gt;ようそ&lt;/rt&gt;&lt;/ruby&gt;&lt;br&gt;&lt;div class=""audio""&gt;[sound:ようそ.mp3]&lt;/div&gt;")</f>
        <v>&lt;ruby&gt;要素&lt;rt&gt;ようそ&lt;/rt&gt;&lt;/ruby&gt;&lt;br&gt;&lt;div class="audio"&gt;[sound:ようそ.mp3]&lt;/div&gt;</v>
      </c>
      <c r="H1577" s="3" t="str">
        <f t="shared" si="1"/>
        <v>(n): yếu tố</v>
      </c>
      <c r="I1577" s="6" t="s">
        <v>8588</v>
      </c>
      <c r="J1577" s="6" t="s">
        <v>8589</v>
      </c>
      <c r="K1577" s="7">
        <f t="shared" si="2"/>
        <v>0.2753190588</v>
      </c>
    </row>
    <row r="1578">
      <c r="A1578" s="4">
        <v>1578.0</v>
      </c>
      <c r="B1578" s="5" t="s">
        <v>8590</v>
      </c>
      <c r="C1578" s="5" t="s">
        <v>8590</v>
      </c>
      <c r="D1578" s="5" t="s">
        <v>8590</v>
      </c>
      <c r="E1578" s="6" t="s">
        <v>11</v>
      </c>
      <c r="F1578" s="6" t="s">
        <v>8591</v>
      </c>
      <c r="G1578" s="3" t="str">
        <f>IFERROR(__xludf.DUMMYFUNCTION("REGEXREPLACE(
D1578,
""([一-龯々]+)\[([^\]]+)\]"",
""&lt;ruby&gt;$1&lt;rt&gt;$2&lt;/rt&gt;&lt;/ruby&gt;""
)&amp;""&lt;br&gt;&lt;div class=""""audio""""&gt;[sound:""&amp;C1578&amp;"".mp3]&lt;/div&gt;"""),"まずい&lt;br&gt;&lt;div class=""audio""&gt;[sound:まずい.mp3]&lt;/div&gt;")</f>
        <v>まずい&lt;br&gt;&lt;div class="audio"&gt;[sound:まずい.mp3]&lt;/div&gt;</v>
      </c>
      <c r="H1578" s="3" t="str">
        <f t="shared" si="1"/>
        <v>(adj): dở</v>
      </c>
      <c r="I1578" s="6" t="s">
        <v>8592</v>
      </c>
      <c r="J1578" s="6" t="s">
        <v>8593</v>
      </c>
      <c r="K1578" s="7">
        <f t="shared" si="2"/>
        <v>0.6348999724</v>
      </c>
    </row>
    <row r="1579">
      <c r="A1579" s="4">
        <v>1579.0</v>
      </c>
      <c r="B1579" s="5" t="s">
        <v>8594</v>
      </c>
      <c r="C1579" s="5" t="s">
        <v>8595</v>
      </c>
      <c r="D1579" s="5" t="s">
        <v>8596</v>
      </c>
      <c r="E1579" s="6" t="s">
        <v>74</v>
      </c>
      <c r="F1579" s="6" t="s">
        <v>8597</v>
      </c>
      <c r="G1579" s="3" t="str">
        <f>IFERROR(__xludf.DUMMYFUNCTION("REGEXREPLACE(
D1579,
""([一-龯々]+)\[([^\]]+)\]"",
""&lt;ruby&gt;$1&lt;rt&gt;$2&lt;/rt&gt;&lt;/ruby&gt;""
)&amp;""&lt;br&gt;&lt;div class=""""audio""""&gt;[sound:""&amp;C1579&amp;"".mp3]&lt;/div&gt;"""),"&lt;ruby&gt;処理&lt;rt&gt;しょり&lt;/rt&gt;&lt;/ruby&gt;&lt;br&gt;&lt;div class=""audio""&gt;[sound:しょり.mp3]&lt;/div&gt;")</f>
        <v>&lt;ruby&gt;処理&lt;rt&gt;しょり&lt;/rt&gt;&lt;/ruby&gt;&lt;br&gt;&lt;div class="audio"&gt;[sound:しょり.mp3]&lt;/div&gt;</v>
      </c>
      <c r="H1579" s="3" t="str">
        <f t="shared" si="1"/>
        <v>(n): xử lý</v>
      </c>
      <c r="I1579" s="6" t="s">
        <v>8598</v>
      </c>
      <c r="J1579" s="6" t="s">
        <v>8599</v>
      </c>
      <c r="K1579" s="7">
        <f t="shared" si="2"/>
        <v>0.280065587</v>
      </c>
    </row>
    <row r="1580">
      <c r="A1580" s="4">
        <v>1580.0</v>
      </c>
      <c r="B1580" s="5" t="s">
        <v>8600</v>
      </c>
      <c r="C1580" s="5" t="s">
        <v>8601</v>
      </c>
      <c r="D1580" s="5" t="s">
        <v>8602</v>
      </c>
      <c r="E1580" s="6" t="s">
        <v>74</v>
      </c>
      <c r="F1580" s="6" t="s">
        <v>4654</v>
      </c>
      <c r="G1580" s="3" t="str">
        <f>IFERROR(__xludf.DUMMYFUNCTION("REGEXREPLACE(
D1580,
""([一-龯々]+)\[([^\]]+)\]"",
""&lt;ruby&gt;$1&lt;rt&gt;$2&lt;/rt&gt;&lt;/ruby&gt;""
)&amp;""&lt;br&gt;&lt;div class=""""audio""""&gt;[sound:""&amp;C1580&amp;"".mp3]&lt;/div&gt;"""),"&lt;ruby&gt;基礎&lt;rt&gt;きそ&lt;/rt&gt;&lt;/ruby&gt;&lt;br&gt;&lt;div class=""audio""&gt;[sound:きそ.mp3]&lt;/div&gt;")</f>
        <v>&lt;ruby&gt;基礎&lt;rt&gt;きそ&lt;/rt&gt;&lt;/ruby&gt;&lt;br&gt;&lt;div class="audio"&gt;[sound:きそ.mp3]&lt;/div&gt;</v>
      </c>
      <c r="H1580" s="3" t="str">
        <f t="shared" si="1"/>
        <v>(n): cơ sở</v>
      </c>
      <c r="I1580" s="6" t="s">
        <v>8603</v>
      </c>
      <c r="J1580" s="6" t="s">
        <v>8604</v>
      </c>
      <c r="K1580" s="7">
        <f t="shared" si="2"/>
        <v>0.9748093781</v>
      </c>
    </row>
    <row r="1581">
      <c r="A1581" s="4">
        <v>1581.0</v>
      </c>
      <c r="B1581" s="5" t="s">
        <v>8605</v>
      </c>
      <c r="C1581" s="5" t="s">
        <v>8606</v>
      </c>
      <c r="D1581" s="5" t="s">
        <v>8607</v>
      </c>
      <c r="E1581" s="6" t="s">
        <v>24</v>
      </c>
      <c r="F1581" s="6" t="s">
        <v>8608</v>
      </c>
      <c r="G1581" s="3" t="str">
        <f>IFERROR(__xludf.DUMMYFUNCTION("REGEXREPLACE(
D1581,
""([一-龯々]+)\[([^\]]+)\]"",
""&lt;ruby&gt;$1&lt;rt&gt;$2&lt;/rt&gt;&lt;/ruby&gt;""
)&amp;""&lt;br&gt;&lt;div class=""""audio""""&gt;[sound:""&amp;C1581&amp;"".mp3]&lt;/div&gt;"""),"&lt;ruby&gt;触&lt;rt&gt;ふ&lt;/rt&gt;&lt;/ruby&gt;れる&lt;br&gt;&lt;div class=""audio""&gt;[sound:ふれる.mp3]&lt;/div&gt;")</f>
        <v>&lt;ruby&gt;触&lt;rt&gt;ふ&lt;/rt&gt;&lt;/ruby&gt;れる&lt;br&gt;&lt;div class="audio"&gt;[sound:ふれる.mp3]&lt;/div&gt;</v>
      </c>
      <c r="H1581" s="3" t="str">
        <f t="shared" si="1"/>
        <v>(v): chạm</v>
      </c>
      <c r="I1581" s="6" t="s">
        <v>8609</v>
      </c>
      <c r="J1581" s="6" t="s">
        <v>8610</v>
      </c>
      <c r="K1581" s="7">
        <f t="shared" si="2"/>
        <v>0.3591156997</v>
      </c>
    </row>
    <row r="1582">
      <c r="A1582" s="4">
        <v>1582.0</v>
      </c>
      <c r="B1582" s="5" t="s">
        <v>8611</v>
      </c>
      <c r="C1582" s="5" t="s">
        <v>8612</v>
      </c>
      <c r="D1582" s="5" t="s">
        <v>8613</v>
      </c>
      <c r="E1582" s="6" t="s">
        <v>24</v>
      </c>
      <c r="F1582" s="6" t="s">
        <v>8614</v>
      </c>
      <c r="G1582" s="3" t="str">
        <f>IFERROR(__xludf.DUMMYFUNCTION("REGEXREPLACE(
D1582,
""([一-龯々]+)\[([^\]]+)\]"",
""&lt;ruby&gt;$1&lt;rt&gt;$2&lt;/rt&gt;&lt;/ruby&gt;""
)&amp;""&lt;br&gt;&lt;div class=""""audio""""&gt;[sound:""&amp;C1582&amp;"".mp3]&lt;/div&gt;"""),"&lt;ruby&gt;訴&lt;rt&gt;うった&lt;/rt&gt;&lt;/ruby&gt;える&lt;br&gt;&lt;div class=""audio""&gt;[sound:うったえる.mp3]&lt;/div&gt;")</f>
        <v>&lt;ruby&gt;訴&lt;rt&gt;うった&lt;/rt&gt;&lt;/ruby&gt;える&lt;br&gt;&lt;div class="audio"&gt;[sound:うったえる.mp3]&lt;/div&gt;</v>
      </c>
      <c r="H1582" s="3" t="str">
        <f t="shared" si="1"/>
        <v>(v): kiện</v>
      </c>
      <c r="I1582" s="6" t="s">
        <v>8615</v>
      </c>
      <c r="J1582" s="6" t="s">
        <v>8616</v>
      </c>
      <c r="K1582" s="7">
        <f t="shared" si="2"/>
        <v>0.06154469143</v>
      </c>
    </row>
    <row r="1583">
      <c r="A1583" s="4">
        <v>1583.0</v>
      </c>
      <c r="B1583" s="5" t="s">
        <v>8617</v>
      </c>
      <c r="C1583" s="5" t="s">
        <v>8618</v>
      </c>
      <c r="D1583" s="5" t="s">
        <v>8619</v>
      </c>
      <c r="E1583" s="6" t="s">
        <v>24</v>
      </c>
      <c r="F1583" s="6" t="s">
        <v>1775</v>
      </c>
      <c r="G1583" s="3" t="str">
        <f>IFERROR(__xludf.DUMMYFUNCTION("REGEXREPLACE(
D1583,
""([一-龯々]+)\[([^\]]+)\]"",
""&lt;ruby&gt;$1&lt;rt&gt;$2&lt;/rt&gt;&lt;/ruby&gt;""
)&amp;""&lt;br&gt;&lt;div class=""""audio""""&gt;[sound:""&amp;C1583&amp;"".mp3]&lt;/div&gt;"""),"&lt;ruby&gt;引&lt;rt&gt;ひ&lt;/rt&gt;&lt;/ruby&gt;っ&lt;ruby&gt;張&lt;rt&gt;ぱ&lt;/rt&gt;&lt;/ruby&gt;る&lt;br&gt;&lt;div class=""audio""&gt;[sound:ひっぱる.mp3]&lt;/div&gt;")</f>
        <v>&lt;ruby&gt;引&lt;rt&gt;ひ&lt;/rt&gt;&lt;/ruby&gt;っ&lt;ruby&gt;張&lt;rt&gt;ぱ&lt;/rt&gt;&lt;/ruby&gt;る&lt;br&gt;&lt;div class="audio"&gt;[sound:ひっぱる.mp3]&lt;/div&gt;</v>
      </c>
      <c r="H1583" s="3" t="str">
        <f t="shared" si="1"/>
        <v>(v): kéo</v>
      </c>
      <c r="I1583" s="6" t="s">
        <v>8620</v>
      </c>
      <c r="J1583" s="6" t="s">
        <v>8621</v>
      </c>
      <c r="K1583" s="7">
        <f t="shared" si="2"/>
        <v>0.3617014278</v>
      </c>
    </row>
    <row r="1584">
      <c r="A1584" s="4">
        <v>1584.0</v>
      </c>
      <c r="B1584" s="5" t="s">
        <v>8622</v>
      </c>
      <c r="C1584" s="5" t="s">
        <v>8623</v>
      </c>
      <c r="D1584" s="5" t="s">
        <v>8624</v>
      </c>
      <c r="E1584" s="6" t="s">
        <v>74</v>
      </c>
      <c r="F1584" s="6" t="s">
        <v>8625</v>
      </c>
      <c r="G1584" s="3" t="str">
        <f>IFERROR(__xludf.DUMMYFUNCTION("REGEXREPLACE(
D1584,
""([一-龯々]+)\[([^\]]+)\]"",
""&lt;ruby&gt;$1&lt;rt&gt;$2&lt;/rt&gt;&lt;/ruby&gt;""
)&amp;""&lt;br&gt;&lt;div class=""""audio""""&gt;[sound:""&amp;C1584&amp;"".mp3]&lt;/div&gt;"""),"&lt;ruby&gt;耳&lt;rt&gt;みみ&lt;/rt&gt;&lt;/ruby&gt;&lt;br&gt;&lt;div class=""audio""&gt;[sound:みみ.mp3]&lt;/div&gt;")</f>
        <v>&lt;ruby&gt;耳&lt;rt&gt;みみ&lt;/rt&gt;&lt;/ruby&gt;&lt;br&gt;&lt;div class="audio"&gt;[sound:みみ.mp3]&lt;/div&gt;</v>
      </c>
      <c r="H1584" s="3" t="str">
        <f t="shared" si="1"/>
        <v>(n): tai</v>
      </c>
      <c r="I1584" s="6" t="s">
        <v>8626</v>
      </c>
      <c r="J1584" s="6" t="s">
        <v>8627</v>
      </c>
      <c r="K1584" s="7">
        <f t="shared" si="2"/>
        <v>0.8794709613</v>
      </c>
    </row>
    <row r="1585">
      <c r="A1585" s="4">
        <v>1585.0</v>
      </c>
      <c r="B1585" s="5" t="s">
        <v>8628</v>
      </c>
      <c r="C1585" s="5" t="s">
        <v>8629</v>
      </c>
      <c r="D1585" s="5" t="s">
        <v>8630</v>
      </c>
      <c r="E1585" s="6" t="s">
        <v>74</v>
      </c>
      <c r="F1585" s="6" t="s">
        <v>8631</v>
      </c>
      <c r="G1585" s="3" t="str">
        <f>IFERROR(__xludf.DUMMYFUNCTION("REGEXREPLACE(
D1585,
""([一-龯々]+)\[([^\]]+)\]"",
""&lt;ruby&gt;$1&lt;rt&gt;$2&lt;/rt&gt;&lt;/ruby&gt;""
)&amp;""&lt;br&gt;&lt;div class=""""audio""""&gt;[sound:""&amp;C1585&amp;"".mp3]&lt;/div&gt;"""),"&lt;ruby&gt;岸&lt;rt&gt;きし&lt;/rt&gt;&lt;/ruby&gt;&lt;br&gt;&lt;div class=""audio""&gt;[sound:きし.mp3]&lt;/div&gt;")</f>
        <v>&lt;ruby&gt;岸&lt;rt&gt;きし&lt;/rt&gt;&lt;/ruby&gt;&lt;br&gt;&lt;div class="audio"&gt;[sound:きし.mp3]&lt;/div&gt;</v>
      </c>
      <c r="H1585" s="3" t="str">
        <f t="shared" si="1"/>
        <v>(n): bờ</v>
      </c>
      <c r="I1585" s="6" t="s">
        <v>8632</v>
      </c>
      <c r="J1585" s="6" t="s">
        <v>8633</v>
      </c>
      <c r="K1585" s="7">
        <f t="shared" si="2"/>
        <v>0.8182226963</v>
      </c>
    </row>
    <row r="1586">
      <c r="A1586" s="4">
        <v>1586.0</v>
      </c>
      <c r="B1586" s="5" t="s">
        <v>8634</v>
      </c>
      <c r="C1586" s="5" t="s">
        <v>8635</v>
      </c>
      <c r="D1586" s="5" t="s">
        <v>8634</v>
      </c>
      <c r="E1586" s="6" t="s">
        <v>74</v>
      </c>
      <c r="F1586" s="6" t="s">
        <v>8636</v>
      </c>
      <c r="G1586" s="3" t="str">
        <f>IFERROR(__xludf.DUMMYFUNCTION("REGEXREPLACE(
D1586,
""([一-龯々]+)\[([^\]]+)\]"",
""&lt;ruby&gt;$1&lt;rt&gt;$2&lt;/rt&gt;&lt;/ruby&gt;""
)&amp;""&lt;br&gt;&lt;div class=""""audio""""&gt;[sound:""&amp;C1586&amp;"".mp3]&lt;/div&gt;"""),"リポート&lt;br&gt;&lt;div class=""audio""&gt;[sound:りぽーと.mp3]&lt;/div&gt;")</f>
        <v>リポート&lt;br&gt;&lt;div class="audio"&gt;[sound:りぽーと.mp3]&lt;/div&gt;</v>
      </c>
      <c r="H1586" s="3" t="str">
        <f t="shared" si="1"/>
        <v>(n): bài báo cáo</v>
      </c>
      <c r="I1586" s="6" t="s">
        <v>8637</v>
      </c>
      <c r="J1586" s="6" t="s">
        <v>8638</v>
      </c>
      <c r="K1586" s="7">
        <f t="shared" si="2"/>
        <v>0.612918913</v>
      </c>
    </row>
    <row r="1587">
      <c r="A1587" s="4">
        <v>1587.0</v>
      </c>
      <c r="B1587" s="5" t="s">
        <v>8639</v>
      </c>
      <c r="C1587" s="5" t="s">
        <v>8640</v>
      </c>
      <c r="D1587" s="5" t="s">
        <v>8641</v>
      </c>
      <c r="E1587" s="6" t="s">
        <v>74</v>
      </c>
      <c r="F1587" s="6" t="s">
        <v>8642</v>
      </c>
      <c r="G1587" s="3" t="str">
        <f>IFERROR(__xludf.DUMMYFUNCTION("REGEXREPLACE(
D1587,
""([一-龯々]+)\[([^\]]+)\]"",
""&lt;ruby&gt;$1&lt;rt&gt;$2&lt;/rt&gt;&lt;/ruby&gt;""
)&amp;""&lt;br&gt;&lt;div class=""""audio""""&gt;[sound:""&amp;C1587&amp;"".mp3]&lt;/div&gt;"""),"&lt;ruby&gt;建築&lt;rt&gt;けんちく&lt;/rt&gt;&lt;/ruby&gt;&lt;br&gt;&lt;div class=""audio""&gt;[sound:けんちく.mp3]&lt;/div&gt;")</f>
        <v>&lt;ruby&gt;建築&lt;rt&gt;けんちく&lt;/rt&gt;&lt;/ruby&gt;&lt;br&gt;&lt;div class="audio"&gt;[sound:けんちく.mp3]&lt;/div&gt;</v>
      </c>
      <c r="H1587" s="3" t="str">
        <f t="shared" si="1"/>
        <v>(n): kiến trúc</v>
      </c>
      <c r="I1587" s="6" t="s">
        <v>8643</v>
      </c>
      <c r="J1587" s="6" t="s">
        <v>8644</v>
      </c>
      <c r="K1587" s="7">
        <f t="shared" si="2"/>
        <v>0.5504295506</v>
      </c>
    </row>
    <row r="1588">
      <c r="A1588" s="4">
        <v>1588.0</v>
      </c>
      <c r="B1588" s="5" t="s">
        <v>8645</v>
      </c>
      <c r="C1588" s="5" t="s">
        <v>8646</v>
      </c>
      <c r="D1588" s="5" t="s">
        <v>8647</v>
      </c>
      <c r="E1588" s="6" t="s">
        <v>74</v>
      </c>
      <c r="F1588" s="6" t="s">
        <v>8648</v>
      </c>
      <c r="G1588" s="3" t="str">
        <f>IFERROR(__xludf.DUMMYFUNCTION("REGEXREPLACE(
D1588,
""([一-龯々]+)\[([^\]]+)\]"",
""&lt;ruby&gt;$1&lt;rt&gt;$2&lt;/rt&gt;&lt;/ruby&gt;""
)&amp;""&lt;br&gt;&lt;div class=""""audio""""&gt;[sound:""&amp;C1588&amp;"".mp3]&lt;/div&gt;"""),"&lt;ruby&gt;自宅&lt;rt&gt;じたく&lt;/rt&gt;&lt;/ruby&gt;&lt;br&gt;&lt;div class=""audio""&gt;[sound:じたく.mp3]&lt;/div&gt;")</f>
        <v>&lt;ruby&gt;自宅&lt;rt&gt;じたく&lt;/rt&gt;&lt;/ruby&gt;&lt;br&gt;&lt;div class="audio"&gt;[sound:じたく.mp3]&lt;/div&gt;</v>
      </c>
      <c r="H1588" s="3" t="str">
        <f t="shared" si="1"/>
        <v>(n): nhà riêng</v>
      </c>
      <c r="I1588" s="6" t="s">
        <v>8649</v>
      </c>
      <c r="J1588" s="6" t="s">
        <v>8650</v>
      </c>
      <c r="K1588" s="7">
        <f t="shared" si="2"/>
        <v>0.7641515043</v>
      </c>
    </row>
    <row r="1589">
      <c r="A1589" s="4">
        <v>1589.0</v>
      </c>
      <c r="B1589" s="5" t="s">
        <v>8651</v>
      </c>
      <c r="C1589" s="5" t="s">
        <v>8652</v>
      </c>
      <c r="D1589" s="5" t="s">
        <v>8653</v>
      </c>
      <c r="E1589" s="6" t="s">
        <v>24</v>
      </c>
      <c r="F1589" s="6" t="s">
        <v>8506</v>
      </c>
      <c r="G1589" s="3" t="str">
        <f>IFERROR(__xludf.DUMMYFUNCTION("REGEXREPLACE(
D1589,
""([一-龯々]+)\[([^\]]+)\]"",
""&lt;ruby&gt;$1&lt;rt&gt;$2&lt;/rt&gt;&lt;/ruby&gt;""
)&amp;""&lt;br&gt;&lt;div class=""""audio""""&gt;[sound:""&amp;C1589&amp;"".mp3]&lt;/div&gt;"""),"&lt;ruby&gt;述&lt;rt&gt;の&lt;/rt&gt;&lt;/ruby&gt;べる&lt;br&gt;&lt;div class=""audio""&gt;[sound:のべる.mp3]&lt;/div&gt;")</f>
        <v>&lt;ruby&gt;述&lt;rt&gt;の&lt;/rt&gt;&lt;/ruby&gt;べる&lt;br&gt;&lt;div class="audio"&gt;[sound:のべる.mp3]&lt;/div&gt;</v>
      </c>
      <c r="H1589" s="3" t="str">
        <f t="shared" si="1"/>
        <v>(v): phát biểu</v>
      </c>
      <c r="I1589" s="6" t="s">
        <v>8654</v>
      </c>
      <c r="J1589" s="6" t="s">
        <v>8655</v>
      </c>
      <c r="K1589" s="7">
        <f t="shared" si="2"/>
        <v>0.2064615403</v>
      </c>
    </row>
    <row r="1590">
      <c r="A1590" s="4">
        <v>1590.0</v>
      </c>
      <c r="B1590" s="5" t="s">
        <v>8656</v>
      </c>
      <c r="C1590" s="5" t="s">
        <v>8657</v>
      </c>
      <c r="D1590" s="5" t="s">
        <v>8658</v>
      </c>
      <c r="E1590" s="6" t="s">
        <v>74</v>
      </c>
      <c r="F1590" s="6" t="s">
        <v>2557</v>
      </c>
      <c r="G1590" s="3" t="str">
        <f>IFERROR(__xludf.DUMMYFUNCTION("REGEXREPLACE(
D1590,
""([一-龯々]+)\[([^\]]+)\]"",
""&lt;ruby&gt;$1&lt;rt&gt;$2&lt;/rt&gt;&lt;/ruby&gt;""
)&amp;""&lt;br&gt;&lt;div class=""""audio""""&gt;[sound:""&amp;C1590&amp;"".mp3]&lt;/div&gt;"""),"&lt;ruby&gt;金融&lt;rt&gt;きんゆう&lt;/rt&gt;&lt;/ruby&gt;&lt;br&gt;&lt;div class=""audio""&gt;[sound:きんゆう.mp3]&lt;/div&gt;")</f>
        <v>&lt;ruby&gt;金融&lt;rt&gt;きんゆう&lt;/rt&gt;&lt;/ruby&gt;&lt;br&gt;&lt;div class="audio"&gt;[sound:きんゆう.mp3]&lt;/div&gt;</v>
      </c>
      <c r="H1590" s="3" t="str">
        <f t="shared" si="1"/>
        <v>(n): tài chính</v>
      </c>
      <c r="I1590" s="6" t="s">
        <v>8659</v>
      </c>
      <c r="J1590" s="6" t="s">
        <v>8660</v>
      </c>
      <c r="K1590" s="7">
        <f t="shared" si="2"/>
        <v>0.2348737449</v>
      </c>
    </row>
    <row r="1591">
      <c r="A1591" s="4">
        <v>1591.0</v>
      </c>
      <c r="B1591" s="5" t="s">
        <v>8661</v>
      </c>
      <c r="C1591" s="5" t="s">
        <v>8662</v>
      </c>
      <c r="D1591" s="5" t="s">
        <v>8663</v>
      </c>
      <c r="E1591" s="6" t="s">
        <v>74</v>
      </c>
      <c r="F1591" s="6" t="s">
        <v>8664</v>
      </c>
      <c r="G1591" s="3" t="str">
        <f>IFERROR(__xludf.DUMMYFUNCTION("REGEXREPLACE(
D1591,
""([一-龯々]+)\[([^\]]+)\]"",
""&lt;ruby&gt;$1&lt;rt&gt;$2&lt;/rt&gt;&lt;/ruby&gt;""
)&amp;""&lt;br&gt;&lt;div class=""""audio""""&gt;[sound:""&amp;C1591&amp;"".mp3]&lt;/div&gt;"""),"&lt;ruby&gt;一種&lt;rt&gt;いっしゅ&lt;/rt&gt;&lt;/ruby&gt;&lt;br&gt;&lt;div class=""audio""&gt;[sound:いっしゅ.mp3]&lt;/div&gt;")</f>
        <v>&lt;ruby&gt;一種&lt;rt&gt;いっしゅ&lt;/rt&gt;&lt;/ruby&gt;&lt;br&gt;&lt;div class="audio"&gt;[sound:いっしゅ.mp3]&lt;/div&gt;</v>
      </c>
      <c r="H1591" s="3" t="str">
        <f t="shared" si="1"/>
        <v>(n): một loại</v>
      </c>
      <c r="I1591" s="6" t="s">
        <v>8665</v>
      </c>
      <c r="J1591" s="6" t="s">
        <v>8666</v>
      </c>
      <c r="K1591" s="7">
        <f t="shared" si="2"/>
        <v>0.6074017505</v>
      </c>
    </row>
    <row r="1592">
      <c r="A1592" s="4">
        <v>1592.0</v>
      </c>
      <c r="B1592" s="5" t="s">
        <v>8667</v>
      </c>
      <c r="C1592" s="5" t="s">
        <v>8668</v>
      </c>
      <c r="D1592" s="5" t="s">
        <v>8669</v>
      </c>
      <c r="E1592" s="6" t="s">
        <v>74</v>
      </c>
      <c r="F1592" s="6" t="s">
        <v>8670</v>
      </c>
      <c r="G1592" s="3" t="str">
        <f>IFERROR(__xludf.DUMMYFUNCTION("REGEXREPLACE(
D1592,
""([一-龯々]+)\[([^\]]+)\]"",
""&lt;ruby&gt;$1&lt;rt&gt;$2&lt;/rt&gt;&lt;/ruby&gt;""
)&amp;""&lt;br&gt;&lt;div class=""""audio""""&gt;[sound:""&amp;C1592&amp;"".mp3]&lt;/div&gt;"""),"&lt;ruby&gt;人物&lt;rt&gt;じんぶつ&lt;/rt&gt;&lt;/ruby&gt;&lt;br&gt;&lt;div class=""audio""&gt;[sound:じんぶつ.mp3]&lt;/div&gt;")</f>
        <v>&lt;ruby&gt;人物&lt;rt&gt;じんぶつ&lt;/rt&gt;&lt;/ruby&gt;&lt;br&gt;&lt;div class="audio"&gt;[sound:じんぶつ.mp3]&lt;/div&gt;</v>
      </c>
      <c r="H1592" s="3" t="str">
        <f t="shared" si="1"/>
        <v>(n): nhân vật</v>
      </c>
      <c r="I1592" s="6" t="s">
        <v>8671</v>
      </c>
      <c r="J1592" s="6" t="s">
        <v>8672</v>
      </c>
      <c r="K1592" s="7">
        <f t="shared" si="2"/>
        <v>0.8121895007</v>
      </c>
    </row>
    <row r="1593">
      <c r="A1593" s="4">
        <v>1593.0</v>
      </c>
      <c r="B1593" s="5" t="s">
        <v>8673</v>
      </c>
      <c r="C1593" s="5" t="s">
        <v>8674</v>
      </c>
      <c r="D1593" s="5" t="s">
        <v>8675</v>
      </c>
      <c r="E1593" s="6" t="s">
        <v>74</v>
      </c>
      <c r="F1593" s="6" t="s">
        <v>1909</v>
      </c>
      <c r="G1593" s="3" t="str">
        <f>IFERROR(__xludf.DUMMYFUNCTION("REGEXREPLACE(
D1593,
""([一-龯々]+)\[([^\]]+)\]"",
""&lt;ruby&gt;$1&lt;rt&gt;$2&lt;/rt&gt;&lt;/ruby&gt;""
)&amp;""&lt;br&gt;&lt;div class=""""audio""""&gt;[sound:""&amp;C1593&amp;"".mp3]&lt;/div&gt;"""),"&lt;ruby&gt;同士&lt;rt&gt;どうし&lt;/rt&gt;&lt;/ruby&gt;&lt;br&gt;&lt;div class=""audio""&gt;[sound:どうし.mp3]&lt;/div&gt;")</f>
        <v>&lt;ruby&gt;同士&lt;rt&gt;どうし&lt;/rt&gt;&lt;/ruby&gt;&lt;br&gt;&lt;div class="audio"&gt;[sound:どうし.mp3]&lt;/div&gt;</v>
      </c>
      <c r="H1593" s="3" t="str">
        <f t="shared" si="1"/>
        <v>(n): lẫn nhau</v>
      </c>
      <c r="I1593" s="6" t="s">
        <v>8676</v>
      </c>
      <c r="J1593" s="6" t="s">
        <v>8677</v>
      </c>
      <c r="K1593" s="7">
        <f t="shared" si="2"/>
        <v>0.4142438482</v>
      </c>
    </row>
    <row r="1594">
      <c r="A1594" s="4">
        <v>1594.0</v>
      </c>
      <c r="B1594" s="5" t="s">
        <v>8678</v>
      </c>
      <c r="C1594" s="5" t="s">
        <v>8679</v>
      </c>
      <c r="D1594" s="5" t="s">
        <v>8680</v>
      </c>
      <c r="E1594" s="6" t="s">
        <v>24</v>
      </c>
      <c r="F1594" s="6" t="s">
        <v>8681</v>
      </c>
      <c r="G1594" s="3" t="str">
        <f>IFERROR(__xludf.DUMMYFUNCTION("REGEXREPLACE(
D1594,
""([一-龯々]+)\[([^\]]+)\]"",
""&lt;ruby&gt;$1&lt;rt&gt;$2&lt;/rt&gt;&lt;/ruby&gt;""
)&amp;""&lt;br&gt;&lt;div class=""""audio""""&gt;[sound:""&amp;C1594&amp;"".mp3]&lt;/div&gt;"""),"&lt;ruby&gt;属&lt;rt&gt;ぞく&lt;/rt&gt;&lt;/ruby&gt;する&lt;br&gt;&lt;div class=""audio""&gt;[sound:ぞくする.mp3]&lt;/div&gt;")</f>
        <v>&lt;ruby&gt;属&lt;rt&gt;ぞく&lt;/rt&gt;&lt;/ruby&gt;する&lt;br&gt;&lt;div class="audio"&gt;[sound:ぞくする.mp3]&lt;/div&gt;</v>
      </c>
      <c r="H1594" s="3" t="str">
        <f t="shared" si="1"/>
        <v>(v): thuộc về</v>
      </c>
      <c r="I1594" s="6" t="s">
        <v>8682</v>
      </c>
      <c r="J1594" s="6" t="s">
        <v>8683</v>
      </c>
      <c r="K1594" s="7">
        <f t="shared" si="2"/>
        <v>0.7747698751</v>
      </c>
    </row>
    <row r="1595">
      <c r="A1595" s="4">
        <v>1595.0</v>
      </c>
      <c r="B1595" s="5" t="s">
        <v>8684</v>
      </c>
      <c r="C1595" s="5" t="s">
        <v>8685</v>
      </c>
      <c r="D1595" s="5" t="s">
        <v>8686</v>
      </c>
      <c r="E1595" s="6" t="s">
        <v>74</v>
      </c>
      <c r="F1595" s="6" t="s">
        <v>8687</v>
      </c>
      <c r="G1595" s="3" t="str">
        <f>IFERROR(__xludf.DUMMYFUNCTION("REGEXREPLACE(
D1595,
""([一-龯々]+)\[([^\]]+)\]"",
""&lt;ruby&gt;$1&lt;rt&gt;$2&lt;/rt&gt;&lt;/ruby&gt;""
)&amp;""&lt;br&gt;&lt;div class=""""audio""""&gt;[sound:""&amp;C1595&amp;"".mp3]&lt;/div&gt;"""),"&lt;ruby&gt;感動&lt;rt&gt;かんどう&lt;/rt&gt;&lt;/ruby&gt;&lt;br&gt;&lt;div class=""audio""&gt;[sound:かんどう.mp3]&lt;/div&gt;")</f>
        <v>&lt;ruby&gt;感動&lt;rt&gt;かんどう&lt;/rt&gt;&lt;/ruby&gt;&lt;br&gt;&lt;div class="audio"&gt;[sound:かんどう.mp3]&lt;/div&gt;</v>
      </c>
      <c r="H1595" s="3" t="str">
        <f t="shared" si="1"/>
        <v>(n): cảm động</v>
      </c>
      <c r="I1595" s="6" t="s">
        <v>8688</v>
      </c>
      <c r="J1595" s="6" t="s">
        <v>8689</v>
      </c>
      <c r="K1595" s="7">
        <f t="shared" si="2"/>
        <v>0.1270898383</v>
      </c>
    </row>
    <row r="1596">
      <c r="A1596" s="4">
        <v>1596.0</v>
      </c>
      <c r="B1596" s="5" t="s">
        <v>8690</v>
      </c>
      <c r="C1596" s="5" t="s">
        <v>8691</v>
      </c>
      <c r="D1596" s="5" t="s">
        <v>8692</v>
      </c>
      <c r="E1596" s="6" t="s">
        <v>74</v>
      </c>
      <c r="F1596" s="6" t="s">
        <v>8693</v>
      </c>
      <c r="G1596" s="3" t="str">
        <f>IFERROR(__xludf.DUMMYFUNCTION("REGEXREPLACE(
D1596,
""([一-龯々]+)\[([^\]]+)\]"",
""&lt;ruby&gt;$1&lt;rt&gt;$2&lt;/rt&gt;&lt;/ruby&gt;""
)&amp;""&lt;br&gt;&lt;div class=""""audio""""&gt;[sound:""&amp;C1596&amp;"".mp3]&lt;/div&gt;"""),"&lt;ruby&gt;身&lt;rt&gt;み&lt;/rt&gt;&lt;/ruby&gt;&lt;br&gt;&lt;div class=""audio""&gt;[sound:み.mp3]&lt;/div&gt;")</f>
        <v>&lt;ruby&gt;身&lt;rt&gt;み&lt;/rt&gt;&lt;/ruby&gt;&lt;br&gt;&lt;div class="audio"&gt;[sound:み.mp3]&lt;/div&gt;</v>
      </c>
      <c r="H1596" s="3" t="str">
        <f t="shared" si="1"/>
        <v>(n): thân thể</v>
      </c>
      <c r="I1596" s="6" t="s">
        <v>8694</v>
      </c>
      <c r="J1596" s="6" t="s">
        <v>8695</v>
      </c>
      <c r="K1596" s="7">
        <f t="shared" si="2"/>
        <v>0.6121160239</v>
      </c>
    </row>
    <row r="1597">
      <c r="A1597" s="4">
        <v>1597.0</v>
      </c>
      <c r="B1597" s="5" t="s">
        <v>8696</v>
      </c>
      <c r="C1597" s="5" t="s">
        <v>8697</v>
      </c>
      <c r="D1597" s="5" t="s">
        <v>8698</v>
      </c>
      <c r="E1597" s="6" t="s">
        <v>24</v>
      </c>
      <c r="F1597" s="6" t="s">
        <v>8699</v>
      </c>
      <c r="G1597" s="3" t="str">
        <f>IFERROR(__xludf.DUMMYFUNCTION("REGEXREPLACE(
D1597,
""([一-龯々]+)\[([^\]]+)\]"",
""&lt;ruby&gt;$1&lt;rt&gt;$2&lt;/rt&gt;&lt;/ruby&gt;""
)&amp;""&lt;br&gt;&lt;div class=""""audio""""&gt;[sound:""&amp;C1597&amp;"".mp3]&lt;/div&gt;"""),"&lt;ruby&gt;過&lt;rt&gt;す&lt;/rt&gt;&lt;/ruby&gt;ごす&lt;br&gt;&lt;div class=""audio""&gt;[sound:すごす.mp3]&lt;/div&gt;")</f>
        <v>&lt;ruby&gt;過&lt;rt&gt;す&lt;/rt&gt;&lt;/ruby&gt;ごす&lt;br&gt;&lt;div class="audio"&gt;[sound:すごす.mp3]&lt;/div&gt;</v>
      </c>
      <c r="H1597" s="3" t="str">
        <f t="shared" si="1"/>
        <v>(v): trải qua</v>
      </c>
      <c r="I1597" s="6" t="s">
        <v>8700</v>
      </c>
      <c r="J1597" s="6" t="s">
        <v>8701</v>
      </c>
      <c r="K1597" s="7">
        <f t="shared" si="2"/>
        <v>0.9496852349</v>
      </c>
    </row>
    <row r="1598">
      <c r="A1598" s="4">
        <v>1598.0</v>
      </c>
      <c r="B1598" s="5" t="s">
        <v>8702</v>
      </c>
      <c r="C1598" s="5" t="s">
        <v>8702</v>
      </c>
      <c r="D1598" s="5" t="s">
        <v>8702</v>
      </c>
      <c r="E1598" s="6" t="s">
        <v>24</v>
      </c>
      <c r="F1598" s="6" t="s">
        <v>8703</v>
      </c>
      <c r="G1598" s="3" t="str">
        <f>IFERROR(__xludf.DUMMYFUNCTION("REGEXREPLACE(
D1598,
""([一-龯々]+)\[([^\]]+)\]"",
""&lt;ruby&gt;$1&lt;rt&gt;$2&lt;/rt&gt;&lt;/ruby&gt;""
)&amp;""&lt;br&gt;&lt;div class=""""audio""""&gt;[sound:""&amp;C1598&amp;"".mp3]&lt;/div&gt;"""),"ぶつける&lt;br&gt;&lt;div class=""audio""&gt;[sound:ぶつける.mp3]&lt;/div&gt;")</f>
        <v>ぶつける&lt;br&gt;&lt;div class="audio"&gt;[sound:ぶつける.mp3]&lt;/div&gt;</v>
      </c>
      <c r="H1598" s="3" t="str">
        <f t="shared" si="1"/>
        <v>(v): đập vào</v>
      </c>
      <c r="I1598" s="6" t="s">
        <v>8704</v>
      </c>
      <c r="J1598" s="6" t="s">
        <v>8705</v>
      </c>
      <c r="K1598" s="7">
        <f t="shared" si="2"/>
        <v>0.08718399915</v>
      </c>
    </row>
    <row r="1599">
      <c r="A1599" s="4">
        <v>1599.0</v>
      </c>
      <c r="B1599" s="5" t="s">
        <v>8706</v>
      </c>
      <c r="C1599" s="5" t="s">
        <v>8707</v>
      </c>
      <c r="D1599" s="5" t="s">
        <v>8708</v>
      </c>
      <c r="E1599" s="6" t="s">
        <v>74</v>
      </c>
      <c r="F1599" s="6" t="s">
        <v>8709</v>
      </c>
      <c r="G1599" s="3" t="str">
        <f>IFERROR(__xludf.DUMMYFUNCTION("REGEXREPLACE(
D1599,
""([一-龯々]+)\[([^\]]+)\]"",
""&lt;ruby&gt;$1&lt;rt&gt;$2&lt;/rt&gt;&lt;/ruby&gt;""
)&amp;""&lt;br&gt;&lt;div class=""""audio""""&gt;[sound:""&amp;C1599&amp;"".mp3]&lt;/div&gt;"""),"&lt;ruby&gt;時期&lt;rt&gt;じき&lt;/rt&gt;&lt;/ruby&gt;&lt;br&gt;&lt;div class=""audio""&gt;[sound:じき.mp3]&lt;/div&gt;")</f>
        <v>&lt;ruby&gt;時期&lt;rt&gt;じき&lt;/rt&gt;&lt;/ruby&gt;&lt;br&gt;&lt;div class="audio"&gt;[sound:じき.mp3]&lt;/div&gt;</v>
      </c>
      <c r="H1599" s="3" t="str">
        <f t="shared" si="1"/>
        <v>(n): thời kỳ</v>
      </c>
      <c r="I1599" s="6" t="s">
        <v>8710</v>
      </c>
      <c r="J1599" s="6" t="s">
        <v>8711</v>
      </c>
      <c r="K1599" s="7">
        <f t="shared" si="2"/>
        <v>0.68288078</v>
      </c>
    </row>
    <row r="1600">
      <c r="A1600" s="4">
        <v>1600.0</v>
      </c>
      <c r="B1600" s="5" t="s">
        <v>8712</v>
      </c>
      <c r="C1600" s="5" t="s">
        <v>8713</v>
      </c>
      <c r="D1600" s="5" t="s">
        <v>8714</v>
      </c>
      <c r="E1600" s="6" t="s">
        <v>74</v>
      </c>
      <c r="F1600" s="6" t="s">
        <v>8715</v>
      </c>
      <c r="G1600" s="3" t="str">
        <f>IFERROR(__xludf.DUMMYFUNCTION("REGEXREPLACE(
D1600,
""([一-龯々]+)\[([^\]]+)\]"",
""&lt;ruby&gt;$1&lt;rt&gt;$2&lt;/rt&gt;&lt;/ruby&gt;""
)&amp;""&lt;br&gt;&lt;div class=""""audio""""&gt;[sound:""&amp;C1600&amp;"".mp3]&lt;/div&gt;"""),"&lt;ruby&gt;費用&lt;rt&gt;ひよう&lt;/rt&gt;&lt;/ruby&gt;&lt;br&gt;&lt;div class=""audio""&gt;[sound:ひよう.mp3]&lt;/div&gt;")</f>
        <v>&lt;ruby&gt;費用&lt;rt&gt;ひよう&lt;/rt&gt;&lt;/ruby&gt;&lt;br&gt;&lt;div class="audio"&gt;[sound:ひよう.mp3]&lt;/div&gt;</v>
      </c>
      <c r="H1600" s="3" t="str">
        <f t="shared" si="1"/>
        <v>(n): chi phí</v>
      </c>
      <c r="I1600" s="6" t="s">
        <v>8716</v>
      </c>
      <c r="J1600" s="6" t="s">
        <v>8717</v>
      </c>
      <c r="K1600" s="7">
        <f t="shared" si="2"/>
        <v>0.106423395</v>
      </c>
    </row>
    <row r="1601">
      <c r="A1601" s="4">
        <v>1601.0</v>
      </c>
      <c r="B1601" s="5" t="s">
        <v>8718</v>
      </c>
      <c r="C1601" s="5" t="s">
        <v>8719</v>
      </c>
      <c r="D1601" s="5" t="s">
        <v>8720</v>
      </c>
      <c r="E1601" s="6" t="s">
        <v>74</v>
      </c>
      <c r="F1601" s="6" t="s">
        <v>8721</v>
      </c>
      <c r="G1601" s="3" t="str">
        <f>IFERROR(__xludf.DUMMYFUNCTION("REGEXREPLACE(
D1601,
""([一-龯々]+)\[([^\]]+)\]"",
""&lt;ruby&gt;$1&lt;rt&gt;$2&lt;/rt&gt;&lt;/ruby&gt;""
)&amp;""&lt;br&gt;&lt;div class=""""audio""""&gt;[sound:""&amp;C1601&amp;"".mp3]&lt;/div&gt;"""),"&lt;ruby&gt;過去&lt;rt&gt;かこ&lt;/rt&gt;&lt;/ruby&gt;&lt;br&gt;&lt;div class=""audio""&gt;[sound:かこ.mp3]&lt;/div&gt;")</f>
        <v>&lt;ruby&gt;過去&lt;rt&gt;かこ&lt;/rt&gt;&lt;/ruby&gt;&lt;br&gt;&lt;div class="audio"&gt;[sound:かこ.mp3]&lt;/div&gt;</v>
      </c>
      <c r="H1601" s="3" t="str">
        <f t="shared" si="1"/>
        <v>(n): quá khứ</v>
      </c>
      <c r="I1601" s="6" t="s">
        <v>8722</v>
      </c>
      <c r="J1601" s="6" t="s">
        <v>8723</v>
      </c>
      <c r="K1601" s="7">
        <f t="shared" si="2"/>
        <v>0.8442279086</v>
      </c>
    </row>
    <row r="1602">
      <c r="A1602" s="4">
        <v>1602.0</v>
      </c>
      <c r="B1602" s="5" t="s">
        <v>8724</v>
      </c>
      <c r="C1602" s="5" t="s">
        <v>8725</v>
      </c>
      <c r="D1602" s="5" t="s">
        <v>8726</v>
      </c>
      <c r="E1602" s="6" t="s">
        <v>74</v>
      </c>
      <c r="F1602" s="6" t="s">
        <v>8727</v>
      </c>
      <c r="G1602" s="3" t="str">
        <f>IFERROR(__xludf.DUMMYFUNCTION("REGEXREPLACE(
D1602,
""([一-龯々]+)\[([^\]]+)\]"",
""&lt;ruby&gt;$1&lt;rt&gt;$2&lt;/rt&gt;&lt;/ruby&gt;""
)&amp;""&lt;br&gt;&lt;div class=""""audio""""&gt;[sound:""&amp;C1602&amp;"".mp3]&lt;/div&gt;"""),"&lt;ruby&gt;悪&lt;rt&gt;あく&lt;/rt&gt;&lt;/ruby&gt;&lt;br&gt;&lt;div class=""audio""&gt;[sound:あく.mp3]&lt;/div&gt;")</f>
        <v>&lt;ruby&gt;悪&lt;rt&gt;あく&lt;/rt&gt;&lt;/ruby&gt;&lt;br&gt;&lt;div class="audio"&gt;[sound:あく.mp3]&lt;/div&gt;</v>
      </c>
      <c r="H1602" s="3" t="str">
        <f t="shared" si="1"/>
        <v>(n): cái ác</v>
      </c>
      <c r="I1602" s="6" t="s">
        <v>8728</v>
      </c>
      <c r="J1602" s="6" t="s">
        <v>8729</v>
      </c>
      <c r="K1602" s="7">
        <f t="shared" si="2"/>
        <v>0.4557214109</v>
      </c>
    </row>
    <row r="1603">
      <c r="A1603" s="4">
        <v>1603.0</v>
      </c>
      <c r="B1603" s="5" t="s">
        <v>8730</v>
      </c>
      <c r="C1603" s="5" t="s">
        <v>8731</v>
      </c>
      <c r="D1603" s="5" t="s">
        <v>8732</v>
      </c>
      <c r="E1603" s="6" t="s">
        <v>74</v>
      </c>
      <c r="F1603" s="6" t="s">
        <v>8733</v>
      </c>
      <c r="G1603" s="3" t="str">
        <f>IFERROR(__xludf.DUMMYFUNCTION("REGEXREPLACE(
D1603,
""([一-龯々]+)\[([^\]]+)\]"",
""&lt;ruby&gt;$1&lt;rt&gt;$2&lt;/rt&gt;&lt;/ruby&gt;""
)&amp;""&lt;br&gt;&lt;div class=""""audio""""&gt;[sound:""&amp;C1603&amp;"".mp3]&lt;/div&gt;"""),"&lt;ruby&gt;石油&lt;rt&gt;せきゆ&lt;/rt&gt;&lt;/ruby&gt;&lt;br&gt;&lt;div class=""audio""&gt;[sound:せきゆ.mp3]&lt;/div&gt;")</f>
        <v>&lt;ruby&gt;石油&lt;rt&gt;せきゆ&lt;/rt&gt;&lt;/ruby&gt;&lt;br&gt;&lt;div class="audio"&gt;[sound:せきゆ.mp3]&lt;/div&gt;</v>
      </c>
      <c r="H1603" s="3" t="str">
        <f t="shared" si="1"/>
        <v>(n): dầu mỏ</v>
      </c>
      <c r="I1603" s="6" t="s">
        <v>8734</v>
      </c>
      <c r="J1603" s="6" t="s">
        <v>8735</v>
      </c>
      <c r="K1603" s="7">
        <f t="shared" si="2"/>
        <v>0.394742538</v>
      </c>
    </row>
    <row r="1604">
      <c r="A1604" s="4">
        <v>1604.0</v>
      </c>
      <c r="B1604" s="5" t="s">
        <v>8736</v>
      </c>
      <c r="C1604" s="5" t="s">
        <v>8737</v>
      </c>
      <c r="D1604" s="5" t="s">
        <v>8738</v>
      </c>
      <c r="E1604" s="6" t="s">
        <v>74</v>
      </c>
      <c r="F1604" s="6" t="s">
        <v>8739</v>
      </c>
      <c r="G1604" s="3" t="str">
        <f>IFERROR(__xludf.DUMMYFUNCTION("REGEXREPLACE(
D1604,
""([一-龯々]+)\[([^\]]+)\]"",
""&lt;ruby&gt;$1&lt;rt&gt;$2&lt;/rt&gt;&lt;/ruby&gt;""
)&amp;""&lt;br&gt;&lt;div class=""""audio""""&gt;[sound:""&amp;C1604&amp;"".mp3]&lt;/div&gt;"""),"&lt;ruby&gt;年齢&lt;rt&gt;ねんれい&lt;/rt&gt;&lt;/ruby&gt;&lt;br&gt;&lt;div class=""audio""&gt;[sound:ねんれい.mp3]&lt;/div&gt;")</f>
        <v>&lt;ruby&gt;年齢&lt;rt&gt;ねんれい&lt;/rt&gt;&lt;/ruby&gt;&lt;br&gt;&lt;div class="audio"&gt;[sound:ねんれい.mp3]&lt;/div&gt;</v>
      </c>
      <c r="H1604" s="3" t="str">
        <f t="shared" si="1"/>
        <v>(n): tuổi</v>
      </c>
      <c r="I1604" s="6" t="s">
        <v>8740</v>
      </c>
      <c r="J1604" s="6" t="s">
        <v>8741</v>
      </c>
      <c r="K1604" s="7">
        <f t="shared" si="2"/>
        <v>0.3582247091</v>
      </c>
    </row>
    <row r="1605">
      <c r="A1605" s="4">
        <v>1605.0</v>
      </c>
      <c r="B1605" s="5" t="s">
        <v>8742</v>
      </c>
      <c r="C1605" s="5" t="s">
        <v>8743</v>
      </c>
      <c r="D1605" s="5" t="s">
        <v>8744</v>
      </c>
      <c r="E1605" s="6" t="s">
        <v>24</v>
      </c>
      <c r="F1605" s="6" t="s">
        <v>4196</v>
      </c>
      <c r="G1605" s="3" t="str">
        <f>IFERROR(__xludf.DUMMYFUNCTION("REGEXREPLACE(
D1605,
""([一-龯々]+)\[([^\]]+)\]"",
""&lt;ruby&gt;$1&lt;rt&gt;$2&lt;/rt&gt;&lt;/ruby&gt;""
)&amp;""&lt;br&gt;&lt;div class=""""audio""""&gt;[sound:""&amp;C1605&amp;"".mp3]&lt;/div&gt;"""),"&lt;ruby&gt;持&lt;rt&gt;も&lt;/rt&gt;&lt;/ruby&gt;ち&lt;ruby&gt;上&lt;rt&gt;あ&lt;/rt&gt;&lt;/ruby&gt;げる&lt;br&gt;&lt;div class=""audio""&gt;[sound:もちあげる.mp3]&lt;/div&gt;")</f>
        <v>&lt;ruby&gt;持&lt;rt&gt;も&lt;/rt&gt;&lt;/ruby&gt;ち&lt;ruby&gt;上&lt;rt&gt;あ&lt;/rt&gt;&lt;/ruby&gt;げる&lt;br&gt;&lt;div class="audio"&gt;[sound:もちあげる.mp3]&lt;/div&gt;</v>
      </c>
      <c r="H1605" s="3" t="str">
        <f t="shared" si="1"/>
        <v>(v): nâng</v>
      </c>
      <c r="I1605" s="6" t="s">
        <v>8745</v>
      </c>
      <c r="J1605" s="6" t="s">
        <v>8746</v>
      </c>
      <c r="K1605" s="7">
        <f t="shared" si="2"/>
        <v>0.2381004582</v>
      </c>
    </row>
    <row r="1606">
      <c r="A1606" s="4">
        <v>1606.0</v>
      </c>
      <c r="B1606" s="5" t="s">
        <v>8747</v>
      </c>
      <c r="C1606" s="5" t="s">
        <v>8748</v>
      </c>
      <c r="D1606" s="5" t="s">
        <v>8749</v>
      </c>
      <c r="E1606" s="6" t="s">
        <v>74</v>
      </c>
      <c r="F1606" s="6" t="s">
        <v>8750</v>
      </c>
      <c r="G1606" s="3" t="str">
        <f>IFERROR(__xludf.DUMMYFUNCTION("REGEXREPLACE(
D1606,
""([一-龯々]+)\[([^\]]+)\]"",
""&lt;ruby&gt;$1&lt;rt&gt;$2&lt;/rt&gt;&lt;/ruby&gt;""
)&amp;""&lt;br&gt;&lt;div class=""""audio""""&gt;[sound:""&amp;C1606&amp;"".mp3]&lt;/div&gt;"""),"&lt;ruby&gt;小説&lt;rt&gt;しょうせつ&lt;/rt&gt;&lt;/ruby&gt;&lt;br&gt;&lt;div class=""audio""&gt;[sound:しょうせつ.mp3]&lt;/div&gt;")</f>
        <v>&lt;ruby&gt;小説&lt;rt&gt;しょうせつ&lt;/rt&gt;&lt;/ruby&gt;&lt;br&gt;&lt;div class="audio"&gt;[sound:しょうせつ.mp3]&lt;/div&gt;</v>
      </c>
      <c r="H1606" s="3" t="str">
        <f t="shared" si="1"/>
        <v>(n): tiểu thuyết</v>
      </c>
      <c r="I1606" s="6" t="s">
        <v>8751</v>
      </c>
      <c r="J1606" s="6" t="s">
        <v>8752</v>
      </c>
      <c r="K1606" s="7">
        <f t="shared" si="2"/>
        <v>0.781037938</v>
      </c>
    </row>
    <row r="1607">
      <c r="A1607" s="4">
        <v>1607.0</v>
      </c>
      <c r="B1607" s="5" t="s">
        <v>8753</v>
      </c>
      <c r="C1607" s="5" t="s">
        <v>8754</v>
      </c>
      <c r="D1607" s="5" t="s">
        <v>8755</v>
      </c>
      <c r="E1607" s="6" t="s">
        <v>74</v>
      </c>
      <c r="F1607" s="6" t="s">
        <v>6808</v>
      </c>
      <c r="G1607" s="3" t="str">
        <f>IFERROR(__xludf.DUMMYFUNCTION("REGEXREPLACE(
D1607,
""([一-龯々]+)\[([^\]]+)\]"",
""&lt;ruby&gt;$1&lt;rt&gt;$2&lt;/rt&gt;&lt;/ruby&gt;""
)&amp;""&lt;br&gt;&lt;div class=""""audio""""&gt;[sound:""&amp;C1607&amp;"".mp3]&lt;/div&gt;"""),"&lt;ruby&gt;給料&lt;rt&gt;きゅうりょう&lt;/rt&gt;&lt;/ruby&gt;&lt;br&gt;&lt;div class=""audio""&gt;[sound:きゅうりょう.mp3]&lt;/div&gt;")</f>
        <v>&lt;ruby&gt;給料&lt;rt&gt;きゅうりょう&lt;/rt&gt;&lt;/ruby&gt;&lt;br&gt;&lt;div class="audio"&gt;[sound:きゅうりょう.mp3]&lt;/div&gt;</v>
      </c>
      <c r="H1607" s="3" t="str">
        <f t="shared" si="1"/>
        <v>(n): tiền lương</v>
      </c>
      <c r="I1607" s="6" t="s">
        <v>8756</v>
      </c>
      <c r="J1607" s="6" t="s">
        <v>8757</v>
      </c>
      <c r="K1607" s="7">
        <f t="shared" si="2"/>
        <v>0.4454799688</v>
      </c>
    </row>
    <row r="1608">
      <c r="A1608" s="4">
        <v>1608.0</v>
      </c>
      <c r="B1608" s="5" t="s">
        <v>8758</v>
      </c>
      <c r="C1608" s="5" t="s">
        <v>8759</v>
      </c>
      <c r="D1608" s="5" t="s">
        <v>8758</v>
      </c>
      <c r="E1608" s="6" t="s">
        <v>74</v>
      </c>
      <c r="F1608" s="6" t="s">
        <v>8760</v>
      </c>
      <c r="G1608" s="3" t="str">
        <f>IFERROR(__xludf.DUMMYFUNCTION("REGEXREPLACE(
D1608,
""([一-龯々]+)\[([^\]]+)\]"",
""&lt;ruby&gt;$1&lt;rt&gt;$2&lt;/rt&gt;&lt;/ruby&gt;""
)&amp;""&lt;br&gt;&lt;div class=""""audio""""&gt;[sound:""&amp;C1608&amp;"".mp3]&lt;/div&gt;"""),"マイナス&lt;br&gt;&lt;div class=""audio""&gt;[sound:まいなす.mp3]&lt;/div&gt;")</f>
        <v>マイナス&lt;br&gt;&lt;div class="audio"&gt;[sound:まいなす.mp3]&lt;/div&gt;</v>
      </c>
      <c r="H1608" s="3" t="str">
        <f t="shared" si="1"/>
        <v>(n): số âm</v>
      </c>
      <c r="I1608" s="6" t="s">
        <v>8761</v>
      </c>
      <c r="J1608" s="6" t="s">
        <v>8762</v>
      </c>
      <c r="K1608" s="7">
        <f t="shared" si="2"/>
        <v>0.3110061103</v>
      </c>
    </row>
    <row r="1609">
      <c r="A1609" s="4">
        <v>1609.0</v>
      </c>
      <c r="B1609" s="5" t="s">
        <v>8763</v>
      </c>
      <c r="C1609" s="5" t="s">
        <v>8764</v>
      </c>
      <c r="D1609" s="5" t="s">
        <v>8765</v>
      </c>
      <c r="E1609" s="6" t="s">
        <v>74</v>
      </c>
      <c r="F1609" s="6" t="s">
        <v>8766</v>
      </c>
      <c r="G1609" s="3" t="str">
        <f>IFERROR(__xludf.DUMMYFUNCTION("REGEXREPLACE(
D1609,
""([一-龯々]+)\[([^\]]+)\]"",
""&lt;ruby&gt;$1&lt;rt&gt;$2&lt;/rt&gt;&lt;/ruby&gt;""
)&amp;""&lt;br&gt;&lt;div class=""""audio""""&gt;[sound:""&amp;C1609&amp;"".mp3]&lt;/div&gt;"""),"&lt;ruby&gt;一致&lt;rt&gt;いっち&lt;/rt&gt;&lt;/ruby&gt;&lt;br&gt;&lt;div class=""audio""&gt;[sound:いっち.mp3]&lt;/div&gt;")</f>
        <v>&lt;ruby&gt;一致&lt;rt&gt;いっち&lt;/rt&gt;&lt;/ruby&gt;&lt;br&gt;&lt;div class="audio"&gt;[sound:いっち.mp3]&lt;/div&gt;</v>
      </c>
      <c r="H1609" s="3" t="str">
        <f t="shared" si="1"/>
        <v>(n): nhất trí</v>
      </c>
      <c r="I1609" s="6" t="s">
        <v>8767</v>
      </c>
      <c r="J1609" s="6" t="s">
        <v>8768</v>
      </c>
      <c r="K1609" s="7">
        <f t="shared" si="2"/>
        <v>0.5573887622</v>
      </c>
    </row>
    <row r="1610">
      <c r="A1610" s="4">
        <v>1610.0</v>
      </c>
      <c r="B1610" s="5" t="s">
        <v>8769</v>
      </c>
      <c r="C1610" s="5" t="s">
        <v>8770</v>
      </c>
      <c r="D1610" s="5" t="s">
        <v>8771</v>
      </c>
      <c r="E1610" s="6" t="s">
        <v>74</v>
      </c>
      <c r="F1610" s="6" t="s">
        <v>8772</v>
      </c>
      <c r="G1610" s="3" t="str">
        <f>IFERROR(__xludf.DUMMYFUNCTION("REGEXREPLACE(
D1610,
""([一-龯々]+)\[([^\]]+)\]"",
""&lt;ruby&gt;$1&lt;rt&gt;$2&lt;/rt&gt;&lt;/ruby&gt;""
)&amp;""&lt;br&gt;&lt;div class=""""audio""""&gt;[sound:""&amp;C1610&amp;"".mp3]&lt;/div&gt;"""),"&lt;ruby&gt;拡大&lt;rt&gt;かくだい&lt;/rt&gt;&lt;/ruby&gt;&lt;br&gt;&lt;div class=""audio""&gt;[sound:かくだい.mp3]&lt;/div&gt;")</f>
        <v>&lt;ruby&gt;拡大&lt;rt&gt;かくだい&lt;/rt&gt;&lt;/ruby&gt;&lt;br&gt;&lt;div class="audio"&gt;[sound:かくだい.mp3]&lt;/div&gt;</v>
      </c>
      <c r="H1610" s="3" t="str">
        <f t="shared" si="1"/>
        <v>(n): phóng to</v>
      </c>
      <c r="I1610" s="6" t="s">
        <v>8773</v>
      </c>
      <c r="J1610" s="6" t="s">
        <v>8774</v>
      </c>
      <c r="K1610" s="7">
        <f t="shared" si="2"/>
        <v>0.411933213</v>
      </c>
    </row>
    <row r="1611">
      <c r="A1611" s="4">
        <v>1611.0</v>
      </c>
      <c r="B1611" s="5" t="s">
        <v>8775</v>
      </c>
      <c r="C1611" s="5" t="s">
        <v>8776</v>
      </c>
      <c r="D1611" s="5" t="s">
        <v>8777</v>
      </c>
      <c r="E1611" s="6" t="s">
        <v>74</v>
      </c>
      <c r="F1611" s="6" t="s">
        <v>8778</v>
      </c>
      <c r="G1611" s="3" t="str">
        <f>IFERROR(__xludf.DUMMYFUNCTION("REGEXREPLACE(
D1611,
""([一-龯々]+)\[([^\]]+)\]"",
""&lt;ruby&gt;$1&lt;rt&gt;$2&lt;/rt&gt;&lt;/ruby&gt;""
)&amp;""&lt;br&gt;&lt;div class=""""audio""""&gt;[sound:""&amp;C1611&amp;"".mp3]&lt;/div&gt;"""),"&lt;ruby&gt;現代&lt;rt&gt;げんだい&lt;/rt&gt;&lt;/ruby&gt;&lt;br&gt;&lt;div class=""audio""&gt;[sound:げんだい.mp3]&lt;/div&gt;")</f>
        <v>&lt;ruby&gt;現代&lt;rt&gt;げんだい&lt;/rt&gt;&lt;/ruby&gt;&lt;br&gt;&lt;div class="audio"&gt;[sound:げんだい.mp3]&lt;/div&gt;</v>
      </c>
      <c r="H1611" s="3" t="str">
        <f t="shared" si="1"/>
        <v>(n): hiện đại</v>
      </c>
      <c r="I1611" s="6" t="s">
        <v>8779</v>
      </c>
      <c r="J1611" s="6" t="s">
        <v>8780</v>
      </c>
      <c r="K1611" s="7">
        <f t="shared" si="2"/>
        <v>0.381671256</v>
      </c>
    </row>
    <row r="1612">
      <c r="A1612" s="4">
        <v>1612.0</v>
      </c>
      <c r="B1612" s="5" t="s">
        <v>8781</v>
      </c>
      <c r="C1612" s="5" t="s">
        <v>8782</v>
      </c>
      <c r="D1612" s="5" t="s">
        <v>8783</v>
      </c>
      <c r="E1612" s="6" t="s">
        <v>11</v>
      </c>
      <c r="F1612" s="6" t="s">
        <v>8784</v>
      </c>
      <c r="G1612" s="3" t="str">
        <f>IFERROR(__xludf.DUMMYFUNCTION("REGEXREPLACE(
D1612,
""([一-龯々]+)\[([^\]]+)\]"",
""&lt;ruby&gt;$1&lt;rt&gt;$2&lt;/rt&gt;&lt;/ruby&gt;""
)&amp;""&lt;br&gt;&lt;div class=""""audio""""&gt;[sound:""&amp;C1612&amp;"".mp3]&lt;/div&gt;"""),"&lt;ruby&gt;複雑&lt;rt&gt;ふくざつ&lt;/rt&gt;&lt;/ruby&gt;&lt;br&gt;&lt;div class=""audio""&gt;[sound:ふくざつ.mp3]&lt;/div&gt;")</f>
        <v>&lt;ruby&gt;複雑&lt;rt&gt;ふくざつ&lt;/rt&gt;&lt;/ruby&gt;&lt;br&gt;&lt;div class="audio"&gt;[sound:ふくざつ.mp3]&lt;/div&gt;</v>
      </c>
      <c r="H1612" s="3" t="str">
        <f t="shared" si="1"/>
        <v>(adj): phức tạp</v>
      </c>
      <c r="I1612" s="6" t="s">
        <v>8785</v>
      </c>
      <c r="J1612" s="6" t="s">
        <v>8786</v>
      </c>
      <c r="K1612" s="7">
        <f t="shared" si="2"/>
        <v>0.7215556439</v>
      </c>
    </row>
    <row r="1613">
      <c r="A1613" s="4">
        <v>1613.0</v>
      </c>
      <c r="B1613" s="5" t="s">
        <v>8787</v>
      </c>
      <c r="C1613" s="5" t="s">
        <v>8788</v>
      </c>
      <c r="D1613" s="5" t="s">
        <v>8789</v>
      </c>
      <c r="E1613" s="6" t="s">
        <v>24</v>
      </c>
      <c r="F1613" s="6" t="s">
        <v>3928</v>
      </c>
      <c r="G1613" s="3" t="str">
        <f>IFERROR(__xludf.DUMMYFUNCTION("REGEXREPLACE(
D1613,
""([一-龯々]+)\[([^\]]+)\]"",
""&lt;ruby&gt;$1&lt;rt&gt;$2&lt;/rt&gt;&lt;/ruby&gt;""
)&amp;""&lt;br&gt;&lt;div class=""""audio""""&gt;[sound:""&amp;C1613&amp;"".mp3]&lt;/div&gt;"""),"&lt;ruby&gt;応&lt;rt&gt;おう&lt;/rt&gt;&lt;/ruby&gt;ずる&lt;br&gt;&lt;div class=""audio""&gt;[sound:おうずる.mp3]&lt;/div&gt;")</f>
        <v>&lt;ruby&gt;応&lt;rt&gt;おう&lt;/rt&gt;&lt;/ruby&gt;ずる&lt;br&gt;&lt;div class="audio"&gt;[sound:おうずる.mp3]&lt;/div&gt;</v>
      </c>
      <c r="H1613" s="3" t="str">
        <f t="shared" si="1"/>
        <v>(v): đáp ứng</v>
      </c>
      <c r="I1613" s="6" t="s">
        <v>8790</v>
      </c>
      <c r="J1613" s="6" t="s">
        <v>8791</v>
      </c>
      <c r="K1613" s="7">
        <f t="shared" si="2"/>
        <v>0.2071865433</v>
      </c>
    </row>
    <row r="1614">
      <c r="A1614" s="4">
        <v>1614.0</v>
      </c>
      <c r="B1614" s="5" t="s">
        <v>8792</v>
      </c>
      <c r="C1614" s="5" t="s">
        <v>8793</v>
      </c>
      <c r="D1614" s="5" t="s">
        <v>8794</v>
      </c>
      <c r="E1614" s="6" t="s">
        <v>24</v>
      </c>
      <c r="F1614" s="6" t="s">
        <v>675</v>
      </c>
      <c r="G1614" s="3" t="str">
        <f>IFERROR(__xludf.DUMMYFUNCTION("REGEXREPLACE(
D1614,
""([一-龯々]+)\[([^\]]+)\]"",
""&lt;ruby&gt;$1&lt;rt&gt;$2&lt;/rt&gt;&lt;/ruby&gt;""
)&amp;""&lt;br&gt;&lt;div class=""""audio""""&gt;[sound:""&amp;C1614&amp;"".mp3]&lt;/div&gt;"""),"&lt;ruby&gt;用&lt;rt&gt;もち&lt;/rt&gt;&lt;/ruby&gt;いる&lt;br&gt;&lt;div class=""audio""&gt;[sound:もちいる.mp3]&lt;/div&gt;")</f>
        <v>&lt;ruby&gt;用&lt;rt&gt;もち&lt;/rt&gt;&lt;/ruby&gt;いる&lt;br&gt;&lt;div class="audio"&gt;[sound:もちいる.mp3]&lt;/div&gt;</v>
      </c>
      <c r="H1614" s="3" t="str">
        <f t="shared" si="1"/>
        <v>(v): sử dụng</v>
      </c>
      <c r="I1614" s="6" t="s">
        <v>8795</v>
      </c>
      <c r="J1614" s="6" t="s">
        <v>8796</v>
      </c>
      <c r="K1614" s="7">
        <f t="shared" si="2"/>
        <v>0.3293844213</v>
      </c>
    </row>
    <row r="1615">
      <c r="A1615" s="4">
        <v>1615.0</v>
      </c>
      <c r="B1615" s="5" t="s">
        <v>8797</v>
      </c>
      <c r="C1615" s="5" t="s">
        <v>8798</v>
      </c>
      <c r="D1615" s="5" t="s">
        <v>8799</v>
      </c>
      <c r="E1615" s="6" t="s">
        <v>74</v>
      </c>
      <c r="F1615" s="6" t="s">
        <v>8800</v>
      </c>
      <c r="G1615" s="3" t="str">
        <f>IFERROR(__xludf.DUMMYFUNCTION("REGEXREPLACE(
D1615,
""([一-龯々]+)\[([^\]]+)\]"",
""&lt;ruby&gt;$1&lt;rt&gt;$2&lt;/rt&gt;&lt;/ruby&gt;""
)&amp;""&lt;br&gt;&lt;div class=""""audio""""&gt;[sound:""&amp;C1615&amp;"".mp3]&lt;/div&gt;"""),"&lt;ruby&gt;記憶&lt;rt&gt;きおく&lt;/rt&gt;&lt;/ruby&gt;&lt;br&gt;&lt;div class=""audio""&gt;[sound:きおく.mp3]&lt;/div&gt;")</f>
        <v>&lt;ruby&gt;記憶&lt;rt&gt;きおく&lt;/rt&gt;&lt;/ruby&gt;&lt;br&gt;&lt;div class="audio"&gt;[sound:きおく.mp3]&lt;/div&gt;</v>
      </c>
      <c r="H1615" s="3" t="str">
        <f t="shared" si="1"/>
        <v>(n): trí nhớ</v>
      </c>
      <c r="I1615" s="6" t="s">
        <v>8801</v>
      </c>
      <c r="J1615" s="6" t="s">
        <v>8802</v>
      </c>
      <c r="K1615" s="7">
        <f t="shared" si="2"/>
        <v>0.001195051747</v>
      </c>
    </row>
    <row r="1616">
      <c r="A1616" s="4">
        <v>1616.0</v>
      </c>
      <c r="B1616" s="5" t="s">
        <v>8803</v>
      </c>
      <c r="C1616" s="5" t="s">
        <v>8804</v>
      </c>
      <c r="D1616" s="5" t="s">
        <v>8803</v>
      </c>
      <c r="E1616" s="6" t="s">
        <v>11</v>
      </c>
      <c r="F1616" s="6" t="s">
        <v>2207</v>
      </c>
      <c r="G1616" s="3" t="str">
        <f>IFERROR(__xludf.DUMMYFUNCTION("REGEXREPLACE(
D1616,
""([一-龯々]+)\[([^\]]+)\]"",
""&lt;ruby&gt;$1&lt;rt&gt;$2&lt;/rt&gt;&lt;/ruby&gt;""
)&amp;""&lt;br&gt;&lt;div class=""""audio""""&gt;[sound:""&amp;C1616&amp;"".mp3]&lt;/div&gt;"""),"フリー&lt;br&gt;&lt;div class=""audio""&gt;[sound:ふりー.mp3]&lt;/div&gt;")</f>
        <v>フリー&lt;br&gt;&lt;div class="audio"&gt;[sound:ふりー.mp3]&lt;/div&gt;</v>
      </c>
      <c r="H1616" s="3" t="str">
        <f t="shared" si="1"/>
        <v>(adj): tự do</v>
      </c>
      <c r="I1616" s="6" t="s">
        <v>8805</v>
      </c>
      <c r="J1616" s="6" t="s">
        <v>8806</v>
      </c>
      <c r="K1616" s="7">
        <f t="shared" si="2"/>
        <v>0.3572860935</v>
      </c>
    </row>
    <row r="1617">
      <c r="A1617" s="4">
        <v>1617.0</v>
      </c>
      <c r="B1617" s="5" t="s">
        <v>8807</v>
      </c>
      <c r="C1617" s="5" t="s">
        <v>6486</v>
      </c>
      <c r="D1617" s="5" t="s">
        <v>8808</v>
      </c>
      <c r="E1617" s="6" t="s">
        <v>24</v>
      </c>
      <c r="F1617" s="6" t="s">
        <v>8809</v>
      </c>
      <c r="G1617" s="3" t="str">
        <f>IFERROR(__xludf.DUMMYFUNCTION("REGEXREPLACE(
D1617,
""([一-龯々]+)\[([^\]]+)\]"",
""&lt;ruby&gt;$1&lt;rt&gt;$2&lt;/rt&gt;&lt;/ruby&gt;""
)&amp;""&lt;br&gt;&lt;div class=""""audio""""&gt;[sound:""&amp;C1617&amp;"".mp3]&lt;/div&gt;"""),"&lt;ruby&gt;締&lt;rt&gt;し&lt;/rt&gt;&lt;/ruby&gt;める&lt;br&gt;&lt;div class=""audio""&gt;[sound:しめる.mp3]&lt;/div&gt;")</f>
        <v>&lt;ruby&gt;締&lt;rt&gt;し&lt;/rt&gt;&lt;/ruby&gt;める&lt;br&gt;&lt;div class="audio"&gt;[sound:しめる.mp3]&lt;/div&gt;</v>
      </c>
      <c r="H1617" s="3" t="str">
        <f t="shared" si="1"/>
        <v>(v): thắt</v>
      </c>
      <c r="I1617" s="6" t="s">
        <v>8810</v>
      </c>
      <c r="J1617" s="6" t="s">
        <v>8811</v>
      </c>
      <c r="K1617" s="7">
        <f t="shared" si="2"/>
        <v>0.8742402849</v>
      </c>
    </row>
    <row r="1618">
      <c r="A1618" s="4">
        <v>1618.0</v>
      </c>
      <c r="B1618" s="5" t="s">
        <v>8812</v>
      </c>
      <c r="C1618" s="5" t="s">
        <v>8813</v>
      </c>
      <c r="D1618" s="5" t="s">
        <v>8814</v>
      </c>
      <c r="E1618" s="6" t="s">
        <v>74</v>
      </c>
      <c r="F1618" s="6" t="s">
        <v>8815</v>
      </c>
      <c r="G1618" s="3" t="str">
        <f>IFERROR(__xludf.DUMMYFUNCTION("REGEXREPLACE(
D1618,
""([一-龯々]+)\[([^\]]+)\]"",
""&lt;ruby&gt;$1&lt;rt&gt;$2&lt;/rt&gt;&lt;/ruby&gt;""
)&amp;""&lt;br&gt;&lt;div class=""""audio""""&gt;[sound:""&amp;C1618&amp;"".mp3]&lt;/div&gt;"""),"&lt;ruby&gt;袋&lt;rt&gt;ふくろ&lt;/rt&gt;&lt;/ruby&gt;&lt;br&gt;&lt;div class=""audio""&gt;[sound:ふくろ.mp3]&lt;/div&gt;")</f>
        <v>&lt;ruby&gt;袋&lt;rt&gt;ふくろ&lt;/rt&gt;&lt;/ruby&gt;&lt;br&gt;&lt;div class="audio"&gt;[sound:ふくろ.mp3]&lt;/div&gt;</v>
      </c>
      <c r="H1618" s="3" t="str">
        <f t="shared" si="1"/>
        <v>(n): túi</v>
      </c>
      <c r="I1618" s="6" t="s">
        <v>8816</v>
      </c>
      <c r="J1618" s="6" t="s">
        <v>8817</v>
      </c>
      <c r="K1618" s="7">
        <f t="shared" si="2"/>
        <v>0.6326479599</v>
      </c>
    </row>
    <row r="1619">
      <c r="A1619" s="4">
        <v>1619.0</v>
      </c>
      <c r="B1619" s="5" t="s">
        <v>8818</v>
      </c>
      <c r="C1619" s="5" t="s">
        <v>8819</v>
      </c>
      <c r="D1619" s="5" t="s">
        <v>8818</v>
      </c>
      <c r="E1619" s="6" t="s">
        <v>74</v>
      </c>
      <c r="F1619" s="6" t="s">
        <v>8820</v>
      </c>
      <c r="G1619" s="3" t="str">
        <f>IFERROR(__xludf.DUMMYFUNCTION("REGEXREPLACE(
D1619,
""([一-龯々]+)\[([^\]]+)\]"",
""&lt;ruby&gt;$1&lt;rt&gt;$2&lt;/rt&gt;&lt;/ruby&gt;""
)&amp;""&lt;br&gt;&lt;div class=""""audio""""&gt;[sound:""&amp;C1619&amp;"".mp3]&lt;/div&gt;"""),"ワイン&lt;br&gt;&lt;div class=""audio""&gt;[sound:わいん.mp3]&lt;/div&gt;")</f>
        <v>ワイン&lt;br&gt;&lt;div class="audio"&gt;[sound:わいん.mp3]&lt;/div&gt;</v>
      </c>
      <c r="H1619" s="3" t="str">
        <f t="shared" si="1"/>
        <v>(n): rượu vang</v>
      </c>
      <c r="I1619" s="6" t="s">
        <v>8821</v>
      </c>
      <c r="J1619" s="6" t="s">
        <v>8822</v>
      </c>
      <c r="K1619" s="7">
        <f t="shared" si="2"/>
        <v>0.2513290743</v>
      </c>
    </row>
    <row r="1620">
      <c r="A1620" s="4">
        <v>1620.0</v>
      </c>
      <c r="B1620" s="5" t="s">
        <v>8823</v>
      </c>
      <c r="C1620" s="5" t="s">
        <v>8824</v>
      </c>
      <c r="D1620" s="5" t="s">
        <v>8825</v>
      </c>
      <c r="E1620" s="6" t="s">
        <v>11</v>
      </c>
      <c r="F1620" s="6" t="s">
        <v>2032</v>
      </c>
      <c r="G1620" s="3" t="str">
        <f>IFERROR(__xludf.DUMMYFUNCTION("REGEXREPLACE(
D1620,
""([一-龯々]+)\[([^\]]+)\]"",
""&lt;ruby&gt;$1&lt;rt&gt;$2&lt;/rt&gt;&lt;/ruby&gt;""
)&amp;""&lt;br&gt;&lt;div class=""""audio""""&gt;[sound:""&amp;C1620&amp;"".mp3]&lt;/div&gt;"""),"&lt;ruby&gt;凄&lt;rt&gt;すご&lt;/rt&gt;&lt;/ruby&gt;い&lt;br&gt;&lt;div class=""audio""&gt;[sound:すごい.mp3]&lt;/div&gt;")</f>
        <v>&lt;ruby&gt;凄&lt;rt&gt;すご&lt;/rt&gt;&lt;/ruby&gt;い&lt;br&gt;&lt;div class="audio"&gt;[sound:すごい.mp3]&lt;/div&gt;</v>
      </c>
      <c r="H1620" s="3" t="str">
        <f t="shared" si="1"/>
        <v>(adj): tuyệt vời</v>
      </c>
      <c r="I1620" s="6" t="s">
        <v>8826</v>
      </c>
      <c r="J1620" s="6" t="s">
        <v>8827</v>
      </c>
      <c r="K1620" s="7">
        <f t="shared" si="2"/>
        <v>0.3665513823</v>
      </c>
    </row>
    <row r="1621">
      <c r="A1621" s="4">
        <v>1621.0</v>
      </c>
      <c r="B1621" s="5" t="s">
        <v>8828</v>
      </c>
      <c r="C1621" s="5" t="s">
        <v>8829</v>
      </c>
      <c r="D1621" s="5" t="s">
        <v>8830</v>
      </c>
      <c r="E1621" s="6" t="s">
        <v>24</v>
      </c>
      <c r="F1621" s="6" t="s">
        <v>8831</v>
      </c>
      <c r="G1621" s="3" t="str">
        <f>IFERROR(__xludf.DUMMYFUNCTION("REGEXREPLACE(
D1621,
""([一-龯々]+)\[([^\]]+)\]"",
""&lt;ruby&gt;$1&lt;rt&gt;$2&lt;/rt&gt;&lt;/ruby&gt;""
)&amp;""&lt;br&gt;&lt;div class=""""audio""""&gt;[sound:""&amp;C1621&amp;"".mp3]&lt;/div&gt;"""),"&lt;ruby&gt;破&lt;rt&gt;やぶ&lt;/rt&gt;&lt;/ruby&gt;る&lt;br&gt;&lt;div class=""audio""&gt;[sound:やぶる.mp3]&lt;/div&gt;")</f>
        <v>&lt;ruby&gt;破&lt;rt&gt;やぶ&lt;/rt&gt;&lt;/ruby&gt;る&lt;br&gt;&lt;div class="audio"&gt;[sound:やぶる.mp3]&lt;/div&gt;</v>
      </c>
      <c r="H1621" s="3" t="str">
        <f t="shared" si="1"/>
        <v>(v): làm rách</v>
      </c>
      <c r="I1621" s="6" t="s">
        <v>8832</v>
      </c>
      <c r="J1621" s="6" t="s">
        <v>8833</v>
      </c>
      <c r="K1621" s="7">
        <f t="shared" si="2"/>
        <v>0.8576979393</v>
      </c>
    </row>
    <row r="1622">
      <c r="A1622" s="4">
        <v>1622.0</v>
      </c>
      <c r="B1622" s="5" t="s">
        <v>8834</v>
      </c>
      <c r="C1622" s="5" t="s">
        <v>8835</v>
      </c>
      <c r="D1622" s="5" t="s">
        <v>8836</v>
      </c>
      <c r="E1622" s="6" t="s">
        <v>74</v>
      </c>
      <c r="F1622" s="6" t="s">
        <v>8837</v>
      </c>
      <c r="G1622" s="3" t="str">
        <f>IFERROR(__xludf.DUMMYFUNCTION("REGEXREPLACE(
D1622,
""([一-龯々]+)\[([^\]]+)\]"",
""&lt;ruby&gt;$1&lt;rt&gt;$2&lt;/rt&gt;&lt;/ruby&gt;""
)&amp;""&lt;br&gt;&lt;div class=""""audio""""&gt;[sound:""&amp;C1622&amp;"".mp3]&lt;/div&gt;"""),"&lt;ruby&gt;腕&lt;rt&gt;うで&lt;/rt&gt;&lt;/ruby&gt;&lt;br&gt;&lt;div class=""audio""&gt;[sound:うで.mp3]&lt;/div&gt;")</f>
        <v>&lt;ruby&gt;腕&lt;rt&gt;うで&lt;/rt&gt;&lt;/ruby&gt;&lt;br&gt;&lt;div class="audio"&gt;[sound:うで.mp3]&lt;/div&gt;</v>
      </c>
      <c r="H1622" s="3" t="str">
        <f t="shared" si="1"/>
        <v>(n): cánh tay</v>
      </c>
      <c r="I1622" s="6" t="s">
        <v>8838</v>
      </c>
      <c r="J1622" s="6" t="s">
        <v>8839</v>
      </c>
      <c r="K1622" s="7">
        <f t="shared" si="2"/>
        <v>0.9220635554</v>
      </c>
    </row>
    <row r="1623">
      <c r="A1623" s="4">
        <v>1623.0</v>
      </c>
      <c r="B1623" s="5" t="s">
        <v>8840</v>
      </c>
      <c r="C1623" s="5" t="s">
        <v>8841</v>
      </c>
      <c r="D1623" s="5" t="s">
        <v>8842</v>
      </c>
      <c r="E1623" s="6" t="s">
        <v>74</v>
      </c>
      <c r="F1623" s="6" t="s">
        <v>8843</v>
      </c>
      <c r="G1623" s="3" t="str">
        <f>IFERROR(__xludf.DUMMYFUNCTION("REGEXREPLACE(
D1623,
""([一-龯々]+)\[([^\]]+)\]"",
""&lt;ruby&gt;$1&lt;rt&gt;$2&lt;/rt&gt;&lt;/ruby&gt;""
)&amp;""&lt;br&gt;&lt;div class=""""audio""""&gt;[sound:""&amp;C1623&amp;"".mp3]&lt;/div&gt;"""),"&lt;ruby&gt;試合&lt;rt&gt;しあい&lt;/rt&gt;&lt;/ruby&gt;&lt;br&gt;&lt;div class=""audio""&gt;[sound:しあい.mp3]&lt;/div&gt;")</f>
        <v>&lt;ruby&gt;試合&lt;rt&gt;しあい&lt;/rt&gt;&lt;/ruby&gt;&lt;br&gt;&lt;div class="audio"&gt;[sound:しあい.mp3]&lt;/div&gt;</v>
      </c>
      <c r="H1623" s="3" t="str">
        <f t="shared" si="1"/>
        <v>(n): trận đấu</v>
      </c>
      <c r="I1623" s="6" t="s">
        <v>8844</v>
      </c>
      <c r="J1623" s="6" t="s">
        <v>8845</v>
      </c>
      <c r="K1623" s="7">
        <f t="shared" si="2"/>
        <v>0.839721201</v>
      </c>
    </row>
    <row r="1624">
      <c r="A1624" s="4">
        <v>1624.0</v>
      </c>
      <c r="B1624" s="5" t="s">
        <v>8846</v>
      </c>
      <c r="C1624" s="5" t="s">
        <v>8847</v>
      </c>
      <c r="D1624" s="5" t="s">
        <v>8848</v>
      </c>
      <c r="E1624" s="6" t="s">
        <v>74</v>
      </c>
      <c r="F1624" s="6" t="s">
        <v>8849</v>
      </c>
      <c r="G1624" s="3" t="str">
        <f>IFERROR(__xludf.DUMMYFUNCTION("REGEXREPLACE(
D1624,
""([一-龯々]+)\[([^\]]+)\]"",
""&lt;ruby&gt;$1&lt;rt&gt;$2&lt;/rt&gt;&lt;/ruby&gt;""
)&amp;""&lt;br&gt;&lt;div class=""""audio""""&gt;[sound:""&amp;C1624&amp;"".mp3]&lt;/div&gt;"""),"&lt;ruby&gt;製造&lt;rt&gt;せいぞう&lt;/rt&gt;&lt;/ruby&gt;&lt;br&gt;&lt;div class=""audio""&gt;[sound:せいぞう.mp3]&lt;/div&gt;")</f>
        <v>&lt;ruby&gt;製造&lt;rt&gt;せいぞう&lt;/rt&gt;&lt;/ruby&gt;&lt;br&gt;&lt;div class="audio"&gt;[sound:せいぞう.mp3]&lt;/div&gt;</v>
      </c>
      <c r="H1624" s="3" t="str">
        <f t="shared" si="1"/>
        <v>(n): chế tạo</v>
      </c>
      <c r="I1624" s="6" t="s">
        <v>8850</v>
      </c>
      <c r="J1624" s="6" t="s">
        <v>8851</v>
      </c>
      <c r="K1624" s="7">
        <f t="shared" si="2"/>
        <v>0.4541892727</v>
      </c>
    </row>
    <row r="1625">
      <c r="A1625" s="4">
        <v>1625.0</v>
      </c>
      <c r="B1625" s="5" t="s">
        <v>8852</v>
      </c>
      <c r="C1625" s="5" t="s">
        <v>8853</v>
      </c>
      <c r="D1625" s="5" t="s">
        <v>8854</v>
      </c>
      <c r="E1625" s="6" t="s">
        <v>74</v>
      </c>
      <c r="F1625" s="6" t="s">
        <v>8855</v>
      </c>
      <c r="G1625" s="3" t="str">
        <f>IFERROR(__xludf.DUMMYFUNCTION("REGEXREPLACE(
D1625,
""([一-龯々]+)\[([^\]]+)\]"",
""&lt;ruby&gt;$1&lt;rt&gt;$2&lt;/rt&gt;&lt;/ruby&gt;""
)&amp;""&lt;br&gt;&lt;div class=""""audio""""&gt;[sound:""&amp;C1625&amp;"".mp3]&lt;/div&gt;"""),"&lt;ruby&gt;地図&lt;rt&gt;ちず&lt;/rt&gt;&lt;/ruby&gt;&lt;br&gt;&lt;div class=""audio""&gt;[sound:ちず.mp3]&lt;/div&gt;")</f>
        <v>&lt;ruby&gt;地図&lt;rt&gt;ちず&lt;/rt&gt;&lt;/ruby&gt;&lt;br&gt;&lt;div class="audio"&gt;[sound:ちず.mp3]&lt;/div&gt;</v>
      </c>
      <c r="H1625" s="3" t="str">
        <f t="shared" si="1"/>
        <v>(n): bản đồ</v>
      </c>
      <c r="I1625" s="6" t="s">
        <v>8856</v>
      </c>
      <c r="J1625" s="6" t="s">
        <v>8857</v>
      </c>
      <c r="K1625" s="7">
        <f t="shared" si="2"/>
        <v>0.3280164247</v>
      </c>
    </row>
    <row r="1626">
      <c r="A1626" s="4">
        <v>1626.0</v>
      </c>
      <c r="B1626" s="5" t="s">
        <v>8858</v>
      </c>
      <c r="C1626" s="5" t="s">
        <v>8859</v>
      </c>
      <c r="D1626" s="5" t="s">
        <v>8860</v>
      </c>
      <c r="E1626" s="6" t="s">
        <v>74</v>
      </c>
      <c r="F1626" s="6" t="s">
        <v>8861</v>
      </c>
      <c r="G1626" s="3" t="str">
        <f>IFERROR(__xludf.DUMMYFUNCTION("REGEXREPLACE(
D1626,
""([一-龯々]+)\[([^\]]+)\]"",
""&lt;ruby&gt;$1&lt;rt&gt;$2&lt;/rt&gt;&lt;/ruby&gt;""
)&amp;""&lt;br&gt;&lt;div class=""""audio""""&gt;[sound:""&amp;C1626&amp;"".mp3]&lt;/div&gt;"""),"&lt;ruby&gt;裁判&lt;rt&gt;さいばん&lt;/rt&gt;&lt;/ruby&gt;&lt;br&gt;&lt;div class=""audio""&gt;[sound:さいばん.mp3]&lt;/div&gt;")</f>
        <v>&lt;ruby&gt;裁判&lt;rt&gt;さいばん&lt;/rt&gt;&lt;/ruby&gt;&lt;br&gt;&lt;div class="audio"&gt;[sound:さいばん.mp3]&lt;/div&gt;</v>
      </c>
      <c r="H1626" s="3" t="str">
        <f t="shared" si="1"/>
        <v>(n): xét xử</v>
      </c>
      <c r="I1626" s="6" t="s">
        <v>8862</v>
      </c>
      <c r="J1626" s="6" t="s">
        <v>8863</v>
      </c>
      <c r="K1626" s="7">
        <f t="shared" si="2"/>
        <v>0.2249542897</v>
      </c>
    </row>
    <row r="1627">
      <c r="A1627" s="4">
        <v>1627.0</v>
      </c>
      <c r="B1627" s="5" t="s">
        <v>8864</v>
      </c>
      <c r="C1627" s="5" t="s">
        <v>8865</v>
      </c>
      <c r="D1627" s="5" t="s">
        <v>8866</v>
      </c>
      <c r="E1627" s="6" t="s">
        <v>74</v>
      </c>
      <c r="F1627" s="6" t="s">
        <v>8867</v>
      </c>
      <c r="G1627" s="3" t="str">
        <f>IFERROR(__xludf.DUMMYFUNCTION("REGEXREPLACE(
D1627,
""([一-龯々]+)\[([^\]]+)\]"",
""&lt;ruby&gt;$1&lt;rt&gt;$2&lt;/rt&gt;&lt;/ruby&gt;""
)&amp;""&lt;br&gt;&lt;div class=""""audio""""&gt;[sound:""&amp;C1627&amp;"".mp3]&lt;/div&gt;"""),"&lt;ruby&gt;共通&lt;rt&gt;きょうつう&lt;/rt&gt;&lt;/ruby&gt;&lt;br&gt;&lt;div class=""audio""&gt;[sound:きょうつう.mp3]&lt;/div&gt;")</f>
        <v>&lt;ruby&gt;共通&lt;rt&gt;きょうつう&lt;/rt&gt;&lt;/ruby&gt;&lt;br&gt;&lt;div class="audio"&gt;[sound:きょうつう.mp3]&lt;/div&gt;</v>
      </c>
      <c r="H1627" s="3" t="str">
        <f t="shared" si="1"/>
        <v>(n): chung</v>
      </c>
      <c r="I1627" s="6" t="s">
        <v>8868</v>
      </c>
      <c r="J1627" s="6" t="s">
        <v>8869</v>
      </c>
      <c r="K1627" s="7">
        <f t="shared" si="2"/>
        <v>0.1951044912</v>
      </c>
    </row>
    <row r="1628">
      <c r="A1628" s="4">
        <v>1628.0</v>
      </c>
      <c r="B1628" s="5" t="s">
        <v>8870</v>
      </c>
      <c r="C1628" s="5" t="s">
        <v>8871</v>
      </c>
      <c r="D1628" s="5" t="s">
        <v>8872</v>
      </c>
      <c r="E1628" s="6" t="s">
        <v>74</v>
      </c>
      <c r="F1628" s="6" t="s">
        <v>8873</v>
      </c>
      <c r="G1628" s="3" t="str">
        <f>IFERROR(__xludf.DUMMYFUNCTION("REGEXREPLACE(
D1628,
""([一-龯々]+)\[([^\]]+)\]"",
""&lt;ruby&gt;$1&lt;rt&gt;$2&lt;/rt&gt;&lt;/ruby&gt;""
)&amp;""&lt;br&gt;&lt;div class=""""audio""""&gt;[sound:""&amp;C1628&amp;"".mp3]&lt;/div&gt;"""),"&lt;ruby&gt;雪&lt;rt&gt;ゆき&lt;/rt&gt;&lt;/ruby&gt;&lt;br&gt;&lt;div class=""audio""&gt;[sound:ゆき.mp3]&lt;/div&gt;")</f>
        <v>&lt;ruby&gt;雪&lt;rt&gt;ゆき&lt;/rt&gt;&lt;/ruby&gt;&lt;br&gt;&lt;div class="audio"&gt;[sound:ゆき.mp3]&lt;/div&gt;</v>
      </c>
      <c r="H1628" s="3" t="str">
        <f t="shared" si="1"/>
        <v>(n): tuyết</v>
      </c>
      <c r="I1628" s="6" t="s">
        <v>8874</v>
      </c>
      <c r="J1628" s="6" t="s">
        <v>8875</v>
      </c>
      <c r="K1628" s="7">
        <f t="shared" si="2"/>
        <v>0.1244060087</v>
      </c>
    </row>
    <row r="1629">
      <c r="A1629" s="4">
        <v>1629.0</v>
      </c>
      <c r="B1629" s="5" t="s">
        <v>8876</v>
      </c>
      <c r="C1629" s="5" t="s">
        <v>8877</v>
      </c>
      <c r="D1629" s="5" t="s">
        <v>8878</v>
      </c>
      <c r="E1629" s="6" t="s">
        <v>24</v>
      </c>
      <c r="F1629" s="6" t="s">
        <v>8879</v>
      </c>
      <c r="G1629" s="3" t="str">
        <f>IFERROR(__xludf.DUMMYFUNCTION("REGEXREPLACE(
D1629,
""([一-龯々]+)\[([^\]]+)\]"",
""&lt;ruby&gt;$1&lt;rt&gt;$2&lt;/rt&gt;&lt;/ruby&gt;""
)&amp;""&lt;br&gt;&lt;div class=""""audio""""&gt;[sound:""&amp;C1629&amp;"".mp3]&lt;/div&gt;"""),"&lt;ruby&gt;流&lt;rt&gt;なが&lt;/rt&gt;&lt;/ruby&gt;れる&lt;br&gt;&lt;div class=""audio""&gt;[sound:ながれる.mp3]&lt;/div&gt;")</f>
        <v>&lt;ruby&gt;流&lt;rt&gt;なが&lt;/rt&gt;&lt;/ruby&gt;れる&lt;br&gt;&lt;div class="audio"&gt;[sound:ながれる.mp3]&lt;/div&gt;</v>
      </c>
      <c r="H1629" s="3" t="str">
        <f t="shared" si="1"/>
        <v>(v): chảy</v>
      </c>
      <c r="I1629" s="6" t="s">
        <v>8880</v>
      </c>
      <c r="J1629" s="6" t="s">
        <v>8881</v>
      </c>
      <c r="K1629" s="7">
        <f t="shared" si="2"/>
        <v>0.05177802577</v>
      </c>
    </row>
    <row r="1630">
      <c r="A1630" s="4">
        <v>1630.0</v>
      </c>
      <c r="B1630" s="5" t="s">
        <v>8882</v>
      </c>
      <c r="C1630" s="5" t="s">
        <v>8883</v>
      </c>
      <c r="D1630" s="5" t="s">
        <v>8884</v>
      </c>
      <c r="E1630" s="6" t="s">
        <v>11</v>
      </c>
      <c r="F1630" s="6" t="s">
        <v>8885</v>
      </c>
      <c r="G1630" s="3" t="str">
        <f>IFERROR(__xludf.DUMMYFUNCTION("REGEXREPLACE(
D1630,
""([一-龯々]+)\[([^\]]+)\]"",
""&lt;ruby&gt;$1&lt;rt&gt;$2&lt;/rt&gt;&lt;/ruby&gt;""
)&amp;""&lt;br&gt;&lt;div class=""""audio""""&gt;[sound:""&amp;C1630&amp;"".mp3]&lt;/div&gt;"""),"&lt;ruby&gt;遅&lt;rt&gt;おそ&lt;/rt&gt;&lt;/ruby&gt;い&lt;br&gt;&lt;div class=""audio""&gt;[sound:おそい.mp3]&lt;/div&gt;")</f>
        <v>&lt;ruby&gt;遅&lt;rt&gt;おそ&lt;/rt&gt;&lt;/ruby&gt;い&lt;br&gt;&lt;div class="audio"&gt;[sound:おそい.mp3]&lt;/div&gt;</v>
      </c>
      <c r="H1630" s="3" t="str">
        <f t="shared" si="1"/>
        <v>(adj): chậm</v>
      </c>
      <c r="I1630" s="6" t="s">
        <v>8886</v>
      </c>
      <c r="J1630" s="6" t="s">
        <v>8887</v>
      </c>
      <c r="K1630" s="7">
        <f t="shared" si="2"/>
        <v>0.5690226836</v>
      </c>
    </row>
    <row r="1631">
      <c r="A1631" s="4">
        <v>1631.0</v>
      </c>
      <c r="B1631" s="5" t="s">
        <v>8888</v>
      </c>
      <c r="C1631" s="5" t="s">
        <v>8889</v>
      </c>
      <c r="D1631" s="5" t="s">
        <v>8890</v>
      </c>
      <c r="E1631" s="6" t="s">
        <v>74</v>
      </c>
      <c r="F1631" s="6" t="s">
        <v>8891</v>
      </c>
      <c r="G1631" s="3" t="str">
        <f>IFERROR(__xludf.DUMMYFUNCTION("REGEXREPLACE(
D1631,
""([一-龯々]+)\[([^\]]+)\]"",
""&lt;ruby&gt;$1&lt;rt&gt;$2&lt;/rt&gt;&lt;/ruby&gt;""
)&amp;""&lt;br&gt;&lt;div class=""""audio""""&gt;[sound:""&amp;C1631&amp;"".mp3]&lt;/div&gt;"""),"&lt;ruby&gt;局&lt;rt&gt;きょく&lt;/rt&gt;&lt;/ruby&gt;&lt;br&gt;&lt;div class=""audio""&gt;[sound:きょく.mp3]&lt;/div&gt;")</f>
        <v>&lt;ruby&gt;局&lt;rt&gt;きょく&lt;/rt&gt;&lt;/ruby&gt;&lt;br&gt;&lt;div class="audio"&gt;[sound:きょく.mp3]&lt;/div&gt;</v>
      </c>
      <c r="H1631" s="3" t="str">
        <f t="shared" si="1"/>
        <v>(n): cục</v>
      </c>
      <c r="I1631" s="6" t="s">
        <v>8892</v>
      </c>
      <c r="J1631" s="6" t="s">
        <v>8893</v>
      </c>
      <c r="K1631" s="7">
        <f t="shared" si="2"/>
        <v>0.005447643924</v>
      </c>
    </row>
    <row r="1632">
      <c r="A1632" s="4">
        <v>1632.0</v>
      </c>
      <c r="B1632" s="5" t="s">
        <v>8894</v>
      </c>
      <c r="C1632" s="5" t="s">
        <v>8895</v>
      </c>
      <c r="D1632" s="5" t="s">
        <v>8896</v>
      </c>
      <c r="E1632" s="6" t="s">
        <v>11</v>
      </c>
      <c r="F1632" s="6" t="s">
        <v>4297</v>
      </c>
      <c r="G1632" s="3" t="str">
        <f>IFERROR(__xludf.DUMMYFUNCTION("REGEXREPLACE(
D1632,
""([一-龯々]+)\[([^\]]+)\]"",
""&lt;ruby&gt;$1&lt;rt&gt;$2&lt;/rt&gt;&lt;/ruby&gt;""
)&amp;""&lt;br&gt;&lt;div class=""""audio""""&gt;[sound:""&amp;C1632&amp;"".mp3]&lt;/div&gt;"""),"&lt;ruby&gt;美&lt;rt&gt;うつく&lt;/rt&gt;&lt;/ruby&gt;しい&lt;br&gt;&lt;div class=""audio""&gt;[sound:うつくしい.mp3]&lt;/div&gt;")</f>
        <v>&lt;ruby&gt;美&lt;rt&gt;うつく&lt;/rt&gt;&lt;/ruby&gt;しい&lt;br&gt;&lt;div class="audio"&gt;[sound:うつくしい.mp3]&lt;/div&gt;</v>
      </c>
      <c r="H1632" s="3" t="str">
        <f t="shared" si="1"/>
        <v>(adj): đẹp</v>
      </c>
      <c r="I1632" s="6" t="s">
        <v>8897</v>
      </c>
      <c r="J1632" s="6" t="s">
        <v>8898</v>
      </c>
      <c r="K1632" s="7">
        <f t="shared" si="2"/>
        <v>0.789250785</v>
      </c>
    </row>
    <row r="1633">
      <c r="A1633" s="4">
        <v>1633.0</v>
      </c>
      <c r="B1633" s="5" t="s">
        <v>8899</v>
      </c>
      <c r="C1633" s="5" t="s">
        <v>8900</v>
      </c>
      <c r="D1633" s="5" t="s">
        <v>8901</v>
      </c>
      <c r="E1633" s="6" t="s">
        <v>74</v>
      </c>
      <c r="F1633" s="6" t="s">
        <v>4668</v>
      </c>
      <c r="G1633" s="3" t="str">
        <f>IFERROR(__xludf.DUMMYFUNCTION("REGEXREPLACE(
D1633,
""([一-龯々]+)\[([^\]]+)\]"",
""&lt;ruby&gt;$1&lt;rt&gt;$2&lt;/rt&gt;&lt;/ruby&gt;""
)&amp;""&lt;br&gt;&lt;div class=""""audio""""&gt;[sound:""&amp;C1633&amp;"".mp3]&lt;/div&gt;"""),"&lt;ruby&gt;角&lt;rt&gt;かど&lt;/rt&gt;&lt;/ruby&gt;&lt;br&gt;&lt;div class=""audio""&gt;[sound:かど.mp3]&lt;/div&gt;")</f>
        <v>&lt;ruby&gt;角&lt;rt&gt;かど&lt;/rt&gt;&lt;/ruby&gt;&lt;br&gt;&lt;div class="audio"&gt;[sound:かど.mp3]&lt;/div&gt;</v>
      </c>
      <c r="H1633" s="3" t="str">
        <f t="shared" si="1"/>
        <v>(n): góc</v>
      </c>
      <c r="I1633" s="6" t="s">
        <v>8902</v>
      </c>
      <c r="J1633" s="6" t="s">
        <v>8903</v>
      </c>
      <c r="K1633" s="7">
        <f t="shared" si="2"/>
        <v>0.9141114691</v>
      </c>
    </row>
    <row r="1634">
      <c r="A1634" s="4">
        <v>1634.0</v>
      </c>
      <c r="B1634" s="5" t="s">
        <v>8904</v>
      </c>
      <c r="C1634" s="5" t="s">
        <v>8905</v>
      </c>
      <c r="D1634" s="5" t="s">
        <v>8906</v>
      </c>
      <c r="E1634" s="6" t="s">
        <v>24</v>
      </c>
      <c r="F1634" s="6" t="s">
        <v>8907</v>
      </c>
      <c r="G1634" s="3" t="str">
        <f>IFERROR(__xludf.DUMMYFUNCTION("REGEXREPLACE(
D1634,
""([一-龯々]+)\[([^\]]+)\]"",
""&lt;ruby&gt;$1&lt;rt&gt;$2&lt;/rt&gt;&lt;/ruby&gt;""
)&amp;""&lt;br&gt;&lt;div class=""""audio""""&gt;[sound:""&amp;C1634&amp;"".mp3]&lt;/div&gt;"""),"&lt;ruby&gt;休憩&lt;rt&gt;きゅうけい&lt;/rt&gt;&lt;/ruby&gt;&lt;br&gt;&lt;div class=""audio""&gt;[sound:きゅうけい.mp3]&lt;/div&gt;")</f>
        <v>&lt;ruby&gt;休憩&lt;rt&gt;きゅうけい&lt;/rt&gt;&lt;/ruby&gt;&lt;br&gt;&lt;div class="audio"&gt;[sound:きゅうけい.mp3]&lt;/div&gt;</v>
      </c>
      <c r="H1634" s="3" t="str">
        <f t="shared" si="1"/>
        <v>(v): nghỉ giải lao</v>
      </c>
      <c r="I1634" s="6" t="s">
        <v>8908</v>
      </c>
      <c r="J1634" s="6" t="s">
        <v>8909</v>
      </c>
      <c r="K1634" s="7">
        <f t="shared" si="2"/>
        <v>0.1719014382</v>
      </c>
    </row>
    <row r="1635">
      <c r="A1635" s="4">
        <v>1635.0</v>
      </c>
      <c r="B1635" s="5" t="s">
        <v>8910</v>
      </c>
      <c r="C1635" s="5" t="s">
        <v>8911</v>
      </c>
      <c r="D1635" s="5" t="s">
        <v>8912</v>
      </c>
      <c r="E1635" s="6" t="s">
        <v>74</v>
      </c>
      <c r="F1635" s="6" t="s">
        <v>8913</v>
      </c>
      <c r="G1635" s="3" t="str">
        <f>IFERROR(__xludf.DUMMYFUNCTION("REGEXREPLACE(
D1635,
""([一-龯々]+)\[([^\]]+)\]"",
""&lt;ruby&gt;$1&lt;rt&gt;$2&lt;/rt&gt;&lt;/ruby&gt;""
)&amp;""&lt;br&gt;&lt;div class=""""audio""""&gt;[sound:""&amp;C1635&amp;"".mp3]&lt;/div&gt;"""),"&lt;ruby&gt;予算&lt;rt&gt;よさん&lt;/rt&gt;&lt;/ruby&gt;&lt;br&gt;&lt;div class=""audio""&gt;[sound:よさん.mp3]&lt;/div&gt;")</f>
        <v>&lt;ruby&gt;予算&lt;rt&gt;よさん&lt;/rt&gt;&lt;/ruby&gt;&lt;br&gt;&lt;div class="audio"&gt;[sound:よさん.mp3]&lt;/div&gt;</v>
      </c>
      <c r="H1635" s="3" t="str">
        <f t="shared" si="1"/>
        <v>(n): ngân sách</v>
      </c>
      <c r="I1635" s="6" t="s">
        <v>8914</v>
      </c>
      <c r="J1635" s="6" t="s">
        <v>8915</v>
      </c>
      <c r="K1635" s="7">
        <f t="shared" si="2"/>
        <v>0.8083028497</v>
      </c>
    </row>
    <row r="1636">
      <c r="A1636" s="4">
        <v>1636.0</v>
      </c>
      <c r="B1636" s="5" t="s">
        <v>8916</v>
      </c>
      <c r="C1636" s="5" t="s">
        <v>8917</v>
      </c>
      <c r="D1636" s="5" t="s">
        <v>8918</v>
      </c>
      <c r="E1636" s="6" t="s">
        <v>11</v>
      </c>
      <c r="F1636" s="6" t="s">
        <v>8233</v>
      </c>
      <c r="G1636" s="3" t="str">
        <f>IFERROR(__xludf.DUMMYFUNCTION("REGEXREPLACE(
D1636,
""([一-龯々]+)\[([^\]]+)\]"",
""&lt;ruby&gt;$1&lt;rt&gt;$2&lt;/rt&gt;&lt;/ruby&gt;""
)&amp;""&lt;br&gt;&lt;div class=""""audio""""&gt;[sound:""&amp;C1636&amp;"".mp3]&lt;/div&gt;"""),"&lt;ruby&gt;危&lt;rt&gt;あぶ&lt;/rt&gt;&lt;/ruby&gt;ない&lt;br&gt;&lt;div class=""audio""&gt;[sound:あぶない.mp3]&lt;/div&gt;")</f>
        <v>&lt;ruby&gt;危&lt;rt&gt;あぶ&lt;/rt&gt;&lt;/ruby&gt;ない&lt;br&gt;&lt;div class="audio"&gt;[sound:あぶない.mp3]&lt;/div&gt;</v>
      </c>
      <c r="H1636" s="3" t="str">
        <f t="shared" si="1"/>
        <v>(adj): nguy hiểm</v>
      </c>
      <c r="I1636" s="6" t="s">
        <v>8919</v>
      </c>
      <c r="J1636" s="6" t="s">
        <v>8920</v>
      </c>
      <c r="K1636" s="7">
        <f t="shared" si="2"/>
        <v>0.9833117978</v>
      </c>
    </row>
    <row r="1637">
      <c r="A1637" s="4">
        <v>1637.0</v>
      </c>
      <c r="B1637" s="5" t="s">
        <v>8921</v>
      </c>
      <c r="C1637" s="5" t="s">
        <v>5411</v>
      </c>
      <c r="D1637" s="5" t="s">
        <v>8922</v>
      </c>
      <c r="E1637" s="6" t="s">
        <v>11</v>
      </c>
      <c r="F1637" s="6" t="s">
        <v>8923</v>
      </c>
      <c r="G1637" s="3" t="str">
        <f>IFERROR(__xludf.DUMMYFUNCTION("REGEXREPLACE(
D1637,
""([一-龯々]+)\[([^\]]+)\]"",
""&lt;ruby&gt;$1&lt;rt&gt;$2&lt;/rt&gt;&lt;/ruby&gt;""
)&amp;""&lt;br&gt;&lt;div class=""""audio""""&gt;[sound:""&amp;C1637&amp;"".mp3]&lt;/div&gt;"""),"&lt;ruby&gt;確&lt;rt&gt;たし&lt;/rt&gt;&lt;/ruby&gt;か&lt;br&gt;&lt;div class=""audio""&gt;[sound:たしか.mp3]&lt;/div&gt;")</f>
        <v>&lt;ruby&gt;確&lt;rt&gt;たし&lt;/rt&gt;&lt;/ruby&gt;か&lt;br&gt;&lt;div class="audio"&gt;[sound:たしか.mp3]&lt;/div&gt;</v>
      </c>
      <c r="H1637" s="3" t="str">
        <f t="shared" si="1"/>
        <v>(adj): chính xác</v>
      </c>
      <c r="I1637" s="6" t="s">
        <v>8924</v>
      </c>
      <c r="J1637" s="6" t="s">
        <v>8925</v>
      </c>
      <c r="K1637" s="7">
        <f t="shared" si="2"/>
        <v>0.5206084002</v>
      </c>
    </row>
    <row r="1638">
      <c r="A1638" s="4">
        <v>1638.0</v>
      </c>
      <c r="B1638" s="5" t="s">
        <v>8926</v>
      </c>
      <c r="C1638" s="5" t="s">
        <v>8927</v>
      </c>
      <c r="D1638" s="5" t="s">
        <v>8928</v>
      </c>
      <c r="E1638" s="6" t="s">
        <v>24</v>
      </c>
      <c r="F1638" s="6" t="s">
        <v>8929</v>
      </c>
      <c r="G1638" s="3" t="str">
        <f>IFERROR(__xludf.DUMMYFUNCTION("REGEXREPLACE(
D1638,
""([一-龯々]+)\[([^\]]+)\]"",
""&lt;ruby&gt;$1&lt;rt&gt;$2&lt;/rt&gt;&lt;/ruby&gt;""
)&amp;""&lt;br&gt;&lt;div class=""""audio""""&gt;[sound:""&amp;C1638&amp;"".mp3]&lt;/div&gt;"""),"&lt;ruby&gt;起&lt;rt&gt;お&lt;/rt&gt;&lt;/ruby&gt;こす&lt;br&gt;&lt;div class=""audio""&gt;[sound:おこす.mp3]&lt;/div&gt;")</f>
        <v>&lt;ruby&gt;起&lt;rt&gt;お&lt;/rt&gt;&lt;/ruby&gt;こす&lt;br&gt;&lt;div class="audio"&gt;[sound:おこす.mp3]&lt;/div&gt;</v>
      </c>
      <c r="H1638" s="3" t="str">
        <f t="shared" si="1"/>
        <v>(v): đánh thức</v>
      </c>
      <c r="I1638" s="6" t="s">
        <v>8930</v>
      </c>
      <c r="J1638" s="6" t="s">
        <v>8931</v>
      </c>
      <c r="K1638" s="7">
        <f t="shared" si="2"/>
        <v>0.4860252444</v>
      </c>
    </row>
    <row r="1639">
      <c r="A1639" s="4">
        <v>1639.0</v>
      </c>
      <c r="B1639" s="5" t="s">
        <v>8932</v>
      </c>
      <c r="C1639" s="5" t="s">
        <v>8933</v>
      </c>
      <c r="D1639" s="5" t="s">
        <v>8934</v>
      </c>
      <c r="E1639" s="6" t="s">
        <v>85</v>
      </c>
      <c r="F1639" s="6" t="s">
        <v>8935</v>
      </c>
      <c r="G1639" s="3" t="str">
        <f>IFERROR(__xludf.DUMMYFUNCTION("REGEXREPLACE(
D1639,
""([一-龯々]+)\[([^\]]+)\]"",
""&lt;ruby&gt;$1&lt;rt&gt;$2&lt;/rt&gt;&lt;/ruby&gt;""
)&amp;""&lt;br&gt;&lt;div class=""""audio""""&gt;[sound:""&amp;C1639&amp;"".mp3]&lt;/div&gt;"""),"&lt;ruby&gt;丁度&lt;rt&gt;ちょうど&lt;/rt&gt;&lt;/ruby&gt;&lt;br&gt;&lt;div class=""audio""&gt;[sound:ちょうど.mp3]&lt;/div&gt;")</f>
        <v>&lt;ruby&gt;丁度&lt;rt&gt;ちょうど&lt;/rt&gt;&lt;/ruby&gt;&lt;br&gt;&lt;div class="audio"&gt;[sound:ちょうど.mp3]&lt;/div&gt;</v>
      </c>
      <c r="H1639" s="3" t="str">
        <f t="shared" si="1"/>
        <v>(adv): vừa đúng</v>
      </c>
      <c r="I1639" s="6" t="s">
        <v>8936</v>
      </c>
      <c r="J1639" s="6" t="s">
        <v>8937</v>
      </c>
      <c r="K1639" s="7">
        <f t="shared" si="2"/>
        <v>0.01143351669</v>
      </c>
    </row>
    <row r="1640">
      <c r="A1640" s="4">
        <v>1640.0</v>
      </c>
      <c r="B1640" s="5" t="s">
        <v>8938</v>
      </c>
      <c r="C1640" s="5" t="s">
        <v>8939</v>
      </c>
      <c r="D1640" s="5" t="s">
        <v>8940</v>
      </c>
      <c r="E1640" s="6" t="s">
        <v>74</v>
      </c>
      <c r="F1640" s="6" t="s">
        <v>8941</v>
      </c>
      <c r="G1640" s="3" t="str">
        <f>IFERROR(__xludf.DUMMYFUNCTION("REGEXREPLACE(
D1640,
""([一-龯々]+)\[([^\]]+)\]"",
""&lt;ruby&gt;$1&lt;rt&gt;$2&lt;/rt&gt;&lt;/ruby&gt;""
)&amp;""&lt;br&gt;&lt;div class=""""audio""""&gt;[sound:""&amp;C1640&amp;"".mp3]&lt;/div&gt;"""),"&lt;ruby&gt;世話&lt;rt&gt;せわ&lt;/rt&gt;&lt;/ruby&gt;&lt;br&gt;&lt;div class=""audio""&gt;[sound:せわ.mp3]&lt;/div&gt;")</f>
        <v>&lt;ruby&gt;世話&lt;rt&gt;せわ&lt;/rt&gt;&lt;/ruby&gt;&lt;br&gt;&lt;div class="audio"&gt;[sound:せわ.mp3]&lt;/div&gt;</v>
      </c>
      <c r="H1640" s="3" t="str">
        <f t="shared" si="1"/>
        <v>(n): chăm sóc</v>
      </c>
      <c r="I1640" s="6" t="s">
        <v>8942</v>
      </c>
      <c r="J1640" s="6" t="s">
        <v>8943</v>
      </c>
      <c r="K1640" s="7">
        <f t="shared" si="2"/>
        <v>0.2738970337</v>
      </c>
    </row>
    <row r="1641">
      <c r="A1641" s="4">
        <v>1641.0</v>
      </c>
      <c r="B1641" s="5" t="s">
        <v>8944</v>
      </c>
      <c r="C1641" s="5" t="s">
        <v>8945</v>
      </c>
      <c r="D1641" s="5" t="s">
        <v>8946</v>
      </c>
      <c r="E1641" s="6" t="s">
        <v>74</v>
      </c>
      <c r="F1641" s="6" t="s">
        <v>2446</v>
      </c>
      <c r="G1641" s="3" t="str">
        <f>IFERROR(__xludf.DUMMYFUNCTION("REGEXREPLACE(
D1641,
""([一-龯々]+)\[([^\]]+)\]"",
""&lt;ruby&gt;$1&lt;rt&gt;$2&lt;/rt&gt;&lt;/ruby&gt;""
)&amp;""&lt;br&gt;&lt;div class=""""audio""""&gt;[sound:""&amp;C1641&amp;"".mp3]&lt;/div&gt;"""),"&lt;ruby&gt;言語&lt;rt&gt;げんご&lt;/rt&gt;&lt;/ruby&gt;&lt;br&gt;&lt;div class=""audio""&gt;[sound:げんご.mp3]&lt;/div&gt;")</f>
        <v>&lt;ruby&gt;言語&lt;rt&gt;げんご&lt;/rt&gt;&lt;/ruby&gt;&lt;br&gt;&lt;div class="audio"&gt;[sound:げんご.mp3]&lt;/div&gt;</v>
      </c>
      <c r="H1641" s="3" t="str">
        <f t="shared" si="1"/>
        <v>(n): ngôn ngữ</v>
      </c>
      <c r="I1641" s="6" t="s">
        <v>8947</v>
      </c>
      <c r="J1641" s="6" t="s">
        <v>8948</v>
      </c>
      <c r="K1641" s="7">
        <f t="shared" si="2"/>
        <v>0.2670714527</v>
      </c>
    </row>
    <row r="1642">
      <c r="A1642" s="4">
        <v>1642.0</v>
      </c>
      <c r="B1642" s="5" t="s">
        <v>8949</v>
      </c>
      <c r="C1642" s="5" t="s">
        <v>8950</v>
      </c>
      <c r="D1642" s="5" t="s">
        <v>8951</v>
      </c>
      <c r="E1642" s="6" t="s">
        <v>74</v>
      </c>
      <c r="F1642" s="6" t="s">
        <v>6182</v>
      </c>
      <c r="G1642" s="3" t="str">
        <f>IFERROR(__xludf.DUMMYFUNCTION("REGEXREPLACE(
D1642,
""([一-龯々]+)\[([^\]]+)\]"",
""&lt;ruby&gt;$1&lt;rt&gt;$2&lt;/rt&gt;&lt;/ruby&gt;""
)&amp;""&lt;br&gt;&lt;div class=""""audio""""&gt;[sound:""&amp;C1642&amp;"".mp3]&lt;/div&gt;"""),"&lt;ruby&gt;値段&lt;rt&gt;ねだん&lt;/rt&gt;&lt;/ruby&gt;&lt;br&gt;&lt;div class=""audio""&gt;[sound:ねだん.mp3]&lt;/div&gt;")</f>
        <v>&lt;ruby&gt;値段&lt;rt&gt;ねだん&lt;/rt&gt;&lt;/ruby&gt;&lt;br&gt;&lt;div class="audio"&gt;[sound:ねだん.mp3]&lt;/div&gt;</v>
      </c>
      <c r="H1642" s="3" t="str">
        <f t="shared" si="1"/>
        <v>(n): giá cả</v>
      </c>
      <c r="I1642" s="6" t="s">
        <v>8952</v>
      </c>
      <c r="J1642" s="6" t="s">
        <v>8953</v>
      </c>
      <c r="K1642" s="7">
        <f t="shared" si="2"/>
        <v>0.01474744237</v>
      </c>
    </row>
    <row r="1643">
      <c r="A1643" s="4">
        <v>1643.0</v>
      </c>
      <c r="B1643" s="5" t="s">
        <v>8954</v>
      </c>
      <c r="C1643" s="5" t="s">
        <v>8955</v>
      </c>
      <c r="D1643" s="5" t="s">
        <v>8956</v>
      </c>
      <c r="E1643" s="6" t="s">
        <v>11</v>
      </c>
      <c r="F1643" s="6" t="s">
        <v>8957</v>
      </c>
      <c r="G1643" s="3" t="str">
        <f>IFERROR(__xludf.DUMMYFUNCTION("REGEXREPLACE(
D1643,
""([一-龯々]+)\[([^\]]+)\]"",
""&lt;ruby&gt;$1&lt;rt&gt;$2&lt;/rt&gt;&lt;/ruby&gt;""
)&amp;""&lt;br&gt;&lt;div class=""""audio""""&gt;[sound:""&amp;C1643&amp;"".mp3]&lt;/div&gt;"""),"&lt;ruby&gt;恥&lt;rt&gt;は&lt;/rt&gt;&lt;/ruby&gt;ずかしい&lt;br&gt;&lt;div class=""audio""&gt;[sound:はずかしい.mp3]&lt;/div&gt;")</f>
        <v>&lt;ruby&gt;恥&lt;rt&gt;は&lt;/rt&gt;&lt;/ruby&gt;ずかしい&lt;br&gt;&lt;div class="audio"&gt;[sound:はずかしい.mp3]&lt;/div&gt;</v>
      </c>
      <c r="H1643" s="3" t="str">
        <f t="shared" si="1"/>
        <v>(adj): xấu hổ</v>
      </c>
      <c r="I1643" s="6" t="s">
        <v>8958</v>
      </c>
      <c r="J1643" s="6" t="s">
        <v>8959</v>
      </c>
      <c r="K1643" s="7">
        <f t="shared" si="2"/>
        <v>0.2813741769</v>
      </c>
    </row>
    <row r="1644">
      <c r="A1644" s="4">
        <v>1644.0</v>
      </c>
      <c r="B1644" s="5" t="s">
        <v>8960</v>
      </c>
      <c r="C1644" s="5" t="s">
        <v>8961</v>
      </c>
      <c r="D1644" s="5" t="s">
        <v>8962</v>
      </c>
      <c r="E1644" s="6" t="s">
        <v>74</v>
      </c>
      <c r="F1644" s="6" t="s">
        <v>3796</v>
      </c>
      <c r="G1644" s="3" t="str">
        <f>IFERROR(__xludf.DUMMYFUNCTION("REGEXREPLACE(
D1644,
""([一-龯々]+)\[([^\]]+)\]"",
""&lt;ruby&gt;$1&lt;rt&gt;$2&lt;/rt&gt;&lt;/ruby&gt;""
)&amp;""&lt;br&gt;&lt;div class=""""audio""""&gt;[sound:""&amp;C1644&amp;"".mp3]&lt;/div&gt;"""),"&lt;ruby&gt;話題&lt;rt&gt;わだい&lt;/rt&gt;&lt;/ruby&gt;&lt;br&gt;&lt;div class=""audio""&gt;[sound:わだい.mp3]&lt;/div&gt;")</f>
        <v>&lt;ruby&gt;話題&lt;rt&gt;わだい&lt;/rt&gt;&lt;/ruby&gt;&lt;br&gt;&lt;div class="audio"&gt;[sound:わだい.mp3]&lt;/div&gt;</v>
      </c>
      <c r="H1644" s="3" t="str">
        <f t="shared" si="1"/>
        <v>(n): chủ đề</v>
      </c>
      <c r="I1644" s="6" t="s">
        <v>8963</v>
      </c>
      <c r="J1644" s="6" t="s">
        <v>8964</v>
      </c>
      <c r="K1644" s="7">
        <f t="shared" si="2"/>
        <v>0.7108471569</v>
      </c>
    </row>
    <row r="1645">
      <c r="A1645" s="4">
        <v>1645.0</v>
      </c>
      <c r="B1645" s="5" t="s">
        <v>8965</v>
      </c>
      <c r="C1645" s="5" t="s">
        <v>8966</v>
      </c>
      <c r="D1645" s="5" t="s">
        <v>8967</v>
      </c>
      <c r="E1645" s="6" t="s">
        <v>24</v>
      </c>
      <c r="F1645" s="6" t="s">
        <v>8968</v>
      </c>
      <c r="G1645" s="3" t="str">
        <f>IFERROR(__xludf.DUMMYFUNCTION("REGEXREPLACE(
D1645,
""([一-龯々]+)\[([^\]]+)\]"",
""&lt;ruby&gt;$1&lt;rt&gt;$2&lt;/rt&gt;&lt;/ruby&gt;""
)&amp;""&lt;br&gt;&lt;div class=""""audio""""&gt;[sound:""&amp;C1645&amp;"".mp3]&lt;/div&gt;"""),"&lt;ruby&gt;借&lt;rt&gt;か&lt;/rt&gt;&lt;/ruby&gt;りる&lt;br&gt;&lt;div class=""audio""&gt;[sound:かりる.mp3]&lt;/div&gt;")</f>
        <v>&lt;ruby&gt;借&lt;rt&gt;か&lt;/rt&gt;&lt;/ruby&gt;りる&lt;br&gt;&lt;div class="audio"&gt;[sound:かりる.mp3]&lt;/div&gt;</v>
      </c>
      <c r="H1645" s="3" t="str">
        <f t="shared" si="1"/>
        <v>(v): mượn</v>
      </c>
      <c r="I1645" s="6" t="s">
        <v>8969</v>
      </c>
      <c r="J1645" s="6" t="s">
        <v>8970</v>
      </c>
      <c r="K1645" s="7">
        <f t="shared" si="2"/>
        <v>0.5281253537</v>
      </c>
    </row>
    <row r="1646">
      <c r="A1646" s="4">
        <v>1646.0</v>
      </c>
      <c r="B1646" s="5" t="s">
        <v>8971</v>
      </c>
      <c r="C1646" s="5" t="s">
        <v>8972</v>
      </c>
      <c r="D1646" s="5" t="s">
        <v>8973</v>
      </c>
      <c r="E1646" s="6" t="s">
        <v>74</v>
      </c>
      <c r="F1646" s="6" t="s">
        <v>8974</v>
      </c>
      <c r="G1646" s="3" t="str">
        <f>IFERROR(__xludf.DUMMYFUNCTION("REGEXREPLACE(
D1646,
""([一-龯々]+)\[([^\]]+)\]"",
""&lt;ruby&gt;$1&lt;rt&gt;$2&lt;/rt&gt;&lt;/ruby&gt;""
)&amp;""&lt;br&gt;&lt;div class=""""audio""""&gt;[sound:""&amp;C1646&amp;"".mp3]&lt;/div&gt;"""),"&lt;ruby&gt;税&lt;rt&gt;ぜい&lt;/rt&gt;&lt;/ruby&gt;&lt;br&gt;&lt;div class=""audio""&gt;[sound:ぜい.mp3]&lt;/div&gt;")</f>
        <v>&lt;ruby&gt;税&lt;rt&gt;ぜい&lt;/rt&gt;&lt;/ruby&gt;&lt;br&gt;&lt;div class="audio"&gt;[sound:ぜい.mp3]&lt;/div&gt;</v>
      </c>
      <c r="H1646" s="3" t="str">
        <f t="shared" si="1"/>
        <v>(n): thuế</v>
      </c>
      <c r="I1646" s="6" t="s">
        <v>8975</v>
      </c>
      <c r="J1646" s="6" t="s">
        <v>8976</v>
      </c>
      <c r="K1646" s="7">
        <f t="shared" si="2"/>
        <v>0.8986336089</v>
      </c>
    </row>
    <row r="1647">
      <c r="A1647" s="4">
        <v>1647.0</v>
      </c>
      <c r="B1647" s="5" t="s">
        <v>8977</v>
      </c>
      <c r="C1647" s="5" t="s">
        <v>8978</v>
      </c>
      <c r="D1647" s="5" t="s">
        <v>8979</v>
      </c>
      <c r="E1647" s="6" t="s">
        <v>11</v>
      </c>
      <c r="F1647" s="6" t="s">
        <v>8980</v>
      </c>
      <c r="G1647" s="3" t="str">
        <f>IFERROR(__xludf.DUMMYFUNCTION("REGEXREPLACE(
D1647,
""([一-龯々]+)\[([^\]]+)\]"",
""&lt;ruby&gt;$1&lt;rt&gt;$2&lt;/rt&gt;&lt;/ruby&gt;""
)&amp;""&lt;br&gt;&lt;div class=""""audio""""&gt;[sound:""&amp;C1647&amp;"".mp3]&lt;/div&gt;"""),"&lt;ruby&gt;遠&lt;rt&gt;とお&lt;/rt&gt;&lt;/ruby&gt;い&lt;br&gt;&lt;div class=""audio""&gt;[sound:とおい.mp3]&lt;/div&gt;")</f>
        <v>&lt;ruby&gt;遠&lt;rt&gt;とお&lt;/rt&gt;&lt;/ruby&gt;い&lt;br&gt;&lt;div class="audio"&gt;[sound:とおい.mp3]&lt;/div&gt;</v>
      </c>
      <c r="H1647" s="3" t="str">
        <f t="shared" si="1"/>
        <v>(adj): xa</v>
      </c>
      <c r="I1647" s="6" t="s">
        <v>8981</v>
      </c>
      <c r="J1647" s="6" t="s">
        <v>8982</v>
      </c>
      <c r="K1647" s="7">
        <f t="shared" si="2"/>
        <v>0.4533957167</v>
      </c>
    </row>
    <row r="1648">
      <c r="A1648" s="4">
        <v>1648.0</v>
      </c>
      <c r="B1648" s="5" t="s">
        <v>8983</v>
      </c>
      <c r="C1648" s="5" t="s">
        <v>8984</v>
      </c>
      <c r="D1648" s="5" t="s">
        <v>8985</v>
      </c>
      <c r="E1648" s="6" t="s">
        <v>74</v>
      </c>
      <c r="F1648" s="6" t="s">
        <v>8986</v>
      </c>
      <c r="G1648" s="3" t="str">
        <f>IFERROR(__xludf.DUMMYFUNCTION("REGEXREPLACE(
D1648,
""([一-龯々]+)\[([^\]]+)\]"",
""&lt;ruby&gt;$1&lt;rt&gt;$2&lt;/rt&gt;&lt;/ruby&gt;""
)&amp;""&lt;br&gt;&lt;div class=""""audio""""&gt;[sound:""&amp;C1648&amp;"".mp3]&lt;/div&gt;"""),"&lt;ruby&gt;観光&lt;rt&gt;かんこう&lt;/rt&gt;&lt;/ruby&gt;&lt;br&gt;&lt;div class=""audio""&gt;[sound:かんこう.mp3]&lt;/div&gt;")</f>
        <v>&lt;ruby&gt;観光&lt;rt&gt;かんこう&lt;/rt&gt;&lt;/ruby&gt;&lt;br&gt;&lt;div class="audio"&gt;[sound:かんこう.mp3]&lt;/div&gt;</v>
      </c>
      <c r="H1648" s="3" t="str">
        <f t="shared" si="1"/>
        <v>(n): tham quan</v>
      </c>
      <c r="I1648" s="6" t="s">
        <v>8987</v>
      </c>
      <c r="J1648" s="6" t="s">
        <v>8988</v>
      </c>
      <c r="K1648" s="7">
        <f t="shared" si="2"/>
        <v>0.8212596996</v>
      </c>
    </row>
    <row r="1649">
      <c r="A1649" s="4">
        <v>1649.0</v>
      </c>
      <c r="B1649" s="5" t="s">
        <v>8989</v>
      </c>
      <c r="C1649" s="5" t="s">
        <v>8990</v>
      </c>
      <c r="D1649" s="5" t="s">
        <v>8991</v>
      </c>
      <c r="E1649" s="6" t="s">
        <v>74</v>
      </c>
      <c r="F1649" s="6" t="s">
        <v>8992</v>
      </c>
      <c r="G1649" s="3" t="str">
        <f>IFERROR(__xludf.DUMMYFUNCTION("REGEXREPLACE(
D1649,
""([一-龯々]+)\[([^\]]+)\]"",
""&lt;ruby&gt;$1&lt;rt&gt;$2&lt;/rt&gt;&lt;/ruby&gt;""
)&amp;""&lt;br&gt;&lt;div class=""""audio""""&gt;[sound:""&amp;C1649&amp;"".mp3]&lt;/div&gt;"""),"&lt;ruby&gt;資料&lt;rt&gt;しりょう&lt;/rt&gt;&lt;/ruby&gt;&lt;br&gt;&lt;div class=""audio""&gt;[sound:しりょう.mp3]&lt;/div&gt;")</f>
        <v>&lt;ruby&gt;資料&lt;rt&gt;しりょう&lt;/rt&gt;&lt;/ruby&gt;&lt;br&gt;&lt;div class="audio"&gt;[sound:しりょう.mp3]&lt;/div&gt;</v>
      </c>
      <c r="H1649" s="3" t="str">
        <f t="shared" si="1"/>
        <v>(n): tài liệu</v>
      </c>
      <c r="I1649" s="6" t="s">
        <v>8993</v>
      </c>
      <c r="J1649" s="6" t="s">
        <v>8994</v>
      </c>
      <c r="K1649" s="7">
        <f t="shared" si="2"/>
        <v>0.03466812451</v>
      </c>
    </row>
    <row r="1650">
      <c r="A1650" s="4">
        <v>1650.0</v>
      </c>
      <c r="B1650" s="5" t="s">
        <v>8995</v>
      </c>
      <c r="C1650" s="5" t="s">
        <v>8996</v>
      </c>
      <c r="D1650" s="5" t="s">
        <v>8997</v>
      </c>
      <c r="E1650" s="6" t="s">
        <v>24</v>
      </c>
      <c r="F1650" s="6" t="s">
        <v>8998</v>
      </c>
      <c r="G1650" s="3" t="str">
        <f>IFERROR(__xludf.DUMMYFUNCTION("REGEXREPLACE(
D1650,
""([一-龯々]+)\[([^\]]+)\]"",
""&lt;ruby&gt;$1&lt;rt&gt;$2&lt;/rt&gt;&lt;/ruby&gt;""
)&amp;""&lt;br&gt;&lt;div class=""""audio""""&gt;[sound:""&amp;C1650&amp;"".mp3]&lt;/div&gt;"""),"&lt;ruby&gt;閉&lt;rt&gt;し&lt;/rt&gt;&lt;/ruby&gt;まる&lt;br&gt;&lt;div class=""audio""&gt;[sound:しまる.mp3]&lt;/div&gt;")</f>
        <v>&lt;ruby&gt;閉&lt;rt&gt;し&lt;/rt&gt;&lt;/ruby&gt;まる&lt;br&gt;&lt;div class="audio"&gt;[sound:しまる.mp3]&lt;/div&gt;</v>
      </c>
      <c r="H1650" s="3" t="str">
        <f t="shared" si="1"/>
        <v>(v): đóng lại</v>
      </c>
      <c r="I1650" s="6" t="s">
        <v>8999</v>
      </c>
      <c r="J1650" s="6" t="s">
        <v>9000</v>
      </c>
      <c r="K1650" s="7">
        <f t="shared" si="2"/>
        <v>0.7601217823</v>
      </c>
    </row>
    <row r="1651">
      <c r="A1651" s="4">
        <v>1651.0</v>
      </c>
      <c r="B1651" s="5" t="s">
        <v>9001</v>
      </c>
      <c r="C1651" s="5" t="s">
        <v>9002</v>
      </c>
      <c r="D1651" s="5" t="s">
        <v>9003</v>
      </c>
      <c r="E1651" s="6" t="s">
        <v>24</v>
      </c>
      <c r="F1651" s="6" t="s">
        <v>9004</v>
      </c>
      <c r="G1651" s="3" t="str">
        <f>IFERROR(__xludf.DUMMYFUNCTION("REGEXREPLACE(
D1651,
""([一-龯々]+)\[([^\]]+)\]"",
""&lt;ruby&gt;$1&lt;rt&gt;$2&lt;/rt&gt;&lt;/ruby&gt;""
)&amp;""&lt;br&gt;&lt;div class=""""audio""""&gt;[sound:""&amp;C1651&amp;"".mp3]&lt;/div&gt;"""),"&lt;ruby&gt;間違&lt;rt&gt;まちが&lt;/rt&gt;&lt;/ruby&gt;える&lt;br&gt;&lt;div class=""audio""&gt;[sound:まちがえる.mp3]&lt;/div&gt;")</f>
        <v>&lt;ruby&gt;間違&lt;rt&gt;まちが&lt;/rt&gt;&lt;/ruby&gt;える&lt;br&gt;&lt;div class="audio"&gt;[sound:まちがえる.mp3]&lt;/div&gt;</v>
      </c>
      <c r="H1651" s="3" t="str">
        <f t="shared" si="1"/>
        <v>(v): nhầm lẫn</v>
      </c>
      <c r="I1651" s="6" t="s">
        <v>9005</v>
      </c>
      <c r="J1651" s="6" t="s">
        <v>9006</v>
      </c>
      <c r="K1651" s="7">
        <f t="shared" si="2"/>
        <v>0.9884189456</v>
      </c>
    </row>
    <row r="1652">
      <c r="A1652" s="4">
        <v>1652.0</v>
      </c>
      <c r="B1652" s="5" t="s">
        <v>9007</v>
      </c>
      <c r="C1652" s="5" t="s">
        <v>9008</v>
      </c>
      <c r="D1652" s="5" t="s">
        <v>9009</v>
      </c>
      <c r="E1652" s="6" t="s">
        <v>74</v>
      </c>
      <c r="F1652" s="6" t="s">
        <v>1250</v>
      </c>
      <c r="G1652" s="3" t="str">
        <f>IFERROR(__xludf.DUMMYFUNCTION("REGEXREPLACE(
D1652,
""([一-龯々]+)\[([^\]]+)\]"",
""&lt;ruby&gt;$1&lt;rt&gt;$2&lt;/rt&gt;&lt;/ruby&gt;""
)&amp;""&lt;br&gt;&lt;div class=""""audio""""&gt;[sound:""&amp;C1652&amp;"".mp3]&lt;/div&gt;"""),"&lt;ruby&gt;点&lt;rt&gt;てん&lt;/rt&gt;&lt;/ruby&gt;&lt;br&gt;&lt;div class=""audio""&gt;[sound:てん.mp3]&lt;/div&gt;")</f>
        <v>&lt;ruby&gt;点&lt;rt&gt;てん&lt;/rt&gt;&lt;/ruby&gt;&lt;br&gt;&lt;div class="audio"&gt;[sound:てん.mp3]&lt;/div&gt;</v>
      </c>
      <c r="H1652" s="3" t="str">
        <f t="shared" si="1"/>
        <v>(n): điểm</v>
      </c>
      <c r="I1652" s="6" t="s">
        <v>9010</v>
      </c>
      <c r="J1652" s="6" t="s">
        <v>9011</v>
      </c>
      <c r="K1652" s="7">
        <f t="shared" si="2"/>
        <v>0.2217868979</v>
      </c>
    </row>
    <row r="1653">
      <c r="A1653" s="4">
        <v>1653.0</v>
      </c>
      <c r="B1653" s="5" t="s">
        <v>9012</v>
      </c>
      <c r="C1653" s="5" t="s">
        <v>9013</v>
      </c>
      <c r="D1653" s="5" t="s">
        <v>9014</v>
      </c>
      <c r="E1653" s="6" t="s">
        <v>74</v>
      </c>
      <c r="F1653" s="6" t="s">
        <v>9015</v>
      </c>
      <c r="G1653" s="3" t="str">
        <f>IFERROR(__xludf.DUMMYFUNCTION("REGEXREPLACE(
D1653,
""([一-龯々]+)\[([^\]]+)\]"",
""&lt;ruby&gt;$1&lt;rt&gt;$2&lt;/rt&gt;&lt;/ruby&gt;""
)&amp;""&lt;br&gt;&lt;div class=""""audio""""&gt;[sound:""&amp;C1653&amp;"".mp3]&lt;/div&gt;"""),"&lt;ruby&gt;病気&lt;rt&gt;びょうき&lt;/rt&gt;&lt;/ruby&gt;&lt;br&gt;&lt;div class=""audio""&gt;[sound:びょうき.mp3]&lt;/div&gt;")</f>
        <v>&lt;ruby&gt;病気&lt;rt&gt;びょうき&lt;/rt&gt;&lt;/ruby&gt;&lt;br&gt;&lt;div class="audio"&gt;[sound:びょうき.mp3]&lt;/div&gt;</v>
      </c>
      <c r="H1653" s="3" t="str">
        <f t="shared" si="1"/>
        <v>(n): bệnh</v>
      </c>
      <c r="I1653" s="6" t="s">
        <v>9016</v>
      </c>
      <c r="J1653" s="6" t="s">
        <v>9017</v>
      </c>
      <c r="K1653" s="7">
        <f t="shared" si="2"/>
        <v>0.08533416719</v>
      </c>
    </row>
    <row r="1654">
      <c r="A1654" s="4">
        <v>1654.0</v>
      </c>
      <c r="B1654" s="5" t="s">
        <v>9018</v>
      </c>
      <c r="C1654" s="5" t="s">
        <v>9019</v>
      </c>
      <c r="D1654" s="5" t="s">
        <v>9020</v>
      </c>
      <c r="E1654" s="6" t="s">
        <v>24</v>
      </c>
      <c r="F1654" s="6" t="s">
        <v>9021</v>
      </c>
      <c r="G1654" s="3" t="str">
        <f>IFERROR(__xludf.DUMMYFUNCTION("REGEXREPLACE(
D1654,
""([一-龯々]+)\[([^\]]+)\]"",
""&lt;ruby&gt;$1&lt;rt&gt;$2&lt;/rt&gt;&lt;/ruby&gt;""
)&amp;""&lt;br&gt;&lt;div class=""""audio""""&gt;[sound:""&amp;C1654&amp;"".mp3]&lt;/div&gt;"""),"&lt;ruby&gt;中止&lt;rt&gt;ちゅうし&lt;/rt&gt;&lt;/ruby&gt;&lt;br&gt;&lt;div class=""audio""&gt;[sound:ちゅうし.mp3]&lt;/div&gt;")</f>
        <v>&lt;ruby&gt;中止&lt;rt&gt;ちゅうし&lt;/rt&gt;&lt;/ruby&gt;&lt;br&gt;&lt;div class="audio"&gt;[sound:ちゅうし.mp3]&lt;/div&gt;</v>
      </c>
      <c r="H1654" s="3" t="str">
        <f t="shared" si="1"/>
        <v>(v): hủy</v>
      </c>
      <c r="I1654" s="6" t="s">
        <v>9022</v>
      </c>
      <c r="J1654" s="6" t="s">
        <v>9023</v>
      </c>
      <c r="K1654" s="7">
        <f t="shared" si="2"/>
        <v>0.1902468032</v>
      </c>
    </row>
    <row r="1655">
      <c r="A1655" s="4">
        <v>1655.0</v>
      </c>
      <c r="B1655" s="5" t="s">
        <v>9024</v>
      </c>
      <c r="C1655" s="5" t="s">
        <v>9025</v>
      </c>
      <c r="D1655" s="5" t="s">
        <v>9026</v>
      </c>
      <c r="E1655" s="6" t="s">
        <v>24</v>
      </c>
      <c r="F1655" s="6" t="s">
        <v>9027</v>
      </c>
      <c r="G1655" s="3" t="str">
        <f>IFERROR(__xludf.DUMMYFUNCTION("REGEXREPLACE(
D1655,
""([一-龯々]+)\[([^\]]+)\]"",
""&lt;ruby&gt;$1&lt;rt&gt;$2&lt;/rt&gt;&lt;/ruby&gt;""
)&amp;""&lt;br&gt;&lt;div class=""""audio""""&gt;[sound:""&amp;C1655&amp;"".mp3]&lt;/div&gt;"""),"&lt;ruby&gt;愛&lt;rt&gt;あい&lt;/rt&gt;&lt;/ruby&gt;する&lt;br&gt;&lt;div class=""audio""&gt;[sound:あいする.mp3]&lt;/div&gt;")</f>
        <v>&lt;ruby&gt;愛&lt;rt&gt;あい&lt;/rt&gt;&lt;/ruby&gt;する&lt;br&gt;&lt;div class="audio"&gt;[sound:あいする.mp3]&lt;/div&gt;</v>
      </c>
      <c r="H1655" s="3" t="str">
        <f t="shared" si="1"/>
        <v>(v): yêu thương</v>
      </c>
      <c r="I1655" s="6" t="s">
        <v>9028</v>
      </c>
      <c r="J1655" s="6" t="s">
        <v>9029</v>
      </c>
      <c r="K1655" s="7">
        <f t="shared" si="2"/>
        <v>0.5307402507</v>
      </c>
    </row>
    <row r="1656">
      <c r="A1656" s="4">
        <v>1656.0</v>
      </c>
      <c r="B1656" s="5" t="s">
        <v>9030</v>
      </c>
      <c r="C1656" s="5" t="s">
        <v>9031</v>
      </c>
      <c r="D1656" s="5" t="s">
        <v>9032</v>
      </c>
      <c r="E1656" s="6" t="s">
        <v>24</v>
      </c>
      <c r="F1656" s="6" t="s">
        <v>9033</v>
      </c>
      <c r="G1656" s="3" t="str">
        <f>IFERROR(__xludf.DUMMYFUNCTION("REGEXREPLACE(
D1656,
""([一-龯々]+)\[([^\]]+)\]"",
""&lt;ruby&gt;$1&lt;rt&gt;$2&lt;/rt&gt;&lt;/ruby&gt;""
)&amp;""&lt;br&gt;&lt;div class=""""audio""""&gt;[sound:""&amp;C1656&amp;"".mp3]&lt;/div&gt;"""),"&lt;ruby&gt;消&lt;rt&gt;け&lt;/rt&gt;&lt;/ruby&gt;す&lt;br&gt;&lt;div class=""audio""&gt;[sound:けす.mp3]&lt;/div&gt;")</f>
        <v>&lt;ruby&gt;消&lt;rt&gt;け&lt;/rt&gt;&lt;/ruby&gt;す&lt;br&gt;&lt;div class="audio"&gt;[sound:けす.mp3]&lt;/div&gt;</v>
      </c>
      <c r="H1656" s="3" t="str">
        <f t="shared" si="1"/>
        <v>(v): tắt</v>
      </c>
      <c r="I1656" s="6" t="s">
        <v>9034</v>
      </c>
      <c r="J1656" s="6" t="s">
        <v>9035</v>
      </c>
      <c r="K1656" s="7">
        <f t="shared" si="2"/>
        <v>0.8948025918</v>
      </c>
    </row>
    <row r="1657">
      <c r="A1657" s="4">
        <v>1657.0</v>
      </c>
      <c r="B1657" s="5" t="s">
        <v>9036</v>
      </c>
      <c r="C1657" s="5" t="s">
        <v>9037</v>
      </c>
      <c r="D1657" s="5" t="s">
        <v>9038</v>
      </c>
      <c r="E1657" s="6" t="s">
        <v>74</v>
      </c>
      <c r="F1657" s="6" t="s">
        <v>1969</v>
      </c>
      <c r="G1657" s="3" t="str">
        <f>IFERROR(__xludf.DUMMYFUNCTION("REGEXREPLACE(
D1657,
""([一-龯々]+)\[([^\]]+)\]"",
""&lt;ruby&gt;$1&lt;rt&gt;$2&lt;/rt&gt;&lt;/ruby&gt;""
)&amp;""&lt;br&gt;&lt;div class=""""audio""""&gt;[sound:""&amp;C1657&amp;"".mp3]&lt;/div&gt;"""),"&lt;ruby&gt;茶&lt;rt&gt;ちゃ&lt;/rt&gt;&lt;/ruby&gt;&lt;br&gt;&lt;div class=""audio""&gt;[sound:ちゃ.mp3]&lt;/div&gt;")</f>
        <v>&lt;ruby&gt;茶&lt;rt&gt;ちゃ&lt;/rt&gt;&lt;/ruby&gt;&lt;br&gt;&lt;div class="audio"&gt;[sound:ちゃ.mp3]&lt;/div&gt;</v>
      </c>
      <c r="H1657" s="3" t="str">
        <f t="shared" si="1"/>
        <v>(n): trà</v>
      </c>
      <c r="I1657" s="6" t="s">
        <v>9039</v>
      </c>
      <c r="J1657" s="6" t="s">
        <v>9040</v>
      </c>
      <c r="K1657" s="7">
        <f t="shared" si="2"/>
        <v>0.9685868238</v>
      </c>
    </row>
    <row r="1658">
      <c r="A1658" s="4">
        <v>1658.0</v>
      </c>
      <c r="B1658" s="5" t="s">
        <v>9041</v>
      </c>
      <c r="C1658" s="5" t="s">
        <v>9042</v>
      </c>
      <c r="D1658" s="5" t="s">
        <v>9043</v>
      </c>
      <c r="E1658" s="6" t="s">
        <v>74</v>
      </c>
      <c r="F1658" s="6" t="s">
        <v>1839</v>
      </c>
      <c r="G1658" s="3" t="str">
        <f>IFERROR(__xludf.DUMMYFUNCTION("REGEXREPLACE(
D1658,
""([一-龯々]+)\[([^\]]+)\]"",
""&lt;ruby&gt;$1&lt;rt&gt;$2&lt;/rt&gt;&lt;/ruby&gt;""
)&amp;""&lt;br&gt;&lt;div class=""""audio""""&gt;[sound:""&amp;C1658&amp;"".mp3]&lt;/div&gt;"""),"&lt;ruby&gt;販売&lt;rt&gt;はんばい&lt;/rt&gt;&lt;/ruby&gt;&lt;br&gt;&lt;div class=""audio""&gt;[sound:はんばい.mp3]&lt;/div&gt;")</f>
        <v>&lt;ruby&gt;販売&lt;rt&gt;はんばい&lt;/rt&gt;&lt;/ruby&gt;&lt;br&gt;&lt;div class="audio"&gt;[sound:はんばい.mp3]&lt;/div&gt;</v>
      </c>
      <c r="H1658" s="3" t="str">
        <f t="shared" si="1"/>
        <v>(n): bán</v>
      </c>
      <c r="I1658" s="6" t="s">
        <v>9044</v>
      </c>
      <c r="J1658" s="6" t="s">
        <v>9045</v>
      </c>
      <c r="K1658" s="7">
        <f t="shared" si="2"/>
        <v>0.5628838615</v>
      </c>
    </row>
    <row r="1659">
      <c r="A1659" s="4">
        <v>1659.0</v>
      </c>
      <c r="B1659" s="5" t="s">
        <v>9046</v>
      </c>
      <c r="C1659" s="5" t="s">
        <v>9047</v>
      </c>
      <c r="D1659" s="5" t="s">
        <v>9048</v>
      </c>
      <c r="E1659" s="6" t="s">
        <v>24</v>
      </c>
      <c r="F1659" s="6" t="s">
        <v>9049</v>
      </c>
      <c r="G1659" s="3" t="str">
        <f>IFERROR(__xludf.DUMMYFUNCTION("REGEXREPLACE(
D1659,
""([一-龯々]+)\[([^\]]+)\]"",
""&lt;ruby&gt;$1&lt;rt&gt;$2&lt;/rt&gt;&lt;/ruby&gt;""
)&amp;""&lt;br&gt;&lt;div class=""""audio""""&gt;[sound:""&amp;C1659&amp;"".mp3]&lt;/div&gt;"""),"&lt;ruby&gt;遅&lt;rt&gt;おく&lt;/rt&gt;&lt;/ruby&gt;れる&lt;br&gt;&lt;div class=""audio""&gt;[sound:おくれる.mp3]&lt;/div&gt;")</f>
        <v>&lt;ruby&gt;遅&lt;rt&gt;おく&lt;/rt&gt;&lt;/ruby&gt;れる&lt;br&gt;&lt;div class="audio"&gt;[sound:おくれる.mp3]&lt;/div&gt;</v>
      </c>
      <c r="H1659" s="3" t="str">
        <f t="shared" si="1"/>
        <v>(v): trễ</v>
      </c>
      <c r="I1659" s="6" t="s">
        <v>9050</v>
      </c>
      <c r="J1659" s="6" t="s">
        <v>9051</v>
      </c>
      <c r="K1659" s="7">
        <f t="shared" si="2"/>
        <v>0.305002899</v>
      </c>
    </row>
    <row r="1660">
      <c r="A1660" s="4">
        <v>1660.0</v>
      </c>
      <c r="B1660" s="5" t="s">
        <v>9052</v>
      </c>
      <c r="C1660" s="5" t="s">
        <v>9053</v>
      </c>
      <c r="D1660" s="5" t="s">
        <v>9054</v>
      </c>
      <c r="E1660" s="6" t="s">
        <v>74</v>
      </c>
      <c r="F1660" s="6" t="s">
        <v>9055</v>
      </c>
      <c r="G1660" s="3" t="str">
        <f>IFERROR(__xludf.DUMMYFUNCTION("REGEXREPLACE(
D1660,
""([一-龯々]+)\[([^\]]+)\]"",
""&lt;ruby&gt;$1&lt;rt&gt;$2&lt;/rt&gt;&lt;/ruby&gt;""
)&amp;""&lt;br&gt;&lt;div class=""""audio""""&gt;[sound:""&amp;C1660&amp;"".mp3]&lt;/div&gt;"""),"&lt;ruby&gt;鉄&lt;rt&gt;てつ&lt;/rt&gt;&lt;/ruby&gt;&lt;br&gt;&lt;div class=""audio""&gt;[sound:てつ.mp3]&lt;/div&gt;")</f>
        <v>&lt;ruby&gt;鉄&lt;rt&gt;てつ&lt;/rt&gt;&lt;/ruby&gt;&lt;br&gt;&lt;div class="audio"&gt;[sound:てつ.mp3]&lt;/div&gt;</v>
      </c>
      <c r="H1660" s="3" t="str">
        <f t="shared" si="1"/>
        <v>(n): sắt</v>
      </c>
      <c r="I1660" s="6" t="s">
        <v>9056</v>
      </c>
      <c r="J1660" s="6" t="s">
        <v>9057</v>
      </c>
      <c r="K1660" s="7">
        <f t="shared" si="2"/>
        <v>0.05461596321</v>
      </c>
    </row>
    <row r="1661">
      <c r="A1661" s="4">
        <v>1661.0</v>
      </c>
      <c r="B1661" s="5" t="s">
        <v>9058</v>
      </c>
      <c r="C1661" s="5" t="s">
        <v>9059</v>
      </c>
      <c r="D1661" s="5" t="s">
        <v>9060</v>
      </c>
      <c r="E1661" s="6" t="s">
        <v>24</v>
      </c>
      <c r="F1661" s="6" t="s">
        <v>6551</v>
      </c>
      <c r="G1661" s="3" t="str">
        <f>IFERROR(__xludf.DUMMYFUNCTION("REGEXREPLACE(
D1661,
""([一-龯々]+)\[([^\]]+)\]"",
""&lt;ruby&gt;$1&lt;rt&gt;$2&lt;/rt&gt;&lt;/ruby&gt;""
)&amp;""&lt;br&gt;&lt;div class=""""audio""""&gt;[sound:""&amp;C1661&amp;"".mp3]&lt;/div&gt;"""),"&lt;ruby&gt;抱&lt;rt&gt;いだ&lt;/rt&gt;&lt;/ruby&gt;く&lt;br&gt;&lt;div class=""audio""&gt;[sound:いだく.mp3]&lt;/div&gt;")</f>
        <v>&lt;ruby&gt;抱&lt;rt&gt;いだ&lt;/rt&gt;&lt;/ruby&gt;く&lt;br&gt;&lt;div class="audio"&gt;[sound:いだく.mp3]&lt;/div&gt;</v>
      </c>
      <c r="H1661" s="3" t="str">
        <f t="shared" si="1"/>
        <v>(v): ôm</v>
      </c>
      <c r="I1661" s="6" t="s">
        <v>9061</v>
      </c>
      <c r="J1661" s="6" t="s">
        <v>9062</v>
      </c>
      <c r="K1661" s="7">
        <f t="shared" si="2"/>
        <v>0.8597531591</v>
      </c>
    </row>
    <row r="1662">
      <c r="A1662" s="4">
        <v>1662.0</v>
      </c>
      <c r="B1662" s="5" t="s">
        <v>9063</v>
      </c>
      <c r="C1662" s="5" t="s">
        <v>9064</v>
      </c>
      <c r="D1662" s="5" t="s">
        <v>9063</v>
      </c>
      <c r="E1662" s="6" t="s">
        <v>74</v>
      </c>
      <c r="F1662" s="6" t="s">
        <v>8815</v>
      </c>
      <c r="G1662" s="3" t="str">
        <f>IFERROR(__xludf.DUMMYFUNCTION("REGEXREPLACE(
D1662,
""([一-龯々]+)\[([^\]]+)\]"",
""&lt;ruby&gt;$1&lt;rt&gt;$2&lt;/rt&gt;&lt;/ruby&gt;""
)&amp;""&lt;br&gt;&lt;div class=""""audio""""&gt;[sound:""&amp;C1662&amp;"".mp3]&lt;/div&gt;"""),"ポケット&lt;br&gt;&lt;div class=""audio""&gt;[sound:ぽけっと.mp3]&lt;/div&gt;")</f>
        <v>ポケット&lt;br&gt;&lt;div class="audio"&gt;[sound:ぽけっと.mp3]&lt;/div&gt;</v>
      </c>
      <c r="H1662" s="3" t="str">
        <f t="shared" si="1"/>
        <v>(n): túi</v>
      </c>
      <c r="I1662" s="6" t="s">
        <v>9065</v>
      </c>
      <c r="J1662" s="6" t="s">
        <v>9066</v>
      </c>
      <c r="K1662" s="7">
        <f t="shared" si="2"/>
        <v>0.5699749333</v>
      </c>
    </row>
    <row r="1663">
      <c r="A1663" s="4">
        <v>1663.0</v>
      </c>
      <c r="B1663" s="5" t="s">
        <v>9067</v>
      </c>
      <c r="C1663" s="5" t="s">
        <v>9068</v>
      </c>
      <c r="D1663" s="5" t="s">
        <v>9069</v>
      </c>
      <c r="E1663" s="6" t="s">
        <v>24</v>
      </c>
      <c r="F1663" s="6" t="s">
        <v>9070</v>
      </c>
      <c r="G1663" s="3" t="str">
        <f>IFERROR(__xludf.DUMMYFUNCTION("REGEXREPLACE(
D1663,
""([一-龯々]+)\[([^\]]+)\]"",
""&lt;ruby&gt;$1&lt;rt&gt;$2&lt;/rt&gt;&lt;/ruby&gt;""
)&amp;""&lt;br&gt;&lt;div class=""""audio""""&gt;[sound:""&amp;C1663&amp;"".mp3]&lt;/div&gt;"""),"&lt;ruby&gt;配&lt;rt&gt;くば&lt;/rt&gt;&lt;/ruby&gt;る&lt;br&gt;&lt;div class=""audio""&gt;[sound:くばる.mp3]&lt;/div&gt;")</f>
        <v>&lt;ruby&gt;配&lt;rt&gt;くば&lt;/rt&gt;&lt;/ruby&gt;る&lt;br&gt;&lt;div class="audio"&gt;[sound:くばる.mp3]&lt;/div&gt;</v>
      </c>
      <c r="H1663" s="3" t="str">
        <f t="shared" si="1"/>
        <v>(v): phân phát</v>
      </c>
      <c r="I1663" s="6" t="s">
        <v>9071</v>
      </c>
      <c r="J1663" s="6" t="s">
        <v>9072</v>
      </c>
      <c r="K1663" s="7">
        <f t="shared" si="2"/>
        <v>0.9316683998</v>
      </c>
    </row>
    <row r="1664">
      <c r="A1664" s="4">
        <v>1664.0</v>
      </c>
      <c r="B1664" s="5" t="s">
        <v>9073</v>
      </c>
      <c r="C1664" s="5" t="s">
        <v>9074</v>
      </c>
      <c r="D1664" s="5" t="s">
        <v>9073</v>
      </c>
      <c r="E1664" s="6" t="s">
        <v>74</v>
      </c>
      <c r="F1664" s="6" t="s">
        <v>9075</v>
      </c>
      <c r="G1664" s="3" t="str">
        <f>IFERROR(__xludf.DUMMYFUNCTION("REGEXREPLACE(
D1664,
""([一-龯々]+)\[([^\]]+)\]"",
""&lt;ruby&gt;$1&lt;rt&gt;$2&lt;/rt&gt;&lt;/ruby&gt;""
)&amp;""&lt;br&gt;&lt;div class=""""audio""""&gt;[sound:""&amp;C1664&amp;"".mp3]&lt;/div&gt;"""),"ランチ&lt;br&gt;&lt;div class=""audio""&gt;[sound:らんち.mp3]&lt;/div&gt;")</f>
        <v>ランチ&lt;br&gt;&lt;div class="audio"&gt;[sound:らんち.mp3]&lt;/div&gt;</v>
      </c>
      <c r="H1664" s="3" t="str">
        <f t="shared" si="1"/>
        <v>(n): bữa trưa</v>
      </c>
      <c r="I1664" s="6" t="s">
        <v>9076</v>
      </c>
      <c r="J1664" s="6" t="s">
        <v>9077</v>
      </c>
      <c r="K1664" s="7">
        <f t="shared" si="2"/>
        <v>0.3160428364</v>
      </c>
    </row>
    <row r="1665">
      <c r="A1665" s="4">
        <v>1665.0</v>
      </c>
      <c r="B1665" s="5" t="s">
        <v>9078</v>
      </c>
      <c r="C1665" s="5" t="s">
        <v>9079</v>
      </c>
      <c r="D1665" s="5" t="s">
        <v>9080</v>
      </c>
      <c r="E1665" s="6" t="s">
        <v>74</v>
      </c>
      <c r="F1665" s="6" t="s">
        <v>9081</v>
      </c>
      <c r="G1665" s="3" t="str">
        <f>IFERROR(__xludf.DUMMYFUNCTION("REGEXREPLACE(
D1665,
""([一-龯々]+)\[([^\]]+)\]"",
""&lt;ruby&gt;$1&lt;rt&gt;$2&lt;/rt&gt;&lt;/ruby&gt;""
)&amp;""&lt;br&gt;&lt;div class=""""audio""""&gt;[sound:""&amp;C1665&amp;"".mp3]&lt;/div&gt;"""),"&lt;ruby&gt;息&lt;rt&gt;いき&lt;/rt&gt;&lt;/ruby&gt;&lt;br&gt;&lt;div class=""audio""&gt;[sound:いき.mp3]&lt;/div&gt;")</f>
        <v>&lt;ruby&gt;息&lt;rt&gt;いき&lt;/rt&gt;&lt;/ruby&gt;&lt;br&gt;&lt;div class="audio"&gt;[sound:いき.mp3]&lt;/div&gt;</v>
      </c>
      <c r="H1665" s="3" t="str">
        <f t="shared" si="1"/>
        <v>(n): hơi thở</v>
      </c>
      <c r="I1665" s="6" t="s">
        <v>9082</v>
      </c>
      <c r="J1665" s="6" t="s">
        <v>9083</v>
      </c>
      <c r="K1665" s="7">
        <f t="shared" si="2"/>
        <v>0.5012590659</v>
      </c>
    </row>
    <row r="1666">
      <c r="A1666" s="4">
        <v>1666.0</v>
      </c>
      <c r="B1666" s="5" t="s">
        <v>9084</v>
      </c>
      <c r="C1666" s="5" t="s">
        <v>9085</v>
      </c>
      <c r="D1666" s="5" t="s">
        <v>9086</v>
      </c>
      <c r="E1666" s="6" t="s">
        <v>74</v>
      </c>
      <c r="F1666" s="6" t="s">
        <v>9087</v>
      </c>
      <c r="G1666" s="3" t="str">
        <f>IFERROR(__xludf.DUMMYFUNCTION("REGEXREPLACE(
D1666,
""([一-龯々]+)\[([^\]]+)\]"",
""&lt;ruby&gt;$1&lt;rt&gt;$2&lt;/rt&gt;&lt;/ruby&gt;""
)&amp;""&lt;br&gt;&lt;div class=""""audio""""&gt;[sound:""&amp;C1666&amp;"".mp3]&lt;/div&gt;"""),"&lt;ruby&gt;課題&lt;rt&gt;かだい&lt;/rt&gt;&lt;/ruby&gt;&lt;br&gt;&lt;div class=""audio""&gt;[sound:かだい.mp3]&lt;/div&gt;")</f>
        <v>&lt;ruby&gt;課題&lt;rt&gt;かだい&lt;/rt&gt;&lt;/ruby&gt;&lt;br&gt;&lt;div class="audio"&gt;[sound:かだい.mp3]&lt;/div&gt;</v>
      </c>
      <c r="H1666" s="3" t="str">
        <f t="shared" si="1"/>
        <v>(n): bài tập</v>
      </c>
      <c r="I1666" s="6" t="s">
        <v>9088</v>
      </c>
      <c r="J1666" s="6" t="s">
        <v>9089</v>
      </c>
      <c r="K1666" s="7">
        <f t="shared" si="2"/>
        <v>0.9854584755</v>
      </c>
    </row>
    <row r="1667">
      <c r="A1667" s="4">
        <v>1667.0</v>
      </c>
      <c r="B1667" s="5" t="s">
        <v>9090</v>
      </c>
      <c r="C1667" s="5" t="s">
        <v>9091</v>
      </c>
      <c r="D1667" s="5" t="s">
        <v>9092</v>
      </c>
      <c r="E1667" s="6" t="s">
        <v>74</v>
      </c>
      <c r="F1667" s="6" t="s">
        <v>9093</v>
      </c>
      <c r="G1667" s="3" t="str">
        <f>IFERROR(__xludf.DUMMYFUNCTION("REGEXREPLACE(
D1667,
""([一-龯々]+)\[([^\]]+)\]"",
""&lt;ruby&gt;$1&lt;rt&gt;$2&lt;/rt&gt;&lt;/ruby&gt;""
)&amp;""&lt;br&gt;&lt;div class=""""audio""""&gt;[sound:""&amp;C1667&amp;"".mp3]&lt;/div&gt;"""),"&lt;ruby&gt;間違&lt;rt&gt;まちが&lt;/rt&gt;&lt;/ruby&gt;い&lt;br&gt;&lt;div class=""audio""&gt;[sound:まちがい.mp3]&lt;/div&gt;")</f>
        <v>&lt;ruby&gt;間違&lt;rt&gt;まちが&lt;/rt&gt;&lt;/ruby&gt;い&lt;br&gt;&lt;div class="audio"&gt;[sound:まちがい.mp3]&lt;/div&gt;</v>
      </c>
      <c r="H1667" s="3" t="str">
        <f t="shared" si="1"/>
        <v>(n): sai lầm</v>
      </c>
      <c r="I1667" s="6" t="s">
        <v>9094</v>
      </c>
      <c r="J1667" s="6" t="s">
        <v>9095</v>
      </c>
      <c r="K1667" s="7">
        <f t="shared" si="2"/>
        <v>0.7373122165</v>
      </c>
    </row>
    <row r="1668">
      <c r="A1668" s="4">
        <v>1668.0</v>
      </c>
      <c r="B1668" s="5" t="s">
        <v>9096</v>
      </c>
      <c r="C1668" s="5" t="s">
        <v>9097</v>
      </c>
      <c r="D1668" s="5" t="s">
        <v>9096</v>
      </c>
      <c r="E1668" s="6" t="s">
        <v>74</v>
      </c>
      <c r="F1668" s="6" t="s">
        <v>9098</v>
      </c>
      <c r="G1668" s="3" t="str">
        <f>IFERROR(__xludf.DUMMYFUNCTION("REGEXREPLACE(
D1668,
""([一-龯々]+)\[([^\]]+)\]"",
""&lt;ruby&gt;$1&lt;rt&gt;$2&lt;/rt&gt;&lt;/ruby&gt;""
)&amp;""&lt;br&gt;&lt;div class=""""audio""""&gt;[sound:""&amp;C1668&amp;"".mp3]&lt;/div&gt;"""),"プリント&lt;br&gt;&lt;div class=""audio""&gt;[sound:ぷりんと.mp3]&lt;/div&gt;")</f>
        <v>プリント&lt;br&gt;&lt;div class="audio"&gt;[sound:ぷりんと.mp3]&lt;/div&gt;</v>
      </c>
      <c r="H1668" s="3" t="str">
        <f t="shared" si="1"/>
        <v>(n): bản in</v>
      </c>
      <c r="I1668" s="6" t="s">
        <v>9099</v>
      </c>
      <c r="J1668" s="6" t="s">
        <v>9100</v>
      </c>
      <c r="K1668" s="7">
        <f t="shared" si="2"/>
        <v>0.5700283749</v>
      </c>
    </row>
    <row r="1669">
      <c r="A1669" s="4">
        <v>1669.0</v>
      </c>
      <c r="B1669" s="5" t="s">
        <v>9101</v>
      </c>
      <c r="C1669" s="5" t="s">
        <v>9102</v>
      </c>
      <c r="D1669" s="5" t="s">
        <v>9101</v>
      </c>
      <c r="E1669" s="6" t="s">
        <v>74</v>
      </c>
      <c r="F1669" s="6" t="s">
        <v>9103</v>
      </c>
      <c r="G1669" s="3" t="str">
        <f>IFERROR(__xludf.DUMMYFUNCTION("REGEXREPLACE(
D1669,
""([一-龯々]+)\[([^\]]+)\]"",
""&lt;ruby&gt;$1&lt;rt&gt;$2&lt;/rt&gt;&lt;/ruby&gt;""
)&amp;""&lt;br&gt;&lt;div class=""""audio""""&gt;[sound:""&amp;C1669&amp;"".mp3]&lt;/div&gt;"""),"ボタン&lt;br&gt;&lt;div class=""audio""&gt;[sound:ぼたん.mp3]&lt;/div&gt;")</f>
        <v>ボタン&lt;br&gt;&lt;div class="audio"&gt;[sound:ぼたん.mp3]&lt;/div&gt;</v>
      </c>
      <c r="H1669" s="3" t="str">
        <f t="shared" si="1"/>
        <v>(n): cúc áo</v>
      </c>
      <c r="I1669" s="6" t="s">
        <v>9104</v>
      </c>
      <c r="J1669" s="6" t="s">
        <v>9105</v>
      </c>
      <c r="K1669" s="7">
        <f t="shared" si="2"/>
        <v>0.174517961</v>
      </c>
    </row>
    <row r="1670">
      <c r="A1670" s="4">
        <v>1670.0</v>
      </c>
      <c r="B1670" s="5" t="s">
        <v>9106</v>
      </c>
      <c r="C1670" s="5" t="s">
        <v>9107</v>
      </c>
      <c r="D1670" s="5" t="s">
        <v>9108</v>
      </c>
      <c r="E1670" s="6" t="s">
        <v>74</v>
      </c>
      <c r="F1670" s="6" t="s">
        <v>9109</v>
      </c>
      <c r="G1670" s="3" t="str">
        <f>IFERROR(__xludf.DUMMYFUNCTION("REGEXREPLACE(
D1670,
""([一-龯々]+)\[([^\]]+)\]"",
""&lt;ruby&gt;$1&lt;rt&gt;$2&lt;/rt&gt;&lt;/ruby&gt;""
)&amp;""&lt;br&gt;&lt;div class=""""audio""""&gt;[sound:""&amp;C1670&amp;"".mp3]&lt;/div&gt;"""),"&lt;ruby&gt;運転&lt;rt&gt;うんてん&lt;/rt&gt;&lt;/ruby&gt;&lt;br&gt;&lt;div class=""audio""&gt;[sound:うんてん.mp3]&lt;/div&gt;")</f>
        <v>&lt;ruby&gt;運転&lt;rt&gt;うんてん&lt;/rt&gt;&lt;/ruby&gt;&lt;br&gt;&lt;div class="audio"&gt;[sound:うんてん.mp3]&lt;/div&gt;</v>
      </c>
      <c r="H1670" s="3" t="str">
        <f t="shared" si="1"/>
        <v>(n): lái xe</v>
      </c>
      <c r="I1670" s="6" t="s">
        <v>9110</v>
      </c>
      <c r="J1670" s="6" t="s">
        <v>9111</v>
      </c>
      <c r="K1670" s="7">
        <f t="shared" si="2"/>
        <v>0.6861313025</v>
      </c>
    </row>
    <row r="1671">
      <c r="A1671" s="4">
        <v>1671.0</v>
      </c>
      <c r="B1671" s="5" t="s">
        <v>9112</v>
      </c>
      <c r="C1671" s="5" t="s">
        <v>9113</v>
      </c>
      <c r="D1671" s="5" t="s">
        <v>9114</v>
      </c>
      <c r="E1671" s="6" t="s">
        <v>11</v>
      </c>
      <c r="F1671" s="6" t="s">
        <v>9115</v>
      </c>
      <c r="G1671" s="3" t="str">
        <f>IFERROR(__xludf.DUMMYFUNCTION("REGEXREPLACE(
D1671,
""([一-龯々]+)\[([^\]]+)\]"",
""&lt;ruby&gt;$1&lt;rt&gt;$2&lt;/rt&gt;&lt;/ruby&gt;""
)&amp;""&lt;br&gt;&lt;div class=""""audio""""&gt;[sound:""&amp;C1671&amp;"".mp3]&lt;/div&gt;"""),"&lt;ruby&gt;温&lt;rt&gt;あたた&lt;/rt&gt;&lt;/ruby&gt;かい&lt;br&gt;&lt;div class=""audio""&gt;[sound:あたたかい.mp3]&lt;/div&gt;")</f>
        <v>&lt;ruby&gt;温&lt;rt&gt;あたた&lt;/rt&gt;&lt;/ruby&gt;かい&lt;br&gt;&lt;div class="audio"&gt;[sound:あたたかい.mp3]&lt;/div&gt;</v>
      </c>
      <c r="H1671" s="3" t="str">
        <f t="shared" si="1"/>
        <v>(adj): ấm áp</v>
      </c>
      <c r="I1671" s="6" t="s">
        <v>9116</v>
      </c>
      <c r="J1671" s="6" t="s">
        <v>9117</v>
      </c>
      <c r="K1671" s="7">
        <f t="shared" si="2"/>
        <v>0.7893887148</v>
      </c>
    </row>
    <row r="1672">
      <c r="A1672" s="4">
        <v>1672.0</v>
      </c>
      <c r="B1672" s="5" t="s">
        <v>9118</v>
      </c>
      <c r="C1672" s="5" t="s">
        <v>9119</v>
      </c>
      <c r="D1672" s="5" t="s">
        <v>9120</v>
      </c>
      <c r="E1672" s="6" t="s">
        <v>11</v>
      </c>
      <c r="F1672" s="6" t="s">
        <v>4191</v>
      </c>
      <c r="G1672" s="3" t="str">
        <f>IFERROR(__xludf.DUMMYFUNCTION("REGEXREPLACE(
D1672,
""([一-龯々]+)\[([^\]]+)\]"",
""&lt;ruby&gt;$1&lt;rt&gt;$2&lt;/rt&gt;&lt;/ruby&gt;""
)&amp;""&lt;br&gt;&lt;div class=""""audio""""&gt;[sound:""&amp;C1672&amp;"".mp3]&lt;/div&gt;"""),"&lt;ruby&gt;得意&lt;rt&gt;とくい&lt;/rt&gt;&lt;/ruby&gt;&lt;br&gt;&lt;div class=""audio""&gt;[sound:とくい.mp3]&lt;/div&gt;")</f>
        <v>&lt;ruby&gt;得意&lt;rt&gt;とくい&lt;/rt&gt;&lt;/ruby&gt;&lt;br&gt;&lt;div class="audio"&gt;[sound:とくい.mp3]&lt;/div&gt;</v>
      </c>
      <c r="H1672" s="3" t="str">
        <f t="shared" si="1"/>
        <v>(adj): giỏi</v>
      </c>
      <c r="I1672" s="6" t="s">
        <v>9121</v>
      </c>
      <c r="J1672" s="6" t="s">
        <v>9122</v>
      </c>
      <c r="K1672" s="7">
        <f t="shared" si="2"/>
        <v>0.5696474298</v>
      </c>
    </row>
    <row r="1673">
      <c r="A1673" s="4">
        <v>1673.0</v>
      </c>
      <c r="B1673" s="5" t="s">
        <v>9123</v>
      </c>
      <c r="C1673" s="5" t="s">
        <v>9124</v>
      </c>
      <c r="D1673" s="5" t="s">
        <v>9125</v>
      </c>
      <c r="E1673" s="6" t="s">
        <v>24</v>
      </c>
      <c r="F1673" s="6" t="s">
        <v>9126</v>
      </c>
      <c r="G1673" s="3" t="str">
        <f>IFERROR(__xludf.DUMMYFUNCTION("REGEXREPLACE(
D1673,
""([一-龯々]+)\[([^\]]+)\]"",
""&lt;ruby&gt;$1&lt;rt&gt;$2&lt;/rt&gt;&lt;/ruby&gt;""
)&amp;""&lt;br&gt;&lt;div class=""""audio""""&gt;[sound:""&amp;C1673&amp;"".mp3]&lt;/div&gt;"""),"&lt;ruby&gt;抜&lt;rt&gt;ぬ&lt;/rt&gt;&lt;/ruby&gt;ける&lt;br&gt;&lt;div class=""audio""&gt;[sound:ぬける.mp3]&lt;/div&gt;")</f>
        <v>&lt;ruby&gt;抜&lt;rt&gt;ぬ&lt;/rt&gt;&lt;/ruby&gt;ける&lt;br&gt;&lt;div class="audio"&gt;[sound:ぬける.mp3]&lt;/div&gt;</v>
      </c>
      <c r="H1673" s="3" t="str">
        <f t="shared" si="1"/>
        <v>(v): rụng</v>
      </c>
      <c r="I1673" s="6" t="s">
        <v>9127</v>
      </c>
      <c r="J1673" s="6" t="s">
        <v>9128</v>
      </c>
      <c r="K1673" s="7">
        <f t="shared" si="2"/>
        <v>0.8283717448</v>
      </c>
    </row>
    <row r="1674">
      <c r="A1674" s="4">
        <v>1674.0</v>
      </c>
      <c r="B1674" s="5" t="s">
        <v>9129</v>
      </c>
      <c r="C1674" s="5" t="s">
        <v>9130</v>
      </c>
      <c r="D1674" s="5" t="s">
        <v>9131</v>
      </c>
      <c r="E1674" s="6" t="s">
        <v>74</v>
      </c>
      <c r="F1674" s="6" t="s">
        <v>9132</v>
      </c>
      <c r="G1674" s="3" t="str">
        <f>IFERROR(__xludf.DUMMYFUNCTION("REGEXREPLACE(
D1674,
""([一-龯々]+)\[([^\]]+)\]"",
""&lt;ruby&gt;$1&lt;rt&gt;$2&lt;/rt&gt;&lt;/ruby&gt;""
)&amp;""&lt;br&gt;&lt;div class=""""audio""""&gt;[sound:""&amp;C1674&amp;"".mp3]&lt;/div&gt;"""),"&lt;ruby&gt;肉&lt;rt&gt;にく&lt;/rt&gt;&lt;/ruby&gt;&lt;br&gt;&lt;div class=""audio""&gt;[sound:にく.mp3]&lt;/div&gt;")</f>
        <v>&lt;ruby&gt;肉&lt;rt&gt;にく&lt;/rt&gt;&lt;/ruby&gt;&lt;br&gt;&lt;div class="audio"&gt;[sound:にく.mp3]&lt;/div&gt;</v>
      </c>
      <c r="H1674" s="3" t="str">
        <f t="shared" si="1"/>
        <v>(n): thịt</v>
      </c>
      <c r="I1674" s="6" t="s">
        <v>9133</v>
      </c>
      <c r="J1674" s="6" t="s">
        <v>9134</v>
      </c>
      <c r="K1674" s="7">
        <f t="shared" si="2"/>
        <v>0.8844296909</v>
      </c>
    </row>
    <row r="1675">
      <c r="A1675" s="4">
        <v>1675.0</v>
      </c>
      <c r="B1675" s="5" t="s">
        <v>9135</v>
      </c>
      <c r="C1675" s="5" t="s">
        <v>9136</v>
      </c>
      <c r="D1675" s="5" t="s">
        <v>9137</v>
      </c>
      <c r="E1675" s="6" t="s">
        <v>24</v>
      </c>
      <c r="F1675" s="6" t="s">
        <v>9138</v>
      </c>
      <c r="G1675" s="3" t="str">
        <f>IFERROR(__xludf.DUMMYFUNCTION("REGEXREPLACE(
D1675,
""([一-龯々]+)\[([^\]]+)\]"",
""&lt;ruby&gt;$1&lt;rt&gt;$2&lt;/rt&gt;&lt;/ruby&gt;""
)&amp;""&lt;br&gt;&lt;div class=""""audio""""&gt;[sound:""&amp;C1675&amp;"".mp3]&lt;/div&gt;"""),"&lt;ruby&gt;取&lt;rt&gt;と&lt;/rt&gt;&lt;/ruby&gt;り&lt;ruby&gt;替&lt;rt&gt;か&lt;/rt&gt;&lt;/ruby&gt;える&lt;br&gt;&lt;div class=""audio""&gt;[sound:とりかえる.mp3]&lt;/div&gt;")</f>
        <v>&lt;ruby&gt;取&lt;rt&gt;と&lt;/rt&gt;&lt;/ruby&gt;り&lt;ruby&gt;替&lt;rt&gt;か&lt;/rt&gt;&lt;/ruby&gt;える&lt;br&gt;&lt;div class="audio"&gt;[sound:とりかえる.mp3]&lt;/div&gt;</v>
      </c>
      <c r="H1675" s="3" t="str">
        <f t="shared" si="1"/>
        <v>(v): đổi</v>
      </c>
      <c r="I1675" s="6" t="s">
        <v>9139</v>
      </c>
      <c r="J1675" s="6" t="s">
        <v>9140</v>
      </c>
      <c r="K1675" s="7">
        <f t="shared" si="2"/>
        <v>0.6946802749</v>
      </c>
    </row>
    <row r="1676">
      <c r="A1676" s="4">
        <v>1676.0</v>
      </c>
      <c r="B1676" s="5" t="s">
        <v>9141</v>
      </c>
      <c r="C1676" s="5" t="s">
        <v>3066</v>
      </c>
      <c r="D1676" s="5" t="s">
        <v>9142</v>
      </c>
      <c r="E1676" s="6" t="s">
        <v>11</v>
      </c>
      <c r="F1676" s="6" t="s">
        <v>9143</v>
      </c>
      <c r="G1676" s="3" t="str">
        <f>IFERROR(__xludf.DUMMYFUNCTION("REGEXREPLACE(
D1676,
""([一-龯々]+)\[([^\]]+)\]"",
""&lt;ruby&gt;$1&lt;rt&gt;$2&lt;/rt&gt;&lt;/ruby&gt;""
)&amp;""&lt;br&gt;&lt;div class=""""audio""""&gt;[sound:""&amp;C1676&amp;"".mp3]&lt;/div&gt;"""),"&lt;ruby&gt;速&lt;rt&gt;はや&lt;/rt&gt;&lt;/ruby&gt;い&lt;br&gt;&lt;div class=""audio""&gt;[sound:はやい.mp3]&lt;/div&gt;")</f>
        <v>&lt;ruby&gt;速&lt;rt&gt;はや&lt;/rt&gt;&lt;/ruby&gt;い&lt;br&gt;&lt;div class="audio"&gt;[sound:はやい.mp3]&lt;/div&gt;</v>
      </c>
      <c r="H1676" s="3" t="str">
        <f t="shared" si="1"/>
        <v>(adj): nhanh</v>
      </c>
      <c r="I1676" s="6" t="s">
        <v>9144</v>
      </c>
      <c r="J1676" s="6" t="s">
        <v>9145</v>
      </c>
      <c r="K1676" s="7">
        <f t="shared" si="2"/>
        <v>0.7346918543</v>
      </c>
    </row>
    <row r="1677">
      <c r="A1677" s="4">
        <v>1677.0</v>
      </c>
      <c r="B1677" s="5" t="s">
        <v>9146</v>
      </c>
      <c r="C1677" s="5" t="s">
        <v>9147</v>
      </c>
      <c r="D1677" s="5" t="s">
        <v>9148</v>
      </c>
      <c r="E1677" s="6" t="s">
        <v>74</v>
      </c>
      <c r="F1677" s="6" t="s">
        <v>9149</v>
      </c>
      <c r="G1677" s="3" t="str">
        <f>IFERROR(__xludf.DUMMYFUNCTION("REGEXREPLACE(
D1677,
""([一-龯々]+)\[([^\]]+)\]"",
""&lt;ruby&gt;$1&lt;rt&gt;$2&lt;/rt&gt;&lt;/ruby&gt;""
)&amp;""&lt;br&gt;&lt;div class=""""audio""""&gt;[sound:""&amp;C1677&amp;"".mp3]&lt;/div&gt;"""),"&lt;ruby&gt;食&lt;rt&gt;た&lt;/rt&gt;&lt;/ruby&gt;べ&lt;ruby&gt;物&lt;rt&gt;もの&lt;/rt&gt;&lt;/ruby&gt;&lt;br&gt;&lt;div class=""audio""&gt;[sound:たべもの.mp3]&lt;/div&gt;")</f>
        <v>&lt;ruby&gt;食&lt;rt&gt;た&lt;/rt&gt;&lt;/ruby&gt;べ&lt;ruby&gt;物&lt;rt&gt;もの&lt;/rt&gt;&lt;/ruby&gt;&lt;br&gt;&lt;div class="audio"&gt;[sound:たべもの.mp3]&lt;/div&gt;</v>
      </c>
      <c r="H1677" s="3" t="str">
        <f t="shared" si="1"/>
        <v>(n): đồ ăn</v>
      </c>
      <c r="I1677" s="6" t="s">
        <v>9150</v>
      </c>
      <c r="J1677" s="6" t="s">
        <v>9151</v>
      </c>
      <c r="K1677" s="7">
        <f t="shared" si="2"/>
        <v>0.7416781227</v>
      </c>
    </row>
    <row r="1678">
      <c r="A1678" s="4">
        <v>1678.0</v>
      </c>
      <c r="B1678" s="5" t="s">
        <v>9152</v>
      </c>
      <c r="C1678" s="5" t="s">
        <v>9153</v>
      </c>
      <c r="D1678" s="5" t="s">
        <v>9154</v>
      </c>
      <c r="E1678" s="6" t="s">
        <v>74</v>
      </c>
      <c r="F1678" s="6" t="s">
        <v>2489</v>
      </c>
      <c r="G1678" s="3" t="str">
        <f>IFERROR(__xludf.DUMMYFUNCTION("REGEXREPLACE(
D1678,
""([一-龯々]+)\[([^\]]+)\]"",
""&lt;ruby&gt;$1&lt;rt&gt;$2&lt;/rt&gt;&lt;/ruby&gt;""
)&amp;""&lt;br&gt;&lt;div class=""""audio""""&gt;[sound:""&amp;C1678&amp;"".mp3]&lt;/div&gt;"""),"&lt;ruby&gt;付近&lt;rt&gt;ふきん&lt;/rt&gt;&lt;/ruby&gt;&lt;br&gt;&lt;div class=""audio""&gt;[sound:ふきん.mp3]&lt;/div&gt;")</f>
        <v>&lt;ruby&gt;付近&lt;rt&gt;ふきん&lt;/rt&gt;&lt;/ruby&gt;&lt;br&gt;&lt;div class="audio"&gt;[sound:ふきん.mp3]&lt;/div&gt;</v>
      </c>
      <c r="H1678" s="3" t="str">
        <f t="shared" si="1"/>
        <v>(n): gần</v>
      </c>
      <c r="I1678" s="6" t="s">
        <v>9155</v>
      </c>
      <c r="J1678" s="6" t="s">
        <v>2491</v>
      </c>
      <c r="K1678" s="7">
        <f t="shared" si="2"/>
        <v>0.8611231658</v>
      </c>
    </row>
    <row r="1679">
      <c r="A1679" s="4">
        <v>1679.0</v>
      </c>
      <c r="B1679" s="5" t="s">
        <v>9156</v>
      </c>
      <c r="C1679" s="5" t="s">
        <v>9157</v>
      </c>
      <c r="D1679" s="5" t="s">
        <v>9156</v>
      </c>
      <c r="E1679" s="6" t="s">
        <v>24</v>
      </c>
      <c r="F1679" s="6" t="s">
        <v>1730</v>
      </c>
      <c r="G1679" s="3" t="str">
        <f>IFERROR(__xludf.DUMMYFUNCTION("REGEXREPLACE(
D1679,
""([一-龯々]+)\[([^\]]+)\]"",
""&lt;ruby&gt;$1&lt;rt&gt;$2&lt;/rt&gt;&lt;/ruby&gt;""
)&amp;""&lt;br&gt;&lt;div class=""""audio""""&gt;[sound:""&amp;C1679&amp;"".mp3]&lt;/div&gt;"""),"パス&lt;br&gt;&lt;div class=""audio""&gt;[sound:ぱす.mp3]&lt;/div&gt;")</f>
        <v>パス&lt;br&gt;&lt;div class="audio"&gt;[sound:ぱす.mp3]&lt;/div&gt;</v>
      </c>
      <c r="H1679" s="3" t="str">
        <f t="shared" si="1"/>
        <v>(v): đỗ</v>
      </c>
      <c r="I1679" s="6" t="s">
        <v>9158</v>
      </c>
      <c r="J1679" s="6" t="s">
        <v>9159</v>
      </c>
      <c r="K1679" s="7">
        <f t="shared" si="2"/>
        <v>0.6664662601</v>
      </c>
    </row>
    <row r="1680">
      <c r="A1680" s="4">
        <v>1680.0</v>
      </c>
      <c r="B1680" s="5" t="s">
        <v>9160</v>
      </c>
      <c r="C1680" s="5" t="s">
        <v>778</v>
      </c>
      <c r="D1680" s="5" t="s">
        <v>9161</v>
      </c>
      <c r="E1680" s="6" t="s">
        <v>24</v>
      </c>
      <c r="F1680" s="6" t="s">
        <v>8245</v>
      </c>
      <c r="G1680" s="3" t="str">
        <f>IFERROR(__xludf.DUMMYFUNCTION("REGEXREPLACE(
D1680,
""([一-龯々]+)\[([^\]]+)\]"",
""&lt;ruby&gt;$1&lt;rt&gt;$2&lt;/rt&gt;&lt;/ruby&gt;""
)&amp;""&lt;br&gt;&lt;div class=""""audio""""&gt;[sound:""&amp;C1680&amp;"".mp3]&lt;/div&gt;"""),"&lt;ruby&gt;就&lt;rt&gt;つ&lt;/rt&gt;&lt;/ruby&gt;く&lt;br&gt;&lt;div class=""audio""&gt;[sound:つく.mp3]&lt;/div&gt;")</f>
        <v>&lt;ruby&gt;就&lt;rt&gt;つ&lt;/rt&gt;&lt;/ruby&gt;く&lt;br&gt;&lt;div class="audio"&gt;[sound:つく.mp3]&lt;/div&gt;</v>
      </c>
      <c r="H1680" s="3" t="str">
        <f t="shared" si="1"/>
        <v>(v): đảm nhiệm</v>
      </c>
      <c r="I1680" s="6" t="s">
        <v>9162</v>
      </c>
      <c r="J1680" s="6" t="s">
        <v>9163</v>
      </c>
      <c r="K1680" s="7">
        <f t="shared" si="2"/>
        <v>0.09418666251</v>
      </c>
    </row>
    <row r="1681">
      <c r="A1681" s="4">
        <v>1681.0</v>
      </c>
      <c r="B1681" s="5" t="s">
        <v>9164</v>
      </c>
      <c r="C1681" s="5" t="s">
        <v>9165</v>
      </c>
      <c r="D1681" s="5" t="s">
        <v>9166</v>
      </c>
      <c r="E1681" s="6" t="s">
        <v>74</v>
      </c>
      <c r="F1681" s="6" t="s">
        <v>9167</v>
      </c>
      <c r="G1681" s="3" t="str">
        <f>IFERROR(__xludf.DUMMYFUNCTION("REGEXREPLACE(
D1681,
""([一-龯々]+)\[([^\]]+)\]"",
""&lt;ruby&gt;$1&lt;rt&gt;$2&lt;/rt&gt;&lt;/ruby&gt;""
)&amp;""&lt;br&gt;&lt;div class=""""audio""""&gt;[sound:""&amp;C1681&amp;"".mp3]&lt;/div&gt;"""),"&lt;ruby&gt;不足&lt;rt&gt;ふそく&lt;/rt&gt;&lt;/ruby&gt;&lt;br&gt;&lt;div class=""audio""&gt;[sound:ふそく.mp3]&lt;/div&gt;")</f>
        <v>&lt;ruby&gt;不足&lt;rt&gt;ふそく&lt;/rt&gt;&lt;/ruby&gt;&lt;br&gt;&lt;div class="audio"&gt;[sound:ふそく.mp3]&lt;/div&gt;</v>
      </c>
      <c r="H1681" s="3" t="str">
        <f t="shared" si="1"/>
        <v>(n): thiếu</v>
      </c>
      <c r="I1681" s="6" t="s">
        <v>9168</v>
      </c>
      <c r="J1681" s="6" t="s">
        <v>9169</v>
      </c>
      <c r="K1681" s="7">
        <f t="shared" si="2"/>
        <v>0.7665835833</v>
      </c>
    </row>
    <row r="1682">
      <c r="A1682" s="4">
        <v>1682.0</v>
      </c>
      <c r="B1682" s="5" t="s">
        <v>9170</v>
      </c>
      <c r="C1682" s="5" t="s">
        <v>9171</v>
      </c>
      <c r="D1682" s="5" t="s">
        <v>9172</v>
      </c>
      <c r="E1682" s="6" t="s">
        <v>24</v>
      </c>
      <c r="F1682" s="6" t="s">
        <v>9173</v>
      </c>
      <c r="G1682" s="3" t="str">
        <f>IFERROR(__xludf.DUMMYFUNCTION("REGEXREPLACE(
D1682,
""([一-龯々]+)\[([^\]]+)\]"",
""&lt;ruby&gt;$1&lt;rt&gt;$2&lt;/rt&gt;&lt;/ruby&gt;""
)&amp;""&lt;br&gt;&lt;div class=""""audio""""&gt;[sound:""&amp;C1682&amp;"".mp3]&lt;/div&gt;"""),"&lt;ruby&gt;眺&lt;rt&gt;なが&lt;/rt&gt;&lt;/ruby&gt;める&lt;br&gt;&lt;div class=""audio""&gt;[sound:ながめる.mp3]&lt;/div&gt;")</f>
        <v>&lt;ruby&gt;眺&lt;rt&gt;なが&lt;/rt&gt;&lt;/ruby&gt;める&lt;br&gt;&lt;div class="audio"&gt;[sound:ながめる.mp3]&lt;/div&gt;</v>
      </c>
      <c r="H1682" s="3" t="str">
        <f t="shared" si="1"/>
        <v>(v): ngắm</v>
      </c>
      <c r="I1682" s="6" t="s">
        <v>9174</v>
      </c>
      <c r="J1682" s="6" t="s">
        <v>9175</v>
      </c>
      <c r="K1682" s="7">
        <f t="shared" si="2"/>
        <v>0.2251742016</v>
      </c>
    </row>
    <row r="1683">
      <c r="A1683" s="4">
        <v>1683.0</v>
      </c>
      <c r="B1683" s="5" t="s">
        <v>9176</v>
      </c>
      <c r="C1683" s="5" t="s">
        <v>9177</v>
      </c>
      <c r="D1683" s="5" t="s">
        <v>9178</v>
      </c>
      <c r="E1683" s="6" t="s">
        <v>24</v>
      </c>
      <c r="F1683" s="6" t="s">
        <v>2048</v>
      </c>
      <c r="G1683" s="3" t="str">
        <f>IFERROR(__xludf.DUMMYFUNCTION("REGEXREPLACE(
D1683,
""([一-龯々]+)\[([^\]]+)\]"",
""&lt;ruby&gt;$1&lt;rt&gt;$2&lt;/rt&gt;&lt;/ruby&gt;""
)&amp;""&lt;br&gt;&lt;div class=""""audio""""&gt;[sound:""&amp;C1683&amp;"".mp3]&lt;/div&gt;"""),"&lt;ruby&gt;尋&lt;rt&gt;たず&lt;/rt&gt;&lt;/ruby&gt;ねる&lt;br&gt;&lt;div class=""audio""&gt;[sound:たずねる.mp3]&lt;/div&gt;")</f>
        <v>&lt;ruby&gt;尋&lt;rt&gt;たず&lt;/rt&gt;&lt;/ruby&gt;ねる&lt;br&gt;&lt;div class="audio"&gt;[sound:たずねる.mp3]&lt;/div&gt;</v>
      </c>
      <c r="H1683" s="3" t="str">
        <f t="shared" si="1"/>
        <v>(v): hỏi</v>
      </c>
      <c r="I1683" s="6" t="s">
        <v>9179</v>
      </c>
      <c r="J1683" s="6" t="s">
        <v>9180</v>
      </c>
      <c r="K1683" s="7">
        <f t="shared" si="2"/>
        <v>0.4875171708</v>
      </c>
    </row>
    <row r="1684">
      <c r="A1684" s="4">
        <v>1684.0</v>
      </c>
      <c r="B1684" s="5" t="s">
        <v>9181</v>
      </c>
      <c r="C1684" s="5" t="s">
        <v>9182</v>
      </c>
      <c r="D1684" s="5" t="s">
        <v>9183</v>
      </c>
      <c r="E1684" s="6" t="s">
        <v>24</v>
      </c>
      <c r="F1684" s="6" t="s">
        <v>9184</v>
      </c>
      <c r="G1684" s="3" t="str">
        <f>IFERROR(__xludf.DUMMYFUNCTION("REGEXREPLACE(
D1684,
""([一-龯々]+)\[([^\]]+)\]"",
""&lt;ruby&gt;$1&lt;rt&gt;$2&lt;/rt&gt;&lt;/ruby&gt;""
)&amp;""&lt;br&gt;&lt;div class=""""audio""""&gt;[sound:""&amp;C1684&amp;"".mp3]&lt;/div&gt;"""),"&lt;ruby&gt;迎&lt;rt&gt;むか&lt;/rt&gt;&lt;/ruby&gt;える&lt;br&gt;&lt;div class=""audio""&gt;[sound:むかえる.mp3]&lt;/div&gt;")</f>
        <v>&lt;ruby&gt;迎&lt;rt&gt;むか&lt;/rt&gt;&lt;/ruby&gt;える&lt;br&gt;&lt;div class="audio"&gt;[sound:むかえる.mp3]&lt;/div&gt;</v>
      </c>
      <c r="H1684" s="3" t="str">
        <f t="shared" si="1"/>
        <v>(v): đón</v>
      </c>
      <c r="I1684" s="6" t="s">
        <v>9185</v>
      </c>
      <c r="J1684" s="6" t="s">
        <v>9186</v>
      </c>
      <c r="K1684" s="7">
        <f t="shared" si="2"/>
        <v>0.6035601414</v>
      </c>
    </row>
    <row r="1685">
      <c r="A1685" s="4">
        <v>1685.0</v>
      </c>
      <c r="B1685" s="5" t="s">
        <v>9187</v>
      </c>
      <c r="C1685" s="5" t="s">
        <v>9187</v>
      </c>
      <c r="D1685" s="5" t="s">
        <v>9187</v>
      </c>
      <c r="E1685" s="6" t="s">
        <v>24</v>
      </c>
      <c r="F1685" s="6" t="s">
        <v>2917</v>
      </c>
      <c r="G1685" s="3" t="str">
        <f>IFERROR(__xludf.DUMMYFUNCTION("REGEXREPLACE(
D1685,
""([一-龯々]+)\[([^\]]+)\]"",
""&lt;ruby&gt;$1&lt;rt&gt;$2&lt;/rt&gt;&lt;/ruby&gt;""
)&amp;""&lt;br&gt;&lt;div class=""""audio""""&gt;[sound:""&amp;C1685&amp;"".mp3]&lt;/div&gt;"""),"はめる&lt;br&gt;&lt;div class=""audio""&gt;[sound:はめる.mp3]&lt;/div&gt;")</f>
        <v>はめる&lt;br&gt;&lt;div class="audio"&gt;[sound:はめる.mp3]&lt;/div&gt;</v>
      </c>
      <c r="H1685" s="3" t="str">
        <f t="shared" si="1"/>
        <v>(v): đeo</v>
      </c>
      <c r="I1685" s="6" t="s">
        <v>9188</v>
      </c>
      <c r="J1685" s="6" t="s">
        <v>9189</v>
      </c>
      <c r="K1685" s="7">
        <f t="shared" si="2"/>
        <v>0.02421651603</v>
      </c>
    </row>
    <row r="1686">
      <c r="A1686" s="4">
        <v>1686.0</v>
      </c>
      <c r="B1686" s="5" t="s">
        <v>9190</v>
      </c>
      <c r="C1686" s="5" t="s">
        <v>9191</v>
      </c>
      <c r="D1686" s="5" t="s">
        <v>9192</v>
      </c>
      <c r="E1686" s="6" t="s">
        <v>74</v>
      </c>
      <c r="F1686" s="6" t="s">
        <v>722</v>
      </c>
      <c r="G1686" s="3" t="str">
        <f>IFERROR(__xludf.DUMMYFUNCTION("REGEXREPLACE(
D1686,
""([一-龯々]+)\[([^\]]+)\]"",
""&lt;ruby&gt;$1&lt;rt&gt;$2&lt;/rt&gt;&lt;/ruby&gt;""
)&amp;""&lt;br&gt;&lt;div class=""""audio""""&gt;[sound:""&amp;C1686&amp;"".mp3]&lt;/div&gt;"""),"&lt;ruby&gt;世&lt;rt&gt;よ&lt;/rt&gt;&lt;/ruby&gt;&lt;br&gt;&lt;div class=""audio""&gt;[sound:よ.mp3]&lt;/div&gt;")</f>
        <v>&lt;ruby&gt;世&lt;rt&gt;よ&lt;/rt&gt;&lt;/ruby&gt;&lt;br&gt;&lt;div class="audio"&gt;[sound:よ.mp3]&lt;/div&gt;</v>
      </c>
      <c r="H1686" s="3" t="str">
        <f t="shared" si="1"/>
        <v>(n): thế giới</v>
      </c>
      <c r="I1686" s="6" t="s">
        <v>9193</v>
      </c>
      <c r="J1686" s="6" t="s">
        <v>9194</v>
      </c>
      <c r="K1686" s="7">
        <f t="shared" si="2"/>
        <v>0.8735229385</v>
      </c>
    </row>
    <row r="1687">
      <c r="A1687" s="4">
        <v>1687.0</v>
      </c>
      <c r="B1687" s="5" t="s">
        <v>9195</v>
      </c>
      <c r="C1687" s="5" t="s">
        <v>9196</v>
      </c>
      <c r="D1687" s="5" t="s">
        <v>9197</v>
      </c>
      <c r="E1687" s="6" t="s">
        <v>24</v>
      </c>
      <c r="F1687" s="6" t="s">
        <v>9198</v>
      </c>
      <c r="G1687" s="3" t="str">
        <f>IFERROR(__xludf.DUMMYFUNCTION("REGEXREPLACE(
D1687,
""([一-龯々]+)\[([^\]]+)\]"",
""&lt;ruby&gt;$1&lt;rt&gt;$2&lt;/rt&gt;&lt;/ruby&gt;""
)&amp;""&lt;br&gt;&lt;div class=""""audio""""&gt;[sound:""&amp;C1687&amp;"".mp3]&lt;/div&gt;"""),"&lt;ruby&gt;拾&lt;rt&gt;ひろ&lt;/rt&gt;&lt;/ruby&gt;う&lt;br&gt;&lt;div class=""audio""&gt;[sound:ひろう.mp3]&lt;/div&gt;")</f>
        <v>&lt;ruby&gt;拾&lt;rt&gt;ひろ&lt;/rt&gt;&lt;/ruby&gt;う&lt;br&gt;&lt;div class="audio"&gt;[sound:ひろう.mp3]&lt;/div&gt;</v>
      </c>
      <c r="H1687" s="3" t="str">
        <f t="shared" si="1"/>
        <v>(v): nhặt</v>
      </c>
      <c r="I1687" s="6" t="s">
        <v>9199</v>
      </c>
      <c r="J1687" s="6" t="s">
        <v>9200</v>
      </c>
      <c r="K1687" s="7">
        <f t="shared" si="2"/>
        <v>0.7743403642</v>
      </c>
    </row>
    <row r="1688">
      <c r="A1688" s="4">
        <v>1688.0</v>
      </c>
      <c r="B1688" s="5" t="s">
        <v>9201</v>
      </c>
      <c r="C1688" s="5" t="s">
        <v>9202</v>
      </c>
      <c r="D1688" s="5" t="s">
        <v>9203</v>
      </c>
      <c r="E1688" s="6" t="s">
        <v>11</v>
      </c>
      <c r="F1688" s="6" t="s">
        <v>9204</v>
      </c>
      <c r="G1688" s="3" t="str">
        <f>IFERROR(__xludf.DUMMYFUNCTION("REGEXREPLACE(
D1688,
""([一-龯々]+)\[([^\]]+)\]"",
""&lt;ruby&gt;$1&lt;rt&gt;$2&lt;/rt&gt;&lt;/ruby&gt;""
)&amp;""&lt;br&gt;&lt;div class=""""audio""""&gt;[sound:""&amp;C1688&amp;"".mp3]&lt;/div&gt;"""),"&lt;ruby&gt;熱&lt;rt&gt;あつ&lt;/rt&gt;&lt;/ruby&gt;い&lt;br&gt;&lt;div class=""audio""&gt;[sound:あつい.mp3]&lt;/div&gt;")</f>
        <v>&lt;ruby&gt;熱&lt;rt&gt;あつ&lt;/rt&gt;&lt;/ruby&gt;い&lt;br&gt;&lt;div class="audio"&gt;[sound:あつい.mp3]&lt;/div&gt;</v>
      </c>
      <c r="H1688" s="3" t="str">
        <f t="shared" si="1"/>
        <v>(adj): nóng</v>
      </c>
      <c r="I1688" s="6" t="s">
        <v>9205</v>
      </c>
      <c r="J1688" s="6" t="s">
        <v>9206</v>
      </c>
      <c r="K1688" s="7">
        <f t="shared" si="2"/>
        <v>0.2968254186</v>
      </c>
    </row>
    <row r="1689">
      <c r="A1689" s="4">
        <v>1689.0</v>
      </c>
      <c r="B1689" s="5" t="s">
        <v>9207</v>
      </c>
      <c r="C1689" s="5" t="s">
        <v>9208</v>
      </c>
      <c r="D1689" s="5" t="s">
        <v>9209</v>
      </c>
      <c r="E1689" s="6" t="s">
        <v>24</v>
      </c>
      <c r="F1689" s="6" t="s">
        <v>9210</v>
      </c>
      <c r="G1689" s="3" t="str">
        <f>IFERROR(__xludf.DUMMYFUNCTION("REGEXREPLACE(
D1689,
""([一-龯々]+)\[([^\]]+)\]"",
""&lt;ruby&gt;$1&lt;rt&gt;$2&lt;/rt&gt;&lt;/ruby&gt;""
)&amp;""&lt;br&gt;&lt;div class=""""audio""""&gt;[sound:""&amp;C1689&amp;"".mp3]&lt;/div&gt;"""),"&lt;ruby&gt;投&lt;rt&gt;な&lt;/rt&gt;&lt;/ruby&gt;げる&lt;br&gt;&lt;div class=""audio""&gt;[sound:なげる.mp3]&lt;/div&gt;")</f>
        <v>&lt;ruby&gt;投&lt;rt&gt;な&lt;/rt&gt;&lt;/ruby&gt;げる&lt;br&gt;&lt;div class="audio"&gt;[sound:なげる.mp3]&lt;/div&gt;</v>
      </c>
      <c r="H1689" s="3" t="str">
        <f t="shared" si="1"/>
        <v>(v): ném</v>
      </c>
      <c r="I1689" s="6" t="s">
        <v>9211</v>
      </c>
      <c r="J1689" s="6" t="s">
        <v>9212</v>
      </c>
      <c r="K1689" s="7">
        <f t="shared" si="2"/>
        <v>0.9059805513</v>
      </c>
    </row>
    <row r="1690">
      <c r="A1690" s="4">
        <v>1690.0</v>
      </c>
      <c r="B1690" s="5" t="s">
        <v>9213</v>
      </c>
      <c r="C1690" s="5" t="s">
        <v>9214</v>
      </c>
      <c r="D1690" s="5" t="s">
        <v>9215</v>
      </c>
      <c r="E1690" s="6" t="s">
        <v>74</v>
      </c>
      <c r="F1690" s="6" t="s">
        <v>5015</v>
      </c>
      <c r="G1690" s="3" t="str">
        <f>IFERROR(__xludf.DUMMYFUNCTION("REGEXREPLACE(
D1690,
""([一-龯々]+)\[([^\]]+)\]"",
""&lt;ruby&gt;$1&lt;rt&gt;$2&lt;/rt&gt;&lt;/ruby&gt;""
)&amp;""&lt;br&gt;&lt;div class=""""audio""""&gt;[sound:""&amp;C1690&amp;"".mp3]&lt;/div&gt;"""),"&lt;ruby&gt;血液&lt;rt&gt;けつえき&lt;/rt&gt;&lt;/ruby&gt;&lt;br&gt;&lt;div class=""audio""&gt;[sound:けつえき.mp3]&lt;/div&gt;")</f>
        <v>&lt;ruby&gt;血液&lt;rt&gt;けつえき&lt;/rt&gt;&lt;/ruby&gt;&lt;br&gt;&lt;div class="audio"&gt;[sound:けつえき.mp3]&lt;/div&gt;</v>
      </c>
      <c r="H1690" s="3" t="str">
        <f t="shared" si="1"/>
        <v>(n): máu</v>
      </c>
      <c r="I1690" s="6" t="s">
        <v>9216</v>
      </c>
      <c r="J1690" s="6" t="s">
        <v>9217</v>
      </c>
      <c r="K1690" s="7">
        <f t="shared" si="2"/>
        <v>0.3753154748</v>
      </c>
    </row>
    <row r="1691">
      <c r="A1691" s="4">
        <v>1691.0</v>
      </c>
      <c r="B1691" s="5" t="s">
        <v>9218</v>
      </c>
      <c r="C1691" s="5" t="s">
        <v>9219</v>
      </c>
      <c r="D1691" s="5" t="s">
        <v>9218</v>
      </c>
      <c r="E1691" s="6" t="s">
        <v>74</v>
      </c>
      <c r="F1691" s="6" t="s">
        <v>9220</v>
      </c>
      <c r="G1691" s="3" t="str">
        <f>IFERROR(__xludf.DUMMYFUNCTION("REGEXREPLACE(
D1691,
""([一-龯々]+)\[([^\]]+)\]"",
""&lt;ruby&gt;$1&lt;rt&gt;$2&lt;/rt&gt;&lt;/ruby&gt;""
)&amp;""&lt;br&gt;&lt;div class=""""audio""""&gt;[sound:""&amp;C1691&amp;"".mp3]&lt;/div&gt;"""),"メモ&lt;br&gt;&lt;div class=""audio""&gt;[sound:めも.mp3]&lt;/div&gt;")</f>
        <v>メモ&lt;br&gt;&lt;div class="audio"&gt;[sound:めも.mp3]&lt;/div&gt;</v>
      </c>
      <c r="H1691" s="3" t="str">
        <f t="shared" si="1"/>
        <v>(n): ghi chú</v>
      </c>
      <c r="I1691" s="6" t="s">
        <v>9221</v>
      </c>
      <c r="J1691" s="6" t="s">
        <v>9222</v>
      </c>
      <c r="K1691" s="7">
        <f t="shared" si="2"/>
        <v>0.3826734296</v>
      </c>
    </row>
    <row r="1692">
      <c r="A1692" s="4">
        <v>1692.0</v>
      </c>
      <c r="B1692" s="5" t="s">
        <v>9223</v>
      </c>
      <c r="C1692" s="5" t="s">
        <v>9224</v>
      </c>
      <c r="D1692" s="5" t="s">
        <v>9225</v>
      </c>
      <c r="E1692" s="6" t="s">
        <v>74</v>
      </c>
      <c r="F1692" s="6" t="s">
        <v>9226</v>
      </c>
      <c r="G1692" s="3" t="str">
        <f>IFERROR(__xludf.DUMMYFUNCTION("REGEXREPLACE(
D1692,
""([一-龯々]+)\[([^\]]+)\]"",
""&lt;ruby&gt;$1&lt;rt&gt;$2&lt;/rt&gt;&lt;/ruby&gt;""
)&amp;""&lt;br&gt;&lt;div class=""""audio""""&gt;[sound:""&amp;C1692&amp;"".mp3]&lt;/div&gt;"""),"&lt;ruby&gt;御飯&lt;rt&gt;ごはん&lt;/rt&gt;&lt;/ruby&gt;&lt;br&gt;&lt;div class=""audio""&gt;[sound:ごはん.mp3]&lt;/div&gt;")</f>
        <v>&lt;ruby&gt;御飯&lt;rt&gt;ごはん&lt;/rt&gt;&lt;/ruby&gt;&lt;br&gt;&lt;div class="audio"&gt;[sound:ごはん.mp3]&lt;/div&gt;</v>
      </c>
      <c r="H1692" s="3" t="str">
        <f t="shared" si="1"/>
        <v>(n): cơm</v>
      </c>
      <c r="I1692" s="6" t="s">
        <v>9227</v>
      </c>
      <c r="J1692" s="6" t="s">
        <v>9228</v>
      </c>
      <c r="K1692" s="7">
        <f t="shared" si="2"/>
        <v>0.8640138418</v>
      </c>
    </row>
    <row r="1693">
      <c r="A1693" s="4">
        <v>1693.0</v>
      </c>
      <c r="B1693" s="5" t="s">
        <v>9229</v>
      </c>
      <c r="C1693" s="5" t="s">
        <v>9230</v>
      </c>
      <c r="D1693" s="5" t="s">
        <v>9229</v>
      </c>
      <c r="E1693" s="6" t="s">
        <v>74</v>
      </c>
      <c r="F1693" s="6" t="s">
        <v>2428</v>
      </c>
      <c r="G1693" s="3" t="str">
        <f>IFERROR(__xludf.DUMMYFUNCTION("REGEXREPLACE(
D1693,
""([一-龯々]+)\[([^\]]+)\]"",
""&lt;ruby&gt;$1&lt;rt&gt;$2&lt;/rt&gt;&lt;/ruby&gt;""
)&amp;""&lt;br&gt;&lt;div class=""""audio""""&gt;[sound:""&amp;C1693&amp;"".mp3]&lt;/div&gt;"""),"マーケット&lt;br&gt;&lt;div class=""audio""&gt;[sound:まーけっと.mp3]&lt;/div&gt;")</f>
        <v>マーケット&lt;br&gt;&lt;div class="audio"&gt;[sound:まーけっと.mp3]&lt;/div&gt;</v>
      </c>
      <c r="H1693" s="3" t="str">
        <f t="shared" si="1"/>
        <v>(n): chợ</v>
      </c>
      <c r="I1693" s="6" t="s">
        <v>9231</v>
      </c>
      <c r="J1693" s="6" t="s">
        <v>9232</v>
      </c>
      <c r="K1693" s="7">
        <f t="shared" si="2"/>
        <v>0.3713233045</v>
      </c>
    </row>
    <row r="1694">
      <c r="A1694" s="4">
        <v>1694.0</v>
      </c>
      <c r="B1694" s="5" t="s">
        <v>9233</v>
      </c>
      <c r="C1694" s="5" t="s">
        <v>9234</v>
      </c>
      <c r="D1694" s="5" t="s">
        <v>9235</v>
      </c>
      <c r="E1694" s="6" t="s">
        <v>74</v>
      </c>
      <c r="F1694" s="6" t="s">
        <v>9236</v>
      </c>
      <c r="G1694" s="3" t="str">
        <f>IFERROR(__xludf.DUMMYFUNCTION("REGEXREPLACE(
D1694,
""([一-龯々]+)\[([^\]]+)\]"",
""&lt;ruby&gt;$1&lt;rt&gt;$2&lt;/rt&gt;&lt;/ruby&gt;""
)&amp;""&lt;br&gt;&lt;div class=""""audio""""&gt;[sound:""&amp;C1694&amp;"".mp3]&lt;/div&gt;"""),"&lt;ruby&gt;現地&lt;rt&gt;げんち&lt;/rt&gt;&lt;/ruby&gt;&lt;br&gt;&lt;div class=""audio""&gt;[sound:げんち.mp3]&lt;/div&gt;")</f>
        <v>&lt;ruby&gt;現地&lt;rt&gt;げんち&lt;/rt&gt;&lt;/ruby&gt;&lt;br&gt;&lt;div class="audio"&gt;[sound:げんち.mp3]&lt;/div&gt;</v>
      </c>
      <c r="H1694" s="3" t="str">
        <f t="shared" si="1"/>
        <v>(n): tại chỗ</v>
      </c>
      <c r="I1694" s="6" t="s">
        <v>9237</v>
      </c>
      <c r="J1694" s="6" t="s">
        <v>9238</v>
      </c>
      <c r="K1694" s="7">
        <f t="shared" si="2"/>
        <v>0.4631007669</v>
      </c>
    </row>
    <row r="1695">
      <c r="A1695" s="4">
        <v>1695.0</v>
      </c>
      <c r="B1695" s="5" t="s">
        <v>9239</v>
      </c>
      <c r="C1695" s="5" t="s">
        <v>9240</v>
      </c>
      <c r="D1695" s="5" t="s">
        <v>9241</v>
      </c>
      <c r="E1695" s="6" t="s">
        <v>74</v>
      </c>
      <c r="F1695" s="6" t="s">
        <v>9242</v>
      </c>
      <c r="G1695" s="3" t="str">
        <f>IFERROR(__xludf.DUMMYFUNCTION("REGEXREPLACE(
D1695,
""([一-龯々]+)\[([^\]]+)\]"",
""&lt;ruby&gt;$1&lt;rt&gt;$2&lt;/rt&gt;&lt;/ruby&gt;""
)&amp;""&lt;br&gt;&lt;div class=""""audio""""&gt;[sound:""&amp;C1695&amp;"".mp3]&lt;/div&gt;"""),"&lt;ruby&gt;参議院&lt;rt&gt;さんぎいん&lt;/rt&gt;&lt;/ruby&gt;&lt;br&gt;&lt;div class=""audio""&gt;[sound:さんぎいん.mp3]&lt;/div&gt;")</f>
        <v>&lt;ruby&gt;参議院&lt;rt&gt;さんぎいん&lt;/rt&gt;&lt;/ruby&gt;&lt;br&gt;&lt;div class="audio"&gt;[sound:さんぎいん.mp3]&lt;/div&gt;</v>
      </c>
      <c r="H1695" s="3" t="str">
        <f t="shared" si="1"/>
        <v>(n): thượng nghị viện</v>
      </c>
      <c r="I1695" s="6" t="s">
        <v>9243</v>
      </c>
      <c r="J1695" s="6" t="s">
        <v>9244</v>
      </c>
      <c r="K1695" s="7">
        <f t="shared" si="2"/>
        <v>0.8850420058</v>
      </c>
    </row>
    <row r="1696">
      <c r="A1696" s="4">
        <v>1696.0</v>
      </c>
      <c r="B1696" s="5" t="s">
        <v>9245</v>
      </c>
      <c r="C1696" s="5" t="s">
        <v>9246</v>
      </c>
      <c r="D1696" s="5" t="s">
        <v>9247</v>
      </c>
      <c r="E1696" s="6" t="s">
        <v>74</v>
      </c>
      <c r="F1696" s="6" t="s">
        <v>9248</v>
      </c>
      <c r="G1696" s="3" t="str">
        <f>IFERROR(__xludf.DUMMYFUNCTION("REGEXREPLACE(
D1696,
""([一-龯々]+)\[([^\]]+)\]"",
""&lt;ruby&gt;$1&lt;rt&gt;$2&lt;/rt&gt;&lt;/ruby&gt;""
)&amp;""&lt;br&gt;&lt;div class=""""audio""""&gt;[sound:""&amp;C1696&amp;"".mp3]&lt;/div&gt;"""),"&lt;ruby&gt;取材&lt;rt&gt;しゅざい&lt;/rt&gt;&lt;/ruby&gt;&lt;br&gt;&lt;div class=""audio""&gt;[sound:しゅざい.mp3]&lt;/div&gt;")</f>
        <v>&lt;ruby&gt;取材&lt;rt&gt;しゅざい&lt;/rt&gt;&lt;/ruby&gt;&lt;br&gt;&lt;div class="audio"&gt;[sound:しゅざい.mp3]&lt;/div&gt;</v>
      </c>
      <c r="H1696" s="3" t="str">
        <f t="shared" si="1"/>
        <v>(n): sự thu thập tin</v>
      </c>
      <c r="I1696" s="6" t="s">
        <v>9249</v>
      </c>
      <c r="J1696" s="6" t="s">
        <v>9250</v>
      </c>
      <c r="K1696" s="7">
        <f t="shared" si="2"/>
        <v>0.2802338333</v>
      </c>
    </row>
    <row r="1697">
      <c r="A1697" s="4">
        <v>1697.0</v>
      </c>
      <c r="B1697" s="5" t="s">
        <v>9251</v>
      </c>
      <c r="C1697" s="5" t="s">
        <v>9252</v>
      </c>
      <c r="D1697" s="5" t="s">
        <v>9253</v>
      </c>
      <c r="E1697" s="6" t="s">
        <v>11</v>
      </c>
      <c r="F1697" s="6" t="s">
        <v>9254</v>
      </c>
      <c r="G1697" s="3" t="str">
        <f>IFERROR(__xludf.DUMMYFUNCTION("REGEXREPLACE(
D1697,
""([一-龯々]+)\[([^\]]+)\]"",
""&lt;ruby&gt;$1&lt;rt&gt;$2&lt;/rt&gt;&lt;/ruby&gt;""
)&amp;""&lt;br&gt;&lt;div class=""""audio""""&gt;[sound:""&amp;C1697&amp;"".mp3]&lt;/div&gt;"""),"いい&lt;ruby&gt;加減&lt;rt&gt;かげん&lt;/rt&gt;&lt;/ruby&gt;&lt;br&gt;&lt;div class=""audio""&gt;[sound:いいかげん.mp3]&lt;/div&gt;")</f>
        <v>いい&lt;ruby&gt;加減&lt;rt&gt;かげん&lt;/rt&gt;&lt;/ruby&gt;&lt;br&gt;&lt;div class="audio"&gt;[sound:いいかげん.mp3]&lt;/div&gt;</v>
      </c>
      <c r="H1697" s="3" t="str">
        <f t="shared" si="1"/>
        <v>(adj): vô trách nhiệm</v>
      </c>
      <c r="I1697" s="6" t="s">
        <v>9255</v>
      </c>
      <c r="J1697" s="6" t="s">
        <v>9256</v>
      </c>
      <c r="K1697" s="7">
        <f t="shared" si="2"/>
        <v>0.8268011286</v>
      </c>
    </row>
    <row r="1698">
      <c r="A1698" s="4">
        <v>1698.0</v>
      </c>
      <c r="B1698" s="5" t="s">
        <v>9257</v>
      </c>
      <c r="C1698" s="5" t="s">
        <v>9257</v>
      </c>
      <c r="D1698" s="5" t="s">
        <v>9257</v>
      </c>
      <c r="E1698" s="6" t="s">
        <v>24</v>
      </c>
      <c r="F1698" s="6" t="s">
        <v>9258</v>
      </c>
      <c r="G1698" s="3" t="str">
        <f>IFERROR(__xludf.DUMMYFUNCTION("REGEXREPLACE(
D1698,
""([一-龯々]+)\[([^\]]+)\]"",
""&lt;ruby&gt;$1&lt;rt&gt;$2&lt;/rt&gt;&lt;/ruby&gt;""
)&amp;""&lt;br&gt;&lt;div class=""""audio""""&gt;[sound:""&amp;C1698&amp;"".mp3]&lt;/div&gt;"""),"もてる&lt;br&gt;&lt;div class=""audio""&gt;[sound:もてる.mp3]&lt;/div&gt;")</f>
        <v>もてる&lt;br&gt;&lt;div class="audio"&gt;[sound:もてる.mp3]&lt;/div&gt;</v>
      </c>
      <c r="H1698" s="3" t="str">
        <f t="shared" si="1"/>
        <v>(v): được yêu thích</v>
      </c>
      <c r="I1698" s="6" t="s">
        <v>9259</v>
      </c>
      <c r="J1698" s="6" t="s">
        <v>9260</v>
      </c>
      <c r="K1698" s="7">
        <f t="shared" si="2"/>
        <v>0.6777800124</v>
      </c>
    </row>
    <row r="1699">
      <c r="A1699" s="4">
        <v>1699.0</v>
      </c>
      <c r="B1699" s="5" t="s">
        <v>9261</v>
      </c>
      <c r="C1699" s="5" t="s">
        <v>9262</v>
      </c>
      <c r="D1699" s="5" t="s">
        <v>9263</v>
      </c>
      <c r="E1699" s="6" t="s">
        <v>24</v>
      </c>
      <c r="F1699" s="6" t="s">
        <v>9264</v>
      </c>
      <c r="G1699" s="3" t="str">
        <f>IFERROR(__xludf.DUMMYFUNCTION("REGEXREPLACE(
D1699,
""([一-龯々]+)\[([^\]]+)\]"",
""&lt;ruby&gt;$1&lt;rt&gt;$2&lt;/rt&gt;&lt;/ruby&gt;""
)&amp;""&lt;br&gt;&lt;div class=""""audio""""&gt;[sound:""&amp;C1699&amp;"".mp3]&lt;/div&gt;"""),"&lt;ruby&gt;傷付&lt;rt&gt;きずつ&lt;/rt&gt;&lt;/ruby&gt;ける&lt;br&gt;&lt;div class=""audio""&gt;[sound:きずつける.mp3]&lt;/div&gt;")</f>
        <v>&lt;ruby&gt;傷付&lt;rt&gt;きずつ&lt;/rt&gt;&lt;/ruby&gt;ける&lt;br&gt;&lt;div class="audio"&gt;[sound:きずつける.mp3]&lt;/div&gt;</v>
      </c>
      <c r="H1699" s="3" t="str">
        <f t="shared" si="1"/>
        <v>(v): làm tổn thương</v>
      </c>
      <c r="I1699" s="6" t="s">
        <v>9265</v>
      </c>
      <c r="J1699" s="6" t="s">
        <v>9266</v>
      </c>
      <c r="K1699" s="7">
        <f t="shared" si="2"/>
        <v>0.7982689403</v>
      </c>
    </row>
    <row r="1700">
      <c r="A1700" s="4">
        <v>1700.0</v>
      </c>
      <c r="B1700" s="5" t="s">
        <v>9267</v>
      </c>
      <c r="C1700" s="5" t="s">
        <v>9268</v>
      </c>
      <c r="D1700" s="5" t="s">
        <v>9269</v>
      </c>
      <c r="E1700" s="6" t="s">
        <v>74</v>
      </c>
      <c r="F1700" s="6" t="s">
        <v>9270</v>
      </c>
      <c r="G1700" s="3" t="str">
        <f>IFERROR(__xludf.DUMMYFUNCTION("REGEXREPLACE(
D1700,
""([一-龯々]+)\[([^\]]+)\]"",
""&lt;ruby&gt;$1&lt;rt&gt;$2&lt;/rt&gt;&lt;/ruby&gt;""
)&amp;""&lt;br&gt;&lt;div class=""""audio""""&gt;[sound:""&amp;C1700&amp;"".mp3]&lt;/div&gt;"""),"&lt;ruby&gt;決勝&lt;rt&gt;けっしょう&lt;/rt&gt;&lt;/ruby&gt;&lt;br&gt;&lt;div class=""audio""&gt;[sound:けっしょう.mp3]&lt;/div&gt;")</f>
        <v>&lt;ruby&gt;決勝&lt;rt&gt;けっしょう&lt;/rt&gt;&lt;/ruby&gt;&lt;br&gt;&lt;div class="audio"&gt;[sound:けっしょう.mp3]&lt;/div&gt;</v>
      </c>
      <c r="H1700" s="3" t="str">
        <f t="shared" si="1"/>
        <v>(n): trận chung kết</v>
      </c>
      <c r="I1700" s="6" t="s">
        <v>9271</v>
      </c>
      <c r="J1700" s="6" t="s">
        <v>9272</v>
      </c>
      <c r="K1700" s="7">
        <f t="shared" si="2"/>
        <v>0.05511098816</v>
      </c>
    </row>
    <row r="1701">
      <c r="A1701" s="4">
        <v>1701.0</v>
      </c>
      <c r="B1701" s="5" t="s">
        <v>9273</v>
      </c>
      <c r="C1701" s="5" t="s">
        <v>9274</v>
      </c>
      <c r="D1701" s="5" t="s">
        <v>9273</v>
      </c>
      <c r="E1701" s="6" t="s">
        <v>74</v>
      </c>
      <c r="F1701" s="6" t="s">
        <v>3174</v>
      </c>
      <c r="G1701" s="3" t="str">
        <f>IFERROR(__xludf.DUMMYFUNCTION("REGEXREPLACE(
D1701,
""([一-龯々]+)\[([^\]]+)\]"",
""&lt;ruby&gt;$1&lt;rt&gt;$2&lt;/rt&gt;&lt;/ruby&gt;""
)&amp;""&lt;br&gt;&lt;div class=""""audio""""&gt;[sound:""&amp;C1701&amp;"".mp3]&lt;/div&gt;"""),"ムード&lt;br&gt;&lt;div class=""audio""&gt;[sound:むーど.mp3]&lt;/div&gt;")</f>
        <v>ムード&lt;br&gt;&lt;div class="audio"&gt;[sound:むーど.mp3]&lt;/div&gt;</v>
      </c>
      <c r="H1701" s="3" t="str">
        <f t="shared" si="1"/>
        <v>(n): bầu không khí</v>
      </c>
      <c r="I1701" s="6" t="s">
        <v>9275</v>
      </c>
      <c r="J1701" s="6" t="s">
        <v>9276</v>
      </c>
      <c r="K1701" s="7">
        <f t="shared" si="2"/>
        <v>0.3214555795</v>
      </c>
    </row>
    <row r="1702">
      <c r="A1702" s="4">
        <v>1702.0</v>
      </c>
      <c r="B1702" s="5" t="s">
        <v>9277</v>
      </c>
      <c r="C1702" s="5" t="s">
        <v>9278</v>
      </c>
      <c r="D1702" s="5" t="s">
        <v>9279</v>
      </c>
      <c r="E1702" s="6" t="s">
        <v>74</v>
      </c>
      <c r="F1702" s="6" t="s">
        <v>9280</v>
      </c>
      <c r="G1702" s="3" t="str">
        <f>IFERROR(__xludf.DUMMYFUNCTION("REGEXREPLACE(
D1702,
""([一-龯々]+)\[([^\]]+)\]"",
""&lt;ruby&gt;$1&lt;rt&gt;$2&lt;/rt&gt;&lt;/ruby&gt;""
)&amp;""&lt;br&gt;&lt;div class=""""audio""""&gt;[sound:""&amp;C1702&amp;"".mp3]&lt;/div&gt;"""),"&lt;ruby&gt;参照&lt;rt&gt;さんしょう&lt;/rt&gt;&lt;/ruby&gt;&lt;br&gt;&lt;div class=""audio""&gt;[sound:さんしょう.mp3]&lt;/div&gt;")</f>
        <v>&lt;ruby&gt;参照&lt;rt&gt;さんしょう&lt;/rt&gt;&lt;/ruby&gt;&lt;br&gt;&lt;div class="audio"&gt;[sound:さんしょう.mp3]&lt;/div&gt;</v>
      </c>
      <c r="H1702" s="3" t="str">
        <f t="shared" si="1"/>
        <v>(n): sự tham chiếu</v>
      </c>
      <c r="I1702" s="6" t="s">
        <v>9281</v>
      </c>
      <c r="J1702" s="6" t="s">
        <v>9282</v>
      </c>
      <c r="K1702" s="7">
        <f t="shared" si="2"/>
        <v>0.9845996435</v>
      </c>
    </row>
    <row r="1703">
      <c r="A1703" s="4">
        <v>1703.0</v>
      </c>
      <c r="B1703" s="5" t="s">
        <v>9283</v>
      </c>
      <c r="C1703" s="5" t="s">
        <v>9284</v>
      </c>
      <c r="D1703" s="5" t="s">
        <v>9285</v>
      </c>
      <c r="E1703" s="6" t="s">
        <v>74</v>
      </c>
      <c r="F1703" s="6" t="s">
        <v>9286</v>
      </c>
      <c r="G1703" s="3" t="str">
        <f>IFERROR(__xludf.DUMMYFUNCTION("REGEXREPLACE(
D1703,
""([一-龯々]+)\[([^\]]+)\]"",
""&lt;ruby&gt;$1&lt;rt&gt;$2&lt;/rt&gt;&lt;/ruby&gt;""
)&amp;""&lt;br&gt;&lt;div class=""""audio""""&gt;[sound:""&amp;C1703&amp;"".mp3]&lt;/div&gt;"""),"&lt;ruby&gt;国連&lt;rt&gt;こくれん&lt;/rt&gt;&lt;/ruby&gt;&lt;br&gt;&lt;div class=""audio""&gt;[sound:こくれん.mp3]&lt;/div&gt;")</f>
        <v>&lt;ruby&gt;国連&lt;rt&gt;こくれん&lt;/rt&gt;&lt;/ruby&gt;&lt;br&gt;&lt;div class="audio"&gt;[sound:こくれん.mp3]&lt;/div&gt;</v>
      </c>
      <c r="H1703" s="3" t="str">
        <f t="shared" si="1"/>
        <v>(n): liên hợp quốc</v>
      </c>
      <c r="I1703" s="6" t="s">
        <v>9287</v>
      </c>
      <c r="J1703" s="6" t="s">
        <v>9288</v>
      </c>
      <c r="K1703" s="7">
        <f t="shared" si="2"/>
        <v>0.6421421598</v>
      </c>
    </row>
    <row r="1704">
      <c r="A1704" s="4">
        <v>1704.0</v>
      </c>
      <c r="B1704" s="5" t="s">
        <v>9289</v>
      </c>
      <c r="C1704" s="5" t="s">
        <v>9290</v>
      </c>
      <c r="D1704" s="5" t="s">
        <v>9291</v>
      </c>
      <c r="E1704" s="6" t="s">
        <v>74</v>
      </c>
      <c r="F1704" s="6" t="s">
        <v>9292</v>
      </c>
      <c r="G1704" s="3" t="str">
        <f>IFERROR(__xludf.DUMMYFUNCTION("REGEXREPLACE(
D1704,
""([一-龯々]+)\[([^\]]+)\]"",
""&lt;ruby&gt;$1&lt;rt&gt;$2&lt;/rt&gt;&lt;/ruby&gt;""
)&amp;""&lt;br&gt;&lt;div class=""""audio""""&gt;[sound:""&amp;C1704&amp;"".mp3]&lt;/div&gt;"""),"&lt;ruby&gt;殺人&lt;rt&gt;さつじん&lt;/rt&gt;&lt;/ruby&gt;&lt;br&gt;&lt;div class=""audio""&gt;[sound:さつじん.mp3]&lt;/div&gt;")</f>
        <v>&lt;ruby&gt;殺人&lt;rt&gt;さつじん&lt;/rt&gt;&lt;/ruby&gt;&lt;br&gt;&lt;div class="audio"&gt;[sound:さつじん.mp3]&lt;/div&gt;</v>
      </c>
      <c r="H1704" s="3" t="str">
        <f t="shared" si="1"/>
        <v>(n): sự giết người</v>
      </c>
      <c r="I1704" s="6" t="s">
        <v>9293</v>
      </c>
      <c r="J1704" s="6" t="s">
        <v>9294</v>
      </c>
      <c r="K1704" s="7">
        <f t="shared" si="2"/>
        <v>0.5199983504</v>
      </c>
    </row>
    <row r="1705">
      <c r="A1705" s="4">
        <v>1705.0</v>
      </c>
      <c r="B1705" s="5" t="s">
        <v>9295</v>
      </c>
      <c r="C1705" s="5" t="s">
        <v>9296</v>
      </c>
      <c r="D1705" s="5" t="s">
        <v>9295</v>
      </c>
      <c r="E1705" s="6" t="s">
        <v>74</v>
      </c>
      <c r="F1705" s="6" t="s">
        <v>9297</v>
      </c>
      <c r="G1705" s="3" t="str">
        <f>IFERROR(__xludf.DUMMYFUNCTION("REGEXREPLACE(
D1705,
""([一-龯々]+)\[([^\]]+)\]"",
""&lt;ruby&gt;$1&lt;rt&gt;$2&lt;/rt&gt;&lt;/ruby&gt;""
)&amp;""&lt;br&gt;&lt;div class=""""audio""""&gt;[sound:""&amp;C1705&amp;"".mp3]&lt;/div&gt;"""),"レギュラー&lt;br&gt;&lt;div class=""audio""&gt;[sound:れぎゅらー.mp3]&lt;/div&gt;")</f>
        <v>レギュラー&lt;br&gt;&lt;div class="audio"&gt;[sound:れぎゅらー.mp3]&lt;/div&gt;</v>
      </c>
      <c r="H1705" s="3" t="str">
        <f t="shared" si="1"/>
        <v>(n): thường xuyên</v>
      </c>
      <c r="I1705" s="6" t="s">
        <v>9298</v>
      </c>
      <c r="J1705" s="6" t="s">
        <v>9299</v>
      </c>
      <c r="K1705" s="7">
        <f t="shared" si="2"/>
        <v>0.3999630201</v>
      </c>
    </row>
    <row r="1706">
      <c r="A1706" s="4">
        <v>1706.0</v>
      </c>
      <c r="B1706" s="5" t="s">
        <v>9300</v>
      </c>
      <c r="C1706" s="5" t="s">
        <v>9301</v>
      </c>
      <c r="D1706" s="5" t="s">
        <v>9302</v>
      </c>
      <c r="E1706" s="6" t="s">
        <v>74</v>
      </c>
      <c r="F1706" s="6" t="s">
        <v>9303</v>
      </c>
      <c r="G1706" s="3" t="str">
        <f>IFERROR(__xludf.DUMMYFUNCTION("REGEXREPLACE(
D1706,
""([一-龯々]+)\[([^\]]+)\]"",
""&lt;ruby&gt;$1&lt;rt&gt;$2&lt;/rt&gt;&lt;/ruby&gt;""
)&amp;""&lt;br&gt;&lt;div class=""""audio""""&gt;[sound:""&amp;C1706&amp;"".mp3]&lt;/div&gt;"""),"&lt;ruby&gt;上位&lt;rt&gt;じょうい&lt;/rt&gt;&lt;/ruby&gt;&lt;br&gt;&lt;div class=""audio""&gt;[sound:じょうい.mp3]&lt;/div&gt;")</f>
        <v>&lt;ruby&gt;上位&lt;rt&gt;じょうい&lt;/rt&gt;&lt;/ruby&gt;&lt;br&gt;&lt;div class="audio"&gt;[sound:じょうい.mp3]&lt;/div&gt;</v>
      </c>
      <c r="H1706" s="3" t="str">
        <f t="shared" si="1"/>
        <v>(n): thứ hạng cao</v>
      </c>
      <c r="I1706" s="6" t="s">
        <v>9304</v>
      </c>
      <c r="J1706" s="6" t="s">
        <v>9305</v>
      </c>
      <c r="K1706" s="7">
        <f t="shared" si="2"/>
        <v>0.354236825</v>
      </c>
    </row>
    <row r="1707">
      <c r="A1707" s="4">
        <v>1707.0</v>
      </c>
      <c r="B1707" s="5" t="s">
        <v>9306</v>
      </c>
      <c r="C1707" s="5" t="s">
        <v>9307</v>
      </c>
      <c r="D1707" s="5" t="s">
        <v>9308</v>
      </c>
      <c r="E1707" s="6" t="s">
        <v>74</v>
      </c>
      <c r="F1707" s="6" t="s">
        <v>9309</v>
      </c>
      <c r="G1707" s="3" t="str">
        <f>IFERROR(__xludf.DUMMYFUNCTION("REGEXREPLACE(
D1707,
""([一-龯々]+)\[([^\]]+)\]"",
""&lt;ruby&gt;$1&lt;rt&gt;$2&lt;/rt&gt;&lt;/ruby&gt;""
)&amp;""&lt;br&gt;&lt;div class=""""audio""""&gt;[sound:""&amp;C1707&amp;"".mp3]&lt;/div&gt;"""),"&lt;ruby&gt;判定&lt;rt&gt;はんてい&lt;/rt&gt;&lt;/ruby&gt;&lt;br&gt;&lt;div class=""audio""&gt;[sound:はんてい.mp3]&lt;/div&gt;")</f>
        <v>&lt;ruby&gt;判定&lt;rt&gt;はんてい&lt;/rt&gt;&lt;/ruby&gt;&lt;br&gt;&lt;div class="audio"&gt;[sound:はんてい.mp3]&lt;/div&gt;</v>
      </c>
      <c r="H1707" s="3" t="str">
        <f t="shared" si="1"/>
        <v>(n): sự phán đoán</v>
      </c>
      <c r="I1707" s="6" t="s">
        <v>9310</v>
      </c>
      <c r="J1707" s="6" t="s">
        <v>9311</v>
      </c>
      <c r="K1707" s="7">
        <f t="shared" si="2"/>
        <v>0.9700185938</v>
      </c>
    </row>
    <row r="1708">
      <c r="A1708" s="4">
        <v>1708.0</v>
      </c>
      <c r="B1708" s="5" t="s">
        <v>9312</v>
      </c>
      <c r="C1708" s="5" t="s">
        <v>3214</v>
      </c>
      <c r="D1708" s="5" t="s">
        <v>9313</v>
      </c>
      <c r="E1708" s="6" t="s">
        <v>74</v>
      </c>
      <c r="F1708" s="6" t="s">
        <v>9314</v>
      </c>
      <c r="G1708" s="3" t="str">
        <f>IFERROR(__xludf.DUMMYFUNCTION("REGEXREPLACE(
D1708,
""([一-龯々]+)\[([^\]]+)\]"",
""&lt;ruby&gt;$1&lt;rt&gt;$2&lt;/rt&gt;&lt;/ruby&gt;""
)&amp;""&lt;br&gt;&lt;div class=""""audio""""&gt;[sound:""&amp;C1708&amp;"".mp3]&lt;/div&gt;"""),"&lt;ruby&gt;向上&lt;rt&gt;こうじょう&lt;/rt&gt;&lt;/ruby&gt;&lt;br&gt;&lt;div class=""audio""&gt;[sound:こうじょう.mp3]&lt;/div&gt;")</f>
        <v>&lt;ruby&gt;向上&lt;rt&gt;こうじょう&lt;/rt&gt;&lt;/ruby&gt;&lt;br&gt;&lt;div class="audio"&gt;[sound:こうじょう.mp3]&lt;/div&gt;</v>
      </c>
      <c r="H1708" s="3" t="str">
        <f t="shared" si="1"/>
        <v>(n): sự cải thiện</v>
      </c>
      <c r="I1708" s="6" t="s">
        <v>9315</v>
      </c>
      <c r="J1708" s="6" t="s">
        <v>9316</v>
      </c>
      <c r="K1708" s="7">
        <f t="shared" si="2"/>
        <v>0.3252289263</v>
      </c>
    </row>
    <row r="1709">
      <c r="A1709" s="4">
        <v>1709.0</v>
      </c>
      <c r="B1709" s="5" t="s">
        <v>9317</v>
      </c>
      <c r="C1709" s="5" t="s">
        <v>9318</v>
      </c>
      <c r="D1709" s="5" t="s">
        <v>9319</v>
      </c>
      <c r="E1709" s="6" t="s">
        <v>74</v>
      </c>
      <c r="F1709" s="6" t="s">
        <v>9320</v>
      </c>
      <c r="G1709" s="3" t="str">
        <f>IFERROR(__xludf.DUMMYFUNCTION("REGEXREPLACE(
D1709,
""([一-龯々]+)\[([^\]]+)\]"",
""&lt;ruby&gt;$1&lt;rt&gt;$2&lt;/rt&gt;&lt;/ruby&gt;""
)&amp;""&lt;br&gt;&lt;div class=""""audio""""&gt;[sound:""&amp;C1709&amp;"".mp3]&lt;/div&gt;"""),"&lt;ruby&gt;変動&lt;rt&gt;へんどう&lt;/rt&gt;&lt;/ruby&gt;&lt;br&gt;&lt;div class=""audio""&gt;[sound:へんどう.mp3]&lt;/div&gt;")</f>
        <v>&lt;ruby&gt;変動&lt;rt&gt;へんどう&lt;/rt&gt;&lt;/ruby&gt;&lt;br&gt;&lt;div class="audio"&gt;[sound:へんどう.mp3]&lt;/div&gt;</v>
      </c>
      <c r="H1709" s="3" t="str">
        <f t="shared" si="1"/>
        <v>(n): sự biến động</v>
      </c>
      <c r="I1709" s="6" t="s">
        <v>9321</v>
      </c>
      <c r="J1709" s="6" t="s">
        <v>9322</v>
      </c>
      <c r="K1709" s="7">
        <f t="shared" si="2"/>
        <v>0.7177136944</v>
      </c>
    </row>
    <row r="1710">
      <c r="A1710" s="4">
        <v>1710.0</v>
      </c>
      <c r="B1710" s="5" t="s">
        <v>9323</v>
      </c>
      <c r="C1710" s="5" t="s">
        <v>9324</v>
      </c>
      <c r="D1710" s="5" t="s">
        <v>9323</v>
      </c>
      <c r="E1710" s="6" t="s">
        <v>74</v>
      </c>
      <c r="F1710" s="6" t="s">
        <v>3360</v>
      </c>
      <c r="G1710" s="3" t="str">
        <f>IFERROR(__xludf.DUMMYFUNCTION("REGEXREPLACE(
D1710,
""([一-龯々]+)\[([^\]]+)\]"",
""&lt;ruby&gt;$1&lt;rt&gt;$2&lt;/rt&gt;&lt;/ruby&gt;""
)&amp;""&lt;br&gt;&lt;div class=""""audio""""&gt;[sound:""&amp;C1710&amp;"".mp3]&lt;/div&gt;"""),"フロント&lt;br&gt;&lt;div class=""audio""&gt;[sound:ふろんと.mp3]&lt;/div&gt;")</f>
        <v>フロント&lt;br&gt;&lt;div class="audio"&gt;[sound:ふろんと.mp3]&lt;/div&gt;</v>
      </c>
      <c r="H1710" s="3" t="str">
        <f t="shared" si="1"/>
        <v>(n): quầy lễ tân</v>
      </c>
      <c r="I1710" s="6" t="s">
        <v>9325</v>
      </c>
      <c r="J1710" s="6" t="s">
        <v>9326</v>
      </c>
      <c r="K1710" s="7">
        <f t="shared" si="2"/>
        <v>0.8860346393</v>
      </c>
    </row>
    <row r="1711">
      <c r="A1711" s="4">
        <v>1711.0</v>
      </c>
      <c r="B1711" s="5" t="s">
        <v>9327</v>
      </c>
      <c r="C1711" s="5" t="s">
        <v>9328</v>
      </c>
      <c r="D1711" s="5" t="s">
        <v>9329</v>
      </c>
      <c r="E1711" s="6" t="s">
        <v>74</v>
      </c>
      <c r="F1711" s="6" t="s">
        <v>9330</v>
      </c>
      <c r="G1711" s="3" t="str">
        <f>IFERROR(__xludf.DUMMYFUNCTION("REGEXREPLACE(
D1711,
""([一-龯々]+)\[([^\]]+)\]"",
""&lt;ruby&gt;$1&lt;rt&gt;$2&lt;/rt&gt;&lt;/ruby&gt;""
)&amp;""&lt;br&gt;&lt;div class=""""audio""""&gt;[sound:""&amp;C1711&amp;"".mp3]&lt;/div&gt;"""),"&lt;ruby&gt;世帯&lt;rt&gt;せたい&lt;/rt&gt;&lt;/ruby&gt;&lt;br&gt;&lt;div class=""audio""&gt;[sound:せたい.mp3]&lt;/div&gt;")</f>
        <v>&lt;ruby&gt;世帯&lt;rt&gt;せたい&lt;/rt&gt;&lt;/ruby&gt;&lt;br&gt;&lt;div class="audio"&gt;[sound:せたい.mp3]&lt;/div&gt;</v>
      </c>
      <c r="H1711" s="3" t="str">
        <f t="shared" si="1"/>
        <v>(n): hộ gia đình</v>
      </c>
      <c r="I1711" s="6" t="s">
        <v>9331</v>
      </c>
      <c r="J1711" s="6" t="s">
        <v>9332</v>
      </c>
      <c r="K1711" s="7">
        <f t="shared" si="2"/>
        <v>0.2279624335</v>
      </c>
    </row>
    <row r="1712">
      <c r="A1712" s="4">
        <v>1712.0</v>
      </c>
      <c r="B1712" s="5" t="s">
        <v>9333</v>
      </c>
      <c r="C1712" s="5" t="s">
        <v>9334</v>
      </c>
      <c r="D1712" s="5" t="s">
        <v>9335</v>
      </c>
      <c r="E1712" s="6" t="s">
        <v>74</v>
      </c>
      <c r="F1712" s="6" t="s">
        <v>9336</v>
      </c>
      <c r="G1712" s="3" t="str">
        <f>IFERROR(__xludf.DUMMYFUNCTION("REGEXREPLACE(
D1712,
""([一-龯々]+)\[([^\]]+)\]"",
""&lt;ruby&gt;$1&lt;rt&gt;$2&lt;/rt&gt;&lt;/ruby&gt;""
)&amp;""&lt;br&gt;&lt;div class=""""audio""""&gt;[sound:""&amp;C1712&amp;"".mp3]&lt;/div&gt;"""),"&lt;ruby&gt;促進&lt;rt&gt;そくしん&lt;/rt&gt;&lt;/ruby&gt;&lt;br&gt;&lt;div class=""audio""&gt;[sound:そくしん.mp3]&lt;/div&gt;")</f>
        <v>&lt;ruby&gt;促進&lt;rt&gt;そくしん&lt;/rt&gt;&lt;/ruby&gt;&lt;br&gt;&lt;div class="audio"&gt;[sound:そくしん.mp3]&lt;/div&gt;</v>
      </c>
      <c r="H1712" s="3" t="str">
        <f t="shared" si="1"/>
        <v>(n): sự thúc đẩy</v>
      </c>
      <c r="I1712" s="6" t="s">
        <v>9337</v>
      </c>
      <c r="J1712" s="6" t="s">
        <v>9338</v>
      </c>
      <c r="K1712" s="7">
        <f t="shared" si="2"/>
        <v>0.9808144939</v>
      </c>
    </row>
    <row r="1713">
      <c r="A1713" s="4">
        <v>1713.0</v>
      </c>
      <c r="B1713" s="5" t="s">
        <v>9339</v>
      </c>
      <c r="C1713" s="5" t="s">
        <v>9340</v>
      </c>
      <c r="D1713" s="5" t="s">
        <v>9341</v>
      </c>
      <c r="E1713" s="6" t="s">
        <v>74</v>
      </c>
      <c r="F1713" s="6" t="s">
        <v>9342</v>
      </c>
      <c r="G1713" s="3" t="str">
        <f>IFERROR(__xludf.DUMMYFUNCTION("REGEXREPLACE(
D1713,
""([一-龯々]+)\[([^\]]+)\]"",
""&lt;ruby&gt;$1&lt;rt&gt;$2&lt;/rt&gt;&lt;/ruby&gt;""
)&amp;""&lt;br&gt;&lt;div class=""""audio""""&gt;[sound:""&amp;C1713&amp;"".mp3]&lt;/div&gt;"""),"&lt;ruby&gt;入手&lt;rt&gt;にゅうしゅ&lt;/rt&gt;&lt;/ruby&gt;&lt;br&gt;&lt;div class=""audio""&gt;[sound:にゅうしゅ.mp3]&lt;/div&gt;")</f>
        <v>&lt;ruby&gt;入手&lt;rt&gt;にゅうしゅ&lt;/rt&gt;&lt;/ruby&gt;&lt;br&gt;&lt;div class="audio"&gt;[sound:にゅうしゅ.mp3]&lt;/div&gt;</v>
      </c>
      <c r="H1713" s="3" t="str">
        <f t="shared" si="1"/>
        <v>(n): sự thu nhận</v>
      </c>
      <c r="I1713" s="6" t="s">
        <v>9343</v>
      </c>
      <c r="J1713" s="6" t="s">
        <v>9344</v>
      </c>
      <c r="K1713" s="7">
        <f t="shared" si="2"/>
        <v>0.44092215</v>
      </c>
    </row>
    <row r="1714">
      <c r="A1714" s="4">
        <v>1714.0</v>
      </c>
      <c r="B1714" s="5" t="s">
        <v>9345</v>
      </c>
      <c r="C1714" s="5" t="s">
        <v>9346</v>
      </c>
      <c r="D1714" s="5" t="s">
        <v>9347</v>
      </c>
      <c r="E1714" s="6" t="s">
        <v>74</v>
      </c>
      <c r="F1714" s="6" t="s">
        <v>9348</v>
      </c>
      <c r="G1714" s="3" t="str">
        <f>IFERROR(__xludf.DUMMYFUNCTION("REGEXREPLACE(
D1714,
""([一-龯々]+)\[([^\]]+)\]"",
""&lt;ruby&gt;$1&lt;rt&gt;$2&lt;/rt&gt;&lt;/ruby&gt;""
)&amp;""&lt;br&gt;&lt;div class=""""audio""""&gt;[sound:""&amp;C1714&amp;"".mp3]&lt;/div&gt;"""),"&lt;ruby&gt;削減&lt;rt&gt;さくげん&lt;/rt&gt;&lt;/ruby&gt;&lt;br&gt;&lt;div class=""audio""&gt;[sound:さくげん.mp3]&lt;/div&gt;")</f>
        <v>&lt;ruby&gt;削減&lt;rt&gt;さくげん&lt;/rt&gt;&lt;/ruby&gt;&lt;br&gt;&lt;div class="audio"&gt;[sound:さくげん.mp3]&lt;/div&gt;</v>
      </c>
      <c r="H1714" s="3" t="str">
        <f t="shared" si="1"/>
        <v>(n): sự cắt giảm</v>
      </c>
      <c r="I1714" s="6" t="s">
        <v>9349</v>
      </c>
      <c r="J1714" s="6" t="s">
        <v>9350</v>
      </c>
      <c r="K1714" s="7">
        <f t="shared" si="2"/>
        <v>0.03970149652</v>
      </c>
    </row>
    <row r="1715">
      <c r="A1715" s="4">
        <v>1715.0</v>
      </c>
      <c r="B1715" s="5" t="s">
        <v>9351</v>
      </c>
      <c r="C1715" s="5" t="s">
        <v>9352</v>
      </c>
      <c r="D1715" s="5" t="s">
        <v>9353</v>
      </c>
      <c r="E1715" s="6" t="s">
        <v>74</v>
      </c>
      <c r="F1715" s="6" t="s">
        <v>9354</v>
      </c>
      <c r="G1715" s="3" t="str">
        <f>IFERROR(__xludf.DUMMYFUNCTION("REGEXREPLACE(
D1715,
""([一-龯々]+)\[([^\]]+)\]"",
""&lt;ruby&gt;$1&lt;rt&gt;$2&lt;/rt&gt;&lt;/ruby&gt;""
)&amp;""&lt;br&gt;&lt;div class=""""audio""""&gt;[sound:""&amp;C1715&amp;"".mp3]&lt;/div&gt;"""),"&lt;ruby&gt;加入&lt;rt&gt;かにゅう&lt;/rt&gt;&lt;/ruby&gt;&lt;br&gt;&lt;div class=""audio""&gt;[sound:かにゅう.mp3]&lt;/div&gt;")</f>
        <v>&lt;ruby&gt;加入&lt;rt&gt;かにゅう&lt;/rt&gt;&lt;/ruby&gt;&lt;br&gt;&lt;div class="audio"&gt;[sound:かにゅう.mp3]&lt;/div&gt;</v>
      </c>
      <c r="H1715" s="3" t="str">
        <f t="shared" si="1"/>
        <v>(n): sự gia nhập</v>
      </c>
      <c r="I1715" s="6" t="s">
        <v>9355</v>
      </c>
      <c r="J1715" s="6" t="s">
        <v>9356</v>
      </c>
      <c r="K1715" s="7">
        <f t="shared" si="2"/>
        <v>0.6710855679</v>
      </c>
    </row>
    <row r="1716">
      <c r="A1716" s="4">
        <v>1716.0</v>
      </c>
      <c r="B1716" s="5" t="s">
        <v>9357</v>
      </c>
      <c r="C1716" s="5" t="s">
        <v>9358</v>
      </c>
      <c r="D1716" s="5" t="s">
        <v>9359</v>
      </c>
      <c r="E1716" s="6" t="s">
        <v>74</v>
      </c>
      <c r="F1716" s="6" t="s">
        <v>9360</v>
      </c>
      <c r="G1716" s="3" t="str">
        <f>IFERROR(__xludf.DUMMYFUNCTION("REGEXREPLACE(
D1716,
""([一-龯々]+)\[([^\]]+)\]"",
""&lt;ruby&gt;$1&lt;rt&gt;$2&lt;/rt&gt;&lt;/ruby&gt;""
)&amp;""&lt;br&gt;&lt;div class=""""audio""""&gt;[sound:""&amp;C1716&amp;"".mp3]&lt;/div&gt;"""),"&lt;ruby&gt;加工&lt;rt&gt;かこう&lt;/rt&gt;&lt;/ruby&gt;&lt;br&gt;&lt;div class=""audio""&gt;[sound:かこう.mp3]&lt;/div&gt;")</f>
        <v>&lt;ruby&gt;加工&lt;rt&gt;かこう&lt;/rt&gt;&lt;/ruby&gt;&lt;br&gt;&lt;div class="audio"&gt;[sound:かこう.mp3]&lt;/div&gt;</v>
      </c>
      <c r="H1716" s="3" t="str">
        <f t="shared" si="1"/>
        <v>(n): sự gia công</v>
      </c>
      <c r="I1716" s="6" t="s">
        <v>9361</v>
      </c>
      <c r="J1716" s="6" t="s">
        <v>9362</v>
      </c>
      <c r="K1716" s="7">
        <f t="shared" si="2"/>
        <v>0.8413784523</v>
      </c>
    </row>
    <row r="1717">
      <c r="A1717" s="4">
        <v>1717.0</v>
      </c>
      <c r="B1717" s="5" t="s">
        <v>9363</v>
      </c>
      <c r="C1717" s="5" t="s">
        <v>9364</v>
      </c>
      <c r="D1717" s="5" t="s">
        <v>9365</v>
      </c>
      <c r="E1717" s="6" t="s">
        <v>74</v>
      </c>
      <c r="F1717" s="6" t="s">
        <v>9366</v>
      </c>
      <c r="G1717" s="3" t="str">
        <f>IFERROR(__xludf.DUMMYFUNCTION("REGEXREPLACE(
D1717,
""([一-龯々]+)\[([^\]]+)\]"",
""&lt;ruby&gt;$1&lt;rt&gt;$2&lt;/rt&gt;&lt;/ruby&gt;""
)&amp;""&lt;br&gt;&lt;div class=""""audio""""&gt;[sound:""&amp;C1717&amp;"".mp3]&lt;/div&gt;"""),"&lt;ruby&gt;正解&lt;rt&gt;せいかい&lt;/rt&gt;&lt;/ruby&gt;&lt;br&gt;&lt;div class=""audio""&gt;[sound:せいかい.mp3]&lt;/div&gt;")</f>
        <v>&lt;ruby&gt;正解&lt;rt&gt;せいかい&lt;/rt&gt;&lt;/ruby&gt;&lt;br&gt;&lt;div class="audio"&gt;[sound:せいかい.mp3]&lt;/div&gt;</v>
      </c>
      <c r="H1717" s="3" t="str">
        <f t="shared" si="1"/>
        <v>(n): đáp án đúng</v>
      </c>
      <c r="I1717" s="6" t="s">
        <v>9367</v>
      </c>
      <c r="J1717" s="6" t="s">
        <v>9368</v>
      </c>
      <c r="K1717" s="7">
        <f t="shared" si="2"/>
        <v>0.5300660297</v>
      </c>
    </row>
    <row r="1718">
      <c r="A1718" s="4">
        <v>1718.0</v>
      </c>
      <c r="B1718" s="5" t="s">
        <v>9369</v>
      </c>
      <c r="C1718" s="5" t="s">
        <v>9370</v>
      </c>
      <c r="D1718" s="5" t="s">
        <v>9371</v>
      </c>
      <c r="E1718" s="6" t="s">
        <v>74</v>
      </c>
      <c r="F1718" s="6" t="s">
        <v>9372</v>
      </c>
      <c r="G1718" s="3" t="str">
        <f>IFERROR(__xludf.DUMMYFUNCTION("REGEXREPLACE(
D1718,
""([一-龯々]+)\[([^\]]+)\]"",
""&lt;ruby&gt;$1&lt;rt&gt;$2&lt;/rt&gt;&lt;/ruby&gt;""
)&amp;""&lt;br&gt;&lt;div class=""""audio""""&gt;[sound:""&amp;C1718&amp;"".mp3]&lt;/div&gt;"""),"&lt;ruby&gt;経過&lt;rt&gt;けいか&lt;/rt&gt;&lt;/ruby&gt;&lt;br&gt;&lt;div class=""audio""&gt;[sound:けいか.mp3]&lt;/div&gt;")</f>
        <v>&lt;ruby&gt;経過&lt;rt&gt;けいか&lt;/rt&gt;&lt;/ruby&gt;&lt;br&gt;&lt;div class="audio"&gt;[sound:けいか.mp3]&lt;/div&gt;</v>
      </c>
      <c r="H1718" s="3" t="str">
        <f t="shared" si="1"/>
        <v>(n): sự trôi qua</v>
      </c>
      <c r="I1718" s="6" t="s">
        <v>9373</v>
      </c>
      <c r="J1718" s="6" t="s">
        <v>3753</v>
      </c>
      <c r="K1718" s="7">
        <f t="shared" si="2"/>
        <v>0.9372972043</v>
      </c>
    </row>
    <row r="1719">
      <c r="A1719" s="4">
        <v>1719.0</v>
      </c>
      <c r="B1719" s="5" t="s">
        <v>9374</v>
      </c>
      <c r="C1719" s="5" t="s">
        <v>9375</v>
      </c>
      <c r="D1719" s="5" t="s">
        <v>9376</v>
      </c>
      <c r="E1719" s="6" t="s">
        <v>74</v>
      </c>
      <c r="F1719" s="6" t="s">
        <v>9377</v>
      </c>
      <c r="G1719" s="3" t="str">
        <f>IFERROR(__xludf.DUMMYFUNCTION("REGEXREPLACE(
D1719,
""([一-龯々]+)\[([^\]]+)\]"",
""&lt;ruby&gt;$1&lt;rt&gt;$2&lt;/rt&gt;&lt;/ruby&gt;""
)&amp;""&lt;br&gt;&lt;div class=""""audio""""&gt;[sound:""&amp;C1719&amp;"".mp3]&lt;/div&gt;"""),"&lt;ruby&gt;調&lt;rt&gt;しら&lt;/rt&gt;&lt;/ruby&gt;べ&lt;br&gt;&lt;div class=""audio""&gt;[sound:しらべ.mp3]&lt;/div&gt;")</f>
        <v>&lt;ruby&gt;調&lt;rt&gt;しら&lt;/rt&gt;&lt;/ruby&gt;べ&lt;br&gt;&lt;div class="audio"&gt;[sound:しらべ.mp3]&lt;/div&gt;</v>
      </c>
      <c r="H1719" s="3" t="str">
        <f t="shared" si="1"/>
        <v>(n): sự điều tra</v>
      </c>
      <c r="I1719" s="6" t="s">
        <v>9378</v>
      </c>
      <c r="J1719" s="6" t="s">
        <v>9379</v>
      </c>
      <c r="K1719" s="7">
        <f t="shared" si="2"/>
        <v>0.594079042</v>
      </c>
    </row>
    <row r="1720">
      <c r="A1720" s="4">
        <v>1720.0</v>
      </c>
      <c r="B1720" s="5" t="s">
        <v>9380</v>
      </c>
      <c r="C1720" s="5" t="s">
        <v>9381</v>
      </c>
      <c r="D1720" s="5" t="s">
        <v>9382</v>
      </c>
      <c r="E1720" s="6" t="s">
        <v>24</v>
      </c>
      <c r="F1720" s="6" t="s">
        <v>9383</v>
      </c>
      <c r="G1720" s="3" t="str">
        <f>IFERROR(__xludf.DUMMYFUNCTION("REGEXREPLACE(
D1720,
""([一-龯々]+)\[([^\]]+)\]"",
""&lt;ruby&gt;$1&lt;rt&gt;$2&lt;/rt&gt;&lt;/ruby&gt;""
)&amp;""&lt;br&gt;&lt;div class=""""audio""""&gt;[sound:""&amp;C1720&amp;"".mp3]&lt;/div&gt;"""),"&lt;ruby&gt;転&lt;rt&gt;てん&lt;/rt&gt;&lt;/ruby&gt;じる&lt;br&gt;&lt;div class=""audio""&gt;[sound:てんじる.mp3]&lt;/div&gt;")</f>
        <v>&lt;ruby&gt;転&lt;rt&gt;てん&lt;/rt&gt;&lt;/ruby&gt;じる&lt;br&gt;&lt;div class="audio"&gt;[sound:てんじる.mp3]&lt;/div&gt;</v>
      </c>
      <c r="H1720" s="3" t="str">
        <f t="shared" si="1"/>
        <v>(v): chuyển sang</v>
      </c>
      <c r="I1720" s="6" t="s">
        <v>9384</v>
      </c>
      <c r="J1720" s="6" t="s">
        <v>9385</v>
      </c>
      <c r="K1720" s="7">
        <f t="shared" si="2"/>
        <v>0.4097427121</v>
      </c>
    </row>
    <row r="1721">
      <c r="A1721" s="4">
        <v>1721.0</v>
      </c>
      <c r="B1721" s="5" t="s">
        <v>9386</v>
      </c>
      <c r="C1721" s="5" t="s">
        <v>9387</v>
      </c>
      <c r="D1721" s="5" t="s">
        <v>9388</v>
      </c>
      <c r="E1721" s="6" t="s">
        <v>74</v>
      </c>
      <c r="F1721" s="6" t="s">
        <v>9389</v>
      </c>
      <c r="G1721" s="3" t="str">
        <f>IFERROR(__xludf.DUMMYFUNCTION("REGEXREPLACE(
D1721,
""([一-龯々]+)\[([^\]]+)\]"",
""&lt;ruby&gt;$1&lt;rt&gt;$2&lt;/rt&gt;&lt;/ruby&gt;""
)&amp;""&lt;br&gt;&lt;div class=""""audio""""&gt;[sound:""&amp;C1721&amp;"".mp3]&lt;/div&gt;"""),"&lt;ruby&gt;預金&lt;rt&gt;よきん&lt;/rt&gt;&lt;/ruby&gt;&lt;br&gt;&lt;div class=""audio""&gt;[sound:よきん.mp3]&lt;/div&gt;")</f>
        <v>&lt;ruby&gt;預金&lt;rt&gt;よきん&lt;/rt&gt;&lt;/ruby&gt;&lt;br&gt;&lt;div class="audio"&gt;[sound:よきん.mp3]&lt;/div&gt;</v>
      </c>
      <c r="H1721" s="3" t="str">
        <f t="shared" si="1"/>
        <v>(n): sự gửi tiền</v>
      </c>
      <c r="I1721" s="6" t="s">
        <v>9390</v>
      </c>
      <c r="J1721" s="6" t="s">
        <v>9391</v>
      </c>
      <c r="K1721" s="7">
        <f t="shared" si="2"/>
        <v>0.2363957716</v>
      </c>
    </row>
    <row r="1722">
      <c r="A1722" s="4">
        <v>1722.0</v>
      </c>
      <c r="B1722" s="5" t="s">
        <v>9392</v>
      </c>
      <c r="C1722" s="5" t="s">
        <v>9393</v>
      </c>
      <c r="D1722" s="5" t="s">
        <v>9394</v>
      </c>
      <c r="E1722" s="6" t="s">
        <v>74</v>
      </c>
      <c r="F1722" s="6" t="s">
        <v>9395</v>
      </c>
      <c r="G1722" s="3" t="str">
        <f>IFERROR(__xludf.DUMMYFUNCTION("REGEXREPLACE(
D1722,
""([一-龯々]+)\[([^\]]+)\]"",
""&lt;ruby&gt;$1&lt;rt&gt;$2&lt;/rt&gt;&lt;/ruby&gt;""
)&amp;""&lt;br&gt;&lt;div class=""""audio""""&gt;[sound:""&amp;C1722&amp;"".mp3]&lt;/div&gt;"""),"&lt;ruby&gt;作戦&lt;rt&gt;さくせん&lt;/rt&gt;&lt;/ruby&gt;&lt;br&gt;&lt;div class=""audio""&gt;[sound:さくせん.mp3]&lt;/div&gt;")</f>
        <v>&lt;ruby&gt;作戦&lt;rt&gt;さくせん&lt;/rt&gt;&lt;/ruby&gt;&lt;br&gt;&lt;div class="audio"&gt;[sound:さくせん.mp3]&lt;/div&gt;</v>
      </c>
      <c r="H1722" s="3" t="str">
        <f t="shared" si="1"/>
        <v>(n): chiến lược</v>
      </c>
      <c r="I1722" s="6" t="s">
        <v>9396</v>
      </c>
      <c r="J1722" s="6" t="s">
        <v>9397</v>
      </c>
      <c r="K1722" s="7">
        <f t="shared" si="2"/>
        <v>0.4990861669</v>
      </c>
    </row>
    <row r="1723">
      <c r="A1723" s="4">
        <v>1723.0</v>
      </c>
      <c r="B1723" s="5" t="s">
        <v>9398</v>
      </c>
      <c r="C1723" s="5" t="s">
        <v>9399</v>
      </c>
      <c r="D1723" s="5" t="s">
        <v>9400</v>
      </c>
      <c r="E1723" s="6" t="s">
        <v>74</v>
      </c>
      <c r="F1723" s="6" t="s">
        <v>9401</v>
      </c>
      <c r="G1723" s="3" t="str">
        <f>IFERROR(__xludf.DUMMYFUNCTION("REGEXREPLACE(
D1723,
""([一-龯々]+)\[([^\]]+)\]"",
""&lt;ruby&gt;$1&lt;rt&gt;$2&lt;/rt&gt;&lt;/ruby&gt;""
)&amp;""&lt;br&gt;&lt;div class=""""audio""""&gt;[sound:""&amp;C1723&amp;"".mp3]&lt;/div&gt;"""),"&lt;ruby&gt;出産&lt;rt&gt;しゅっさん&lt;/rt&gt;&lt;/ruby&gt;&lt;br&gt;&lt;div class=""audio""&gt;[sound:しゅっさん.mp3]&lt;/div&gt;")</f>
        <v>&lt;ruby&gt;出産&lt;rt&gt;しゅっさん&lt;/rt&gt;&lt;/ruby&gt;&lt;br&gt;&lt;div class="audio"&gt;[sound:しゅっさん.mp3]&lt;/div&gt;</v>
      </c>
      <c r="H1723" s="3" t="str">
        <f t="shared" si="1"/>
        <v>(n): sự sinh đẻ</v>
      </c>
      <c r="I1723" s="6" t="s">
        <v>9402</v>
      </c>
      <c r="J1723" s="6" t="s">
        <v>9403</v>
      </c>
      <c r="K1723" s="7">
        <f t="shared" si="2"/>
        <v>0.8174939804</v>
      </c>
    </row>
    <row r="1724">
      <c r="A1724" s="4">
        <v>1724.0</v>
      </c>
      <c r="B1724" s="5" t="s">
        <v>9404</v>
      </c>
      <c r="C1724" s="5" t="s">
        <v>9405</v>
      </c>
      <c r="D1724" s="5" t="s">
        <v>9406</v>
      </c>
      <c r="E1724" s="6" t="s">
        <v>74</v>
      </c>
      <c r="F1724" s="6" t="s">
        <v>9407</v>
      </c>
      <c r="G1724" s="3" t="str">
        <f>IFERROR(__xludf.DUMMYFUNCTION("REGEXREPLACE(
D1724,
""([一-龯々]+)\[([^\]]+)\]"",
""&lt;ruby&gt;$1&lt;rt&gt;$2&lt;/rt&gt;&lt;/ruby&gt;""
)&amp;""&lt;br&gt;&lt;div class=""""audio""""&gt;[sound:""&amp;C1724&amp;"".mp3]&lt;/div&gt;"""),"&lt;ruby&gt;原則&lt;rt&gt;げんそく&lt;/rt&gt;&lt;/ruby&gt;&lt;br&gt;&lt;div class=""audio""&gt;[sound:げんそく.mp3]&lt;/div&gt;")</f>
        <v>&lt;ruby&gt;原則&lt;rt&gt;げんそく&lt;/rt&gt;&lt;/ruby&gt;&lt;br&gt;&lt;div class="audio"&gt;[sound:げんそく.mp3]&lt;/div&gt;</v>
      </c>
      <c r="H1724" s="3" t="str">
        <f t="shared" si="1"/>
        <v>(n): nguyên tắc</v>
      </c>
      <c r="I1724" s="6" t="s">
        <v>9408</v>
      </c>
      <c r="J1724" s="6" t="s">
        <v>9409</v>
      </c>
      <c r="K1724" s="7">
        <f t="shared" si="2"/>
        <v>0.2134715355</v>
      </c>
    </row>
    <row r="1725">
      <c r="A1725" s="4">
        <v>1725.0</v>
      </c>
      <c r="B1725" s="5" t="s">
        <v>9410</v>
      </c>
      <c r="C1725" s="5" t="s">
        <v>9411</v>
      </c>
      <c r="D1725" s="5" t="s">
        <v>9412</v>
      </c>
      <c r="E1725" s="6" t="s">
        <v>24</v>
      </c>
      <c r="F1725" s="6" t="s">
        <v>9413</v>
      </c>
      <c r="G1725" s="3" t="str">
        <f>IFERROR(__xludf.DUMMYFUNCTION("REGEXREPLACE(
D1725,
""([一-龯々]+)\[([^\]]+)\]"",
""&lt;ruby&gt;$1&lt;rt&gt;$2&lt;/rt&gt;&lt;/ruby&gt;""
)&amp;""&lt;br&gt;&lt;div class=""""audio""""&gt;[sound:""&amp;C1725&amp;"".mp3]&lt;/div&gt;"""),"&lt;ruby&gt;反&lt;rt&gt;はん&lt;/rt&gt;&lt;/ruby&gt;する&lt;br&gt;&lt;div class=""audio""&gt;[sound:はんする.mp3]&lt;/div&gt;")</f>
        <v>&lt;ruby&gt;反&lt;rt&gt;はん&lt;/rt&gt;&lt;/ruby&gt;する&lt;br&gt;&lt;div class="audio"&gt;[sound:はんする.mp3]&lt;/div&gt;</v>
      </c>
      <c r="H1725" s="3" t="str">
        <f t="shared" si="1"/>
        <v>(v): trái ngược</v>
      </c>
      <c r="I1725" s="6" t="s">
        <v>9414</v>
      </c>
      <c r="J1725" s="6" t="s">
        <v>9415</v>
      </c>
      <c r="K1725" s="7">
        <f t="shared" si="2"/>
        <v>0.5289529299</v>
      </c>
    </row>
    <row r="1726">
      <c r="A1726" s="4">
        <v>1726.0</v>
      </c>
      <c r="B1726" s="5" t="s">
        <v>9416</v>
      </c>
      <c r="C1726" s="5" t="s">
        <v>9417</v>
      </c>
      <c r="D1726" s="5" t="s">
        <v>9418</v>
      </c>
      <c r="E1726" s="6" t="s">
        <v>74</v>
      </c>
      <c r="F1726" s="6" t="s">
        <v>9419</v>
      </c>
      <c r="G1726" s="3" t="str">
        <f>IFERROR(__xludf.DUMMYFUNCTION("REGEXREPLACE(
D1726,
""([一-龯々]+)\[([^\]]+)\]"",
""&lt;ruby&gt;$1&lt;rt&gt;$2&lt;/rt&gt;&lt;/ruby&gt;""
)&amp;""&lt;br&gt;&lt;div class=""""audio""""&gt;[sound:""&amp;C1726&amp;"".mp3]&lt;/div&gt;"""),"&lt;ruby&gt;回収&lt;rt&gt;かいしゅう&lt;/rt&gt;&lt;/ruby&gt;&lt;br&gt;&lt;div class=""audio""&gt;[sound:かいしゅう.mp3]&lt;/div&gt;")</f>
        <v>&lt;ruby&gt;回収&lt;rt&gt;かいしゅう&lt;/rt&gt;&lt;/ruby&gt;&lt;br&gt;&lt;div class="audio"&gt;[sound:かいしゅう.mp3]&lt;/div&gt;</v>
      </c>
      <c r="H1726" s="3" t="str">
        <f t="shared" si="1"/>
        <v>(n): sự thu hồi</v>
      </c>
      <c r="I1726" s="6" t="s">
        <v>9420</v>
      </c>
      <c r="J1726" s="6" t="s">
        <v>9421</v>
      </c>
      <c r="K1726" s="7">
        <f t="shared" si="2"/>
        <v>0.3848458471</v>
      </c>
    </row>
    <row r="1727">
      <c r="A1727" s="4">
        <v>1727.0</v>
      </c>
      <c r="B1727" s="5" t="s">
        <v>9422</v>
      </c>
      <c r="C1727" s="5" t="s">
        <v>9423</v>
      </c>
      <c r="D1727" s="5" t="s">
        <v>9424</v>
      </c>
      <c r="E1727" s="6" t="s">
        <v>74</v>
      </c>
      <c r="F1727" s="6" t="s">
        <v>9425</v>
      </c>
      <c r="G1727" s="3" t="str">
        <f>IFERROR(__xludf.DUMMYFUNCTION("REGEXREPLACE(
D1727,
""([一-龯々]+)\[([^\]]+)\]"",
""&lt;ruby&gt;$1&lt;rt&gt;$2&lt;/rt&gt;&lt;/ruby&gt;""
)&amp;""&lt;br&gt;&lt;div class=""""audio""""&gt;[sound:""&amp;C1727&amp;"".mp3]&lt;/div&gt;"""),"&lt;ruby&gt;固定&lt;rt&gt;こてい&lt;/rt&gt;&lt;/ruby&gt;&lt;br&gt;&lt;div class=""audio""&gt;[sound:こてい.mp3]&lt;/div&gt;")</f>
        <v>&lt;ruby&gt;固定&lt;rt&gt;こてい&lt;/rt&gt;&lt;/ruby&gt;&lt;br&gt;&lt;div class="audio"&gt;[sound:こてい.mp3]&lt;/div&gt;</v>
      </c>
      <c r="H1727" s="3" t="str">
        <f t="shared" si="1"/>
        <v>(n): sự cố định</v>
      </c>
      <c r="I1727" s="6" t="s">
        <v>9426</v>
      </c>
      <c r="J1727" s="6" t="s">
        <v>9427</v>
      </c>
      <c r="K1727" s="7">
        <f t="shared" si="2"/>
        <v>0.7121516395</v>
      </c>
    </row>
    <row r="1728">
      <c r="A1728" s="4">
        <v>1728.0</v>
      </c>
      <c r="B1728" s="5" t="s">
        <v>9428</v>
      </c>
      <c r="C1728" s="5" t="s">
        <v>9429</v>
      </c>
      <c r="D1728" s="5" t="s">
        <v>9430</v>
      </c>
      <c r="E1728" s="6" t="s">
        <v>74</v>
      </c>
      <c r="F1728" s="6" t="s">
        <v>2002</v>
      </c>
      <c r="G1728" s="3" t="str">
        <f>IFERROR(__xludf.DUMMYFUNCTION("REGEXREPLACE(
D1728,
""([一-龯々]+)\[([^\]]+)\]"",
""&lt;ruby&gt;$1&lt;rt&gt;$2&lt;/rt&gt;&lt;/ruby&gt;""
)&amp;""&lt;br&gt;&lt;div class=""""audio""""&gt;[sound:""&amp;C1728&amp;"".mp3]&lt;/div&gt;"""),"&lt;ruby&gt;地元&lt;rt&gt;じもと&lt;/rt&gt;&lt;/ruby&gt;&lt;br&gt;&lt;div class=""audio""&gt;[sound:じもと.mp3]&lt;/div&gt;")</f>
        <v>&lt;ruby&gt;地元&lt;rt&gt;じもと&lt;/rt&gt;&lt;/ruby&gt;&lt;br&gt;&lt;div class="audio"&gt;[sound:じもと.mp3]&lt;/div&gt;</v>
      </c>
      <c r="H1728" s="3" t="str">
        <f t="shared" si="1"/>
        <v>(n): địa phương</v>
      </c>
      <c r="I1728" s="6" t="s">
        <v>9431</v>
      </c>
      <c r="J1728" s="6" t="s">
        <v>9432</v>
      </c>
      <c r="K1728" s="7">
        <f t="shared" si="2"/>
        <v>0.7948084091</v>
      </c>
    </row>
    <row r="1729">
      <c r="A1729" s="4">
        <v>1729.0</v>
      </c>
      <c r="B1729" s="5" t="s">
        <v>9433</v>
      </c>
      <c r="C1729" s="5" t="s">
        <v>9434</v>
      </c>
      <c r="D1729" s="5" t="s">
        <v>9435</v>
      </c>
      <c r="E1729" s="6" t="s">
        <v>74</v>
      </c>
      <c r="F1729" s="6" t="s">
        <v>9436</v>
      </c>
      <c r="G1729" s="3" t="str">
        <f>IFERROR(__xludf.DUMMYFUNCTION("REGEXREPLACE(
D1729,
""([一-龯々]+)\[([^\]]+)\]"",
""&lt;ruby&gt;$1&lt;rt&gt;$2&lt;/rt&gt;&lt;/ruby&gt;""
)&amp;""&lt;br&gt;&lt;div class=""""audio""""&gt;[sound:""&amp;C1729&amp;"".mp3]&lt;/div&gt;"""),"&lt;ruby&gt;定義&lt;rt&gt;ていぎ&lt;/rt&gt;&lt;/ruby&gt;&lt;br&gt;&lt;div class=""audio""&gt;[sound:ていぎ.mp3]&lt;/div&gt;")</f>
        <v>&lt;ruby&gt;定義&lt;rt&gt;ていぎ&lt;/rt&gt;&lt;/ruby&gt;&lt;br&gt;&lt;div class="audio"&gt;[sound:ていぎ.mp3]&lt;/div&gt;</v>
      </c>
      <c r="H1729" s="3" t="str">
        <f t="shared" si="1"/>
        <v>(n): định nghĩa</v>
      </c>
      <c r="I1729" s="6" t="s">
        <v>9437</v>
      </c>
      <c r="J1729" s="6" t="s">
        <v>9438</v>
      </c>
      <c r="K1729" s="7">
        <f t="shared" si="2"/>
        <v>0.7134802147</v>
      </c>
    </row>
    <row r="1730">
      <c r="A1730" s="4">
        <v>1730.0</v>
      </c>
      <c r="B1730" s="5" t="s">
        <v>9439</v>
      </c>
      <c r="C1730" s="5" t="s">
        <v>9440</v>
      </c>
      <c r="D1730" s="5" t="s">
        <v>9441</v>
      </c>
      <c r="E1730" s="6" t="s">
        <v>74</v>
      </c>
      <c r="F1730" s="6" t="s">
        <v>9442</v>
      </c>
      <c r="G1730" s="3" t="str">
        <f>IFERROR(__xludf.DUMMYFUNCTION("REGEXREPLACE(
D1730,
""([一-龯々]+)\[([^\]]+)\]"",
""&lt;ruby&gt;$1&lt;rt&gt;$2&lt;/rt&gt;&lt;/ruby&gt;""
)&amp;""&lt;br&gt;&lt;div class=""""audio""""&gt;[sound:""&amp;C1730&amp;"".mp3]&lt;/div&gt;"""),"&lt;ruby&gt;確保&lt;rt&gt;かくほ&lt;/rt&gt;&lt;/ruby&gt;&lt;br&gt;&lt;div class=""audio""&gt;[sound:かくほ.mp3]&lt;/div&gt;")</f>
        <v>&lt;ruby&gt;確保&lt;rt&gt;かくほ&lt;/rt&gt;&lt;/ruby&gt;&lt;br&gt;&lt;div class="audio"&gt;[sound:かくほ.mp3]&lt;/div&gt;</v>
      </c>
      <c r="H1730" s="3" t="str">
        <f t="shared" si="1"/>
        <v>(n): sự đảm bảo</v>
      </c>
      <c r="I1730" s="6" t="s">
        <v>9443</v>
      </c>
      <c r="J1730" s="6" t="s">
        <v>9444</v>
      </c>
      <c r="K1730" s="7">
        <f t="shared" si="2"/>
        <v>0.3264762979</v>
      </c>
    </row>
    <row r="1731">
      <c r="A1731" s="4">
        <v>1731.0</v>
      </c>
      <c r="B1731" s="5" t="s">
        <v>9445</v>
      </c>
      <c r="C1731" s="5" t="s">
        <v>9446</v>
      </c>
      <c r="D1731" s="5" t="s">
        <v>9447</v>
      </c>
      <c r="E1731" s="6" t="s">
        <v>74</v>
      </c>
      <c r="F1731" s="6" t="s">
        <v>4423</v>
      </c>
      <c r="G1731" s="3" t="str">
        <f>IFERROR(__xludf.DUMMYFUNCTION("REGEXREPLACE(
D1731,
""([一-龯々]+)\[([^\]]+)\]"",
""&lt;ruby&gt;$1&lt;rt&gt;$2&lt;/rt&gt;&lt;/ruby&gt;""
)&amp;""&lt;br&gt;&lt;div class=""""audio""""&gt;[sound:""&amp;C1731&amp;"".mp3]&lt;/div&gt;"""),"&lt;ruby&gt;空間&lt;rt&gt;くうかん&lt;/rt&gt;&lt;/ruby&gt;&lt;br&gt;&lt;div class=""audio""&gt;[sound:くうかん.mp3]&lt;/div&gt;")</f>
        <v>&lt;ruby&gt;空間&lt;rt&gt;くうかん&lt;/rt&gt;&lt;/ruby&gt;&lt;br&gt;&lt;div class="audio"&gt;[sound:くうかん.mp3]&lt;/div&gt;</v>
      </c>
      <c r="H1731" s="3" t="str">
        <f t="shared" si="1"/>
        <v>(n): không gian</v>
      </c>
      <c r="I1731" s="6" t="s">
        <v>9448</v>
      </c>
      <c r="J1731" s="6" t="s">
        <v>9449</v>
      </c>
      <c r="K1731" s="7">
        <f t="shared" si="2"/>
        <v>0.04113156444</v>
      </c>
    </row>
    <row r="1732">
      <c r="A1732" s="4">
        <v>1732.0</v>
      </c>
      <c r="B1732" s="5" t="s">
        <v>9450</v>
      </c>
      <c r="C1732" s="5" t="s">
        <v>9451</v>
      </c>
      <c r="D1732" s="5" t="s">
        <v>9452</v>
      </c>
      <c r="E1732" s="6" t="s">
        <v>74</v>
      </c>
      <c r="F1732" s="6" t="s">
        <v>9453</v>
      </c>
      <c r="G1732" s="3" t="str">
        <f>IFERROR(__xludf.DUMMYFUNCTION("REGEXREPLACE(
D1732,
""([一-龯々]+)\[([^\]]+)\]"",
""&lt;ruby&gt;$1&lt;rt&gt;$2&lt;/rt&gt;&lt;/ruby&gt;""
)&amp;""&lt;br&gt;&lt;div class=""""audio""""&gt;[sound:""&amp;C1732&amp;"".mp3]&lt;/div&gt;"""),"&lt;ruby&gt;融資&lt;rt&gt;ゆうし&lt;/rt&gt;&lt;/ruby&gt;&lt;br&gt;&lt;div class=""audio""&gt;[sound:ゆうし.mp3]&lt;/div&gt;")</f>
        <v>&lt;ruby&gt;融資&lt;rt&gt;ゆうし&lt;/rt&gt;&lt;/ruby&gt;&lt;br&gt;&lt;div class="audio"&gt;[sound:ゆうし.mp3]&lt;/div&gt;</v>
      </c>
      <c r="H1732" s="3" t="str">
        <f t="shared" si="1"/>
        <v>(n): sự cho vay</v>
      </c>
      <c r="I1732" s="6" t="s">
        <v>9454</v>
      </c>
      <c r="J1732" s="6" t="s">
        <v>9455</v>
      </c>
      <c r="K1732" s="7">
        <f t="shared" si="2"/>
        <v>0.5468240516</v>
      </c>
    </row>
    <row r="1733">
      <c r="A1733" s="4">
        <v>1733.0</v>
      </c>
      <c r="B1733" s="5" t="s">
        <v>9456</v>
      </c>
      <c r="C1733" s="5" t="s">
        <v>9457</v>
      </c>
      <c r="D1733" s="5" t="s">
        <v>9458</v>
      </c>
      <c r="E1733" s="6" t="s">
        <v>74</v>
      </c>
      <c r="F1733" s="6" t="s">
        <v>9459</v>
      </c>
      <c r="G1733" s="3" t="str">
        <f>IFERROR(__xludf.DUMMYFUNCTION("REGEXREPLACE(
D1733,
""([一-龯々]+)\[([^\]]+)\]"",
""&lt;ruby&gt;$1&lt;rt&gt;$2&lt;/rt&gt;&lt;/ruby&gt;""
)&amp;""&lt;br&gt;&lt;div class=""""audio""""&gt;[sound:""&amp;C1733&amp;"".mp3]&lt;/div&gt;"""),"&lt;ruby&gt;見通&lt;rt&gt;みとお&lt;/rt&gt;&lt;/ruby&gt;し&lt;br&gt;&lt;div class=""audio""&gt;[sound:みとおし.mp3]&lt;/div&gt;")</f>
        <v>&lt;ruby&gt;見通&lt;rt&gt;みとお&lt;/rt&gt;&lt;/ruby&gt;し&lt;br&gt;&lt;div class="audio"&gt;[sound:みとおし.mp3]&lt;/div&gt;</v>
      </c>
      <c r="H1733" s="3" t="str">
        <f t="shared" si="1"/>
        <v>(n): triển vọng</v>
      </c>
      <c r="I1733" s="6" t="s">
        <v>9460</v>
      </c>
      <c r="J1733" s="6" t="s">
        <v>9461</v>
      </c>
      <c r="K1733" s="7">
        <f t="shared" si="2"/>
        <v>0.2048013892</v>
      </c>
    </row>
    <row r="1734">
      <c r="A1734" s="4">
        <v>1734.0</v>
      </c>
      <c r="B1734" s="5" t="s">
        <v>9462</v>
      </c>
      <c r="C1734" s="5" t="s">
        <v>9463</v>
      </c>
      <c r="D1734" s="5" t="s">
        <v>9464</v>
      </c>
      <c r="E1734" s="6" t="s">
        <v>74</v>
      </c>
      <c r="F1734" s="6" t="s">
        <v>9465</v>
      </c>
      <c r="G1734" s="3" t="str">
        <f>IFERROR(__xludf.DUMMYFUNCTION("REGEXREPLACE(
D1734,
""([一-龯々]+)\[([^\]]+)\]"",
""&lt;ruby&gt;$1&lt;rt&gt;$2&lt;/rt&gt;&lt;/ruby&gt;""
)&amp;""&lt;br&gt;&lt;div class=""""audio""""&gt;[sound:""&amp;C1734&amp;"".mp3]&lt;/div&gt;"""),"&lt;ruby&gt;訴&lt;rt&gt;うった&lt;/rt&gt;&lt;/ruby&gt;え&lt;br&gt;&lt;div class=""audio""&gt;[sound:うったえ.mp3]&lt;/div&gt;")</f>
        <v>&lt;ruby&gt;訴&lt;rt&gt;うった&lt;/rt&gt;&lt;/ruby&gt;え&lt;br&gt;&lt;div class="audio"&gt;[sound:うったえ.mp3]&lt;/div&gt;</v>
      </c>
      <c r="H1734" s="3" t="str">
        <f t="shared" si="1"/>
        <v>(n): sự kêu gọi</v>
      </c>
      <c r="I1734" s="6" t="s">
        <v>9466</v>
      </c>
      <c r="J1734" s="6" t="s">
        <v>9467</v>
      </c>
      <c r="K1734" s="7">
        <f t="shared" si="2"/>
        <v>0.4582646445</v>
      </c>
    </row>
    <row r="1735">
      <c r="A1735" s="4">
        <v>1735.0</v>
      </c>
      <c r="B1735" s="5" t="s">
        <v>9468</v>
      </c>
      <c r="C1735" s="5" t="s">
        <v>9469</v>
      </c>
      <c r="D1735" s="5" t="s">
        <v>9470</v>
      </c>
      <c r="E1735" s="6" t="s">
        <v>74</v>
      </c>
      <c r="F1735" s="6" t="s">
        <v>9471</v>
      </c>
      <c r="G1735" s="3" t="str">
        <f>IFERROR(__xludf.DUMMYFUNCTION("REGEXREPLACE(
D1735,
""([一-龯々]+)\[([^\]]+)\]"",
""&lt;ruby&gt;$1&lt;rt&gt;$2&lt;/rt&gt;&lt;/ruby&gt;""
)&amp;""&lt;br&gt;&lt;div class=""""audio""""&gt;[sound:""&amp;C1735&amp;"".mp3]&lt;/div&gt;"""),"&lt;ruby&gt;調和&lt;rt&gt;ちょうわ&lt;/rt&gt;&lt;/ruby&gt;&lt;br&gt;&lt;div class=""audio""&gt;[sound:ちょうわ.mp3]&lt;/div&gt;")</f>
        <v>&lt;ruby&gt;調和&lt;rt&gt;ちょうわ&lt;/rt&gt;&lt;/ruby&gt;&lt;br&gt;&lt;div class="audio"&gt;[sound:ちょうわ.mp3]&lt;/div&gt;</v>
      </c>
      <c r="H1735" s="3" t="str">
        <f t="shared" si="1"/>
        <v>(n): sự hòa hợp</v>
      </c>
      <c r="I1735" s="6" t="s">
        <v>9472</v>
      </c>
      <c r="J1735" s="6" t="s">
        <v>9473</v>
      </c>
      <c r="K1735" s="7">
        <f t="shared" si="2"/>
        <v>0.5521079275</v>
      </c>
    </row>
    <row r="1736">
      <c r="A1736" s="4">
        <v>1736.0</v>
      </c>
      <c r="B1736" s="5" t="s">
        <v>9474</v>
      </c>
      <c r="C1736" s="5" t="s">
        <v>9475</v>
      </c>
      <c r="D1736" s="5" t="s">
        <v>9476</v>
      </c>
      <c r="E1736" s="6" t="s">
        <v>74</v>
      </c>
      <c r="F1736" s="6" t="s">
        <v>9477</v>
      </c>
      <c r="G1736" s="3" t="str">
        <f>IFERROR(__xludf.DUMMYFUNCTION("REGEXREPLACE(
D1736,
""([一-龯々]+)\[([^\]]+)\]"",
""&lt;ruby&gt;$1&lt;rt&gt;$2&lt;/rt&gt;&lt;/ruby&gt;""
)&amp;""&lt;br&gt;&lt;div class=""""audio""""&gt;[sound:""&amp;C1736&amp;"".mp3]&lt;/div&gt;"""),"&lt;ruby&gt;象徴&lt;rt&gt;しょうちょう&lt;/rt&gt;&lt;/ruby&gt;&lt;br&gt;&lt;div class=""audio""&gt;[sound:しょうちょう.mp3]&lt;/div&gt;")</f>
        <v>&lt;ruby&gt;象徴&lt;rt&gt;しょうちょう&lt;/rt&gt;&lt;/ruby&gt;&lt;br&gt;&lt;div class="audio"&gt;[sound:しょうちょう.mp3]&lt;/div&gt;</v>
      </c>
      <c r="H1736" s="3" t="str">
        <f t="shared" si="1"/>
        <v>(n): biểu tượng</v>
      </c>
      <c r="I1736" s="6" t="s">
        <v>9478</v>
      </c>
      <c r="J1736" s="6" t="s">
        <v>9479</v>
      </c>
      <c r="K1736" s="7">
        <f t="shared" si="2"/>
        <v>0.2272275301</v>
      </c>
    </row>
    <row r="1737">
      <c r="A1737" s="4">
        <v>1737.0</v>
      </c>
      <c r="B1737" s="5" t="s">
        <v>9480</v>
      </c>
      <c r="C1737" s="5" t="s">
        <v>9480</v>
      </c>
      <c r="D1737" s="5" t="s">
        <v>9480</v>
      </c>
      <c r="E1737" s="6" t="s">
        <v>24</v>
      </c>
      <c r="F1737" s="6" t="s">
        <v>9481</v>
      </c>
      <c r="G1737" s="3" t="str">
        <f>IFERROR(__xludf.DUMMYFUNCTION("REGEXREPLACE(
D1737,
""([一-龯々]+)\[([^\]]+)\]"",
""&lt;ruby&gt;$1&lt;rt&gt;$2&lt;/rt&gt;&lt;/ruby&gt;""
)&amp;""&lt;br&gt;&lt;div class=""""audio""""&gt;[sound:""&amp;C1737&amp;"".mp3]&lt;/div&gt;"""),"はまる&lt;br&gt;&lt;div class=""audio""&gt;[sound:はまる.mp3]&lt;/div&gt;")</f>
        <v>はまる&lt;br&gt;&lt;div class="audio"&gt;[sound:はまる.mp3]&lt;/div&gt;</v>
      </c>
      <c r="H1737" s="3" t="str">
        <f t="shared" si="1"/>
        <v>(v): bị nghiện</v>
      </c>
      <c r="I1737" s="6" t="s">
        <v>9482</v>
      </c>
      <c r="J1737" s="6" t="s">
        <v>9483</v>
      </c>
      <c r="K1737" s="7">
        <f t="shared" si="2"/>
        <v>0.2706951595</v>
      </c>
    </row>
    <row r="1738">
      <c r="A1738" s="4">
        <v>1738.0</v>
      </c>
      <c r="B1738" s="5" t="s">
        <v>9484</v>
      </c>
      <c r="C1738" s="5" t="s">
        <v>9485</v>
      </c>
      <c r="D1738" s="5" t="s">
        <v>9486</v>
      </c>
      <c r="E1738" s="6" t="s">
        <v>24</v>
      </c>
      <c r="F1738" s="6" t="s">
        <v>9487</v>
      </c>
      <c r="G1738" s="3" t="str">
        <f>IFERROR(__xludf.DUMMYFUNCTION("REGEXREPLACE(
D1738,
""([一-龯々]+)\[([^\]]+)\]"",
""&lt;ruby&gt;$1&lt;rt&gt;$2&lt;/rt&gt;&lt;/ruby&gt;""
)&amp;""&lt;br&gt;&lt;div class=""""audio""""&gt;[sound:""&amp;C1738&amp;"".mp3]&lt;/div&gt;"""),"&lt;ruby&gt;傷付&lt;rt&gt;きずつ&lt;/rt&gt;&lt;/ruby&gt;く&lt;br&gt;&lt;div class=""audio""&gt;[sound:きずつく.mp3]&lt;/div&gt;")</f>
        <v>&lt;ruby&gt;傷付&lt;rt&gt;きずつ&lt;/rt&gt;&lt;/ruby&gt;く&lt;br&gt;&lt;div class="audio"&gt;[sound:きずつく.mp3]&lt;/div&gt;</v>
      </c>
      <c r="H1738" s="3" t="str">
        <f t="shared" si="1"/>
        <v>(v): bị thương</v>
      </c>
      <c r="I1738" s="6" t="s">
        <v>9488</v>
      </c>
      <c r="J1738" s="6" t="s">
        <v>9489</v>
      </c>
      <c r="K1738" s="7">
        <f t="shared" si="2"/>
        <v>0.677916033</v>
      </c>
    </row>
    <row r="1739">
      <c r="A1739" s="4">
        <v>1739.0</v>
      </c>
      <c r="B1739" s="5" t="s">
        <v>9490</v>
      </c>
      <c r="C1739" s="5" t="s">
        <v>9491</v>
      </c>
      <c r="D1739" s="5" t="s">
        <v>9492</v>
      </c>
      <c r="E1739" s="6" t="s">
        <v>74</v>
      </c>
      <c r="F1739" s="6" t="s">
        <v>9493</v>
      </c>
      <c r="G1739" s="3" t="str">
        <f>IFERROR(__xludf.DUMMYFUNCTION("REGEXREPLACE(
D1739,
""([一-龯々]+)\[([^\]]+)\]"",
""&lt;ruby&gt;$1&lt;rt&gt;$2&lt;/rt&gt;&lt;/ruby&gt;""
)&amp;""&lt;br&gt;&lt;div class=""""audio""""&gt;[sound:""&amp;C1739&amp;"".mp3]&lt;/div&gt;"""),"&lt;ruby&gt;充実&lt;rt&gt;じゅうじつ&lt;/rt&gt;&lt;/ruby&gt;&lt;br&gt;&lt;div class=""audio""&gt;[sound:じゅうじつ.mp3]&lt;/div&gt;")</f>
        <v>&lt;ruby&gt;充実&lt;rt&gt;じゅうじつ&lt;/rt&gt;&lt;/ruby&gt;&lt;br&gt;&lt;div class="audio"&gt;[sound:じゅうじつ.mp3]&lt;/div&gt;</v>
      </c>
      <c r="H1739" s="3" t="str">
        <f t="shared" si="1"/>
        <v>(n): sự đầy đủ</v>
      </c>
      <c r="I1739" s="6" t="s">
        <v>9494</v>
      </c>
      <c r="J1739" s="6" t="s">
        <v>9495</v>
      </c>
      <c r="K1739" s="7">
        <f t="shared" si="2"/>
        <v>0.562374081</v>
      </c>
    </row>
    <row r="1740">
      <c r="A1740" s="4">
        <v>1740.0</v>
      </c>
      <c r="B1740" s="5" t="s">
        <v>9496</v>
      </c>
      <c r="C1740" s="5" t="s">
        <v>9497</v>
      </c>
      <c r="D1740" s="5" t="s">
        <v>9498</v>
      </c>
      <c r="E1740" s="6" t="s">
        <v>74</v>
      </c>
      <c r="F1740" s="6" t="s">
        <v>9499</v>
      </c>
      <c r="G1740" s="3" t="str">
        <f>IFERROR(__xludf.DUMMYFUNCTION("REGEXREPLACE(
D1740,
""([一-龯々]+)\[([^\]]+)\]"",
""&lt;ruby&gt;$1&lt;rt&gt;$2&lt;/rt&gt;&lt;/ruby&gt;""
)&amp;""&lt;br&gt;&lt;div class=""""audio""""&gt;[sound:""&amp;C1740&amp;"".mp3]&lt;/div&gt;"""),"&lt;ruby&gt;制服&lt;rt&gt;せいふく&lt;/rt&gt;&lt;/ruby&gt;&lt;br&gt;&lt;div class=""audio""&gt;[sound:せいふく.mp3]&lt;/div&gt;")</f>
        <v>&lt;ruby&gt;制服&lt;rt&gt;せいふく&lt;/rt&gt;&lt;/ruby&gt;&lt;br&gt;&lt;div class="audio"&gt;[sound:せいふく.mp3]&lt;/div&gt;</v>
      </c>
      <c r="H1740" s="3" t="str">
        <f t="shared" si="1"/>
        <v>(n): đồng phục</v>
      </c>
      <c r="I1740" s="6" t="s">
        <v>9500</v>
      </c>
      <c r="J1740" s="6" t="s">
        <v>9501</v>
      </c>
      <c r="K1740" s="7">
        <f t="shared" si="2"/>
        <v>0.9861743631</v>
      </c>
    </row>
    <row r="1741">
      <c r="A1741" s="4">
        <v>1741.0</v>
      </c>
      <c r="B1741" s="5" t="s">
        <v>9502</v>
      </c>
      <c r="C1741" s="5" t="s">
        <v>9503</v>
      </c>
      <c r="D1741" s="5" t="s">
        <v>9504</v>
      </c>
      <c r="E1741" s="6" t="s">
        <v>24</v>
      </c>
      <c r="F1741" s="6" t="s">
        <v>1736</v>
      </c>
      <c r="G1741" s="3" t="str">
        <f>IFERROR(__xludf.DUMMYFUNCTION("REGEXREPLACE(
D1741,
""([一-龯々]+)\[([^\]]+)\]"",
""&lt;ruby&gt;$1&lt;rt&gt;$2&lt;/rt&gt;&lt;/ruby&gt;""
)&amp;""&lt;br&gt;&lt;div class=""""audio""""&gt;[sound:""&amp;C1741&amp;"".mp3]&lt;/div&gt;"""),"&lt;ruby&gt;合&lt;rt&gt;あ&lt;/rt&gt;&lt;/ruby&gt;わす&lt;br&gt;&lt;div class=""audio""&gt;[sound:あわす.mp3]&lt;/div&gt;")</f>
        <v>&lt;ruby&gt;合&lt;rt&gt;あ&lt;/rt&gt;&lt;/ruby&gt;わす&lt;br&gt;&lt;div class="audio"&gt;[sound:あわす.mp3]&lt;/div&gt;</v>
      </c>
      <c r="H1741" s="3" t="str">
        <f t="shared" si="1"/>
        <v>(v): cùng nhau</v>
      </c>
      <c r="I1741" s="6" t="s">
        <v>9505</v>
      </c>
      <c r="J1741" s="6" t="s">
        <v>9506</v>
      </c>
      <c r="K1741" s="7">
        <f t="shared" si="2"/>
        <v>0.5779815171</v>
      </c>
    </row>
    <row r="1742">
      <c r="A1742" s="4">
        <v>1742.0</v>
      </c>
      <c r="B1742" s="5" t="s">
        <v>9507</v>
      </c>
      <c r="C1742" s="5" t="s">
        <v>9508</v>
      </c>
      <c r="D1742" s="5" t="s">
        <v>9509</v>
      </c>
      <c r="E1742" s="6" t="s">
        <v>74</v>
      </c>
      <c r="F1742" s="6" t="s">
        <v>9510</v>
      </c>
      <c r="G1742" s="3" t="str">
        <f>IFERROR(__xludf.DUMMYFUNCTION("REGEXREPLACE(
D1742,
""([一-龯々]+)\[([^\]]+)\]"",
""&lt;ruby&gt;$1&lt;rt&gt;$2&lt;/rt&gt;&lt;/ruby&gt;""
)&amp;""&lt;br&gt;&lt;div class=""""audio""""&gt;[sound:""&amp;C1742&amp;"".mp3]&lt;/div&gt;"""),"&lt;ruby&gt;合意&lt;rt&gt;ごうい&lt;/rt&gt;&lt;/ruby&gt;&lt;br&gt;&lt;div class=""audio""&gt;[sound:ごうい.mp3]&lt;/div&gt;")</f>
        <v>&lt;ruby&gt;合意&lt;rt&gt;ごうい&lt;/rt&gt;&lt;/ruby&gt;&lt;br&gt;&lt;div class="audio"&gt;[sound:ごうい.mp3]&lt;/div&gt;</v>
      </c>
      <c r="H1742" s="3" t="str">
        <f t="shared" si="1"/>
        <v>(n): sự đồng ý</v>
      </c>
      <c r="I1742" s="6" t="s">
        <v>9511</v>
      </c>
      <c r="J1742" s="6" t="s">
        <v>9512</v>
      </c>
      <c r="K1742" s="7">
        <f t="shared" si="2"/>
        <v>0.9044704981</v>
      </c>
    </row>
    <row r="1743">
      <c r="A1743" s="4">
        <v>1743.0</v>
      </c>
      <c r="B1743" s="5" t="s">
        <v>9513</v>
      </c>
      <c r="C1743" s="5" t="s">
        <v>9514</v>
      </c>
      <c r="D1743" s="5" t="s">
        <v>9515</v>
      </c>
      <c r="E1743" s="6" t="s">
        <v>74</v>
      </c>
      <c r="F1743" s="6" t="s">
        <v>9510</v>
      </c>
      <c r="G1743" s="3" t="str">
        <f>IFERROR(__xludf.DUMMYFUNCTION("REGEXREPLACE(
D1743,
""([一-龯々]+)\[([^\]]+)\]"",
""&lt;ruby&gt;$1&lt;rt&gt;$2&lt;/rt&gt;&lt;/ruby&gt;""
)&amp;""&lt;br&gt;&lt;div class=""""audio""""&gt;[sound:""&amp;C1743&amp;"".mp3]&lt;/div&gt;"""),"&lt;ruby&gt;同意&lt;rt&gt;どうい&lt;/rt&gt;&lt;/ruby&gt;&lt;br&gt;&lt;div class=""audio""&gt;[sound:どうい.mp3]&lt;/div&gt;")</f>
        <v>&lt;ruby&gt;同意&lt;rt&gt;どうい&lt;/rt&gt;&lt;/ruby&gt;&lt;br&gt;&lt;div class="audio"&gt;[sound:どうい.mp3]&lt;/div&gt;</v>
      </c>
      <c r="H1743" s="3" t="str">
        <f t="shared" si="1"/>
        <v>(n): sự đồng ý</v>
      </c>
      <c r="I1743" s="6" t="s">
        <v>9516</v>
      </c>
      <c r="J1743" s="6" t="s">
        <v>9517</v>
      </c>
      <c r="K1743" s="7">
        <f t="shared" si="2"/>
        <v>0.7447155803</v>
      </c>
    </row>
    <row r="1744">
      <c r="A1744" s="4">
        <v>1744.0</v>
      </c>
      <c r="B1744" s="5" t="s">
        <v>9518</v>
      </c>
      <c r="C1744" s="5" t="s">
        <v>9519</v>
      </c>
      <c r="D1744" s="5" t="s">
        <v>9520</v>
      </c>
      <c r="E1744" s="6" t="s">
        <v>24</v>
      </c>
      <c r="F1744" s="6" t="s">
        <v>4949</v>
      </c>
      <c r="G1744" s="3" t="str">
        <f>IFERROR(__xludf.DUMMYFUNCTION("REGEXREPLACE(
D1744,
""([一-龯々]+)\[([^\]]+)\]"",
""&lt;ruby&gt;$1&lt;rt&gt;$2&lt;/rt&gt;&lt;/ruby&gt;""
)&amp;""&lt;br&gt;&lt;div class=""""audio""""&gt;[sound:""&amp;C1744&amp;"".mp3]&lt;/div&gt;"""),"&lt;ruby&gt;告&lt;rt&gt;つ&lt;/rt&gt;&lt;/ruby&gt;げる&lt;br&gt;&lt;div class=""audio""&gt;[sound:つげる.mp3]&lt;/div&gt;")</f>
        <v>&lt;ruby&gt;告&lt;rt&gt;つ&lt;/rt&gt;&lt;/ruby&gt;げる&lt;br&gt;&lt;div class="audio"&gt;[sound:つげる.mp3]&lt;/div&gt;</v>
      </c>
      <c r="H1744" s="3" t="str">
        <f t="shared" si="1"/>
        <v>(v): thông báo</v>
      </c>
      <c r="I1744" s="6" t="s">
        <v>9521</v>
      </c>
      <c r="J1744" s="6" t="s">
        <v>9522</v>
      </c>
      <c r="K1744" s="7">
        <f t="shared" si="2"/>
        <v>0.6555387323</v>
      </c>
    </row>
    <row r="1745">
      <c r="A1745" s="4">
        <v>1745.0</v>
      </c>
      <c r="B1745" s="5" t="s">
        <v>9523</v>
      </c>
      <c r="C1745" s="5" t="s">
        <v>9524</v>
      </c>
      <c r="D1745" s="5" t="s">
        <v>9525</v>
      </c>
      <c r="E1745" s="6" t="s">
        <v>74</v>
      </c>
      <c r="F1745" s="6" t="s">
        <v>9526</v>
      </c>
      <c r="G1745" s="3" t="str">
        <f>IFERROR(__xludf.DUMMYFUNCTION("REGEXREPLACE(
D1745,
""([一-龯々]+)\[([^\]]+)\]"",
""&lt;ruby&gt;$1&lt;rt&gt;$2&lt;/rt&gt;&lt;/ruby&gt;""
)&amp;""&lt;br&gt;&lt;div class=""""audio""""&gt;[sound:""&amp;C1745&amp;"".mp3]&lt;/div&gt;"""),"&lt;ruby&gt;本音&lt;rt&gt;ほんね&lt;/rt&gt;&lt;/ruby&gt;&lt;br&gt;&lt;div class=""audio""&gt;[sound:ほんね.mp3]&lt;/div&gt;")</f>
        <v>&lt;ruby&gt;本音&lt;rt&gt;ほんね&lt;/rt&gt;&lt;/ruby&gt;&lt;br&gt;&lt;div class="audio"&gt;[sound:ほんね.mp3]&lt;/div&gt;</v>
      </c>
      <c r="H1745" s="3" t="str">
        <f t="shared" si="1"/>
        <v>(n): lòng thật</v>
      </c>
      <c r="I1745" s="6" t="s">
        <v>9527</v>
      </c>
      <c r="J1745" s="6" t="s">
        <v>9528</v>
      </c>
      <c r="K1745" s="7">
        <f t="shared" si="2"/>
        <v>0.5404853384</v>
      </c>
    </row>
    <row r="1746">
      <c r="A1746" s="4">
        <v>1746.0</v>
      </c>
      <c r="B1746" s="5" t="s">
        <v>9529</v>
      </c>
      <c r="C1746" s="5" t="s">
        <v>9530</v>
      </c>
      <c r="D1746" s="5" t="s">
        <v>9531</v>
      </c>
      <c r="E1746" s="6" t="s">
        <v>74</v>
      </c>
      <c r="F1746" s="6" t="s">
        <v>9532</v>
      </c>
      <c r="G1746" s="3" t="str">
        <f>IFERROR(__xludf.DUMMYFUNCTION("REGEXREPLACE(
D1746,
""([一-龯々]+)\[([^\]]+)\]"",
""&lt;ruby&gt;$1&lt;rt&gt;$2&lt;/rt&gt;&lt;/ruby&gt;""
)&amp;""&lt;br&gt;&lt;div class=""""audio""""&gt;[sound:""&amp;C1746&amp;"".mp3]&lt;/div&gt;"""),"&lt;ruby&gt;概念&lt;rt&gt;がいねん&lt;/rt&gt;&lt;/ruby&gt;&lt;br&gt;&lt;div class=""audio""&gt;[sound:がいねん.mp3]&lt;/div&gt;")</f>
        <v>&lt;ruby&gt;概念&lt;rt&gt;がいねん&lt;/rt&gt;&lt;/ruby&gt;&lt;br&gt;&lt;div class="audio"&gt;[sound:がいねん.mp3]&lt;/div&gt;</v>
      </c>
      <c r="H1746" s="3" t="str">
        <f t="shared" si="1"/>
        <v>(n): khái niệm</v>
      </c>
      <c r="I1746" s="6" t="s">
        <v>9533</v>
      </c>
      <c r="J1746" s="6" t="s">
        <v>9534</v>
      </c>
      <c r="K1746" s="7">
        <f t="shared" si="2"/>
        <v>0.3384828742</v>
      </c>
    </row>
    <row r="1747">
      <c r="A1747" s="4">
        <v>1747.0</v>
      </c>
      <c r="B1747" s="5" t="s">
        <v>9535</v>
      </c>
      <c r="C1747" s="5" t="s">
        <v>9536</v>
      </c>
      <c r="D1747" s="5" t="s">
        <v>9537</v>
      </c>
      <c r="E1747" s="6" t="s">
        <v>74</v>
      </c>
      <c r="F1747" s="6" t="s">
        <v>9538</v>
      </c>
      <c r="G1747" s="3" t="str">
        <f>IFERROR(__xludf.DUMMYFUNCTION("REGEXREPLACE(
D1747,
""([一-龯々]+)\[([^\]]+)\]"",
""&lt;ruby&gt;$1&lt;rt&gt;$2&lt;/rt&gt;&lt;/ruby&gt;""
)&amp;""&lt;br&gt;&lt;div class=""""audio""""&gt;[sound:""&amp;C1747&amp;"".mp3]&lt;/div&gt;"""),"&lt;ruby&gt;権力&lt;rt&gt;けんりょく&lt;/rt&gt;&lt;/ruby&gt;&lt;br&gt;&lt;div class=""audio""&gt;[sound:けんりょく.mp3]&lt;/div&gt;")</f>
        <v>&lt;ruby&gt;権力&lt;rt&gt;けんりょく&lt;/rt&gt;&lt;/ruby&gt;&lt;br&gt;&lt;div class="audio"&gt;[sound:けんりょく.mp3]&lt;/div&gt;</v>
      </c>
      <c r="H1747" s="3" t="str">
        <f t="shared" si="1"/>
        <v>(n): quyền lực</v>
      </c>
      <c r="I1747" s="6" t="s">
        <v>9539</v>
      </c>
      <c r="J1747" s="6" t="s">
        <v>9540</v>
      </c>
      <c r="K1747" s="7">
        <f t="shared" si="2"/>
        <v>0.9443626043</v>
      </c>
    </row>
    <row r="1748">
      <c r="A1748" s="4">
        <v>1748.0</v>
      </c>
      <c r="B1748" s="5" t="s">
        <v>9541</v>
      </c>
      <c r="C1748" s="5" t="s">
        <v>9542</v>
      </c>
      <c r="D1748" s="5" t="s">
        <v>9543</v>
      </c>
      <c r="E1748" s="6" t="s">
        <v>74</v>
      </c>
      <c r="F1748" s="6" t="s">
        <v>9544</v>
      </c>
      <c r="G1748" s="3" t="str">
        <f>IFERROR(__xludf.DUMMYFUNCTION("REGEXREPLACE(
D1748,
""([一-龯々]+)\[([^\]]+)\]"",
""&lt;ruby&gt;$1&lt;rt&gt;$2&lt;/rt&gt;&lt;/ruby&gt;""
)&amp;""&lt;br&gt;&lt;div class=""""audio""""&gt;[sound:""&amp;C1748&amp;"".mp3]&lt;/div&gt;"""),"&lt;ruby&gt;決意&lt;rt&gt;けつい&lt;/rt&gt;&lt;/ruby&gt;&lt;br&gt;&lt;div class=""audio""&gt;[sound:けつい.mp3]&lt;/div&gt;")</f>
        <v>&lt;ruby&gt;決意&lt;rt&gt;けつい&lt;/rt&gt;&lt;/ruby&gt;&lt;br&gt;&lt;div class="audio"&gt;[sound:けつい.mp3]&lt;/div&gt;</v>
      </c>
      <c r="H1748" s="3" t="str">
        <f t="shared" si="1"/>
        <v>(n): quyết tâm</v>
      </c>
      <c r="I1748" s="6" t="s">
        <v>9545</v>
      </c>
      <c r="J1748" s="6" t="s">
        <v>9546</v>
      </c>
      <c r="K1748" s="7">
        <f t="shared" si="2"/>
        <v>0.8644996397</v>
      </c>
    </row>
    <row r="1749">
      <c r="A1749" s="4">
        <v>1749.0</v>
      </c>
      <c r="B1749" s="5" t="s">
        <v>9547</v>
      </c>
      <c r="C1749" s="5" t="s">
        <v>9548</v>
      </c>
      <c r="D1749" s="5" t="s">
        <v>9549</v>
      </c>
      <c r="E1749" s="6" t="s">
        <v>74</v>
      </c>
      <c r="F1749" s="6" t="s">
        <v>9550</v>
      </c>
      <c r="G1749" s="3" t="str">
        <f>IFERROR(__xludf.DUMMYFUNCTION("REGEXREPLACE(
D1749,
""([一-龯々]+)\[([^\]]+)\]"",
""&lt;ruby&gt;$1&lt;rt&gt;$2&lt;/rt&gt;&lt;/ruby&gt;""
)&amp;""&lt;br&gt;&lt;div class=""""audio""""&gt;[sound:""&amp;C1749&amp;"".mp3]&lt;/div&gt;"""),"&lt;ruby&gt;流通&lt;rt&gt;りゅうつう&lt;/rt&gt;&lt;/ruby&gt;&lt;br&gt;&lt;div class=""audio""&gt;[sound:りゅうつう.mp3]&lt;/div&gt;")</f>
        <v>&lt;ruby&gt;流通&lt;rt&gt;りゅうつう&lt;/rt&gt;&lt;/ruby&gt;&lt;br&gt;&lt;div class="audio"&gt;[sound:りゅうつう.mp3]&lt;/div&gt;</v>
      </c>
      <c r="H1749" s="3" t="str">
        <f t="shared" si="1"/>
        <v>(n): lưu thông</v>
      </c>
      <c r="I1749" s="6" t="s">
        <v>9551</v>
      </c>
      <c r="J1749" s="6" t="s">
        <v>9552</v>
      </c>
      <c r="K1749" s="7">
        <f t="shared" si="2"/>
        <v>0.7937364127</v>
      </c>
    </row>
    <row r="1750">
      <c r="A1750" s="4">
        <v>1750.0</v>
      </c>
      <c r="B1750" s="5" t="s">
        <v>9553</v>
      </c>
      <c r="C1750" s="5" t="s">
        <v>9554</v>
      </c>
      <c r="D1750" s="5" t="s">
        <v>9555</v>
      </c>
      <c r="E1750" s="6" t="s">
        <v>74</v>
      </c>
      <c r="F1750" s="6" t="s">
        <v>9556</v>
      </c>
      <c r="G1750" s="3" t="str">
        <f>IFERROR(__xludf.DUMMYFUNCTION("REGEXREPLACE(
D1750,
""([一-龯々]+)\[([^\]]+)\]"",
""&lt;ruby&gt;$1&lt;rt&gt;$2&lt;/rt&gt;&lt;/ruby&gt;""
)&amp;""&lt;br&gt;&lt;div class=""""audio""""&gt;[sound:""&amp;C1750&amp;"".mp3]&lt;/div&gt;"""),"&lt;ruby&gt;解除&lt;rt&gt;かいじょ&lt;/rt&gt;&lt;/ruby&gt;&lt;br&gt;&lt;div class=""audio""&gt;[sound:かいじょ.mp3]&lt;/div&gt;")</f>
        <v>&lt;ruby&gt;解除&lt;rt&gt;かいじょ&lt;/rt&gt;&lt;/ruby&gt;&lt;br&gt;&lt;div class="audio"&gt;[sound:かいじょ.mp3]&lt;/div&gt;</v>
      </c>
      <c r="H1750" s="3" t="str">
        <f t="shared" si="1"/>
        <v>(n): sự bãi bỏ</v>
      </c>
      <c r="I1750" s="6" t="s">
        <v>9557</v>
      </c>
      <c r="J1750" s="6" t="s">
        <v>9558</v>
      </c>
      <c r="K1750" s="7">
        <f t="shared" si="2"/>
        <v>0.475350743</v>
      </c>
    </row>
    <row r="1751">
      <c r="A1751" s="4">
        <v>1751.0</v>
      </c>
      <c r="B1751" s="5" t="s">
        <v>9559</v>
      </c>
      <c r="C1751" s="5" t="s">
        <v>9560</v>
      </c>
      <c r="D1751" s="5" t="s">
        <v>9561</v>
      </c>
      <c r="E1751" s="6" t="s">
        <v>24</v>
      </c>
      <c r="F1751" s="6" t="s">
        <v>9562</v>
      </c>
      <c r="G1751" s="3" t="str">
        <f>IFERROR(__xludf.DUMMYFUNCTION("REGEXREPLACE(
D1751,
""([一-龯々]+)\[([^\]]+)\]"",
""&lt;ruby&gt;$1&lt;rt&gt;$2&lt;/rt&gt;&lt;/ruby&gt;""
)&amp;""&lt;br&gt;&lt;div class=""""audio""""&gt;[sound:""&amp;C1751&amp;"".mp3]&lt;/div&gt;"""),"&lt;ruby&gt;込&lt;rt&gt;こ&lt;/rt&gt;&lt;/ruby&gt;める&lt;br&gt;&lt;div class=""audio""&gt;[sound:こめる.mp3]&lt;/div&gt;")</f>
        <v>&lt;ruby&gt;込&lt;rt&gt;こ&lt;/rt&gt;&lt;/ruby&gt;める&lt;br&gt;&lt;div class="audio"&gt;[sound:こめる.mp3]&lt;/div&gt;</v>
      </c>
      <c r="H1751" s="3" t="str">
        <f t="shared" si="1"/>
        <v>(v): chứa đựng</v>
      </c>
      <c r="I1751" s="6" t="s">
        <v>9563</v>
      </c>
      <c r="J1751" s="6" t="s">
        <v>9564</v>
      </c>
      <c r="K1751" s="7">
        <f t="shared" si="2"/>
        <v>0.1355726549</v>
      </c>
    </row>
    <row r="1752">
      <c r="A1752" s="4">
        <v>1752.0</v>
      </c>
      <c r="B1752" s="5" t="s">
        <v>9565</v>
      </c>
      <c r="C1752" s="5" t="s">
        <v>9566</v>
      </c>
      <c r="D1752" s="5" t="s">
        <v>9567</v>
      </c>
      <c r="E1752" s="6" t="s">
        <v>74</v>
      </c>
      <c r="F1752" s="6" t="s">
        <v>9568</v>
      </c>
      <c r="G1752" s="3" t="str">
        <f>IFERROR(__xludf.DUMMYFUNCTION("REGEXREPLACE(
D1752,
""([一-龯々]+)\[([^\]]+)\]"",
""&lt;ruby&gt;$1&lt;rt&gt;$2&lt;/rt&gt;&lt;/ruby&gt;""
)&amp;""&lt;br&gt;&lt;div class=""""audio""""&gt;[sound:""&amp;C1752&amp;"".mp3]&lt;/div&gt;"""),"&lt;ruby&gt;配置&lt;rt&gt;はいち&lt;/rt&gt;&lt;/ruby&gt;&lt;br&gt;&lt;div class=""audio""&gt;[sound:はいち.mp3]&lt;/div&gt;")</f>
        <v>&lt;ruby&gt;配置&lt;rt&gt;はいち&lt;/rt&gt;&lt;/ruby&gt;&lt;br&gt;&lt;div class="audio"&gt;[sound:はいち.mp3]&lt;/div&gt;</v>
      </c>
      <c r="H1752" s="3" t="str">
        <f t="shared" si="1"/>
        <v>(n): sự bố trí</v>
      </c>
      <c r="I1752" s="6" t="s">
        <v>9569</v>
      </c>
      <c r="J1752" s="6" t="s">
        <v>9570</v>
      </c>
      <c r="K1752" s="7">
        <f t="shared" si="2"/>
        <v>0.2699237393</v>
      </c>
    </row>
    <row r="1753">
      <c r="A1753" s="4">
        <v>1753.0</v>
      </c>
      <c r="B1753" s="5" t="s">
        <v>9571</v>
      </c>
      <c r="C1753" s="5" t="s">
        <v>9572</v>
      </c>
      <c r="D1753" s="5" t="s">
        <v>9571</v>
      </c>
      <c r="E1753" s="6" t="s">
        <v>74</v>
      </c>
      <c r="F1753" s="6" t="s">
        <v>9573</v>
      </c>
      <c r="G1753" s="3" t="str">
        <f>IFERROR(__xludf.DUMMYFUNCTION("REGEXREPLACE(
D1753,
""([一-龯々]+)\[([^\]]+)\]"",
""&lt;ruby&gt;$1&lt;rt&gt;$2&lt;/rt&gt;&lt;/ruby&gt;""
)&amp;""&lt;br&gt;&lt;div class=""""audio""""&gt;[sound:""&amp;C1753&amp;"".mp3]&lt;/div&gt;"""),"カテゴリー&lt;br&gt;&lt;div class=""audio""&gt;[sound:かてごりー.mp3]&lt;/div&gt;")</f>
        <v>カテゴリー&lt;br&gt;&lt;div class="audio"&gt;[sound:かてごりー.mp3]&lt;/div&gt;</v>
      </c>
      <c r="H1753" s="3" t="str">
        <f t="shared" si="1"/>
        <v>(n): hạng mục</v>
      </c>
      <c r="I1753" s="6" t="s">
        <v>9574</v>
      </c>
      <c r="J1753" s="6" t="s">
        <v>9575</v>
      </c>
      <c r="K1753" s="7">
        <f t="shared" si="2"/>
        <v>0.6027111016</v>
      </c>
    </row>
    <row r="1754">
      <c r="A1754" s="4">
        <v>1754.0</v>
      </c>
      <c r="B1754" s="5" t="s">
        <v>9576</v>
      </c>
      <c r="C1754" s="5" t="s">
        <v>9576</v>
      </c>
      <c r="D1754" s="5" t="s">
        <v>9576</v>
      </c>
      <c r="E1754" s="6" t="s">
        <v>85</v>
      </c>
      <c r="F1754" s="6" t="s">
        <v>9577</v>
      </c>
      <c r="G1754" s="3" t="str">
        <f>IFERROR(__xludf.DUMMYFUNCTION("REGEXREPLACE(
D1754,
""([一-龯々]+)\[([^\]]+)\]"",
""&lt;ruby&gt;$1&lt;rt&gt;$2&lt;/rt&gt;&lt;/ruby&gt;""
)&amp;""&lt;br&gt;&lt;div class=""""audio""""&gt;[sound:""&amp;C1754&amp;"".mp3]&lt;/div&gt;"""),"じっくり&lt;br&gt;&lt;div class=""audio""&gt;[sound:じっくり.mp3]&lt;/div&gt;")</f>
        <v>じっくり&lt;br&gt;&lt;div class="audio"&gt;[sound:じっくり.mp3]&lt;/div&gt;</v>
      </c>
      <c r="H1754" s="3" t="str">
        <f t="shared" si="1"/>
        <v>(adv): kỹ lưỡng</v>
      </c>
      <c r="I1754" s="6" t="s">
        <v>9578</v>
      </c>
      <c r="J1754" s="6" t="s">
        <v>9579</v>
      </c>
      <c r="K1754" s="7">
        <f t="shared" si="2"/>
        <v>0.6744333468</v>
      </c>
    </row>
    <row r="1755">
      <c r="A1755" s="4">
        <v>1755.0</v>
      </c>
      <c r="B1755" s="5" t="s">
        <v>9580</v>
      </c>
      <c r="C1755" s="5" t="s">
        <v>9581</v>
      </c>
      <c r="D1755" s="5" t="s">
        <v>9580</v>
      </c>
      <c r="E1755" s="6" t="s">
        <v>74</v>
      </c>
      <c r="F1755" s="6" t="s">
        <v>9582</v>
      </c>
      <c r="G1755" s="3" t="str">
        <f>IFERROR(__xludf.DUMMYFUNCTION("REGEXREPLACE(
D1755,
""([一-龯々]+)\[([^\]]+)\]"",
""&lt;ruby&gt;$1&lt;rt&gt;$2&lt;/rt&gt;&lt;/ruby&gt;""
)&amp;""&lt;br&gt;&lt;div class=""""audio""""&gt;[sound:""&amp;C1755&amp;"".mp3]&lt;/div&gt;"""),"セックス&lt;br&gt;&lt;div class=""audio""&gt;[sound:せっくす.mp3]&lt;/div&gt;")</f>
        <v>セックス&lt;br&gt;&lt;div class="audio"&gt;[sound:せっくす.mp3]&lt;/div&gt;</v>
      </c>
      <c r="H1755" s="3" t="str">
        <f t="shared" si="1"/>
        <v>(n): tình dục</v>
      </c>
      <c r="I1755" s="6" t="s">
        <v>9583</v>
      </c>
      <c r="J1755" s="6" t="s">
        <v>9584</v>
      </c>
      <c r="K1755" s="7">
        <f t="shared" si="2"/>
        <v>0.5609648238</v>
      </c>
    </row>
    <row r="1756">
      <c r="A1756" s="4">
        <v>1756.0</v>
      </c>
      <c r="B1756" s="5" t="s">
        <v>9585</v>
      </c>
      <c r="C1756" s="5" t="s">
        <v>9586</v>
      </c>
      <c r="D1756" s="5" t="s">
        <v>9585</v>
      </c>
      <c r="E1756" s="6" t="s">
        <v>74</v>
      </c>
      <c r="F1756" s="6" t="s">
        <v>9587</v>
      </c>
      <c r="G1756" s="3" t="str">
        <f>IFERROR(__xludf.DUMMYFUNCTION("REGEXREPLACE(
D1756,
""([一-龯々]+)\[([^\]]+)\]"",
""&lt;ruby&gt;$1&lt;rt&gt;$2&lt;/rt&gt;&lt;/ruby&gt;""
)&amp;""&lt;br&gt;&lt;div class=""""audio""""&gt;[sound:""&amp;C1756&amp;"".mp3]&lt;/div&gt;"""),"ソース&lt;br&gt;&lt;div class=""audio""&gt;[sound:そーす.mp3]&lt;/div&gt;")</f>
        <v>ソース&lt;br&gt;&lt;div class="audio"&gt;[sound:そーす.mp3]&lt;/div&gt;</v>
      </c>
      <c r="H1756" s="3" t="str">
        <f t="shared" si="1"/>
        <v>(n): nước sốt</v>
      </c>
      <c r="I1756" s="6" t="s">
        <v>9588</v>
      </c>
      <c r="J1756" s="6" t="s">
        <v>9589</v>
      </c>
      <c r="K1756" s="7">
        <f t="shared" si="2"/>
        <v>0.8199103761</v>
      </c>
    </row>
    <row r="1757">
      <c r="A1757" s="4">
        <v>1757.0</v>
      </c>
      <c r="B1757" s="5" t="s">
        <v>9590</v>
      </c>
      <c r="C1757" s="5" t="s">
        <v>9591</v>
      </c>
      <c r="D1757" s="5" t="s">
        <v>9590</v>
      </c>
      <c r="E1757" s="6" t="s">
        <v>24</v>
      </c>
      <c r="F1757" s="6" t="s">
        <v>824</v>
      </c>
      <c r="G1757" s="3" t="str">
        <f>IFERROR(__xludf.DUMMYFUNCTION("REGEXREPLACE(
D1757,
""([一-龯々]+)\[([^\]]+)\]"",
""&lt;ruby&gt;$1&lt;rt&gt;$2&lt;/rt&gt;&lt;/ruby&gt;""
)&amp;""&lt;br&gt;&lt;div class=""""audio""""&gt;[sound:""&amp;C1757&amp;"".mp3]&lt;/div&gt;"""),"チェンジ&lt;br&gt;&lt;div class=""audio""&gt;[sound:ちぇんじ.mp3]&lt;/div&gt;")</f>
        <v>チェンジ&lt;br&gt;&lt;div class="audio"&gt;[sound:ちぇんじ.mp3]&lt;/div&gt;</v>
      </c>
      <c r="H1757" s="3" t="str">
        <f t="shared" si="1"/>
        <v>(v): thay đổi</v>
      </c>
      <c r="I1757" s="6" t="s">
        <v>9592</v>
      </c>
      <c r="J1757" s="6" t="s">
        <v>9593</v>
      </c>
      <c r="K1757" s="7">
        <f t="shared" si="2"/>
        <v>0.6466160104</v>
      </c>
    </row>
    <row r="1758">
      <c r="A1758" s="4">
        <v>1758.0</v>
      </c>
      <c r="B1758" s="5" t="s">
        <v>9594</v>
      </c>
      <c r="C1758" s="5" t="s">
        <v>9595</v>
      </c>
      <c r="D1758" s="5" t="s">
        <v>9594</v>
      </c>
      <c r="E1758" s="6" t="s">
        <v>74</v>
      </c>
      <c r="F1758" s="6" t="s">
        <v>9596</v>
      </c>
      <c r="G1758" s="3" t="str">
        <f>IFERROR(__xludf.DUMMYFUNCTION("REGEXREPLACE(
D1758,
""([一-龯々]+)\[([^\]]+)\]"",
""&lt;ruby&gt;$1&lt;rt&gt;$2&lt;/rt&gt;&lt;/ruby&gt;""
)&amp;""&lt;br&gt;&lt;div class=""""audio""""&gt;[sound:""&amp;C1758&amp;"".mp3]&lt;/div&gt;"""),"フォーム&lt;br&gt;&lt;div class=""audio""&gt;[sound:ふぉーむ.mp3]&lt;/div&gt;")</f>
        <v>フォーム&lt;br&gt;&lt;div class="audio"&gt;[sound:ふぉーむ.mp3]&lt;/div&gt;</v>
      </c>
      <c r="H1758" s="3" t="str">
        <f t="shared" si="1"/>
        <v>(n): biểu mẫu</v>
      </c>
      <c r="I1758" s="6" t="s">
        <v>9597</v>
      </c>
      <c r="J1758" s="6" t="s">
        <v>9598</v>
      </c>
      <c r="K1758" s="7">
        <f t="shared" si="2"/>
        <v>0.5446120051</v>
      </c>
    </row>
    <row r="1759">
      <c r="A1759" s="4">
        <v>1759.0</v>
      </c>
      <c r="B1759" s="5" t="s">
        <v>9599</v>
      </c>
      <c r="C1759" s="5" t="s">
        <v>9600</v>
      </c>
      <c r="D1759" s="5" t="s">
        <v>9601</v>
      </c>
      <c r="E1759" s="6" t="s">
        <v>24</v>
      </c>
      <c r="F1759" s="6" t="s">
        <v>9602</v>
      </c>
      <c r="G1759" s="3" t="str">
        <f>IFERROR(__xludf.DUMMYFUNCTION("REGEXREPLACE(
D1759,
""([一-龯々]+)\[([^\]]+)\]"",
""&lt;ruby&gt;$1&lt;rt&gt;$2&lt;/rt&gt;&lt;/ruby&gt;""
)&amp;""&lt;br&gt;&lt;div class=""""audio""""&gt;[sound:""&amp;C1759&amp;"".mp3]&lt;/div&gt;"""),"&lt;ruby&gt;上回&lt;rt&gt;うわまわ&lt;/rt&gt;&lt;/ruby&gt;る&lt;br&gt;&lt;div class=""audio""&gt;[sound:うわまわる.mp3]&lt;/div&gt;")</f>
        <v>&lt;ruby&gt;上回&lt;rt&gt;うわまわ&lt;/rt&gt;&lt;/ruby&gt;る&lt;br&gt;&lt;div class="audio"&gt;[sound:うわまわる.mp3]&lt;/div&gt;</v>
      </c>
      <c r="H1759" s="3" t="str">
        <f t="shared" si="1"/>
        <v>(v): vượt quá</v>
      </c>
      <c r="I1759" s="6" t="s">
        <v>9603</v>
      </c>
      <c r="J1759" s="6" t="s">
        <v>9604</v>
      </c>
      <c r="K1759" s="7">
        <f t="shared" si="2"/>
        <v>0.6875475994</v>
      </c>
    </row>
    <row r="1760">
      <c r="A1760" s="4">
        <v>1760.0</v>
      </c>
      <c r="B1760" s="5" t="s">
        <v>9605</v>
      </c>
      <c r="C1760" s="5" t="s">
        <v>9606</v>
      </c>
      <c r="D1760" s="5" t="s">
        <v>9607</v>
      </c>
      <c r="E1760" s="6" t="s">
        <v>24</v>
      </c>
      <c r="F1760" s="6" t="s">
        <v>9608</v>
      </c>
      <c r="G1760" s="3" t="str">
        <f>IFERROR(__xludf.DUMMYFUNCTION("REGEXREPLACE(
D1760,
""([一-龯々]+)\[([^\]]+)\]"",
""&lt;ruby&gt;$1&lt;rt&gt;$2&lt;/rt&gt;&lt;/ruby&gt;""
)&amp;""&lt;br&gt;&lt;div class=""""audio""""&gt;[sound:""&amp;C1760&amp;"".mp3]&lt;/div&gt;"""),"&lt;ruby&gt;伴&lt;rt&gt;ともな&lt;/rt&gt;&lt;/ruby&gt;う&lt;br&gt;&lt;div class=""audio""&gt;[sound:ともなう.mp3]&lt;/div&gt;")</f>
        <v>&lt;ruby&gt;伴&lt;rt&gt;ともな&lt;/rt&gt;&lt;/ruby&gt;う&lt;br&gt;&lt;div class="audio"&gt;[sound:ともなう.mp3]&lt;/div&gt;</v>
      </c>
      <c r="H1760" s="3" t="str">
        <f t="shared" si="1"/>
        <v>(v): kéo theo</v>
      </c>
      <c r="I1760" s="6" t="s">
        <v>9609</v>
      </c>
      <c r="J1760" s="6" t="s">
        <v>9610</v>
      </c>
      <c r="K1760" s="7">
        <f t="shared" si="2"/>
        <v>0.5049967833</v>
      </c>
    </row>
    <row r="1761">
      <c r="A1761" s="4">
        <v>1761.0</v>
      </c>
      <c r="B1761" s="5" t="s">
        <v>9611</v>
      </c>
      <c r="C1761" s="5" t="s">
        <v>9612</v>
      </c>
      <c r="D1761" s="5" t="s">
        <v>9613</v>
      </c>
      <c r="E1761" s="6" t="s">
        <v>74</v>
      </c>
      <c r="F1761" s="6" t="s">
        <v>8408</v>
      </c>
      <c r="G1761" s="3" t="str">
        <f>IFERROR(__xludf.DUMMYFUNCTION("REGEXREPLACE(
D1761,
""([一-龯々]+)\[([^\]]+)\]"",
""&lt;ruby&gt;$1&lt;rt&gt;$2&lt;/rt&gt;&lt;/ruby&gt;""
)&amp;""&lt;br&gt;&lt;div class=""""audio""""&gt;[sound:""&amp;C1761&amp;"".mp3]&lt;/div&gt;"""),"&lt;ruby&gt;動向&lt;rt&gt;どうこう&lt;/rt&gt;&lt;/ruby&gt;&lt;br&gt;&lt;div class=""audio""&gt;[sound:どうこう.mp3]&lt;/div&gt;")</f>
        <v>&lt;ruby&gt;動向&lt;rt&gt;どうこう&lt;/rt&gt;&lt;/ruby&gt;&lt;br&gt;&lt;div class="audio"&gt;[sound:どうこう.mp3]&lt;/div&gt;</v>
      </c>
      <c r="H1761" s="3" t="str">
        <f t="shared" si="1"/>
        <v>(n): xu hướng</v>
      </c>
      <c r="I1761" s="6" t="s">
        <v>9614</v>
      </c>
      <c r="J1761" s="6" t="s">
        <v>9615</v>
      </c>
      <c r="K1761" s="7">
        <f t="shared" si="2"/>
        <v>0.4186587378</v>
      </c>
    </row>
    <row r="1762">
      <c r="A1762" s="4">
        <v>1762.0</v>
      </c>
      <c r="B1762" s="5" t="s">
        <v>9616</v>
      </c>
      <c r="C1762" s="5" t="s">
        <v>9617</v>
      </c>
      <c r="D1762" s="5" t="s">
        <v>9618</v>
      </c>
      <c r="E1762" s="6" t="s">
        <v>74</v>
      </c>
      <c r="F1762" s="6" t="s">
        <v>9619</v>
      </c>
      <c r="G1762" s="3" t="str">
        <f>IFERROR(__xludf.DUMMYFUNCTION("REGEXREPLACE(
D1762,
""([一-龯々]+)\[([^\]]+)\]"",
""&lt;ruby&gt;$1&lt;rt&gt;$2&lt;/rt&gt;&lt;/ruby&gt;""
)&amp;""&lt;br&gt;&lt;div class=""""audio""""&gt;[sound:""&amp;C1762&amp;"".mp3]&lt;/div&gt;"""),"&lt;ruby&gt;各種&lt;rt&gt;かくしゅ&lt;/rt&gt;&lt;/ruby&gt;&lt;br&gt;&lt;div class=""audio""&gt;[sound:かくしゅ.mp3]&lt;/div&gt;")</f>
        <v>&lt;ruby&gt;各種&lt;rt&gt;かくしゅ&lt;/rt&gt;&lt;/ruby&gt;&lt;br&gt;&lt;div class="audio"&gt;[sound:かくしゅ.mp3]&lt;/div&gt;</v>
      </c>
      <c r="H1762" s="3" t="str">
        <f t="shared" si="1"/>
        <v>(n): các loại</v>
      </c>
      <c r="I1762" s="6" t="s">
        <v>9620</v>
      </c>
      <c r="J1762" s="6" t="s">
        <v>9621</v>
      </c>
      <c r="K1762" s="7">
        <f t="shared" si="2"/>
        <v>0.2712005304</v>
      </c>
    </row>
    <row r="1763">
      <c r="A1763" s="4">
        <v>1763.0</v>
      </c>
      <c r="B1763" s="5" t="s">
        <v>9622</v>
      </c>
      <c r="C1763" s="5" t="s">
        <v>9623</v>
      </c>
      <c r="D1763" s="5" t="s">
        <v>9624</v>
      </c>
      <c r="E1763" s="6" t="s">
        <v>24</v>
      </c>
      <c r="F1763" s="6" t="s">
        <v>9625</v>
      </c>
      <c r="G1763" s="3" t="str">
        <f>IFERROR(__xludf.DUMMYFUNCTION("REGEXREPLACE(
D1763,
""([一-龯々]+)\[([^\]]+)\]"",
""&lt;ruby&gt;$1&lt;rt&gt;$2&lt;/rt&gt;&lt;/ruby&gt;""
)&amp;""&lt;br&gt;&lt;div class=""""audio""""&gt;[sound:""&amp;C1763&amp;"".mp3]&lt;/div&gt;"""),"&lt;ruby&gt;定&lt;rt&gt;さだ&lt;/rt&gt;&lt;/ruby&gt;める&lt;br&gt;&lt;div class=""audio""&gt;[sound:さだめる.mp3]&lt;/div&gt;")</f>
        <v>&lt;ruby&gt;定&lt;rt&gt;さだ&lt;/rt&gt;&lt;/ruby&gt;める&lt;br&gt;&lt;div class="audio"&gt;[sound:さだめる.mp3]&lt;/div&gt;</v>
      </c>
      <c r="H1763" s="3" t="str">
        <f t="shared" si="1"/>
        <v>(v): xác định</v>
      </c>
      <c r="I1763" s="6" t="s">
        <v>9626</v>
      </c>
      <c r="J1763" s="6" t="s">
        <v>9627</v>
      </c>
      <c r="K1763" s="7">
        <f t="shared" si="2"/>
        <v>0.8604516537</v>
      </c>
    </row>
    <row r="1764">
      <c r="A1764" s="4">
        <v>1764.0</v>
      </c>
      <c r="B1764" s="5" t="s">
        <v>9628</v>
      </c>
      <c r="C1764" s="5" t="s">
        <v>249</v>
      </c>
      <c r="D1764" s="5" t="s">
        <v>9629</v>
      </c>
      <c r="E1764" s="6" t="s">
        <v>74</v>
      </c>
      <c r="F1764" s="6" t="s">
        <v>9630</v>
      </c>
      <c r="G1764" s="3" t="str">
        <f>IFERROR(__xludf.DUMMYFUNCTION("REGEXREPLACE(
D1764,
""([一-龯々]+)\[([^\]]+)\]"",
""&lt;ruby&gt;$1&lt;rt&gt;$2&lt;/rt&gt;&lt;/ruby&gt;""
)&amp;""&lt;br&gt;&lt;div class=""""audio""""&gt;[sound:""&amp;C1764&amp;"".mp3]&lt;/div&gt;"""),"&lt;ruby&gt;欲&lt;rt&gt;よく&lt;/rt&gt;&lt;/ruby&gt;&lt;br&gt;&lt;div class=""audio""&gt;[sound:よく.mp3]&lt;/div&gt;")</f>
        <v>&lt;ruby&gt;欲&lt;rt&gt;よく&lt;/rt&gt;&lt;/ruby&gt;&lt;br&gt;&lt;div class="audio"&gt;[sound:よく.mp3]&lt;/div&gt;</v>
      </c>
      <c r="H1764" s="3" t="str">
        <f t="shared" si="1"/>
        <v>(n): ham muốn</v>
      </c>
      <c r="I1764" s="6" t="s">
        <v>9631</v>
      </c>
      <c r="J1764" s="6" t="s">
        <v>9632</v>
      </c>
      <c r="K1764" s="7">
        <f t="shared" si="2"/>
        <v>0.4939051124</v>
      </c>
    </row>
    <row r="1765">
      <c r="A1765" s="4">
        <v>1765.0</v>
      </c>
      <c r="B1765" s="5" t="s">
        <v>9633</v>
      </c>
      <c r="C1765" s="5" t="s">
        <v>9634</v>
      </c>
      <c r="D1765" s="5" t="s">
        <v>9635</v>
      </c>
      <c r="E1765" s="6" t="s">
        <v>74</v>
      </c>
      <c r="F1765" s="6" t="s">
        <v>9636</v>
      </c>
      <c r="G1765" s="3" t="str">
        <f>IFERROR(__xludf.DUMMYFUNCTION("REGEXREPLACE(
D1765,
""([一-龯々]+)\[([^\]]+)\]"",
""&lt;ruby&gt;$1&lt;rt&gt;$2&lt;/rt&gt;&lt;/ruby&gt;""
)&amp;""&lt;br&gt;&lt;div class=""""audio""""&gt;[sound:""&amp;C1765&amp;"".mp3]&lt;/div&gt;"""),"&lt;ruby&gt;災害&lt;rt&gt;さいがい&lt;/rt&gt;&lt;/ruby&gt;&lt;br&gt;&lt;div class=""audio""&gt;[sound:さいがい.mp3]&lt;/div&gt;")</f>
        <v>&lt;ruby&gt;災害&lt;rt&gt;さいがい&lt;/rt&gt;&lt;/ruby&gt;&lt;br&gt;&lt;div class="audio"&gt;[sound:さいがい.mp3]&lt;/div&gt;</v>
      </c>
      <c r="H1765" s="3" t="str">
        <f t="shared" si="1"/>
        <v>(n): thảm họa</v>
      </c>
      <c r="I1765" s="6" t="s">
        <v>9637</v>
      </c>
      <c r="J1765" s="6" t="s">
        <v>9638</v>
      </c>
      <c r="K1765" s="7">
        <f t="shared" si="2"/>
        <v>0.4289470543</v>
      </c>
    </row>
    <row r="1766">
      <c r="A1766" s="4">
        <v>1766.0</v>
      </c>
      <c r="B1766" s="5" t="s">
        <v>9639</v>
      </c>
      <c r="C1766" s="5" t="s">
        <v>9640</v>
      </c>
      <c r="D1766" s="5" t="s">
        <v>9641</v>
      </c>
      <c r="E1766" s="6" t="s">
        <v>74</v>
      </c>
      <c r="F1766" s="6" t="s">
        <v>9642</v>
      </c>
      <c r="G1766" s="3" t="str">
        <f>IFERROR(__xludf.DUMMYFUNCTION("REGEXREPLACE(
D1766,
""([一-龯々]+)\[([^\]]+)\]"",
""&lt;ruby&gt;$1&lt;rt&gt;$2&lt;/rt&gt;&lt;/ruby&gt;""
)&amp;""&lt;br&gt;&lt;div class=""""audio""""&gt;[sound:""&amp;C1766&amp;"".mp3]&lt;/div&gt;"""),"&lt;ruby&gt;総合&lt;rt&gt;そうごう&lt;/rt&gt;&lt;/ruby&gt;&lt;br&gt;&lt;div class=""audio""&gt;[sound:そうごう.mp3]&lt;/div&gt;")</f>
        <v>&lt;ruby&gt;総合&lt;rt&gt;そうごう&lt;/rt&gt;&lt;/ruby&gt;&lt;br&gt;&lt;div class="audio"&gt;[sound:そうごう.mp3]&lt;/div&gt;</v>
      </c>
      <c r="H1766" s="3" t="str">
        <f t="shared" si="1"/>
        <v>(n): tổng hợp</v>
      </c>
      <c r="I1766" s="6" t="s">
        <v>9643</v>
      </c>
      <c r="J1766" s="6" t="s">
        <v>9644</v>
      </c>
      <c r="K1766" s="7">
        <f t="shared" si="2"/>
        <v>0.279621875</v>
      </c>
    </row>
    <row r="1767">
      <c r="A1767" s="4">
        <v>1767.0</v>
      </c>
      <c r="B1767" s="5" t="s">
        <v>9645</v>
      </c>
      <c r="C1767" s="5" t="s">
        <v>9646</v>
      </c>
      <c r="D1767" s="5" t="s">
        <v>9647</v>
      </c>
      <c r="E1767" s="6" t="s">
        <v>24</v>
      </c>
      <c r="F1767" s="6" t="s">
        <v>9648</v>
      </c>
      <c r="G1767" s="3" t="str">
        <f>IFERROR(__xludf.DUMMYFUNCTION("REGEXREPLACE(
D1767,
""([一-龯々]+)\[([^\]]+)\]"",
""&lt;ruby&gt;$1&lt;rt&gt;$2&lt;/rt&gt;&lt;/ruby&gt;""
)&amp;""&lt;br&gt;&lt;div class=""""audio""""&gt;[sound:""&amp;C1767&amp;"".mp3]&lt;/div&gt;"""),"&lt;ruby&gt;緩&lt;rt&gt;ゆる&lt;/rt&gt;&lt;/ruby&gt;める&lt;br&gt;&lt;div class=""audio""&gt;[sound:ゆるめる.mp3]&lt;/div&gt;")</f>
        <v>&lt;ruby&gt;緩&lt;rt&gt;ゆる&lt;/rt&gt;&lt;/ruby&gt;める&lt;br&gt;&lt;div class="audio"&gt;[sound:ゆるめる.mp3]&lt;/div&gt;</v>
      </c>
      <c r="H1767" s="3" t="str">
        <f t="shared" si="1"/>
        <v>(v): nới lỏng</v>
      </c>
      <c r="I1767" s="6" t="s">
        <v>9649</v>
      </c>
      <c r="J1767" s="6" t="s">
        <v>9650</v>
      </c>
      <c r="K1767" s="7">
        <f t="shared" si="2"/>
        <v>0.4387003785</v>
      </c>
    </row>
    <row r="1768">
      <c r="A1768" s="4">
        <v>1768.0</v>
      </c>
      <c r="B1768" s="5" t="s">
        <v>9651</v>
      </c>
      <c r="C1768" s="5" t="s">
        <v>9652</v>
      </c>
      <c r="D1768" s="5" t="s">
        <v>9653</v>
      </c>
      <c r="E1768" s="6" t="s">
        <v>74</v>
      </c>
      <c r="F1768" s="6" t="s">
        <v>9654</v>
      </c>
      <c r="G1768" s="3" t="str">
        <f>IFERROR(__xludf.DUMMYFUNCTION("REGEXREPLACE(
D1768,
""([一-龯々]+)\[([^\]]+)\]"",
""&lt;ruby&gt;$1&lt;rt&gt;$2&lt;/rt&gt;&lt;/ruby&gt;""
)&amp;""&lt;br&gt;&lt;div class=""""audio""""&gt;[sound:""&amp;C1768&amp;"".mp3]&lt;/div&gt;"""),"&lt;ruby&gt;背後&lt;rt&gt;はいご&lt;/rt&gt;&lt;/ruby&gt;&lt;br&gt;&lt;div class=""audio""&gt;[sound:はいご.mp3]&lt;/div&gt;")</f>
        <v>&lt;ruby&gt;背後&lt;rt&gt;はいご&lt;/rt&gt;&lt;/ruby&gt;&lt;br&gt;&lt;div class="audio"&gt;[sound:はいご.mp3]&lt;/div&gt;</v>
      </c>
      <c r="H1768" s="3" t="str">
        <f t="shared" si="1"/>
        <v>(n): đằng sau</v>
      </c>
      <c r="I1768" s="6" t="s">
        <v>9655</v>
      </c>
      <c r="J1768" s="6" t="s">
        <v>9656</v>
      </c>
      <c r="K1768" s="7">
        <f t="shared" si="2"/>
        <v>0.8993446229</v>
      </c>
    </row>
    <row r="1769">
      <c r="A1769" s="4">
        <v>1769.0</v>
      </c>
      <c r="B1769" s="5" t="s">
        <v>9657</v>
      </c>
      <c r="C1769" s="5" t="s">
        <v>9658</v>
      </c>
      <c r="D1769" s="5" t="s">
        <v>9659</v>
      </c>
      <c r="E1769" s="6" t="s">
        <v>74</v>
      </c>
      <c r="F1769" s="6" t="s">
        <v>9660</v>
      </c>
      <c r="G1769" s="3" t="str">
        <f>IFERROR(__xludf.DUMMYFUNCTION("REGEXREPLACE(
D1769,
""([一-龯々]+)\[([^\]]+)\]"",
""&lt;ruby&gt;$1&lt;rt&gt;$2&lt;/rt&gt;&lt;/ruby&gt;""
)&amp;""&lt;br&gt;&lt;div class=""""audio""""&gt;[sound:""&amp;C1769&amp;"".mp3]&lt;/div&gt;"""),"&lt;ruby&gt;視野&lt;rt&gt;しや&lt;/rt&gt;&lt;/ruby&gt;&lt;br&gt;&lt;div class=""audio""&gt;[sound:しや.mp3]&lt;/div&gt;")</f>
        <v>&lt;ruby&gt;視野&lt;rt&gt;しや&lt;/rt&gt;&lt;/ruby&gt;&lt;br&gt;&lt;div class="audio"&gt;[sound:しや.mp3]&lt;/div&gt;</v>
      </c>
      <c r="H1769" s="3" t="str">
        <f t="shared" si="1"/>
        <v>(n): tầm nhìn</v>
      </c>
      <c r="I1769" s="6" t="s">
        <v>9661</v>
      </c>
      <c r="J1769" s="6" t="s">
        <v>9662</v>
      </c>
      <c r="K1769" s="7">
        <f t="shared" si="2"/>
        <v>0.5051024279</v>
      </c>
    </row>
    <row r="1770">
      <c r="A1770" s="4">
        <v>1770.0</v>
      </c>
      <c r="B1770" s="5" t="s">
        <v>9663</v>
      </c>
      <c r="C1770" s="5" t="s">
        <v>9664</v>
      </c>
      <c r="D1770" s="5" t="s">
        <v>9665</v>
      </c>
      <c r="E1770" s="6" t="s">
        <v>74</v>
      </c>
      <c r="F1770" s="6" t="s">
        <v>9666</v>
      </c>
      <c r="G1770" s="3" t="str">
        <f>IFERROR(__xludf.DUMMYFUNCTION("REGEXREPLACE(
D1770,
""([一-龯々]+)\[([^\]]+)\]"",
""&lt;ruby&gt;$1&lt;rt&gt;$2&lt;/rt&gt;&lt;/ruby&gt;""
)&amp;""&lt;br&gt;&lt;div class=""""audio""""&gt;[sound:""&amp;C1770&amp;"".mp3]&lt;/div&gt;"""),"&lt;ruby&gt;記述&lt;rt&gt;きじゅつ&lt;/rt&gt;&lt;/ruby&gt;&lt;br&gt;&lt;div class=""audio""&gt;[sound:きじゅつ.mp3]&lt;/div&gt;")</f>
        <v>&lt;ruby&gt;記述&lt;rt&gt;きじゅつ&lt;/rt&gt;&lt;/ruby&gt;&lt;br&gt;&lt;div class="audio"&gt;[sound:きじゅつ.mp3]&lt;/div&gt;</v>
      </c>
      <c r="H1770" s="3" t="str">
        <f t="shared" si="1"/>
        <v>(n): sự mô tả</v>
      </c>
      <c r="I1770" s="6" t="s">
        <v>9667</v>
      </c>
      <c r="J1770" s="6" t="s">
        <v>9668</v>
      </c>
      <c r="K1770" s="7">
        <f t="shared" si="2"/>
        <v>0.3080250749</v>
      </c>
    </row>
    <row r="1771">
      <c r="A1771" s="4">
        <v>1771.0</v>
      </c>
      <c r="B1771" s="5" t="s">
        <v>9669</v>
      </c>
      <c r="C1771" s="5" t="s">
        <v>9670</v>
      </c>
      <c r="D1771" s="5" t="s">
        <v>9671</v>
      </c>
      <c r="E1771" s="6" t="s">
        <v>24</v>
      </c>
      <c r="F1771" s="6" t="s">
        <v>3080</v>
      </c>
      <c r="G1771" s="3" t="str">
        <f>IFERROR(__xludf.DUMMYFUNCTION("REGEXREPLACE(
D1771,
""([一-龯々]+)\[([^\]]+)\]"",
""&lt;ruby&gt;$1&lt;rt&gt;$2&lt;/rt&gt;&lt;/ruby&gt;""
)&amp;""&lt;br&gt;&lt;div class=""""audio""""&gt;[sound:""&amp;C1771&amp;"".mp3]&lt;/div&gt;"""),"&lt;ruby&gt;踏&lt;rt&gt;ふ&lt;/rt&gt;&lt;/ruby&gt;まえる&lt;br&gt;&lt;div class=""audio""&gt;[sound:ふまえる.mp3]&lt;/div&gt;")</f>
        <v>&lt;ruby&gt;踏&lt;rt&gt;ふ&lt;/rt&gt;&lt;/ruby&gt;まえる&lt;br&gt;&lt;div class="audio"&gt;[sound:ふまえる.mp3]&lt;/div&gt;</v>
      </c>
      <c r="H1771" s="3" t="str">
        <f t="shared" si="1"/>
        <v>(v): dựa trên</v>
      </c>
      <c r="I1771" s="6" t="s">
        <v>9672</v>
      </c>
      <c r="J1771" s="6" t="s">
        <v>9673</v>
      </c>
      <c r="K1771" s="7">
        <f t="shared" si="2"/>
        <v>0.7569204796</v>
      </c>
    </row>
    <row r="1772">
      <c r="A1772" s="4">
        <v>1772.0</v>
      </c>
      <c r="B1772" s="5" t="s">
        <v>9674</v>
      </c>
      <c r="C1772" s="5" t="s">
        <v>9675</v>
      </c>
      <c r="D1772" s="5" t="s">
        <v>9676</v>
      </c>
      <c r="E1772" s="6" t="s">
        <v>24</v>
      </c>
      <c r="F1772" s="6" t="s">
        <v>2236</v>
      </c>
      <c r="G1772" s="3" t="str">
        <f>IFERROR(__xludf.DUMMYFUNCTION("REGEXREPLACE(
D1772,
""([一-龯々]+)\[([^\]]+)\]"",
""&lt;ruby&gt;$1&lt;rt&gt;$2&lt;/rt&gt;&lt;/ruby&gt;""
)&amp;""&lt;br&gt;&lt;div class=""""audio""""&gt;[sound:""&amp;C1772&amp;"".mp3]&lt;/div&gt;"""),"&lt;ruby&gt;遂&lt;rt&gt;と&lt;/rt&gt;&lt;/ruby&gt;げる&lt;br&gt;&lt;div class=""audio""&gt;[sound:とげる.mp3]&lt;/div&gt;")</f>
        <v>&lt;ruby&gt;遂&lt;rt&gt;と&lt;/rt&gt;&lt;/ruby&gt;げる&lt;br&gt;&lt;div class="audio"&gt;[sound:とげる.mp3]&lt;/div&gt;</v>
      </c>
      <c r="H1772" s="3" t="str">
        <f t="shared" si="1"/>
        <v>(v): đạt được</v>
      </c>
      <c r="I1772" s="6" t="s">
        <v>9677</v>
      </c>
      <c r="J1772" s="6" t="s">
        <v>9678</v>
      </c>
      <c r="K1772" s="7">
        <f t="shared" si="2"/>
        <v>0.6742661032</v>
      </c>
    </row>
    <row r="1773">
      <c r="A1773" s="4">
        <v>1773.0</v>
      </c>
      <c r="B1773" s="5" t="s">
        <v>9679</v>
      </c>
      <c r="C1773" s="5" t="s">
        <v>9680</v>
      </c>
      <c r="D1773" s="5" t="s">
        <v>9681</v>
      </c>
      <c r="E1773" s="6" t="s">
        <v>74</v>
      </c>
      <c r="F1773" s="6" t="s">
        <v>9682</v>
      </c>
      <c r="G1773" s="3" t="str">
        <f>IFERROR(__xludf.DUMMYFUNCTION("REGEXREPLACE(
D1773,
""([一-龯々]+)\[([^\]]+)\]"",
""&lt;ruby&gt;$1&lt;rt&gt;$2&lt;/rt&gt;&lt;/ruby&gt;""
)&amp;""&lt;br&gt;&lt;div class=""""audio""""&gt;[sound:""&amp;C1773&amp;"".mp3]&lt;/div&gt;"""),"&lt;ruby&gt;部下&lt;rt&gt;ぶか&lt;/rt&gt;&lt;/ruby&gt;&lt;br&gt;&lt;div class=""audio""&gt;[sound:ぶか.mp3]&lt;/div&gt;")</f>
        <v>&lt;ruby&gt;部下&lt;rt&gt;ぶか&lt;/rt&gt;&lt;/ruby&gt;&lt;br&gt;&lt;div class="audio"&gt;[sound:ぶか.mp3]&lt;/div&gt;</v>
      </c>
      <c r="H1773" s="3" t="str">
        <f t="shared" si="1"/>
        <v>(n): cấp dưới</v>
      </c>
      <c r="I1773" s="6" t="s">
        <v>9683</v>
      </c>
      <c r="J1773" s="6" t="s">
        <v>9684</v>
      </c>
      <c r="K1773" s="7">
        <f t="shared" si="2"/>
        <v>0.7478695765</v>
      </c>
    </row>
    <row r="1774">
      <c r="A1774" s="4">
        <v>1774.0</v>
      </c>
      <c r="B1774" s="5" t="s">
        <v>9685</v>
      </c>
      <c r="C1774" s="5" t="s">
        <v>9686</v>
      </c>
      <c r="D1774" s="5" t="s">
        <v>9687</v>
      </c>
      <c r="E1774" s="6" t="s">
        <v>24</v>
      </c>
      <c r="F1774" s="6" t="s">
        <v>2038</v>
      </c>
      <c r="G1774" s="3" t="str">
        <f>IFERROR(__xludf.DUMMYFUNCTION("REGEXREPLACE(
D1774,
""([一-龯々]+)\[([^\]]+)\]"",
""&lt;ruby&gt;$1&lt;rt&gt;$2&lt;/rt&gt;&lt;/ruby&gt;""
)&amp;""&lt;br&gt;&lt;div class=""""audio""""&gt;[sound:""&amp;C1774&amp;"".mp3]&lt;/div&gt;"""),"&lt;ruby&gt;面&lt;rt&gt;めん&lt;/rt&gt;&lt;/ruby&gt;する&lt;br&gt;&lt;div class=""audio""&gt;[sound:めんする.mp3]&lt;/div&gt;")</f>
        <v>&lt;ruby&gt;面&lt;rt&gt;めん&lt;/rt&gt;&lt;/ruby&gt;する&lt;br&gt;&lt;div class="audio"&gt;[sound:めんする.mp3]&lt;/div&gt;</v>
      </c>
      <c r="H1774" s="3" t="str">
        <f t="shared" si="1"/>
        <v>(v): hướng về</v>
      </c>
      <c r="I1774" s="6" t="s">
        <v>9688</v>
      </c>
      <c r="J1774" s="6" t="s">
        <v>9689</v>
      </c>
      <c r="K1774" s="7">
        <f t="shared" si="2"/>
        <v>0.04402446423</v>
      </c>
    </row>
    <row r="1775">
      <c r="A1775" s="4">
        <v>1775.0</v>
      </c>
      <c r="B1775" s="5" t="s">
        <v>9690</v>
      </c>
      <c r="C1775" s="5" t="s">
        <v>9691</v>
      </c>
      <c r="D1775" s="5" t="s">
        <v>9690</v>
      </c>
      <c r="E1775" s="6" t="s">
        <v>74</v>
      </c>
      <c r="F1775" s="6" t="s">
        <v>9692</v>
      </c>
      <c r="G1775" s="3" t="str">
        <f>IFERROR(__xludf.DUMMYFUNCTION("REGEXREPLACE(
D1775,
""([一-龯々]+)\[([^\]]+)\]"",
""&lt;ruby&gt;$1&lt;rt&gt;$2&lt;/rt&gt;&lt;/ruby&gt;""
)&amp;""&lt;br&gt;&lt;div class=""""audio""""&gt;[sound:""&amp;C1775&amp;"".mp3]&lt;/div&gt;"""),"グレー&lt;br&gt;&lt;div class=""audio""&gt;[sound:ぐれー.mp3]&lt;/div&gt;")</f>
        <v>グレー&lt;br&gt;&lt;div class="audio"&gt;[sound:ぐれー.mp3]&lt;/div&gt;</v>
      </c>
      <c r="H1775" s="3" t="str">
        <f t="shared" si="1"/>
        <v>(n): màu xám</v>
      </c>
      <c r="I1775" s="6" t="s">
        <v>9693</v>
      </c>
      <c r="J1775" s="6" t="s">
        <v>9694</v>
      </c>
      <c r="K1775" s="7">
        <f t="shared" si="2"/>
        <v>0.4727155993</v>
      </c>
    </row>
    <row r="1776">
      <c r="A1776" s="4">
        <v>1776.0</v>
      </c>
      <c r="B1776" s="5" t="s">
        <v>9695</v>
      </c>
      <c r="C1776" s="5" t="s">
        <v>9695</v>
      </c>
      <c r="D1776" s="5" t="s">
        <v>9695</v>
      </c>
      <c r="E1776" s="6" t="s">
        <v>63</v>
      </c>
      <c r="F1776" s="6" t="s">
        <v>434</v>
      </c>
      <c r="G1776" s="3" t="str">
        <f>IFERROR(__xludf.DUMMYFUNCTION("REGEXREPLACE(
D1776,
""([一-龯々]+)\[([^\]]+)\]"",
""&lt;ruby&gt;$1&lt;rt&gt;$2&lt;/rt&gt;&lt;/ruby&gt;""
)&amp;""&lt;br&gt;&lt;div class=""""audio""""&gt;[sound:""&amp;C1776&amp;"".mp3]&lt;/div&gt;"""),"とって&lt;br&gt;&lt;div class=""audio""&gt;[sound:とって.mp3]&lt;/div&gt;")</f>
        <v>とって&lt;br&gt;&lt;div class="audio"&gt;[sound:とって.mp3]&lt;/div&gt;</v>
      </c>
      <c r="H1776" s="3" t="str">
        <f t="shared" si="1"/>
        <v>(prep): đối với</v>
      </c>
      <c r="I1776" s="6" t="s">
        <v>9696</v>
      </c>
      <c r="J1776" s="6" t="s">
        <v>9697</v>
      </c>
      <c r="K1776" s="7">
        <f t="shared" si="2"/>
        <v>0.3000981813</v>
      </c>
    </row>
    <row r="1777">
      <c r="A1777" s="4">
        <v>1777.0</v>
      </c>
      <c r="B1777" s="5" t="s">
        <v>9698</v>
      </c>
      <c r="C1777" s="5" t="s">
        <v>9699</v>
      </c>
      <c r="D1777" s="5" t="s">
        <v>9698</v>
      </c>
      <c r="E1777" s="6" t="s">
        <v>74</v>
      </c>
      <c r="F1777" s="6" t="s">
        <v>9700</v>
      </c>
      <c r="G1777" s="3" t="str">
        <f>IFERROR(__xludf.DUMMYFUNCTION("REGEXREPLACE(
D1777,
""([一-龯々]+)\[([^\]]+)\]"",
""&lt;ruby&gt;$1&lt;rt&gt;$2&lt;/rt&gt;&lt;/ruby&gt;""
)&amp;""&lt;br&gt;&lt;div class=""""audio""""&gt;[sound:""&amp;C1777&amp;"".mp3]&lt;/div&gt;"""),"ブーム&lt;br&gt;&lt;div class=""audio""&gt;[sound:ぶーむ.mp3]&lt;/div&gt;")</f>
        <v>ブーム&lt;br&gt;&lt;div class="audio"&gt;[sound:ぶーむ.mp3]&lt;/div&gt;</v>
      </c>
      <c r="H1777" s="3" t="str">
        <f t="shared" si="1"/>
        <v>(n): bùng nổ</v>
      </c>
      <c r="I1777" s="6" t="s">
        <v>9701</v>
      </c>
      <c r="J1777" s="6" t="s">
        <v>9702</v>
      </c>
      <c r="K1777" s="7">
        <f t="shared" si="2"/>
        <v>0.1179484914</v>
      </c>
    </row>
    <row r="1778">
      <c r="A1778" s="4">
        <v>1778.0</v>
      </c>
      <c r="B1778" s="5" t="s">
        <v>9703</v>
      </c>
      <c r="C1778" s="5" t="s">
        <v>9704</v>
      </c>
      <c r="D1778" s="5" t="s">
        <v>9703</v>
      </c>
      <c r="E1778" s="6" t="s">
        <v>74</v>
      </c>
      <c r="F1778" s="6" t="s">
        <v>9705</v>
      </c>
      <c r="G1778" s="3" t="str">
        <f>IFERROR(__xludf.DUMMYFUNCTION("REGEXREPLACE(
D1778,
""([一-龯々]+)\[([^\]]+)\]"",
""&lt;ruby&gt;$1&lt;rt&gt;$2&lt;/rt&gt;&lt;/ruby&gt;""
)&amp;""&lt;br&gt;&lt;div class=""""audio""""&gt;[sound:""&amp;C1778&amp;"".mp3]&lt;/div&gt;"""),"リード&lt;br&gt;&lt;div class=""audio""&gt;[sound:りーど.mp3]&lt;/div&gt;")</f>
        <v>リード&lt;br&gt;&lt;div class="audio"&gt;[sound:りーど.mp3]&lt;/div&gt;</v>
      </c>
      <c r="H1778" s="3" t="str">
        <f t="shared" si="1"/>
        <v>(n): dẫn đầu</v>
      </c>
      <c r="I1778" s="6" t="s">
        <v>9706</v>
      </c>
      <c r="J1778" s="6" t="s">
        <v>9707</v>
      </c>
      <c r="K1778" s="7">
        <f t="shared" si="2"/>
        <v>0.9700006473</v>
      </c>
    </row>
    <row r="1779">
      <c r="A1779" s="4">
        <v>1779.0</v>
      </c>
      <c r="B1779" s="5" t="s">
        <v>9708</v>
      </c>
      <c r="C1779" s="5" t="s">
        <v>9709</v>
      </c>
      <c r="D1779" s="5" t="s">
        <v>9708</v>
      </c>
      <c r="E1779" s="6" t="s">
        <v>74</v>
      </c>
      <c r="F1779" s="6" t="s">
        <v>9710</v>
      </c>
      <c r="G1779" s="3" t="str">
        <f>IFERROR(__xludf.DUMMYFUNCTION("REGEXREPLACE(
D1779,
""([一-龯々]+)\[([^\]]+)\]"",
""&lt;ruby&gt;$1&lt;rt&gt;$2&lt;/rt&gt;&lt;/ruby&gt;""
)&amp;""&lt;br&gt;&lt;div class=""""audio""""&gt;[sound:""&amp;C1779&amp;"".mp3]&lt;/div&gt;"""),"レッスン&lt;br&gt;&lt;div class=""audio""&gt;[sound:れっすん.mp3]&lt;/div&gt;")</f>
        <v>レッスン&lt;br&gt;&lt;div class="audio"&gt;[sound:れっすん.mp3]&lt;/div&gt;</v>
      </c>
      <c r="H1779" s="3" t="str">
        <f t="shared" si="1"/>
        <v>(n): bài học</v>
      </c>
      <c r="I1779" s="6" t="s">
        <v>9711</v>
      </c>
      <c r="J1779" s="6" t="s">
        <v>9712</v>
      </c>
      <c r="K1779" s="7">
        <f t="shared" si="2"/>
        <v>0.7314961937</v>
      </c>
    </row>
    <row r="1780">
      <c r="A1780" s="4">
        <v>1780.0</v>
      </c>
      <c r="B1780" s="5" t="s">
        <v>9713</v>
      </c>
      <c r="C1780" s="5" t="s">
        <v>9714</v>
      </c>
      <c r="D1780" s="5" t="s">
        <v>9715</v>
      </c>
      <c r="E1780" s="6" t="s">
        <v>74</v>
      </c>
      <c r="F1780" s="6" t="s">
        <v>9716</v>
      </c>
      <c r="G1780" s="3" t="str">
        <f>IFERROR(__xludf.DUMMYFUNCTION("REGEXREPLACE(
D1780,
""([一-龯々]+)\[([^\]]+)\]"",
""&lt;ruby&gt;$1&lt;rt&gt;$2&lt;/rt&gt;&lt;/ruby&gt;""
)&amp;""&lt;br&gt;&lt;div class=""""audio""""&gt;[sound:""&amp;C1780&amp;"".mp3]&lt;/div&gt;"""),"&lt;ruby&gt;一面&lt;rt&gt;いちめん&lt;/rt&gt;&lt;/ruby&gt;&lt;br&gt;&lt;div class=""audio""&gt;[sound:いちめん.mp3]&lt;/div&gt;")</f>
        <v>&lt;ruby&gt;一面&lt;rt&gt;いちめん&lt;/rt&gt;&lt;/ruby&gt;&lt;br&gt;&lt;div class="audio"&gt;[sound:いちめん.mp3]&lt;/div&gt;</v>
      </c>
      <c r="H1780" s="3" t="str">
        <f t="shared" si="1"/>
        <v>(n): toàn bộ</v>
      </c>
      <c r="I1780" s="6" t="s">
        <v>9717</v>
      </c>
      <c r="J1780" s="6" t="s">
        <v>9718</v>
      </c>
      <c r="K1780" s="7">
        <f t="shared" si="2"/>
        <v>0.9958773545</v>
      </c>
    </row>
    <row r="1781">
      <c r="A1781" s="4">
        <v>1781.0</v>
      </c>
      <c r="B1781" s="5" t="s">
        <v>9719</v>
      </c>
      <c r="C1781" s="5" t="s">
        <v>9720</v>
      </c>
      <c r="D1781" s="5" t="s">
        <v>9721</v>
      </c>
      <c r="E1781" s="6" t="s">
        <v>24</v>
      </c>
      <c r="F1781" s="6" t="s">
        <v>9722</v>
      </c>
      <c r="G1781" s="3" t="str">
        <f>IFERROR(__xludf.DUMMYFUNCTION("REGEXREPLACE(
D1781,
""([一-龯々]+)\[([^\]]+)\]"",
""&lt;ruby&gt;$1&lt;rt&gt;$2&lt;/rt&gt;&lt;/ruby&gt;""
)&amp;""&lt;br&gt;&lt;div class=""""audio""""&gt;[sound:""&amp;C1781&amp;"".mp3]&lt;/div&gt;"""),"&lt;ruby&gt;会談&lt;rt&gt;かいだん&lt;/rt&gt;&lt;/ruby&gt;&lt;br&gt;&lt;div class=""audio""&gt;[sound:かいだん.mp3]&lt;/div&gt;")</f>
        <v>&lt;ruby&gt;会談&lt;rt&gt;かいだん&lt;/rt&gt;&lt;/ruby&gt;&lt;br&gt;&lt;div class="audio"&gt;[sound:かいだん.mp3]&lt;/div&gt;</v>
      </c>
      <c r="H1781" s="3" t="str">
        <f t="shared" si="1"/>
        <v>(v): hội đàm</v>
      </c>
      <c r="I1781" s="6" t="s">
        <v>9723</v>
      </c>
      <c r="J1781" s="6" t="s">
        <v>9724</v>
      </c>
      <c r="K1781" s="7">
        <f t="shared" si="2"/>
        <v>0.2054717038</v>
      </c>
    </row>
    <row r="1782">
      <c r="A1782" s="4">
        <v>1782.0</v>
      </c>
      <c r="B1782" s="5" t="s">
        <v>9725</v>
      </c>
      <c r="C1782" s="5" t="s">
        <v>9726</v>
      </c>
      <c r="D1782" s="5" t="s">
        <v>9727</v>
      </c>
      <c r="E1782" s="6" t="s">
        <v>74</v>
      </c>
      <c r="F1782" s="6" t="s">
        <v>9728</v>
      </c>
      <c r="G1782" s="3" t="str">
        <f>IFERROR(__xludf.DUMMYFUNCTION("REGEXREPLACE(
D1782,
""([一-龯々]+)\[([^\]]+)\]"",
""&lt;ruby&gt;$1&lt;rt&gt;$2&lt;/rt&gt;&lt;/ruby&gt;""
)&amp;""&lt;br&gt;&lt;div class=""""audio""""&gt;[sound:""&amp;C1782&amp;"".mp3]&lt;/div&gt;"""),"&lt;ruby&gt;体力&lt;rt&gt;たいりょく&lt;/rt&gt;&lt;/ruby&gt;&lt;br&gt;&lt;div class=""audio""&gt;[sound:たいりょく.mp3]&lt;/div&gt;")</f>
        <v>&lt;ruby&gt;体力&lt;rt&gt;たいりょく&lt;/rt&gt;&lt;/ruby&gt;&lt;br&gt;&lt;div class="audio"&gt;[sound:たいりょく.mp3]&lt;/div&gt;</v>
      </c>
      <c r="H1782" s="3" t="str">
        <f t="shared" si="1"/>
        <v>(n): thể lực</v>
      </c>
      <c r="I1782" s="6" t="s">
        <v>9729</v>
      </c>
      <c r="J1782" s="6" t="s">
        <v>5908</v>
      </c>
      <c r="K1782" s="7">
        <f t="shared" si="2"/>
        <v>0.9569110792</v>
      </c>
    </row>
    <row r="1783">
      <c r="A1783" s="4">
        <v>1783.0</v>
      </c>
      <c r="B1783" s="5" t="s">
        <v>9730</v>
      </c>
      <c r="C1783" s="5" t="s">
        <v>9731</v>
      </c>
      <c r="D1783" s="5" t="s">
        <v>9732</v>
      </c>
      <c r="E1783" s="6" t="s">
        <v>24</v>
      </c>
      <c r="F1783" s="6" t="s">
        <v>9733</v>
      </c>
      <c r="G1783" s="3" t="str">
        <f>IFERROR(__xludf.DUMMYFUNCTION("REGEXREPLACE(
D1783,
""([一-龯々]+)\[([^\]]+)\]"",
""&lt;ruby&gt;$1&lt;rt&gt;$2&lt;/rt&gt;&lt;/ruby&gt;""
)&amp;""&lt;br&gt;&lt;div class=""""audio""""&gt;[sound:""&amp;C1783&amp;"".mp3]&lt;/div&gt;"""),"&lt;ruby&gt;及&lt;rt&gt;およ&lt;/rt&gt;&lt;/ruby&gt;ぶ&lt;br&gt;&lt;div class=""audio""&gt;[sound:およぶ.mp3]&lt;/div&gt;")</f>
        <v>&lt;ruby&gt;及&lt;rt&gt;およ&lt;/rt&gt;&lt;/ruby&gt;ぶ&lt;br&gt;&lt;div class="audio"&gt;[sound:およぶ.mp3]&lt;/div&gt;</v>
      </c>
      <c r="H1783" s="3" t="str">
        <f t="shared" si="1"/>
        <v>(v): đạt tới</v>
      </c>
      <c r="I1783" s="6" t="s">
        <v>9734</v>
      </c>
      <c r="J1783" s="6" t="s">
        <v>9735</v>
      </c>
      <c r="K1783" s="7">
        <f t="shared" si="2"/>
        <v>0.1088792227</v>
      </c>
    </row>
    <row r="1784">
      <c r="A1784" s="4">
        <v>1784.0</v>
      </c>
      <c r="B1784" s="5" t="s">
        <v>9736</v>
      </c>
      <c r="C1784" s="5" t="s">
        <v>9737</v>
      </c>
      <c r="D1784" s="5" t="s">
        <v>9738</v>
      </c>
      <c r="E1784" s="6" t="s">
        <v>24</v>
      </c>
      <c r="F1784" s="6" t="s">
        <v>9739</v>
      </c>
      <c r="G1784" s="3" t="str">
        <f>IFERROR(__xludf.DUMMYFUNCTION("REGEXREPLACE(
D1784,
""([一-龯々]+)\[([^\]]+)\]"",
""&lt;ruby&gt;$1&lt;rt&gt;$2&lt;/rt&gt;&lt;/ruby&gt;""
)&amp;""&lt;br&gt;&lt;div class=""""audio""""&gt;[sound:""&amp;C1784&amp;"".mp3]&lt;/div&gt;"""),"&lt;ruby&gt;取&lt;rt&gt;と&lt;/rt&gt;&lt;/ruby&gt;り&lt;ruby&gt;戻&lt;rt&gt;もど&lt;/rt&gt;&lt;/ruby&gt;す&lt;br&gt;&lt;div class=""audio""&gt;[sound:とりもどす.mp3]&lt;/div&gt;")</f>
        <v>&lt;ruby&gt;取&lt;rt&gt;と&lt;/rt&gt;&lt;/ruby&gt;り&lt;ruby&gt;戻&lt;rt&gt;もど&lt;/rt&gt;&lt;/ruby&gt;す&lt;br&gt;&lt;div class="audio"&gt;[sound:とりもどす.mp3]&lt;/div&gt;</v>
      </c>
      <c r="H1784" s="3" t="str">
        <f t="shared" si="1"/>
        <v>(v): lấy lại</v>
      </c>
      <c r="I1784" s="6" t="s">
        <v>9740</v>
      </c>
      <c r="J1784" s="6" t="s">
        <v>9741</v>
      </c>
      <c r="K1784" s="7">
        <f t="shared" si="2"/>
        <v>0.1508174337</v>
      </c>
    </row>
    <row r="1785">
      <c r="A1785" s="4">
        <v>1785.0</v>
      </c>
      <c r="B1785" s="5" t="s">
        <v>9742</v>
      </c>
      <c r="C1785" s="5" t="s">
        <v>9743</v>
      </c>
      <c r="D1785" s="5" t="s">
        <v>9744</v>
      </c>
      <c r="E1785" s="6" t="s">
        <v>24</v>
      </c>
      <c r="F1785" s="6" t="s">
        <v>9745</v>
      </c>
      <c r="G1785" s="3" t="str">
        <f>IFERROR(__xludf.DUMMYFUNCTION("REGEXREPLACE(
D1785,
""([一-龯々]+)\[([^\]]+)\]"",
""&lt;ruby&gt;$1&lt;rt&gt;$2&lt;/rt&gt;&lt;/ruby&gt;""
)&amp;""&lt;br&gt;&lt;div class=""""audio""""&gt;[sound:""&amp;C1785&amp;"".mp3]&lt;/div&gt;"""),"&lt;ruby&gt;固&lt;rt&gt;かた&lt;/rt&gt;&lt;/ruby&gt;める&lt;br&gt;&lt;div class=""audio""&gt;[sound:かためる.mp3]&lt;/div&gt;")</f>
        <v>&lt;ruby&gt;固&lt;rt&gt;かた&lt;/rt&gt;&lt;/ruby&gt;める&lt;br&gt;&lt;div class="audio"&gt;[sound:かためる.mp3]&lt;/div&gt;</v>
      </c>
      <c r="H1785" s="3" t="str">
        <f t="shared" si="1"/>
        <v>(v): củng cố</v>
      </c>
      <c r="I1785" s="6" t="s">
        <v>9746</v>
      </c>
      <c r="J1785" s="6" t="s">
        <v>9747</v>
      </c>
      <c r="K1785" s="7">
        <f t="shared" si="2"/>
        <v>0.464993393</v>
      </c>
    </row>
    <row r="1786">
      <c r="A1786" s="4">
        <v>1786.0</v>
      </c>
      <c r="B1786" s="5" t="s">
        <v>9748</v>
      </c>
      <c r="C1786" s="5" t="s">
        <v>9749</v>
      </c>
      <c r="D1786" s="5" t="s">
        <v>9750</v>
      </c>
      <c r="E1786" s="6" t="s">
        <v>24</v>
      </c>
      <c r="F1786" s="6" t="s">
        <v>9751</v>
      </c>
      <c r="G1786" s="3" t="str">
        <f>IFERROR(__xludf.DUMMYFUNCTION("REGEXREPLACE(
D1786,
""([一-龯々]+)\[([^\]]+)\]"",
""&lt;ruby&gt;$1&lt;rt&gt;$2&lt;/rt&gt;&lt;/ruby&gt;""
)&amp;""&lt;br&gt;&lt;div class=""""audio""""&gt;[sound:""&amp;C1786&amp;"".mp3]&lt;/div&gt;"""),"&lt;ruby&gt;報&lt;rt&gt;ほう&lt;/rt&gt;&lt;/ruby&gt;じる&lt;br&gt;&lt;div class=""audio""&gt;[sound:ほうじる.mp3]&lt;/div&gt;")</f>
        <v>&lt;ruby&gt;報&lt;rt&gt;ほう&lt;/rt&gt;&lt;/ruby&gt;じる&lt;br&gt;&lt;div class="audio"&gt;[sound:ほうじる.mp3]&lt;/div&gt;</v>
      </c>
      <c r="H1786" s="3" t="str">
        <f t="shared" si="1"/>
        <v>(v): đưa tin</v>
      </c>
      <c r="I1786" s="6" t="s">
        <v>9752</v>
      </c>
      <c r="J1786" s="6" t="s">
        <v>9753</v>
      </c>
      <c r="K1786" s="7">
        <f t="shared" si="2"/>
        <v>0.4483151669</v>
      </c>
    </row>
    <row r="1787">
      <c r="A1787" s="4">
        <v>1787.0</v>
      </c>
      <c r="B1787" s="5" t="s">
        <v>9754</v>
      </c>
      <c r="C1787" s="5" t="s">
        <v>9755</v>
      </c>
      <c r="D1787" s="5" t="s">
        <v>9756</v>
      </c>
      <c r="E1787" s="6" t="s">
        <v>11</v>
      </c>
      <c r="F1787" s="6" t="s">
        <v>6989</v>
      </c>
      <c r="G1787" s="3" t="str">
        <f>IFERROR(__xludf.DUMMYFUNCTION("REGEXREPLACE(
D1787,
""([一-龯々]+)\[([^\]]+)\]"",
""&lt;ruby&gt;$1&lt;rt&gt;$2&lt;/rt&gt;&lt;/ruby&gt;""
)&amp;""&lt;br&gt;&lt;div class=""""audio""""&gt;[sound:""&amp;C1787&amp;"".mp3]&lt;/div&gt;"""),"&lt;ruby&gt;大幅&lt;rt&gt;おおはば&lt;/rt&gt;&lt;/ruby&gt;&lt;br&gt;&lt;div class=""audio""&gt;[sound:おおはば.mp3]&lt;/div&gt;")</f>
        <v>&lt;ruby&gt;大幅&lt;rt&gt;おおはば&lt;/rt&gt;&lt;/ruby&gt;&lt;br&gt;&lt;div class="audio"&gt;[sound:おおはば.mp3]&lt;/div&gt;</v>
      </c>
      <c r="H1787" s="3" t="str">
        <f t="shared" si="1"/>
        <v>(adj): đáng kể</v>
      </c>
      <c r="I1787" s="6" t="s">
        <v>9757</v>
      </c>
      <c r="J1787" s="6" t="s">
        <v>9758</v>
      </c>
      <c r="K1787" s="7">
        <f t="shared" si="2"/>
        <v>0.4753413534</v>
      </c>
    </row>
    <row r="1788">
      <c r="A1788" s="4">
        <v>1788.0</v>
      </c>
      <c r="B1788" s="5" t="s">
        <v>9759</v>
      </c>
      <c r="C1788" s="5" t="s">
        <v>9760</v>
      </c>
      <c r="D1788" s="5" t="s">
        <v>9761</v>
      </c>
      <c r="E1788" s="6" t="s">
        <v>74</v>
      </c>
      <c r="F1788" s="6" t="s">
        <v>9762</v>
      </c>
      <c r="G1788" s="3" t="str">
        <f>IFERROR(__xludf.DUMMYFUNCTION("REGEXREPLACE(
D1788,
""([一-龯々]+)\[([^\]]+)\]"",
""&lt;ruby&gt;$1&lt;rt&gt;$2&lt;/rt&gt;&lt;/ruby&gt;""
)&amp;""&lt;br&gt;&lt;div class=""""audio""""&gt;[sound:""&amp;C1788&amp;"".mp3]&lt;/div&gt;"""),"&lt;ruby&gt;民族&lt;rt&gt;みんぞく&lt;/rt&gt;&lt;/ruby&gt;&lt;br&gt;&lt;div class=""audio""&gt;[sound:みんぞく.mp3]&lt;/div&gt;")</f>
        <v>&lt;ruby&gt;民族&lt;rt&gt;みんぞく&lt;/rt&gt;&lt;/ruby&gt;&lt;br&gt;&lt;div class="audio"&gt;[sound:みんぞく.mp3]&lt;/div&gt;</v>
      </c>
      <c r="H1788" s="3" t="str">
        <f t="shared" si="1"/>
        <v>(n): dân tộc</v>
      </c>
      <c r="I1788" s="6" t="s">
        <v>9763</v>
      </c>
      <c r="J1788" s="6" t="s">
        <v>9764</v>
      </c>
      <c r="K1788" s="7">
        <f t="shared" si="2"/>
        <v>0.5627462713</v>
      </c>
    </row>
    <row r="1789">
      <c r="A1789" s="4">
        <v>1789.0</v>
      </c>
      <c r="B1789" s="5" t="s">
        <v>9765</v>
      </c>
      <c r="C1789" s="5" t="s">
        <v>9766</v>
      </c>
      <c r="D1789" s="5" t="s">
        <v>9767</v>
      </c>
      <c r="E1789" s="6" t="s">
        <v>74</v>
      </c>
      <c r="F1789" s="6" t="s">
        <v>9768</v>
      </c>
      <c r="G1789" s="3" t="str">
        <f>IFERROR(__xludf.DUMMYFUNCTION("REGEXREPLACE(
D1789,
""([一-龯々]+)\[([^\]]+)\]"",
""&lt;ruby&gt;$1&lt;rt&gt;$2&lt;/rt&gt;&lt;/ruby&gt;""
)&amp;""&lt;br&gt;&lt;div class=""""audio""""&gt;[sound:""&amp;C1789&amp;"".mp3]&lt;/div&gt;"""),"&lt;ruby&gt;理論&lt;rt&gt;りろん&lt;/rt&gt;&lt;/ruby&gt;&lt;br&gt;&lt;div class=""audio""&gt;[sound:りろん.mp3]&lt;/div&gt;")</f>
        <v>&lt;ruby&gt;理論&lt;rt&gt;りろん&lt;/rt&gt;&lt;/ruby&gt;&lt;br&gt;&lt;div class="audio"&gt;[sound:りろん.mp3]&lt;/div&gt;</v>
      </c>
      <c r="H1789" s="3" t="str">
        <f t="shared" si="1"/>
        <v>(n): lý thuyết</v>
      </c>
      <c r="I1789" s="6" t="s">
        <v>9769</v>
      </c>
      <c r="J1789" s="6" t="s">
        <v>9770</v>
      </c>
      <c r="K1789" s="7">
        <f t="shared" si="2"/>
        <v>0.08655385928</v>
      </c>
    </row>
    <row r="1790">
      <c r="A1790" s="4">
        <v>1790.0</v>
      </c>
      <c r="B1790" s="5" t="s">
        <v>9771</v>
      </c>
      <c r="C1790" s="5" t="s">
        <v>9772</v>
      </c>
      <c r="D1790" s="5" t="s">
        <v>9773</v>
      </c>
      <c r="E1790" s="6" t="s">
        <v>74</v>
      </c>
      <c r="F1790" s="6" t="s">
        <v>9774</v>
      </c>
      <c r="G1790" s="3" t="str">
        <f>IFERROR(__xludf.DUMMYFUNCTION("REGEXREPLACE(
D1790,
""([一-龯々]+)\[([^\]]+)\]"",
""&lt;ruby&gt;$1&lt;rt&gt;$2&lt;/rt&gt;&lt;/ruby&gt;""
)&amp;""&lt;br&gt;&lt;div class=""""audio""""&gt;[sound:""&amp;C1790&amp;"".mp3]&lt;/div&gt;"""),"&lt;ruby&gt;職務&lt;rt&gt;しょくむ&lt;/rt&gt;&lt;/ruby&gt;&lt;br&gt;&lt;div class=""audio""&gt;[sound:しょくむ.mp3]&lt;/div&gt;")</f>
        <v>&lt;ruby&gt;職務&lt;rt&gt;しょくむ&lt;/rt&gt;&lt;/ruby&gt;&lt;br&gt;&lt;div class="audio"&gt;[sound:しょくむ.mp3]&lt;/div&gt;</v>
      </c>
      <c r="H1790" s="3" t="str">
        <f t="shared" si="1"/>
        <v>(n): chức vụ</v>
      </c>
      <c r="I1790" s="6" t="s">
        <v>9775</v>
      </c>
      <c r="J1790" s="6" t="s">
        <v>9776</v>
      </c>
      <c r="K1790" s="7">
        <f t="shared" si="2"/>
        <v>0.7843274121</v>
      </c>
    </row>
    <row r="1791">
      <c r="A1791" s="4">
        <v>1791.0</v>
      </c>
      <c r="B1791" s="5" t="s">
        <v>9777</v>
      </c>
      <c r="C1791" s="5" t="s">
        <v>9778</v>
      </c>
      <c r="D1791" s="5" t="s">
        <v>9779</v>
      </c>
      <c r="E1791" s="6" t="s">
        <v>11</v>
      </c>
      <c r="F1791" s="6" t="s">
        <v>9780</v>
      </c>
      <c r="G1791" s="3" t="str">
        <f>IFERROR(__xludf.DUMMYFUNCTION("REGEXREPLACE(
D1791,
""([一-龯々]+)\[([^\]]+)\]"",
""&lt;ruby&gt;$1&lt;rt&gt;$2&lt;/rt&gt;&lt;/ruby&gt;""
)&amp;""&lt;br&gt;&lt;div class=""""audio""""&gt;[sound:""&amp;C1791&amp;"".mp3]&lt;/div&gt;"""),"&lt;ruby&gt;良好&lt;rt&gt;りょうこう&lt;/rt&gt;&lt;/ruby&gt;&lt;br&gt;&lt;div class=""audio""&gt;[sound:りょうこう.mp3]&lt;/div&gt;")</f>
        <v>&lt;ruby&gt;良好&lt;rt&gt;りょうこう&lt;/rt&gt;&lt;/ruby&gt;&lt;br&gt;&lt;div class="audio"&gt;[sound:りょうこう.mp3]&lt;/div&gt;</v>
      </c>
      <c r="H1791" s="3" t="str">
        <f t="shared" si="1"/>
        <v>(adj): tốt đẹp</v>
      </c>
      <c r="I1791" s="6" t="s">
        <v>9781</v>
      </c>
      <c r="J1791" s="6" t="s">
        <v>9782</v>
      </c>
      <c r="K1791" s="7">
        <f t="shared" si="2"/>
        <v>0.768630048</v>
      </c>
    </row>
    <row r="1792">
      <c r="A1792" s="4">
        <v>1792.0</v>
      </c>
      <c r="B1792" s="5" t="s">
        <v>9783</v>
      </c>
      <c r="C1792" s="5" t="s">
        <v>9784</v>
      </c>
      <c r="D1792" s="5" t="s">
        <v>9785</v>
      </c>
      <c r="E1792" s="6" t="s">
        <v>74</v>
      </c>
      <c r="F1792" s="6" t="s">
        <v>9786</v>
      </c>
      <c r="G1792" s="3" t="str">
        <f>IFERROR(__xludf.DUMMYFUNCTION("REGEXREPLACE(
D1792,
""([一-龯々]+)\[([^\]]+)\]"",
""&lt;ruby&gt;$1&lt;rt&gt;$2&lt;/rt&gt;&lt;/ruby&gt;""
)&amp;""&lt;br&gt;&lt;div class=""""audio""""&gt;[sound:""&amp;C1792&amp;"".mp3]&lt;/div&gt;"""),"&lt;ruby&gt;色彩&lt;rt&gt;しきさい&lt;/rt&gt;&lt;/ruby&gt;&lt;br&gt;&lt;div class=""audio""&gt;[sound:しきさい.mp3]&lt;/div&gt;")</f>
        <v>&lt;ruby&gt;色彩&lt;rt&gt;しきさい&lt;/rt&gt;&lt;/ruby&gt;&lt;br&gt;&lt;div class="audio"&gt;[sound:しきさい.mp3]&lt;/div&gt;</v>
      </c>
      <c r="H1792" s="3" t="str">
        <f t="shared" si="1"/>
        <v>(n): màu sắc</v>
      </c>
      <c r="I1792" s="6" t="s">
        <v>9787</v>
      </c>
      <c r="J1792" s="6" t="s">
        <v>9788</v>
      </c>
      <c r="K1792" s="7">
        <f t="shared" si="2"/>
        <v>0.8509701652</v>
      </c>
    </row>
    <row r="1793">
      <c r="A1793" s="4">
        <v>1793.0</v>
      </c>
      <c r="B1793" s="5" t="s">
        <v>9789</v>
      </c>
      <c r="C1793" s="5" t="s">
        <v>9790</v>
      </c>
      <c r="D1793" s="5" t="s">
        <v>9791</v>
      </c>
      <c r="E1793" s="6" t="s">
        <v>74</v>
      </c>
      <c r="F1793" s="6" t="s">
        <v>6408</v>
      </c>
      <c r="G1793" s="3" t="str">
        <f>IFERROR(__xludf.DUMMYFUNCTION("REGEXREPLACE(
D1793,
""([一-龯々]+)\[([^\]]+)\]"",
""&lt;ruby&gt;$1&lt;rt&gt;$2&lt;/rt&gt;&lt;/ruby&gt;""
)&amp;""&lt;br&gt;&lt;div class=""""audio""""&gt;[sound:""&amp;C1793&amp;"".mp3]&lt;/div&gt;"""),"&lt;ruby&gt;見込&lt;rt&gt;みこ&lt;/rt&gt;&lt;/ruby&gt;み&lt;br&gt;&lt;div class=""audio""&gt;[sound:みこみ.mp3]&lt;/div&gt;")</f>
        <v>&lt;ruby&gt;見込&lt;rt&gt;みこ&lt;/rt&gt;&lt;/ruby&gt;み&lt;br&gt;&lt;div class="audio"&gt;[sound:みこみ.mp3]&lt;/div&gt;</v>
      </c>
      <c r="H1793" s="3" t="str">
        <f t="shared" si="1"/>
        <v>(n): dự đoán</v>
      </c>
      <c r="I1793" s="6" t="s">
        <v>9792</v>
      </c>
      <c r="J1793" s="6" t="s">
        <v>9793</v>
      </c>
      <c r="K1793" s="7">
        <f t="shared" si="2"/>
        <v>0.7173268771</v>
      </c>
    </row>
    <row r="1794">
      <c r="A1794" s="4">
        <v>1794.0</v>
      </c>
      <c r="B1794" s="5" t="s">
        <v>9794</v>
      </c>
      <c r="C1794" s="5" t="s">
        <v>9795</v>
      </c>
      <c r="D1794" s="5" t="s">
        <v>9796</v>
      </c>
      <c r="E1794" s="6" t="s">
        <v>24</v>
      </c>
      <c r="F1794" s="6" t="s">
        <v>9797</v>
      </c>
      <c r="G1794" s="3" t="str">
        <f>IFERROR(__xludf.DUMMYFUNCTION("REGEXREPLACE(
D1794,
""([一-龯々]+)\[([^\]]+)\]"",
""&lt;ruby&gt;$1&lt;rt&gt;$2&lt;/rt&gt;&lt;/ruby&gt;""
)&amp;""&lt;br&gt;&lt;div class=""""audio""""&gt;[sound:""&amp;C1794&amp;"".mp3]&lt;/div&gt;"""),"&lt;ruby&gt;記&lt;rt&gt;しる&lt;/rt&gt;&lt;/ruby&gt;す&lt;br&gt;&lt;div class=""audio""&gt;[sound:しるす.mp3]&lt;/div&gt;")</f>
        <v>&lt;ruby&gt;記&lt;rt&gt;しる&lt;/rt&gt;&lt;/ruby&gt;す&lt;br&gt;&lt;div class="audio"&gt;[sound:しるす.mp3]&lt;/div&gt;</v>
      </c>
      <c r="H1794" s="3" t="str">
        <f t="shared" si="1"/>
        <v>(v): ghi lại</v>
      </c>
      <c r="I1794" s="6" t="s">
        <v>9798</v>
      </c>
      <c r="J1794" s="6" t="s">
        <v>9799</v>
      </c>
      <c r="K1794" s="7">
        <f t="shared" si="2"/>
        <v>0.3294692153</v>
      </c>
    </row>
    <row r="1795">
      <c r="A1795" s="4">
        <v>1795.0</v>
      </c>
      <c r="B1795" s="5" t="s">
        <v>9800</v>
      </c>
      <c r="C1795" s="5" t="s">
        <v>9801</v>
      </c>
      <c r="D1795" s="5" t="s">
        <v>9800</v>
      </c>
      <c r="E1795" s="6" t="s">
        <v>74</v>
      </c>
      <c r="F1795" s="6" t="s">
        <v>9802</v>
      </c>
      <c r="G1795" s="3" t="str">
        <f>IFERROR(__xludf.DUMMYFUNCTION("REGEXREPLACE(
D1795,
""([一-龯々]+)\[([^\]]+)\]"",
""&lt;ruby&gt;$1&lt;rt&gt;$2&lt;/rt&gt;&lt;/ruby&gt;""
)&amp;""&lt;br&gt;&lt;div class=""""audio""""&gt;[sound:""&amp;C1795&amp;"".mp3]&lt;/div&gt;"""),"サイクル&lt;br&gt;&lt;div class=""audio""&gt;[sound:さいくる.mp3]&lt;/div&gt;")</f>
        <v>サイクル&lt;br&gt;&lt;div class="audio"&gt;[sound:さいくる.mp3]&lt;/div&gt;</v>
      </c>
      <c r="H1795" s="3" t="str">
        <f t="shared" si="1"/>
        <v>(n): chu kỳ</v>
      </c>
      <c r="I1795" s="6" t="s">
        <v>9803</v>
      </c>
      <c r="J1795" s="6" t="s">
        <v>9804</v>
      </c>
      <c r="K1795" s="7">
        <f t="shared" si="2"/>
        <v>0.1565066968</v>
      </c>
    </row>
    <row r="1796">
      <c r="A1796" s="4">
        <v>1796.0</v>
      </c>
      <c r="B1796" s="5" t="s">
        <v>9805</v>
      </c>
      <c r="C1796" s="5" t="s">
        <v>9806</v>
      </c>
      <c r="D1796" s="5" t="s">
        <v>9807</v>
      </c>
      <c r="E1796" s="6" t="s">
        <v>74</v>
      </c>
      <c r="F1796" s="6" t="s">
        <v>9808</v>
      </c>
      <c r="G1796" s="3" t="str">
        <f>IFERROR(__xludf.DUMMYFUNCTION("REGEXREPLACE(
D1796,
""([一-龯々]+)\[([^\]]+)\]"",
""&lt;ruby&gt;$1&lt;rt&gt;$2&lt;/rt&gt;&lt;/ruby&gt;""
)&amp;""&lt;br&gt;&lt;div class=""""audio""""&gt;[sound:""&amp;C1796&amp;"".mp3]&lt;/div&gt;"""),"&lt;ruby&gt;圧力&lt;rt&gt;あつりょく&lt;/rt&gt;&lt;/ruby&gt;&lt;br&gt;&lt;div class=""audio""&gt;[sound:あつりょく.mp3]&lt;/div&gt;")</f>
        <v>&lt;ruby&gt;圧力&lt;rt&gt;あつりょく&lt;/rt&gt;&lt;/ruby&gt;&lt;br&gt;&lt;div class="audio"&gt;[sound:あつりょく.mp3]&lt;/div&gt;</v>
      </c>
      <c r="H1796" s="3" t="str">
        <f t="shared" si="1"/>
        <v>(n): áp lực</v>
      </c>
      <c r="I1796" s="6" t="s">
        <v>9809</v>
      </c>
      <c r="J1796" s="6" t="s">
        <v>9810</v>
      </c>
      <c r="K1796" s="7">
        <f t="shared" si="2"/>
        <v>0.1045102695</v>
      </c>
    </row>
    <row r="1797">
      <c r="A1797" s="4">
        <v>1797.0</v>
      </c>
      <c r="B1797" s="5" t="s">
        <v>9811</v>
      </c>
      <c r="C1797" s="5" t="s">
        <v>9812</v>
      </c>
      <c r="D1797" s="5" t="s">
        <v>9813</v>
      </c>
      <c r="E1797" s="6" t="s">
        <v>74</v>
      </c>
      <c r="F1797" s="6" t="s">
        <v>9814</v>
      </c>
      <c r="G1797" s="3" t="str">
        <f>IFERROR(__xludf.DUMMYFUNCTION("REGEXREPLACE(
D1797,
""([一-龯々]+)\[([^\]]+)\]"",
""&lt;ruby&gt;$1&lt;rt&gt;$2&lt;/rt&gt;&lt;/ruby&gt;""
)&amp;""&lt;br&gt;&lt;div class=""""audio""""&gt;[sound:""&amp;C1797&amp;"".mp3]&lt;/div&gt;"""),"&lt;ruby&gt;根拠&lt;rt&gt;こんきょ&lt;/rt&gt;&lt;/ruby&gt;&lt;br&gt;&lt;div class=""audio""&gt;[sound:こんきょ.mp3]&lt;/div&gt;")</f>
        <v>&lt;ruby&gt;根拠&lt;rt&gt;こんきょ&lt;/rt&gt;&lt;/ruby&gt;&lt;br&gt;&lt;div class="audio"&gt;[sound:こんきょ.mp3]&lt;/div&gt;</v>
      </c>
      <c r="H1797" s="3" t="str">
        <f t="shared" si="1"/>
        <v>(n): căn cứ</v>
      </c>
      <c r="I1797" s="6" t="s">
        <v>9815</v>
      </c>
      <c r="J1797" s="6" t="s">
        <v>9816</v>
      </c>
      <c r="K1797" s="7">
        <f t="shared" si="2"/>
        <v>0.4485535344</v>
      </c>
    </row>
    <row r="1798">
      <c r="A1798" s="4">
        <v>1798.0</v>
      </c>
      <c r="B1798" s="5" t="s">
        <v>9817</v>
      </c>
      <c r="C1798" s="5" t="s">
        <v>9818</v>
      </c>
      <c r="D1798" s="5" t="s">
        <v>9819</v>
      </c>
      <c r="E1798" s="6" t="s">
        <v>74</v>
      </c>
      <c r="F1798" s="6" t="s">
        <v>9820</v>
      </c>
      <c r="G1798" s="3" t="str">
        <f>IFERROR(__xludf.DUMMYFUNCTION("REGEXREPLACE(
D1798,
""([一-龯々]+)\[([^\]]+)\]"",
""&lt;ruby&gt;$1&lt;rt&gt;$2&lt;/rt&gt;&lt;/ruby&gt;""
)&amp;""&lt;br&gt;&lt;div class=""""audio""""&gt;[sound:""&amp;C1798&amp;"".mp3]&lt;/div&gt;"""),"&lt;ruby&gt;自主&lt;rt&gt;じしゅ&lt;/rt&gt;&lt;/ruby&gt;&lt;br&gt;&lt;div class=""audio""&gt;[sound:じしゅ.mp3]&lt;/div&gt;")</f>
        <v>&lt;ruby&gt;自主&lt;rt&gt;じしゅ&lt;/rt&gt;&lt;/ruby&gt;&lt;br&gt;&lt;div class="audio"&gt;[sound:じしゅ.mp3]&lt;/div&gt;</v>
      </c>
      <c r="H1798" s="3" t="str">
        <f t="shared" si="1"/>
        <v>(n): tự chủ</v>
      </c>
      <c r="I1798" s="6" t="s">
        <v>9821</v>
      </c>
      <c r="J1798" s="6" t="s">
        <v>9822</v>
      </c>
      <c r="K1798" s="7">
        <f t="shared" si="2"/>
        <v>0.5888983729</v>
      </c>
    </row>
    <row r="1799">
      <c r="A1799" s="4">
        <v>1799.0</v>
      </c>
      <c r="B1799" s="5" t="s">
        <v>9823</v>
      </c>
      <c r="C1799" s="5" t="s">
        <v>9824</v>
      </c>
      <c r="D1799" s="5" t="s">
        <v>9825</v>
      </c>
      <c r="E1799" s="6" t="s">
        <v>24</v>
      </c>
      <c r="F1799" s="6" t="s">
        <v>9826</v>
      </c>
      <c r="G1799" s="3" t="str">
        <f>IFERROR(__xludf.DUMMYFUNCTION("REGEXREPLACE(
D1799,
""([一-龯々]+)\[([^\]]+)\]"",
""&lt;ruby&gt;$1&lt;rt&gt;$2&lt;/rt&gt;&lt;/ruby&gt;""
)&amp;""&lt;br&gt;&lt;div class=""""audio""""&gt;[sound:""&amp;C1799&amp;"".mp3]&lt;/div&gt;"""),"&lt;ruby&gt;見&lt;rt&gt;み&lt;/rt&gt;&lt;/ruby&gt;なす&lt;br&gt;&lt;div class=""audio""&gt;[sound:みなす.mp3]&lt;/div&gt;")</f>
        <v>&lt;ruby&gt;見&lt;rt&gt;み&lt;/rt&gt;&lt;/ruby&gt;なす&lt;br&gt;&lt;div class="audio"&gt;[sound:みなす.mp3]&lt;/div&gt;</v>
      </c>
      <c r="H1799" s="3" t="str">
        <f t="shared" si="1"/>
        <v>(v): coi là</v>
      </c>
      <c r="I1799" s="6" t="s">
        <v>9827</v>
      </c>
      <c r="J1799" s="6" t="s">
        <v>9828</v>
      </c>
      <c r="K1799" s="7">
        <f t="shared" si="2"/>
        <v>0.2257169839</v>
      </c>
    </row>
    <row r="1800">
      <c r="A1800" s="4">
        <v>1800.0</v>
      </c>
      <c r="B1800" s="5" t="s">
        <v>9829</v>
      </c>
      <c r="C1800" s="5" t="s">
        <v>9830</v>
      </c>
      <c r="D1800" s="5" t="s">
        <v>9829</v>
      </c>
      <c r="E1800" s="6" t="s">
        <v>74</v>
      </c>
      <c r="F1800" s="6" t="s">
        <v>9831</v>
      </c>
      <c r="G1800" s="3" t="str">
        <f>IFERROR(__xludf.DUMMYFUNCTION("REGEXREPLACE(
D1800,
""([一-龯々]+)\[([^\]]+)\]"",
""&lt;ruby&gt;$1&lt;rt&gt;$2&lt;/rt&gt;&lt;/ruby&gt;""
)&amp;""&lt;br&gt;&lt;div class=""""audio""""&gt;[sound:""&amp;C1800&amp;"".mp3]&lt;/div&gt;"""),"アルミ&lt;br&gt;&lt;div class=""audio""&gt;[sound:あるみ.mp3]&lt;/div&gt;")</f>
        <v>アルミ&lt;br&gt;&lt;div class="audio"&gt;[sound:あるみ.mp3]&lt;/div&gt;</v>
      </c>
      <c r="H1800" s="3" t="str">
        <f t="shared" si="1"/>
        <v>(n): nhôm</v>
      </c>
      <c r="I1800" s="6" t="s">
        <v>9832</v>
      </c>
      <c r="J1800" s="6" t="s">
        <v>9833</v>
      </c>
      <c r="K1800" s="7">
        <f t="shared" si="2"/>
        <v>0.4252865629</v>
      </c>
    </row>
    <row r="1801">
      <c r="A1801" s="4">
        <v>1801.0</v>
      </c>
      <c r="B1801" s="5" t="s">
        <v>9834</v>
      </c>
      <c r="C1801" s="5" t="s">
        <v>9835</v>
      </c>
      <c r="D1801" s="5" t="s">
        <v>9834</v>
      </c>
      <c r="E1801" s="6" t="s">
        <v>74</v>
      </c>
      <c r="F1801" s="6" t="s">
        <v>9836</v>
      </c>
      <c r="G1801" s="3" t="str">
        <f>IFERROR(__xludf.DUMMYFUNCTION("REGEXREPLACE(
D1801,
""([一-龯々]+)\[([^\]]+)\]"",
""&lt;ruby&gt;$1&lt;rt&gt;$2&lt;/rt&gt;&lt;/ruby&gt;""
)&amp;""&lt;br&gt;&lt;div class=""""audio""""&gt;[sound:""&amp;C1801&amp;"".mp3]&lt;/div&gt;"""),"キャッチ&lt;br&gt;&lt;div class=""audio""&gt;[sound:きゃっち.mp3]&lt;/div&gt;")</f>
        <v>キャッチ&lt;br&gt;&lt;div class="audio"&gt;[sound:きゃっち.mp3]&lt;/div&gt;</v>
      </c>
      <c r="H1801" s="3" t="str">
        <f t="shared" si="1"/>
        <v>(n): bắt</v>
      </c>
      <c r="I1801" s="6" t="s">
        <v>9837</v>
      </c>
      <c r="J1801" s="6" t="s">
        <v>9838</v>
      </c>
      <c r="K1801" s="7">
        <f t="shared" si="2"/>
        <v>0.8389113035</v>
      </c>
    </row>
    <row r="1802">
      <c r="A1802" s="4">
        <v>1802.0</v>
      </c>
      <c r="B1802" s="5" t="s">
        <v>9839</v>
      </c>
      <c r="C1802" s="5" t="s">
        <v>9840</v>
      </c>
      <c r="D1802" s="5" t="s">
        <v>9839</v>
      </c>
      <c r="E1802" s="6" t="s">
        <v>74</v>
      </c>
      <c r="F1802" s="6" t="s">
        <v>9841</v>
      </c>
      <c r="G1802" s="3" t="str">
        <f>IFERROR(__xludf.DUMMYFUNCTION("REGEXREPLACE(
D1802,
""([一-龯々]+)\[([^\]]+)\]"",
""&lt;ruby&gt;$1&lt;rt&gt;$2&lt;/rt&gt;&lt;/ruby&gt;""
)&amp;""&lt;br&gt;&lt;div class=""""audio""""&gt;[sound:""&amp;C1802&amp;"".mp3]&lt;/div&gt;"""),"バッテリー&lt;br&gt;&lt;div class=""audio""&gt;[sound:ばってりー.mp3]&lt;/div&gt;")</f>
        <v>バッテリー&lt;br&gt;&lt;div class="audio"&gt;[sound:ばってりー.mp3]&lt;/div&gt;</v>
      </c>
      <c r="H1802" s="3" t="str">
        <f t="shared" si="1"/>
        <v>(n): pin</v>
      </c>
      <c r="I1802" s="6" t="s">
        <v>9842</v>
      </c>
      <c r="J1802" s="6" t="s">
        <v>9843</v>
      </c>
      <c r="K1802" s="7">
        <f t="shared" si="2"/>
        <v>0.4242526114</v>
      </c>
    </row>
    <row r="1803">
      <c r="A1803" s="4">
        <v>1803.0</v>
      </c>
      <c r="B1803" s="5" t="s">
        <v>9844</v>
      </c>
      <c r="C1803" s="5" t="s">
        <v>9845</v>
      </c>
      <c r="D1803" s="5" t="s">
        <v>9844</v>
      </c>
      <c r="E1803" s="6" t="s">
        <v>74</v>
      </c>
      <c r="F1803" s="6" t="s">
        <v>9846</v>
      </c>
      <c r="G1803" s="3" t="str">
        <f>IFERROR(__xludf.DUMMYFUNCTION("REGEXREPLACE(
D1803,
""([一-龯々]+)\[([^\]]+)\]"",
""&lt;ruby&gt;$1&lt;rt&gt;$2&lt;/rt&gt;&lt;/ruby&gt;""
)&amp;""&lt;br&gt;&lt;div class=""""audio""""&gt;[sound:""&amp;C1803&amp;"".mp3]&lt;/div&gt;"""),"ペア&lt;br&gt;&lt;div class=""audio""&gt;[sound:ぺあ.mp3]&lt;/div&gt;")</f>
        <v>ペア&lt;br&gt;&lt;div class="audio"&gt;[sound:ぺあ.mp3]&lt;/div&gt;</v>
      </c>
      <c r="H1803" s="3" t="str">
        <f t="shared" si="1"/>
        <v>(n): cặp</v>
      </c>
      <c r="I1803" s="6" t="s">
        <v>9847</v>
      </c>
      <c r="J1803" s="6" t="s">
        <v>9848</v>
      </c>
      <c r="K1803" s="7">
        <f t="shared" si="2"/>
        <v>0.6426531061</v>
      </c>
    </row>
    <row r="1804">
      <c r="A1804" s="4">
        <v>1804.0</v>
      </c>
      <c r="B1804" s="5" t="s">
        <v>9849</v>
      </c>
      <c r="C1804" s="5" t="s">
        <v>9850</v>
      </c>
      <c r="D1804" s="5" t="s">
        <v>9851</v>
      </c>
      <c r="E1804" s="6" t="s">
        <v>24</v>
      </c>
      <c r="F1804" s="6" t="s">
        <v>9852</v>
      </c>
      <c r="G1804" s="3" t="str">
        <f>IFERROR(__xludf.DUMMYFUNCTION("REGEXREPLACE(
D1804,
""([一-龯々]+)\[([^\]]+)\]"",
""&lt;ruby&gt;$1&lt;rt&gt;$2&lt;/rt&gt;&lt;/ruby&gt;""
)&amp;""&lt;br&gt;&lt;div class=""""audio""""&gt;[sound:""&amp;C1804&amp;"".mp3]&lt;/div&gt;"""),"&lt;ruby&gt;試&lt;rt&gt;こころ&lt;/rt&gt;&lt;/ruby&gt;みる&lt;br&gt;&lt;div class=""audio""&gt;[sound:こころみる.mp3]&lt;/div&gt;")</f>
        <v>&lt;ruby&gt;試&lt;rt&gt;こころ&lt;/rt&gt;&lt;/ruby&gt;みる&lt;br&gt;&lt;div class="audio"&gt;[sound:こころみる.mp3]&lt;/div&gt;</v>
      </c>
      <c r="H1804" s="3" t="str">
        <f t="shared" si="1"/>
        <v>(v): thử</v>
      </c>
      <c r="I1804" s="6" t="s">
        <v>9853</v>
      </c>
      <c r="J1804" s="6" t="s">
        <v>9854</v>
      </c>
      <c r="K1804" s="7">
        <f t="shared" si="2"/>
        <v>0.5307094239</v>
      </c>
    </row>
    <row r="1805">
      <c r="A1805" s="4">
        <v>1805.0</v>
      </c>
      <c r="B1805" s="5" t="s">
        <v>9855</v>
      </c>
      <c r="C1805" s="5" t="s">
        <v>9856</v>
      </c>
      <c r="D1805" s="5" t="s">
        <v>9857</v>
      </c>
      <c r="E1805" s="6" t="s">
        <v>74</v>
      </c>
      <c r="F1805" s="6" t="s">
        <v>9858</v>
      </c>
      <c r="G1805" s="3" t="str">
        <f>IFERROR(__xludf.DUMMYFUNCTION("REGEXREPLACE(
D1805,
""([一-龯々]+)\[([^\]]+)\]"",
""&lt;ruby&gt;$1&lt;rt&gt;$2&lt;/rt&gt;&lt;/ruby&gt;""
)&amp;""&lt;br&gt;&lt;div class=""""audio""""&gt;[sound:""&amp;C1805&amp;"".mp3]&lt;/div&gt;"""),"&lt;ruby&gt;対抗&lt;rt&gt;たいこう&lt;/rt&gt;&lt;/ruby&gt;&lt;br&gt;&lt;div class=""audio""&gt;[sound:たいこう.mp3]&lt;/div&gt;")</f>
        <v>&lt;ruby&gt;対抗&lt;rt&gt;たいこう&lt;/rt&gt;&lt;/ruby&gt;&lt;br&gt;&lt;div class="audio"&gt;[sound:たいこう.mp3]&lt;/div&gt;</v>
      </c>
      <c r="H1805" s="3" t="str">
        <f t="shared" si="1"/>
        <v>(n): đối kháng</v>
      </c>
      <c r="I1805" s="6" t="s">
        <v>9859</v>
      </c>
      <c r="J1805" s="6" t="s">
        <v>9860</v>
      </c>
      <c r="K1805" s="7">
        <f t="shared" si="2"/>
        <v>0.2581620207</v>
      </c>
    </row>
    <row r="1806">
      <c r="A1806" s="4">
        <v>1806.0</v>
      </c>
      <c r="B1806" s="5" t="s">
        <v>9861</v>
      </c>
      <c r="C1806" s="5" t="s">
        <v>9862</v>
      </c>
      <c r="D1806" s="5" t="s">
        <v>9863</v>
      </c>
      <c r="E1806" s="6" t="s">
        <v>24</v>
      </c>
      <c r="F1806" s="6" t="s">
        <v>9864</v>
      </c>
      <c r="G1806" s="3" t="str">
        <f>IFERROR(__xludf.DUMMYFUNCTION("REGEXREPLACE(
D1806,
""([一-龯々]+)\[([^\]]+)\]"",
""&lt;ruby&gt;$1&lt;rt&gt;$2&lt;/rt&gt;&lt;/ruby&gt;""
)&amp;""&lt;br&gt;&lt;div class=""""audio""""&gt;[sound:""&amp;C1806&amp;"".mp3]&lt;/div&gt;"""),"&lt;ruby&gt;尽&lt;rt&gt;つ&lt;/rt&gt;&lt;/ruby&gt;くす&lt;br&gt;&lt;div class=""audio""&gt;[sound:つくす.mp3]&lt;/div&gt;")</f>
        <v>&lt;ruby&gt;尽&lt;rt&gt;つ&lt;/rt&gt;&lt;/ruby&gt;くす&lt;br&gt;&lt;div class="audio"&gt;[sound:つくす.mp3]&lt;/div&gt;</v>
      </c>
      <c r="H1806" s="3" t="str">
        <f t="shared" si="1"/>
        <v>(v): cống hiến</v>
      </c>
      <c r="I1806" s="6" t="s">
        <v>9865</v>
      </c>
      <c r="J1806" s="6" t="s">
        <v>9866</v>
      </c>
      <c r="K1806" s="7">
        <f t="shared" si="2"/>
        <v>0.8133517756</v>
      </c>
    </row>
    <row r="1807">
      <c r="A1807" s="4">
        <v>1807.0</v>
      </c>
      <c r="B1807" s="5" t="s">
        <v>9867</v>
      </c>
      <c r="C1807" s="5" t="s">
        <v>9868</v>
      </c>
      <c r="D1807" s="5" t="s">
        <v>9869</v>
      </c>
      <c r="E1807" s="6" t="s">
        <v>74</v>
      </c>
      <c r="F1807" s="6" t="s">
        <v>5956</v>
      </c>
      <c r="G1807" s="3" t="str">
        <f>IFERROR(__xludf.DUMMYFUNCTION("REGEXREPLACE(
D1807,
""([一-龯々]+)\[([^\]]+)\]"",
""&lt;ruby&gt;$1&lt;rt&gt;$2&lt;/rt&gt;&lt;/ruby&gt;""
)&amp;""&lt;br&gt;&lt;div class=""""audio""""&gt;[sound:""&amp;C1807&amp;"".mp3]&lt;/div&gt;"""),"&lt;ruby&gt;推進&lt;rt&gt;すいしん&lt;/rt&gt;&lt;/ruby&gt;&lt;br&gt;&lt;div class=""audio""&gt;[sound:すいしん.mp3]&lt;/div&gt;")</f>
        <v>&lt;ruby&gt;推進&lt;rt&gt;すいしん&lt;/rt&gt;&lt;/ruby&gt;&lt;br&gt;&lt;div class="audio"&gt;[sound:すいしん.mp3]&lt;/div&gt;</v>
      </c>
      <c r="H1807" s="3" t="str">
        <f t="shared" si="1"/>
        <v>(n): thúc đẩy</v>
      </c>
      <c r="I1807" s="6" t="s">
        <v>9870</v>
      </c>
      <c r="J1807" s="6" t="s">
        <v>9871</v>
      </c>
      <c r="K1807" s="7">
        <f t="shared" si="2"/>
        <v>0.1969936292</v>
      </c>
    </row>
    <row r="1808">
      <c r="A1808" s="4">
        <v>1808.0</v>
      </c>
      <c r="B1808" s="5" t="s">
        <v>9872</v>
      </c>
      <c r="C1808" s="5" t="s">
        <v>9873</v>
      </c>
      <c r="D1808" s="5" t="s">
        <v>9874</v>
      </c>
      <c r="E1808" s="6" t="s">
        <v>74</v>
      </c>
      <c r="F1808" s="6" t="s">
        <v>9875</v>
      </c>
      <c r="G1808" s="3" t="str">
        <f>IFERROR(__xludf.DUMMYFUNCTION("REGEXREPLACE(
D1808,
""([一-龯々]+)\[([^\]]+)\]"",
""&lt;ruby&gt;$1&lt;rt&gt;$2&lt;/rt&gt;&lt;/ruby&gt;""
)&amp;""&lt;br&gt;&lt;div class=""""audio""""&gt;[sound:""&amp;C1808&amp;"".mp3]&lt;/div&gt;"""),"&lt;ruby&gt;抑制&lt;rt&gt;よくせい&lt;/rt&gt;&lt;/ruby&gt;&lt;br&gt;&lt;div class=""audio""&gt;[sound:よくせい.mp3]&lt;/div&gt;")</f>
        <v>&lt;ruby&gt;抑制&lt;rt&gt;よくせい&lt;/rt&gt;&lt;/ruby&gt;&lt;br&gt;&lt;div class="audio"&gt;[sound:よくせい.mp3]&lt;/div&gt;</v>
      </c>
      <c r="H1808" s="3" t="str">
        <f t="shared" si="1"/>
        <v>(n): kìm hãm</v>
      </c>
      <c r="I1808" s="6" t="s">
        <v>9876</v>
      </c>
      <c r="J1808" s="6" t="s">
        <v>9877</v>
      </c>
      <c r="K1808" s="7">
        <f t="shared" si="2"/>
        <v>0.9912702554</v>
      </c>
    </row>
    <row r="1809">
      <c r="A1809" s="4">
        <v>1809.0</v>
      </c>
      <c r="B1809" s="5" t="s">
        <v>9878</v>
      </c>
      <c r="C1809" s="5" t="s">
        <v>9879</v>
      </c>
      <c r="D1809" s="5" t="s">
        <v>9880</v>
      </c>
      <c r="E1809" s="6" t="s">
        <v>74</v>
      </c>
      <c r="F1809" s="6" t="s">
        <v>9881</v>
      </c>
      <c r="G1809" s="3" t="str">
        <f>IFERROR(__xludf.DUMMYFUNCTION("REGEXREPLACE(
D1809,
""([一-龯々]+)\[([^\]]+)\]"",
""&lt;ruby&gt;$1&lt;rt&gt;$2&lt;/rt&gt;&lt;/ruby&gt;""
)&amp;""&lt;br&gt;&lt;div class=""""audio""""&gt;[sound:""&amp;C1809&amp;"".mp3]&lt;/div&gt;"""),"&lt;ruby&gt;悪化&lt;rt&gt;あっか&lt;/rt&gt;&lt;/ruby&gt;&lt;br&gt;&lt;div class=""audio""&gt;[sound:あっか.mp3]&lt;/div&gt;")</f>
        <v>&lt;ruby&gt;悪化&lt;rt&gt;あっか&lt;/rt&gt;&lt;/ruby&gt;&lt;br&gt;&lt;div class="audio"&gt;[sound:あっか.mp3]&lt;/div&gt;</v>
      </c>
      <c r="H1809" s="3" t="str">
        <f t="shared" si="1"/>
        <v>(n): xấu đi</v>
      </c>
      <c r="I1809" s="6" t="s">
        <v>9882</v>
      </c>
      <c r="J1809" s="6" t="s">
        <v>9883</v>
      </c>
      <c r="K1809" s="7">
        <f t="shared" si="2"/>
        <v>0.5038685436</v>
      </c>
    </row>
    <row r="1810">
      <c r="A1810" s="4">
        <v>1810.0</v>
      </c>
      <c r="B1810" s="5" t="s">
        <v>9884</v>
      </c>
      <c r="C1810" s="5" t="s">
        <v>9885</v>
      </c>
      <c r="D1810" s="5" t="s">
        <v>9886</v>
      </c>
      <c r="E1810" s="6" t="s">
        <v>74</v>
      </c>
      <c r="F1810" s="6" t="s">
        <v>9887</v>
      </c>
      <c r="G1810" s="3" t="str">
        <f>IFERROR(__xludf.DUMMYFUNCTION("REGEXREPLACE(
D1810,
""([一-龯々]+)\[([^\]]+)\]"",
""&lt;ruby&gt;$1&lt;rt&gt;$2&lt;/rt&gt;&lt;/ruby&gt;""
)&amp;""&lt;br&gt;&lt;div class=""""audio""""&gt;[sound:""&amp;C1810&amp;"".mp3]&lt;/div&gt;"""),"&lt;ruby&gt;各地&lt;rt&gt;かくち&lt;/rt&gt;&lt;/ruby&gt;&lt;br&gt;&lt;div class=""audio""&gt;[sound:かくち.mp3]&lt;/div&gt;")</f>
        <v>&lt;ruby&gt;各地&lt;rt&gt;かくち&lt;/rt&gt;&lt;/ruby&gt;&lt;br&gt;&lt;div class="audio"&gt;[sound:かくち.mp3]&lt;/div&gt;</v>
      </c>
      <c r="H1810" s="3" t="str">
        <f t="shared" si="1"/>
        <v>(n): các vùng</v>
      </c>
      <c r="I1810" s="6" t="s">
        <v>9888</v>
      </c>
      <c r="J1810" s="6" t="s">
        <v>9889</v>
      </c>
      <c r="K1810" s="7">
        <f t="shared" si="2"/>
        <v>0.337260593</v>
      </c>
    </row>
    <row r="1811">
      <c r="A1811" s="4">
        <v>1811.0</v>
      </c>
      <c r="B1811" s="5" t="s">
        <v>9890</v>
      </c>
      <c r="C1811" s="5" t="s">
        <v>9891</v>
      </c>
      <c r="D1811" s="5" t="s">
        <v>9892</v>
      </c>
      <c r="E1811" s="6" t="s">
        <v>74</v>
      </c>
      <c r="F1811" s="6" t="s">
        <v>9893</v>
      </c>
      <c r="G1811" s="3" t="str">
        <f>IFERROR(__xludf.DUMMYFUNCTION("REGEXREPLACE(
D1811,
""([一-龯々]+)\[([^\]]+)\]"",
""&lt;ruby&gt;$1&lt;rt&gt;$2&lt;/rt&gt;&lt;/ruby&gt;""
)&amp;""&lt;br&gt;&lt;div class=""""audio""""&gt;[sound:""&amp;C1811&amp;"".mp3]&lt;/div&gt;"""),"&lt;ruby&gt;条件&lt;rt&gt;じょうけん&lt;/rt&gt;&lt;/ruby&gt;&lt;br&gt;&lt;div class=""audio""&gt;[sound:じょうけん.mp3]&lt;/div&gt;")</f>
        <v>&lt;ruby&gt;条件&lt;rt&gt;じょうけん&lt;/rt&gt;&lt;/ruby&gt;&lt;br&gt;&lt;div class="audio"&gt;[sound:じょうけん.mp3]&lt;/div&gt;</v>
      </c>
      <c r="H1811" s="3" t="str">
        <f t="shared" si="1"/>
        <v>(n): điều kiện</v>
      </c>
      <c r="I1811" s="6" t="s">
        <v>9894</v>
      </c>
      <c r="J1811" s="6" t="s">
        <v>9895</v>
      </c>
      <c r="K1811" s="7">
        <f t="shared" si="2"/>
        <v>0.2616765112</v>
      </c>
    </row>
    <row r="1812">
      <c r="A1812" s="4">
        <v>1812.0</v>
      </c>
      <c r="B1812" s="5" t="s">
        <v>9896</v>
      </c>
      <c r="C1812" s="5" t="s">
        <v>9897</v>
      </c>
      <c r="D1812" s="5" t="s">
        <v>9898</v>
      </c>
      <c r="E1812" s="6" t="s">
        <v>24</v>
      </c>
      <c r="F1812" s="6" t="s">
        <v>9899</v>
      </c>
      <c r="G1812" s="3" t="str">
        <f>IFERROR(__xludf.DUMMYFUNCTION("REGEXREPLACE(
D1812,
""([一-龯々]+)\[([^\]]+)\]"",
""&lt;ruby&gt;$1&lt;rt&gt;$2&lt;/rt&gt;&lt;/ruby&gt;""
)&amp;""&lt;br&gt;&lt;div class=""""audio""""&gt;[sound:""&amp;C1812&amp;"".mp3]&lt;/div&gt;"""),"&lt;ruby&gt;囲&lt;rt&gt;かこ&lt;/rt&gt;&lt;/ruby&gt;む&lt;br&gt;&lt;div class=""audio""&gt;[sound:かこむ.mp3]&lt;/div&gt;")</f>
        <v>&lt;ruby&gt;囲&lt;rt&gt;かこ&lt;/rt&gt;&lt;/ruby&gt;む&lt;br&gt;&lt;div class="audio"&gt;[sound:かこむ.mp3]&lt;/div&gt;</v>
      </c>
      <c r="H1812" s="3" t="str">
        <f t="shared" si="1"/>
        <v>(v): bao quanh</v>
      </c>
      <c r="I1812" s="6" t="s">
        <v>9900</v>
      </c>
      <c r="J1812" s="6" t="s">
        <v>9901</v>
      </c>
      <c r="K1812" s="7">
        <f t="shared" si="2"/>
        <v>0.996106377</v>
      </c>
    </row>
    <row r="1813">
      <c r="A1813" s="4">
        <v>1813.0</v>
      </c>
      <c r="B1813" s="5" t="s">
        <v>9902</v>
      </c>
      <c r="C1813" s="5" t="s">
        <v>9903</v>
      </c>
      <c r="D1813" s="5" t="s">
        <v>9904</v>
      </c>
      <c r="E1813" s="6" t="s">
        <v>24</v>
      </c>
      <c r="F1813" s="6" t="s">
        <v>9905</v>
      </c>
      <c r="G1813" s="3" t="str">
        <f>IFERROR(__xludf.DUMMYFUNCTION("REGEXREPLACE(
D1813,
""([一-龯々]+)\[([^\]]+)\]"",
""&lt;ruby&gt;$1&lt;rt&gt;$2&lt;/rt&gt;&lt;/ruby&gt;""
)&amp;""&lt;br&gt;&lt;div class=""""audio""""&gt;[sound:""&amp;C1813&amp;"".mp3]&lt;/div&gt;"""),"&lt;ruby&gt;楽&lt;rt&gt;たのし&lt;/rt&gt;&lt;/ruby&gt;む&lt;br&gt;&lt;div class=""audio""&gt;[sound:たのしむ.mp3]&lt;/div&gt;")</f>
        <v>&lt;ruby&gt;楽&lt;rt&gt;たのし&lt;/rt&gt;&lt;/ruby&gt;む&lt;br&gt;&lt;div class="audio"&gt;[sound:たのしむ.mp3]&lt;/div&gt;</v>
      </c>
      <c r="H1813" s="3" t="str">
        <f t="shared" si="1"/>
        <v>(v): tận hưởng</v>
      </c>
      <c r="I1813" s="6" t="s">
        <v>9906</v>
      </c>
      <c r="J1813" s="6" t="s">
        <v>9907</v>
      </c>
      <c r="K1813" s="7">
        <f t="shared" si="2"/>
        <v>0.4691642374</v>
      </c>
    </row>
    <row r="1814">
      <c r="A1814" s="4">
        <v>1814.0</v>
      </c>
      <c r="B1814" s="5" t="s">
        <v>9908</v>
      </c>
      <c r="C1814" s="5" t="s">
        <v>9909</v>
      </c>
      <c r="D1814" s="5" t="s">
        <v>9910</v>
      </c>
      <c r="E1814" s="6" t="s">
        <v>74</v>
      </c>
      <c r="F1814" s="6" t="s">
        <v>9911</v>
      </c>
      <c r="G1814" s="3" t="str">
        <f>IFERROR(__xludf.DUMMYFUNCTION("REGEXREPLACE(
D1814,
""([一-龯々]+)\[([^\]]+)\]"",
""&lt;ruby&gt;$1&lt;rt&gt;$2&lt;/rt&gt;&lt;/ruby&gt;""
)&amp;""&lt;br&gt;&lt;div class=""""audio""""&gt;[sound:""&amp;C1814&amp;"".mp3]&lt;/div&gt;"""),"&lt;ruby&gt;操作&lt;rt&gt;そうさ&lt;/rt&gt;&lt;/ruby&gt;&lt;br&gt;&lt;div class=""audio""&gt;[sound:そうさ.mp3]&lt;/div&gt;")</f>
        <v>&lt;ruby&gt;操作&lt;rt&gt;そうさ&lt;/rt&gt;&lt;/ruby&gt;&lt;br&gt;&lt;div class="audio"&gt;[sound:そうさ.mp3]&lt;/div&gt;</v>
      </c>
      <c r="H1814" s="3" t="str">
        <f t="shared" si="1"/>
        <v>(n): thao tác</v>
      </c>
      <c r="I1814" s="6" t="s">
        <v>9912</v>
      </c>
      <c r="J1814" s="6" t="s">
        <v>9913</v>
      </c>
      <c r="K1814" s="7">
        <f t="shared" si="2"/>
        <v>0.7237223528</v>
      </c>
    </row>
    <row r="1815">
      <c r="A1815" s="4">
        <v>1815.0</v>
      </c>
      <c r="B1815" s="5" t="s">
        <v>9914</v>
      </c>
      <c r="C1815" s="5" t="s">
        <v>9915</v>
      </c>
      <c r="D1815" s="5" t="s">
        <v>9916</v>
      </c>
      <c r="E1815" s="6" t="s">
        <v>11</v>
      </c>
      <c r="F1815" s="6" t="s">
        <v>2848</v>
      </c>
      <c r="G1815" s="3" t="str">
        <f>IFERROR(__xludf.DUMMYFUNCTION("REGEXREPLACE(
D1815,
""([一-龯々]+)\[([^\]]+)\]"",
""&lt;ruby&gt;$1&lt;rt&gt;$2&lt;/rt&gt;&lt;/ruby&gt;""
)&amp;""&lt;br&gt;&lt;div class=""""audio""""&gt;[sound:""&amp;C1815&amp;"".mp3]&lt;/div&gt;"""),"&lt;ruby&gt;明&lt;rt&gt;あき&lt;/rt&gt;&lt;/ruby&gt;らか&lt;br&gt;&lt;div class=""audio""&gt;[sound:あきらか.mp3]&lt;/div&gt;")</f>
        <v>&lt;ruby&gt;明&lt;rt&gt;あき&lt;/rt&gt;&lt;/ruby&gt;らか&lt;br&gt;&lt;div class="audio"&gt;[sound:あきらか.mp3]&lt;/div&gt;</v>
      </c>
      <c r="H1815" s="3" t="str">
        <f t="shared" si="1"/>
        <v>(adj): rõ ràng</v>
      </c>
      <c r="I1815" s="6" t="s">
        <v>9917</v>
      </c>
      <c r="J1815" s="6" t="s">
        <v>9918</v>
      </c>
      <c r="K1815" s="7">
        <f t="shared" si="2"/>
        <v>0.4808813155</v>
      </c>
    </row>
    <row r="1816">
      <c r="A1816" s="4">
        <v>1816.0</v>
      </c>
      <c r="B1816" s="5" t="s">
        <v>9919</v>
      </c>
      <c r="C1816" s="5" t="s">
        <v>9920</v>
      </c>
      <c r="D1816" s="5" t="s">
        <v>9921</v>
      </c>
      <c r="E1816" s="6" t="s">
        <v>24</v>
      </c>
      <c r="F1816" s="6" t="s">
        <v>9922</v>
      </c>
      <c r="G1816" s="3" t="str">
        <f>IFERROR(__xludf.DUMMYFUNCTION("REGEXREPLACE(
D1816,
""([一-龯々]+)\[([^\]]+)\]"",
""&lt;ruby&gt;$1&lt;rt&gt;$2&lt;/rt&gt;&lt;/ruby&gt;""
)&amp;""&lt;br&gt;&lt;div class=""""audio""""&gt;[sound:""&amp;C1816&amp;"".mp3]&lt;/div&gt;"""),"&lt;ruby&gt;気付&lt;rt&gt;きづ&lt;/rt&gt;&lt;/ruby&gt;く&lt;br&gt;&lt;div class=""audio""&gt;[sound:きづく.mp3]&lt;/div&gt;")</f>
        <v>&lt;ruby&gt;気付&lt;rt&gt;きづ&lt;/rt&gt;&lt;/ruby&gt;く&lt;br&gt;&lt;div class="audio"&gt;[sound:きづく.mp3]&lt;/div&gt;</v>
      </c>
      <c r="H1816" s="3" t="str">
        <f t="shared" si="1"/>
        <v>(v): nhận ra</v>
      </c>
      <c r="I1816" s="6" t="s">
        <v>9923</v>
      </c>
      <c r="J1816" s="6" t="s">
        <v>9924</v>
      </c>
      <c r="K1816" s="7">
        <f t="shared" si="2"/>
        <v>0.7631475931</v>
      </c>
    </row>
    <row r="1817">
      <c r="A1817" s="4">
        <v>1817.0</v>
      </c>
      <c r="B1817" s="5" t="s">
        <v>9925</v>
      </c>
      <c r="C1817" s="5" t="s">
        <v>9926</v>
      </c>
      <c r="D1817" s="5" t="s">
        <v>9927</v>
      </c>
      <c r="E1817" s="6" t="s">
        <v>74</v>
      </c>
      <c r="F1817" s="6" t="s">
        <v>3574</v>
      </c>
      <c r="G1817" s="3" t="str">
        <f>IFERROR(__xludf.DUMMYFUNCTION("REGEXREPLACE(
D1817,
""([一-龯々]+)\[([^\]]+)\]"",
""&lt;ruby&gt;$1&lt;rt&gt;$2&lt;/rt&gt;&lt;/ruby&gt;""
)&amp;""&lt;br&gt;&lt;div class=""""audio""""&gt;[sound:""&amp;C1817&amp;"".mp3]&lt;/div&gt;"""),"&lt;ruby&gt;横&lt;rt&gt;よこ&lt;/rt&gt;&lt;/ruby&gt;&lt;br&gt;&lt;div class=""audio""&gt;[sound:よこ.mp3]&lt;/div&gt;")</f>
        <v>&lt;ruby&gt;横&lt;rt&gt;よこ&lt;/rt&gt;&lt;/ruby&gt;&lt;br&gt;&lt;div class="audio"&gt;[sound:よこ.mp3]&lt;/div&gt;</v>
      </c>
      <c r="H1817" s="3" t="str">
        <f t="shared" si="1"/>
        <v>(n): bên cạnh</v>
      </c>
      <c r="I1817" s="6" t="s">
        <v>9928</v>
      </c>
      <c r="J1817" s="6" t="s">
        <v>9929</v>
      </c>
      <c r="K1817" s="7">
        <f t="shared" si="2"/>
        <v>0.6210056082</v>
      </c>
    </row>
    <row r="1818">
      <c r="A1818" s="4">
        <v>1818.0</v>
      </c>
      <c r="B1818" s="5" t="s">
        <v>9930</v>
      </c>
      <c r="C1818" s="5" t="s">
        <v>9931</v>
      </c>
      <c r="D1818" s="5" t="s">
        <v>9932</v>
      </c>
      <c r="E1818" s="6" t="s">
        <v>74</v>
      </c>
      <c r="F1818" s="6" t="s">
        <v>9933</v>
      </c>
      <c r="G1818" s="3" t="str">
        <f>IFERROR(__xludf.DUMMYFUNCTION("REGEXREPLACE(
D1818,
""([一-龯々]+)\[([^\]]+)\]"",
""&lt;ruby&gt;$1&lt;rt&gt;$2&lt;/rt&gt;&lt;/ruby&gt;""
)&amp;""&lt;br&gt;&lt;div class=""""audio""""&gt;[sound:""&amp;C1818&amp;"".mp3]&lt;/div&gt;"""),"&lt;ruby&gt;数学&lt;rt&gt;すうがく&lt;/rt&gt;&lt;/ruby&gt;&lt;br&gt;&lt;div class=""audio""&gt;[sound:すうがく.mp3]&lt;/div&gt;")</f>
        <v>&lt;ruby&gt;数学&lt;rt&gt;すうがく&lt;/rt&gt;&lt;/ruby&gt;&lt;br&gt;&lt;div class="audio"&gt;[sound:すうがく.mp3]&lt;/div&gt;</v>
      </c>
      <c r="H1818" s="3" t="str">
        <f t="shared" si="1"/>
        <v>(n): toán học</v>
      </c>
      <c r="I1818" s="6" t="s">
        <v>9934</v>
      </c>
      <c r="J1818" s="6" t="s">
        <v>9935</v>
      </c>
      <c r="K1818" s="7">
        <f t="shared" si="2"/>
        <v>0.3277308535</v>
      </c>
    </row>
    <row r="1819">
      <c r="A1819" s="4">
        <v>1819.0</v>
      </c>
      <c r="B1819" s="5" t="s">
        <v>9936</v>
      </c>
      <c r="C1819" s="5" t="s">
        <v>9937</v>
      </c>
      <c r="D1819" s="5" t="s">
        <v>9938</v>
      </c>
      <c r="E1819" s="6" t="s">
        <v>74</v>
      </c>
      <c r="F1819" s="6" t="s">
        <v>9939</v>
      </c>
      <c r="G1819" s="3" t="str">
        <f>IFERROR(__xludf.DUMMYFUNCTION("REGEXREPLACE(
D1819,
""([一-龯々]+)\[([^\]]+)\]"",
""&lt;ruby&gt;$1&lt;rt&gt;$2&lt;/rt&gt;&lt;/ruby&gt;""
)&amp;""&lt;br&gt;&lt;div class=""""audio""""&gt;[sound:""&amp;C1819&amp;"".mp3]&lt;/div&gt;"""),"&lt;ruby&gt;木曜日&lt;rt&gt;もくようび&lt;/rt&gt;&lt;/ruby&gt;&lt;br&gt;&lt;div class=""audio""&gt;[sound:もくようび.mp3]&lt;/div&gt;")</f>
        <v>&lt;ruby&gt;木曜日&lt;rt&gt;もくようび&lt;/rt&gt;&lt;/ruby&gt;&lt;br&gt;&lt;div class="audio"&gt;[sound:もくようび.mp3]&lt;/div&gt;</v>
      </c>
      <c r="H1819" s="3" t="str">
        <f t="shared" si="1"/>
        <v>(n): thứ năm</v>
      </c>
      <c r="I1819" s="6" t="s">
        <v>9940</v>
      </c>
      <c r="J1819" s="6" t="s">
        <v>9941</v>
      </c>
      <c r="K1819" s="7">
        <f t="shared" si="2"/>
        <v>0.9322669663</v>
      </c>
    </row>
    <row r="1820">
      <c r="A1820" s="4">
        <v>1820.0</v>
      </c>
      <c r="B1820" s="5" t="s">
        <v>9942</v>
      </c>
      <c r="C1820" s="5" t="s">
        <v>9943</v>
      </c>
      <c r="D1820" s="5" t="s">
        <v>9944</v>
      </c>
      <c r="E1820" s="6" t="s">
        <v>74</v>
      </c>
      <c r="F1820" s="6" t="s">
        <v>9945</v>
      </c>
      <c r="G1820" s="3" t="str">
        <f>IFERROR(__xludf.DUMMYFUNCTION("REGEXREPLACE(
D1820,
""([一-龯々]+)\[([^\]]+)\]"",
""&lt;ruby&gt;$1&lt;rt&gt;$2&lt;/rt&gt;&lt;/ruby&gt;""
)&amp;""&lt;br&gt;&lt;div class=""""audio""""&gt;[sound:""&amp;C1820&amp;"".mp3]&lt;/div&gt;"""),"&lt;ruby&gt;専用&lt;rt&gt;せんよう&lt;/rt&gt;&lt;/ruby&gt;&lt;br&gt;&lt;div class=""audio""&gt;[sound:せんよう.mp3]&lt;/div&gt;")</f>
        <v>&lt;ruby&gt;専用&lt;rt&gt;せんよう&lt;/rt&gt;&lt;/ruby&gt;&lt;br&gt;&lt;div class="audio"&gt;[sound:せんよう.mp3]&lt;/div&gt;</v>
      </c>
      <c r="H1820" s="3" t="str">
        <f t="shared" si="1"/>
        <v>(n): chuyên dụng</v>
      </c>
      <c r="I1820" s="6" t="s">
        <v>9946</v>
      </c>
      <c r="J1820" s="6" t="s">
        <v>9947</v>
      </c>
      <c r="K1820" s="7">
        <f t="shared" si="2"/>
        <v>0.8403351269</v>
      </c>
    </row>
    <row r="1821">
      <c r="A1821" s="4">
        <v>1821.0</v>
      </c>
      <c r="B1821" s="5" t="s">
        <v>9948</v>
      </c>
      <c r="C1821" s="5" t="s">
        <v>9949</v>
      </c>
      <c r="D1821" s="5" t="s">
        <v>9950</v>
      </c>
      <c r="E1821" s="6" t="s">
        <v>74</v>
      </c>
      <c r="F1821" s="6" t="s">
        <v>9951</v>
      </c>
      <c r="G1821" s="3" t="str">
        <f>IFERROR(__xludf.DUMMYFUNCTION("REGEXREPLACE(
D1821,
""([一-龯々]+)\[([^\]]+)\]"",
""&lt;ruby&gt;$1&lt;rt&gt;$2&lt;/rt&gt;&lt;/ruby&gt;""
)&amp;""&lt;br&gt;&lt;div class=""""audio""""&gt;[sound:""&amp;C1821&amp;"".mp3]&lt;/div&gt;"""),"&lt;ruby&gt;応募&lt;rt&gt;おうぼ&lt;/rt&gt;&lt;/ruby&gt;&lt;br&gt;&lt;div class=""audio""&gt;[sound:おうぼ.mp3]&lt;/div&gt;")</f>
        <v>&lt;ruby&gt;応募&lt;rt&gt;おうぼ&lt;/rt&gt;&lt;/ruby&gt;&lt;br&gt;&lt;div class="audio"&gt;[sound:おうぼ.mp3]&lt;/div&gt;</v>
      </c>
      <c r="H1821" s="3" t="str">
        <f t="shared" si="1"/>
        <v>(n): ứng tuyển</v>
      </c>
      <c r="I1821" s="6" t="s">
        <v>9952</v>
      </c>
      <c r="J1821" s="6" t="s">
        <v>9953</v>
      </c>
      <c r="K1821" s="7">
        <f t="shared" si="2"/>
        <v>0.1860330229</v>
      </c>
    </row>
    <row r="1822">
      <c r="A1822" s="4">
        <v>1822.0</v>
      </c>
      <c r="B1822" s="5" t="s">
        <v>9954</v>
      </c>
      <c r="C1822" s="5" t="s">
        <v>9955</v>
      </c>
      <c r="D1822" s="5" t="s">
        <v>9956</v>
      </c>
      <c r="E1822" s="6" t="s">
        <v>24</v>
      </c>
      <c r="F1822" s="6" t="s">
        <v>9957</v>
      </c>
      <c r="G1822" s="3" t="str">
        <f>IFERROR(__xludf.DUMMYFUNCTION("REGEXREPLACE(
D1822,
""([一-龯々]+)\[([^\]]+)\]"",
""&lt;ruby&gt;$1&lt;rt&gt;$2&lt;/rt&gt;&lt;/ruby&gt;""
)&amp;""&lt;br&gt;&lt;div class=""""audio""""&gt;[sound:""&amp;C1822&amp;"".mp3]&lt;/div&gt;"""),"&lt;ruby&gt;引&lt;rt&gt;ひ&lt;/rt&gt;&lt;/ruby&gt;き&lt;ruby&gt;起&lt;rt&gt;お&lt;/rt&gt;&lt;/ruby&gt;こす&lt;br&gt;&lt;div class=""audio""&gt;[sound:ひきおこす.mp3]&lt;/div&gt;")</f>
        <v>&lt;ruby&gt;引&lt;rt&gt;ひ&lt;/rt&gt;&lt;/ruby&gt;き&lt;ruby&gt;起&lt;rt&gt;お&lt;/rt&gt;&lt;/ruby&gt;こす&lt;br&gt;&lt;div class="audio"&gt;[sound:ひきおこす.mp3]&lt;/div&gt;</v>
      </c>
      <c r="H1822" s="3" t="str">
        <f t="shared" si="1"/>
        <v>(v): gây ra</v>
      </c>
      <c r="I1822" s="6" t="s">
        <v>9958</v>
      </c>
      <c r="J1822" s="6" t="s">
        <v>9959</v>
      </c>
      <c r="K1822" s="7">
        <f t="shared" si="2"/>
        <v>0.3880170064</v>
      </c>
    </row>
    <row r="1823">
      <c r="A1823" s="4">
        <v>1823.0</v>
      </c>
      <c r="B1823" s="5" t="s">
        <v>9960</v>
      </c>
      <c r="C1823" s="5" t="s">
        <v>9961</v>
      </c>
      <c r="D1823" s="5" t="s">
        <v>9962</v>
      </c>
      <c r="E1823" s="6" t="s">
        <v>74</v>
      </c>
      <c r="F1823" s="6" t="s">
        <v>9963</v>
      </c>
      <c r="G1823" s="3" t="str">
        <f>IFERROR(__xludf.DUMMYFUNCTION("REGEXREPLACE(
D1823,
""([一-龯々]+)\[([^\]]+)\]"",
""&lt;ruby&gt;$1&lt;rt&gt;$2&lt;/rt&gt;&lt;/ruby&gt;""
)&amp;""&lt;br&gt;&lt;div class=""""audio""""&gt;[sound:""&amp;C1823&amp;"".mp3]&lt;/div&gt;"""),"&lt;ruby&gt;掲載&lt;rt&gt;けいさい&lt;/rt&gt;&lt;/ruby&gt;&lt;br&gt;&lt;div class=""audio""&gt;[sound:けいさい.mp3]&lt;/div&gt;")</f>
        <v>&lt;ruby&gt;掲載&lt;rt&gt;けいさい&lt;/rt&gt;&lt;/ruby&gt;&lt;br&gt;&lt;div class="audio"&gt;[sound:けいさい.mp3]&lt;/div&gt;</v>
      </c>
      <c r="H1823" s="3" t="str">
        <f t="shared" si="1"/>
        <v>(n): đăng</v>
      </c>
      <c r="I1823" s="6" t="s">
        <v>9964</v>
      </c>
      <c r="J1823" s="6" t="s">
        <v>9965</v>
      </c>
      <c r="K1823" s="7">
        <f t="shared" si="2"/>
        <v>0.1005318169</v>
      </c>
    </row>
    <row r="1824">
      <c r="A1824" s="4">
        <v>1824.0</v>
      </c>
      <c r="B1824" s="5" t="s">
        <v>9966</v>
      </c>
      <c r="C1824" s="5" t="s">
        <v>9967</v>
      </c>
      <c r="D1824" s="5" t="s">
        <v>9968</v>
      </c>
      <c r="E1824" s="6" t="s">
        <v>74</v>
      </c>
      <c r="F1824" s="6" t="s">
        <v>9969</v>
      </c>
      <c r="G1824" s="3" t="str">
        <f>IFERROR(__xludf.DUMMYFUNCTION("REGEXREPLACE(
D1824,
""([一-龯々]+)\[([^\]]+)\]"",
""&lt;ruby&gt;$1&lt;rt&gt;$2&lt;/rt&gt;&lt;/ruby&gt;""
)&amp;""&lt;br&gt;&lt;div class=""""audio""""&gt;[sound:""&amp;C1824&amp;"".mp3]&lt;/div&gt;"""),"&lt;ruby&gt;旅&lt;rt&gt;たび&lt;/rt&gt;&lt;/ruby&gt;&lt;br&gt;&lt;div class=""audio""&gt;[sound:たび.mp3]&lt;/div&gt;")</f>
        <v>&lt;ruby&gt;旅&lt;rt&gt;たび&lt;/rt&gt;&lt;/ruby&gt;&lt;br&gt;&lt;div class="audio"&gt;[sound:たび.mp3]&lt;/div&gt;</v>
      </c>
      <c r="H1824" s="3" t="str">
        <f t="shared" si="1"/>
        <v>(n): chuyến đi</v>
      </c>
      <c r="I1824" s="6" t="s">
        <v>9970</v>
      </c>
      <c r="J1824" s="6" t="s">
        <v>9971</v>
      </c>
      <c r="K1824" s="7">
        <f t="shared" si="2"/>
        <v>0.5805360272</v>
      </c>
    </row>
    <row r="1825">
      <c r="A1825" s="4">
        <v>1825.0</v>
      </c>
      <c r="B1825" s="5" t="s">
        <v>9972</v>
      </c>
      <c r="C1825" s="5" t="s">
        <v>9973</v>
      </c>
      <c r="D1825" s="5" t="s">
        <v>9974</v>
      </c>
      <c r="E1825" s="6" t="s">
        <v>74</v>
      </c>
      <c r="F1825" s="6" t="s">
        <v>9975</v>
      </c>
      <c r="G1825" s="3" t="str">
        <f>IFERROR(__xludf.DUMMYFUNCTION("REGEXREPLACE(
D1825,
""([一-龯々]+)\[([^\]]+)\]"",
""&lt;ruby&gt;$1&lt;rt&gt;$2&lt;/rt&gt;&lt;/ruby&gt;""
)&amp;""&lt;br&gt;&lt;div class=""""audio""""&gt;[sound:""&amp;C1825&amp;"".mp3]&lt;/div&gt;"""),"&lt;ruby&gt;整理&lt;rt&gt;せいり&lt;/rt&gt;&lt;/ruby&gt;&lt;br&gt;&lt;div class=""audio""&gt;[sound:せいり.mp3]&lt;/div&gt;")</f>
        <v>&lt;ruby&gt;整理&lt;rt&gt;せいり&lt;/rt&gt;&lt;/ruby&gt;&lt;br&gt;&lt;div class="audio"&gt;[sound:せいり.mp3]&lt;/div&gt;</v>
      </c>
      <c r="H1825" s="3" t="str">
        <f t="shared" si="1"/>
        <v>(n): chỉnh lý</v>
      </c>
      <c r="I1825" s="6" t="s">
        <v>9976</v>
      </c>
      <c r="J1825" s="6" t="s">
        <v>9977</v>
      </c>
      <c r="K1825" s="7">
        <f t="shared" si="2"/>
        <v>0.2351102832</v>
      </c>
    </row>
    <row r="1826">
      <c r="A1826" s="4">
        <v>1826.0</v>
      </c>
      <c r="B1826" s="5" t="s">
        <v>9978</v>
      </c>
      <c r="C1826" s="5" t="s">
        <v>9979</v>
      </c>
      <c r="D1826" s="5" t="s">
        <v>9980</v>
      </c>
      <c r="E1826" s="6" t="s">
        <v>74</v>
      </c>
      <c r="F1826" s="6" t="s">
        <v>1444</v>
      </c>
      <c r="G1826" s="3" t="str">
        <f>IFERROR(__xludf.DUMMYFUNCTION("REGEXREPLACE(
D1826,
""([一-龯々]+)\[([^\]]+)\]"",
""&lt;ruby&gt;$1&lt;rt&gt;$2&lt;/rt&gt;&lt;/ruby&gt;""
)&amp;""&lt;br&gt;&lt;div class=""""audio""""&gt;[sound:""&amp;C1826&amp;"".mp3]&lt;/div&gt;"""),"&lt;ruby&gt;未来&lt;rt&gt;みらい&lt;/rt&gt;&lt;/ruby&gt;&lt;br&gt;&lt;div class=""audio""&gt;[sound:みらい.mp3]&lt;/div&gt;")</f>
        <v>&lt;ruby&gt;未来&lt;rt&gt;みらい&lt;/rt&gt;&lt;/ruby&gt;&lt;br&gt;&lt;div class="audio"&gt;[sound:みらい.mp3]&lt;/div&gt;</v>
      </c>
      <c r="H1826" s="3" t="str">
        <f t="shared" si="1"/>
        <v>(n): tương lai</v>
      </c>
      <c r="I1826" s="6" t="s">
        <v>9981</v>
      </c>
      <c r="J1826" s="6" t="s">
        <v>9982</v>
      </c>
      <c r="K1826" s="7">
        <f t="shared" si="2"/>
        <v>0.2624825113</v>
      </c>
    </row>
    <row r="1827">
      <c r="A1827" s="4">
        <v>1827.0</v>
      </c>
      <c r="B1827" s="5" t="s">
        <v>9983</v>
      </c>
      <c r="C1827" s="5" t="s">
        <v>9984</v>
      </c>
      <c r="D1827" s="5" t="s">
        <v>9985</v>
      </c>
      <c r="E1827" s="6" t="s">
        <v>85</v>
      </c>
      <c r="F1827" s="6" t="s">
        <v>506</v>
      </c>
      <c r="G1827" s="3" t="str">
        <f>IFERROR(__xludf.DUMMYFUNCTION("REGEXREPLACE(
D1827,
""([一-龯々]+)\[([^\]]+)\]"",
""&lt;ruby&gt;$1&lt;rt&gt;$2&lt;/rt&gt;&lt;/ruby&gt;""
)&amp;""&lt;br&gt;&lt;div class=""""audio""""&gt;[sound:""&amp;C1827&amp;"".mp3]&lt;/div&gt;"""),"&lt;ruby&gt;更&lt;rt&gt;さら&lt;/rt&gt;&lt;/ruby&gt;に&lt;br&gt;&lt;div class=""audio""&gt;[sound:さらに.mp3]&lt;/div&gt;")</f>
        <v>&lt;ruby&gt;更&lt;rt&gt;さら&lt;/rt&gt;&lt;/ruby&gt;に&lt;br&gt;&lt;div class="audio"&gt;[sound:さらに.mp3]&lt;/div&gt;</v>
      </c>
      <c r="H1827" s="3" t="str">
        <f t="shared" si="1"/>
        <v>(adv): hơn nữa</v>
      </c>
      <c r="I1827" s="6" t="s">
        <v>9986</v>
      </c>
      <c r="J1827" s="6" t="s">
        <v>9987</v>
      </c>
      <c r="K1827" s="7">
        <f t="shared" si="2"/>
        <v>0.7464328046</v>
      </c>
    </row>
    <row r="1828">
      <c r="A1828" s="4">
        <v>1828.0</v>
      </c>
      <c r="B1828" s="5" t="s">
        <v>9988</v>
      </c>
      <c r="C1828" s="5" t="s">
        <v>7503</v>
      </c>
      <c r="D1828" s="5" t="s">
        <v>9989</v>
      </c>
      <c r="E1828" s="6" t="s">
        <v>74</v>
      </c>
      <c r="F1828" s="6" t="s">
        <v>9990</v>
      </c>
      <c r="G1828" s="3" t="str">
        <f>IFERROR(__xludf.DUMMYFUNCTION("REGEXREPLACE(
D1828,
""([一-龯々]+)\[([^\]]+)\]"",
""&lt;ruby&gt;$1&lt;rt&gt;$2&lt;/rt&gt;&lt;/ruby&gt;""
)&amp;""&lt;br&gt;&lt;div class=""""audio""""&gt;[sound:""&amp;C1828&amp;"".mp3]&lt;/div&gt;"""),"&lt;ruby&gt;機械&lt;rt&gt;きかい&lt;/rt&gt;&lt;/ruby&gt;&lt;br&gt;&lt;div class=""audio""&gt;[sound:きかい.mp3]&lt;/div&gt;")</f>
        <v>&lt;ruby&gt;機械&lt;rt&gt;きかい&lt;/rt&gt;&lt;/ruby&gt;&lt;br&gt;&lt;div class="audio"&gt;[sound:きかい.mp3]&lt;/div&gt;</v>
      </c>
      <c r="H1828" s="3" t="str">
        <f t="shared" si="1"/>
        <v>(n): máy móc</v>
      </c>
      <c r="I1828" s="6" t="s">
        <v>9991</v>
      </c>
      <c r="J1828" s="6" t="s">
        <v>9992</v>
      </c>
      <c r="K1828" s="7">
        <f t="shared" si="2"/>
        <v>0.015159374</v>
      </c>
    </row>
    <row r="1829">
      <c r="A1829" s="4">
        <v>1829.0</v>
      </c>
      <c r="B1829" s="5" t="s">
        <v>9993</v>
      </c>
      <c r="C1829" s="5" t="s">
        <v>9994</v>
      </c>
      <c r="D1829" s="5" t="s">
        <v>9995</v>
      </c>
      <c r="E1829" s="6" t="s">
        <v>74</v>
      </c>
      <c r="F1829" s="6" t="s">
        <v>9996</v>
      </c>
      <c r="G1829" s="3" t="str">
        <f>IFERROR(__xludf.DUMMYFUNCTION("REGEXREPLACE(
D1829,
""([一-龯々]+)\[([^\]]+)\]"",
""&lt;ruby&gt;$1&lt;rt&gt;$2&lt;/rt&gt;&lt;/ruby&gt;""
)&amp;""&lt;br&gt;&lt;div class=""""audio""""&gt;[sound:""&amp;C1829&amp;"".mp3]&lt;/div&gt;"""),"&lt;ruby&gt;気分&lt;rt&gt;きぶん&lt;/rt&gt;&lt;/ruby&gt;&lt;br&gt;&lt;div class=""audio""&gt;[sound:きぶん.mp3]&lt;/div&gt;")</f>
        <v>&lt;ruby&gt;気分&lt;rt&gt;きぶん&lt;/rt&gt;&lt;/ruby&gt;&lt;br&gt;&lt;div class="audio"&gt;[sound:きぶん.mp3]&lt;/div&gt;</v>
      </c>
      <c r="H1829" s="3" t="str">
        <f t="shared" si="1"/>
        <v>(n): tâm trạng</v>
      </c>
      <c r="I1829" s="6" t="s">
        <v>9997</v>
      </c>
      <c r="J1829" s="6" t="s">
        <v>9998</v>
      </c>
      <c r="K1829" s="7">
        <f t="shared" si="2"/>
        <v>0.307808929</v>
      </c>
    </row>
    <row r="1830">
      <c r="A1830" s="4">
        <v>1830.0</v>
      </c>
      <c r="B1830" s="5" t="s">
        <v>9999</v>
      </c>
      <c r="C1830" s="5" t="s">
        <v>10000</v>
      </c>
      <c r="D1830" s="5" t="s">
        <v>10001</v>
      </c>
      <c r="E1830" s="6" t="s">
        <v>24</v>
      </c>
      <c r="F1830" s="6" t="s">
        <v>10002</v>
      </c>
      <c r="G1830" s="3" t="str">
        <f>IFERROR(__xludf.DUMMYFUNCTION("REGEXREPLACE(
D1830,
""([一-龯々]+)\[([^\]]+)\]"",
""&lt;ruby&gt;$1&lt;rt&gt;$2&lt;/rt&gt;&lt;/ruby&gt;""
)&amp;""&lt;br&gt;&lt;div class=""""audio""""&gt;[sound:""&amp;C1830&amp;"".mp3]&lt;/div&gt;"""),"&lt;ruby&gt;止&lt;rt&gt;と&lt;/rt&gt;&lt;/ruby&gt;まる&lt;br&gt;&lt;div class=""audio""&gt;[sound:とまる.mp3]&lt;/div&gt;")</f>
        <v>&lt;ruby&gt;止&lt;rt&gt;と&lt;/rt&gt;&lt;/ruby&gt;まる&lt;br&gt;&lt;div class="audio"&gt;[sound:とまる.mp3]&lt;/div&gt;</v>
      </c>
      <c r="H1830" s="3" t="str">
        <f t="shared" si="1"/>
        <v>(v): dừng lại</v>
      </c>
      <c r="I1830" s="6" t="s">
        <v>10003</v>
      </c>
      <c r="J1830" s="6" t="s">
        <v>10004</v>
      </c>
      <c r="K1830" s="7">
        <f t="shared" si="2"/>
        <v>0.6161229544</v>
      </c>
    </row>
    <row r="1831">
      <c r="A1831" s="4">
        <v>1831.0</v>
      </c>
      <c r="B1831" s="5" t="s">
        <v>10005</v>
      </c>
      <c r="C1831" s="5" t="s">
        <v>10006</v>
      </c>
      <c r="D1831" s="5" t="s">
        <v>10007</v>
      </c>
      <c r="E1831" s="6" t="s">
        <v>74</v>
      </c>
      <c r="F1831" s="6" t="s">
        <v>10008</v>
      </c>
      <c r="G1831" s="3" t="str">
        <f>IFERROR(__xludf.DUMMYFUNCTION("REGEXREPLACE(
D1831,
""([一-龯々]+)\[([^\]]+)\]"",
""&lt;ruby&gt;$1&lt;rt&gt;$2&lt;/rt&gt;&lt;/ruby&gt;""
)&amp;""&lt;br&gt;&lt;div class=""""audio""""&gt;[sound:""&amp;C1831&amp;"".mp3]&lt;/div&gt;"""),"&lt;ruby&gt;提出&lt;rt&gt;ていしゅつ&lt;/rt&gt;&lt;/ruby&gt;&lt;br&gt;&lt;div class=""audio""&gt;[sound:ていしゅつ.mp3]&lt;/div&gt;")</f>
        <v>&lt;ruby&gt;提出&lt;rt&gt;ていしゅつ&lt;/rt&gt;&lt;/ruby&gt;&lt;br&gt;&lt;div class="audio"&gt;[sound:ていしゅつ.mp3]&lt;/div&gt;</v>
      </c>
      <c r="H1831" s="3" t="str">
        <f t="shared" si="1"/>
        <v>(n): nộp</v>
      </c>
      <c r="I1831" s="6" t="s">
        <v>10009</v>
      </c>
      <c r="J1831" s="6" t="s">
        <v>10010</v>
      </c>
      <c r="K1831" s="7">
        <f t="shared" si="2"/>
        <v>0.1587210498</v>
      </c>
    </row>
    <row r="1832">
      <c r="A1832" s="4">
        <v>1832.0</v>
      </c>
      <c r="B1832" s="5" t="s">
        <v>10011</v>
      </c>
      <c r="C1832" s="5" t="s">
        <v>10012</v>
      </c>
      <c r="D1832" s="5" t="s">
        <v>10013</v>
      </c>
      <c r="E1832" s="6" t="s">
        <v>11</v>
      </c>
      <c r="F1832" s="6" t="s">
        <v>10014</v>
      </c>
      <c r="G1832" s="3" t="str">
        <f>IFERROR(__xludf.DUMMYFUNCTION("REGEXREPLACE(
D1832,
""([一-龯々]+)\[([^\]]+)\]"",
""&lt;ruby&gt;$1&lt;rt&gt;$2&lt;/rt&gt;&lt;/ruby&gt;""
)&amp;""&lt;br&gt;&lt;div class=""""audio""""&gt;[sound:""&amp;C1832&amp;"".mp3]&lt;/div&gt;"""),"&lt;ruby&gt;密接&lt;rt&gt;みっせつ&lt;/rt&gt;&lt;/ruby&gt;&lt;br&gt;&lt;div class=""audio""&gt;[sound:みっせつ.mp3]&lt;/div&gt;")</f>
        <v>&lt;ruby&gt;密接&lt;rt&gt;みっせつ&lt;/rt&gt;&lt;/ruby&gt;&lt;br&gt;&lt;div class="audio"&gt;[sound:みっせつ.mp3]&lt;/div&gt;</v>
      </c>
      <c r="H1832" s="3" t="str">
        <f t="shared" si="1"/>
        <v>(adj): mật thiết</v>
      </c>
      <c r="I1832" s="6" t="s">
        <v>10015</v>
      </c>
      <c r="J1832" s="6" t="s">
        <v>10016</v>
      </c>
      <c r="K1832" s="7">
        <f t="shared" si="2"/>
        <v>0.2001129129</v>
      </c>
    </row>
    <row r="1833">
      <c r="A1833" s="4">
        <v>1833.0</v>
      </c>
      <c r="B1833" s="5" t="s">
        <v>10017</v>
      </c>
      <c r="C1833" s="5" t="s">
        <v>10018</v>
      </c>
      <c r="D1833" s="5" t="s">
        <v>10019</v>
      </c>
      <c r="E1833" s="6" t="s">
        <v>74</v>
      </c>
      <c r="F1833" s="6" t="s">
        <v>3502</v>
      </c>
      <c r="G1833" s="3" t="str">
        <f>IFERROR(__xludf.DUMMYFUNCTION("REGEXREPLACE(
D1833,
""([一-龯々]+)\[([^\]]+)\]"",
""&lt;ruby&gt;$1&lt;rt&gt;$2&lt;/rt&gt;&lt;/ruby&gt;""
)&amp;""&lt;br&gt;&lt;div class=""""audio""""&gt;[sound:""&amp;C1833&amp;"".mp3]&lt;/div&gt;"""),"&lt;ruby&gt;戦闘&lt;rt&gt;せんとう&lt;/rt&gt;&lt;/ruby&gt;&lt;br&gt;&lt;div class=""audio""&gt;[sound:せんとう.mp3]&lt;/div&gt;")</f>
        <v>&lt;ruby&gt;戦闘&lt;rt&gt;せんとう&lt;/rt&gt;&lt;/ruby&gt;&lt;br&gt;&lt;div class="audio"&gt;[sound:せんとう.mp3]&lt;/div&gt;</v>
      </c>
      <c r="H1833" s="3" t="str">
        <f t="shared" si="1"/>
        <v>(n): chiến đấu</v>
      </c>
      <c r="I1833" s="6" t="s">
        <v>10020</v>
      </c>
      <c r="J1833" s="6" t="s">
        <v>10021</v>
      </c>
      <c r="K1833" s="7">
        <f t="shared" si="2"/>
        <v>0.8245481319</v>
      </c>
    </row>
    <row r="1834">
      <c r="A1834" s="4">
        <v>1834.0</v>
      </c>
      <c r="B1834" s="5" t="s">
        <v>10022</v>
      </c>
      <c r="C1834" s="5" t="s">
        <v>10023</v>
      </c>
      <c r="D1834" s="5" t="s">
        <v>10024</v>
      </c>
      <c r="E1834" s="6" t="s">
        <v>24</v>
      </c>
      <c r="F1834" s="6" t="s">
        <v>751</v>
      </c>
      <c r="G1834" s="3" t="str">
        <f>IFERROR(__xludf.DUMMYFUNCTION("REGEXREPLACE(
D1834,
""([一-龯々]+)\[([^\]]+)\]"",
""&lt;ruby&gt;$1&lt;rt&gt;$2&lt;/rt&gt;&lt;/ruby&gt;""
)&amp;""&lt;br&gt;&lt;div class=""""audio""""&gt;[sound:""&amp;C1834&amp;"".mp3]&lt;/div&gt;"""),"&lt;ruby&gt;引&lt;rt&gt;ひ&lt;/rt&gt;&lt;/ruby&gt;き&lt;ruby&gt;上&lt;rt&gt;あ&lt;/rt&gt;&lt;/ruby&gt;げる&lt;br&gt;&lt;div class=""audio""&gt;[sound:ひきあげる.mp3]&lt;/div&gt;")</f>
        <v>&lt;ruby&gt;引&lt;rt&gt;ひ&lt;/rt&gt;&lt;/ruby&gt;き&lt;ruby&gt;上&lt;rt&gt;あ&lt;/rt&gt;&lt;/ruby&gt;げる&lt;br&gt;&lt;div class="audio"&gt;[sound:ひきあげる.mp3]&lt;/div&gt;</v>
      </c>
      <c r="H1834" s="3" t="str">
        <f t="shared" si="1"/>
        <v>(v): nâng lên</v>
      </c>
      <c r="I1834" s="6" t="s">
        <v>10025</v>
      </c>
      <c r="J1834" s="6" t="s">
        <v>10026</v>
      </c>
      <c r="K1834" s="7">
        <f t="shared" si="2"/>
        <v>0.711738477</v>
      </c>
    </row>
    <row r="1835">
      <c r="A1835" s="4">
        <v>1835.0</v>
      </c>
      <c r="B1835" s="5" t="s">
        <v>10027</v>
      </c>
      <c r="C1835" s="5" t="s">
        <v>10028</v>
      </c>
      <c r="D1835" s="5" t="s">
        <v>10029</v>
      </c>
      <c r="E1835" s="6" t="s">
        <v>74</v>
      </c>
      <c r="F1835" s="6" t="s">
        <v>699</v>
      </c>
      <c r="G1835" s="3" t="str">
        <f>IFERROR(__xludf.DUMMYFUNCTION("REGEXREPLACE(
D1835,
""([一-龯々]+)\[([^\]]+)\]"",
""&lt;ruby&gt;$1&lt;rt&gt;$2&lt;/rt&gt;&lt;/ruby&gt;""
)&amp;""&lt;br&gt;&lt;div class=""""audio""""&gt;[sound:""&amp;C1835&amp;"".mp3]&lt;/div&gt;"""),"&lt;ruby&gt;所得&lt;rt&gt;しょとく&lt;/rt&gt;&lt;/ruby&gt;&lt;br&gt;&lt;div class=""audio""&gt;[sound:しょとく.mp3]&lt;/div&gt;")</f>
        <v>&lt;ruby&gt;所得&lt;rt&gt;しょとく&lt;/rt&gt;&lt;/ruby&gt;&lt;br&gt;&lt;div class="audio"&gt;[sound:しょとく.mp3]&lt;/div&gt;</v>
      </c>
      <c r="H1835" s="3" t="str">
        <f t="shared" si="1"/>
        <v>(n): thu nhập</v>
      </c>
      <c r="I1835" s="6" t="s">
        <v>10030</v>
      </c>
      <c r="J1835" s="6" t="s">
        <v>10031</v>
      </c>
      <c r="K1835" s="7">
        <f t="shared" si="2"/>
        <v>0.3360216009</v>
      </c>
    </row>
    <row r="1836">
      <c r="A1836" s="4">
        <v>1836.0</v>
      </c>
      <c r="B1836" s="5" t="s">
        <v>10032</v>
      </c>
      <c r="C1836" s="5" t="s">
        <v>10033</v>
      </c>
      <c r="D1836" s="5" t="s">
        <v>10034</v>
      </c>
      <c r="E1836" s="6" t="s">
        <v>74</v>
      </c>
      <c r="F1836" s="6" t="s">
        <v>10035</v>
      </c>
      <c r="G1836" s="3" t="str">
        <f>IFERROR(__xludf.DUMMYFUNCTION("REGEXREPLACE(
D1836,
""([一-龯々]+)\[([^\]]+)\]"",
""&lt;ruby&gt;$1&lt;rt&gt;$2&lt;/rt&gt;&lt;/ruby&gt;""
)&amp;""&lt;br&gt;&lt;div class=""""audio""""&gt;[sound:""&amp;C1836&amp;"".mp3]&lt;/div&gt;"""),"&lt;ruby&gt;提携&lt;rt&gt;ていけい&lt;/rt&gt;&lt;/ruby&gt;&lt;br&gt;&lt;div class=""audio""&gt;[sound:ていけい.mp3]&lt;/div&gt;")</f>
        <v>&lt;ruby&gt;提携&lt;rt&gt;ていけい&lt;/rt&gt;&lt;/ruby&gt;&lt;br&gt;&lt;div class="audio"&gt;[sound:ていけい.mp3]&lt;/div&gt;</v>
      </c>
      <c r="H1836" s="3" t="str">
        <f t="shared" si="1"/>
        <v>(n): hợp tác</v>
      </c>
      <c r="I1836" s="6" t="s">
        <v>10036</v>
      </c>
      <c r="J1836" s="6" t="s">
        <v>10037</v>
      </c>
      <c r="K1836" s="7">
        <f t="shared" si="2"/>
        <v>0.8626222009</v>
      </c>
    </row>
    <row r="1837">
      <c r="A1837" s="4">
        <v>1837.0</v>
      </c>
      <c r="B1837" s="5" t="s">
        <v>10038</v>
      </c>
      <c r="C1837" s="5" t="s">
        <v>10039</v>
      </c>
      <c r="D1837" s="5" t="s">
        <v>10040</v>
      </c>
      <c r="E1837" s="6" t="s">
        <v>74</v>
      </c>
      <c r="F1837" s="6" t="s">
        <v>8442</v>
      </c>
      <c r="G1837" s="3" t="str">
        <f>IFERROR(__xludf.DUMMYFUNCTION("REGEXREPLACE(
D1837,
""([一-龯々]+)\[([^\]]+)\]"",
""&lt;ruby&gt;$1&lt;rt&gt;$2&lt;/rt&gt;&lt;/ruby&gt;""
)&amp;""&lt;br&gt;&lt;div class=""""audio""""&gt;[sound:""&amp;C1837&amp;"".mp3]&lt;/div&gt;"""),"&lt;ruby&gt;崩壊&lt;rt&gt;ほうかい&lt;/rt&gt;&lt;/ruby&gt;&lt;br&gt;&lt;div class=""audio""&gt;[sound:ほうかい.mp3]&lt;/div&gt;")</f>
        <v>&lt;ruby&gt;崩壊&lt;rt&gt;ほうかい&lt;/rt&gt;&lt;/ruby&gt;&lt;br&gt;&lt;div class="audio"&gt;[sound:ほうかい.mp3]&lt;/div&gt;</v>
      </c>
      <c r="H1837" s="3" t="str">
        <f t="shared" si="1"/>
        <v>(n): sụp đổ</v>
      </c>
      <c r="I1837" s="6" t="s">
        <v>10041</v>
      </c>
      <c r="J1837" s="6" t="s">
        <v>10042</v>
      </c>
      <c r="K1837" s="7">
        <f t="shared" si="2"/>
        <v>0.296797161</v>
      </c>
    </row>
    <row r="1838">
      <c r="A1838" s="4">
        <v>1838.0</v>
      </c>
      <c r="B1838" s="5" t="s">
        <v>10043</v>
      </c>
      <c r="C1838" s="5" t="s">
        <v>10044</v>
      </c>
      <c r="D1838" s="5" t="s">
        <v>10045</v>
      </c>
      <c r="E1838" s="6" t="s">
        <v>74</v>
      </c>
      <c r="F1838" s="6" t="s">
        <v>10046</v>
      </c>
      <c r="G1838" s="3" t="str">
        <f>IFERROR(__xludf.DUMMYFUNCTION("REGEXREPLACE(
D1838,
""([一-龯々]+)\[([^\]]+)\]"",
""&lt;ruby&gt;$1&lt;rt&gt;$2&lt;/rt&gt;&lt;/ruby&gt;""
)&amp;""&lt;br&gt;&lt;div class=""""audio""""&gt;[sound:""&amp;C1838&amp;"".mp3]&lt;/div&gt;"""),"&lt;ruby&gt;意欲&lt;rt&gt;いよく&lt;/rt&gt;&lt;/ruby&gt;&lt;br&gt;&lt;div class=""audio""&gt;[sound:いよく.mp3]&lt;/div&gt;")</f>
        <v>&lt;ruby&gt;意欲&lt;rt&gt;いよく&lt;/rt&gt;&lt;/ruby&gt;&lt;br&gt;&lt;div class="audio"&gt;[sound:いよく.mp3]&lt;/div&gt;</v>
      </c>
      <c r="H1838" s="3" t="str">
        <f t="shared" si="1"/>
        <v>(n): ý muốn</v>
      </c>
      <c r="I1838" s="6" t="s">
        <v>10047</v>
      </c>
      <c r="J1838" s="6" t="s">
        <v>10048</v>
      </c>
      <c r="K1838" s="7">
        <f t="shared" si="2"/>
        <v>0.536739586</v>
      </c>
    </row>
    <row r="1839">
      <c r="A1839" s="4">
        <v>1839.0</v>
      </c>
      <c r="B1839" s="5" t="s">
        <v>10049</v>
      </c>
      <c r="C1839" s="5" t="s">
        <v>10050</v>
      </c>
      <c r="D1839" s="5" t="s">
        <v>10051</v>
      </c>
      <c r="E1839" s="6" t="s">
        <v>74</v>
      </c>
      <c r="F1839" s="6" t="s">
        <v>10052</v>
      </c>
      <c r="G1839" s="3" t="str">
        <f>IFERROR(__xludf.DUMMYFUNCTION("REGEXREPLACE(
D1839,
""([一-龯々]+)\[([^\]]+)\]"",
""&lt;ruby&gt;$1&lt;rt&gt;$2&lt;/rt&gt;&lt;/ruby&gt;""
)&amp;""&lt;br&gt;&lt;div class=""""audio""""&gt;[sound:""&amp;C1839&amp;"".mp3]&lt;/div&gt;"""),"&lt;ruby&gt;日常&lt;rt&gt;にちじょう&lt;/rt&gt;&lt;/ruby&gt;&lt;br&gt;&lt;div class=""audio""&gt;[sound:にちじょう.mp3]&lt;/div&gt;")</f>
        <v>&lt;ruby&gt;日常&lt;rt&gt;にちじょう&lt;/rt&gt;&lt;/ruby&gt;&lt;br&gt;&lt;div class="audio"&gt;[sound:にちじょう.mp3]&lt;/div&gt;</v>
      </c>
      <c r="H1839" s="3" t="str">
        <f t="shared" si="1"/>
        <v>(n): thường ngày</v>
      </c>
      <c r="I1839" s="6" t="s">
        <v>10053</v>
      </c>
      <c r="J1839" s="6" t="s">
        <v>10054</v>
      </c>
      <c r="K1839" s="7">
        <f t="shared" si="2"/>
        <v>0.3615049303</v>
      </c>
    </row>
    <row r="1840">
      <c r="A1840" s="4">
        <v>1840.0</v>
      </c>
      <c r="B1840" s="5" t="s">
        <v>10055</v>
      </c>
      <c r="C1840" s="5" t="s">
        <v>10056</v>
      </c>
      <c r="D1840" s="5" t="s">
        <v>10057</v>
      </c>
      <c r="E1840" s="6" t="s">
        <v>74</v>
      </c>
      <c r="F1840" s="6" t="s">
        <v>6825</v>
      </c>
      <c r="G1840" s="3" t="str">
        <f>IFERROR(__xludf.DUMMYFUNCTION("REGEXREPLACE(
D1840,
""([一-龯々]+)\[([^\]]+)\]"",
""&lt;ruby&gt;$1&lt;rt&gt;$2&lt;/rt&gt;&lt;/ruby&gt;""
)&amp;""&lt;br&gt;&lt;div class=""""audio""""&gt;[sound:""&amp;C1840&amp;"".mp3]&lt;/div&gt;"""),"&lt;ruby&gt;案内&lt;rt&gt;あんない&lt;/rt&gt;&lt;/ruby&gt;&lt;br&gt;&lt;div class=""audio""&gt;[sound:あんない.mp3]&lt;/div&gt;")</f>
        <v>&lt;ruby&gt;案内&lt;rt&gt;あんない&lt;/rt&gt;&lt;/ruby&gt;&lt;br&gt;&lt;div class="audio"&gt;[sound:あんない.mp3]&lt;/div&gt;</v>
      </c>
      <c r="H1840" s="3" t="str">
        <f t="shared" si="1"/>
        <v>(n): hướng dẫn</v>
      </c>
      <c r="I1840" s="6" t="s">
        <v>10058</v>
      </c>
      <c r="J1840" s="6" t="s">
        <v>10059</v>
      </c>
      <c r="K1840" s="7">
        <f t="shared" si="2"/>
        <v>0.8385662858</v>
      </c>
    </row>
    <row r="1841">
      <c r="A1841" s="4">
        <v>1841.0</v>
      </c>
      <c r="B1841" s="5" t="s">
        <v>10060</v>
      </c>
      <c r="C1841" s="5" t="s">
        <v>10061</v>
      </c>
      <c r="D1841" s="5" t="s">
        <v>10062</v>
      </c>
      <c r="E1841" s="6" t="s">
        <v>24</v>
      </c>
      <c r="F1841" s="6" t="s">
        <v>10063</v>
      </c>
      <c r="G1841" s="3" t="str">
        <f>IFERROR(__xludf.DUMMYFUNCTION("REGEXREPLACE(
D1841,
""([一-龯々]+)\[([^\]]+)\]"",
""&lt;ruby&gt;$1&lt;rt&gt;$2&lt;/rt&gt;&lt;/ruby&gt;""
)&amp;""&lt;br&gt;&lt;div class=""""audio""""&gt;[sound:""&amp;C1841&amp;"".mp3]&lt;/div&gt;"""),"&lt;ruby&gt;重&lt;rt&gt;かさ&lt;/rt&gt;&lt;/ruby&gt;なる&lt;br&gt;&lt;div class=""audio""&gt;[sound:かさなる.mp3]&lt;/div&gt;")</f>
        <v>&lt;ruby&gt;重&lt;rt&gt;かさ&lt;/rt&gt;&lt;/ruby&gt;なる&lt;br&gt;&lt;div class="audio"&gt;[sound:かさなる.mp3]&lt;/div&gt;</v>
      </c>
      <c r="H1841" s="3" t="str">
        <f t="shared" si="1"/>
        <v>(v): chồng lên</v>
      </c>
      <c r="I1841" s="6" t="s">
        <v>10064</v>
      </c>
      <c r="J1841" s="6" t="s">
        <v>10065</v>
      </c>
      <c r="K1841" s="7">
        <f t="shared" si="2"/>
        <v>0.264691848</v>
      </c>
    </row>
    <row r="1842">
      <c r="A1842" s="4">
        <v>1842.0</v>
      </c>
      <c r="B1842" s="5" t="s">
        <v>10066</v>
      </c>
      <c r="C1842" s="5" t="s">
        <v>10067</v>
      </c>
      <c r="D1842" s="5" t="s">
        <v>10068</v>
      </c>
      <c r="E1842" s="6" t="s">
        <v>74</v>
      </c>
      <c r="F1842" s="6" t="s">
        <v>10069</v>
      </c>
      <c r="G1842" s="3" t="str">
        <f>IFERROR(__xludf.DUMMYFUNCTION("REGEXREPLACE(
D1842,
""([一-龯々]+)\[([^\]]+)\]"",
""&lt;ruby&gt;$1&lt;rt&gt;$2&lt;/rt&gt;&lt;/ruby&gt;""
)&amp;""&lt;br&gt;&lt;div class=""""audio""""&gt;[sound:""&amp;C1842&amp;"".mp3]&lt;/div&gt;"""),"&lt;ruby&gt;本人&lt;rt&gt;ほんにん&lt;/rt&gt;&lt;/ruby&gt;&lt;br&gt;&lt;div class=""audio""&gt;[sound:ほんにん.mp3]&lt;/div&gt;")</f>
        <v>&lt;ruby&gt;本人&lt;rt&gt;ほんにん&lt;/rt&gt;&lt;/ruby&gt;&lt;br&gt;&lt;div class="audio"&gt;[sound:ほんにん.mp3]&lt;/div&gt;</v>
      </c>
      <c r="H1842" s="3" t="str">
        <f t="shared" si="1"/>
        <v>(n): chính người đó</v>
      </c>
      <c r="I1842" s="6" t="s">
        <v>10070</v>
      </c>
      <c r="J1842" s="6" t="s">
        <v>10071</v>
      </c>
      <c r="K1842" s="7">
        <f t="shared" si="2"/>
        <v>0.4886123317</v>
      </c>
    </row>
    <row r="1843">
      <c r="A1843" s="4">
        <v>1843.0</v>
      </c>
      <c r="B1843" s="5" t="s">
        <v>10072</v>
      </c>
      <c r="C1843" s="5" t="s">
        <v>10073</v>
      </c>
      <c r="D1843" s="5" t="s">
        <v>10074</v>
      </c>
      <c r="E1843" s="6" t="s">
        <v>74</v>
      </c>
      <c r="F1843" s="6" t="s">
        <v>10075</v>
      </c>
      <c r="G1843" s="3" t="str">
        <f>IFERROR(__xludf.DUMMYFUNCTION("REGEXREPLACE(
D1843,
""([一-龯々]+)\[([^\]]+)\]"",
""&lt;ruby&gt;$1&lt;rt&gt;$2&lt;/rt&gt;&lt;/ruby&gt;""
)&amp;""&lt;br&gt;&lt;div class=""""audio""""&gt;[sound:""&amp;C1843&amp;"".mp3]&lt;/div&gt;"""),"&lt;ruby&gt;夫婦&lt;rt&gt;ふうふ&lt;/rt&gt;&lt;/ruby&gt;&lt;br&gt;&lt;div class=""audio""&gt;[sound:ふうふ.mp3]&lt;/div&gt;")</f>
        <v>&lt;ruby&gt;夫婦&lt;rt&gt;ふうふ&lt;/rt&gt;&lt;/ruby&gt;&lt;br&gt;&lt;div class="audio"&gt;[sound:ふうふ.mp3]&lt;/div&gt;</v>
      </c>
      <c r="H1843" s="3" t="str">
        <f t="shared" si="1"/>
        <v>(n): vợ chồng</v>
      </c>
      <c r="I1843" s="6" t="s">
        <v>10076</v>
      </c>
      <c r="J1843" s="6" t="s">
        <v>10077</v>
      </c>
      <c r="K1843" s="7">
        <f t="shared" si="2"/>
        <v>0.605268842</v>
      </c>
    </row>
    <row r="1844">
      <c r="A1844" s="4">
        <v>1844.0</v>
      </c>
      <c r="B1844" s="5" t="s">
        <v>10078</v>
      </c>
      <c r="C1844" s="5" t="s">
        <v>10079</v>
      </c>
      <c r="D1844" s="5" t="s">
        <v>10080</v>
      </c>
      <c r="E1844" s="6" t="s">
        <v>74</v>
      </c>
      <c r="F1844" s="6" t="s">
        <v>10081</v>
      </c>
      <c r="G1844" s="3" t="str">
        <f>IFERROR(__xludf.DUMMYFUNCTION("REGEXREPLACE(
D1844,
""([一-龯々]+)\[([^\]]+)\]"",
""&lt;ruby&gt;$1&lt;rt&gt;$2&lt;/rt&gt;&lt;/ruby&gt;""
)&amp;""&lt;br&gt;&lt;div class=""""audio""""&gt;[sound:""&amp;C1844&amp;"".mp3]&lt;/div&gt;"""),"&lt;ruby&gt;毎月&lt;rt&gt;まいつき&lt;/rt&gt;&lt;/ruby&gt;&lt;br&gt;&lt;div class=""audio""&gt;[sound:まいつき.mp3]&lt;/div&gt;")</f>
        <v>&lt;ruby&gt;毎月&lt;rt&gt;まいつき&lt;/rt&gt;&lt;/ruby&gt;&lt;br&gt;&lt;div class="audio"&gt;[sound:まいつき.mp3]&lt;/div&gt;</v>
      </c>
      <c r="H1844" s="3" t="str">
        <f t="shared" si="1"/>
        <v>(n): mỗi tháng</v>
      </c>
      <c r="I1844" s="6" t="s">
        <v>10082</v>
      </c>
      <c r="J1844" s="6" t="s">
        <v>10083</v>
      </c>
      <c r="K1844" s="7">
        <f t="shared" si="2"/>
        <v>0.3573680114</v>
      </c>
    </row>
    <row r="1845">
      <c r="A1845" s="4">
        <v>1845.0</v>
      </c>
      <c r="B1845" s="5" t="s">
        <v>10084</v>
      </c>
      <c r="C1845" s="5" t="s">
        <v>10085</v>
      </c>
      <c r="D1845" s="5" t="s">
        <v>10086</v>
      </c>
      <c r="E1845" s="6" t="s">
        <v>74</v>
      </c>
      <c r="F1845" s="6" t="s">
        <v>10087</v>
      </c>
      <c r="G1845" s="3" t="str">
        <f>IFERROR(__xludf.DUMMYFUNCTION("REGEXREPLACE(
D1845,
""([一-龯々]+)\[([^\]]+)\]"",
""&lt;ruby&gt;$1&lt;rt&gt;$2&lt;/rt&gt;&lt;/ruby&gt;""
)&amp;""&lt;br&gt;&lt;div class=""""audio""""&gt;[sound:""&amp;C1845&amp;"".mp3]&lt;/div&gt;"""),"&lt;ruby&gt;撮影&lt;rt&gt;さつえい&lt;/rt&gt;&lt;/ruby&gt;&lt;br&gt;&lt;div class=""audio""&gt;[sound:さつえい.mp3]&lt;/div&gt;")</f>
        <v>&lt;ruby&gt;撮影&lt;rt&gt;さつえい&lt;/rt&gt;&lt;/ruby&gt;&lt;br&gt;&lt;div class="audio"&gt;[sound:さつえい.mp3]&lt;/div&gt;</v>
      </c>
      <c r="H1845" s="3" t="str">
        <f t="shared" si="1"/>
        <v>(n): quay phim</v>
      </c>
      <c r="I1845" s="6" t="s">
        <v>10088</v>
      </c>
      <c r="J1845" s="6" t="s">
        <v>10089</v>
      </c>
      <c r="K1845" s="7">
        <f t="shared" si="2"/>
        <v>0.9666123544</v>
      </c>
    </row>
    <row r="1846">
      <c r="A1846" s="4">
        <v>1846.0</v>
      </c>
      <c r="B1846" s="5" t="s">
        <v>10090</v>
      </c>
      <c r="C1846" s="5" t="s">
        <v>10091</v>
      </c>
      <c r="D1846" s="5" t="s">
        <v>10092</v>
      </c>
      <c r="E1846" s="6" t="s">
        <v>74</v>
      </c>
      <c r="F1846" s="6" t="s">
        <v>10093</v>
      </c>
      <c r="G1846" s="3" t="str">
        <f>IFERROR(__xludf.DUMMYFUNCTION("REGEXREPLACE(
D1846,
""([一-龯々]+)\[([^\]]+)\]"",
""&lt;ruby&gt;$1&lt;rt&gt;$2&lt;/rt&gt;&lt;/ruby&gt;""
)&amp;""&lt;br&gt;&lt;div class=""""audio""""&gt;[sound:""&amp;C1846&amp;"".mp3]&lt;/div&gt;"""),"&lt;ruby&gt;台所&lt;rt&gt;だいどころ&lt;/rt&gt;&lt;/ruby&gt;&lt;br&gt;&lt;div class=""audio""&gt;[sound:だいどころ.mp3]&lt;/div&gt;")</f>
        <v>&lt;ruby&gt;台所&lt;rt&gt;だいどころ&lt;/rt&gt;&lt;/ruby&gt;&lt;br&gt;&lt;div class="audio"&gt;[sound:だいどころ.mp3]&lt;/div&gt;</v>
      </c>
      <c r="H1846" s="3" t="str">
        <f t="shared" si="1"/>
        <v>(n): bếp</v>
      </c>
      <c r="I1846" s="6" t="s">
        <v>10094</v>
      </c>
      <c r="J1846" s="6" t="s">
        <v>10095</v>
      </c>
      <c r="K1846" s="7">
        <f t="shared" si="2"/>
        <v>0.7371156309</v>
      </c>
    </row>
    <row r="1847">
      <c r="A1847" s="4">
        <v>1847.0</v>
      </c>
      <c r="B1847" s="5" t="s">
        <v>10096</v>
      </c>
      <c r="C1847" s="5" t="s">
        <v>10097</v>
      </c>
      <c r="D1847" s="5" t="s">
        <v>10098</v>
      </c>
      <c r="E1847" s="6" t="s">
        <v>85</v>
      </c>
      <c r="F1847" s="6" t="s">
        <v>5287</v>
      </c>
      <c r="G1847" s="3" t="str">
        <f>IFERROR(__xludf.DUMMYFUNCTION("REGEXREPLACE(
D1847,
""([一-龯々]+)\[([^\]]+)\]"",
""&lt;ruby&gt;$1&lt;rt&gt;$2&lt;/rt&gt;&lt;/ruby&gt;""
)&amp;""&lt;br&gt;&lt;div class=""""audio""""&gt;[sound:""&amp;C1847&amp;"".mp3]&lt;/div&gt;"""),"&lt;ruby&gt;時々&lt;rt&gt;ときどき&lt;/rt&gt;&lt;/ruby&gt;&lt;br&gt;&lt;div class=""audio""&gt;[sound:ときどき.mp3]&lt;/div&gt;")</f>
        <v>&lt;ruby&gt;時々&lt;rt&gt;ときどき&lt;/rt&gt;&lt;/ruby&gt;&lt;br&gt;&lt;div class="audio"&gt;[sound:ときどき.mp3]&lt;/div&gt;</v>
      </c>
      <c r="H1847" s="3" t="str">
        <f t="shared" si="1"/>
        <v>(adv): thỉnh thoảng</v>
      </c>
      <c r="I1847" s="6" t="s">
        <v>10099</v>
      </c>
      <c r="J1847" s="6" t="s">
        <v>10100</v>
      </c>
      <c r="K1847" s="7">
        <f t="shared" si="2"/>
        <v>0.4176687652</v>
      </c>
    </row>
    <row r="1848">
      <c r="A1848" s="4">
        <v>1848.0</v>
      </c>
      <c r="B1848" s="5" t="s">
        <v>10101</v>
      </c>
      <c r="C1848" s="5" t="s">
        <v>10102</v>
      </c>
      <c r="D1848" s="5" t="s">
        <v>10103</v>
      </c>
      <c r="E1848" s="6" t="s">
        <v>11</v>
      </c>
      <c r="F1848" s="6" t="s">
        <v>10104</v>
      </c>
      <c r="G1848" s="3" t="str">
        <f>IFERROR(__xludf.DUMMYFUNCTION("REGEXREPLACE(
D1848,
""([一-龯々]+)\[([^\]]+)\]"",
""&lt;ruby&gt;$1&lt;rt&gt;$2&lt;/rt&gt;&lt;/ruby&gt;""
)&amp;""&lt;br&gt;&lt;div class=""""audio""""&gt;[sound:""&amp;C1848&amp;"".mp3]&lt;/div&gt;"""),"&lt;ruby&gt;暗&lt;rt&gt;くら&lt;/rt&gt;&lt;/ruby&gt;い&lt;br&gt;&lt;div class=""audio""&gt;[sound:くらい.mp3]&lt;/div&gt;")</f>
        <v>&lt;ruby&gt;暗&lt;rt&gt;くら&lt;/rt&gt;&lt;/ruby&gt;い&lt;br&gt;&lt;div class="audio"&gt;[sound:くらい.mp3]&lt;/div&gt;</v>
      </c>
      <c r="H1848" s="3" t="str">
        <f t="shared" si="1"/>
        <v>(adj): tối</v>
      </c>
      <c r="I1848" s="6" t="s">
        <v>10105</v>
      </c>
      <c r="J1848" s="6" t="s">
        <v>10106</v>
      </c>
      <c r="K1848" s="7">
        <f t="shared" si="2"/>
        <v>0.7051083351</v>
      </c>
    </row>
    <row r="1849">
      <c r="A1849" s="4">
        <v>1849.0</v>
      </c>
      <c r="B1849" s="5" t="s">
        <v>10107</v>
      </c>
      <c r="C1849" s="5" t="s">
        <v>10108</v>
      </c>
      <c r="D1849" s="5" t="s">
        <v>10109</v>
      </c>
      <c r="E1849" s="6" t="s">
        <v>74</v>
      </c>
      <c r="F1849" s="6" t="s">
        <v>5436</v>
      </c>
      <c r="G1849" s="3" t="str">
        <f>IFERROR(__xludf.DUMMYFUNCTION("REGEXREPLACE(
D1849,
""([一-龯々]+)\[([^\]]+)\]"",
""&lt;ruby&gt;$1&lt;rt&gt;$2&lt;/rt&gt;&lt;/ruby&gt;""
)&amp;""&lt;br&gt;&lt;div class=""""audio""""&gt;[sound:""&amp;C1849&amp;"".mp3]&lt;/div&gt;"""),"&lt;ruby&gt;宣伝&lt;rt&gt;せんでん&lt;/rt&gt;&lt;/ruby&gt;&lt;br&gt;&lt;div class=""audio""&gt;[sound:せんでん.mp3]&lt;/div&gt;")</f>
        <v>&lt;ruby&gt;宣伝&lt;rt&gt;せんでん&lt;/rt&gt;&lt;/ruby&gt;&lt;br&gt;&lt;div class="audio"&gt;[sound:せんでん.mp3]&lt;/div&gt;</v>
      </c>
      <c r="H1849" s="3" t="str">
        <f t="shared" si="1"/>
        <v>(n): quảng cáo</v>
      </c>
      <c r="I1849" s="6" t="s">
        <v>10110</v>
      </c>
      <c r="J1849" s="6" t="s">
        <v>10111</v>
      </c>
      <c r="K1849" s="7">
        <f t="shared" si="2"/>
        <v>0.9767145651</v>
      </c>
    </row>
    <row r="1850">
      <c r="A1850" s="4">
        <v>1850.0</v>
      </c>
      <c r="B1850" s="5" t="s">
        <v>10112</v>
      </c>
      <c r="C1850" s="5" t="s">
        <v>10113</v>
      </c>
      <c r="D1850" s="5" t="s">
        <v>10114</v>
      </c>
      <c r="E1850" s="6" t="s">
        <v>74</v>
      </c>
      <c r="F1850" s="6" t="s">
        <v>10115</v>
      </c>
      <c r="G1850" s="3" t="str">
        <f>IFERROR(__xludf.DUMMYFUNCTION("REGEXREPLACE(
D1850,
""([一-龯々]+)\[([^\]]+)\]"",
""&lt;ruby&gt;$1&lt;rt&gt;$2&lt;/rt&gt;&lt;/ruby&gt;""
)&amp;""&lt;br&gt;&lt;div class=""""audio""""&gt;[sound:""&amp;C1850&amp;"".mp3]&lt;/div&gt;"""),"&lt;ruby&gt;唯一&lt;rt&gt;ゆいいつ&lt;/rt&gt;&lt;/ruby&gt;&lt;br&gt;&lt;div class=""audio""&gt;[sound:ゆいいつ.mp3]&lt;/div&gt;")</f>
        <v>&lt;ruby&gt;唯一&lt;rt&gt;ゆいいつ&lt;/rt&gt;&lt;/ruby&gt;&lt;br&gt;&lt;div class="audio"&gt;[sound:ゆいいつ.mp3]&lt;/div&gt;</v>
      </c>
      <c r="H1850" s="3" t="str">
        <f t="shared" si="1"/>
        <v>(n): duy nhất</v>
      </c>
      <c r="I1850" s="6" t="s">
        <v>10116</v>
      </c>
      <c r="J1850" s="6" t="s">
        <v>10117</v>
      </c>
      <c r="K1850" s="7">
        <f t="shared" si="2"/>
        <v>0.1830409962</v>
      </c>
    </row>
    <row r="1851">
      <c r="A1851" s="4">
        <v>1851.0</v>
      </c>
      <c r="B1851" s="5" t="s">
        <v>10118</v>
      </c>
      <c r="C1851" s="5" t="s">
        <v>10119</v>
      </c>
      <c r="D1851" s="5" t="s">
        <v>10120</v>
      </c>
      <c r="E1851" s="6" t="s">
        <v>85</v>
      </c>
      <c r="F1851" s="6" t="s">
        <v>10121</v>
      </c>
      <c r="G1851" s="3" t="str">
        <f>IFERROR(__xludf.DUMMYFUNCTION("REGEXREPLACE(
D1851,
""([一-龯々]+)\[([^\]]+)\]"",
""&lt;ruby&gt;$1&lt;rt&gt;$2&lt;/rt&gt;&lt;/ruby&gt;""
)&amp;""&lt;br&gt;&lt;div class=""""audio""""&gt;[sound:""&amp;C1851&amp;"".mp3]&lt;/div&gt;"""),"&lt;ruby&gt;多少&lt;rt&gt;たしょう&lt;/rt&gt;&lt;/ruby&gt;&lt;br&gt;&lt;div class=""audio""&gt;[sound:たしょう.mp3]&lt;/div&gt;")</f>
        <v>&lt;ruby&gt;多少&lt;rt&gt;たしょう&lt;/rt&gt;&lt;/ruby&gt;&lt;br&gt;&lt;div class="audio"&gt;[sound:たしょう.mp3]&lt;/div&gt;</v>
      </c>
      <c r="H1851" s="3" t="str">
        <f t="shared" si="1"/>
        <v>(adv): ít nhiều</v>
      </c>
      <c r="I1851" s="6" t="s">
        <v>10122</v>
      </c>
      <c r="J1851" s="6" t="s">
        <v>10123</v>
      </c>
      <c r="K1851" s="7">
        <f t="shared" si="2"/>
        <v>0.6614058021</v>
      </c>
    </row>
    <row r="1852">
      <c r="A1852" s="4">
        <v>1852.0</v>
      </c>
      <c r="B1852" s="5" t="s">
        <v>10124</v>
      </c>
      <c r="C1852" s="5" t="s">
        <v>3054</v>
      </c>
      <c r="D1852" s="5" t="s">
        <v>10125</v>
      </c>
      <c r="E1852" s="6" t="s">
        <v>24</v>
      </c>
      <c r="F1852" s="6" t="s">
        <v>3056</v>
      </c>
      <c r="G1852" s="3" t="str">
        <f>IFERROR(__xludf.DUMMYFUNCTION("REGEXREPLACE(
D1852,
""([一-龯々]+)\[([^\]]+)\]"",
""&lt;ruby&gt;$1&lt;rt&gt;$2&lt;/rt&gt;&lt;/ruby&gt;""
)&amp;""&lt;br&gt;&lt;div class=""""audio""""&gt;[sound:""&amp;C1852&amp;"".mp3]&lt;/div&gt;"""),"&lt;ruby&gt;捜&lt;rt&gt;さが&lt;/rt&gt;&lt;/ruby&gt;す&lt;br&gt;&lt;div class=""audio""&gt;[sound:さがす.mp3]&lt;/div&gt;")</f>
        <v>&lt;ruby&gt;捜&lt;rt&gt;さが&lt;/rt&gt;&lt;/ruby&gt;す&lt;br&gt;&lt;div class="audio"&gt;[sound:さがす.mp3]&lt;/div&gt;</v>
      </c>
      <c r="H1852" s="3" t="str">
        <f t="shared" si="1"/>
        <v>(v): tìm kiếm</v>
      </c>
      <c r="I1852" s="6" t="s">
        <v>10126</v>
      </c>
      <c r="J1852" s="6" t="s">
        <v>10127</v>
      </c>
      <c r="K1852" s="7">
        <f t="shared" si="2"/>
        <v>0.1764181829</v>
      </c>
    </row>
    <row r="1853">
      <c r="A1853" s="4">
        <v>1853.0</v>
      </c>
      <c r="B1853" s="5" t="s">
        <v>10128</v>
      </c>
      <c r="C1853" s="5" t="s">
        <v>10129</v>
      </c>
      <c r="D1853" s="5" t="s">
        <v>10130</v>
      </c>
      <c r="E1853" s="6" t="s">
        <v>74</v>
      </c>
      <c r="F1853" s="6" t="s">
        <v>10131</v>
      </c>
      <c r="G1853" s="3" t="str">
        <f>IFERROR(__xludf.DUMMYFUNCTION("REGEXREPLACE(
D1853,
""([一-龯々]+)\[([^\]]+)\]"",
""&lt;ruby&gt;$1&lt;rt&gt;$2&lt;/rt&gt;&lt;/ruby&gt;""
)&amp;""&lt;br&gt;&lt;div class=""""audio""""&gt;[sound:""&amp;C1853&amp;"".mp3]&lt;/div&gt;"""),"&lt;ruby&gt;吸収&lt;rt&gt;きゅうしゅう&lt;/rt&gt;&lt;/ruby&gt;&lt;br&gt;&lt;div class=""audio""&gt;[sound:きゅうしゅう.mp3]&lt;/div&gt;")</f>
        <v>&lt;ruby&gt;吸収&lt;rt&gt;きゅうしゅう&lt;/rt&gt;&lt;/ruby&gt;&lt;br&gt;&lt;div class="audio"&gt;[sound:きゅうしゅう.mp3]&lt;/div&gt;</v>
      </c>
      <c r="H1853" s="3" t="str">
        <f t="shared" si="1"/>
        <v>(n): hấp thụ</v>
      </c>
      <c r="I1853" s="6" t="s">
        <v>10132</v>
      </c>
      <c r="J1853" s="6" t="s">
        <v>10133</v>
      </c>
      <c r="K1853" s="7">
        <f t="shared" si="2"/>
        <v>0.4341029706</v>
      </c>
    </row>
    <row r="1854">
      <c r="A1854" s="4">
        <v>1854.0</v>
      </c>
      <c r="B1854" s="5" t="s">
        <v>10134</v>
      </c>
      <c r="C1854" s="5" t="s">
        <v>10135</v>
      </c>
      <c r="D1854" s="5" t="s">
        <v>10136</v>
      </c>
      <c r="E1854" s="6" t="s">
        <v>24</v>
      </c>
      <c r="F1854" s="6" t="s">
        <v>10137</v>
      </c>
      <c r="G1854" s="3" t="str">
        <f>IFERROR(__xludf.DUMMYFUNCTION("REGEXREPLACE(
D1854,
""([一-龯々]+)\[([^\]]+)\]"",
""&lt;ruby&gt;$1&lt;rt&gt;$2&lt;/rt&gt;&lt;/ruby&gt;""
)&amp;""&lt;br&gt;&lt;div class=""""audio""""&gt;[sound:""&amp;C1854&amp;"".mp3]&lt;/div&gt;"""),"&lt;ruby&gt;命&lt;rt&gt;めい&lt;/rt&gt;&lt;/ruby&gt;じる&lt;br&gt;&lt;div class=""audio""&gt;[sound:めいじる.mp3]&lt;/div&gt;")</f>
        <v>&lt;ruby&gt;命&lt;rt&gt;めい&lt;/rt&gt;&lt;/ruby&gt;じる&lt;br&gt;&lt;div class="audio"&gt;[sound:めいじる.mp3]&lt;/div&gt;</v>
      </c>
      <c r="H1854" s="3" t="str">
        <f t="shared" si="1"/>
        <v>(v): ra lệnh</v>
      </c>
      <c r="I1854" s="6" t="s">
        <v>10138</v>
      </c>
      <c r="J1854" s="6" t="s">
        <v>10139</v>
      </c>
      <c r="K1854" s="7">
        <f t="shared" si="2"/>
        <v>0.141372702</v>
      </c>
    </row>
    <row r="1855">
      <c r="A1855" s="4">
        <v>1855.0</v>
      </c>
      <c r="B1855" s="5" t="s">
        <v>10140</v>
      </c>
      <c r="C1855" s="5" t="s">
        <v>10141</v>
      </c>
      <c r="D1855" s="5" t="s">
        <v>10142</v>
      </c>
      <c r="E1855" s="6" t="s">
        <v>24</v>
      </c>
      <c r="F1855" s="6" t="s">
        <v>10143</v>
      </c>
      <c r="G1855" s="3" t="str">
        <f>IFERROR(__xludf.DUMMYFUNCTION("REGEXREPLACE(
D1855,
""([一-龯々]+)\[([^\]]+)\]"",
""&lt;ruby&gt;$1&lt;rt&gt;$2&lt;/rt&gt;&lt;/ruby&gt;""
)&amp;""&lt;br&gt;&lt;div class=""""audio""""&gt;[sound:""&amp;C1855&amp;"".mp3]&lt;/div&gt;"""),"&lt;ruby&gt;歌&lt;rt&gt;うた&lt;/rt&gt;&lt;/ruby&gt;う&lt;br&gt;&lt;div class=""audio""&gt;[sound:うたう.mp3]&lt;/div&gt;")</f>
        <v>&lt;ruby&gt;歌&lt;rt&gt;うた&lt;/rt&gt;&lt;/ruby&gt;う&lt;br&gt;&lt;div class="audio"&gt;[sound:うたう.mp3]&lt;/div&gt;</v>
      </c>
      <c r="H1855" s="3" t="str">
        <f t="shared" si="1"/>
        <v>(v): hát</v>
      </c>
      <c r="I1855" s="6" t="s">
        <v>10144</v>
      </c>
      <c r="J1855" s="6" t="s">
        <v>10145</v>
      </c>
      <c r="K1855" s="7">
        <f t="shared" si="2"/>
        <v>0.7710012906</v>
      </c>
    </row>
    <row r="1856">
      <c r="A1856" s="4">
        <v>1856.0</v>
      </c>
      <c r="B1856" s="5" t="s">
        <v>10146</v>
      </c>
      <c r="C1856" s="5" t="s">
        <v>10147</v>
      </c>
      <c r="D1856" s="5" t="s">
        <v>10148</v>
      </c>
      <c r="E1856" s="6" t="s">
        <v>74</v>
      </c>
      <c r="F1856" s="6" t="s">
        <v>10149</v>
      </c>
      <c r="G1856" s="3" t="str">
        <f>IFERROR(__xludf.DUMMYFUNCTION("REGEXREPLACE(
D1856,
""([一-龯々]+)\[([^\]]+)\]"",
""&lt;ruby&gt;$1&lt;rt&gt;$2&lt;/rt&gt;&lt;/ruby&gt;""
)&amp;""&lt;br&gt;&lt;div class=""""audio""""&gt;[sound:""&amp;C1856&amp;"".mp3]&lt;/div&gt;"""),"&lt;ruby&gt;回数&lt;rt&gt;かいすう&lt;/rt&gt;&lt;/ruby&gt;&lt;br&gt;&lt;div class=""audio""&gt;[sound:かいすう.mp3]&lt;/div&gt;")</f>
        <v>&lt;ruby&gt;回数&lt;rt&gt;かいすう&lt;/rt&gt;&lt;/ruby&gt;&lt;br&gt;&lt;div class="audio"&gt;[sound:かいすう.mp3]&lt;/div&gt;</v>
      </c>
      <c r="H1856" s="3" t="str">
        <f t="shared" si="1"/>
        <v>(n): số lần</v>
      </c>
      <c r="I1856" s="6" t="s">
        <v>10150</v>
      </c>
      <c r="J1856" s="6" t="s">
        <v>10151</v>
      </c>
      <c r="K1856" s="7">
        <f t="shared" si="2"/>
        <v>0.5118333825</v>
      </c>
    </row>
    <row r="1857">
      <c r="A1857" s="4">
        <v>1857.0</v>
      </c>
      <c r="B1857" s="5" t="s">
        <v>10152</v>
      </c>
      <c r="C1857" s="5" t="s">
        <v>10153</v>
      </c>
      <c r="D1857" s="5" t="s">
        <v>10154</v>
      </c>
      <c r="E1857" s="6" t="s">
        <v>74</v>
      </c>
      <c r="F1857" s="6" t="s">
        <v>10155</v>
      </c>
      <c r="G1857" s="3" t="str">
        <f>IFERROR(__xludf.DUMMYFUNCTION("REGEXREPLACE(
D1857,
""([一-龯々]+)\[([^\]]+)\]"",
""&lt;ruby&gt;$1&lt;rt&gt;$2&lt;/rt&gt;&lt;/ruby&gt;""
)&amp;""&lt;br&gt;&lt;div class=""""audio""""&gt;[sound:""&amp;C1857&amp;"".mp3]&lt;/div&gt;"""),"&lt;ruby&gt;太陽&lt;rt&gt;たいよう&lt;/rt&gt;&lt;/ruby&gt;&lt;br&gt;&lt;div class=""audio""&gt;[sound:たいよう.mp3]&lt;/div&gt;")</f>
        <v>&lt;ruby&gt;太陽&lt;rt&gt;たいよう&lt;/rt&gt;&lt;/ruby&gt;&lt;br&gt;&lt;div class="audio"&gt;[sound:たいよう.mp3]&lt;/div&gt;</v>
      </c>
      <c r="H1857" s="3" t="str">
        <f t="shared" si="1"/>
        <v>(n): mặt trời</v>
      </c>
      <c r="I1857" s="6" t="s">
        <v>10156</v>
      </c>
      <c r="J1857" s="6" t="s">
        <v>10157</v>
      </c>
      <c r="K1857" s="7">
        <f t="shared" si="2"/>
        <v>0.03127803962</v>
      </c>
    </row>
    <row r="1858">
      <c r="A1858" s="4">
        <v>1858.0</v>
      </c>
      <c r="B1858" s="5" t="s">
        <v>10158</v>
      </c>
      <c r="C1858" s="5" t="s">
        <v>10159</v>
      </c>
      <c r="D1858" s="5" t="s">
        <v>10160</v>
      </c>
      <c r="E1858" s="6" t="s">
        <v>74</v>
      </c>
      <c r="F1858" s="6" t="s">
        <v>10161</v>
      </c>
      <c r="G1858" s="3" t="str">
        <f>IFERROR(__xludf.DUMMYFUNCTION("REGEXREPLACE(
D1858,
""([一-龯々]+)\[([^\]]+)\]"",
""&lt;ruby&gt;$1&lt;rt&gt;$2&lt;/rt&gt;&lt;/ruby&gt;""
)&amp;""&lt;br&gt;&lt;div class=""""audio""""&gt;[sound:""&amp;C1858&amp;"".mp3]&lt;/div&gt;"""),"&lt;ruby&gt;着物&lt;rt&gt;きもの&lt;/rt&gt;&lt;/ruby&gt;&lt;br&gt;&lt;div class=""audio""&gt;[sound:きもの.mp3]&lt;/div&gt;")</f>
        <v>&lt;ruby&gt;着物&lt;rt&gt;きもの&lt;/rt&gt;&lt;/ruby&gt;&lt;br&gt;&lt;div class="audio"&gt;[sound:きもの.mp3]&lt;/div&gt;</v>
      </c>
      <c r="H1858" s="3" t="str">
        <f t="shared" si="1"/>
        <v>(n): kimono</v>
      </c>
      <c r="I1858" s="6" t="s">
        <v>10162</v>
      </c>
      <c r="J1858" s="6" t="s">
        <v>10163</v>
      </c>
      <c r="K1858" s="7">
        <f t="shared" si="2"/>
        <v>0.4909445062</v>
      </c>
    </row>
    <row r="1859">
      <c r="A1859" s="4">
        <v>1859.0</v>
      </c>
      <c r="B1859" s="5" t="s">
        <v>10164</v>
      </c>
      <c r="C1859" s="5" t="s">
        <v>10165</v>
      </c>
      <c r="D1859" s="5" t="s">
        <v>10166</v>
      </c>
      <c r="E1859" s="6" t="s">
        <v>74</v>
      </c>
      <c r="F1859" s="6" t="s">
        <v>10167</v>
      </c>
      <c r="G1859" s="3" t="str">
        <f>IFERROR(__xludf.DUMMYFUNCTION("REGEXREPLACE(
D1859,
""([一-龯々]+)\[([^\]]+)\]"",
""&lt;ruby&gt;$1&lt;rt&gt;$2&lt;/rt&gt;&lt;/ruby&gt;""
)&amp;""&lt;br&gt;&lt;div class=""""audio""""&gt;[sound:""&amp;C1859&amp;"".mp3]&lt;/div&gt;"""),"&lt;ruby&gt;睡眠&lt;rt&gt;すいみん&lt;/rt&gt;&lt;/ruby&gt;&lt;br&gt;&lt;div class=""audio""&gt;[sound:すいみん.mp3]&lt;/div&gt;")</f>
        <v>&lt;ruby&gt;睡眠&lt;rt&gt;すいみん&lt;/rt&gt;&lt;/ruby&gt;&lt;br&gt;&lt;div class="audio"&gt;[sound:すいみん.mp3]&lt;/div&gt;</v>
      </c>
      <c r="H1859" s="3" t="str">
        <f t="shared" si="1"/>
        <v>(n): giấc ngủ</v>
      </c>
      <c r="I1859" s="6" t="s">
        <v>10168</v>
      </c>
      <c r="J1859" s="6" t="s">
        <v>10169</v>
      </c>
      <c r="K1859" s="7">
        <f t="shared" si="2"/>
        <v>0.0253575607</v>
      </c>
    </row>
    <row r="1860">
      <c r="A1860" s="4">
        <v>1860.0</v>
      </c>
      <c r="B1860" s="5" t="s">
        <v>10170</v>
      </c>
      <c r="C1860" s="5" t="s">
        <v>10171</v>
      </c>
      <c r="D1860" s="5" t="s">
        <v>10172</v>
      </c>
      <c r="E1860" s="6" t="s">
        <v>74</v>
      </c>
      <c r="F1860" s="6" t="s">
        <v>10173</v>
      </c>
      <c r="G1860" s="3" t="str">
        <f>IFERROR(__xludf.DUMMYFUNCTION("REGEXREPLACE(
D1860,
""([一-龯々]+)\[([^\]]+)\]"",
""&lt;ruby&gt;$1&lt;rt&gt;$2&lt;/rt&gt;&lt;/ruby&gt;""
)&amp;""&lt;br&gt;&lt;div class=""""audio""""&gt;[sound:""&amp;C1860&amp;"".mp3]&lt;/div&gt;"""),"&lt;ruby&gt;所有&lt;rt&gt;しょゆう&lt;/rt&gt;&lt;/ruby&gt;&lt;br&gt;&lt;div class=""audio""&gt;[sound:しょゆう.mp3]&lt;/div&gt;")</f>
        <v>&lt;ruby&gt;所有&lt;rt&gt;しょゆう&lt;/rt&gt;&lt;/ruby&gt;&lt;br&gt;&lt;div class="audio"&gt;[sound:しょゆう.mp3]&lt;/div&gt;</v>
      </c>
      <c r="H1860" s="3" t="str">
        <f t="shared" si="1"/>
        <v>(n): quyền sở hữu</v>
      </c>
      <c r="I1860" s="6" t="s">
        <v>10174</v>
      </c>
      <c r="J1860" s="6" t="s">
        <v>10175</v>
      </c>
      <c r="K1860" s="7">
        <f t="shared" si="2"/>
        <v>0.2096813954</v>
      </c>
    </row>
    <row r="1861">
      <c r="A1861" s="4">
        <v>1861.0</v>
      </c>
      <c r="B1861" s="5" t="s">
        <v>10176</v>
      </c>
      <c r="C1861" s="5" t="s">
        <v>10177</v>
      </c>
      <c r="D1861" s="5" t="s">
        <v>10178</v>
      </c>
      <c r="E1861" s="6" t="s">
        <v>74</v>
      </c>
      <c r="F1861" s="6" t="s">
        <v>10179</v>
      </c>
      <c r="G1861" s="3" t="str">
        <f>IFERROR(__xludf.DUMMYFUNCTION("REGEXREPLACE(
D1861,
""([一-龯々]+)\[([^\]]+)\]"",
""&lt;ruby&gt;$1&lt;rt&gt;$2&lt;/rt&gt;&lt;/ruby&gt;""
)&amp;""&lt;br&gt;&lt;div class=""""audio""""&gt;[sound:""&amp;C1861&amp;"".mp3]&lt;/div&gt;"""),"&lt;ruby&gt;当選&lt;rt&gt;とうせん&lt;/rt&gt;&lt;/ruby&gt;&lt;br&gt;&lt;div class=""audio""&gt;[sound:とうせん.mp3]&lt;/div&gt;")</f>
        <v>&lt;ruby&gt;当選&lt;rt&gt;とうせん&lt;/rt&gt;&lt;/ruby&gt;&lt;br&gt;&lt;div class="audio"&gt;[sound:とうせん.mp3]&lt;/div&gt;</v>
      </c>
      <c r="H1861" s="3" t="str">
        <f t="shared" si="1"/>
        <v>(n): trúng tuyển</v>
      </c>
      <c r="I1861" s="6" t="s">
        <v>10180</v>
      </c>
      <c r="J1861" s="6" t="s">
        <v>10181</v>
      </c>
      <c r="K1861" s="7">
        <f t="shared" si="2"/>
        <v>0.6296862938</v>
      </c>
    </row>
    <row r="1862">
      <c r="A1862" s="4">
        <v>1862.0</v>
      </c>
      <c r="B1862" s="5" t="s">
        <v>10182</v>
      </c>
      <c r="C1862" s="5" t="s">
        <v>10183</v>
      </c>
      <c r="D1862" s="5" t="s">
        <v>10184</v>
      </c>
      <c r="E1862" s="6" t="s">
        <v>74</v>
      </c>
      <c r="F1862" s="6" t="s">
        <v>10185</v>
      </c>
      <c r="G1862" s="3" t="str">
        <f>IFERROR(__xludf.DUMMYFUNCTION("REGEXREPLACE(
D1862,
""([一-龯々]+)\[([^\]]+)\]"",
""&lt;ruby&gt;$1&lt;rt&gt;$2&lt;/rt&gt;&lt;/ruby&gt;""
)&amp;""&lt;br&gt;&lt;div class=""""audio""""&gt;[sound:""&amp;C1862&amp;"".mp3]&lt;/div&gt;"""),"&lt;ruby&gt;提示&lt;rt&gt;ていじ&lt;/rt&gt;&lt;/ruby&gt;&lt;br&gt;&lt;div class=""audio""&gt;[sound:ていじ.mp3]&lt;/div&gt;")</f>
        <v>&lt;ruby&gt;提示&lt;rt&gt;ていじ&lt;/rt&gt;&lt;/ruby&gt;&lt;br&gt;&lt;div class="audio"&gt;[sound:ていじ.mp3]&lt;/div&gt;</v>
      </c>
      <c r="H1862" s="3" t="str">
        <f t="shared" si="1"/>
        <v>(n): xuất trình</v>
      </c>
      <c r="I1862" s="6" t="s">
        <v>10186</v>
      </c>
      <c r="J1862" s="6" t="s">
        <v>10187</v>
      </c>
      <c r="K1862" s="7">
        <f t="shared" si="2"/>
        <v>0.05319655706</v>
      </c>
    </row>
    <row r="1863">
      <c r="A1863" s="4">
        <v>1863.0</v>
      </c>
      <c r="B1863" s="5" t="s">
        <v>10188</v>
      </c>
      <c r="C1863" s="5" t="s">
        <v>10189</v>
      </c>
      <c r="D1863" s="5" t="s">
        <v>10190</v>
      </c>
      <c r="E1863" s="6" t="s">
        <v>74</v>
      </c>
      <c r="F1863" s="6" t="s">
        <v>1565</v>
      </c>
      <c r="G1863" s="3" t="str">
        <f>IFERROR(__xludf.DUMMYFUNCTION("REGEXREPLACE(
D1863,
""([一-龯々]+)\[([^\]]+)\]"",
""&lt;ruby&gt;$1&lt;rt&gt;$2&lt;/rt&gt;&lt;/ruby&gt;""
)&amp;""&lt;br&gt;&lt;div class=""""audio""""&gt;[sound:""&amp;C1863&amp;"".mp3]&lt;/div&gt;"""),"&lt;ruby&gt;審議&lt;rt&gt;しんぎ&lt;/rt&gt;&lt;/ruby&gt;&lt;br&gt;&lt;div class=""audio""&gt;[sound:しんぎ.mp3]&lt;/div&gt;")</f>
        <v>&lt;ruby&gt;審議&lt;rt&gt;しんぎ&lt;/rt&gt;&lt;/ruby&gt;&lt;br&gt;&lt;div class="audio"&gt;[sound:しんぎ.mp3]&lt;/div&gt;</v>
      </c>
      <c r="H1863" s="3" t="str">
        <f t="shared" si="1"/>
        <v>(n): thảo luận</v>
      </c>
      <c r="I1863" s="6" t="s">
        <v>10191</v>
      </c>
      <c r="J1863" s="6" t="s">
        <v>10192</v>
      </c>
      <c r="K1863" s="7">
        <f t="shared" si="2"/>
        <v>0.3724246536</v>
      </c>
    </row>
    <row r="1864">
      <c r="A1864" s="4">
        <v>1864.0</v>
      </c>
      <c r="B1864" s="5" t="s">
        <v>10193</v>
      </c>
      <c r="C1864" s="5" t="s">
        <v>10194</v>
      </c>
      <c r="D1864" s="5" t="s">
        <v>10195</v>
      </c>
      <c r="E1864" s="6" t="s">
        <v>74</v>
      </c>
      <c r="F1864" s="6" t="s">
        <v>10196</v>
      </c>
      <c r="G1864" s="3" t="str">
        <f>IFERROR(__xludf.DUMMYFUNCTION("REGEXREPLACE(
D1864,
""([一-龯々]+)\[([^\]]+)\]"",
""&lt;ruby&gt;$1&lt;rt&gt;$2&lt;/rt&gt;&lt;/ruby&gt;""
)&amp;""&lt;br&gt;&lt;div class=""""audio""""&gt;[sound:""&amp;C1864&amp;"".mp3]&lt;/div&gt;"""),"&lt;ruby&gt;復興&lt;rt&gt;ふっこう&lt;/rt&gt;&lt;/ruby&gt;&lt;br&gt;&lt;div class=""audio""&gt;[sound:ふっこう.mp3]&lt;/div&gt;")</f>
        <v>&lt;ruby&gt;復興&lt;rt&gt;ふっこう&lt;/rt&gt;&lt;/ruby&gt;&lt;br&gt;&lt;div class="audio"&gt;[sound:ふっこう.mp3]&lt;/div&gt;</v>
      </c>
      <c r="H1864" s="3" t="str">
        <f t="shared" si="1"/>
        <v>(n): phục hưng</v>
      </c>
      <c r="I1864" s="6" t="s">
        <v>10197</v>
      </c>
      <c r="J1864" s="6" t="s">
        <v>10198</v>
      </c>
      <c r="K1864" s="7">
        <f t="shared" si="2"/>
        <v>0.2002011278</v>
      </c>
    </row>
    <row r="1865">
      <c r="A1865" s="4">
        <v>1865.0</v>
      </c>
      <c r="B1865" s="5" t="s">
        <v>10199</v>
      </c>
      <c r="C1865" s="5" t="s">
        <v>10200</v>
      </c>
      <c r="D1865" s="5" t="s">
        <v>10201</v>
      </c>
      <c r="E1865" s="6" t="s">
        <v>24</v>
      </c>
      <c r="F1865" s="6" t="s">
        <v>10202</v>
      </c>
      <c r="G1865" s="3" t="str">
        <f>IFERROR(__xludf.DUMMYFUNCTION("REGEXREPLACE(
D1865,
""([一-龯々]+)\[([^\]]+)\]"",
""&lt;ruby&gt;$1&lt;rt&gt;$2&lt;/rt&gt;&lt;/ruby&gt;""
)&amp;""&lt;br&gt;&lt;div class=""""audio""""&gt;[sound:""&amp;C1865&amp;"".mp3]&lt;/div&gt;"""),"&lt;ruby&gt;控&lt;rt&gt;ひか&lt;/rt&gt;&lt;/ruby&gt;える&lt;br&gt;&lt;div class=""audio""&gt;[sound:ひかえる.mp3]&lt;/div&gt;")</f>
        <v>&lt;ruby&gt;控&lt;rt&gt;ひか&lt;/rt&gt;&lt;/ruby&gt;える&lt;br&gt;&lt;div class="audio"&gt;[sound:ひかえる.mp3]&lt;/div&gt;</v>
      </c>
      <c r="H1865" s="3" t="str">
        <f t="shared" si="1"/>
        <v>(v): kiềm chế</v>
      </c>
      <c r="I1865" s="6" t="s">
        <v>10203</v>
      </c>
      <c r="J1865" s="6" t="s">
        <v>10204</v>
      </c>
      <c r="K1865" s="7">
        <f t="shared" si="2"/>
        <v>0.2266471557</v>
      </c>
    </row>
    <row r="1866">
      <c r="A1866" s="4">
        <v>1866.0</v>
      </c>
      <c r="B1866" s="5" t="s">
        <v>10205</v>
      </c>
      <c r="C1866" s="5" t="s">
        <v>10206</v>
      </c>
      <c r="D1866" s="5" t="s">
        <v>10207</v>
      </c>
      <c r="E1866" s="6" t="s">
        <v>74</v>
      </c>
      <c r="F1866" s="6" t="s">
        <v>10208</v>
      </c>
      <c r="G1866" s="3" t="str">
        <f>IFERROR(__xludf.DUMMYFUNCTION("REGEXREPLACE(
D1866,
""([一-龯々]+)\[([^\]]+)\]"",
""&lt;ruby&gt;$1&lt;rt&gt;$2&lt;/rt&gt;&lt;/ruby&gt;""
)&amp;""&lt;br&gt;&lt;div class=""""audio""""&gt;[sound:""&amp;C1866&amp;"".mp3]&lt;/div&gt;"""),"&lt;ruby&gt;弁護&lt;rt&gt;べんご&lt;/rt&gt;&lt;/ruby&gt;&lt;br&gt;&lt;div class=""audio""&gt;[sound:べんご.mp3]&lt;/div&gt;")</f>
        <v>&lt;ruby&gt;弁護&lt;rt&gt;べんご&lt;/rt&gt;&lt;/ruby&gt;&lt;br&gt;&lt;div class="audio"&gt;[sound:べんご.mp3]&lt;/div&gt;</v>
      </c>
      <c r="H1866" s="3" t="str">
        <f t="shared" si="1"/>
        <v>(n): biện hộ</v>
      </c>
      <c r="I1866" s="6" t="s">
        <v>10209</v>
      </c>
      <c r="J1866" s="6" t="s">
        <v>10210</v>
      </c>
      <c r="K1866" s="7">
        <f t="shared" si="2"/>
        <v>0.3893940454</v>
      </c>
    </row>
    <row r="1867">
      <c r="A1867" s="4">
        <v>1867.0</v>
      </c>
      <c r="B1867" s="5" t="s">
        <v>10211</v>
      </c>
      <c r="C1867" s="5" t="s">
        <v>10212</v>
      </c>
      <c r="D1867" s="5" t="s">
        <v>10213</v>
      </c>
      <c r="E1867" s="6" t="s">
        <v>74</v>
      </c>
      <c r="F1867" s="6" t="s">
        <v>10214</v>
      </c>
      <c r="G1867" s="3" t="str">
        <f>IFERROR(__xludf.DUMMYFUNCTION("REGEXREPLACE(
D1867,
""([一-龯々]+)\[([^\]]+)\]"",
""&lt;ruby&gt;$1&lt;rt&gt;$2&lt;/rt&gt;&lt;/ruby&gt;""
)&amp;""&lt;br&gt;&lt;div class=""""audio""""&gt;[sound:""&amp;C1867&amp;"".mp3]&lt;/div&gt;"""),"&lt;ruby&gt;得点&lt;rt&gt;とくてん&lt;/rt&gt;&lt;/ruby&gt;&lt;br&gt;&lt;div class=""audio""&gt;[sound:とくてん.mp3]&lt;/div&gt;")</f>
        <v>&lt;ruby&gt;得点&lt;rt&gt;とくてん&lt;/rt&gt;&lt;/ruby&gt;&lt;br&gt;&lt;div class="audio"&gt;[sound:とくてん.mp3]&lt;/div&gt;</v>
      </c>
      <c r="H1867" s="3" t="str">
        <f t="shared" si="1"/>
        <v>(n): điểm số</v>
      </c>
      <c r="I1867" s="6" t="s">
        <v>10215</v>
      </c>
      <c r="J1867" s="6" t="s">
        <v>10216</v>
      </c>
      <c r="K1867" s="7">
        <f t="shared" si="2"/>
        <v>0.4545628178</v>
      </c>
    </row>
    <row r="1868">
      <c r="A1868" s="4">
        <v>1868.0</v>
      </c>
      <c r="B1868" s="5" t="s">
        <v>10217</v>
      </c>
      <c r="C1868" s="5" t="s">
        <v>10218</v>
      </c>
      <c r="D1868" s="5" t="s">
        <v>10219</v>
      </c>
      <c r="E1868" s="6" t="s">
        <v>74</v>
      </c>
      <c r="F1868" s="6" t="s">
        <v>10220</v>
      </c>
      <c r="G1868" s="3" t="str">
        <f>IFERROR(__xludf.DUMMYFUNCTION("REGEXREPLACE(
D1868,
""([一-龯々]+)\[([^\]]+)\]"",
""&lt;ruby&gt;$1&lt;rt&gt;$2&lt;/rt&gt;&lt;/ruby&gt;""
)&amp;""&lt;br&gt;&lt;div class=""""audio""""&gt;[sound:""&amp;C1868&amp;"".mp3]&lt;/div&gt;"""),"&lt;ruby&gt;意向&lt;rt&gt;いこう&lt;/rt&gt;&lt;/ruby&gt;&lt;br&gt;&lt;div class=""audio""&gt;[sound:いこう.mp3]&lt;/div&gt;")</f>
        <v>&lt;ruby&gt;意向&lt;rt&gt;いこう&lt;/rt&gt;&lt;/ruby&gt;&lt;br&gt;&lt;div class="audio"&gt;[sound:いこう.mp3]&lt;/div&gt;</v>
      </c>
      <c r="H1868" s="3" t="str">
        <f t="shared" si="1"/>
        <v>(n): ý hướng</v>
      </c>
      <c r="I1868" s="6" t="s">
        <v>10221</v>
      </c>
      <c r="J1868" s="6" t="s">
        <v>10222</v>
      </c>
      <c r="K1868" s="7">
        <f t="shared" si="2"/>
        <v>0.3744802767</v>
      </c>
    </row>
    <row r="1869">
      <c r="A1869" s="4">
        <v>1869.0</v>
      </c>
      <c r="B1869" s="5" t="s">
        <v>10223</v>
      </c>
      <c r="C1869" s="5" t="s">
        <v>10224</v>
      </c>
      <c r="D1869" s="5" t="s">
        <v>10225</v>
      </c>
      <c r="E1869" s="6" t="s">
        <v>74</v>
      </c>
      <c r="F1869" s="6" t="s">
        <v>10226</v>
      </c>
      <c r="G1869" s="3" t="str">
        <f>IFERROR(__xludf.DUMMYFUNCTION("REGEXREPLACE(
D1869,
""([一-龯々]+)\[([^\]]+)\]"",
""&lt;ruby&gt;$1&lt;rt&gt;$2&lt;/rt&gt;&lt;/ruby&gt;""
)&amp;""&lt;br&gt;&lt;div class=""""audio""""&gt;[sound:""&amp;C1869&amp;"".mp3]&lt;/div&gt;"""),"&lt;ruby&gt;打撃&lt;rt&gt;だげき&lt;/rt&gt;&lt;/ruby&gt;&lt;br&gt;&lt;div class=""audio""&gt;[sound:だげき.mp3]&lt;/div&gt;")</f>
        <v>&lt;ruby&gt;打撃&lt;rt&gt;だげき&lt;/rt&gt;&lt;/ruby&gt;&lt;br&gt;&lt;div class="audio"&gt;[sound:だげき.mp3]&lt;/div&gt;</v>
      </c>
      <c r="H1869" s="3" t="str">
        <f t="shared" si="1"/>
        <v>(n): cú đánh</v>
      </c>
      <c r="I1869" s="6" t="s">
        <v>10227</v>
      </c>
      <c r="J1869" s="6" t="s">
        <v>10228</v>
      </c>
      <c r="K1869" s="7">
        <f t="shared" si="2"/>
        <v>0.01062519313</v>
      </c>
    </row>
    <row r="1870">
      <c r="A1870" s="4">
        <v>1870.0</v>
      </c>
      <c r="B1870" s="5" t="s">
        <v>10229</v>
      </c>
      <c r="C1870" s="5" t="s">
        <v>10230</v>
      </c>
      <c r="D1870" s="5" t="s">
        <v>10231</v>
      </c>
      <c r="E1870" s="6" t="s">
        <v>74</v>
      </c>
      <c r="F1870" s="6" t="s">
        <v>10232</v>
      </c>
      <c r="G1870" s="3" t="str">
        <f>IFERROR(__xludf.DUMMYFUNCTION("REGEXREPLACE(
D1870,
""([一-龯々]+)\[([^\]]+)\]"",
""&lt;ruby&gt;$1&lt;rt&gt;$2&lt;/rt&gt;&lt;/ruby&gt;""
)&amp;""&lt;br&gt;&lt;div class=""""audio""""&gt;[sound:""&amp;C1870&amp;"".mp3]&lt;/div&gt;"""),"&lt;ruby&gt;扱&lt;rt&gt;あつか&lt;/rt&gt;&lt;/ruby&gt;い&lt;br&gt;&lt;div class=""audio""&gt;[sound:あつかい.mp3]&lt;/div&gt;")</f>
        <v>&lt;ruby&gt;扱&lt;rt&gt;あつか&lt;/rt&gt;&lt;/ruby&gt;い&lt;br&gt;&lt;div class="audio"&gt;[sound:あつかい.mp3]&lt;/div&gt;</v>
      </c>
      <c r="H1870" s="3" t="str">
        <f t="shared" si="1"/>
        <v>(n): sự đối xử</v>
      </c>
      <c r="I1870" s="6" t="s">
        <v>10233</v>
      </c>
      <c r="J1870" s="6" t="s">
        <v>10234</v>
      </c>
      <c r="K1870" s="7">
        <f t="shared" si="2"/>
        <v>0.03867718975</v>
      </c>
    </row>
    <row r="1871">
      <c r="A1871" s="4">
        <v>1871.0</v>
      </c>
      <c r="B1871" s="5" t="s">
        <v>10235</v>
      </c>
      <c r="C1871" s="5" t="s">
        <v>10236</v>
      </c>
      <c r="D1871" s="5" t="s">
        <v>10237</v>
      </c>
      <c r="E1871" s="6" t="s">
        <v>24</v>
      </c>
      <c r="F1871" s="6" t="s">
        <v>254</v>
      </c>
      <c r="G1871" s="3" t="str">
        <f>IFERROR(__xludf.DUMMYFUNCTION("REGEXREPLACE(
D1871,
""([一-龯々]+)\[([^\]]+)\]"",
""&lt;ruby&gt;$1&lt;rt&gt;$2&lt;/rt&gt;&lt;/ruby&gt;""
)&amp;""&lt;br&gt;&lt;div class=""""audio""""&gt;[sound:""&amp;C1871&amp;"".mp3]&lt;/div&gt;"""),"&lt;ruby&gt;掲&lt;rt&gt;かか&lt;/rt&gt;&lt;/ruby&gt;げる&lt;br&gt;&lt;div class=""audio""&gt;[sound:かかげる.mp3]&lt;/div&gt;")</f>
        <v>&lt;ruby&gt;掲&lt;rt&gt;かか&lt;/rt&gt;&lt;/ruby&gt;げる&lt;br&gt;&lt;div class="audio"&gt;[sound:かかげる.mp3]&lt;/div&gt;</v>
      </c>
      <c r="H1871" s="3" t="str">
        <f t="shared" si="1"/>
        <v>(v): treo</v>
      </c>
      <c r="I1871" s="6" t="s">
        <v>10238</v>
      </c>
      <c r="J1871" s="6" t="s">
        <v>10239</v>
      </c>
      <c r="K1871" s="7">
        <f t="shared" si="2"/>
        <v>0.4490116958</v>
      </c>
    </row>
    <row r="1872">
      <c r="A1872" s="4">
        <v>1872.0</v>
      </c>
      <c r="B1872" s="5" t="s">
        <v>10240</v>
      </c>
      <c r="C1872" s="5" t="s">
        <v>10241</v>
      </c>
      <c r="D1872" s="5" t="s">
        <v>10242</v>
      </c>
      <c r="E1872" s="6" t="s">
        <v>74</v>
      </c>
      <c r="F1872" s="6" t="s">
        <v>10243</v>
      </c>
      <c r="G1872" s="3" t="str">
        <f>IFERROR(__xludf.DUMMYFUNCTION("REGEXREPLACE(
D1872,
""([一-龯々]+)\[([^\]]+)\]"",
""&lt;ruby&gt;$1&lt;rt&gt;$2&lt;/rt&gt;&lt;/ruby&gt;""
)&amp;""&lt;br&gt;&lt;div class=""""audio""""&gt;[sound:""&amp;C1872&amp;"".mp3]&lt;/div&gt;"""),"&lt;ruby&gt;合同&lt;rt&gt;ごうどう&lt;/rt&gt;&lt;/ruby&gt;&lt;br&gt;&lt;div class=""audio""&gt;[sound:ごうどう.mp3]&lt;/div&gt;")</f>
        <v>&lt;ruby&gt;合同&lt;rt&gt;ごうどう&lt;/rt&gt;&lt;/ruby&gt;&lt;br&gt;&lt;div class="audio"&gt;[sound:ごうどう.mp3]&lt;/div&gt;</v>
      </c>
      <c r="H1872" s="3" t="str">
        <f t="shared" si="1"/>
        <v>(n): hợp nhất</v>
      </c>
      <c r="I1872" s="6" t="s">
        <v>10244</v>
      </c>
      <c r="J1872" s="6" t="s">
        <v>10245</v>
      </c>
      <c r="K1872" s="7">
        <f t="shared" si="2"/>
        <v>0.3719268437</v>
      </c>
    </row>
    <row r="1873">
      <c r="A1873" s="4">
        <v>1873.0</v>
      </c>
      <c r="B1873" s="5" t="s">
        <v>10246</v>
      </c>
      <c r="C1873" s="5" t="s">
        <v>10247</v>
      </c>
      <c r="D1873" s="5" t="s">
        <v>10248</v>
      </c>
      <c r="E1873" s="6" t="s">
        <v>11</v>
      </c>
      <c r="F1873" s="6" t="s">
        <v>3887</v>
      </c>
      <c r="G1873" s="3" t="str">
        <f>IFERROR(__xludf.DUMMYFUNCTION("REGEXREPLACE(
D1873,
""([一-龯々]+)\[([^\]]+)\]"",
""&lt;ruby&gt;$1&lt;rt&gt;$2&lt;/rt&gt;&lt;/ruby&gt;""
)&amp;""&lt;br&gt;&lt;div class=""""audio""""&gt;[sound:""&amp;C1873&amp;"".mp3]&lt;/div&gt;"""),"&lt;ruby&gt;有名&lt;rt&gt;ゆうめい&lt;/rt&gt;&lt;/ruby&gt;&lt;br&gt;&lt;div class=""audio""&gt;[sound:ゆうめい.mp3]&lt;/div&gt;")</f>
        <v>&lt;ruby&gt;有名&lt;rt&gt;ゆうめい&lt;/rt&gt;&lt;/ruby&gt;&lt;br&gt;&lt;div class="audio"&gt;[sound:ゆうめい.mp3]&lt;/div&gt;</v>
      </c>
      <c r="H1873" s="3" t="str">
        <f t="shared" si="1"/>
        <v>(adj): nổi tiếng</v>
      </c>
      <c r="I1873" s="6" t="s">
        <v>10249</v>
      </c>
      <c r="J1873" s="6" t="s">
        <v>10250</v>
      </c>
      <c r="K1873" s="7">
        <f t="shared" si="2"/>
        <v>0.4107620652</v>
      </c>
    </row>
    <row r="1874">
      <c r="A1874" s="4">
        <v>1874.0</v>
      </c>
      <c r="B1874" s="5" t="s">
        <v>10251</v>
      </c>
      <c r="C1874" s="5" t="s">
        <v>10252</v>
      </c>
      <c r="D1874" s="5" t="s">
        <v>10253</v>
      </c>
      <c r="E1874" s="6" t="s">
        <v>74</v>
      </c>
      <c r="F1874" s="6" t="s">
        <v>10254</v>
      </c>
      <c r="G1874" s="3" t="str">
        <f>IFERROR(__xludf.DUMMYFUNCTION("REGEXREPLACE(
D1874,
""([一-龯々]+)\[([^\]]+)\]"",
""&lt;ruby&gt;$1&lt;rt&gt;$2&lt;/rt&gt;&lt;/ruby&gt;""
)&amp;""&lt;br&gt;&lt;div class=""""audio""""&gt;[sound:""&amp;C1874&amp;"".mp3]&lt;/div&gt;"""),"&lt;ruby&gt;検討&lt;rt&gt;けんとう&lt;/rt&gt;&lt;/ruby&gt;&lt;br&gt;&lt;div class=""audio""&gt;[sound:けんとう.mp3]&lt;/div&gt;")</f>
        <v>&lt;ruby&gt;検討&lt;rt&gt;けんとう&lt;/rt&gt;&lt;/ruby&gt;&lt;br&gt;&lt;div class="audio"&gt;[sound:けんとう.mp3]&lt;/div&gt;</v>
      </c>
      <c r="H1874" s="3" t="str">
        <f t="shared" si="1"/>
        <v>(n): xem xét</v>
      </c>
      <c r="I1874" s="6" t="s">
        <v>10255</v>
      </c>
      <c r="J1874" s="6" t="s">
        <v>10256</v>
      </c>
      <c r="K1874" s="7">
        <f t="shared" si="2"/>
        <v>0.4585694698</v>
      </c>
    </row>
    <row r="1875">
      <c r="A1875" s="4">
        <v>1875.0</v>
      </c>
      <c r="B1875" s="5" t="s">
        <v>10257</v>
      </c>
      <c r="C1875" s="5" t="s">
        <v>10258</v>
      </c>
      <c r="D1875" s="5" t="s">
        <v>10259</v>
      </c>
      <c r="E1875" s="6" t="s">
        <v>24</v>
      </c>
      <c r="F1875" s="6" t="s">
        <v>10260</v>
      </c>
      <c r="G1875" s="3" t="str">
        <f>IFERROR(__xludf.DUMMYFUNCTION("REGEXREPLACE(
D1875,
""([一-龯々]+)\[([^\]]+)\]"",
""&lt;ruby&gt;$1&lt;rt&gt;$2&lt;/rt&gt;&lt;/ruby&gt;""
)&amp;""&lt;br&gt;&lt;div class=""""audio""""&gt;[sound:""&amp;C1875&amp;"".mp3]&lt;/div&gt;"""),"&lt;ruby&gt;比&lt;rt&gt;くら&lt;/rt&gt;&lt;/ruby&gt;べる&lt;br&gt;&lt;div class=""audio""&gt;[sound:くらべる.mp3]&lt;/div&gt;")</f>
        <v>&lt;ruby&gt;比&lt;rt&gt;くら&lt;/rt&gt;&lt;/ruby&gt;べる&lt;br&gt;&lt;div class="audio"&gt;[sound:くらべる.mp3]&lt;/div&gt;</v>
      </c>
      <c r="H1875" s="3" t="str">
        <f t="shared" si="1"/>
        <v>(v): so sánh</v>
      </c>
      <c r="I1875" s="6" t="s">
        <v>10261</v>
      </c>
      <c r="J1875" s="6" t="s">
        <v>10262</v>
      </c>
      <c r="K1875" s="7">
        <f t="shared" si="2"/>
        <v>0.9599463451</v>
      </c>
    </row>
    <row r="1876">
      <c r="A1876" s="4">
        <v>1876.0</v>
      </c>
      <c r="B1876" s="5" t="s">
        <v>10263</v>
      </c>
      <c r="C1876" s="5" t="s">
        <v>1994</v>
      </c>
      <c r="D1876" s="5" t="s">
        <v>10264</v>
      </c>
      <c r="E1876" s="6" t="s">
        <v>74</v>
      </c>
      <c r="F1876" s="6" t="s">
        <v>10265</v>
      </c>
      <c r="G1876" s="3" t="str">
        <f>IFERROR(__xludf.DUMMYFUNCTION("REGEXREPLACE(
D1876,
""([一-龯々]+)\[([^\]]+)\]"",
""&lt;ruby&gt;$1&lt;rt&gt;$2&lt;/rt&gt;&lt;/ruby&gt;""
)&amp;""&lt;br&gt;&lt;div class=""""audio""""&gt;[sound:""&amp;C1876&amp;"".mp3]&lt;/div&gt;"""),"&lt;ruby&gt;死&lt;rt&gt;し&lt;/rt&gt;&lt;/ruby&gt;&lt;br&gt;&lt;div class=""audio""&gt;[sound:し.mp3]&lt;/div&gt;")</f>
        <v>&lt;ruby&gt;死&lt;rt&gt;し&lt;/rt&gt;&lt;/ruby&gt;&lt;br&gt;&lt;div class="audio"&gt;[sound:し.mp3]&lt;/div&gt;</v>
      </c>
      <c r="H1876" s="3" t="str">
        <f t="shared" si="1"/>
        <v>(n): cái chết</v>
      </c>
      <c r="I1876" s="6" t="s">
        <v>10266</v>
      </c>
      <c r="J1876" s="6" t="s">
        <v>10267</v>
      </c>
      <c r="K1876" s="7">
        <f t="shared" si="2"/>
        <v>0.8473752614</v>
      </c>
    </row>
    <row r="1877">
      <c r="A1877" s="4">
        <v>1877.0</v>
      </c>
      <c r="B1877" s="5" t="s">
        <v>10268</v>
      </c>
      <c r="C1877" s="5" t="s">
        <v>10269</v>
      </c>
      <c r="D1877" s="5" t="s">
        <v>10270</v>
      </c>
      <c r="E1877" s="6" t="s">
        <v>74</v>
      </c>
      <c r="F1877" s="6" t="s">
        <v>10271</v>
      </c>
      <c r="G1877" s="3" t="str">
        <f>IFERROR(__xludf.DUMMYFUNCTION("REGEXREPLACE(
D1877,
""([一-龯々]+)\[([^\]]+)\]"",
""&lt;ruby&gt;$1&lt;rt&gt;$2&lt;/rt&gt;&lt;/ruby&gt;""
)&amp;""&lt;br&gt;&lt;div class=""""audio""""&gt;[sound:""&amp;C1877&amp;"".mp3]&lt;/div&gt;"""),"&lt;ruby&gt;新幹線&lt;rt&gt;しんかんせん&lt;/rt&gt;&lt;/ruby&gt;&lt;br&gt;&lt;div class=""audio""&gt;[sound:しんかんせん.mp3]&lt;/div&gt;")</f>
        <v>&lt;ruby&gt;新幹線&lt;rt&gt;しんかんせん&lt;/rt&gt;&lt;/ruby&gt;&lt;br&gt;&lt;div class="audio"&gt;[sound:しんかんせん.mp3]&lt;/div&gt;</v>
      </c>
      <c r="H1877" s="3" t="str">
        <f t="shared" si="1"/>
        <v>(n): tàu siêu tốc</v>
      </c>
      <c r="I1877" s="6" t="s">
        <v>10272</v>
      </c>
      <c r="J1877" s="6" t="s">
        <v>10273</v>
      </c>
      <c r="K1877" s="7">
        <f t="shared" si="2"/>
        <v>0.3717782361</v>
      </c>
    </row>
    <row r="1878">
      <c r="A1878" s="4">
        <v>1878.0</v>
      </c>
      <c r="B1878" s="5" t="s">
        <v>10274</v>
      </c>
      <c r="C1878" s="5" t="s">
        <v>2416</v>
      </c>
      <c r="D1878" s="5" t="s">
        <v>10275</v>
      </c>
      <c r="E1878" s="6" t="s">
        <v>24</v>
      </c>
      <c r="F1878" s="6" t="s">
        <v>2821</v>
      </c>
      <c r="G1878" s="3" t="str">
        <f>IFERROR(__xludf.DUMMYFUNCTION("REGEXREPLACE(
D1878,
""([一-龯々]+)\[([^\]]+)\]"",
""&lt;ruby&gt;$1&lt;rt&gt;$2&lt;/rt&gt;&lt;/ruby&gt;""
)&amp;""&lt;br&gt;&lt;div class=""""audio""""&gt;[sound:""&amp;C1878&amp;"".mp3]&lt;/div&gt;"""),"&lt;ruby&gt;暮&lt;rt&gt;く&lt;/rt&gt;&lt;/ruby&gt;らす&lt;br&gt;&lt;div class=""audio""&gt;[sound:くらす.mp3]&lt;/div&gt;")</f>
        <v>&lt;ruby&gt;暮&lt;rt&gt;く&lt;/rt&gt;&lt;/ruby&gt;らす&lt;br&gt;&lt;div class="audio"&gt;[sound:くらす.mp3]&lt;/div&gt;</v>
      </c>
      <c r="H1878" s="3" t="str">
        <f t="shared" si="1"/>
        <v>(v): sống</v>
      </c>
      <c r="I1878" s="6" t="s">
        <v>10276</v>
      </c>
      <c r="J1878" s="6" t="s">
        <v>2823</v>
      </c>
      <c r="K1878" s="7">
        <f t="shared" si="2"/>
        <v>0.5750792672</v>
      </c>
    </row>
    <row r="1879">
      <c r="A1879" s="4">
        <v>1879.0</v>
      </c>
      <c r="B1879" s="5" t="s">
        <v>10277</v>
      </c>
      <c r="C1879" s="5" t="s">
        <v>10278</v>
      </c>
      <c r="D1879" s="5" t="s">
        <v>10279</v>
      </c>
      <c r="E1879" s="6" t="s">
        <v>24</v>
      </c>
      <c r="F1879" s="6" t="s">
        <v>10280</v>
      </c>
      <c r="G1879" s="3" t="str">
        <f>IFERROR(__xludf.DUMMYFUNCTION("REGEXREPLACE(
D1879,
""([一-龯々]+)\[([^\]]+)\]"",
""&lt;ruby&gt;$1&lt;rt&gt;$2&lt;/rt&gt;&lt;/ruby&gt;""
)&amp;""&lt;br&gt;&lt;div class=""""audio""""&gt;[sound:""&amp;C1879&amp;"".mp3]&lt;/div&gt;"""),"&lt;ruby&gt;察&lt;rt&gt;さっ&lt;/rt&gt;&lt;/ruby&gt;する&lt;br&gt;&lt;div class=""audio""&gt;[sound:さっする.mp3]&lt;/div&gt;")</f>
        <v>&lt;ruby&gt;察&lt;rt&gt;さっ&lt;/rt&gt;&lt;/ruby&gt;する&lt;br&gt;&lt;div class="audio"&gt;[sound:さっする.mp3]&lt;/div&gt;</v>
      </c>
      <c r="H1879" s="3" t="str">
        <f t="shared" si="1"/>
        <v>(v): cảm nhận</v>
      </c>
      <c r="I1879" s="6" t="s">
        <v>10281</v>
      </c>
      <c r="J1879" s="6" t="s">
        <v>10282</v>
      </c>
      <c r="K1879" s="7">
        <f t="shared" si="2"/>
        <v>0.4769215593</v>
      </c>
    </row>
    <row r="1880">
      <c r="A1880" s="4">
        <v>1880.0</v>
      </c>
      <c r="B1880" s="5" t="s">
        <v>10283</v>
      </c>
      <c r="C1880" s="5" t="s">
        <v>10284</v>
      </c>
      <c r="D1880" s="5" t="s">
        <v>10285</v>
      </c>
      <c r="E1880" s="6" t="s">
        <v>74</v>
      </c>
      <c r="F1880" s="6" t="s">
        <v>2314</v>
      </c>
      <c r="G1880" s="3" t="str">
        <f>IFERROR(__xludf.DUMMYFUNCTION("REGEXREPLACE(
D1880,
""([一-龯々]+)\[([^\]]+)\]"",
""&lt;ruby&gt;$1&lt;rt&gt;$2&lt;/rt&gt;&lt;/ruby&gt;""
)&amp;""&lt;br&gt;&lt;div class=""""audio""""&gt;[sound:""&amp;C1880&amp;"".mp3]&lt;/div&gt;"""),"お&lt;ruby&gt;喋&lt;rt&gt;しゃべ&lt;/rt&gt;&lt;/ruby&gt;り&lt;br&gt;&lt;div class=""audio""&gt;[sound:おしゃべり.mp3]&lt;/div&gt;")</f>
        <v>お&lt;ruby&gt;喋&lt;rt&gt;しゃべ&lt;/rt&gt;&lt;/ruby&gt;り&lt;br&gt;&lt;div class="audio"&gt;[sound:おしゃべり.mp3]&lt;/div&gt;</v>
      </c>
      <c r="H1880" s="3" t="str">
        <f t="shared" si="1"/>
        <v>(n): nói chuyện</v>
      </c>
      <c r="I1880" s="6" t="s">
        <v>10286</v>
      </c>
      <c r="J1880" s="6" t="s">
        <v>10287</v>
      </c>
      <c r="K1880" s="7">
        <f t="shared" si="2"/>
        <v>0.1625592577</v>
      </c>
    </row>
    <row r="1881">
      <c r="A1881" s="4">
        <v>1881.0</v>
      </c>
      <c r="B1881" s="5" t="s">
        <v>10288</v>
      </c>
      <c r="C1881" s="5" t="s">
        <v>10289</v>
      </c>
      <c r="D1881" s="5" t="s">
        <v>10290</v>
      </c>
      <c r="E1881" s="6" t="s">
        <v>11</v>
      </c>
      <c r="F1881" s="6" t="s">
        <v>10291</v>
      </c>
      <c r="G1881" s="3" t="str">
        <f>IFERROR(__xludf.DUMMYFUNCTION("REGEXREPLACE(
D1881,
""([一-龯々]+)\[([^\]]+)\]"",
""&lt;ruby&gt;$1&lt;rt&gt;$2&lt;/rt&gt;&lt;/ruby&gt;""
)&amp;""&lt;br&gt;&lt;div class=""""audio""""&gt;[sound:""&amp;C1881&amp;"".mp3]&lt;/div&gt;"""),"お&lt;ruby&gt;洒落&lt;rt&gt;しゃれ&lt;/rt&gt;&lt;/ruby&gt;&lt;br&gt;&lt;div class=""audio""&gt;[sound:おしゃれ.mp3]&lt;/div&gt;")</f>
        <v>お&lt;ruby&gt;洒落&lt;rt&gt;しゃれ&lt;/rt&gt;&lt;/ruby&gt;&lt;br&gt;&lt;div class="audio"&gt;[sound:おしゃれ.mp3]&lt;/div&gt;</v>
      </c>
      <c r="H1881" s="3" t="str">
        <f t="shared" si="1"/>
        <v>(adj): thời trang</v>
      </c>
      <c r="I1881" s="6" t="s">
        <v>10292</v>
      </c>
      <c r="J1881" s="6" t="s">
        <v>10293</v>
      </c>
      <c r="K1881" s="7">
        <f t="shared" si="2"/>
        <v>0.5667988206</v>
      </c>
    </row>
    <row r="1882">
      <c r="A1882" s="4">
        <v>1882.0</v>
      </c>
      <c r="B1882" s="5" t="s">
        <v>10294</v>
      </c>
      <c r="C1882" s="5" t="s">
        <v>491</v>
      </c>
      <c r="D1882" s="5" t="s">
        <v>10295</v>
      </c>
      <c r="E1882" s="6" t="s">
        <v>44</v>
      </c>
      <c r="F1882" s="6" t="s">
        <v>492</v>
      </c>
      <c r="G1882" s="3" t="str">
        <f>IFERROR(__xludf.DUMMYFUNCTION("REGEXREPLACE(
D1882,
""([一-龯々]+)\[([^\]]+)\]"",
""&lt;ruby&gt;$1&lt;rt&gt;$2&lt;/rt&gt;&lt;/ruby&gt;""
)&amp;""&lt;br&gt;&lt;div class=""""audio""""&gt;[sound:""&amp;C1882&amp;"".mp3]&lt;/div&gt;"""),"&lt;ruby&gt;皆&lt;rt&gt;みんな&lt;/rt&gt;&lt;/ruby&gt;&lt;br&gt;&lt;div class=""audio""&gt;[sound:みんな.mp3]&lt;/div&gt;")</f>
        <v>&lt;ruby&gt;皆&lt;rt&gt;みんな&lt;/rt&gt;&lt;/ruby&gt;&lt;br&gt;&lt;div class="audio"&gt;[sound:みんな.mp3]&lt;/div&gt;</v>
      </c>
      <c r="H1882" s="3" t="str">
        <f t="shared" si="1"/>
        <v>(pron): mọi người</v>
      </c>
      <c r="I1882" s="6" t="s">
        <v>10296</v>
      </c>
      <c r="J1882" s="6" t="s">
        <v>10297</v>
      </c>
      <c r="K1882" s="7">
        <f t="shared" si="2"/>
        <v>0.901287782</v>
      </c>
    </row>
    <row r="1883">
      <c r="A1883" s="4">
        <v>1883.0</v>
      </c>
      <c r="B1883" s="5" t="s">
        <v>10298</v>
      </c>
      <c r="C1883" s="5" t="s">
        <v>10299</v>
      </c>
      <c r="D1883" s="5" t="s">
        <v>10300</v>
      </c>
      <c r="E1883" s="6" t="s">
        <v>74</v>
      </c>
      <c r="F1883" s="6" t="s">
        <v>5366</v>
      </c>
      <c r="G1883" s="3" t="str">
        <f>IFERROR(__xludf.DUMMYFUNCTION("REGEXREPLACE(
D1883,
""([一-龯々]+)\[([^\]]+)\]"",
""&lt;ruby&gt;$1&lt;rt&gt;$2&lt;/rt&gt;&lt;/ruby&gt;""
)&amp;""&lt;br&gt;&lt;div class=""""audio""""&gt;[sound:""&amp;C1883&amp;"".mp3]&lt;/div&gt;"""),"お&lt;ruby&gt;出掛&lt;rt&gt;でか&lt;/rt&gt;&lt;/ruby&gt;け&lt;br&gt;&lt;div class=""audio""&gt;[sound:おでかけ.mp3]&lt;/div&gt;")</f>
        <v>お&lt;ruby&gt;出掛&lt;rt&gt;でか&lt;/rt&gt;&lt;/ruby&gt;け&lt;br&gt;&lt;div class="audio"&gt;[sound:おでかけ.mp3]&lt;/div&gt;</v>
      </c>
      <c r="H1883" s="3" t="str">
        <f t="shared" si="1"/>
        <v>(n): ra ngoài</v>
      </c>
      <c r="I1883" s="6" t="s">
        <v>10301</v>
      </c>
      <c r="J1883" s="6" t="s">
        <v>10302</v>
      </c>
      <c r="K1883" s="7">
        <f t="shared" si="2"/>
        <v>0.849075633</v>
      </c>
    </row>
    <row r="1884">
      <c r="A1884" s="4">
        <v>1884.0</v>
      </c>
      <c r="B1884" s="5" t="s">
        <v>10303</v>
      </c>
      <c r="C1884" s="5" t="s">
        <v>10304</v>
      </c>
      <c r="D1884" s="5" t="s">
        <v>10305</v>
      </c>
      <c r="E1884" s="6" t="s">
        <v>11</v>
      </c>
      <c r="F1884" s="6" t="s">
        <v>10306</v>
      </c>
      <c r="G1884" s="3" t="str">
        <f>IFERROR(__xludf.DUMMYFUNCTION("REGEXREPLACE(
D1884,
""([一-龯々]+)\[([^\]]+)\]"",
""&lt;ruby&gt;$1&lt;rt&gt;$2&lt;/rt&gt;&lt;/ruby&gt;""
)&amp;""&lt;br&gt;&lt;div class=""""audio""""&gt;[sound:""&amp;C1884&amp;"".mp3]&lt;/div&gt;"""),"&lt;ruby&gt;辛&lt;rt&gt;つら&lt;/rt&gt;&lt;/ruby&gt;い&lt;br&gt;&lt;div class=""audio""&gt;[sound:つらい.mp3]&lt;/div&gt;")</f>
        <v>&lt;ruby&gt;辛&lt;rt&gt;つら&lt;/rt&gt;&lt;/ruby&gt;い&lt;br&gt;&lt;div class="audio"&gt;[sound:つらい.mp3]&lt;/div&gt;</v>
      </c>
      <c r="H1884" s="3" t="str">
        <f t="shared" si="1"/>
        <v>(adj): cay</v>
      </c>
      <c r="I1884" s="6" t="s">
        <v>10307</v>
      </c>
      <c r="J1884" s="6" t="s">
        <v>10308</v>
      </c>
      <c r="K1884" s="7">
        <f t="shared" si="2"/>
        <v>0.0765672049</v>
      </c>
    </row>
    <row r="1885">
      <c r="A1885" s="4">
        <v>1885.0</v>
      </c>
      <c r="B1885" s="5" t="s">
        <v>10309</v>
      </c>
      <c r="C1885" s="5" t="s">
        <v>10310</v>
      </c>
      <c r="D1885" s="5" t="s">
        <v>10311</v>
      </c>
      <c r="E1885" s="6" t="s">
        <v>74</v>
      </c>
      <c r="F1885" s="6" t="s">
        <v>10312</v>
      </c>
      <c r="G1885" s="3" t="str">
        <f>IFERROR(__xludf.DUMMYFUNCTION("REGEXREPLACE(
D1885,
""([一-龯々]+)\[([^\]]+)\]"",
""&lt;ruby&gt;$1&lt;rt&gt;$2&lt;/rt&gt;&lt;/ruby&gt;""
)&amp;""&lt;br&gt;&lt;div class=""""audio""""&gt;[sound:""&amp;C1885&amp;"".mp3]&lt;/div&gt;"""),"お&lt;ruby&gt;帰&lt;rt&gt;かえ&lt;/rt&gt;&lt;/ruby&gt;り&lt;br&gt;&lt;div class=""audio""&gt;[sound:おかえり.mp3]&lt;/div&gt;")</f>
        <v>お&lt;ruby&gt;帰&lt;rt&gt;かえ&lt;/rt&gt;&lt;/ruby&gt;り&lt;br&gt;&lt;div class="audio"&gt;[sound:おかえり.mp3]&lt;/div&gt;</v>
      </c>
      <c r="H1885" s="3" t="str">
        <f t="shared" si="1"/>
        <v>(n): trở về</v>
      </c>
      <c r="I1885" s="6" t="s">
        <v>10313</v>
      </c>
      <c r="J1885" s="6" t="s">
        <v>10314</v>
      </c>
      <c r="K1885" s="7">
        <f t="shared" si="2"/>
        <v>0.898354071</v>
      </c>
    </row>
    <row r="1886">
      <c r="A1886" s="4">
        <v>1886.0</v>
      </c>
      <c r="B1886" s="5" t="s">
        <v>10315</v>
      </c>
      <c r="C1886" s="5" t="s">
        <v>10316</v>
      </c>
      <c r="D1886" s="5" t="s">
        <v>10317</v>
      </c>
      <c r="E1886" s="6" t="s">
        <v>74</v>
      </c>
      <c r="F1886" s="6" t="s">
        <v>10318</v>
      </c>
      <c r="G1886" s="3" t="str">
        <f>IFERROR(__xludf.DUMMYFUNCTION("REGEXREPLACE(
D1886,
""([一-龯々]+)\[([^\]]+)\]"",
""&lt;ruby&gt;$1&lt;rt&gt;$2&lt;/rt&gt;&lt;/ruby&gt;""
)&amp;""&lt;br&gt;&lt;div class=""""audio""""&gt;[sound:""&amp;C1886&amp;"".mp3]&lt;/div&gt;"""),"&lt;ruby&gt;生&lt;rt&gt;なま&lt;/rt&gt;&lt;/ruby&gt;&lt;br&gt;&lt;div class=""audio""&gt;[sound:なま.mp3]&lt;/div&gt;")</f>
        <v>&lt;ruby&gt;生&lt;rt&gt;なま&lt;/rt&gt;&lt;/ruby&gt;&lt;br&gt;&lt;div class="audio"&gt;[sound:なま.mp3]&lt;/div&gt;</v>
      </c>
      <c r="H1886" s="3" t="str">
        <f t="shared" si="1"/>
        <v>(n): tươi sống</v>
      </c>
      <c r="I1886" s="6" t="s">
        <v>10319</v>
      </c>
      <c r="J1886" s="6" t="s">
        <v>10320</v>
      </c>
      <c r="K1886" s="7">
        <f t="shared" si="2"/>
        <v>0.6413237643</v>
      </c>
    </row>
    <row r="1887">
      <c r="A1887" s="4">
        <v>1887.0</v>
      </c>
      <c r="B1887" s="5" t="s">
        <v>10321</v>
      </c>
      <c r="C1887" s="5" t="s">
        <v>10322</v>
      </c>
      <c r="D1887" s="5" t="s">
        <v>10323</v>
      </c>
      <c r="E1887" s="6" t="s">
        <v>74</v>
      </c>
      <c r="F1887" s="6" t="s">
        <v>10324</v>
      </c>
      <c r="G1887" s="3" t="str">
        <f>IFERROR(__xludf.DUMMYFUNCTION("REGEXREPLACE(
D1887,
""([一-龯々]+)\[([^\]]+)\]"",
""&lt;ruby&gt;$1&lt;rt&gt;$2&lt;/rt&gt;&lt;/ruby&gt;""
)&amp;""&lt;br&gt;&lt;div class=""""audio""""&gt;[sound:""&amp;C1887&amp;"".mp3]&lt;/div&gt;"""),"お&lt;ruby&gt;参&lt;rt&gt;まい&lt;/rt&gt;&lt;/ruby&gt;り&lt;br&gt;&lt;div class=""audio""&gt;[sound:おまいり.mp3]&lt;/div&gt;")</f>
        <v>お&lt;ruby&gt;参&lt;rt&gt;まい&lt;/rt&gt;&lt;/ruby&gt;り&lt;br&gt;&lt;div class="audio"&gt;[sound:おまいり.mp3]&lt;/div&gt;</v>
      </c>
      <c r="H1887" s="3" t="str">
        <f t="shared" si="1"/>
        <v>(n): đi lễ</v>
      </c>
      <c r="I1887" s="6" t="s">
        <v>10325</v>
      </c>
      <c r="J1887" s="6" t="s">
        <v>10326</v>
      </c>
      <c r="K1887" s="7">
        <f t="shared" si="2"/>
        <v>0.8152851451</v>
      </c>
    </row>
    <row r="1888">
      <c r="A1888" s="4">
        <v>1888.0</v>
      </c>
      <c r="B1888" s="5" t="s">
        <v>10327</v>
      </c>
      <c r="C1888" s="5" t="s">
        <v>10328</v>
      </c>
      <c r="D1888" s="5" t="s">
        <v>10329</v>
      </c>
      <c r="E1888" s="6" t="s">
        <v>74</v>
      </c>
      <c r="F1888" s="6" t="s">
        <v>10330</v>
      </c>
      <c r="G1888" s="3" t="str">
        <f>IFERROR(__xludf.DUMMYFUNCTION("REGEXREPLACE(
D1888,
""([一-龯々]+)\[([^\]]+)\]"",
""&lt;ruby&gt;$1&lt;rt&gt;$2&lt;/rt&gt;&lt;/ruby&gt;""
)&amp;""&lt;br&gt;&lt;div class=""""audio""""&gt;[sound:""&amp;C1888&amp;"".mp3]&lt;/div&gt;"""),"お&lt;ruby&gt;皿&lt;rt&gt;さら&lt;/rt&gt;&lt;/ruby&gt;&lt;br&gt;&lt;div class=""audio""&gt;[sound:おさら.mp3]&lt;/div&gt;")</f>
        <v>お&lt;ruby&gt;皿&lt;rt&gt;さら&lt;/rt&gt;&lt;/ruby&gt;&lt;br&gt;&lt;div class="audio"&gt;[sound:おさら.mp3]&lt;/div&gt;</v>
      </c>
      <c r="H1888" s="3" t="str">
        <f t="shared" si="1"/>
        <v>(n): đĩa</v>
      </c>
      <c r="I1888" s="6" t="s">
        <v>10331</v>
      </c>
      <c r="J1888" s="6" t="s">
        <v>10332</v>
      </c>
      <c r="K1888" s="7">
        <f t="shared" si="2"/>
        <v>0.5460281552</v>
      </c>
    </row>
    <row r="1889">
      <c r="A1889" s="4">
        <v>1889.0</v>
      </c>
      <c r="B1889" s="5" t="s">
        <v>10333</v>
      </c>
      <c r="C1889" s="5" t="s">
        <v>10334</v>
      </c>
      <c r="D1889" s="5" t="s">
        <v>10335</v>
      </c>
      <c r="E1889" s="6" t="s">
        <v>74</v>
      </c>
      <c r="F1889" s="6" t="s">
        <v>10336</v>
      </c>
      <c r="G1889" s="3" t="str">
        <f>IFERROR(__xludf.DUMMYFUNCTION("REGEXREPLACE(
D1889,
""([一-龯々]+)\[([^\]]+)\]"",
""&lt;ruby&gt;$1&lt;rt&gt;$2&lt;/rt&gt;&lt;/ruby&gt;""
)&amp;""&lt;br&gt;&lt;div class=""""audio""""&gt;[sound:""&amp;C1889&amp;"".mp3]&lt;/div&gt;"""),"&lt;ruby&gt;主&lt;rt&gt;ぬし&lt;/rt&gt;&lt;/ruby&gt;&lt;br&gt;&lt;div class=""audio""&gt;[sound:ぬし.mp3]&lt;/div&gt;")</f>
        <v>&lt;ruby&gt;主&lt;rt&gt;ぬし&lt;/rt&gt;&lt;/ruby&gt;&lt;br&gt;&lt;div class="audio"&gt;[sound:ぬし.mp3]&lt;/div&gt;</v>
      </c>
      <c r="H1889" s="3" t="str">
        <f t="shared" si="1"/>
        <v>(n): chủ</v>
      </c>
      <c r="I1889" s="6" t="s">
        <v>10337</v>
      </c>
      <c r="J1889" s="6" t="s">
        <v>10338</v>
      </c>
      <c r="K1889" s="7">
        <f t="shared" si="2"/>
        <v>0.4317502567</v>
      </c>
    </row>
    <row r="1890">
      <c r="A1890" s="4">
        <v>1890.0</v>
      </c>
      <c r="B1890" s="5" t="s">
        <v>10339</v>
      </c>
      <c r="C1890" s="5" t="s">
        <v>10340</v>
      </c>
      <c r="D1890" s="5" t="s">
        <v>10341</v>
      </c>
      <c r="E1890" s="6" t="s">
        <v>74</v>
      </c>
      <c r="F1890" s="6" t="s">
        <v>10342</v>
      </c>
      <c r="G1890" s="3" t="str">
        <f>IFERROR(__xludf.DUMMYFUNCTION("REGEXREPLACE(
D1890,
""([一-龯々]+)\[([^\]]+)\]"",
""&lt;ruby&gt;$1&lt;rt&gt;$2&lt;/rt&gt;&lt;/ruby&gt;""
)&amp;""&lt;br&gt;&lt;div class=""""audio""""&gt;[sound:""&amp;C1890&amp;"".mp3]&lt;/div&gt;"""),"&lt;ruby&gt;非常&lt;rt&gt;ひじょう&lt;/rt&gt;&lt;/ruby&gt;&lt;br&gt;&lt;div class=""audio""&gt;[sound:ひじょう.mp3]&lt;/div&gt;")</f>
        <v>&lt;ruby&gt;非常&lt;rt&gt;ひじょう&lt;/rt&gt;&lt;/ruby&gt;&lt;br&gt;&lt;div class="audio"&gt;[sound:ひじょう.mp3]&lt;/div&gt;</v>
      </c>
      <c r="H1890" s="3" t="str">
        <f t="shared" si="1"/>
        <v>(n): khẩn cấp</v>
      </c>
      <c r="I1890" s="6" t="s">
        <v>10343</v>
      </c>
      <c r="J1890" s="6" t="s">
        <v>10344</v>
      </c>
      <c r="K1890" s="7">
        <f t="shared" si="2"/>
        <v>0.06088352592</v>
      </c>
    </row>
    <row r="1891">
      <c r="A1891" s="4">
        <v>1891.0</v>
      </c>
      <c r="B1891" s="5" t="s">
        <v>10345</v>
      </c>
      <c r="C1891" s="5" t="s">
        <v>10346</v>
      </c>
      <c r="D1891" s="5" t="s">
        <v>10347</v>
      </c>
      <c r="E1891" s="6" t="s">
        <v>74</v>
      </c>
      <c r="F1891" s="6" t="s">
        <v>10348</v>
      </c>
      <c r="G1891" s="3" t="str">
        <f>IFERROR(__xludf.DUMMYFUNCTION("REGEXREPLACE(
D1891,
""([一-龯々]+)\[([^\]]+)\]"",
""&lt;ruby&gt;$1&lt;rt&gt;$2&lt;/rt&gt;&lt;/ruby&gt;""
)&amp;""&lt;br&gt;&lt;div class=""""audio""""&gt;[sound:""&amp;C1891&amp;"".mp3]&lt;/div&gt;"""),"&lt;ruby&gt;納得&lt;rt&gt;なっとく&lt;/rt&gt;&lt;/ruby&gt;&lt;br&gt;&lt;div class=""audio""&gt;[sound:なっとく.mp3]&lt;/div&gt;")</f>
        <v>&lt;ruby&gt;納得&lt;rt&gt;なっとく&lt;/rt&gt;&lt;/ruby&gt;&lt;br&gt;&lt;div class="audio"&gt;[sound:なっとく.mp3]&lt;/div&gt;</v>
      </c>
      <c r="H1891" s="3" t="str">
        <f t="shared" si="1"/>
        <v>(n): thuyết phục</v>
      </c>
      <c r="I1891" s="6" t="s">
        <v>10349</v>
      </c>
      <c r="J1891" s="6" t="s">
        <v>10350</v>
      </c>
      <c r="K1891" s="7">
        <f t="shared" si="2"/>
        <v>0.8775329207</v>
      </c>
    </row>
    <row r="1892">
      <c r="A1892" s="4">
        <v>1892.0</v>
      </c>
      <c r="B1892" s="5" t="s">
        <v>10351</v>
      </c>
      <c r="C1892" s="5" t="s">
        <v>10352</v>
      </c>
      <c r="D1892" s="5" t="s">
        <v>10353</v>
      </c>
      <c r="E1892" s="6" t="s">
        <v>74</v>
      </c>
      <c r="F1892" s="6" t="s">
        <v>10354</v>
      </c>
      <c r="G1892" s="3" t="str">
        <f>IFERROR(__xludf.DUMMYFUNCTION("REGEXREPLACE(
D1892,
""([一-龯々]+)\[([^\]]+)\]"",
""&lt;ruby&gt;$1&lt;rt&gt;$2&lt;/rt&gt;&lt;/ruby&gt;""
)&amp;""&lt;br&gt;&lt;div class=""""audio""""&gt;[sound:""&amp;C1892&amp;"".mp3]&lt;/div&gt;"""),"&lt;ruby&gt;神経&lt;rt&gt;しんけい&lt;/rt&gt;&lt;/ruby&gt;&lt;br&gt;&lt;div class=""audio""&gt;[sound:しんけい.mp3]&lt;/div&gt;")</f>
        <v>&lt;ruby&gt;神経&lt;rt&gt;しんけい&lt;/rt&gt;&lt;/ruby&gt;&lt;br&gt;&lt;div class="audio"&gt;[sound:しんけい.mp3]&lt;/div&gt;</v>
      </c>
      <c r="H1892" s="3" t="str">
        <f t="shared" si="1"/>
        <v>(n): thần kinh</v>
      </c>
      <c r="I1892" s="6" t="s">
        <v>10355</v>
      </c>
      <c r="J1892" s="6" t="s">
        <v>10356</v>
      </c>
      <c r="K1892" s="7">
        <f t="shared" si="2"/>
        <v>0.1881597482</v>
      </c>
    </row>
    <row r="1893">
      <c r="A1893" s="4">
        <v>1893.0</v>
      </c>
      <c r="B1893" s="5" t="s">
        <v>10357</v>
      </c>
      <c r="C1893" s="5" t="s">
        <v>10357</v>
      </c>
      <c r="D1893" s="5" t="s">
        <v>10357</v>
      </c>
      <c r="E1893" s="6" t="s">
        <v>85</v>
      </c>
      <c r="F1893" s="6" t="s">
        <v>10358</v>
      </c>
      <c r="G1893" s="3" t="str">
        <f>IFERROR(__xludf.DUMMYFUNCTION("REGEXREPLACE(
D1893,
""([一-龯々]+)\[([^\]]+)\]"",
""&lt;ruby&gt;$1&lt;rt&gt;$2&lt;/rt&gt;&lt;/ruby&gt;""
)&amp;""&lt;br&gt;&lt;div class=""""audio""""&gt;[sound:""&amp;C1893&amp;"".mp3]&lt;/div&gt;"""),"いずれ&lt;br&gt;&lt;div class=""audio""&gt;[sound:いずれ.mp3]&lt;/div&gt;")</f>
        <v>いずれ&lt;br&gt;&lt;div class="audio"&gt;[sound:いずれ.mp3]&lt;/div&gt;</v>
      </c>
      <c r="H1893" s="3" t="str">
        <f t="shared" si="1"/>
        <v>(adv): sớm muộn</v>
      </c>
      <c r="I1893" s="6" t="s">
        <v>10359</v>
      </c>
      <c r="J1893" s="6" t="s">
        <v>10360</v>
      </c>
      <c r="K1893" s="7">
        <f t="shared" si="2"/>
        <v>0.8552013881</v>
      </c>
    </row>
    <row r="1894">
      <c r="A1894" s="4">
        <v>1894.0</v>
      </c>
      <c r="B1894" s="5" t="s">
        <v>10361</v>
      </c>
      <c r="C1894" s="5" t="s">
        <v>10362</v>
      </c>
      <c r="D1894" s="5" t="s">
        <v>10363</v>
      </c>
      <c r="E1894" s="6" t="s">
        <v>74</v>
      </c>
      <c r="F1894" s="6" t="s">
        <v>3684</v>
      </c>
      <c r="G1894" s="3" t="str">
        <f>IFERROR(__xludf.DUMMYFUNCTION("REGEXREPLACE(
D1894,
""([一-龯々]+)\[([^\]]+)\]"",
""&lt;ruby&gt;$1&lt;rt&gt;$2&lt;/rt&gt;&lt;/ruby&gt;""
)&amp;""&lt;br&gt;&lt;div class=""""audio""""&gt;[sound:""&amp;C1894&amp;"".mp3]&lt;/div&gt;"""),"&lt;ruby&gt;緊張&lt;rt&gt;きんちょう&lt;/rt&gt;&lt;/ruby&gt;&lt;br&gt;&lt;div class=""audio""&gt;[sound:きんちょう.mp3]&lt;/div&gt;")</f>
        <v>&lt;ruby&gt;緊張&lt;rt&gt;きんちょう&lt;/rt&gt;&lt;/ruby&gt;&lt;br&gt;&lt;div class="audio"&gt;[sound:きんちょう.mp3]&lt;/div&gt;</v>
      </c>
      <c r="H1894" s="3" t="str">
        <f t="shared" si="1"/>
        <v>(n): căng thẳng</v>
      </c>
      <c r="I1894" s="6" t="s">
        <v>10364</v>
      </c>
      <c r="J1894" s="6" t="s">
        <v>10365</v>
      </c>
      <c r="K1894" s="7">
        <f t="shared" si="2"/>
        <v>0.675962497</v>
      </c>
    </row>
    <row r="1895">
      <c r="A1895" s="4">
        <v>1895.0</v>
      </c>
      <c r="B1895" s="5" t="s">
        <v>10366</v>
      </c>
      <c r="C1895" s="5" t="s">
        <v>10367</v>
      </c>
      <c r="D1895" s="5" t="s">
        <v>10366</v>
      </c>
      <c r="E1895" s="6" t="s">
        <v>74</v>
      </c>
      <c r="F1895" s="6" t="s">
        <v>10368</v>
      </c>
      <c r="G1895" s="3" t="str">
        <f>IFERROR(__xludf.DUMMYFUNCTION("REGEXREPLACE(
D1895,
""([一-龯々]+)\[([^\]]+)\]"",
""&lt;ruby&gt;$1&lt;rt&gt;$2&lt;/rt&gt;&lt;/ruby&gt;""
)&amp;""&lt;br&gt;&lt;div class=""""audio""""&gt;[sound:""&amp;C1895&amp;"".mp3]&lt;/div&gt;"""),"コーチ&lt;br&gt;&lt;div class=""audio""&gt;[sound:こーち.mp3]&lt;/div&gt;")</f>
        <v>コーチ&lt;br&gt;&lt;div class="audio"&gt;[sound:こーち.mp3]&lt;/div&gt;</v>
      </c>
      <c r="H1895" s="3" t="str">
        <f t="shared" si="1"/>
        <v>(n): huấn luyện viên</v>
      </c>
      <c r="I1895" s="6" t="s">
        <v>10369</v>
      </c>
      <c r="J1895" s="6" t="s">
        <v>10370</v>
      </c>
      <c r="K1895" s="7">
        <f t="shared" si="2"/>
        <v>0.7080713766</v>
      </c>
    </row>
    <row r="1896">
      <c r="A1896" s="4">
        <v>1896.0</v>
      </c>
      <c r="B1896" s="5" t="s">
        <v>10371</v>
      </c>
      <c r="C1896" s="5" t="s">
        <v>10371</v>
      </c>
      <c r="D1896" s="5" t="s">
        <v>10371</v>
      </c>
      <c r="E1896" s="6" t="s">
        <v>85</v>
      </c>
      <c r="F1896" s="6" t="s">
        <v>2262</v>
      </c>
      <c r="G1896" s="3" t="str">
        <f>IFERROR(__xludf.DUMMYFUNCTION("REGEXREPLACE(
D1896,
""([一-龯々]+)\[([^\]]+)\]"",
""&lt;ruby&gt;$1&lt;rt&gt;$2&lt;/rt&gt;&lt;/ruby&gt;""
)&amp;""&lt;br&gt;&lt;div class=""""audio""""&gt;[sound:""&amp;C1896&amp;"".mp3]&lt;/div&gt;"""),"いよいよ&lt;br&gt;&lt;div class=""audio""&gt;[sound:いよいよ.mp3]&lt;/div&gt;")</f>
        <v>いよいよ&lt;br&gt;&lt;div class="audio"&gt;[sound:いよいよ.mp3]&lt;/div&gt;</v>
      </c>
      <c r="H1896" s="3" t="str">
        <f t="shared" si="1"/>
        <v>(adv): cuối cùng</v>
      </c>
      <c r="I1896" s="6" t="s">
        <v>10372</v>
      </c>
      <c r="J1896" s="6" t="s">
        <v>10373</v>
      </c>
      <c r="K1896" s="7">
        <f t="shared" si="2"/>
        <v>0.3084418517</v>
      </c>
    </row>
    <row r="1897">
      <c r="A1897" s="4">
        <v>1897.0</v>
      </c>
      <c r="B1897" s="5" t="s">
        <v>10374</v>
      </c>
      <c r="C1897" s="5" t="s">
        <v>10374</v>
      </c>
      <c r="D1897" s="5" t="s">
        <v>10374</v>
      </c>
      <c r="E1897" s="6" t="s">
        <v>11</v>
      </c>
      <c r="F1897" s="6" t="s">
        <v>3957</v>
      </c>
      <c r="G1897" s="3" t="str">
        <f>IFERROR(__xludf.DUMMYFUNCTION("REGEXREPLACE(
D1897,
""([一-龯々]+)\[([^\]]+)\]"",
""&lt;ruby&gt;$1&lt;rt&gt;$2&lt;/rt&gt;&lt;/ruby&gt;""
)&amp;""&lt;br&gt;&lt;div class=""""audio""""&gt;[sound:""&amp;C1897&amp;"".mp3]&lt;/div&gt;"""),"あらゆる&lt;br&gt;&lt;div class=""audio""&gt;[sound:あらゆる.mp3]&lt;/div&gt;")</f>
        <v>あらゆる&lt;br&gt;&lt;div class="audio"&gt;[sound:あらゆる.mp3]&lt;/div&gt;</v>
      </c>
      <c r="H1897" s="3" t="str">
        <f t="shared" si="1"/>
        <v>(adj): tất cả</v>
      </c>
      <c r="I1897" s="6" t="s">
        <v>10375</v>
      </c>
      <c r="J1897" s="6" t="s">
        <v>10376</v>
      </c>
      <c r="K1897" s="7">
        <f t="shared" si="2"/>
        <v>0.6675582064</v>
      </c>
    </row>
    <row r="1898">
      <c r="A1898" s="4">
        <v>1898.0</v>
      </c>
      <c r="B1898" s="5" t="s">
        <v>10377</v>
      </c>
      <c r="C1898" s="5" t="s">
        <v>10377</v>
      </c>
      <c r="D1898" s="5" t="s">
        <v>10377</v>
      </c>
      <c r="E1898" s="6" t="s">
        <v>11</v>
      </c>
      <c r="F1898" s="6" t="s">
        <v>10378</v>
      </c>
      <c r="G1898" s="3" t="str">
        <f>IFERROR(__xludf.DUMMYFUNCTION("REGEXREPLACE(
D1898,
""([一-龯々]+)\[([^\]]+)\]"",
""&lt;ruby&gt;$1&lt;rt&gt;$2&lt;/rt&gt;&lt;/ruby&gt;""
)&amp;""&lt;br&gt;&lt;div class=""""audio""""&gt;[sound:""&amp;C1898&amp;"".mp3]&lt;/div&gt;"""),"いわゆる&lt;br&gt;&lt;div class=""audio""&gt;[sound:いわゆる.mp3]&lt;/div&gt;")</f>
        <v>いわゆる&lt;br&gt;&lt;div class="audio"&gt;[sound:いわゆる.mp3]&lt;/div&gt;</v>
      </c>
      <c r="H1898" s="3" t="str">
        <f t="shared" si="1"/>
        <v>(adj): cái gọi là</v>
      </c>
      <c r="I1898" s="6" t="s">
        <v>10379</v>
      </c>
      <c r="J1898" s="6" t="s">
        <v>10380</v>
      </c>
      <c r="K1898" s="7">
        <f t="shared" si="2"/>
        <v>0.4882224951</v>
      </c>
    </row>
    <row r="1899">
      <c r="A1899" s="4">
        <v>1899.0</v>
      </c>
      <c r="B1899" s="5" t="s">
        <v>10381</v>
      </c>
      <c r="C1899" s="5" t="s">
        <v>10382</v>
      </c>
      <c r="D1899" s="5" t="s">
        <v>10383</v>
      </c>
      <c r="E1899" s="6" t="s">
        <v>24</v>
      </c>
      <c r="F1899" s="6" t="s">
        <v>8699</v>
      </c>
      <c r="G1899" s="3" t="str">
        <f>IFERROR(__xludf.DUMMYFUNCTION("REGEXREPLACE(
D1899,
""([一-龯々]+)\[([^\]]+)\]"",
""&lt;ruby&gt;$1&lt;rt&gt;$2&lt;/rt&gt;&lt;/ruby&gt;""
)&amp;""&lt;br&gt;&lt;div class=""""audio""""&gt;[sound:""&amp;C1899&amp;"".mp3]&lt;/div&gt;"""),"&lt;ruby&gt;経&lt;rt&gt;へ&lt;/rt&gt;&lt;/ruby&gt;る&lt;br&gt;&lt;div class=""audio""&gt;[sound:へる.mp3]&lt;/div&gt;")</f>
        <v>&lt;ruby&gt;経&lt;rt&gt;へ&lt;/rt&gt;&lt;/ruby&gt;る&lt;br&gt;&lt;div class="audio"&gt;[sound:へる.mp3]&lt;/div&gt;</v>
      </c>
      <c r="H1899" s="3" t="str">
        <f t="shared" si="1"/>
        <v>(v): trải qua</v>
      </c>
      <c r="I1899" s="6" t="s">
        <v>10384</v>
      </c>
      <c r="J1899" s="6" t="s">
        <v>10385</v>
      </c>
      <c r="K1899" s="7">
        <f t="shared" si="2"/>
        <v>0.8405336562</v>
      </c>
    </row>
    <row r="1900">
      <c r="A1900" s="4">
        <v>1900.0</v>
      </c>
      <c r="B1900" s="5" t="s">
        <v>10386</v>
      </c>
      <c r="C1900" s="5" t="s">
        <v>10387</v>
      </c>
      <c r="D1900" s="5" t="s">
        <v>10388</v>
      </c>
      <c r="E1900" s="6" t="s">
        <v>24</v>
      </c>
      <c r="F1900" s="6" t="s">
        <v>539</v>
      </c>
      <c r="G1900" s="3" t="str">
        <f>IFERROR(__xludf.DUMMYFUNCTION("REGEXREPLACE(
D1900,
""([一-龯々]+)\[([^\]]+)\]"",
""&lt;ruby&gt;$1&lt;rt&gt;$2&lt;/rt&gt;&lt;/ruby&gt;""
)&amp;""&lt;br&gt;&lt;div class=""""audio""""&gt;[sound:""&amp;C1900&amp;"".mp3]&lt;/div&gt;"""),"&lt;ruby&gt;食&lt;rt&gt;く&lt;/rt&gt;&lt;/ruby&gt;う&lt;br&gt;&lt;div class=""audio""&gt;[sound:くう.mp3]&lt;/div&gt;")</f>
        <v>&lt;ruby&gt;食&lt;rt&gt;く&lt;/rt&gt;&lt;/ruby&gt;う&lt;br&gt;&lt;div class="audio"&gt;[sound:くう.mp3]&lt;/div&gt;</v>
      </c>
      <c r="H1900" s="3" t="str">
        <f t="shared" si="1"/>
        <v>(v): ăn</v>
      </c>
      <c r="I1900" s="6" t="s">
        <v>10389</v>
      </c>
      <c r="J1900" s="6" t="s">
        <v>10390</v>
      </c>
      <c r="K1900" s="7">
        <f t="shared" si="2"/>
        <v>0.6495627282</v>
      </c>
    </row>
    <row r="1901">
      <c r="A1901" s="4">
        <v>1901.0</v>
      </c>
      <c r="B1901" s="5" t="s">
        <v>10391</v>
      </c>
      <c r="C1901" s="5" t="s">
        <v>10391</v>
      </c>
      <c r="D1901" s="5" t="s">
        <v>10391</v>
      </c>
      <c r="E1901" s="6" t="s">
        <v>33</v>
      </c>
      <c r="F1901" s="6" t="s">
        <v>10392</v>
      </c>
      <c r="G1901" s="3" t="str">
        <f>IFERROR(__xludf.DUMMYFUNCTION("REGEXREPLACE(
D1901,
""([一-龯々]+)\[([^\]]+)\]"",
""&lt;ruby&gt;$1&lt;rt&gt;$2&lt;/rt&gt;&lt;/ruby&gt;""
)&amp;""&lt;br&gt;&lt;div class=""""audio""""&gt;[sound:""&amp;C1901&amp;"".mp3]&lt;/div&gt;"""),"こちらこそ&lt;br&gt;&lt;div class=""audio""&gt;[sound:こちらこそ.mp3]&lt;/div&gt;")</f>
        <v>こちらこそ&lt;br&gt;&lt;div class="audio"&gt;[sound:こちらこそ.mp3]&lt;/div&gt;</v>
      </c>
      <c r="H1901" s="3" t="str">
        <f t="shared" si="1"/>
        <v>(int): tôi cũng vậy</v>
      </c>
      <c r="I1901" s="6" t="s">
        <v>10393</v>
      </c>
      <c r="J1901" s="6" t="s">
        <v>10394</v>
      </c>
      <c r="K1901" s="7">
        <f t="shared" si="2"/>
        <v>0.5571659825</v>
      </c>
    </row>
    <row r="1902">
      <c r="A1902" s="4">
        <v>1902.0</v>
      </c>
      <c r="B1902" s="5" t="s">
        <v>10395</v>
      </c>
      <c r="C1902" s="5" t="s">
        <v>10395</v>
      </c>
      <c r="D1902" s="5" t="s">
        <v>10395</v>
      </c>
      <c r="E1902" s="6" t="s">
        <v>11</v>
      </c>
      <c r="F1902" s="6" t="s">
        <v>10396</v>
      </c>
      <c r="G1902" s="3" t="str">
        <f>IFERROR(__xludf.DUMMYFUNCTION("REGEXREPLACE(
D1902,
""([一-龯々]+)\[([^\]]+)\]"",
""&lt;ruby&gt;$1&lt;rt&gt;$2&lt;/rt&gt;&lt;/ruby&gt;""
)&amp;""&lt;br&gt;&lt;div class=""""audio""""&gt;[sound:""&amp;C1902&amp;"".mp3]&lt;/div&gt;"""),"あいまい&lt;br&gt;&lt;div class=""audio""&gt;[sound:あいまい.mp3]&lt;/div&gt;")</f>
        <v>あいまい&lt;br&gt;&lt;div class="audio"&gt;[sound:あいまい.mp3]&lt;/div&gt;</v>
      </c>
      <c r="H1902" s="3" t="str">
        <f t="shared" si="1"/>
        <v>(adj): mơ hồ</v>
      </c>
      <c r="I1902" s="6" t="s">
        <v>10397</v>
      </c>
      <c r="J1902" s="6" t="s">
        <v>10398</v>
      </c>
      <c r="K1902" s="7">
        <f t="shared" si="2"/>
        <v>0.5784264141</v>
      </c>
    </row>
    <row r="1903">
      <c r="A1903" s="4">
        <v>1903.0</v>
      </c>
      <c r="B1903" s="5" t="s">
        <v>10399</v>
      </c>
      <c r="C1903" s="5" t="s">
        <v>10399</v>
      </c>
      <c r="D1903" s="5" t="s">
        <v>10399</v>
      </c>
      <c r="E1903" s="6" t="s">
        <v>85</v>
      </c>
      <c r="F1903" s="6" t="s">
        <v>10400</v>
      </c>
      <c r="G1903" s="3" t="str">
        <f>IFERROR(__xludf.DUMMYFUNCTION("REGEXREPLACE(
D1903,
""([一-龯々]+)\[([^\]]+)\]"",
""&lt;ruby&gt;$1&lt;rt&gt;$2&lt;/rt&gt;&lt;/ruby&gt;""
)&amp;""&lt;br&gt;&lt;div class=""""audio""""&gt;[sound:""&amp;C1903&amp;"".mp3]&lt;/div&gt;"""),"どうせ&lt;br&gt;&lt;div class=""audio""&gt;[sound:どうせ.mp3]&lt;/div&gt;")</f>
        <v>どうせ&lt;br&gt;&lt;div class="audio"&gt;[sound:どうせ.mp3]&lt;/div&gt;</v>
      </c>
      <c r="H1903" s="3" t="str">
        <f t="shared" si="1"/>
        <v>(adv): dù sao đi nữa</v>
      </c>
      <c r="I1903" s="6" t="s">
        <v>10401</v>
      </c>
      <c r="J1903" s="6" t="s">
        <v>10402</v>
      </c>
      <c r="K1903" s="7">
        <f t="shared" si="2"/>
        <v>0.6109657923</v>
      </c>
    </row>
    <row r="1904">
      <c r="A1904" s="4">
        <v>1904.0</v>
      </c>
      <c r="B1904" s="5" t="s">
        <v>10403</v>
      </c>
      <c r="C1904" s="5" t="s">
        <v>10404</v>
      </c>
      <c r="D1904" s="5" t="s">
        <v>10405</v>
      </c>
      <c r="E1904" s="6" t="s">
        <v>74</v>
      </c>
      <c r="F1904" s="6" t="s">
        <v>10406</v>
      </c>
      <c r="G1904" s="3" t="str">
        <f>IFERROR(__xludf.DUMMYFUNCTION("REGEXREPLACE(
D1904,
""([一-龯々]+)\[([^\]]+)\]"",
""&lt;ruby&gt;$1&lt;rt&gt;$2&lt;/rt&gt;&lt;/ruby&gt;""
)&amp;""&lt;br&gt;&lt;div class=""""audio""""&gt;[sound:""&amp;C1904&amp;"".mp3]&lt;/div&gt;"""),"&lt;ruby&gt;合流&lt;rt&gt;ごうりゅう&lt;/rt&gt;&lt;/ruby&gt;&lt;br&gt;&lt;div class=""audio""&gt;[sound:ごうりゅう.mp3]&lt;/div&gt;")</f>
        <v>&lt;ruby&gt;合流&lt;rt&gt;ごうりゅう&lt;/rt&gt;&lt;/ruby&gt;&lt;br&gt;&lt;div class="audio"&gt;[sound:ごうりゅう.mp3]&lt;/div&gt;</v>
      </c>
      <c r="H1904" s="3" t="str">
        <f t="shared" si="1"/>
        <v>(n): nhập luồng</v>
      </c>
      <c r="I1904" s="6" t="s">
        <v>10407</v>
      </c>
      <c r="J1904" s="6" t="s">
        <v>10408</v>
      </c>
      <c r="K1904" s="7">
        <f t="shared" si="2"/>
        <v>0.1794169935</v>
      </c>
    </row>
    <row r="1905">
      <c r="A1905" s="4">
        <v>1905.0</v>
      </c>
      <c r="B1905" s="5" t="s">
        <v>10409</v>
      </c>
      <c r="C1905" s="5" t="s">
        <v>10409</v>
      </c>
      <c r="D1905" s="5" t="s">
        <v>10409</v>
      </c>
      <c r="E1905" s="6" t="s">
        <v>85</v>
      </c>
      <c r="F1905" s="6" t="s">
        <v>10410</v>
      </c>
      <c r="G1905" s="3" t="str">
        <f>IFERROR(__xludf.DUMMYFUNCTION("REGEXREPLACE(
D1905,
""([一-龯々]+)\[([^\]]+)\]"",
""&lt;ruby&gt;$1&lt;rt&gt;$2&lt;/rt&gt;&lt;/ruby&gt;""
)&amp;""&lt;br&gt;&lt;div class=""""audio""""&gt;[sound:""&amp;C1905&amp;"".mp3]&lt;/div&gt;"""),"のんびり&lt;br&gt;&lt;div class=""audio""&gt;[sound:のんびり.mp3]&lt;/div&gt;")</f>
        <v>のんびり&lt;br&gt;&lt;div class="audio"&gt;[sound:のんびり.mp3]&lt;/div&gt;</v>
      </c>
      <c r="H1905" s="3" t="str">
        <f t="shared" si="1"/>
        <v>(adv): thong thả</v>
      </c>
      <c r="I1905" s="6" t="s">
        <v>10411</v>
      </c>
      <c r="J1905" s="6" t="s">
        <v>10412</v>
      </c>
      <c r="K1905" s="7">
        <f t="shared" si="2"/>
        <v>0.854327863</v>
      </c>
    </row>
    <row r="1906">
      <c r="A1906" s="4">
        <v>1906.0</v>
      </c>
      <c r="B1906" s="5" t="s">
        <v>10413</v>
      </c>
      <c r="C1906" s="5" t="s">
        <v>10414</v>
      </c>
      <c r="D1906" s="5" t="s">
        <v>10415</v>
      </c>
      <c r="E1906" s="6" t="s">
        <v>11</v>
      </c>
      <c r="F1906" s="6" t="s">
        <v>10416</v>
      </c>
      <c r="G1906" s="3" t="str">
        <f>IFERROR(__xludf.DUMMYFUNCTION("REGEXREPLACE(
D1906,
""([一-龯々]+)\[([^\]]+)\]"",
""&lt;ruby&gt;$1&lt;rt&gt;$2&lt;/rt&gt;&lt;/ruby&gt;""
)&amp;""&lt;br&gt;&lt;div class=""""audio""""&gt;[sound:""&amp;C1906&amp;"".mp3]&lt;/div&gt;"""),"&lt;ruby&gt;怪&lt;rt&gt;あや&lt;/rt&gt;&lt;/ruby&gt;しい&lt;br&gt;&lt;div class=""audio""&gt;[sound:あやしい.mp3]&lt;/div&gt;")</f>
        <v>&lt;ruby&gt;怪&lt;rt&gt;あや&lt;/rt&gt;&lt;/ruby&gt;しい&lt;br&gt;&lt;div class="audio"&gt;[sound:あやしい.mp3]&lt;/div&gt;</v>
      </c>
      <c r="H1906" s="3" t="str">
        <f t="shared" si="1"/>
        <v>(adj): đáng ngờ</v>
      </c>
      <c r="I1906" s="6" t="s">
        <v>10417</v>
      </c>
      <c r="J1906" s="6" t="s">
        <v>10418</v>
      </c>
      <c r="K1906" s="7">
        <f t="shared" si="2"/>
        <v>0.8586301346</v>
      </c>
    </row>
    <row r="1907">
      <c r="A1907" s="4">
        <v>1907.0</v>
      </c>
      <c r="B1907" s="5" t="s">
        <v>10419</v>
      </c>
      <c r="C1907" s="5" t="s">
        <v>10419</v>
      </c>
      <c r="D1907" s="5" t="s">
        <v>10419</v>
      </c>
      <c r="E1907" s="6" t="s">
        <v>85</v>
      </c>
      <c r="F1907" s="6" t="s">
        <v>7005</v>
      </c>
      <c r="G1907" s="3" t="str">
        <f>IFERROR(__xludf.DUMMYFUNCTION("REGEXREPLACE(
D1907,
""([一-龯々]+)\[([^\]]+)\]"",
""&lt;ruby&gt;$1&lt;rt&gt;$2&lt;/rt&gt;&lt;/ruby&gt;""
)&amp;""&lt;br&gt;&lt;div class=""""audio""""&gt;[sound:""&amp;C1907&amp;"".mp3]&lt;/div&gt;"""),"もしも&lt;br&gt;&lt;div class=""audio""&gt;[sound:もしも.mp3]&lt;/div&gt;")</f>
        <v>もしも&lt;br&gt;&lt;div class="audio"&gt;[sound:もしも.mp3]&lt;/div&gt;</v>
      </c>
      <c r="H1907" s="3" t="str">
        <f t="shared" si="1"/>
        <v>(adv): giả sử</v>
      </c>
      <c r="I1907" s="6" t="s">
        <v>10420</v>
      </c>
      <c r="J1907" s="6" t="s">
        <v>10421</v>
      </c>
      <c r="K1907" s="7">
        <f t="shared" si="2"/>
        <v>0.1868228494</v>
      </c>
    </row>
    <row r="1908">
      <c r="A1908" s="4">
        <v>1908.0</v>
      </c>
      <c r="B1908" s="5" t="s">
        <v>10422</v>
      </c>
      <c r="C1908" s="5" t="s">
        <v>10423</v>
      </c>
      <c r="D1908" s="5" t="s">
        <v>10424</v>
      </c>
      <c r="E1908" s="6" t="s">
        <v>74</v>
      </c>
      <c r="F1908" s="6" t="s">
        <v>5467</v>
      </c>
      <c r="G1908" s="3" t="str">
        <f>IFERROR(__xludf.DUMMYFUNCTION("REGEXREPLACE(
D1908,
""([一-龯々]+)\[([^\]]+)\]"",
""&lt;ruby&gt;$1&lt;rt&gt;$2&lt;/rt&gt;&lt;/ruby&gt;""
)&amp;""&lt;br&gt;&lt;div class=""""audio""""&gt;[sound:""&amp;C1908&amp;"".mp3]&lt;/div&gt;"""),"&lt;ruby&gt;産業&lt;rt&gt;さんぎょう&lt;/rt&gt;&lt;/ruby&gt;&lt;br&gt;&lt;div class=""audio""&gt;[sound:さんぎょう.mp3]&lt;/div&gt;")</f>
        <v>&lt;ruby&gt;産業&lt;rt&gt;さんぎょう&lt;/rt&gt;&lt;/ruby&gt;&lt;br&gt;&lt;div class="audio"&gt;[sound:さんぎょう.mp3]&lt;/div&gt;</v>
      </c>
      <c r="H1908" s="3" t="str">
        <f t="shared" si="1"/>
        <v>(n): công nghiệp</v>
      </c>
      <c r="I1908" s="6" t="s">
        <v>10425</v>
      </c>
      <c r="J1908" s="6" t="s">
        <v>10426</v>
      </c>
      <c r="K1908" s="7">
        <f t="shared" si="2"/>
        <v>0.3033182178</v>
      </c>
    </row>
    <row r="1909">
      <c r="A1909" s="4">
        <v>1909.0</v>
      </c>
      <c r="B1909" s="5" t="s">
        <v>10427</v>
      </c>
      <c r="C1909" s="5" t="s">
        <v>10428</v>
      </c>
      <c r="D1909" s="5" t="s">
        <v>10429</v>
      </c>
      <c r="E1909" s="6" t="s">
        <v>24</v>
      </c>
      <c r="F1909" s="6" t="s">
        <v>5350</v>
      </c>
      <c r="G1909" s="3" t="str">
        <f>IFERROR(__xludf.DUMMYFUNCTION("REGEXREPLACE(
D1909,
""([一-龯々]+)\[([^\]]+)\]"",
""&lt;ruby&gt;$1&lt;rt&gt;$2&lt;/rt&gt;&lt;/ruby&gt;""
)&amp;""&lt;br&gt;&lt;div class=""""audio""""&gt;[sound:""&amp;C1909&amp;"".mp3]&lt;/div&gt;"""),"&lt;ruby&gt;争&lt;rt&gt;あらそ&lt;/rt&gt;&lt;/ruby&gt;う&lt;br&gt;&lt;div class=""audio""&gt;[sound:あらそう.mp3]&lt;/div&gt;")</f>
        <v>&lt;ruby&gt;争&lt;rt&gt;あらそ&lt;/rt&gt;&lt;/ruby&gt;う&lt;br&gt;&lt;div class="audio"&gt;[sound:あらそう.mp3]&lt;/div&gt;</v>
      </c>
      <c r="H1909" s="3" t="str">
        <f t="shared" si="1"/>
        <v>(v): cạnh tranh</v>
      </c>
      <c r="I1909" s="6" t="s">
        <v>10430</v>
      </c>
      <c r="J1909" s="6" t="s">
        <v>10431</v>
      </c>
      <c r="K1909" s="7">
        <f t="shared" si="2"/>
        <v>0.5150457578</v>
      </c>
    </row>
    <row r="1910">
      <c r="A1910" s="4">
        <v>1910.0</v>
      </c>
      <c r="B1910" s="5" t="s">
        <v>10432</v>
      </c>
      <c r="C1910" s="5" t="s">
        <v>10433</v>
      </c>
      <c r="D1910" s="5" t="s">
        <v>10434</v>
      </c>
      <c r="E1910" s="6" t="s">
        <v>74</v>
      </c>
      <c r="F1910" s="6" t="s">
        <v>10435</v>
      </c>
      <c r="G1910" s="3" t="str">
        <f>IFERROR(__xludf.DUMMYFUNCTION("REGEXREPLACE(
D1910,
""([一-龯々]+)\[([^\]]+)\]"",
""&lt;ruby&gt;$1&lt;rt&gt;$2&lt;/rt&gt;&lt;/ruby&gt;""
)&amp;""&lt;br&gt;&lt;div class=""""audio""""&gt;[sound:""&amp;C1910&amp;"".mp3]&lt;/div&gt;"""),"&lt;ruby&gt;流&lt;rt&gt;なが&lt;/rt&gt;&lt;/ruby&gt;れ&lt;br&gt;&lt;div class=""audio""&gt;[sound:ながれ.mp3]&lt;/div&gt;")</f>
        <v>&lt;ruby&gt;流&lt;rt&gt;なが&lt;/rt&gt;&lt;/ruby&gt;れ&lt;br&gt;&lt;div class="audio"&gt;[sound:ながれ.mp3]&lt;/div&gt;</v>
      </c>
      <c r="H1910" s="3" t="str">
        <f t="shared" si="1"/>
        <v>(n): dòng chảy</v>
      </c>
      <c r="I1910" s="6" t="s">
        <v>10436</v>
      </c>
      <c r="J1910" s="6" t="s">
        <v>10437</v>
      </c>
      <c r="K1910" s="7">
        <f t="shared" si="2"/>
        <v>0.6793291914</v>
      </c>
    </row>
    <row r="1911">
      <c r="A1911" s="4">
        <v>1911.0</v>
      </c>
      <c r="B1911" s="5" t="s">
        <v>10438</v>
      </c>
      <c r="C1911" s="5" t="s">
        <v>10439</v>
      </c>
      <c r="D1911" s="5" t="s">
        <v>10440</v>
      </c>
      <c r="E1911" s="6" t="s">
        <v>11</v>
      </c>
      <c r="F1911" s="6" t="s">
        <v>10441</v>
      </c>
      <c r="G1911" s="3" t="str">
        <f>IFERROR(__xludf.DUMMYFUNCTION("REGEXREPLACE(
D1911,
""([一-龯々]+)\[([^\]]+)\]"",
""&lt;ruby&gt;$1&lt;rt&gt;$2&lt;/rt&gt;&lt;/ruby&gt;""
)&amp;""&lt;br&gt;&lt;div class=""""audio""""&gt;[sound:""&amp;C1911&amp;"".mp3]&lt;/div&gt;"""),"&lt;ruby&gt;静&lt;rt&gt;しず&lt;/rt&gt;&lt;/ruby&gt;か&lt;br&gt;&lt;div class=""audio""&gt;[sound:しずか.mp3]&lt;/div&gt;")</f>
        <v>&lt;ruby&gt;静&lt;rt&gt;しず&lt;/rt&gt;&lt;/ruby&gt;か&lt;br&gt;&lt;div class="audio"&gt;[sound:しずか.mp3]&lt;/div&gt;</v>
      </c>
      <c r="H1911" s="3" t="str">
        <f t="shared" si="1"/>
        <v>(adj): yên tĩnh</v>
      </c>
      <c r="I1911" s="6" t="s">
        <v>10442</v>
      </c>
      <c r="J1911" s="6" t="s">
        <v>10443</v>
      </c>
      <c r="K1911" s="7">
        <f t="shared" si="2"/>
        <v>0.05029257527</v>
      </c>
    </row>
    <row r="1912">
      <c r="A1912" s="4">
        <v>1912.0</v>
      </c>
      <c r="B1912" s="5" t="s">
        <v>10444</v>
      </c>
      <c r="C1912" s="5" t="s">
        <v>10445</v>
      </c>
      <c r="D1912" s="5" t="s">
        <v>10446</v>
      </c>
      <c r="E1912" s="6" t="s">
        <v>74</v>
      </c>
      <c r="F1912" s="6" t="s">
        <v>10447</v>
      </c>
      <c r="G1912" s="3" t="str">
        <f>IFERROR(__xludf.DUMMYFUNCTION("REGEXREPLACE(
D1912,
""([一-龯々]+)\[([^\]]+)\]"",
""&lt;ruby&gt;$1&lt;rt&gt;$2&lt;/rt&gt;&lt;/ruby&gt;""
)&amp;""&lt;br&gt;&lt;div class=""""audio""""&gt;[sound:""&amp;C1912&amp;"".mp3]&lt;/div&gt;"""),"&lt;ruby&gt;訓練&lt;rt&gt;くんれん&lt;/rt&gt;&lt;/ruby&gt;&lt;br&gt;&lt;div class=""audio""&gt;[sound:くんれん.mp3]&lt;/div&gt;")</f>
        <v>&lt;ruby&gt;訓練&lt;rt&gt;くんれん&lt;/rt&gt;&lt;/ruby&gt;&lt;br&gt;&lt;div class="audio"&gt;[sound:くんれん.mp3]&lt;/div&gt;</v>
      </c>
      <c r="H1912" s="3" t="str">
        <f t="shared" si="1"/>
        <v>(n): huấn luyện</v>
      </c>
      <c r="I1912" s="6" t="s">
        <v>10448</v>
      </c>
      <c r="J1912" s="6" t="s">
        <v>10449</v>
      </c>
      <c r="K1912" s="7">
        <f t="shared" si="2"/>
        <v>0.8592209018</v>
      </c>
    </row>
    <row r="1913">
      <c r="A1913" s="4">
        <v>1913.0</v>
      </c>
      <c r="B1913" s="5" t="s">
        <v>10450</v>
      </c>
      <c r="C1913" s="5" t="s">
        <v>10451</v>
      </c>
      <c r="D1913" s="5" t="s">
        <v>10452</v>
      </c>
      <c r="E1913" s="6" t="s">
        <v>74</v>
      </c>
      <c r="F1913" s="6" t="s">
        <v>10453</v>
      </c>
      <c r="G1913" s="3" t="str">
        <f>IFERROR(__xludf.DUMMYFUNCTION("REGEXREPLACE(
D1913,
""([一-龯々]+)\[([^\]]+)\]"",
""&lt;ruby&gt;$1&lt;rt&gt;$2&lt;/rt&gt;&lt;/ruby&gt;""
)&amp;""&lt;br&gt;&lt;div class=""""audio""""&gt;[sound:""&amp;C1913&amp;"".mp3]&lt;/div&gt;"""),"&lt;ruby&gt;議論&lt;rt&gt;ぎろん&lt;/rt&gt;&lt;/ruby&gt;&lt;br&gt;&lt;div class=""audio""&gt;[sound:ぎろん.mp3]&lt;/div&gt;")</f>
        <v>&lt;ruby&gt;議論&lt;rt&gt;ぎろん&lt;/rt&gt;&lt;/ruby&gt;&lt;br&gt;&lt;div class="audio"&gt;[sound:ぎろん.mp3]&lt;/div&gt;</v>
      </c>
      <c r="H1913" s="3" t="str">
        <f t="shared" si="1"/>
        <v>(n): tranh luận</v>
      </c>
      <c r="I1913" s="6" t="s">
        <v>10454</v>
      </c>
      <c r="J1913" s="6" t="s">
        <v>10455</v>
      </c>
      <c r="K1913" s="7">
        <f t="shared" si="2"/>
        <v>0.8251563784</v>
      </c>
    </row>
    <row r="1914">
      <c r="A1914" s="4">
        <v>1914.0</v>
      </c>
      <c r="B1914" s="5" t="s">
        <v>10456</v>
      </c>
      <c r="C1914" s="5" t="s">
        <v>10457</v>
      </c>
      <c r="D1914" s="5" t="s">
        <v>10458</v>
      </c>
      <c r="E1914" s="6" t="s">
        <v>74</v>
      </c>
      <c r="F1914" s="6" t="s">
        <v>10459</v>
      </c>
      <c r="G1914" s="3" t="str">
        <f>IFERROR(__xludf.DUMMYFUNCTION("REGEXREPLACE(
D1914,
""([一-龯々]+)\[([^\]]+)\]"",
""&lt;ruby&gt;$1&lt;rt&gt;$2&lt;/rt&gt;&lt;/ruby&gt;""
)&amp;""&lt;br&gt;&lt;div class=""""audio""""&gt;[sound:""&amp;C1914&amp;"".mp3]&lt;/div&gt;"""),"&lt;ruby&gt;味方&lt;rt&gt;みかた&lt;/rt&gt;&lt;/ruby&gt;&lt;br&gt;&lt;div class=""audio""&gt;[sound:みかた.mp3]&lt;/div&gt;")</f>
        <v>&lt;ruby&gt;味方&lt;rt&gt;みかた&lt;/rt&gt;&lt;/ruby&gt;&lt;br&gt;&lt;div class="audio"&gt;[sound:みかた.mp3]&lt;/div&gt;</v>
      </c>
      <c r="H1914" s="3" t="str">
        <f t="shared" si="1"/>
        <v>(n): đồng minh</v>
      </c>
      <c r="I1914" s="6" t="s">
        <v>10460</v>
      </c>
      <c r="J1914" s="6" t="s">
        <v>10461</v>
      </c>
      <c r="K1914" s="7">
        <f t="shared" si="2"/>
        <v>0.2895154856</v>
      </c>
    </row>
    <row r="1915">
      <c r="A1915" s="4">
        <v>1915.0</v>
      </c>
      <c r="B1915" s="5" t="s">
        <v>10462</v>
      </c>
      <c r="C1915" s="5" t="s">
        <v>10463</v>
      </c>
      <c r="D1915" s="5" t="s">
        <v>10464</v>
      </c>
      <c r="E1915" s="6" t="s">
        <v>74</v>
      </c>
      <c r="F1915" s="6" t="s">
        <v>8030</v>
      </c>
      <c r="G1915" s="3" t="str">
        <f>IFERROR(__xludf.DUMMYFUNCTION("REGEXREPLACE(
D1915,
""([一-龯々]+)\[([^\]]+)\]"",
""&lt;ruby&gt;$1&lt;rt&gt;$2&lt;/rt&gt;&lt;/ruby&gt;""
)&amp;""&lt;br&gt;&lt;div class=""""audio""""&gt;[sound:""&amp;C1915&amp;"".mp3]&lt;/div&gt;"""),"&lt;ruby&gt;法律&lt;rt&gt;ほうりつ&lt;/rt&gt;&lt;/ruby&gt;&lt;br&gt;&lt;div class=""audio""&gt;[sound:ほうりつ.mp3]&lt;/div&gt;")</f>
        <v>&lt;ruby&gt;法律&lt;rt&gt;ほうりつ&lt;/rt&gt;&lt;/ruby&gt;&lt;br&gt;&lt;div class="audio"&gt;[sound:ほうりつ.mp3]&lt;/div&gt;</v>
      </c>
      <c r="H1915" s="3" t="str">
        <f t="shared" si="1"/>
        <v>(n): pháp luật</v>
      </c>
      <c r="I1915" s="6" t="s">
        <v>10465</v>
      </c>
      <c r="J1915" s="6" t="s">
        <v>10466</v>
      </c>
      <c r="K1915" s="7">
        <f t="shared" si="2"/>
        <v>0.4868806095</v>
      </c>
    </row>
    <row r="1916">
      <c r="A1916" s="4">
        <v>1916.0</v>
      </c>
      <c r="B1916" s="5" t="s">
        <v>10467</v>
      </c>
      <c r="C1916" s="5" t="s">
        <v>10468</v>
      </c>
      <c r="D1916" s="5" t="s">
        <v>10469</v>
      </c>
      <c r="E1916" s="6" t="s">
        <v>85</v>
      </c>
      <c r="F1916" s="6" t="s">
        <v>10470</v>
      </c>
      <c r="G1916" s="3" t="str">
        <f>IFERROR(__xludf.DUMMYFUNCTION("REGEXREPLACE(
D1916,
""([一-龯々]+)\[([^\]]+)\]"",
""&lt;ruby&gt;$1&lt;rt&gt;$2&lt;/rt&gt;&lt;/ruby&gt;""
)&amp;""&lt;br&gt;&lt;div class=""""audio""""&gt;[sound:""&amp;C1916&amp;"".mp3]&lt;/div&gt;"""),"&lt;ruby&gt;直接&lt;rt&gt;ちょくせつ&lt;/rt&gt;&lt;/ruby&gt;&lt;br&gt;&lt;div class=""audio""&gt;[sound:ちょくせつ.mp3]&lt;/div&gt;")</f>
        <v>&lt;ruby&gt;直接&lt;rt&gt;ちょくせつ&lt;/rt&gt;&lt;/ruby&gt;&lt;br&gt;&lt;div class="audio"&gt;[sound:ちょくせつ.mp3]&lt;/div&gt;</v>
      </c>
      <c r="H1916" s="3" t="str">
        <f t="shared" si="1"/>
        <v>(adv): trực tiếp</v>
      </c>
      <c r="I1916" s="6" t="s">
        <v>10471</v>
      </c>
      <c r="J1916" s="6" t="s">
        <v>10472</v>
      </c>
      <c r="K1916" s="7">
        <f t="shared" si="2"/>
        <v>0.1346299322</v>
      </c>
    </row>
    <row r="1917">
      <c r="A1917" s="4">
        <v>1917.0</v>
      </c>
      <c r="B1917" s="5" t="s">
        <v>10473</v>
      </c>
      <c r="C1917" s="5" t="s">
        <v>10474</v>
      </c>
      <c r="D1917" s="5" t="s">
        <v>10475</v>
      </c>
      <c r="E1917" s="6" t="s">
        <v>74</v>
      </c>
      <c r="F1917" s="6" t="s">
        <v>10476</v>
      </c>
      <c r="G1917" s="3" t="str">
        <f>IFERROR(__xludf.DUMMYFUNCTION("REGEXREPLACE(
D1917,
""([一-龯々]+)\[([^\]]+)\]"",
""&lt;ruby&gt;$1&lt;rt&gt;$2&lt;/rt&gt;&lt;/ruby&gt;""
)&amp;""&lt;br&gt;&lt;div class=""""audio""""&gt;[sound:""&amp;C1917&amp;"".mp3]&lt;/div&gt;"""),"&lt;ruby&gt;複数&lt;rt&gt;ふくすう&lt;/rt&gt;&lt;/ruby&gt;&lt;br&gt;&lt;div class=""audio""&gt;[sound:ふくすう.mp3]&lt;/div&gt;")</f>
        <v>&lt;ruby&gt;複数&lt;rt&gt;ふくすう&lt;/rt&gt;&lt;/ruby&gt;&lt;br&gt;&lt;div class="audio"&gt;[sound:ふくすう.mp3]&lt;/div&gt;</v>
      </c>
      <c r="H1917" s="3" t="str">
        <f t="shared" si="1"/>
        <v>(n): số nhiều</v>
      </c>
      <c r="I1917" s="6" t="s">
        <v>10477</v>
      </c>
      <c r="J1917" s="6" t="s">
        <v>10478</v>
      </c>
      <c r="K1917" s="7">
        <f t="shared" si="2"/>
        <v>0.9016752001</v>
      </c>
    </row>
    <row r="1918">
      <c r="A1918" s="4">
        <v>1918.0</v>
      </c>
      <c r="B1918" s="5" t="s">
        <v>10479</v>
      </c>
      <c r="C1918" s="5" t="s">
        <v>10480</v>
      </c>
      <c r="D1918" s="5" t="s">
        <v>10481</v>
      </c>
      <c r="E1918" s="6" t="s">
        <v>11</v>
      </c>
      <c r="F1918" s="6" t="s">
        <v>10482</v>
      </c>
      <c r="G1918" s="3" t="str">
        <f>IFERROR(__xludf.DUMMYFUNCTION("REGEXREPLACE(
D1918,
""([一-龯々]+)\[([^\]]+)\]"",
""&lt;ruby&gt;$1&lt;rt&gt;$2&lt;/rt&gt;&lt;/ruby&gt;""
)&amp;""&lt;br&gt;&lt;div class=""""audio""""&gt;[sound:""&amp;C1918&amp;"".mp3]&lt;/div&gt;"""),"&lt;ruby&gt;青&lt;rt&gt;あお&lt;/rt&gt;&lt;/ruby&gt;い&lt;br&gt;&lt;div class=""audio""&gt;[sound:あおい.mp3]&lt;/div&gt;")</f>
        <v>&lt;ruby&gt;青&lt;rt&gt;あお&lt;/rt&gt;&lt;/ruby&gt;い&lt;br&gt;&lt;div class="audio"&gt;[sound:あおい.mp3]&lt;/div&gt;</v>
      </c>
      <c r="H1918" s="3" t="str">
        <f t="shared" si="1"/>
        <v>(adj): màu xanh</v>
      </c>
      <c r="I1918" s="6" t="s">
        <v>10483</v>
      </c>
      <c r="J1918" s="6" t="s">
        <v>10484</v>
      </c>
      <c r="K1918" s="7">
        <f t="shared" si="2"/>
        <v>0.8556071295</v>
      </c>
    </row>
    <row r="1919">
      <c r="A1919" s="4">
        <v>1919.0</v>
      </c>
      <c r="B1919" s="5" t="s">
        <v>10485</v>
      </c>
      <c r="C1919" s="5" t="s">
        <v>10485</v>
      </c>
      <c r="D1919" s="5" t="s">
        <v>10485</v>
      </c>
      <c r="E1919" s="6" t="s">
        <v>24</v>
      </c>
      <c r="F1919" s="6" t="s">
        <v>10486</v>
      </c>
      <c r="G1919" s="3" t="str">
        <f>IFERROR(__xludf.DUMMYFUNCTION("REGEXREPLACE(
D1919,
""([一-龯々]+)\[([^\]]+)\]"",
""&lt;ruby&gt;$1&lt;rt&gt;$2&lt;/rt&gt;&lt;/ruby&gt;""
)&amp;""&lt;br&gt;&lt;div class=""""audio""""&gt;[sound:""&amp;C1919&amp;"".mp3]&lt;/div&gt;"""),"かまう&lt;br&gt;&lt;div class=""audio""&gt;[sound:かまう.mp3]&lt;/div&gt;")</f>
        <v>かまう&lt;br&gt;&lt;div class="audio"&gt;[sound:かまう.mp3]&lt;/div&gt;</v>
      </c>
      <c r="H1919" s="3" t="str">
        <f t="shared" si="1"/>
        <v>(v): bận tâm</v>
      </c>
      <c r="I1919" s="6" t="s">
        <v>10487</v>
      </c>
      <c r="J1919" s="6" t="s">
        <v>10488</v>
      </c>
      <c r="K1919" s="7">
        <f t="shared" si="2"/>
        <v>0.4710111793</v>
      </c>
    </row>
    <row r="1920">
      <c r="A1920" s="4">
        <v>1920.0</v>
      </c>
      <c r="B1920" s="5" t="s">
        <v>10489</v>
      </c>
      <c r="C1920" s="5" t="s">
        <v>10490</v>
      </c>
      <c r="D1920" s="5" t="s">
        <v>10491</v>
      </c>
      <c r="E1920" s="6" t="s">
        <v>74</v>
      </c>
      <c r="F1920" s="6" t="s">
        <v>10492</v>
      </c>
      <c r="G1920" s="3" t="str">
        <f>IFERROR(__xludf.DUMMYFUNCTION("REGEXREPLACE(
D1920,
""([一-龯々]+)\[([^\]]+)\]"",
""&lt;ruby&gt;$1&lt;rt&gt;$2&lt;/rt&gt;&lt;/ruby&gt;""
)&amp;""&lt;br&gt;&lt;div class=""""audio""""&gt;[sound:""&amp;C1920&amp;"".mp3]&lt;/div&gt;"""),"&lt;ruby&gt;飛行機&lt;rt&gt;ひこうき&lt;/rt&gt;&lt;/ruby&gt;&lt;br&gt;&lt;div class=""audio""&gt;[sound:ひこうき.mp3]&lt;/div&gt;")</f>
        <v>&lt;ruby&gt;飛行機&lt;rt&gt;ひこうき&lt;/rt&gt;&lt;/ruby&gt;&lt;br&gt;&lt;div class="audio"&gt;[sound:ひこうき.mp3]&lt;/div&gt;</v>
      </c>
      <c r="H1920" s="3" t="str">
        <f t="shared" si="1"/>
        <v>(n): máy bay</v>
      </c>
      <c r="I1920" s="6" t="s">
        <v>10493</v>
      </c>
      <c r="J1920" s="6" t="s">
        <v>10494</v>
      </c>
      <c r="K1920" s="7">
        <f t="shared" si="2"/>
        <v>0.9300084497</v>
      </c>
    </row>
    <row r="1921">
      <c r="A1921" s="4">
        <v>1921.0</v>
      </c>
      <c r="B1921" s="5" t="s">
        <v>10495</v>
      </c>
      <c r="C1921" s="5" t="s">
        <v>10496</v>
      </c>
      <c r="D1921" s="5" t="s">
        <v>10497</v>
      </c>
      <c r="E1921" s="6" t="s">
        <v>74</v>
      </c>
      <c r="F1921" s="6" t="s">
        <v>10498</v>
      </c>
      <c r="G1921" s="3" t="str">
        <f>IFERROR(__xludf.DUMMYFUNCTION("REGEXREPLACE(
D1921,
""([一-龯々]+)\[([^\]]+)\]"",
""&lt;ruby&gt;$1&lt;rt&gt;$2&lt;/rt&gt;&lt;/ruby&gt;""
)&amp;""&lt;br&gt;&lt;div class=""""audio""""&gt;[sound:""&amp;C1921&amp;"".mp3]&lt;/div&gt;"""),"&lt;ruby&gt;漫画&lt;rt&gt;まんが&lt;/rt&gt;&lt;/ruby&gt;&lt;br&gt;&lt;div class=""audio""&gt;[sound:まんが.mp3]&lt;/div&gt;")</f>
        <v>&lt;ruby&gt;漫画&lt;rt&gt;まんが&lt;/rt&gt;&lt;/ruby&gt;&lt;br&gt;&lt;div class="audio"&gt;[sound:まんが.mp3]&lt;/div&gt;</v>
      </c>
      <c r="H1921" s="3" t="str">
        <f t="shared" si="1"/>
        <v>(n): truyện tranh</v>
      </c>
      <c r="I1921" s="6" t="s">
        <v>10499</v>
      </c>
      <c r="J1921" s="6" t="s">
        <v>10500</v>
      </c>
      <c r="K1921" s="7">
        <f t="shared" si="2"/>
        <v>0.1121061304</v>
      </c>
    </row>
    <row r="1922">
      <c r="A1922" s="4">
        <v>1922.0</v>
      </c>
      <c r="B1922" s="5" t="s">
        <v>10501</v>
      </c>
      <c r="C1922" s="5" t="s">
        <v>10502</v>
      </c>
      <c r="D1922" s="5" t="s">
        <v>10501</v>
      </c>
      <c r="E1922" s="6" t="s">
        <v>74</v>
      </c>
      <c r="F1922" s="6" t="s">
        <v>10503</v>
      </c>
      <c r="G1922" s="3" t="str">
        <f>IFERROR(__xludf.DUMMYFUNCTION("REGEXREPLACE(
D1922,
""([一-龯々]+)\[([^\]]+)\]"",
""&lt;ruby&gt;$1&lt;rt&gt;$2&lt;/rt&gt;&lt;/ruby&gt;""
)&amp;""&lt;br&gt;&lt;div class=""""audio""""&gt;[sound:""&amp;C1922&amp;"".mp3]&lt;/div&gt;"""),"サークル&lt;br&gt;&lt;div class=""audio""&gt;[sound:さーくる.mp3]&lt;/div&gt;")</f>
        <v>サークル&lt;br&gt;&lt;div class="audio"&gt;[sound:さーくる.mp3]&lt;/div&gt;</v>
      </c>
      <c r="H1922" s="3" t="str">
        <f t="shared" si="1"/>
        <v>(n): câu lạc bộ</v>
      </c>
      <c r="I1922" s="6" t="s">
        <v>10504</v>
      </c>
      <c r="J1922" s="6" t="s">
        <v>10505</v>
      </c>
      <c r="K1922" s="7">
        <f t="shared" si="2"/>
        <v>0.8594724622</v>
      </c>
    </row>
    <row r="1923">
      <c r="A1923" s="4">
        <v>1923.0</v>
      </c>
      <c r="B1923" s="5" t="s">
        <v>10506</v>
      </c>
      <c r="C1923" s="5" t="s">
        <v>10507</v>
      </c>
      <c r="D1923" s="5" t="s">
        <v>10508</v>
      </c>
      <c r="E1923" s="6" t="s">
        <v>74</v>
      </c>
      <c r="F1923" s="6" t="s">
        <v>10509</v>
      </c>
      <c r="G1923" s="3" t="str">
        <f>IFERROR(__xludf.DUMMYFUNCTION("REGEXREPLACE(
D1923,
""([一-龯々]+)\[([^\]]+)\]"",
""&lt;ruby&gt;$1&lt;rt&gt;$2&lt;/rt&gt;&lt;/ruby&gt;""
)&amp;""&lt;br&gt;&lt;div class=""""audio""""&gt;[sound:""&amp;C1923&amp;"".mp3]&lt;/div&gt;"""),"&lt;ruby&gt;左右&lt;rt&gt;さゆう&lt;/rt&gt;&lt;/ruby&gt;&lt;br&gt;&lt;div class=""audio""&gt;[sound:さゆう.mp3]&lt;/div&gt;")</f>
        <v>&lt;ruby&gt;左右&lt;rt&gt;さゆう&lt;/rt&gt;&lt;/ruby&gt;&lt;br&gt;&lt;div class="audio"&gt;[sound:さゆう.mp3]&lt;/div&gt;</v>
      </c>
      <c r="H1923" s="3" t="str">
        <f t="shared" si="1"/>
        <v>(n): trái phải</v>
      </c>
      <c r="I1923" s="6" t="s">
        <v>10510</v>
      </c>
      <c r="J1923" s="6" t="s">
        <v>10511</v>
      </c>
      <c r="K1923" s="7">
        <f t="shared" si="2"/>
        <v>0.8374678764</v>
      </c>
    </row>
    <row r="1924">
      <c r="A1924" s="4">
        <v>1924.0</v>
      </c>
      <c r="B1924" s="5" t="s">
        <v>10512</v>
      </c>
      <c r="C1924" s="5" t="s">
        <v>10513</v>
      </c>
      <c r="D1924" s="5" t="s">
        <v>10514</v>
      </c>
      <c r="E1924" s="6" t="s">
        <v>74</v>
      </c>
      <c r="F1924" s="6" t="s">
        <v>3267</v>
      </c>
      <c r="G1924" s="3" t="str">
        <f>IFERROR(__xludf.DUMMYFUNCTION("REGEXREPLACE(
D1924,
""([一-龯々]+)\[([^\]]+)\]"",
""&lt;ruby&gt;$1&lt;rt&gt;$2&lt;/rt&gt;&lt;/ruby&gt;""
)&amp;""&lt;br&gt;&lt;div class=""""audio""""&gt;[sound:""&amp;C1924&amp;"".mp3]&lt;/div&gt;"""),"&lt;ruby&gt;計&lt;rt&gt;けい&lt;/rt&gt;&lt;/ruby&gt;&lt;br&gt;&lt;div class=""audio""&gt;[sound:けい.mp3]&lt;/div&gt;")</f>
        <v>&lt;ruby&gt;計&lt;rt&gt;けい&lt;/rt&gt;&lt;/ruby&gt;&lt;br&gt;&lt;div class="audio"&gt;[sound:けい.mp3]&lt;/div&gt;</v>
      </c>
      <c r="H1924" s="3" t="str">
        <f t="shared" si="1"/>
        <v>(n): tổng cộng</v>
      </c>
      <c r="I1924" s="6" t="s">
        <v>10515</v>
      </c>
      <c r="J1924" s="6" t="s">
        <v>10516</v>
      </c>
      <c r="K1924" s="7">
        <f t="shared" si="2"/>
        <v>0.3858775471</v>
      </c>
    </row>
    <row r="1925">
      <c r="A1925" s="4">
        <v>1925.0</v>
      </c>
      <c r="B1925" s="5" t="s">
        <v>10517</v>
      </c>
      <c r="C1925" s="5" t="s">
        <v>10517</v>
      </c>
      <c r="D1925" s="5" t="s">
        <v>10517</v>
      </c>
      <c r="E1925" s="6" t="s">
        <v>85</v>
      </c>
      <c r="F1925" s="6" t="s">
        <v>10518</v>
      </c>
      <c r="G1925" s="3" t="str">
        <f>IFERROR(__xludf.DUMMYFUNCTION("REGEXREPLACE(
D1925,
""([一-龯々]+)\[([^\]]+)\]"",
""&lt;ruby&gt;$1&lt;rt&gt;$2&lt;/rt&gt;&lt;/ruby&gt;""
)&amp;""&lt;br&gt;&lt;div class=""""audio""""&gt;[sound:""&amp;C1925&amp;"".mp3]&lt;/div&gt;"""),"ぜひとも&lt;br&gt;&lt;div class=""audio""&gt;[sound:ぜひとも.mp3]&lt;/div&gt;")</f>
        <v>ぜひとも&lt;br&gt;&lt;div class="audio"&gt;[sound:ぜひとも.mp3]&lt;/div&gt;</v>
      </c>
      <c r="H1925" s="3" t="str">
        <f t="shared" si="1"/>
        <v>(adv): rất mong</v>
      </c>
      <c r="I1925" s="6" t="s">
        <v>10519</v>
      </c>
      <c r="J1925" s="6" t="s">
        <v>10520</v>
      </c>
      <c r="K1925" s="7">
        <f t="shared" si="2"/>
        <v>0.7326706185</v>
      </c>
    </row>
    <row r="1926">
      <c r="A1926" s="4">
        <v>1926.0</v>
      </c>
      <c r="B1926" s="5" t="s">
        <v>10521</v>
      </c>
      <c r="C1926" s="5" t="s">
        <v>10522</v>
      </c>
      <c r="D1926" s="5" t="s">
        <v>10523</v>
      </c>
      <c r="E1926" s="6" t="s">
        <v>11</v>
      </c>
      <c r="F1926" s="6" t="s">
        <v>10524</v>
      </c>
      <c r="G1926" s="3" t="str">
        <f>IFERROR(__xludf.DUMMYFUNCTION("REGEXREPLACE(
D1926,
""([一-龯々]+)\[([^\]]+)\]"",
""&lt;ruby&gt;$1&lt;rt&gt;$2&lt;/rt&gt;&lt;/ruby&gt;""
)&amp;""&lt;br&gt;&lt;div class=""""audio""""&gt;[sound:""&amp;C1926&amp;"".mp3]&lt;/div&gt;"""),"&lt;ruby&gt;幸&lt;rt&gt;さ&lt;/rt&gt;&lt;/ruby&gt;い&lt;br&gt;&lt;div class=""audio""&gt;[sound:さいわい.mp3]&lt;/div&gt;")</f>
        <v>&lt;ruby&gt;幸&lt;rt&gt;さ&lt;/rt&gt;&lt;/ruby&gt;い&lt;br&gt;&lt;div class="audio"&gt;[sound:さいわい.mp3]&lt;/div&gt;</v>
      </c>
      <c r="H1926" s="3" t="str">
        <f t="shared" si="1"/>
        <v>(adj): may mắn</v>
      </c>
      <c r="I1926" s="6" t="s">
        <v>10525</v>
      </c>
      <c r="J1926" s="6" t="s">
        <v>10526</v>
      </c>
      <c r="K1926" s="7">
        <f t="shared" si="2"/>
        <v>0.2162768646</v>
      </c>
    </row>
    <row r="1927">
      <c r="A1927" s="4">
        <v>1927.0</v>
      </c>
      <c r="B1927" s="5" t="s">
        <v>10527</v>
      </c>
      <c r="C1927" s="5" t="s">
        <v>10528</v>
      </c>
      <c r="D1927" s="5" t="s">
        <v>10529</v>
      </c>
      <c r="E1927" s="6" t="s">
        <v>74</v>
      </c>
      <c r="F1927" s="6" t="s">
        <v>10530</v>
      </c>
      <c r="G1927" s="3" t="str">
        <f>IFERROR(__xludf.DUMMYFUNCTION("REGEXREPLACE(
D1927,
""([一-龯々]+)\[([^\]]+)\]"",
""&lt;ruby&gt;$1&lt;rt&gt;$2&lt;/rt&gt;&lt;/ruby&gt;""
)&amp;""&lt;br&gt;&lt;div class=""""audio""""&gt;[sound:""&amp;C1927&amp;"".mp3]&lt;/div&gt;"""),"&lt;ruby&gt;散歩&lt;rt&gt;さんぽ&lt;/rt&gt;&lt;/ruby&gt;&lt;br&gt;&lt;div class=""audio""&gt;[sound:さんぽ.mp3]&lt;/div&gt;")</f>
        <v>&lt;ruby&gt;散歩&lt;rt&gt;さんぽ&lt;/rt&gt;&lt;/ruby&gt;&lt;br&gt;&lt;div class="audio"&gt;[sound:さんぽ.mp3]&lt;/div&gt;</v>
      </c>
      <c r="H1927" s="3" t="str">
        <f t="shared" si="1"/>
        <v>(n): đi dạo</v>
      </c>
      <c r="I1927" s="6" t="s">
        <v>10531</v>
      </c>
      <c r="J1927" s="6" t="s">
        <v>10532</v>
      </c>
      <c r="K1927" s="7">
        <f t="shared" si="2"/>
        <v>0.7808191139</v>
      </c>
    </row>
    <row r="1928">
      <c r="A1928" s="4">
        <v>1928.0</v>
      </c>
      <c r="B1928" s="5" t="s">
        <v>10533</v>
      </c>
      <c r="C1928" s="5" t="s">
        <v>10534</v>
      </c>
      <c r="D1928" s="5" t="s">
        <v>10535</v>
      </c>
      <c r="E1928" s="6" t="s">
        <v>74</v>
      </c>
      <c r="F1928" s="6" t="s">
        <v>4042</v>
      </c>
      <c r="G1928" s="3" t="str">
        <f>IFERROR(__xludf.DUMMYFUNCTION("REGEXREPLACE(
D1928,
""([一-龯々]+)\[([^\]]+)\]"",
""&lt;ruby&gt;$1&lt;rt&gt;$2&lt;/rt&gt;&lt;/ruby&gt;""
)&amp;""&lt;br&gt;&lt;div class=""""audio""""&gt;[sound:""&amp;C1928&amp;"".mp3]&lt;/div&gt;"""),"&lt;ruby&gt;訳&lt;rt&gt;わけ&lt;/rt&gt;&lt;/ruby&gt;&lt;br&gt;&lt;div class=""audio""&gt;[sound:わけ.mp3]&lt;/div&gt;")</f>
        <v>&lt;ruby&gt;訳&lt;rt&gt;わけ&lt;/rt&gt;&lt;/ruby&gt;&lt;br&gt;&lt;div class="audio"&gt;[sound:わけ.mp3]&lt;/div&gt;</v>
      </c>
      <c r="H1928" s="3" t="str">
        <f t="shared" si="1"/>
        <v>(n): lý do</v>
      </c>
      <c r="I1928" s="6" t="s">
        <v>10536</v>
      </c>
      <c r="J1928" s="6" t="s">
        <v>10537</v>
      </c>
      <c r="K1928" s="7">
        <f t="shared" si="2"/>
        <v>0.8894342772</v>
      </c>
    </row>
    <row r="1929">
      <c r="A1929" s="4">
        <v>1929.0</v>
      </c>
      <c r="B1929" s="5" t="s">
        <v>10538</v>
      </c>
      <c r="C1929" s="5" t="s">
        <v>10539</v>
      </c>
      <c r="D1929" s="5" t="s">
        <v>10540</v>
      </c>
      <c r="E1929" s="6" t="s">
        <v>74</v>
      </c>
      <c r="F1929" s="6" t="s">
        <v>10541</v>
      </c>
      <c r="G1929" s="3" t="str">
        <f>IFERROR(__xludf.DUMMYFUNCTION("REGEXREPLACE(
D1929,
""([一-龯々]+)\[([^\]]+)\]"",
""&lt;ruby&gt;$1&lt;rt&gt;$2&lt;/rt&gt;&lt;/ruby&gt;""
)&amp;""&lt;br&gt;&lt;div class=""""audio""""&gt;[sound:""&amp;C1929&amp;"".mp3]&lt;/div&gt;"""),"&lt;ruby&gt;乗&lt;rt&gt;の&lt;/rt&gt;&lt;/ruby&gt;り&lt;ruby&gt;物&lt;rt&gt;もの&lt;/rt&gt;&lt;/ruby&gt;&lt;br&gt;&lt;div class=""audio""&gt;[sound:のりもの.mp3]&lt;/div&gt;")</f>
        <v>&lt;ruby&gt;乗&lt;rt&gt;の&lt;/rt&gt;&lt;/ruby&gt;り&lt;ruby&gt;物&lt;rt&gt;もの&lt;/rt&gt;&lt;/ruby&gt;&lt;br&gt;&lt;div class="audio"&gt;[sound:のりもの.mp3]&lt;/div&gt;</v>
      </c>
      <c r="H1929" s="3" t="str">
        <f t="shared" si="1"/>
        <v>(n): phương tiện</v>
      </c>
      <c r="I1929" s="6" t="s">
        <v>10542</v>
      </c>
      <c r="J1929" s="6" t="s">
        <v>10543</v>
      </c>
      <c r="K1929" s="7">
        <f t="shared" si="2"/>
        <v>0.5228544735</v>
      </c>
    </row>
    <row r="1930">
      <c r="A1930" s="4">
        <v>1930.0</v>
      </c>
      <c r="B1930" s="5" t="s">
        <v>10544</v>
      </c>
      <c r="C1930" s="5" t="s">
        <v>10545</v>
      </c>
      <c r="D1930" s="5" t="s">
        <v>10546</v>
      </c>
      <c r="E1930" s="6" t="s">
        <v>74</v>
      </c>
      <c r="F1930" s="6" t="s">
        <v>10547</v>
      </c>
      <c r="G1930" s="3" t="str">
        <f>IFERROR(__xludf.DUMMYFUNCTION("REGEXREPLACE(
D1930,
""([一-龯々]+)\[([^\]]+)\]"",
""&lt;ruby&gt;$1&lt;rt&gt;$2&lt;/rt&gt;&lt;/ruby&gt;""
)&amp;""&lt;br&gt;&lt;div class=""""audio""""&gt;[sound:""&amp;C1930&amp;"".mp3]&lt;/div&gt;"""),"&lt;ruby&gt;一人一人&lt;rt&gt;ひとりひとり&lt;/rt&gt;&lt;/ruby&gt;&lt;br&gt;&lt;div class=""audio""&gt;[sound:ひとりひとり.mp3]&lt;/div&gt;")</f>
        <v>&lt;ruby&gt;一人一人&lt;rt&gt;ひとりひとり&lt;/rt&gt;&lt;/ruby&gt;&lt;br&gt;&lt;div class="audio"&gt;[sound:ひとりひとり.mp3]&lt;/div&gt;</v>
      </c>
      <c r="H1930" s="3" t="str">
        <f t="shared" si="1"/>
        <v>(n): từng người</v>
      </c>
      <c r="I1930" s="6" t="s">
        <v>10548</v>
      </c>
      <c r="J1930" s="6" t="s">
        <v>10549</v>
      </c>
      <c r="K1930" s="7">
        <f t="shared" si="2"/>
        <v>0.3796391828</v>
      </c>
    </row>
    <row r="1931">
      <c r="A1931" s="4">
        <v>1931.0</v>
      </c>
      <c r="B1931" s="5" t="s">
        <v>10550</v>
      </c>
      <c r="C1931" s="5" t="s">
        <v>10551</v>
      </c>
      <c r="D1931" s="5" t="s">
        <v>10552</v>
      </c>
      <c r="E1931" s="6" t="s">
        <v>74</v>
      </c>
      <c r="F1931" s="6" t="s">
        <v>10553</v>
      </c>
      <c r="G1931" s="3" t="str">
        <f>IFERROR(__xludf.DUMMYFUNCTION("REGEXREPLACE(
D1931,
""([一-龯々]+)\[([^\]]+)\]"",
""&lt;ruby&gt;$1&lt;rt&gt;$2&lt;/rt&gt;&lt;/ruby&gt;""
)&amp;""&lt;br&gt;&lt;div class=""""audio""""&gt;[sound:""&amp;C1931&amp;"".mp3]&lt;/div&gt;"""),"&lt;ruby&gt;一瞬&lt;rt&gt;いっしゅん&lt;/rt&gt;&lt;/ruby&gt;&lt;br&gt;&lt;div class=""audio""&gt;[sound:いっしゅん.mp3]&lt;/div&gt;")</f>
        <v>&lt;ruby&gt;一瞬&lt;rt&gt;いっしゅん&lt;/rt&gt;&lt;/ruby&gt;&lt;br&gt;&lt;div class="audio"&gt;[sound:いっしゅん.mp3]&lt;/div&gt;</v>
      </c>
      <c r="H1931" s="3" t="str">
        <f t="shared" si="1"/>
        <v>(n): một thoáng</v>
      </c>
      <c r="I1931" s="6" t="s">
        <v>10554</v>
      </c>
      <c r="J1931" s="6" t="s">
        <v>10555</v>
      </c>
      <c r="K1931" s="7">
        <f t="shared" si="2"/>
        <v>0.5345437496</v>
      </c>
    </row>
    <row r="1932">
      <c r="A1932" s="4">
        <v>1932.0</v>
      </c>
      <c r="B1932" s="5" t="s">
        <v>10556</v>
      </c>
      <c r="C1932" s="5" t="s">
        <v>10556</v>
      </c>
      <c r="D1932" s="5" t="s">
        <v>10556</v>
      </c>
      <c r="E1932" s="6" t="s">
        <v>85</v>
      </c>
      <c r="F1932" s="6" t="s">
        <v>2262</v>
      </c>
      <c r="G1932" s="3" t="str">
        <f>IFERROR(__xludf.DUMMYFUNCTION("REGEXREPLACE(
D1932,
""([一-龯々]+)\[([^\]]+)\]"",
""&lt;ruby&gt;$1&lt;rt&gt;$2&lt;/rt&gt;&lt;/ruby&gt;""
)&amp;""&lt;br&gt;&lt;div class=""""audio""""&gt;[sound:""&amp;C1932&amp;"".mp3]&lt;/div&gt;"""),"とうとう&lt;br&gt;&lt;div class=""audio""&gt;[sound:とうとう.mp3]&lt;/div&gt;")</f>
        <v>とうとう&lt;br&gt;&lt;div class="audio"&gt;[sound:とうとう.mp3]&lt;/div&gt;</v>
      </c>
      <c r="H1932" s="3" t="str">
        <f t="shared" si="1"/>
        <v>(adv): cuối cùng</v>
      </c>
      <c r="I1932" s="6" t="s">
        <v>10557</v>
      </c>
      <c r="J1932" s="6" t="s">
        <v>10558</v>
      </c>
      <c r="K1932" s="7">
        <f t="shared" si="2"/>
        <v>0.8813972267</v>
      </c>
    </row>
    <row r="1933">
      <c r="A1933" s="4">
        <v>1933.0</v>
      </c>
      <c r="B1933" s="5" t="s">
        <v>10559</v>
      </c>
      <c r="C1933" s="5" t="s">
        <v>10559</v>
      </c>
      <c r="D1933" s="5" t="s">
        <v>10559</v>
      </c>
      <c r="E1933" s="6" t="s">
        <v>24</v>
      </c>
      <c r="F1933" s="6" t="s">
        <v>10560</v>
      </c>
      <c r="G1933" s="3" t="str">
        <f>IFERROR(__xludf.DUMMYFUNCTION("REGEXREPLACE(
D1933,
""([一-龯々]+)\[([^\]]+)\]"",
""&lt;ruby&gt;$1&lt;rt&gt;$2&lt;/rt&gt;&lt;/ruby&gt;""
)&amp;""&lt;br&gt;&lt;div class=""""audio""""&gt;[sound:""&amp;C1933&amp;"".mp3]&lt;/div&gt;"""),"いじめる&lt;br&gt;&lt;div class=""audio""&gt;[sound:いじめる.mp3]&lt;/div&gt;")</f>
        <v>いじめる&lt;br&gt;&lt;div class="audio"&gt;[sound:いじめる.mp3]&lt;/div&gt;</v>
      </c>
      <c r="H1933" s="3" t="str">
        <f t="shared" si="1"/>
        <v>(v): bắt nạt</v>
      </c>
      <c r="I1933" s="6" t="s">
        <v>10561</v>
      </c>
      <c r="J1933" s="6" t="s">
        <v>10562</v>
      </c>
      <c r="K1933" s="7">
        <f t="shared" si="2"/>
        <v>0.4063669717</v>
      </c>
    </row>
    <row r="1934">
      <c r="A1934" s="4">
        <v>1934.0</v>
      </c>
      <c r="B1934" s="5" t="s">
        <v>10563</v>
      </c>
      <c r="C1934" s="5" t="s">
        <v>10564</v>
      </c>
      <c r="D1934" s="5" t="s">
        <v>10565</v>
      </c>
      <c r="E1934" s="6" t="s">
        <v>74</v>
      </c>
      <c r="F1934" s="6" t="s">
        <v>1262</v>
      </c>
      <c r="G1934" s="3" t="str">
        <f>IFERROR(__xludf.DUMMYFUNCTION("REGEXREPLACE(
D1934,
""([一-龯々]+)\[([^\]]+)\]"",
""&lt;ruby&gt;$1&lt;rt&gt;$2&lt;/rt&gt;&lt;/ruby&gt;""
)&amp;""&lt;br&gt;&lt;div class=""""audio""""&gt;[sound:""&amp;C1934&amp;"".mp3]&lt;/div&gt;"""),"&lt;ruby&gt;苦労&lt;rt&gt;くろう&lt;/rt&gt;&lt;/ruby&gt;&lt;br&gt;&lt;div class=""audio""&gt;[sound:くろう.mp3]&lt;/div&gt;")</f>
        <v>&lt;ruby&gt;苦労&lt;rt&gt;くろう&lt;/rt&gt;&lt;/ruby&gt;&lt;br&gt;&lt;div class="audio"&gt;[sound:くろう.mp3]&lt;/div&gt;</v>
      </c>
      <c r="H1934" s="3" t="str">
        <f t="shared" si="1"/>
        <v>(n): vất vả</v>
      </c>
      <c r="I1934" s="6" t="s">
        <v>10566</v>
      </c>
      <c r="J1934" s="6" t="s">
        <v>10567</v>
      </c>
      <c r="K1934" s="7">
        <f t="shared" si="2"/>
        <v>0.03459185206</v>
      </c>
    </row>
    <row r="1935">
      <c r="A1935" s="4">
        <v>1935.0</v>
      </c>
      <c r="B1935" s="5" t="s">
        <v>10568</v>
      </c>
      <c r="C1935" s="5" t="s">
        <v>10569</v>
      </c>
      <c r="D1935" s="5" t="s">
        <v>10570</v>
      </c>
      <c r="E1935" s="6" t="s">
        <v>74</v>
      </c>
      <c r="F1935" s="6" t="s">
        <v>10571</v>
      </c>
      <c r="G1935" s="3" t="str">
        <f>IFERROR(__xludf.DUMMYFUNCTION("REGEXREPLACE(
D1935,
""([一-龯々]+)\[([^\]]+)\]"",
""&lt;ruby&gt;$1&lt;rt&gt;$2&lt;/rt&gt;&lt;/ruby&gt;""
)&amp;""&lt;br&gt;&lt;div class=""""audio""""&gt;[sound:""&amp;C1935&amp;"".mp3]&lt;/div&gt;"""),"&lt;ruby&gt;当日&lt;rt&gt;とうじつ&lt;/rt&gt;&lt;/ruby&gt;&lt;br&gt;&lt;div class=""audio""&gt;[sound:とうじつ.mp3]&lt;/div&gt;")</f>
        <v>&lt;ruby&gt;当日&lt;rt&gt;とうじつ&lt;/rt&gt;&lt;/ruby&gt;&lt;br&gt;&lt;div class="audio"&gt;[sound:とうじつ.mp3]&lt;/div&gt;</v>
      </c>
      <c r="H1935" s="3" t="str">
        <f t="shared" si="1"/>
        <v>(n): ngày hôm đó</v>
      </c>
      <c r="I1935" s="6" t="s">
        <v>10572</v>
      </c>
      <c r="J1935" s="6" t="s">
        <v>10573</v>
      </c>
      <c r="K1935" s="7">
        <f t="shared" si="2"/>
        <v>0.5473916973</v>
      </c>
    </row>
    <row r="1936">
      <c r="A1936" s="4">
        <v>1936.0</v>
      </c>
      <c r="B1936" s="5" t="s">
        <v>10574</v>
      </c>
      <c r="C1936" s="5" t="s">
        <v>10575</v>
      </c>
      <c r="D1936" s="5" t="s">
        <v>10576</v>
      </c>
      <c r="E1936" s="6" t="s">
        <v>85</v>
      </c>
      <c r="F1936" s="6" t="s">
        <v>1544</v>
      </c>
      <c r="G1936" s="3" t="str">
        <f>IFERROR(__xludf.DUMMYFUNCTION("REGEXREPLACE(
D1936,
""([一-龯々]+)\[([^\]]+)\]"",
""&lt;ruby&gt;$1&lt;rt&gt;$2&lt;/rt&gt;&lt;/ruby&gt;""
)&amp;""&lt;br&gt;&lt;div class=""""audio""""&gt;[sound:""&amp;C1936&amp;"".mp3]&lt;/div&gt;"""),"&lt;ruby&gt;決&lt;rt&gt;けっ&lt;/rt&gt;&lt;/ruby&gt;して&lt;br&gt;&lt;div class=""audio""&gt;[sound:けっして.mp3]&lt;/div&gt;")</f>
        <v>&lt;ruby&gt;決&lt;rt&gt;けっ&lt;/rt&gt;&lt;/ruby&gt;して&lt;br&gt;&lt;div class="audio"&gt;[sound:けっして.mp3]&lt;/div&gt;</v>
      </c>
      <c r="H1936" s="3" t="str">
        <f t="shared" si="1"/>
        <v>(adv): tuyệt đối</v>
      </c>
      <c r="I1936" s="6" t="s">
        <v>10577</v>
      </c>
      <c r="J1936" s="6" t="s">
        <v>10578</v>
      </c>
      <c r="K1936" s="7">
        <f t="shared" si="2"/>
        <v>0.7949217135</v>
      </c>
    </row>
    <row r="1937">
      <c r="A1937" s="4">
        <v>1937.0</v>
      </c>
      <c r="B1937" s="5" t="s">
        <v>10579</v>
      </c>
      <c r="C1937" s="5" t="s">
        <v>10580</v>
      </c>
      <c r="D1937" s="5" t="s">
        <v>10581</v>
      </c>
      <c r="E1937" s="6" t="s">
        <v>24</v>
      </c>
      <c r="F1937" s="6" t="s">
        <v>1432</v>
      </c>
      <c r="G1937" s="3" t="str">
        <f>IFERROR(__xludf.DUMMYFUNCTION("REGEXREPLACE(
D1937,
""([一-龯々]+)\[([^\]]+)\]"",
""&lt;ruby&gt;$1&lt;rt&gt;$2&lt;/rt&gt;&lt;/ruby&gt;""
)&amp;""&lt;br&gt;&lt;div class=""""audio""""&gt;[sound:""&amp;C1937&amp;"".mp3]&lt;/div&gt;"""),"&lt;ruby&gt;勤&lt;rt&gt;つと&lt;/rt&gt;&lt;/ruby&gt;める&lt;br&gt;&lt;div class=""audio""&gt;[sound:つとめる.mp3]&lt;/div&gt;")</f>
        <v>&lt;ruby&gt;勤&lt;rt&gt;つと&lt;/rt&gt;&lt;/ruby&gt;める&lt;br&gt;&lt;div class="audio"&gt;[sound:つとめる.mp3]&lt;/div&gt;</v>
      </c>
      <c r="H1937" s="3" t="str">
        <f t="shared" si="1"/>
        <v>(v): làm việc</v>
      </c>
      <c r="I1937" s="6" t="s">
        <v>10582</v>
      </c>
      <c r="J1937" s="6" t="s">
        <v>1434</v>
      </c>
      <c r="K1937" s="7">
        <f t="shared" si="2"/>
        <v>0.1175508137</v>
      </c>
    </row>
    <row r="1938">
      <c r="A1938" s="4">
        <v>1938.0</v>
      </c>
      <c r="B1938" s="5" t="s">
        <v>10583</v>
      </c>
      <c r="C1938" s="5" t="s">
        <v>10584</v>
      </c>
      <c r="D1938" s="5" t="s">
        <v>10585</v>
      </c>
      <c r="E1938" s="6" t="s">
        <v>74</v>
      </c>
      <c r="F1938" s="6" t="s">
        <v>10586</v>
      </c>
      <c r="G1938" s="3" t="str">
        <f>IFERROR(__xludf.DUMMYFUNCTION("REGEXREPLACE(
D1938,
""([一-龯々]+)\[([^\]]+)\]"",
""&lt;ruby&gt;$1&lt;rt&gt;$2&lt;/rt&gt;&lt;/ruby&gt;""
)&amp;""&lt;br&gt;&lt;div class=""""audio""""&gt;[sound:""&amp;C1938&amp;"".mp3]&lt;/div&gt;"""),"&lt;ruby&gt;統計&lt;rt&gt;とうけい&lt;/rt&gt;&lt;/ruby&gt;&lt;br&gt;&lt;div class=""audio""&gt;[sound:とうけい.mp3]&lt;/div&gt;")</f>
        <v>&lt;ruby&gt;統計&lt;rt&gt;とうけい&lt;/rt&gt;&lt;/ruby&gt;&lt;br&gt;&lt;div class="audio"&gt;[sound:とうけい.mp3]&lt;/div&gt;</v>
      </c>
      <c r="H1938" s="3" t="str">
        <f t="shared" si="1"/>
        <v>(n): thống kê</v>
      </c>
      <c r="I1938" s="6" t="s">
        <v>10587</v>
      </c>
      <c r="J1938" s="6" t="s">
        <v>10588</v>
      </c>
      <c r="K1938" s="7">
        <f t="shared" si="2"/>
        <v>0.7180970801</v>
      </c>
    </row>
    <row r="1939">
      <c r="A1939" s="4">
        <v>1939.0</v>
      </c>
      <c r="B1939" s="5" t="s">
        <v>10589</v>
      </c>
      <c r="C1939" s="5" t="s">
        <v>10590</v>
      </c>
      <c r="D1939" s="5" t="s">
        <v>10591</v>
      </c>
      <c r="E1939" s="6" t="s">
        <v>74</v>
      </c>
      <c r="F1939" s="6" t="s">
        <v>8066</v>
      </c>
      <c r="G1939" s="3" t="str">
        <f>IFERROR(__xludf.DUMMYFUNCTION("REGEXREPLACE(
D1939,
""([一-龯々]+)\[([^\]]+)\]"",
""&lt;ruby&gt;$1&lt;rt&gt;$2&lt;/rt&gt;&lt;/ruby&gt;""
)&amp;""&lt;br&gt;&lt;div class=""""audio""""&gt;[sound:""&amp;C1939&amp;"".mp3]&lt;/div&gt;"""),"&lt;ruby&gt;設備&lt;rt&gt;せつび&lt;/rt&gt;&lt;/ruby&gt;&lt;br&gt;&lt;div class=""audio""&gt;[sound:せつび.mp3]&lt;/div&gt;")</f>
        <v>&lt;ruby&gt;設備&lt;rt&gt;せつび&lt;/rt&gt;&lt;/ruby&gt;&lt;br&gt;&lt;div class="audio"&gt;[sound:せつび.mp3]&lt;/div&gt;</v>
      </c>
      <c r="H1939" s="3" t="str">
        <f t="shared" si="1"/>
        <v>(n): thiết bị</v>
      </c>
      <c r="I1939" s="6" t="s">
        <v>10592</v>
      </c>
      <c r="J1939" s="6" t="s">
        <v>10593</v>
      </c>
      <c r="K1939" s="7">
        <f t="shared" si="2"/>
        <v>0.5965857587</v>
      </c>
    </row>
    <row r="1940">
      <c r="A1940" s="4">
        <v>1940.0</v>
      </c>
      <c r="B1940" s="5" t="s">
        <v>10594</v>
      </c>
      <c r="C1940" s="5" t="s">
        <v>10595</v>
      </c>
      <c r="D1940" s="5" t="s">
        <v>10596</v>
      </c>
      <c r="E1940" s="6" t="s">
        <v>11</v>
      </c>
      <c r="F1940" s="6" t="s">
        <v>4554</v>
      </c>
      <c r="G1940" s="3" t="str">
        <f>IFERROR(__xludf.DUMMYFUNCTION("REGEXREPLACE(
D1940,
""([一-龯々]+)\[([^\]]+)\]"",
""&lt;ruby&gt;$1&lt;rt&gt;$2&lt;/rt&gt;&lt;/ruby&gt;""
)&amp;""&lt;br&gt;&lt;div class=""""audio""""&gt;[sound:""&amp;C1940&amp;"".mp3]&lt;/div&gt;"""),"&lt;ruby&gt;詳&lt;rt&gt;くわ&lt;/rt&gt;&lt;/ruby&gt;しい&lt;br&gt;&lt;div class=""audio""&gt;[sound:くわしい.mp3]&lt;/div&gt;")</f>
        <v>&lt;ruby&gt;詳&lt;rt&gt;くわ&lt;/rt&gt;&lt;/ruby&gt;しい&lt;br&gt;&lt;div class="audio"&gt;[sound:くわしい.mp3]&lt;/div&gt;</v>
      </c>
      <c r="H1940" s="3" t="str">
        <f t="shared" si="1"/>
        <v>(adj): chi tiết</v>
      </c>
      <c r="I1940" s="6" t="s">
        <v>10597</v>
      </c>
      <c r="J1940" s="6" t="s">
        <v>10598</v>
      </c>
      <c r="K1940" s="7">
        <f t="shared" si="2"/>
        <v>0.675809405</v>
      </c>
    </row>
    <row r="1941">
      <c r="A1941" s="4">
        <v>1941.0</v>
      </c>
      <c r="B1941" s="5" t="s">
        <v>10599</v>
      </c>
      <c r="C1941" s="5" t="s">
        <v>10600</v>
      </c>
      <c r="D1941" s="5" t="s">
        <v>10601</v>
      </c>
      <c r="E1941" s="6" t="s">
        <v>11</v>
      </c>
      <c r="F1941" s="6" t="s">
        <v>10602</v>
      </c>
      <c r="G1941" s="3" t="str">
        <f>IFERROR(__xludf.DUMMYFUNCTION("REGEXREPLACE(
D1941,
""([一-龯々]+)\[([^\]]+)\]"",
""&lt;ruby&gt;$1&lt;rt&gt;$2&lt;/rt&gt;&lt;/ruby&gt;""
)&amp;""&lt;br&gt;&lt;div class=""""audio""""&gt;[sound:""&amp;C1941&amp;"".mp3]&lt;/div&gt;"""),"&lt;ruby&gt;黒&lt;rt&gt;くろ&lt;/rt&gt;&lt;/ruby&gt;い&lt;br&gt;&lt;div class=""audio""&gt;[sound:くろい.mp3]&lt;/div&gt;")</f>
        <v>&lt;ruby&gt;黒&lt;rt&gt;くろ&lt;/rt&gt;&lt;/ruby&gt;い&lt;br&gt;&lt;div class="audio"&gt;[sound:くろい.mp3]&lt;/div&gt;</v>
      </c>
      <c r="H1941" s="3" t="str">
        <f t="shared" si="1"/>
        <v>(adj): màu đen</v>
      </c>
      <c r="I1941" s="6" t="s">
        <v>10603</v>
      </c>
      <c r="J1941" s="6" t="s">
        <v>10604</v>
      </c>
      <c r="K1941" s="7">
        <f t="shared" si="2"/>
        <v>0.4974782104</v>
      </c>
    </row>
    <row r="1942">
      <c r="A1942" s="4">
        <v>1942.0</v>
      </c>
      <c r="B1942" s="5" t="s">
        <v>10605</v>
      </c>
      <c r="C1942" s="5" t="s">
        <v>10605</v>
      </c>
      <c r="D1942" s="5" t="s">
        <v>10605</v>
      </c>
      <c r="E1942" s="6" t="s">
        <v>85</v>
      </c>
      <c r="F1942" s="6" t="s">
        <v>3963</v>
      </c>
      <c r="G1942" s="3" t="str">
        <f>IFERROR(__xludf.DUMMYFUNCTION("REGEXREPLACE(
D1942,
""([一-龯々]+)\[([^\]]+)\]"",
""&lt;ruby&gt;$1&lt;rt&gt;$2&lt;/rt&gt;&lt;/ruby&gt;""
)&amp;""&lt;br&gt;&lt;div class=""""audio""""&gt;[sound:""&amp;C1942&amp;"".mp3]&lt;/div&gt;"""),"たっぷり&lt;br&gt;&lt;div class=""audio""&gt;[sound:たっぷり.mp3]&lt;/div&gt;")</f>
        <v>たっぷり&lt;br&gt;&lt;div class="audio"&gt;[sound:たっぷり.mp3]&lt;/div&gt;</v>
      </c>
      <c r="H1942" s="3" t="str">
        <f t="shared" si="1"/>
        <v>(adv): đầy đủ</v>
      </c>
      <c r="I1942" s="6" t="s">
        <v>10606</v>
      </c>
      <c r="J1942" s="6" t="s">
        <v>10607</v>
      </c>
      <c r="K1942" s="7">
        <f t="shared" si="2"/>
        <v>0.852379172</v>
      </c>
    </row>
    <row r="1943">
      <c r="A1943" s="4">
        <v>1943.0</v>
      </c>
      <c r="B1943" s="5" t="s">
        <v>10608</v>
      </c>
      <c r="C1943" s="5" t="s">
        <v>10608</v>
      </c>
      <c r="D1943" s="5" t="s">
        <v>10608</v>
      </c>
      <c r="E1943" s="6" t="s">
        <v>85</v>
      </c>
      <c r="F1943" s="6" t="s">
        <v>7005</v>
      </c>
      <c r="G1943" s="3" t="str">
        <f>IFERROR(__xludf.DUMMYFUNCTION("REGEXREPLACE(
D1943,
""([一-龯々]+)\[([^\]]+)\]"",
""&lt;ruby&gt;$1&lt;rt&gt;$2&lt;/rt&gt;&lt;/ruby&gt;""
)&amp;""&lt;br&gt;&lt;div class=""""audio""""&gt;[sound:""&amp;C1943&amp;"".mp3]&lt;/div&gt;"""),"たとえ&lt;br&gt;&lt;div class=""audio""&gt;[sound:たとえ.mp3]&lt;/div&gt;")</f>
        <v>たとえ&lt;br&gt;&lt;div class="audio"&gt;[sound:たとえ.mp3]&lt;/div&gt;</v>
      </c>
      <c r="H1943" s="3" t="str">
        <f t="shared" si="1"/>
        <v>(adv): giả sử</v>
      </c>
      <c r="I1943" s="6" t="s">
        <v>10609</v>
      </c>
      <c r="J1943" s="6" t="s">
        <v>10610</v>
      </c>
      <c r="K1943" s="7">
        <f t="shared" si="2"/>
        <v>0.05579045161</v>
      </c>
    </row>
    <row r="1944">
      <c r="A1944" s="4">
        <v>1944.0</v>
      </c>
      <c r="B1944" s="5" t="s">
        <v>10611</v>
      </c>
      <c r="C1944" s="5" t="s">
        <v>10611</v>
      </c>
      <c r="D1944" s="5" t="s">
        <v>10611</v>
      </c>
      <c r="E1944" s="6" t="s">
        <v>90</v>
      </c>
      <c r="F1944" s="6" t="s">
        <v>1015</v>
      </c>
      <c r="G1944" s="3" t="str">
        <f>IFERROR(__xludf.DUMMYFUNCTION("REGEXREPLACE(
D1944,
""([一-龯々]+)\[([^\]]+)\]"",
""&lt;ruby&gt;$1&lt;rt&gt;$2&lt;/rt&gt;&lt;/ruby&gt;""
)&amp;""&lt;br&gt;&lt;div class=""""audio""""&gt;[sound:""&amp;C1944&amp;"".mp3]&lt;/div&gt;"""),"したがって&lt;br&gt;&lt;div class=""audio""&gt;[sound:したがって.mp3]&lt;/div&gt;")</f>
        <v>したがって&lt;br&gt;&lt;div class="audio"&gt;[sound:したがって.mp3]&lt;/div&gt;</v>
      </c>
      <c r="H1944" s="3" t="str">
        <f t="shared" si="1"/>
        <v>(conj): do đó</v>
      </c>
      <c r="I1944" s="6" t="s">
        <v>10612</v>
      </c>
      <c r="J1944" s="6" t="s">
        <v>10613</v>
      </c>
      <c r="K1944" s="7">
        <f t="shared" si="2"/>
        <v>0.2568699196</v>
      </c>
    </row>
    <row r="1945">
      <c r="A1945" s="4">
        <v>1945.0</v>
      </c>
      <c r="B1945" s="5" t="s">
        <v>10614</v>
      </c>
      <c r="C1945" s="5" t="s">
        <v>10615</v>
      </c>
      <c r="D1945" s="5" t="s">
        <v>10616</v>
      </c>
      <c r="E1945" s="6" t="s">
        <v>24</v>
      </c>
      <c r="F1945" s="6" t="s">
        <v>10617</v>
      </c>
      <c r="G1945" s="3" t="str">
        <f>IFERROR(__xludf.DUMMYFUNCTION("REGEXREPLACE(
D1945,
""([一-龯々]+)\[([^\]]+)\]"",
""&lt;ruby&gt;$1&lt;rt&gt;$2&lt;/rt&gt;&lt;/ruby&gt;""
)&amp;""&lt;br&gt;&lt;div class=""""audio""""&gt;[sound:""&amp;C1945&amp;"".mp3]&lt;/div&gt;"""),"&lt;ruby&gt;引&lt;rt&gt;ひ&lt;/rt&gt;&lt;/ruby&gt;っ&lt;ruby&gt;掛&lt;rt&gt;か&lt;/rt&gt;&lt;/ruby&gt;かる&lt;br&gt;&lt;div class=""audio""&gt;[sound:ひっかかる.mp3]&lt;/div&gt;")</f>
        <v>&lt;ruby&gt;引&lt;rt&gt;ひ&lt;/rt&gt;&lt;/ruby&gt;っ&lt;ruby&gt;掛&lt;rt&gt;か&lt;/rt&gt;&lt;/ruby&gt;かる&lt;br&gt;&lt;div class="audio"&gt;[sound:ひっかかる.mp3]&lt;/div&gt;</v>
      </c>
      <c r="H1945" s="3" t="str">
        <f t="shared" si="1"/>
        <v>(v): vướng</v>
      </c>
      <c r="I1945" s="6" t="s">
        <v>10618</v>
      </c>
      <c r="J1945" s="6" t="s">
        <v>10619</v>
      </c>
      <c r="K1945" s="7">
        <f t="shared" si="2"/>
        <v>0.1054126538</v>
      </c>
    </row>
    <row r="1946">
      <c r="A1946" s="4">
        <v>1946.0</v>
      </c>
      <c r="B1946" s="5" t="s">
        <v>10620</v>
      </c>
      <c r="C1946" s="5" t="s">
        <v>10621</v>
      </c>
      <c r="D1946" s="5" t="s">
        <v>10622</v>
      </c>
      <c r="E1946" s="6" t="s">
        <v>24</v>
      </c>
      <c r="F1946" s="6" t="s">
        <v>2048</v>
      </c>
      <c r="G1946" s="3" t="str">
        <f>IFERROR(__xludf.DUMMYFUNCTION("REGEXREPLACE(
D1946,
""([一-龯々]+)\[([^\]]+)\]"",
""&lt;ruby&gt;$1&lt;rt&gt;$2&lt;/rt&gt;&lt;/ruby&gt;""
)&amp;""&lt;br&gt;&lt;div class=""""audio""""&gt;[sound:""&amp;C1946&amp;"".mp3]&lt;/div&gt;"""),"&lt;ruby&gt;問&lt;rt&gt;と&lt;/rt&gt;&lt;/ruby&gt;う&lt;br&gt;&lt;div class=""audio""&gt;[sound:とう.mp3]&lt;/div&gt;")</f>
        <v>&lt;ruby&gt;問&lt;rt&gt;と&lt;/rt&gt;&lt;/ruby&gt;う&lt;br&gt;&lt;div class="audio"&gt;[sound:とう.mp3]&lt;/div&gt;</v>
      </c>
      <c r="H1946" s="3" t="str">
        <f t="shared" si="1"/>
        <v>(v): hỏi</v>
      </c>
      <c r="I1946" s="6" t="s">
        <v>10623</v>
      </c>
      <c r="J1946" s="6" t="s">
        <v>10624</v>
      </c>
      <c r="K1946" s="7">
        <f t="shared" si="2"/>
        <v>0.2280905916</v>
      </c>
    </row>
    <row r="1947">
      <c r="A1947" s="4">
        <v>1947.0</v>
      </c>
      <c r="B1947" s="5" t="s">
        <v>10625</v>
      </c>
      <c r="C1947" s="5" t="s">
        <v>10626</v>
      </c>
      <c r="D1947" s="5" t="s">
        <v>10627</v>
      </c>
      <c r="E1947" s="6" t="s">
        <v>74</v>
      </c>
      <c r="F1947" s="6" t="s">
        <v>10628</v>
      </c>
      <c r="G1947" s="3" t="str">
        <f>IFERROR(__xludf.DUMMYFUNCTION("REGEXREPLACE(
D1947,
""([一-龯々]+)\[([^\]]+)\]"",
""&lt;ruby&gt;$1&lt;rt&gt;$2&lt;/rt&gt;&lt;/ruby&gt;""
)&amp;""&lt;br&gt;&lt;div class=""""audio""""&gt;[sound:""&amp;C1947&amp;"".mp3]&lt;/div&gt;"""),"&lt;ruby&gt;研究室&lt;rt&gt;けんきゅうしつ&lt;/rt&gt;&lt;/ruby&gt;&lt;br&gt;&lt;div class=""audio""&gt;[sound:けんきゅうしつ.mp3]&lt;/div&gt;")</f>
        <v>&lt;ruby&gt;研究室&lt;rt&gt;けんきゅうしつ&lt;/rt&gt;&lt;/ruby&gt;&lt;br&gt;&lt;div class="audio"&gt;[sound:けんきゅうしつ.mp3]&lt;/div&gt;</v>
      </c>
      <c r="H1947" s="3" t="str">
        <f t="shared" si="1"/>
        <v>(n): phòng nghiên cứu</v>
      </c>
      <c r="I1947" s="6" t="s">
        <v>10629</v>
      </c>
      <c r="J1947" s="6" t="s">
        <v>10630</v>
      </c>
      <c r="K1947" s="7">
        <f t="shared" si="2"/>
        <v>0.9703441287</v>
      </c>
    </row>
    <row r="1948">
      <c r="A1948" s="4">
        <v>1948.0</v>
      </c>
      <c r="B1948" s="5" t="s">
        <v>10631</v>
      </c>
      <c r="C1948" s="5" t="s">
        <v>10631</v>
      </c>
      <c r="D1948" s="5" t="s">
        <v>10631</v>
      </c>
      <c r="E1948" s="6" t="s">
        <v>85</v>
      </c>
      <c r="F1948" s="6" t="s">
        <v>10632</v>
      </c>
      <c r="G1948" s="3" t="str">
        <f>IFERROR(__xludf.DUMMYFUNCTION("REGEXREPLACE(
D1948,
""([一-龯々]+)\[([^\]]+)\]"",
""&lt;ruby&gt;$1&lt;rt&gt;$2&lt;/rt&gt;&lt;/ruby&gt;""
)&amp;""&lt;br&gt;&lt;div class=""""audio""""&gt;[sound:""&amp;C1948&amp;"".mp3]&lt;/div&gt;"""),"なんとなく&lt;br&gt;&lt;div class=""audio""&gt;[sound:なんとなく.mp3]&lt;/div&gt;")</f>
        <v>なんとなく&lt;br&gt;&lt;div class="audio"&gt;[sound:なんとなく.mp3]&lt;/div&gt;</v>
      </c>
      <c r="H1948" s="3" t="str">
        <f t="shared" si="1"/>
        <v>(adv): không hiểu sao</v>
      </c>
      <c r="I1948" s="6" t="s">
        <v>10633</v>
      </c>
      <c r="J1948" s="6" t="s">
        <v>10634</v>
      </c>
      <c r="K1948" s="7">
        <f t="shared" si="2"/>
        <v>0.3891752611</v>
      </c>
    </row>
    <row r="1949">
      <c r="A1949" s="4">
        <v>1949.0</v>
      </c>
      <c r="B1949" s="5" t="s">
        <v>10635</v>
      </c>
      <c r="C1949" s="5" t="s">
        <v>10635</v>
      </c>
      <c r="D1949" s="5" t="s">
        <v>10635</v>
      </c>
      <c r="E1949" s="6" t="s">
        <v>74</v>
      </c>
      <c r="F1949" s="6" t="s">
        <v>10636</v>
      </c>
      <c r="G1949" s="3" t="str">
        <f>IFERROR(__xludf.DUMMYFUNCTION("REGEXREPLACE(
D1949,
""([一-龯々]+)\[([^\]]+)\]"",
""&lt;ruby&gt;$1&lt;rt&gt;$2&lt;/rt&gt;&lt;/ruby&gt;""
)&amp;""&lt;br&gt;&lt;div class=""""audio""""&gt;[sound:""&amp;C1949&amp;"".mp3]&lt;/div&gt;"""),"おやつ&lt;br&gt;&lt;div class=""audio""&gt;[sound:おやつ.mp3]&lt;/div&gt;")</f>
        <v>おやつ&lt;br&gt;&lt;div class="audio"&gt;[sound:おやつ.mp3]&lt;/div&gt;</v>
      </c>
      <c r="H1949" s="3" t="str">
        <f t="shared" si="1"/>
        <v>(n): bữa ăn nhẹ</v>
      </c>
      <c r="I1949" s="6" t="s">
        <v>10637</v>
      </c>
      <c r="J1949" s="6" t="s">
        <v>10638</v>
      </c>
      <c r="K1949" s="7">
        <f t="shared" si="2"/>
        <v>0.9490117554</v>
      </c>
    </row>
    <row r="1950">
      <c r="A1950" s="4">
        <v>1950.0</v>
      </c>
      <c r="B1950" s="5" t="s">
        <v>10639</v>
      </c>
      <c r="C1950" s="5" t="s">
        <v>10639</v>
      </c>
      <c r="D1950" s="5" t="s">
        <v>10639</v>
      </c>
      <c r="E1950" s="6" t="s">
        <v>74</v>
      </c>
      <c r="F1950" s="6" t="s">
        <v>10640</v>
      </c>
      <c r="G1950" s="3" t="str">
        <f>IFERROR(__xludf.DUMMYFUNCTION("REGEXREPLACE(
D1950,
""([一-龯々]+)\[([^\]]+)\]"",
""&lt;ruby&gt;$1&lt;rt&gt;$2&lt;/rt&gt;&lt;/ruby&gt;""
)&amp;""&lt;br&gt;&lt;div class=""""audio""""&gt;[sound:""&amp;C1950&amp;"".mp3]&lt;/div&gt;"""),"かっこう&lt;br&gt;&lt;div class=""audio""&gt;[sound:かっこう.mp3]&lt;/div&gt;")</f>
        <v>かっこう&lt;br&gt;&lt;div class="audio"&gt;[sound:かっこう.mp3]&lt;/div&gt;</v>
      </c>
      <c r="H1950" s="3" t="str">
        <f t="shared" si="1"/>
        <v>(n): ngoại hình</v>
      </c>
      <c r="I1950" s="6" t="s">
        <v>10641</v>
      </c>
      <c r="J1950" s="6" t="s">
        <v>10642</v>
      </c>
      <c r="K1950" s="7">
        <f t="shared" si="2"/>
        <v>0.9323376694</v>
      </c>
    </row>
    <row r="1951">
      <c r="A1951" s="4">
        <v>1951.0</v>
      </c>
      <c r="B1951" s="5" t="s">
        <v>10643</v>
      </c>
      <c r="C1951" s="5" t="s">
        <v>10644</v>
      </c>
      <c r="D1951" s="5" t="s">
        <v>10645</v>
      </c>
      <c r="E1951" s="6" t="s">
        <v>24</v>
      </c>
      <c r="F1951" s="6" t="s">
        <v>1571</v>
      </c>
      <c r="G1951" s="3" t="str">
        <f>IFERROR(__xludf.DUMMYFUNCTION("REGEXREPLACE(
D1951,
""([一-龯々]+)\[([^\]]+)\]"",
""&lt;ruby&gt;$1&lt;rt&gt;$2&lt;/rt&gt;&lt;/ruby&gt;""
)&amp;""&lt;br&gt;&lt;div class=""""audio""""&gt;[sound:""&amp;C1951&amp;"".mp3]&lt;/div&gt;"""),"&lt;ruby&gt;係&lt;rt&gt;かか&lt;/rt&gt;&lt;/ruby&gt;わる&lt;br&gt;&lt;div class=""audio""&gt;[sound:かかわる.mp3]&lt;/div&gt;")</f>
        <v>&lt;ruby&gt;係&lt;rt&gt;かか&lt;/rt&gt;&lt;/ruby&gt;わる&lt;br&gt;&lt;div class="audio"&gt;[sound:かかわる.mp3]&lt;/div&gt;</v>
      </c>
      <c r="H1951" s="3" t="str">
        <f t="shared" si="1"/>
        <v>(v): liên quan</v>
      </c>
      <c r="I1951" s="6" t="s">
        <v>10646</v>
      </c>
      <c r="J1951" s="6" t="s">
        <v>10647</v>
      </c>
      <c r="K1951" s="7">
        <f t="shared" si="2"/>
        <v>0.68307121</v>
      </c>
    </row>
    <row r="1952">
      <c r="A1952" s="4">
        <v>1952.0</v>
      </c>
      <c r="B1952" s="5" t="s">
        <v>10648</v>
      </c>
      <c r="C1952" s="5" t="s">
        <v>10649</v>
      </c>
      <c r="D1952" s="5" t="s">
        <v>10650</v>
      </c>
      <c r="E1952" s="6" t="s">
        <v>74</v>
      </c>
      <c r="F1952" s="6" t="s">
        <v>8369</v>
      </c>
      <c r="G1952" s="3" t="str">
        <f>IFERROR(__xludf.DUMMYFUNCTION("REGEXREPLACE(
D1952,
""([一-龯々]+)\[([^\]]+)\]"",
""&lt;ruby&gt;$1&lt;rt&gt;$2&lt;/rt&gt;&lt;/ruby&gt;""
)&amp;""&lt;br&gt;&lt;div class=""""audio""""&gt;[sound:""&amp;C1952&amp;"".mp3]&lt;/div&gt;"""),"&lt;ruby&gt;幸福&lt;rt&gt;こうふく&lt;/rt&gt;&lt;/ruby&gt;&lt;br&gt;&lt;div class=""audio""&gt;[sound:こうふく.mp3]&lt;/div&gt;")</f>
        <v>&lt;ruby&gt;幸福&lt;rt&gt;こうふく&lt;/rt&gt;&lt;/ruby&gt;&lt;br&gt;&lt;div class="audio"&gt;[sound:こうふく.mp3]&lt;/div&gt;</v>
      </c>
      <c r="H1952" s="3" t="str">
        <f t="shared" si="1"/>
        <v>(n): hạnh phúc</v>
      </c>
      <c r="I1952" s="6" t="s">
        <v>10651</v>
      </c>
      <c r="J1952" s="6" t="s">
        <v>10652</v>
      </c>
      <c r="K1952" s="7">
        <f t="shared" si="2"/>
        <v>0.7690799146</v>
      </c>
    </row>
    <row r="1953">
      <c r="A1953" s="4">
        <v>1953.0</v>
      </c>
      <c r="B1953" s="5" t="s">
        <v>10653</v>
      </c>
      <c r="C1953" s="5" t="s">
        <v>10654</v>
      </c>
      <c r="D1953" s="5" t="s">
        <v>10655</v>
      </c>
      <c r="E1953" s="6" t="s">
        <v>74</v>
      </c>
      <c r="F1953" s="6" t="s">
        <v>10656</v>
      </c>
      <c r="G1953" s="3" t="str">
        <f>IFERROR(__xludf.DUMMYFUNCTION("REGEXREPLACE(
D1953,
""([一-龯々]+)\[([^\]]+)\]"",
""&lt;ruby&gt;$1&lt;rt&gt;$2&lt;/rt&gt;&lt;/ruby&gt;""
)&amp;""&lt;br&gt;&lt;div class=""""audio""""&gt;[sound:""&amp;C1953&amp;"".mp3]&lt;/div&gt;"""),"&lt;ruby&gt;父親&lt;rt&gt;ちちおや&lt;/rt&gt;&lt;/ruby&gt;&lt;br&gt;&lt;div class=""audio""&gt;[sound:ちちおや.mp3]&lt;/div&gt;")</f>
        <v>&lt;ruby&gt;父親&lt;rt&gt;ちちおや&lt;/rt&gt;&lt;/ruby&gt;&lt;br&gt;&lt;div class="audio"&gt;[sound:ちちおや.mp3]&lt;/div&gt;</v>
      </c>
      <c r="H1953" s="3" t="str">
        <f t="shared" si="1"/>
        <v>(n): người cha</v>
      </c>
      <c r="I1953" s="6" t="s">
        <v>10657</v>
      </c>
      <c r="J1953" s="6" t="s">
        <v>10658</v>
      </c>
      <c r="K1953" s="7">
        <f t="shared" si="2"/>
        <v>0.4305915882</v>
      </c>
    </row>
    <row r="1954">
      <c r="A1954" s="4">
        <v>1954.0</v>
      </c>
      <c r="B1954" s="5" t="s">
        <v>10659</v>
      </c>
      <c r="C1954" s="5" t="s">
        <v>10660</v>
      </c>
      <c r="D1954" s="5" t="s">
        <v>10659</v>
      </c>
      <c r="E1954" s="6" t="s">
        <v>74</v>
      </c>
      <c r="F1954" s="6" t="s">
        <v>10661</v>
      </c>
      <c r="G1954" s="3" t="str">
        <f>IFERROR(__xludf.DUMMYFUNCTION("REGEXREPLACE(
D1954,
""([一-龯々]+)\[([^\]]+)\]"",
""&lt;ruby&gt;$1&lt;rt&gt;$2&lt;/rt&gt;&lt;/ruby&gt;""
)&amp;""&lt;br&gt;&lt;div class=""""audio""""&gt;[sound:""&amp;C1954&amp;"".mp3]&lt;/div&gt;"""),"ゼロ&lt;br&gt;&lt;div class=""audio""&gt;[sound:ぜろ.mp3]&lt;/div&gt;")</f>
        <v>ゼロ&lt;br&gt;&lt;div class="audio"&gt;[sound:ぜろ.mp3]&lt;/div&gt;</v>
      </c>
      <c r="H1954" s="3" t="str">
        <f t="shared" si="1"/>
        <v>(n): số không</v>
      </c>
      <c r="I1954" s="6" t="s">
        <v>10662</v>
      </c>
      <c r="J1954" s="6" t="s">
        <v>10663</v>
      </c>
      <c r="K1954" s="7">
        <f t="shared" si="2"/>
        <v>0.08084905936</v>
      </c>
    </row>
    <row r="1955">
      <c r="A1955" s="4">
        <v>1955.0</v>
      </c>
      <c r="B1955" s="5" t="s">
        <v>10664</v>
      </c>
      <c r="C1955" s="5" t="s">
        <v>10665</v>
      </c>
      <c r="D1955" s="5" t="s">
        <v>10666</v>
      </c>
      <c r="E1955" s="6" t="s">
        <v>85</v>
      </c>
      <c r="F1955" s="6" t="s">
        <v>10667</v>
      </c>
      <c r="G1955" s="3" t="str">
        <f>IFERROR(__xludf.DUMMYFUNCTION("REGEXREPLACE(
D1955,
""([一-龯々]+)\[([^\]]+)\]"",
""&lt;ruby&gt;$1&lt;rt&gt;$2&lt;/rt&gt;&lt;/ruby&gt;""
)&amp;""&lt;br&gt;&lt;div class=""""audio""""&gt;[sound:""&amp;C1955&amp;"".mp3]&lt;/div&gt;"""),"&lt;ruby&gt;一度&lt;rt&gt;いちど&lt;/rt&gt;&lt;/ruby&gt;に&lt;br&gt;&lt;div class=""audio""&gt;[sound:いちどに.mp3]&lt;/div&gt;")</f>
        <v>&lt;ruby&gt;一度&lt;rt&gt;いちど&lt;/rt&gt;&lt;/ruby&gt;に&lt;br&gt;&lt;div class="audio"&gt;[sound:いちどに.mp3]&lt;/div&gt;</v>
      </c>
      <c r="H1955" s="3" t="str">
        <f t="shared" si="1"/>
        <v>(adv): cùng lúc</v>
      </c>
      <c r="I1955" s="6" t="s">
        <v>10668</v>
      </c>
      <c r="J1955" s="6" t="s">
        <v>10669</v>
      </c>
      <c r="K1955" s="7">
        <f t="shared" si="2"/>
        <v>0.5010613477</v>
      </c>
    </row>
    <row r="1956">
      <c r="A1956" s="4">
        <v>1956.0</v>
      </c>
      <c r="B1956" s="5" t="s">
        <v>10670</v>
      </c>
      <c r="C1956" s="5" t="s">
        <v>10671</v>
      </c>
      <c r="D1956" s="5" t="s">
        <v>10670</v>
      </c>
      <c r="E1956" s="6" t="s">
        <v>74</v>
      </c>
      <c r="F1956" s="6" t="s">
        <v>10672</v>
      </c>
      <c r="G1956" s="3" t="str">
        <f>IFERROR(__xludf.DUMMYFUNCTION("REGEXREPLACE(
D1956,
""([一-龯々]+)\[([^\]]+)\]"",
""&lt;ruby&gt;$1&lt;rt&gt;$2&lt;/rt&gt;&lt;/ruby&gt;""
)&amp;""&lt;br&gt;&lt;div class=""""audio""""&gt;[sound:""&amp;C1956&amp;"".mp3]&lt;/div&gt;"""),"パイプ&lt;br&gt;&lt;div class=""audio""&gt;[sound:ぱいぷ.mp3]&lt;/div&gt;")</f>
        <v>パイプ&lt;br&gt;&lt;div class="audio"&gt;[sound:ぱいぷ.mp3]&lt;/div&gt;</v>
      </c>
      <c r="H1956" s="3" t="str">
        <f t="shared" si="1"/>
        <v>(n): ống dẫn</v>
      </c>
      <c r="I1956" s="6" t="s">
        <v>10673</v>
      </c>
      <c r="J1956" s="6" t="s">
        <v>10674</v>
      </c>
      <c r="K1956" s="7">
        <f t="shared" si="2"/>
        <v>0.8422630005</v>
      </c>
    </row>
    <row r="1957">
      <c r="A1957" s="4">
        <v>1957.0</v>
      </c>
      <c r="B1957" s="5" t="s">
        <v>10675</v>
      </c>
      <c r="C1957" s="5" t="s">
        <v>10676</v>
      </c>
      <c r="D1957" s="5" t="s">
        <v>10677</v>
      </c>
      <c r="E1957" s="6" t="s">
        <v>85</v>
      </c>
      <c r="F1957" s="6" t="s">
        <v>2150</v>
      </c>
      <c r="G1957" s="3" t="str">
        <f>IFERROR(__xludf.DUMMYFUNCTION("REGEXREPLACE(
D1957,
""([一-龯々]+)\[([^\]]+)\]"",
""&lt;ruby&gt;$1&lt;rt&gt;$2&lt;/rt&gt;&lt;/ruby&gt;""
)&amp;""&lt;br&gt;&lt;div class=""""audio""""&gt;[sound:""&amp;C1957&amp;"".mp3]&lt;/div&gt;"""),"&lt;ruby&gt;何&lt;rt&gt;なん&lt;/rt&gt;&lt;/ruby&gt;で&lt;br&gt;&lt;div class=""audio""&gt;[sound:なんで.mp3]&lt;/div&gt;")</f>
        <v>&lt;ruby&gt;何&lt;rt&gt;なん&lt;/rt&gt;&lt;/ruby&gt;で&lt;br&gt;&lt;div class="audio"&gt;[sound:なんで.mp3]&lt;/div&gt;</v>
      </c>
      <c r="H1957" s="3" t="str">
        <f t="shared" si="1"/>
        <v>(adv): tại sao</v>
      </c>
      <c r="I1957" s="6" t="s">
        <v>10678</v>
      </c>
      <c r="J1957" s="6" t="s">
        <v>10679</v>
      </c>
      <c r="K1957" s="7">
        <f t="shared" si="2"/>
        <v>0.0569686888</v>
      </c>
    </row>
    <row r="1958">
      <c r="A1958" s="4">
        <v>1958.0</v>
      </c>
      <c r="B1958" s="5" t="s">
        <v>10680</v>
      </c>
      <c r="C1958" s="5" t="s">
        <v>10681</v>
      </c>
      <c r="D1958" s="5" t="s">
        <v>10682</v>
      </c>
      <c r="E1958" s="6" t="s">
        <v>74</v>
      </c>
      <c r="F1958" s="6" t="s">
        <v>7035</v>
      </c>
      <c r="G1958" s="3" t="str">
        <f>IFERROR(__xludf.DUMMYFUNCTION("REGEXREPLACE(
D1958,
""([一-龯々]+)\[([^\]]+)\]"",
""&lt;ruby&gt;$1&lt;rt&gt;$2&lt;/rt&gt;&lt;/ruby&gt;""
)&amp;""&lt;br&gt;&lt;div class=""""audio""""&gt;[sound:""&amp;C1958&amp;"".mp3]&lt;/div&gt;"""),"&lt;ruby&gt;努力&lt;rt&gt;どりょく&lt;/rt&gt;&lt;/ruby&gt;&lt;br&gt;&lt;div class=""audio""&gt;[sound:どりょく.mp3]&lt;/div&gt;")</f>
        <v>&lt;ruby&gt;努力&lt;rt&gt;どりょく&lt;/rt&gt;&lt;/ruby&gt;&lt;br&gt;&lt;div class="audio"&gt;[sound:どりょく.mp3]&lt;/div&gt;</v>
      </c>
      <c r="H1958" s="3" t="str">
        <f t="shared" si="1"/>
        <v>(n): nỗ lực</v>
      </c>
      <c r="I1958" s="6" t="s">
        <v>10683</v>
      </c>
      <c r="J1958" s="6" t="s">
        <v>10684</v>
      </c>
      <c r="K1958" s="7">
        <f t="shared" si="2"/>
        <v>0.4840787442</v>
      </c>
    </row>
    <row r="1959">
      <c r="A1959" s="4">
        <v>1959.0</v>
      </c>
      <c r="B1959" s="5" t="s">
        <v>10685</v>
      </c>
      <c r="C1959" s="5" t="s">
        <v>10686</v>
      </c>
      <c r="D1959" s="5" t="s">
        <v>10687</v>
      </c>
      <c r="E1959" s="6" t="s">
        <v>11</v>
      </c>
      <c r="F1959" s="6" t="s">
        <v>2809</v>
      </c>
      <c r="G1959" s="3" t="str">
        <f>IFERROR(__xludf.DUMMYFUNCTION("REGEXREPLACE(
D1959,
""([一-龯々]+)\[([^\]]+)\]"",
""&lt;ruby&gt;$1&lt;rt&gt;$2&lt;/rt&gt;&lt;/ruby&gt;""
)&amp;""&lt;br&gt;&lt;div class=""""audio""""&gt;[sound:""&amp;C1959&amp;"".mp3]&lt;/div&gt;"""),"&lt;ruby&gt;当&lt;rt&gt;あ&lt;/rt&gt;&lt;/ruby&gt;たり&lt;ruby&gt;前&lt;rt&gt;まえ&lt;/rt&gt;&lt;/ruby&gt;&lt;br&gt;&lt;div class=""audio""&gt;[sound:あたりまえ.mp3]&lt;/div&gt;")</f>
        <v>&lt;ruby&gt;当&lt;rt&gt;あ&lt;/rt&gt;&lt;/ruby&gt;たり&lt;ruby&gt;前&lt;rt&gt;まえ&lt;/rt&gt;&lt;/ruby&gt;&lt;br&gt;&lt;div class="audio"&gt;[sound:あたりまえ.mp3]&lt;/div&gt;</v>
      </c>
      <c r="H1959" s="3" t="str">
        <f t="shared" si="1"/>
        <v>(adj): đương nhiên</v>
      </c>
      <c r="I1959" s="6" t="s">
        <v>10688</v>
      </c>
      <c r="J1959" s="6" t="s">
        <v>10689</v>
      </c>
      <c r="K1959" s="7">
        <f t="shared" si="2"/>
        <v>0.2971229477</v>
      </c>
    </row>
    <row r="1960">
      <c r="A1960" s="4">
        <v>1960.0</v>
      </c>
      <c r="B1960" s="5" t="s">
        <v>10690</v>
      </c>
      <c r="C1960" s="5" t="s">
        <v>10691</v>
      </c>
      <c r="D1960" s="5" t="s">
        <v>10692</v>
      </c>
      <c r="E1960" s="6" t="s">
        <v>74</v>
      </c>
      <c r="F1960" s="6" t="s">
        <v>10693</v>
      </c>
      <c r="G1960" s="3" t="str">
        <f>IFERROR(__xludf.DUMMYFUNCTION("REGEXREPLACE(
D1960,
""([一-龯々]+)\[([^\]]+)\]"",
""&lt;ruby&gt;$1&lt;rt&gt;$2&lt;/rt&gt;&lt;/ruby&gt;""
)&amp;""&lt;br&gt;&lt;div class=""""audio""""&gt;[sound:""&amp;C1960&amp;"".mp3]&lt;/div&gt;"""),"&lt;ruby&gt;職業&lt;rt&gt;しょくぎょう&lt;/rt&gt;&lt;/ruby&gt;&lt;br&gt;&lt;div class=""audio""&gt;[sound:しょくぎょう.mp3]&lt;/div&gt;")</f>
        <v>&lt;ruby&gt;職業&lt;rt&gt;しょくぎょう&lt;/rt&gt;&lt;/ruby&gt;&lt;br&gt;&lt;div class="audio"&gt;[sound:しょくぎょう.mp3]&lt;/div&gt;</v>
      </c>
      <c r="H1960" s="3" t="str">
        <f t="shared" si="1"/>
        <v>(n): nghề nghiệp</v>
      </c>
      <c r="I1960" s="6" t="s">
        <v>10694</v>
      </c>
      <c r="J1960" s="6" t="s">
        <v>10695</v>
      </c>
      <c r="K1960" s="7">
        <f t="shared" si="2"/>
        <v>0.614681406</v>
      </c>
    </row>
    <row r="1961">
      <c r="A1961" s="4">
        <v>1961.0</v>
      </c>
      <c r="B1961" s="5" t="s">
        <v>10696</v>
      </c>
      <c r="C1961" s="5" t="s">
        <v>10697</v>
      </c>
      <c r="D1961" s="5" t="s">
        <v>10698</v>
      </c>
      <c r="E1961" s="6" t="s">
        <v>74</v>
      </c>
      <c r="F1961" s="6" t="s">
        <v>10699</v>
      </c>
      <c r="G1961" s="3" t="str">
        <f>IFERROR(__xludf.DUMMYFUNCTION("REGEXREPLACE(
D1961,
""([一-龯々]+)\[([^\]]+)\]"",
""&lt;ruby&gt;$1&lt;rt&gt;$2&lt;/rt&gt;&lt;/ruby&gt;""
)&amp;""&lt;br&gt;&lt;div class=""""audio""""&gt;[sound:""&amp;C1961&amp;"".mp3]&lt;/div&gt;"""),"&lt;ruby&gt;大統領&lt;rt&gt;だいとうりょう&lt;/rt&gt;&lt;/ruby&gt;&lt;br&gt;&lt;div class=""audio""&gt;[sound:だいとうりょう.mp3]&lt;/div&gt;")</f>
        <v>&lt;ruby&gt;大統領&lt;rt&gt;だいとうりょう&lt;/rt&gt;&lt;/ruby&gt;&lt;br&gt;&lt;div class="audio"&gt;[sound:だいとうりょう.mp3]&lt;/div&gt;</v>
      </c>
      <c r="H1961" s="3" t="str">
        <f t="shared" si="1"/>
        <v>(n): tổng thống</v>
      </c>
      <c r="I1961" s="6" t="s">
        <v>10700</v>
      </c>
      <c r="J1961" s="6" t="s">
        <v>10701</v>
      </c>
      <c r="K1961" s="7">
        <f t="shared" si="2"/>
        <v>0.06684044136</v>
      </c>
    </row>
    <row r="1962">
      <c r="A1962" s="4">
        <v>1962.0</v>
      </c>
      <c r="B1962" s="5" t="s">
        <v>10702</v>
      </c>
      <c r="C1962" s="5" t="s">
        <v>10703</v>
      </c>
      <c r="D1962" s="5" t="s">
        <v>10704</v>
      </c>
      <c r="E1962" s="6" t="s">
        <v>74</v>
      </c>
      <c r="F1962" s="6" t="s">
        <v>10705</v>
      </c>
      <c r="G1962" s="3" t="str">
        <f>IFERROR(__xludf.DUMMYFUNCTION("REGEXREPLACE(
D1962,
""([一-龯々]+)\[([^\]]+)\]"",
""&lt;ruby&gt;$1&lt;rt&gt;$2&lt;/rt&gt;&lt;/ruby&gt;""
)&amp;""&lt;br&gt;&lt;div class=""""audio""""&gt;[sound:""&amp;C1962&amp;"".mp3]&lt;/div&gt;"""),"&lt;ruby&gt;特徴&lt;rt&gt;とくちょう&lt;/rt&gt;&lt;/ruby&gt;&lt;br&gt;&lt;div class=""audio""&gt;[sound:とくちょう.mp3]&lt;/div&gt;")</f>
        <v>&lt;ruby&gt;特徴&lt;rt&gt;とくちょう&lt;/rt&gt;&lt;/ruby&gt;&lt;br&gt;&lt;div class="audio"&gt;[sound:とくちょう.mp3]&lt;/div&gt;</v>
      </c>
      <c r="H1962" s="3" t="str">
        <f t="shared" si="1"/>
        <v>(n): đặc trưng</v>
      </c>
      <c r="I1962" s="6" t="s">
        <v>10706</v>
      </c>
      <c r="J1962" s="6" t="s">
        <v>10707</v>
      </c>
      <c r="K1962" s="7">
        <f t="shared" si="2"/>
        <v>0.5537918717</v>
      </c>
    </row>
    <row r="1963">
      <c r="A1963" s="4">
        <v>1963.0</v>
      </c>
      <c r="B1963" s="5" t="s">
        <v>10708</v>
      </c>
      <c r="C1963" s="5" t="s">
        <v>10709</v>
      </c>
      <c r="D1963" s="5" t="s">
        <v>10710</v>
      </c>
      <c r="E1963" s="6" t="s">
        <v>74</v>
      </c>
      <c r="F1963" s="6" t="s">
        <v>10711</v>
      </c>
      <c r="G1963" s="3" t="str">
        <f>IFERROR(__xludf.DUMMYFUNCTION("REGEXREPLACE(
D1963,
""([一-龯々]+)\[([^\]]+)\]"",
""&lt;ruby&gt;$1&lt;rt&gt;$2&lt;/rt&gt;&lt;/ruby&gt;""
)&amp;""&lt;br&gt;&lt;div class=""""audio""""&gt;[sound:""&amp;C1963&amp;"".mp3]&lt;/div&gt;"""),"&lt;ruby&gt;発見&lt;rt&gt;はっけん&lt;/rt&gt;&lt;/ruby&gt;&lt;br&gt;&lt;div class=""audio""&gt;[sound:はっけん.mp3]&lt;/div&gt;")</f>
        <v>&lt;ruby&gt;発見&lt;rt&gt;はっけん&lt;/rt&gt;&lt;/ruby&gt;&lt;br&gt;&lt;div class="audio"&gt;[sound:はっけん.mp3]&lt;/div&gt;</v>
      </c>
      <c r="H1963" s="3" t="str">
        <f t="shared" si="1"/>
        <v>(n): phát hiện</v>
      </c>
      <c r="I1963" s="6" t="s">
        <v>10712</v>
      </c>
      <c r="J1963" s="6" t="s">
        <v>10713</v>
      </c>
      <c r="K1963" s="7">
        <f t="shared" si="2"/>
        <v>0.999188395</v>
      </c>
    </row>
    <row r="1964">
      <c r="A1964" s="4">
        <v>1964.0</v>
      </c>
      <c r="B1964" s="5" t="s">
        <v>10714</v>
      </c>
      <c r="C1964" s="5" t="s">
        <v>10715</v>
      </c>
      <c r="D1964" s="5" t="s">
        <v>10716</v>
      </c>
      <c r="E1964" s="6" t="s">
        <v>74</v>
      </c>
      <c r="F1964" s="6" t="s">
        <v>6884</v>
      </c>
      <c r="G1964" s="3" t="str">
        <f>IFERROR(__xludf.DUMMYFUNCTION("REGEXREPLACE(
D1964,
""([一-龯々]+)\[([^\]]+)\]"",
""&lt;ruby&gt;$1&lt;rt&gt;$2&lt;/rt&gt;&lt;/ruby&gt;""
)&amp;""&lt;br&gt;&lt;div class=""""audio""""&gt;[sound:""&amp;C1964&amp;"".mp3]&lt;/div&gt;"""),"&lt;ruby&gt;視点&lt;rt&gt;してん&lt;/rt&gt;&lt;/ruby&gt;&lt;br&gt;&lt;div class=""audio""&gt;[sound:してん.mp3]&lt;/div&gt;")</f>
        <v>&lt;ruby&gt;視点&lt;rt&gt;してん&lt;/rt&gt;&lt;/ruby&gt;&lt;br&gt;&lt;div class="audio"&gt;[sound:してん.mp3]&lt;/div&gt;</v>
      </c>
      <c r="H1964" s="3" t="str">
        <f t="shared" si="1"/>
        <v>(n): quan điểm</v>
      </c>
      <c r="I1964" s="6" t="s">
        <v>10717</v>
      </c>
      <c r="J1964" s="6" t="s">
        <v>10718</v>
      </c>
      <c r="K1964" s="7">
        <f t="shared" si="2"/>
        <v>0.8552052986</v>
      </c>
    </row>
    <row r="1965">
      <c r="A1965" s="4">
        <v>1965.0</v>
      </c>
      <c r="B1965" s="5" t="s">
        <v>10719</v>
      </c>
      <c r="C1965" s="5" t="s">
        <v>10720</v>
      </c>
      <c r="D1965" s="5" t="s">
        <v>10721</v>
      </c>
      <c r="E1965" s="6" t="s">
        <v>74</v>
      </c>
      <c r="F1965" s="6" t="s">
        <v>10722</v>
      </c>
      <c r="G1965" s="3" t="str">
        <f>IFERROR(__xludf.DUMMYFUNCTION("REGEXREPLACE(
D1965,
""([一-龯々]+)\[([^\]]+)\]"",
""&lt;ruby&gt;$1&lt;rt&gt;$2&lt;/rt&gt;&lt;/ruby&gt;""
)&amp;""&lt;br&gt;&lt;div class=""""audio""""&gt;[sound:""&amp;C1965&amp;"".mp3]&lt;/div&gt;"""),"&lt;ruby&gt;少女&lt;rt&gt;しょうじょ&lt;/rt&gt;&lt;/ruby&gt;&lt;br&gt;&lt;div class=""audio""&gt;[sound:しょうじょ.mp3]&lt;/div&gt;")</f>
        <v>&lt;ruby&gt;少女&lt;rt&gt;しょうじょ&lt;/rt&gt;&lt;/ruby&gt;&lt;br&gt;&lt;div class="audio"&gt;[sound:しょうじょ.mp3]&lt;/div&gt;</v>
      </c>
      <c r="H1965" s="3" t="str">
        <f t="shared" si="1"/>
        <v>(n): thiếu nữ</v>
      </c>
      <c r="I1965" s="6" t="s">
        <v>10723</v>
      </c>
      <c r="J1965" s="6" t="s">
        <v>10724</v>
      </c>
      <c r="K1965" s="7">
        <f t="shared" si="2"/>
        <v>0.8923608681</v>
      </c>
    </row>
    <row r="1966">
      <c r="A1966" s="4">
        <v>1966.0</v>
      </c>
      <c r="B1966" s="5" t="s">
        <v>10725</v>
      </c>
      <c r="C1966" s="5" t="s">
        <v>10726</v>
      </c>
      <c r="D1966" s="5" t="s">
        <v>10727</v>
      </c>
      <c r="E1966" s="6" t="s">
        <v>24</v>
      </c>
      <c r="F1966" s="6" t="s">
        <v>10728</v>
      </c>
      <c r="G1966" s="3" t="str">
        <f>IFERROR(__xludf.DUMMYFUNCTION("REGEXREPLACE(
D1966,
""([一-龯々]+)\[([^\]]+)\]"",
""&lt;ruby&gt;$1&lt;rt&gt;$2&lt;/rt&gt;&lt;/ruby&gt;""
)&amp;""&lt;br&gt;&lt;div class=""""audio""""&gt;[sound:""&amp;C1966&amp;"".mp3]&lt;/div&gt;"""),"&lt;ruby&gt;思&lt;rt&gt;おも&lt;/rt&gt;&lt;/ruby&gt;い&lt;ruby&gt;込&lt;rt&gt;こ&lt;/rt&gt;&lt;/ruby&gt;む&lt;br&gt;&lt;div class=""audio""&gt;[sound:おもいこむ.mp3]&lt;/div&gt;")</f>
        <v>&lt;ruby&gt;思&lt;rt&gt;おも&lt;/rt&gt;&lt;/ruby&gt;い&lt;ruby&gt;込&lt;rt&gt;こ&lt;/rt&gt;&lt;/ruby&gt;む&lt;br&gt;&lt;div class="audio"&gt;[sound:おもいこむ.mp3]&lt;/div&gt;</v>
      </c>
      <c r="H1966" s="3" t="str">
        <f t="shared" si="1"/>
        <v>(v): tin rằng</v>
      </c>
      <c r="I1966" s="6" t="s">
        <v>10729</v>
      </c>
      <c r="J1966" s="6" t="s">
        <v>10730</v>
      </c>
      <c r="K1966" s="7">
        <f t="shared" si="2"/>
        <v>0.3396912169</v>
      </c>
    </row>
    <row r="1967">
      <c r="A1967" s="4">
        <v>1967.0</v>
      </c>
      <c r="B1967" s="5" t="s">
        <v>10731</v>
      </c>
      <c r="C1967" s="5" t="s">
        <v>10732</v>
      </c>
      <c r="D1967" s="5" t="s">
        <v>10731</v>
      </c>
      <c r="E1967" s="6" t="s">
        <v>74</v>
      </c>
      <c r="F1967" s="6" t="s">
        <v>10733</v>
      </c>
      <c r="G1967" s="3" t="str">
        <f>IFERROR(__xludf.DUMMYFUNCTION("REGEXREPLACE(
D1967,
""([一-龯々]+)\[([^\]]+)\]"",
""&lt;ruby&gt;$1&lt;rt&gt;$2&lt;/rt&gt;&lt;/ruby&gt;""
)&amp;""&lt;br&gt;&lt;div class=""""audio""""&gt;[sound:""&amp;C1967&amp;"".mp3]&lt;/div&gt;"""),"オーバー&lt;br&gt;&lt;div class=""audio""&gt;[sound:おーばー.mp3]&lt;/div&gt;")</f>
        <v>オーバー&lt;br&gt;&lt;div class="audio"&gt;[sound:おーばー.mp3]&lt;/div&gt;</v>
      </c>
      <c r="H1967" s="3" t="str">
        <f t="shared" si="1"/>
        <v>(n): quá mức</v>
      </c>
      <c r="I1967" s="6" t="s">
        <v>10734</v>
      </c>
      <c r="J1967" s="6" t="s">
        <v>10735</v>
      </c>
      <c r="K1967" s="7">
        <f t="shared" si="2"/>
        <v>0.6367691576</v>
      </c>
    </row>
    <row r="1968">
      <c r="A1968" s="4">
        <v>1968.0</v>
      </c>
      <c r="B1968" s="5" t="s">
        <v>10736</v>
      </c>
      <c r="C1968" s="5" t="s">
        <v>10736</v>
      </c>
      <c r="D1968" s="5" t="s">
        <v>10736</v>
      </c>
      <c r="E1968" s="6" t="s">
        <v>11</v>
      </c>
      <c r="F1968" s="6" t="s">
        <v>10737</v>
      </c>
      <c r="G1968" s="3" t="str">
        <f>IFERROR(__xludf.DUMMYFUNCTION("REGEXREPLACE(
D1968,
""([一-龯々]+)\[([^\]]+)\]"",
""&lt;ruby&gt;$1&lt;rt&gt;$2&lt;/rt&gt;&lt;/ruby&gt;""
)&amp;""&lt;br&gt;&lt;div class=""""audio""""&gt;[sound:""&amp;C1968&amp;"".mp3]&lt;/div&gt;"""),"すまない&lt;br&gt;&lt;div class=""audio""&gt;[sound:すまない.mp3]&lt;/div&gt;")</f>
        <v>すまない&lt;br&gt;&lt;div class="audio"&gt;[sound:すまない.mp3]&lt;/div&gt;</v>
      </c>
      <c r="H1968" s="3" t="str">
        <f t="shared" si="1"/>
        <v>(adj): xin lỗi</v>
      </c>
      <c r="I1968" s="6" t="s">
        <v>10738</v>
      </c>
      <c r="J1968" s="6" t="s">
        <v>10739</v>
      </c>
      <c r="K1968" s="7">
        <f t="shared" si="2"/>
        <v>0.8358411563</v>
      </c>
    </row>
    <row r="1969">
      <c r="A1969" s="4">
        <v>1969.0</v>
      </c>
      <c r="B1969" s="5" t="s">
        <v>10740</v>
      </c>
      <c r="C1969" s="5" t="s">
        <v>10741</v>
      </c>
      <c r="D1969" s="5" t="s">
        <v>10742</v>
      </c>
      <c r="E1969" s="6" t="s">
        <v>24</v>
      </c>
      <c r="F1969" s="6" t="s">
        <v>10743</v>
      </c>
      <c r="G1969" s="3" t="str">
        <f>IFERROR(__xludf.DUMMYFUNCTION("REGEXREPLACE(
D1969,
""([一-龯々]+)\[([^\]]+)\]"",
""&lt;ruby&gt;$1&lt;rt&gt;$2&lt;/rt&gt;&lt;/ruby&gt;""
)&amp;""&lt;br&gt;&lt;div class=""""audio""""&gt;[sound:""&amp;C1969&amp;"".mp3]&lt;/div&gt;"""),"&lt;ruby&gt;覆&lt;rt&gt;おお&lt;/rt&gt;&lt;/ruby&gt;う&lt;br&gt;&lt;div class=""audio""&gt;[sound:おおう.mp3]&lt;/div&gt;")</f>
        <v>&lt;ruby&gt;覆&lt;rt&gt;おお&lt;/rt&gt;&lt;/ruby&gt;う&lt;br&gt;&lt;div class="audio"&gt;[sound:おおう.mp3]&lt;/div&gt;</v>
      </c>
      <c r="H1969" s="3" t="str">
        <f t="shared" si="1"/>
        <v>(v): bao phủ</v>
      </c>
      <c r="I1969" s="6" t="s">
        <v>10744</v>
      </c>
      <c r="J1969" s="6" t="s">
        <v>10745</v>
      </c>
      <c r="K1969" s="7">
        <f t="shared" si="2"/>
        <v>0.2905131309</v>
      </c>
    </row>
    <row r="1970">
      <c r="A1970" s="4">
        <v>1970.0</v>
      </c>
      <c r="B1970" s="5" t="s">
        <v>10746</v>
      </c>
      <c r="C1970" s="5" t="s">
        <v>10747</v>
      </c>
      <c r="D1970" s="5" t="s">
        <v>10748</v>
      </c>
      <c r="E1970" s="6" t="s">
        <v>74</v>
      </c>
      <c r="F1970" s="6" t="s">
        <v>10749</v>
      </c>
      <c r="G1970" s="3" t="str">
        <f>IFERROR(__xludf.DUMMYFUNCTION("REGEXREPLACE(
D1970,
""([一-龯々]+)\[([^\]]+)\]"",
""&lt;ruby&gt;$1&lt;rt&gt;$2&lt;/rt&gt;&lt;/ruby&gt;""
)&amp;""&lt;br&gt;&lt;div class=""""audio""""&gt;[sound:""&amp;C1970&amp;"".mp3]&lt;/div&gt;"""),"&lt;ruby&gt;継続&lt;rt&gt;けいぞく&lt;/rt&gt;&lt;/ruby&gt;&lt;br&gt;&lt;div class=""audio""&gt;[sound:けいぞく.mp3]&lt;/div&gt;")</f>
        <v>&lt;ruby&gt;継続&lt;rt&gt;けいぞく&lt;/rt&gt;&lt;/ruby&gt;&lt;br&gt;&lt;div class="audio"&gt;[sound:けいぞく.mp3]&lt;/div&gt;</v>
      </c>
      <c r="H1970" s="3" t="str">
        <f t="shared" si="1"/>
        <v>(n): kế tục</v>
      </c>
      <c r="I1970" s="6" t="s">
        <v>10750</v>
      </c>
      <c r="J1970" s="6" t="s">
        <v>10751</v>
      </c>
      <c r="K1970" s="7">
        <f t="shared" si="2"/>
        <v>0.5748981398</v>
      </c>
    </row>
    <row r="1971">
      <c r="A1971" s="4">
        <v>1971.0</v>
      </c>
      <c r="B1971" s="5" t="s">
        <v>10752</v>
      </c>
      <c r="C1971" s="5" t="s">
        <v>10752</v>
      </c>
      <c r="D1971" s="5" t="s">
        <v>10752</v>
      </c>
      <c r="E1971" s="6" t="s">
        <v>85</v>
      </c>
      <c r="F1971" s="6" t="s">
        <v>10753</v>
      </c>
      <c r="G1971" s="3" t="str">
        <f>IFERROR(__xludf.DUMMYFUNCTION("REGEXREPLACE(
D1971,
""([一-龯々]+)\[([^\]]+)\]"",
""&lt;ruby&gt;$1&lt;rt&gt;$2&lt;/rt&gt;&lt;/ruby&gt;""
)&amp;""&lt;br&gt;&lt;div class=""""audio""""&gt;[sound:""&amp;C1971&amp;"".mp3]&lt;/div&gt;"""),"ちっとも&lt;br&gt;&lt;div class=""audio""&gt;[sound:ちっとも.mp3]&lt;/div&gt;")</f>
        <v>ちっとも&lt;br&gt;&lt;div class="audio"&gt;[sound:ちっとも.mp3]&lt;/div&gt;</v>
      </c>
      <c r="H1971" s="3" t="str">
        <f t="shared" si="1"/>
        <v>(adv): không chút nào</v>
      </c>
      <c r="I1971" s="6" t="s">
        <v>10754</v>
      </c>
      <c r="J1971" s="6" t="s">
        <v>10755</v>
      </c>
      <c r="K1971" s="7">
        <f t="shared" si="2"/>
        <v>0.9856287813</v>
      </c>
    </row>
    <row r="1972">
      <c r="A1972" s="4">
        <v>1972.0</v>
      </c>
      <c r="B1972" s="5" t="s">
        <v>10756</v>
      </c>
      <c r="C1972" s="5" t="s">
        <v>10757</v>
      </c>
      <c r="D1972" s="5" t="s">
        <v>10758</v>
      </c>
      <c r="E1972" s="6" t="s">
        <v>74</v>
      </c>
      <c r="F1972" s="6" t="s">
        <v>10759</v>
      </c>
      <c r="G1972" s="3" t="str">
        <f>IFERROR(__xludf.DUMMYFUNCTION("REGEXREPLACE(
D1972,
""([一-龯々]+)\[([^\]]+)\]"",
""&lt;ruby&gt;$1&lt;rt&gt;$2&lt;/rt&gt;&lt;/ruby&gt;""
)&amp;""&lt;br&gt;&lt;div class=""""audio""""&gt;[sound:""&amp;C1972&amp;"".mp3]&lt;/div&gt;"""),"&lt;ruby&gt;二日&lt;rt&gt;ふつか&lt;/rt&gt;&lt;/ruby&gt;&lt;br&gt;&lt;div class=""audio""&gt;[sound:ふつか.mp3]&lt;/div&gt;")</f>
        <v>&lt;ruby&gt;二日&lt;rt&gt;ふつか&lt;/rt&gt;&lt;/ruby&gt;&lt;br&gt;&lt;div class="audio"&gt;[sound:ふつか.mp3]&lt;/div&gt;</v>
      </c>
      <c r="H1972" s="3" t="str">
        <f t="shared" si="1"/>
        <v>(n): ngày mùng hai</v>
      </c>
      <c r="I1972" s="6" t="s">
        <v>10760</v>
      </c>
      <c r="J1972" s="6" t="s">
        <v>10761</v>
      </c>
      <c r="K1972" s="7">
        <f t="shared" si="2"/>
        <v>0.322829012</v>
      </c>
    </row>
    <row r="1973">
      <c r="A1973" s="4">
        <v>1973.0</v>
      </c>
      <c r="B1973" s="5" t="s">
        <v>10762</v>
      </c>
      <c r="C1973" s="5" t="s">
        <v>10763</v>
      </c>
      <c r="D1973" s="5" t="s">
        <v>10764</v>
      </c>
      <c r="E1973" s="6" t="s">
        <v>74</v>
      </c>
      <c r="F1973" s="6" t="s">
        <v>10765</v>
      </c>
      <c r="G1973" s="3" t="str">
        <f>IFERROR(__xludf.DUMMYFUNCTION("REGEXREPLACE(
D1973,
""([一-龯々]+)\[([^\]]+)\]"",
""&lt;ruby&gt;$1&lt;rt&gt;$2&lt;/rt&gt;&lt;/ruby&gt;""
)&amp;""&lt;br&gt;&lt;div class=""""audio""""&gt;[sound:""&amp;C1973&amp;"".mp3]&lt;/div&gt;"""),"&lt;ruby&gt;大勢&lt;rt&gt;おおぜい&lt;/rt&gt;&lt;/ruby&gt;&lt;br&gt;&lt;div class=""audio""&gt;[sound:おおぜい.mp3]&lt;/div&gt;")</f>
        <v>&lt;ruby&gt;大勢&lt;rt&gt;おおぜい&lt;/rt&gt;&lt;/ruby&gt;&lt;br&gt;&lt;div class="audio"&gt;[sound:おおぜい.mp3]&lt;/div&gt;</v>
      </c>
      <c r="H1973" s="3" t="str">
        <f t="shared" si="1"/>
        <v>(n): nhiều người</v>
      </c>
      <c r="I1973" s="6" t="s">
        <v>10766</v>
      </c>
      <c r="J1973" s="6" t="s">
        <v>10767</v>
      </c>
      <c r="K1973" s="7">
        <f t="shared" si="2"/>
        <v>0.05507622075</v>
      </c>
    </row>
    <row r="1974">
      <c r="A1974" s="4">
        <v>1974.0</v>
      </c>
      <c r="B1974" s="5" t="s">
        <v>10768</v>
      </c>
      <c r="C1974" s="5" t="s">
        <v>10769</v>
      </c>
      <c r="D1974" s="5" t="s">
        <v>10770</v>
      </c>
      <c r="E1974" s="6" t="s">
        <v>74</v>
      </c>
      <c r="F1974" s="6" t="s">
        <v>10771</v>
      </c>
      <c r="G1974" s="3" t="str">
        <f>IFERROR(__xludf.DUMMYFUNCTION("REGEXREPLACE(
D1974,
""([一-龯々]+)\[([^\]]+)\]"",
""&lt;ruby&gt;$1&lt;rt&gt;$2&lt;/rt&gt;&lt;/ruby&gt;""
)&amp;""&lt;br&gt;&lt;div class=""""audio""""&gt;[sound:""&amp;C1974&amp;"".mp3]&lt;/div&gt;"""),"&lt;ruby&gt;統一&lt;rt&gt;とういつ&lt;/rt&gt;&lt;/ruby&gt;&lt;br&gt;&lt;div class=""audio""&gt;[sound:とういつ.mp3]&lt;/div&gt;")</f>
        <v>&lt;ruby&gt;統一&lt;rt&gt;とういつ&lt;/rt&gt;&lt;/ruby&gt;&lt;br&gt;&lt;div class="audio"&gt;[sound:とういつ.mp3]&lt;/div&gt;</v>
      </c>
      <c r="H1974" s="3" t="str">
        <f t="shared" si="1"/>
        <v>(n): thống nhất</v>
      </c>
      <c r="I1974" s="6" t="s">
        <v>10772</v>
      </c>
      <c r="J1974" s="6" t="s">
        <v>10773</v>
      </c>
      <c r="K1974" s="7">
        <f t="shared" si="2"/>
        <v>0.004611202746</v>
      </c>
    </row>
    <row r="1975">
      <c r="A1975" s="4">
        <v>1975.0</v>
      </c>
      <c r="B1975" s="5" t="s">
        <v>10774</v>
      </c>
      <c r="C1975" s="5" t="s">
        <v>10775</v>
      </c>
      <c r="D1975" s="5" t="s">
        <v>10776</v>
      </c>
      <c r="E1975" s="6" t="s">
        <v>74</v>
      </c>
      <c r="F1975" s="6" t="s">
        <v>10777</v>
      </c>
      <c r="G1975" s="3" t="str">
        <f>IFERROR(__xludf.DUMMYFUNCTION("REGEXREPLACE(
D1975,
""([一-龯々]+)\[([^\]]+)\]"",
""&lt;ruby&gt;$1&lt;rt&gt;$2&lt;/rt&gt;&lt;/ruby&gt;""
)&amp;""&lt;br&gt;&lt;div class=""""audio""""&gt;[sound:""&amp;C1975&amp;"".mp3]&lt;/div&gt;"""),"&lt;ruby&gt;分析&lt;rt&gt;ぶんせき&lt;/rt&gt;&lt;/ruby&gt;&lt;br&gt;&lt;div class=""audio""&gt;[sound:ぶんせき.mp3]&lt;/div&gt;")</f>
        <v>&lt;ruby&gt;分析&lt;rt&gt;ぶんせき&lt;/rt&gt;&lt;/ruby&gt;&lt;br&gt;&lt;div class="audio"&gt;[sound:ぶんせき.mp3]&lt;/div&gt;</v>
      </c>
      <c r="H1975" s="3" t="str">
        <f t="shared" si="1"/>
        <v>(n): phân tích</v>
      </c>
      <c r="I1975" s="6" t="s">
        <v>10778</v>
      </c>
      <c r="J1975" s="6" t="s">
        <v>10779</v>
      </c>
      <c r="K1975" s="7">
        <f t="shared" si="2"/>
        <v>0.880162389</v>
      </c>
    </row>
    <row r="1976">
      <c r="A1976" s="4">
        <v>1976.0</v>
      </c>
      <c r="B1976" s="5" t="s">
        <v>10780</v>
      </c>
      <c r="C1976" s="5" t="s">
        <v>10781</v>
      </c>
      <c r="D1976" s="5" t="s">
        <v>10782</v>
      </c>
      <c r="E1976" s="6" t="s">
        <v>24</v>
      </c>
      <c r="F1976" s="6" t="s">
        <v>10783</v>
      </c>
      <c r="G1976" s="3" t="str">
        <f>IFERROR(__xludf.DUMMYFUNCTION("REGEXREPLACE(
D1976,
""([一-龯々]+)\[([^\]]+)\]"",
""&lt;ruby&gt;$1&lt;rt&gt;$2&lt;/rt&gt;&lt;/ruby&gt;""
)&amp;""&lt;br&gt;&lt;div class=""""audio""""&gt;[sound:""&amp;C1976&amp;"".mp3]&lt;/div&gt;"""),"&lt;ruby&gt;動&lt;rt&gt;うご&lt;/rt&gt;&lt;/ruby&gt;かす&lt;br&gt;&lt;div class=""audio""&gt;[sound:うごかす.mp3]&lt;/div&gt;")</f>
        <v>&lt;ruby&gt;動&lt;rt&gt;うご&lt;/rt&gt;&lt;/ruby&gt;かす&lt;br&gt;&lt;div class="audio"&gt;[sound:うごかす.mp3]&lt;/div&gt;</v>
      </c>
      <c r="H1976" s="3" t="str">
        <f t="shared" si="1"/>
        <v>(v): vận hành</v>
      </c>
      <c r="I1976" s="6" t="s">
        <v>10784</v>
      </c>
      <c r="J1976" s="6" t="s">
        <v>10785</v>
      </c>
      <c r="K1976" s="7">
        <f t="shared" si="2"/>
        <v>0.005534515033</v>
      </c>
    </row>
    <row r="1977">
      <c r="A1977" s="4">
        <v>1977.0</v>
      </c>
      <c r="B1977" s="5" t="s">
        <v>10786</v>
      </c>
      <c r="C1977" s="5" t="s">
        <v>10787</v>
      </c>
      <c r="D1977" s="5" t="s">
        <v>10788</v>
      </c>
      <c r="E1977" s="6" t="s">
        <v>74</v>
      </c>
      <c r="F1977" s="6" t="s">
        <v>10789</v>
      </c>
      <c r="G1977" s="3" t="str">
        <f>IFERROR(__xludf.DUMMYFUNCTION("REGEXREPLACE(
D1977,
""([一-龯々]+)\[([^\]]+)\]"",
""&lt;ruby&gt;$1&lt;rt&gt;$2&lt;/rt&gt;&lt;/ruby&gt;""
)&amp;""&lt;br&gt;&lt;div class=""""audio""""&gt;[sound:""&amp;C1977&amp;"".mp3]&lt;/div&gt;"""),"&lt;ruby&gt;違&lt;rt&gt;ちが&lt;/rt&gt;&lt;/ruby&gt;い&lt;br&gt;&lt;div class=""audio""&gt;[sound:ちがい.mp3]&lt;/div&gt;")</f>
        <v>&lt;ruby&gt;違&lt;rt&gt;ちが&lt;/rt&gt;&lt;/ruby&gt;い&lt;br&gt;&lt;div class="audio"&gt;[sound:ちがい.mp3]&lt;/div&gt;</v>
      </c>
      <c r="H1977" s="3" t="str">
        <f t="shared" si="1"/>
        <v>(n): khác biệt</v>
      </c>
      <c r="I1977" s="6" t="s">
        <v>10790</v>
      </c>
      <c r="J1977" s="6" t="s">
        <v>10791</v>
      </c>
      <c r="K1977" s="7">
        <f t="shared" si="2"/>
        <v>0.4514281447</v>
      </c>
    </row>
    <row r="1978">
      <c r="A1978" s="4">
        <v>1978.0</v>
      </c>
      <c r="B1978" s="5" t="s">
        <v>10792</v>
      </c>
      <c r="C1978" s="5" t="s">
        <v>10793</v>
      </c>
      <c r="D1978" s="5" t="s">
        <v>10794</v>
      </c>
      <c r="E1978" s="6" t="s">
        <v>74</v>
      </c>
      <c r="F1978" s="6" t="s">
        <v>10795</v>
      </c>
      <c r="G1978" s="3" t="str">
        <f>IFERROR(__xludf.DUMMYFUNCTION("REGEXREPLACE(
D1978,
""([一-龯々]+)\[([^\]]+)\]"",
""&lt;ruby&gt;$1&lt;rt&gt;$2&lt;/rt&gt;&lt;/ruby&gt;""
)&amp;""&lt;br&gt;&lt;div class=""""audio""""&gt;[sound:""&amp;C1978&amp;"".mp3]&lt;/div&gt;"""),"&lt;ruby&gt;食品&lt;rt&gt;しょくひん&lt;/rt&gt;&lt;/ruby&gt;&lt;br&gt;&lt;div class=""audio""&gt;[sound:しょくひん.mp3]&lt;/div&gt;")</f>
        <v>&lt;ruby&gt;食品&lt;rt&gt;しょくひん&lt;/rt&gt;&lt;/ruby&gt;&lt;br&gt;&lt;div class="audio"&gt;[sound:しょくひん.mp3]&lt;/div&gt;</v>
      </c>
      <c r="H1978" s="3" t="str">
        <f t="shared" si="1"/>
        <v>(n): thực phẩm</v>
      </c>
      <c r="I1978" s="6" t="s">
        <v>10796</v>
      </c>
      <c r="J1978" s="6" t="s">
        <v>10797</v>
      </c>
      <c r="K1978" s="7">
        <f t="shared" si="2"/>
        <v>0.07402224803</v>
      </c>
    </row>
    <row r="1979">
      <c r="A1979" s="4">
        <v>1979.0</v>
      </c>
      <c r="B1979" s="5" t="s">
        <v>10798</v>
      </c>
      <c r="C1979" s="5" t="s">
        <v>10799</v>
      </c>
      <c r="D1979" s="5" t="s">
        <v>10800</v>
      </c>
      <c r="E1979" s="6" t="s">
        <v>74</v>
      </c>
      <c r="F1979" s="6" t="s">
        <v>10801</v>
      </c>
      <c r="G1979" s="3" t="str">
        <f>IFERROR(__xludf.DUMMYFUNCTION("REGEXREPLACE(
D1979,
""([一-龯々]+)\[([^\]]+)\]"",
""&lt;ruby&gt;$1&lt;rt&gt;$2&lt;/rt&gt;&lt;/ruby&gt;""
)&amp;""&lt;br&gt;&lt;div class=""""audio""""&gt;[sound:""&amp;C1979&amp;"".mp3]&lt;/div&gt;"""),"&lt;ruby&gt;久&lt;rt&gt;ひさ&lt;/rt&gt;&lt;/ruby&gt;しぶり&lt;br&gt;&lt;div class=""audio""&gt;[sound:ひさしぶり.mp3]&lt;/div&gt;")</f>
        <v>&lt;ruby&gt;久&lt;rt&gt;ひさ&lt;/rt&gt;&lt;/ruby&gt;しぶり&lt;br&gt;&lt;div class="audio"&gt;[sound:ひさしぶり.mp3]&lt;/div&gt;</v>
      </c>
      <c r="H1979" s="3" t="str">
        <f t="shared" si="1"/>
        <v>(n): lâu rồi</v>
      </c>
      <c r="I1979" s="6" t="s">
        <v>10802</v>
      </c>
      <c r="J1979" s="6" t="s">
        <v>10803</v>
      </c>
      <c r="K1979" s="7">
        <f t="shared" si="2"/>
        <v>0.9475416024</v>
      </c>
    </row>
    <row r="1980">
      <c r="A1980" s="4">
        <v>1980.0</v>
      </c>
      <c r="B1980" s="5" t="s">
        <v>10804</v>
      </c>
      <c r="C1980" s="5" t="s">
        <v>10805</v>
      </c>
      <c r="D1980" s="5" t="s">
        <v>10806</v>
      </c>
      <c r="E1980" s="6" t="s">
        <v>74</v>
      </c>
      <c r="F1980" s="6" t="s">
        <v>10807</v>
      </c>
      <c r="G1980" s="3" t="str">
        <f>IFERROR(__xludf.DUMMYFUNCTION("REGEXREPLACE(
D1980,
""([一-龯々]+)\[([^\]]+)\]"",
""&lt;ruby&gt;$1&lt;rt&gt;$2&lt;/rt&gt;&lt;/ruby&gt;""
)&amp;""&lt;br&gt;&lt;div class=""""audio""""&gt;[sound:""&amp;C1980&amp;"".mp3]&lt;/div&gt;"""),"&lt;ruby&gt;制限&lt;rt&gt;せいげん&lt;/rt&gt;&lt;/ruby&gt;&lt;br&gt;&lt;div class=""audio""&gt;[sound:せいげん.mp3]&lt;/div&gt;")</f>
        <v>&lt;ruby&gt;制限&lt;rt&gt;せいげん&lt;/rt&gt;&lt;/ruby&gt;&lt;br&gt;&lt;div class="audio"&gt;[sound:せいげん.mp3]&lt;/div&gt;</v>
      </c>
      <c r="H1980" s="3" t="str">
        <f t="shared" si="1"/>
        <v>(n): hạn chế</v>
      </c>
      <c r="I1980" s="6" t="s">
        <v>10808</v>
      </c>
      <c r="J1980" s="6" t="s">
        <v>10809</v>
      </c>
      <c r="K1980" s="7">
        <f t="shared" si="2"/>
        <v>0.929938686</v>
      </c>
    </row>
    <row r="1981">
      <c r="A1981" s="4">
        <v>1981.0</v>
      </c>
      <c r="B1981" s="5" t="s">
        <v>10810</v>
      </c>
      <c r="C1981" s="5" t="s">
        <v>10811</v>
      </c>
      <c r="D1981" s="5" t="s">
        <v>10810</v>
      </c>
      <c r="E1981" s="6" t="s">
        <v>74</v>
      </c>
      <c r="F1981" s="6" t="s">
        <v>10812</v>
      </c>
      <c r="G1981" s="3" t="str">
        <f>IFERROR(__xludf.DUMMYFUNCTION("REGEXREPLACE(
D1981,
""([一-龯々]+)\[([^\]]+)\]"",
""&lt;ruby&gt;$1&lt;rt&gt;$2&lt;/rt&gt;&lt;/ruby&gt;""
)&amp;""&lt;br&gt;&lt;div class=""""audio""""&gt;[sound:""&amp;C1981&amp;"".mp3]&lt;/div&gt;"""),"ボーナス&lt;br&gt;&lt;div class=""audio""&gt;[sound:ぼーなす.mp3]&lt;/div&gt;")</f>
        <v>ボーナス&lt;br&gt;&lt;div class="audio"&gt;[sound:ぼーなす.mp3]&lt;/div&gt;</v>
      </c>
      <c r="H1981" s="3" t="str">
        <f t="shared" si="1"/>
        <v>(n): thưởng</v>
      </c>
      <c r="I1981" s="6" t="s">
        <v>10813</v>
      </c>
      <c r="J1981" s="6" t="s">
        <v>10814</v>
      </c>
      <c r="K1981" s="7">
        <f t="shared" si="2"/>
        <v>0.9041232857</v>
      </c>
    </row>
    <row r="1982">
      <c r="A1982" s="4">
        <v>1982.0</v>
      </c>
      <c r="B1982" s="5" t="s">
        <v>10815</v>
      </c>
      <c r="C1982" s="5" t="s">
        <v>10816</v>
      </c>
      <c r="D1982" s="5" t="s">
        <v>10817</v>
      </c>
      <c r="E1982" s="6" t="s">
        <v>24</v>
      </c>
      <c r="F1982" s="6" t="s">
        <v>10818</v>
      </c>
      <c r="G1982" s="3" t="str">
        <f>IFERROR(__xludf.DUMMYFUNCTION("REGEXREPLACE(
D1982,
""([一-龯々]+)\[([^\]]+)\]"",
""&lt;ruby&gt;$1&lt;rt&gt;$2&lt;/rt&gt;&lt;/ruby&gt;""
)&amp;""&lt;br&gt;&lt;div class=""""audio""""&gt;[sound:""&amp;C1982&amp;"".mp3]&lt;/div&gt;"""),"&lt;ruby&gt;苦&lt;rt&gt;くる&lt;/rt&gt;&lt;/ruby&gt;しむ&lt;br&gt;&lt;div class=""audio""&gt;[sound:くるしむ.mp3]&lt;/div&gt;")</f>
        <v>&lt;ruby&gt;苦&lt;rt&gt;くる&lt;/rt&gt;&lt;/ruby&gt;しむ&lt;br&gt;&lt;div class="audio"&gt;[sound:くるしむ.mp3]&lt;/div&gt;</v>
      </c>
      <c r="H1982" s="3" t="str">
        <f t="shared" si="1"/>
        <v>(v): khổ sở</v>
      </c>
      <c r="I1982" s="6" t="s">
        <v>10819</v>
      </c>
      <c r="J1982" s="6" t="s">
        <v>10820</v>
      </c>
      <c r="K1982" s="7">
        <f t="shared" si="2"/>
        <v>0.2595784879</v>
      </c>
    </row>
    <row r="1983">
      <c r="A1983" s="4">
        <v>1983.0</v>
      </c>
      <c r="B1983" s="5" t="s">
        <v>10821</v>
      </c>
      <c r="C1983" s="5" t="s">
        <v>10822</v>
      </c>
      <c r="D1983" s="5" t="s">
        <v>10823</v>
      </c>
      <c r="E1983" s="6" t="s">
        <v>74</v>
      </c>
      <c r="F1983" s="6" t="s">
        <v>10824</v>
      </c>
      <c r="G1983" s="3" t="str">
        <f>IFERROR(__xludf.DUMMYFUNCTION("REGEXREPLACE(
D1983,
""([一-龯々]+)\[([^\]]+)\]"",
""&lt;ruby&gt;$1&lt;rt&gt;$2&lt;/rt&gt;&lt;/ruby&gt;""
)&amp;""&lt;br&gt;&lt;div class=""""audio""""&gt;[sound:""&amp;C1983&amp;"".mp3]&lt;/div&gt;"""),"&lt;ruby&gt;選挙&lt;rt&gt;せんきょ&lt;/rt&gt;&lt;/ruby&gt;&lt;br&gt;&lt;div class=""audio""&gt;[sound:せんきょ.mp3]&lt;/div&gt;")</f>
        <v>&lt;ruby&gt;選挙&lt;rt&gt;せんきょ&lt;/rt&gt;&lt;/ruby&gt;&lt;br&gt;&lt;div class="audio"&gt;[sound:せんきょ.mp3]&lt;/div&gt;</v>
      </c>
      <c r="H1983" s="3" t="str">
        <f t="shared" si="1"/>
        <v>(n): bầu cử</v>
      </c>
      <c r="I1983" s="6" t="s">
        <v>10825</v>
      </c>
      <c r="J1983" s="6" t="s">
        <v>10826</v>
      </c>
      <c r="K1983" s="7">
        <f t="shared" si="2"/>
        <v>0.8585037027</v>
      </c>
    </row>
    <row r="1984">
      <c r="A1984" s="4">
        <v>1984.0</v>
      </c>
      <c r="B1984" s="5" t="s">
        <v>10827</v>
      </c>
      <c r="C1984" s="5" t="s">
        <v>10828</v>
      </c>
      <c r="D1984" s="5" t="s">
        <v>10829</v>
      </c>
      <c r="E1984" s="6" t="s">
        <v>74</v>
      </c>
      <c r="F1984" s="6" t="s">
        <v>10830</v>
      </c>
      <c r="G1984" s="3" t="str">
        <f>IFERROR(__xludf.DUMMYFUNCTION("REGEXREPLACE(
D1984,
""([一-龯々]+)\[([^\]]+)\]"",
""&lt;ruby&gt;$1&lt;rt&gt;$2&lt;/rt&gt;&lt;/ruby&gt;""
)&amp;""&lt;br&gt;&lt;div class=""""audio""""&gt;[sound:""&amp;C1984&amp;"".mp3]&lt;/div&gt;"""),"&lt;ruby&gt;余裕&lt;rt&gt;よゆう&lt;/rt&gt;&lt;/ruby&gt;&lt;br&gt;&lt;div class=""audio""&gt;[sound:よゆう.mp3]&lt;/div&gt;")</f>
        <v>&lt;ruby&gt;余裕&lt;rt&gt;よゆう&lt;/rt&gt;&lt;/ruby&gt;&lt;br&gt;&lt;div class="audio"&gt;[sound:よゆう.mp3]&lt;/div&gt;</v>
      </c>
      <c r="H1984" s="3" t="str">
        <f t="shared" si="1"/>
        <v>(n): dư dả</v>
      </c>
      <c r="I1984" s="6" t="s">
        <v>10831</v>
      </c>
      <c r="J1984" s="6" t="s">
        <v>10832</v>
      </c>
      <c r="K1984" s="7">
        <f t="shared" si="2"/>
        <v>0.7896609892</v>
      </c>
    </row>
    <row r="1985">
      <c r="A1985" s="4">
        <v>1985.0</v>
      </c>
      <c r="B1985" s="5" t="s">
        <v>10833</v>
      </c>
      <c r="C1985" s="5" t="s">
        <v>10834</v>
      </c>
      <c r="D1985" s="5" t="s">
        <v>10835</v>
      </c>
      <c r="E1985" s="6" t="s">
        <v>11</v>
      </c>
      <c r="F1985" s="6" t="s">
        <v>10836</v>
      </c>
      <c r="G1985" s="3" t="str">
        <f>IFERROR(__xludf.DUMMYFUNCTION("REGEXREPLACE(
D1985,
""([一-龯々]+)\[([^\]]+)\]"",
""&lt;ruby&gt;$1&lt;rt&gt;$2&lt;/rt&gt;&lt;/ruby&gt;""
)&amp;""&lt;br&gt;&lt;div class=""""audio""""&gt;[sound:""&amp;C1985&amp;"".mp3]&lt;/div&gt;"""),"&lt;ruby&gt;親切&lt;rt&gt;しんせつ&lt;/rt&gt;&lt;/ruby&gt;&lt;br&gt;&lt;div class=""audio""&gt;[sound:しんせつ.mp3]&lt;/div&gt;")</f>
        <v>&lt;ruby&gt;親切&lt;rt&gt;しんせつ&lt;/rt&gt;&lt;/ruby&gt;&lt;br&gt;&lt;div class="audio"&gt;[sound:しんせつ.mp3]&lt;/div&gt;</v>
      </c>
      <c r="H1985" s="3" t="str">
        <f t="shared" si="1"/>
        <v>(adj): tử tế</v>
      </c>
      <c r="I1985" s="6" t="s">
        <v>10837</v>
      </c>
      <c r="J1985" s="6" t="s">
        <v>10838</v>
      </c>
      <c r="K1985" s="7">
        <f t="shared" si="2"/>
        <v>0.01112710216</v>
      </c>
    </row>
    <row r="1986">
      <c r="A1986" s="4">
        <v>1986.0</v>
      </c>
      <c r="B1986" s="5" t="s">
        <v>10839</v>
      </c>
      <c r="C1986" s="5" t="s">
        <v>10839</v>
      </c>
      <c r="D1986" s="5" t="s">
        <v>10839</v>
      </c>
      <c r="E1986" s="6" t="s">
        <v>24</v>
      </c>
      <c r="F1986" s="6" t="s">
        <v>10840</v>
      </c>
      <c r="G1986" s="3" t="str">
        <f>IFERROR(__xludf.DUMMYFUNCTION("REGEXREPLACE(
D1986,
""([一-龯々]+)\[([^\]]+)\]"",
""&lt;ruby&gt;$1&lt;rt&gt;$2&lt;/rt&gt;&lt;/ruby&gt;""
)&amp;""&lt;br&gt;&lt;div class=""""audio""""&gt;[sound:""&amp;C1986&amp;"".mp3]&lt;/div&gt;"""),"あふれる&lt;br&gt;&lt;div class=""audio""&gt;[sound:あふれる.mp3]&lt;/div&gt;")</f>
        <v>あふれる&lt;br&gt;&lt;div class="audio"&gt;[sound:あふれる.mp3]&lt;/div&gt;</v>
      </c>
      <c r="H1986" s="3" t="str">
        <f t="shared" si="1"/>
        <v>(v): tràn</v>
      </c>
      <c r="I1986" s="6" t="s">
        <v>10841</v>
      </c>
      <c r="J1986" s="6" t="s">
        <v>10842</v>
      </c>
      <c r="K1986" s="7">
        <f t="shared" si="2"/>
        <v>0.9419363095</v>
      </c>
    </row>
    <row r="1987">
      <c r="A1987" s="4">
        <v>1987.0</v>
      </c>
      <c r="B1987" s="5" t="s">
        <v>10843</v>
      </c>
      <c r="C1987" s="5" t="s">
        <v>10843</v>
      </c>
      <c r="D1987" s="5" t="s">
        <v>10843</v>
      </c>
      <c r="E1987" s="6" t="s">
        <v>33</v>
      </c>
      <c r="F1987" s="6" t="s">
        <v>10844</v>
      </c>
      <c r="G1987" s="3" t="str">
        <f>IFERROR(__xludf.DUMMYFUNCTION("REGEXREPLACE(
D1987,
""([一-龯々]+)\[([^\]]+)\]"",
""&lt;ruby&gt;$1&lt;rt&gt;$2&lt;/rt&gt;&lt;/ruby&gt;""
)&amp;""&lt;br&gt;&lt;div class=""""audio""""&gt;[sound:""&amp;C1987&amp;"".mp3]&lt;/div&gt;"""),"もしもし&lt;br&gt;&lt;div class=""audio""&gt;[sound:もしもし.mp3]&lt;/div&gt;")</f>
        <v>もしもし&lt;br&gt;&lt;div class="audio"&gt;[sound:もしもし.mp3]&lt;/div&gt;</v>
      </c>
      <c r="H1987" s="3" t="str">
        <f t="shared" si="1"/>
        <v>(int): a lô</v>
      </c>
      <c r="I1987" s="6" t="s">
        <v>10845</v>
      </c>
      <c r="J1987" s="6" t="s">
        <v>10846</v>
      </c>
      <c r="K1987" s="7">
        <f t="shared" si="2"/>
        <v>0.1867350482</v>
      </c>
    </row>
    <row r="1988">
      <c r="A1988" s="4">
        <v>1988.0</v>
      </c>
      <c r="B1988" s="5" t="s">
        <v>10847</v>
      </c>
      <c r="C1988" s="5" t="s">
        <v>10848</v>
      </c>
      <c r="D1988" s="5" t="s">
        <v>10849</v>
      </c>
      <c r="E1988" s="6" t="s">
        <v>74</v>
      </c>
      <c r="F1988" s="6" t="s">
        <v>10850</v>
      </c>
      <c r="G1988" s="3" t="str">
        <f>IFERROR(__xludf.DUMMYFUNCTION("REGEXREPLACE(
D1988,
""([一-龯々]+)\[([^\]]+)\]"",
""&lt;ruby&gt;$1&lt;rt&gt;$2&lt;/rt&gt;&lt;/ruby&gt;""
)&amp;""&lt;br&gt;&lt;div class=""""audio""""&gt;[sound:""&amp;C1988&amp;"".mp3]&lt;/div&gt;"""),"&lt;ruby&gt;穴&lt;rt&gt;あな&lt;/rt&gt;&lt;/ruby&gt;&lt;br&gt;&lt;div class=""audio""&gt;[sound:あな.mp3]&lt;/div&gt;")</f>
        <v>&lt;ruby&gt;穴&lt;rt&gt;あな&lt;/rt&gt;&lt;/ruby&gt;&lt;br&gt;&lt;div class="audio"&gt;[sound:あな.mp3]&lt;/div&gt;</v>
      </c>
      <c r="H1988" s="3" t="str">
        <f t="shared" si="1"/>
        <v>(n): lỗ</v>
      </c>
      <c r="I1988" s="6" t="s">
        <v>10851</v>
      </c>
      <c r="J1988" s="6" t="s">
        <v>10852</v>
      </c>
      <c r="K1988" s="7">
        <f t="shared" si="2"/>
        <v>0.1198346877</v>
      </c>
    </row>
    <row r="1989">
      <c r="A1989" s="4">
        <v>1989.0</v>
      </c>
      <c r="B1989" s="5" t="s">
        <v>10853</v>
      </c>
      <c r="C1989" s="5" t="s">
        <v>10854</v>
      </c>
      <c r="D1989" s="5" t="s">
        <v>10855</v>
      </c>
      <c r="E1989" s="6" t="s">
        <v>85</v>
      </c>
      <c r="F1989" s="6" t="s">
        <v>10856</v>
      </c>
      <c r="G1989" s="3" t="str">
        <f>IFERROR(__xludf.DUMMYFUNCTION("REGEXREPLACE(
D1989,
""([一-龯々]+)\[([^\]]+)\]"",
""&lt;ruby&gt;$1&lt;rt&gt;$2&lt;/rt&gt;&lt;/ruby&gt;""
)&amp;""&lt;br&gt;&lt;div class=""""audio""""&gt;[sound:""&amp;C1989&amp;"".mp3]&lt;/div&gt;"""),"&lt;ruby&gt;別&lt;rt&gt;べつ&lt;/rt&gt;&lt;/ruby&gt;に&lt;br&gt;&lt;div class=""audio""&gt;[sound:べつに.mp3]&lt;/div&gt;")</f>
        <v>&lt;ruby&gt;別&lt;rt&gt;べつ&lt;/rt&gt;&lt;/ruby&gt;に&lt;br&gt;&lt;div class="audio"&gt;[sound:べつに.mp3]&lt;/div&gt;</v>
      </c>
      <c r="H1989" s="3" t="str">
        <f t="shared" si="1"/>
        <v>(adv): không đặc biệt</v>
      </c>
      <c r="I1989" s="6" t="s">
        <v>10857</v>
      </c>
      <c r="J1989" s="6" t="s">
        <v>10858</v>
      </c>
      <c r="K1989" s="7">
        <f t="shared" si="2"/>
        <v>0.6587865366</v>
      </c>
    </row>
    <row r="1990">
      <c r="A1990" s="4">
        <v>1990.0</v>
      </c>
      <c r="B1990" s="5" t="s">
        <v>10859</v>
      </c>
      <c r="C1990" s="5" t="s">
        <v>10860</v>
      </c>
      <c r="D1990" s="5" t="s">
        <v>10859</v>
      </c>
      <c r="E1990" s="6" t="s">
        <v>74</v>
      </c>
      <c r="F1990" s="6" t="s">
        <v>10861</v>
      </c>
      <c r="G1990" s="3" t="str">
        <f>IFERROR(__xludf.DUMMYFUNCTION("REGEXREPLACE(
D1990,
""([一-龯々]+)\[([^\]]+)\]"",
""&lt;ruby&gt;$1&lt;rt&gt;$2&lt;/rt&gt;&lt;/ruby&gt;""
)&amp;""&lt;br&gt;&lt;div class=""""audio""""&gt;[sound:""&amp;C1990&amp;"".mp3]&lt;/div&gt;"""),"コンサート&lt;br&gt;&lt;div class=""audio""&gt;[sound:こんさーと.mp3]&lt;/div&gt;")</f>
        <v>コンサート&lt;br&gt;&lt;div class="audio"&gt;[sound:こんさーと.mp3]&lt;/div&gt;</v>
      </c>
      <c r="H1990" s="3" t="str">
        <f t="shared" si="1"/>
        <v>(n): buổi hòa nhạc</v>
      </c>
      <c r="I1990" s="6" t="s">
        <v>10862</v>
      </c>
      <c r="J1990" s="6" t="s">
        <v>10863</v>
      </c>
      <c r="K1990" s="7">
        <f t="shared" si="2"/>
        <v>0.7394605727</v>
      </c>
    </row>
    <row r="1991">
      <c r="A1991" s="4">
        <v>1991.0</v>
      </c>
      <c r="B1991" s="5" t="s">
        <v>10864</v>
      </c>
      <c r="C1991" s="5" t="s">
        <v>10865</v>
      </c>
      <c r="D1991" s="5" t="s">
        <v>10866</v>
      </c>
      <c r="E1991" s="6" t="s">
        <v>74</v>
      </c>
      <c r="F1991" s="6" t="s">
        <v>10867</v>
      </c>
      <c r="G1991" s="3" t="str">
        <f>IFERROR(__xludf.DUMMYFUNCTION("REGEXREPLACE(
D1991,
""([一-龯々]+)\[([^\]]+)\]"",
""&lt;ruby&gt;$1&lt;rt&gt;$2&lt;/rt&gt;&lt;/ruby&gt;""
)&amp;""&lt;br&gt;&lt;div class=""""audio""""&gt;[sound:""&amp;C1991&amp;"".mp3]&lt;/div&gt;"""),"&lt;ruby&gt;地下鉄&lt;rt&gt;ちかてつ&lt;/rt&gt;&lt;/ruby&gt;&lt;br&gt;&lt;div class=""audio""&gt;[sound:ちかてつ.mp3]&lt;/div&gt;")</f>
        <v>&lt;ruby&gt;地下鉄&lt;rt&gt;ちかてつ&lt;/rt&gt;&lt;/ruby&gt;&lt;br&gt;&lt;div class="audio"&gt;[sound:ちかてつ.mp3]&lt;/div&gt;</v>
      </c>
      <c r="H1991" s="3" t="str">
        <f t="shared" si="1"/>
        <v>(n): tàu điện ngầm</v>
      </c>
      <c r="I1991" s="6" t="s">
        <v>10868</v>
      </c>
      <c r="J1991" s="6" t="s">
        <v>10869</v>
      </c>
      <c r="K1991" s="7">
        <f t="shared" si="2"/>
        <v>0.6221179207</v>
      </c>
    </row>
    <row r="1992">
      <c r="A1992" s="4">
        <v>1992.0</v>
      </c>
      <c r="B1992" s="5" t="s">
        <v>10870</v>
      </c>
      <c r="C1992" s="5" t="s">
        <v>10871</v>
      </c>
      <c r="D1992" s="5" t="s">
        <v>10872</v>
      </c>
      <c r="E1992" s="6" t="s">
        <v>74</v>
      </c>
      <c r="F1992" s="6" t="s">
        <v>10873</v>
      </c>
      <c r="G1992" s="3" t="str">
        <f>IFERROR(__xludf.DUMMYFUNCTION("REGEXREPLACE(
D1992,
""([一-龯々]+)\[([^\]]+)\]"",
""&lt;ruby&gt;$1&lt;rt&gt;$2&lt;/rt&gt;&lt;/ruby&gt;""
)&amp;""&lt;br&gt;&lt;div class=""""audio""""&gt;[sound:""&amp;C1992&amp;"".mp3]&lt;/div&gt;"""),"&lt;ruby&gt;三日&lt;rt&gt;みっか&lt;/rt&gt;&lt;/ruby&gt;&lt;br&gt;&lt;div class=""audio""&gt;[sound:みっか.mp3]&lt;/div&gt;")</f>
        <v>&lt;ruby&gt;三日&lt;rt&gt;みっか&lt;/rt&gt;&lt;/ruby&gt;&lt;br&gt;&lt;div class="audio"&gt;[sound:みっか.mp3]&lt;/div&gt;</v>
      </c>
      <c r="H1992" s="3" t="str">
        <f t="shared" si="1"/>
        <v>(n): ngày mùng ba</v>
      </c>
      <c r="I1992" s="6" t="s">
        <v>10874</v>
      </c>
      <c r="J1992" s="6" t="s">
        <v>10875</v>
      </c>
      <c r="K1992" s="7">
        <f t="shared" si="2"/>
        <v>0.5377854006</v>
      </c>
    </row>
    <row r="1993">
      <c r="A1993" s="4">
        <v>1993.0</v>
      </c>
      <c r="B1993" s="5" t="s">
        <v>10876</v>
      </c>
      <c r="C1993" s="5" t="s">
        <v>10876</v>
      </c>
      <c r="D1993" s="5" t="s">
        <v>10876</v>
      </c>
      <c r="E1993" s="6" t="s">
        <v>11</v>
      </c>
      <c r="F1993" s="6" t="s">
        <v>10877</v>
      </c>
      <c r="G1993" s="3" t="str">
        <f>IFERROR(__xludf.DUMMYFUNCTION("REGEXREPLACE(
D1993,
""([一-龯々]+)\[([^\]]+)\]"",
""&lt;ruby&gt;$1&lt;rt&gt;$2&lt;/rt&gt;&lt;/ruby&gt;""
)&amp;""&lt;br&gt;&lt;div class=""""audio""""&gt;[sound:""&amp;C1993&amp;"".mp3]&lt;/div&gt;"""),"さわやか&lt;br&gt;&lt;div class=""audio""&gt;[sound:さわやか.mp3]&lt;/div&gt;")</f>
        <v>さわやか&lt;br&gt;&lt;div class="audio"&gt;[sound:さわやか.mp3]&lt;/div&gt;</v>
      </c>
      <c r="H1993" s="3" t="str">
        <f t="shared" si="1"/>
        <v>(adj): sảng khoái</v>
      </c>
      <c r="I1993" s="6" t="s">
        <v>10878</v>
      </c>
      <c r="J1993" s="6" t="s">
        <v>10879</v>
      </c>
      <c r="K1993" s="7">
        <f t="shared" si="2"/>
        <v>0.868059622</v>
      </c>
    </row>
    <row r="1994">
      <c r="A1994" s="4">
        <v>1994.0</v>
      </c>
      <c r="B1994" s="5" t="s">
        <v>10880</v>
      </c>
      <c r="C1994" s="5" t="s">
        <v>10881</v>
      </c>
      <c r="D1994" s="5" t="s">
        <v>10880</v>
      </c>
      <c r="E1994" s="6" t="s">
        <v>74</v>
      </c>
      <c r="F1994" s="6" t="s">
        <v>400</v>
      </c>
      <c r="G1994" s="3" t="str">
        <f>IFERROR(__xludf.DUMMYFUNCTION("REGEXREPLACE(
D1994,
""([一-龯々]+)\[([^\]]+)\]"",
""&lt;ruby&gt;$1&lt;rt&gt;$2&lt;/rt&gt;&lt;/ruby&gt;""
)&amp;""&lt;br&gt;&lt;div class=""""audio""""&gt;[sound:""&amp;C1994&amp;"".mp3]&lt;/div&gt;"""),"スクール&lt;br&gt;&lt;div class=""audio""&gt;[sound:すくーる.mp3]&lt;/div&gt;")</f>
        <v>スクール&lt;br&gt;&lt;div class="audio"&gt;[sound:すくーる.mp3]&lt;/div&gt;</v>
      </c>
      <c r="H1994" s="3" t="str">
        <f t="shared" si="1"/>
        <v>(n): trường học</v>
      </c>
      <c r="I1994" s="6" t="s">
        <v>10882</v>
      </c>
      <c r="J1994" s="6" t="s">
        <v>10883</v>
      </c>
      <c r="K1994" s="7">
        <f t="shared" si="2"/>
        <v>0.647881127</v>
      </c>
    </row>
    <row r="1995">
      <c r="A1995" s="4">
        <v>1995.0</v>
      </c>
      <c r="B1995" s="5" t="s">
        <v>10884</v>
      </c>
      <c r="C1995" s="5" t="s">
        <v>10885</v>
      </c>
      <c r="D1995" s="5" t="s">
        <v>10886</v>
      </c>
      <c r="E1995" s="6" t="s">
        <v>74</v>
      </c>
      <c r="F1995" s="6" t="s">
        <v>10887</v>
      </c>
      <c r="G1995" s="3" t="str">
        <f>IFERROR(__xludf.DUMMYFUNCTION("REGEXREPLACE(
D1995,
""([一-龯々]+)\[([^\]]+)\]"",
""&lt;ruby&gt;$1&lt;rt&gt;$2&lt;/rt&gt;&lt;/ruby&gt;""
)&amp;""&lt;br&gt;&lt;div class=""""audio""""&gt;[sound:""&amp;C1995&amp;"".mp3]&lt;/div&gt;"""),"&lt;ruby&gt;水道&lt;rt&gt;すいどう&lt;/rt&gt;&lt;/ruby&gt;&lt;br&gt;&lt;div class=""audio""&gt;[sound:すいどう.mp3]&lt;/div&gt;")</f>
        <v>&lt;ruby&gt;水道&lt;rt&gt;すいどう&lt;/rt&gt;&lt;/ruby&gt;&lt;br&gt;&lt;div class="audio"&gt;[sound:すいどう.mp3]&lt;/div&gt;</v>
      </c>
      <c r="H1995" s="3" t="str">
        <f t="shared" si="1"/>
        <v>(n): đường nước</v>
      </c>
      <c r="I1995" s="6" t="s">
        <v>10888</v>
      </c>
      <c r="J1995" s="6" t="s">
        <v>10889</v>
      </c>
      <c r="K1995" s="7">
        <f t="shared" si="2"/>
        <v>0.5926813524</v>
      </c>
    </row>
    <row r="1996">
      <c r="A1996" s="4">
        <v>1996.0</v>
      </c>
      <c r="B1996" s="5" t="s">
        <v>10890</v>
      </c>
      <c r="C1996" s="5" t="s">
        <v>10890</v>
      </c>
      <c r="D1996" s="5" t="s">
        <v>10890</v>
      </c>
      <c r="E1996" s="6" t="s">
        <v>85</v>
      </c>
      <c r="F1996" s="6" t="s">
        <v>10891</v>
      </c>
      <c r="G1996" s="3" t="str">
        <f>IFERROR(__xludf.DUMMYFUNCTION("REGEXREPLACE(
D1996,
""([一-龯々]+)\[([^\]]+)\]"",
""&lt;ruby&gt;$1&lt;rt&gt;$2&lt;/rt&gt;&lt;/ruby&gt;""
)&amp;""&lt;br&gt;&lt;div class=""""audio""""&gt;[sound:""&amp;C1996&amp;"".mp3]&lt;/div&gt;"""),"がっかり&lt;br&gt;&lt;div class=""audio""&gt;[sound:がっかり.mp3]&lt;/div&gt;")</f>
        <v>がっかり&lt;br&gt;&lt;div class="audio"&gt;[sound:がっかり.mp3]&lt;/div&gt;</v>
      </c>
      <c r="H1996" s="3" t="str">
        <f t="shared" si="1"/>
        <v>(adv): thất vọng</v>
      </c>
      <c r="I1996" s="6" t="s">
        <v>10892</v>
      </c>
      <c r="J1996" s="6" t="s">
        <v>10893</v>
      </c>
      <c r="K1996" s="7">
        <f t="shared" si="2"/>
        <v>0.1793476781</v>
      </c>
    </row>
    <row r="1997">
      <c r="A1997" s="4">
        <v>1997.0</v>
      </c>
      <c r="B1997" s="5" t="s">
        <v>10894</v>
      </c>
      <c r="C1997" s="5" t="s">
        <v>10894</v>
      </c>
      <c r="D1997" s="5" t="s">
        <v>10894</v>
      </c>
      <c r="E1997" s="6" t="s">
        <v>24</v>
      </c>
      <c r="F1997" s="6" t="s">
        <v>9487</v>
      </c>
      <c r="G1997" s="3" t="str">
        <f>IFERROR(__xludf.DUMMYFUNCTION("REGEXREPLACE(
D1997,
""([一-龯々]+)\[([^\]]+)\]"",
""&lt;ruby&gt;$1&lt;rt&gt;$2&lt;/rt&gt;&lt;/ruby&gt;""
)&amp;""&lt;br&gt;&lt;div class=""""audio""""&gt;[sound:""&amp;C1997&amp;"".mp3]&lt;/div&gt;"""),"けがする&lt;br&gt;&lt;div class=""audio""&gt;[sound:けがする.mp3]&lt;/div&gt;")</f>
        <v>けがする&lt;br&gt;&lt;div class="audio"&gt;[sound:けがする.mp3]&lt;/div&gt;</v>
      </c>
      <c r="H1997" s="3" t="str">
        <f t="shared" si="1"/>
        <v>(v): bị thương</v>
      </c>
      <c r="I1997" s="6" t="s">
        <v>10895</v>
      </c>
      <c r="J1997" s="6" t="s">
        <v>10896</v>
      </c>
      <c r="K1997" s="7">
        <f t="shared" si="2"/>
        <v>0.01522360458</v>
      </c>
    </row>
    <row r="1998">
      <c r="A1998" s="4">
        <v>1998.0</v>
      </c>
      <c r="B1998" s="5" t="s">
        <v>10897</v>
      </c>
      <c r="C1998" s="5" t="s">
        <v>10897</v>
      </c>
      <c r="D1998" s="5" t="s">
        <v>10897</v>
      </c>
      <c r="E1998" s="6" t="s">
        <v>74</v>
      </c>
      <c r="F1998" s="6" t="s">
        <v>10898</v>
      </c>
      <c r="G1998" s="3" t="str">
        <f>IFERROR(__xludf.DUMMYFUNCTION("REGEXREPLACE(
D1998,
""([一-龯々]+)\[([^\]]+)\]"",
""&lt;ruby&gt;$1&lt;rt&gt;$2&lt;/rt&gt;&lt;/ruby&gt;""
)&amp;""&lt;br&gt;&lt;div class=""""audio""""&gt;[sound:""&amp;C1998&amp;"".mp3]&lt;/div&gt;"""),"こないだ&lt;br&gt;&lt;div class=""audio""&gt;[sound:こないだ.mp3]&lt;/div&gt;")</f>
        <v>こないだ&lt;br&gt;&lt;div class="audio"&gt;[sound:こないだ.mp3]&lt;/div&gt;</v>
      </c>
      <c r="H1998" s="3" t="str">
        <f t="shared" si="1"/>
        <v>(n): hôm trước</v>
      </c>
      <c r="I1998" s="6" t="s">
        <v>10899</v>
      </c>
      <c r="J1998" s="6" t="s">
        <v>10900</v>
      </c>
      <c r="K1998" s="7">
        <f t="shared" si="2"/>
        <v>0.164725672</v>
      </c>
    </row>
    <row r="1999">
      <c r="A1999" s="4">
        <v>1999.0</v>
      </c>
      <c r="B1999" s="5" t="s">
        <v>10901</v>
      </c>
      <c r="C1999" s="5" t="s">
        <v>10902</v>
      </c>
      <c r="D1999" s="5" t="s">
        <v>10903</v>
      </c>
      <c r="E1999" s="6" t="s">
        <v>11</v>
      </c>
      <c r="F1999" s="6" t="s">
        <v>10904</v>
      </c>
      <c r="G1999" s="3" t="str">
        <f>IFERROR(__xludf.DUMMYFUNCTION("REGEXREPLACE(
D1999,
""([一-龯々]+)\[([^\]]+)\]"",
""&lt;ruby&gt;$1&lt;rt&gt;$2&lt;/rt&gt;&lt;/ruby&gt;""
)&amp;""&lt;br&gt;&lt;div class=""""audio""""&gt;[sound:""&amp;C1999&amp;"".mp3]&lt;/div&gt;"""),"&lt;ruby&gt;適当&lt;rt&gt;てきとう&lt;/rt&gt;&lt;/ruby&gt;&lt;br&gt;&lt;div class=""audio""&gt;[sound:てきとう.mp3]&lt;/div&gt;")</f>
        <v>&lt;ruby&gt;適当&lt;rt&gt;てきとう&lt;/rt&gt;&lt;/ruby&gt;&lt;br&gt;&lt;div class="audio"&gt;[sound:てきとう.mp3]&lt;/div&gt;</v>
      </c>
      <c r="H1999" s="3" t="str">
        <f t="shared" si="1"/>
        <v>(adj): thích hợp</v>
      </c>
      <c r="I1999" s="6" t="s">
        <v>10905</v>
      </c>
      <c r="J1999" s="6" t="s">
        <v>10906</v>
      </c>
      <c r="K1999" s="7">
        <f t="shared" si="2"/>
        <v>0.3159161794</v>
      </c>
    </row>
    <row r="2000">
      <c r="A2000" s="4">
        <v>2000.0</v>
      </c>
      <c r="B2000" s="5" t="s">
        <v>10907</v>
      </c>
      <c r="C2000" s="5" t="s">
        <v>10908</v>
      </c>
      <c r="D2000" s="5" t="s">
        <v>10909</v>
      </c>
      <c r="E2000" s="6" t="s">
        <v>74</v>
      </c>
      <c r="F2000" s="6" t="s">
        <v>10910</v>
      </c>
      <c r="G2000" s="3" t="str">
        <f>IFERROR(__xludf.DUMMYFUNCTION("REGEXREPLACE(
D2000,
""([一-龯々]+)\[([^\]]+)\]"",
""&lt;ruby&gt;$1&lt;rt&gt;$2&lt;/rt&gt;&lt;/ruby&gt;""
)&amp;""&lt;br&gt;&lt;div class=""""audio""""&gt;[sound:""&amp;C2000&amp;"".mp3]&lt;/div&gt;"""),"&lt;ruby&gt;都会&lt;rt&gt;とかい&lt;/rt&gt;&lt;/ruby&gt;&lt;br&gt;&lt;div class=""audio""&gt;[sound:とかい.mp3]&lt;/div&gt;")</f>
        <v>&lt;ruby&gt;都会&lt;rt&gt;とかい&lt;/rt&gt;&lt;/ruby&gt;&lt;br&gt;&lt;div class="audio"&gt;[sound:とかい.mp3]&lt;/div&gt;</v>
      </c>
      <c r="H2000" s="3" t="str">
        <f t="shared" si="1"/>
        <v>(n): thành thị</v>
      </c>
      <c r="I2000" s="6" t="s">
        <v>10911</v>
      </c>
      <c r="J2000" s="6" t="s">
        <v>10912</v>
      </c>
      <c r="K2000" s="7">
        <f t="shared" si="2"/>
        <v>0.3907858981</v>
      </c>
    </row>
    <row r="2001">
      <c r="A2001" s="4">
        <v>2001.0</v>
      </c>
      <c r="B2001" s="5" t="s">
        <v>10913</v>
      </c>
      <c r="C2001" s="5" t="s">
        <v>10913</v>
      </c>
      <c r="D2001" s="5" t="s">
        <v>10913</v>
      </c>
      <c r="E2001" s="6" t="s">
        <v>85</v>
      </c>
      <c r="F2001" s="6" t="s">
        <v>3995</v>
      </c>
      <c r="G2001" s="3" t="str">
        <f>IFERROR(__xludf.DUMMYFUNCTION("REGEXREPLACE(
D2001,
""([一-龯々]+)\[([^\]]+)\]"",
""&lt;ruby&gt;$1&lt;rt&gt;$2&lt;/rt&gt;&lt;/ruby&gt;""
)&amp;""&lt;br&gt;&lt;div class=""""audio""""&gt;[sound:""&amp;C2001&amp;"".mp3]&lt;/div&gt;"""),"なんとも&lt;br&gt;&lt;div class=""audio""&gt;[sound:なんとも.mp3]&lt;/div&gt;")</f>
        <v>なんとも&lt;br&gt;&lt;div class="audio"&gt;[sound:なんとも.mp3]&lt;/div&gt;</v>
      </c>
      <c r="H2001" s="3" t="str">
        <f t="shared" si="1"/>
        <v>(adv): không gì</v>
      </c>
      <c r="I2001" s="6" t="s">
        <v>10914</v>
      </c>
      <c r="J2001" s="6" t="s">
        <v>10915</v>
      </c>
      <c r="K2001" s="7">
        <f t="shared" si="2"/>
        <v>0.2392255886</v>
      </c>
    </row>
    <row r="2002">
      <c r="A2002" s="4">
        <v>2002.0</v>
      </c>
      <c r="B2002" s="5" t="s">
        <v>10916</v>
      </c>
      <c r="C2002" s="5" t="s">
        <v>10917</v>
      </c>
      <c r="D2002" s="5" t="s">
        <v>10918</v>
      </c>
      <c r="E2002" s="6" t="s">
        <v>74</v>
      </c>
      <c r="F2002" s="6" t="s">
        <v>10919</v>
      </c>
      <c r="G2002" s="3" t="str">
        <f>IFERROR(__xludf.DUMMYFUNCTION("REGEXREPLACE(
D2002,
""([一-龯々]+)\[([^\]]+)\]"",
""&lt;ruby&gt;$1&lt;rt&gt;$2&lt;/rt&gt;&lt;/ruby&gt;""
)&amp;""&lt;br&gt;&lt;div class=""""audio""""&gt;[sound:""&amp;C2002&amp;"".mp3]&lt;/div&gt;"""),"&lt;ruby&gt;思想&lt;rt&gt;しそう&lt;/rt&gt;&lt;/ruby&gt;&lt;br&gt;&lt;div class=""audio""&gt;[sound:しそう.mp3]&lt;/div&gt;")</f>
        <v>&lt;ruby&gt;思想&lt;rt&gt;しそう&lt;/rt&gt;&lt;/ruby&gt;&lt;br&gt;&lt;div class="audio"&gt;[sound:しそう.mp3]&lt;/div&gt;</v>
      </c>
      <c r="H2002" s="3" t="str">
        <f t="shared" si="1"/>
        <v>(n): tư tưởng</v>
      </c>
      <c r="I2002" s="6" t="s">
        <v>10920</v>
      </c>
      <c r="J2002" s="6" t="s">
        <v>10921</v>
      </c>
      <c r="K2002" s="7">
        <f t="shared" si="2"/>
        <v>0.8164064892</v>
      </c>
    </row>
    <row r="2003">
      <c r="A2003" s="4">
        <v>2003.0</v>
      </c>
      <c r="B2003" s="5" t="s">
        <v>10922</v>
      </c>
      <c r="C2003" s="5" t="s">
        <v>10923</v>
      </c>
      <c r="D2003" s="5" t="s">
        <v>10924</v>
      </c>
      <c r="E2003" s="6" t="s">
        <v>74</v>
      </c>
      <c r="F2003" s="6" t="s">
        <v>10925</v>
      </c>
      <c r="G2003" s="3" t="str">
        <f>IFERROR(__xludf.DUMMYFUNCTION("REGEXREPLACE(
D2003,
""([一-龯々]+)\[([^\]]+)\]"",
""&lt;ruby&gt;$1&lt;rt&gt;$2&lt;/rt&gt;&lt;/ruby&gt;""
)&amp;""&lt;br&gt;&lt;div class=""""audio""""&gt;[sound:""&amp;C2003&amp;"".mp3]&lt;/div&gt;"""),"&lt;ruby&gt;検査&lt;rt&gt;けんさ&lt;/rt&gt;&lt;/ruby&gt;&lt;br&gt;&lt;div class=""audio""&gt;[sound:けんさ.mp3]&lt;/div&gt;")</f>
        <v>&lt;ruby&gt;検査&lt;rt&gt;けんさ&lt;/rt&gt;&lt;/ruby&gt;&lt;br&gt;&lt;div class="audio"&gt;[sound:けんさ.mp3]&lt;/div&gt;</v>
      </c>
      <c r="H2003" s="3" t="str">
        <f t="shared" si="1"/>
        <v>(n): kiểm tra</v>
      </c>
      <c r="I2003" s="6" t="s">
        <v>10926</v>
      </c>
      <c r="J2003" s="6" t="s">
        <v>10927</v>
      </c>
      <c r="K2003" s="7">
        <f t="shared" si="2"/>
        <v>0.9221847525</v>
      </c>
    </row>
    <row r="2004">
      <c r="A2004" s="4">
        <v>2004.0</v>
      </c>
      <c r="B2004" s="5" t="s">
        <v>10928</v>
      </c>
      <c r="C2004" s="5" t="s">
        <v>10929</v>
      </c>
      <c r="D2004" s="5" t="s">
        <v>10930</v>
      </c>
      <c r="E2004" s="6" t="s">
        <v>24</v>
      </c>
      <c r="F2004" s="6" t="s">
        <v>8430</v>
      </c>
      <c r="G2004" s="3" t="str">
        <f>IFERROR(__xludf.DUMMYFUNCTION("REGEXREPLACE(
D2004,
""([一-龯々]+)\[([^\]]+)\]"",
""&lt;ruby&gt;$1&lt;rt&gt;$2&lt;/rt&gt;&lt;/ruby&gt;""
)&amp;""&lt;br&gt;&lt;div class=""""audio""""&gt;[sound:""&amp;C2004&amp;"".mp3]&lt;/div&gt;"""),"&lt;ruby&gt;消&lt;rt&gt;き&lt;/rt&gt;&lt;/ruby&gt;える&lt;br&gt;&lt;div class=""audio""&gt;[sound:きえる.mp3]&lt;/div&gt;")</f>
        <v>&lt;ruby&gt;消&lt;rt&gt;き&lt;/rt&gt;&lt;/ruby&gt;える&lt;br&gt;&lt;div class="audio"&gt;[sound:きえる.mp3]&lt;/div&gt;</v>
      </c>
      <c r="H2004" s="3" t="str">
        <f t="shared" si="1"/>
        <v>(v): biến mất</v>
      </c>
      <c r="I2004" s="6" t="s">
        <v>10931</v>
      </c>
      <c r="J2004" s="6" t="s">
        <v>10932</v>
      </c>
      <c r="K2004" s="7">
        <f t="shared" si="2"/>
        <v>0.5536702767</v>
      </c>
    </row>
    <row r="2005">
      <c r="A2005" s="4">
        <v>2005.0</v>
      </c>
      <c r="B2005" s="5" t="s">
        <v>10933</v>
      </c>
      <c r="C2005" s="5" t="s">
        <v>10934</v>
      </c>
      <c r="D2005" s="5" t="s">
        <v>10935</v>
      </c>
      <c r="E2005" s="6" t="s">
        <v>74</v>
      </c>
      <c r="F2005" s="6" t="s">
        <v>10936</v>
      </c>
      <c r="G2005" s="3" t="str">
        <f>IFERROR(__xludf.DUMMYFUNCTION("REGEXREPLACE(
D2005,
""([一-龯々]+)\[([^\]]+)\]"",
""&lt;ruby&gt;$1&lt;rt&gt;$2&lt;/rt&gt;&lt;/ruby&gt;""
)&amp;""&lt;br&gt;&lt;div class=""""audio""""&gt;[sound:""&amp;C2005&amp;"".mp3]&lt;/div&gt;"""),"&lt;ruby&gt;編集&lt;rt&gt;へんしゅう&lt;/rt&gt;&lt;/ruby&gt;&lt;br&gt;&lt;div class=""audio""&gt;[sound:へんしゅう.mp3]&lt;/div&gt;")</f>
        <v>&lt;ruby&gt;編集&lt;rt&gt;へんしゅう&lt;/rt&gt;&lt;/ruby&gt;&lt;br&gt;&lt;div class="audio"&gt;[sound:へんしゅう.mp3]&lt;/div&gt;</v>
      </c>
      <c r="H2005" s="3" t="str">
        <f t="shared" si="1"/>
        <v>(n): biên tập</v>
      </c>
      <c r="I2005" s="6" t="s">
        <v>10937</v>
      </c>
      <c r="J2005" s="6" t="s">
        <v>10938</v>
      </c>
      <c r="K2005" s="7">
        <f t="shared" si="2"/>
        <v>0.1730355111</v>
      </c>
    </row>
    <row r="2006">
      <c r="A2006" s="4">
        <v>2006.0</v>
      </c>
      <c r="B2006" s="5" t="s">
        <v>10939</v>
      </c>
      <c r="C2006" s="5" t="s">
        <v>10940</v>
      </c>
      <c r="D2006" s="5" t="s">
        <v>10941</v>
      </c>
      <c r="E2006" s="6" t="s">
        <v>74</v>
      </c>
      <c r="F2006" s="6" t="s">
        <v>10942</v>
      </c>
      <c r="G2006" s="3" t="str">
        <f>IFERROR(__xludf.DUMMYFUNCTION("REGEXREPLACE(
D2006,
""([一-龯々]+)\[([^\]]+)\]"",
""&lt;ruby&gt;$1&lt;rt&gt;$2&lt;/rt&gt;&lt;/ruby&gt;""
)&amp;""&lt;br&gt;&lt;div class=""""audio""""&gt;[sound:""&amp;C2006&amp;"".mp3]&lt;/div&gt;"""),"&lt;ruby&gt;趣味&lt;rt&gt;しゅみ&lt;/rt&gt;&lt;/ruby&gt;&lt;br&gt;&lt;div class=""audio""&gt;[sound:しゅみ.mp3]&lt;/div&gt;")</f>
        <v>&lt;ruby&gt;趣味&lt;rt&gt;しゅみ&lt;/rt&gt;&lt;/ruby&gt;&lt;br&gt;&lt;div class="audio"&gt;[sound:しゅみ.mp3]&lt;/div&gt;</v>
      </c>
      <c r="H2006" s="3" t="str">
        <f t="shared" si="1"/>
        <v>(n): sở thích</v>
      </c>
      <c r="I2006" s="6" t="s">
        <v>10943</v>
      </c>
      <c r="J2006" s="6" t="s">
        <v>10944</v>
      </c>
      <c r="K2006" s="7">
        <f t="shared" si="2"/>
        <v>0.1513457874</v>
      </c>
    </row>
    <row r="2007">
      <c r="A2007" s="4">
        <v>2007.0</v>
      </c>
      <c r="B2007" s="5" t="s">
        <v>10945</v>
      </c>
      <c r="C2007" s="5" t="s">
        <v>10946</v>
      </c>
      <c r="D2007" s="5" t="s">
        <v>10947</v>
      </c>
      <c r="E2007" s="6" t="s">
        <v>74</v>
      </c>
      <c r="F2007" s="6" t="s">
        <v>6332</v>
      </c>
      <c r="G2007" s="3" t="str">
        <f>IFERROR(__xludf.DUMMYFUNCTION("REGEXREPLACE(
D2007,
""([一-龯々]+)\[([^\]]+)\]"",
""&lt;ruby&gt;$1&lt;rt&gt;$2&lt;/rt&gt;&lt;/ruby&gt;""
)&amp;""&lt;br&gt;&lt;div class=""""audio""""&gt;[sound:""&amp;C2007&amp;"".mp3]&lt;/div&gt;"""),"&lt;ruby&gt;値&lt;rt&gt;あたい&lt;/rt&gt;&lt;/ruby&gt;&lt;br&gt;&lt;div class=""audio""&gt;[sound:あたい.mp3]&lt;/div&gt;")</f>
        <v>&lt;ruby&gt;値&lt;rt&gt;あたい&lt;/rt&gt;&lt;/ruby&gt;&lt;br&gt;&lt;div class="audio"&gt;[sound:あたい.mp3]&lt;/div&gt;</v>
      </c>
      <c r="H2007" s="3" t="str">
        <f t="shared" si="1"/>
        <v>(n): giá trị</v>
      </c>
      <c r="I2007" s="6" t="s">
        <v>10948</v>
      </c>
      <c r="J2007" s="6" t="s">
        <v>10949</v>
      </c>
      <c r="K2007" s="7">
        <f t="shared" si="2"/>
        <v>0.5712769699</v>
      </c>
    </row>
    <row r="2008">
      <c r="A2008" s="4">
        <v>2008.0</v>
      </c>
      <c r="B2008" s="5" t="s">
        <v>10950</v>
      </c>
      <c r="C2008" s="5" t="s">
        <v>10951</v>
      </c>
      <c r="D2008" s="5" t="s">
        <v>10952</v>
      </c>
      <c r="E2008" s="6" t="s">
        <v>11</v>
      </c>
      <c r="F2008" s="6" t="s">
        <v>6989</v>
      </c>
      <c r="G2008" s="3" t="str">
        <f>IFERROR(__xludf.DUMMYFUNCTION("REGEXREPLACE(
D2008,
""([一-龯々]+)\[([^\]]+)\]"",
""&lt;ruby&gt;$1&lt;rt&gt;$2&lt;/rt&gt;&lt;/ruby&gt;""
)&amp;""&lt;br&gt;&lt;div class=""""audio""""&gt;[sound:""&amp;C2008&amp;"".mp3]&lt;/div&gt;"""),"&lt;ruby&gt;大&lt;rt&gt;たい&lt;/rt&gt;&lt;/ruby&gt;した&lt;br&gt;&lt;div class=""audio""&gt;[sound:たいした.mp3]&lt;/div&gt;")</f>
        <v>&lt;ruby&gt;大&lt;rt&gt;たい&lt;/rt&gt;&lt;/ruby&gt;した&lt;br&gt;&lt;div class="audio"&gt;[sound:たいした.mp3]&lt;/div&gt;</v>
      </c>
      <c r="H2008" s="3" t="str">
        <f t="shared" si="1"/>
        <v>(adj): đáng kể</v>
      </c>
      <c r="I2008" s="6" t="s">
        <v>10953</v>
      </c>
      <c r="J2008" s="6" t="s">
        <v>10954</v>
      </c>
      <c r="K2008" s="7">
        <f t="shared" si="2"/>
        <v>0.6436896785</v>
      </c>
    </row>
    <row r="2009">
      <c r="A2009" s="4">
        <v>2009.0</v>
      </c>
      <c r="B2009" s="5" t="s">
        <v>10955</v>
      </c>
      <c r="C2009" s="5" t="s">
        <v>10956</v>
      </c>
      <c r="D2009" s="5" t="s">
        <v>10957</v>
      </c>
      <c r="E2009" s="6" t="s">
        <v>74</v>
      </c>
      <c r="F2009" s="6" t="s">
        <v>10958</v>
      </c>
      <c r="G2009" s="3" t="str">
        <f>IFERROR(__xludf.DUMMYFUNCTION("REGEXREPLACE(
D2009,
""([一-龯々]+)\[([^\]]+)\]"",
""&lt;ruby&gt;$1&lt;rt&gt;$2&lt;/rt&gt;&lt;/ruby&gt;""
)&amp;""&lt;br&gt;&lt;div class=""""audio""""&gt;[sound:""&amp;C2009&amp;"".mp3]&lt;/div&gt;"""),"&lt;ruby&gt;広&lt;rt&gt;ひろ&lt;/rt&gt;&lt;/ruby&gt;さ&lt;br&gt;&lt;div class=""audio""&gt;[sound:ひろさ.mp3]&lt;/div&gt;")</f>
        <v>&lt;ruby&gt;広&lt;rt&gt;ひろ&lt;/rt&gt;&lt;/ruby&gt;さ&lt;br&gt;&lt;div class="audio"&gt;[sound:ひろさ.mp3]&lt;/div&gt;</v>
      </c>
      <c r="H2009" s="3" t="str">
        <f t="shared" si="1"/>
        <v>(n): độ rộng</v>
      </c>
      <c r="I2009" s="6" t="s">
        <v>10959</v>
      </c>
      <c r="J2009" s="6" t="s">
        <v>10960</v>
      </c>
      <c r="K2009" s="7">
        <f t="shared" si="2"/>
        <v>0.6178063147</v>
      </c>
    </row>
    <row r="2010">
      <c r="A2010" s="4">
        <v>2010.0</v>
      </c>
      <c r="B2010" s="5" t="s">
        <v>10961</v>
      </c>
      <c r="C2010" s="5" t="s">
        <v>10962</v>
      </c>
      <c r="D2010" s="5" t="s">
        <v>10963</v>
      </c>
      <c r="E2010" s="6" t="s">
        <v>24</v>
      </c>
      <c r="F2010" s="6" t="s">
        <v>2992</v>
      </c>
      <c r="G2010" s="3" t="str">
        <f>IFERROR(__xludf.DUMMYFUNCTION("REGEXREPLACE(
D2010,
""([一-龯々]+)\[([^\]]+)\]"",
""&lt;ruby&gt;$1&lt;rt&gt;$2&lt;/rt&gt;&lt;/ruby&gt;""
)&amp;""&lt;br&gt;&lt;div class=""""audio""""&gt;[sound:""&amp;C2010&amp;"".mp3]&lt;/div&gt;"""),"&lt;ruby&gt;当&lt;rt&gt;あ&lt;/rt&gt;&lt;/ruby&gt;てはまる&lt;br&gt;&lt;div class=""audio""&gt;[sound:あてはまる.mp3]&lt;/div&gt;")</f>
        <v>&lt;ruby&gt;当&lt;rt&gt;あ&lt;/rt&gt;&lt;/ruby&gt;てはまる&lt;br&gt;&lt;div class="audio"&gt;[sound:あてはまる.mp3]&lt;/div&gt;</v>
      </c>
      <c r="H2010" s="3" t="str">
        <f t="shared" si="1"/>
        <v>(v): áp dụng</v>
      </c>
      <c r="I2010" s="6" t="s">
        <v>10964</v>
      </c>
      <c r="J2010" s="6" t="s">
        <v>10965</v>
      </c>
      <c r="K2010" s="7">
        <f t="shared" si="2"/>
        <v>0.3142824849</v>
      </c>
    </row>
    <row r="2011">
      <c r="A2011" s="4">
        <v>2011.0</v>
      </c>
      <c r="B2011" s="5" t="s">
        <v>10966</v>
      </c>
      <c r="C2011" s="5" t="s">
        <v>10967</v>
      </c>
      <c r="D2011" s="5" t="s">
        <v>10968</v>
      </c>
      <c r="E2011" s="6" t="s">
        <v>74</v>
      </c>
      <c r="F2011" s="6" t="s">
        <v>10969</v>
      </c>
      <c r="G2011" s="3" t="str">
        <f>IFERROR(__xludf.DUMMYFUNCTION("REGEXREPLACE(
D2011,
""([一-龯々]+)\[([^\]]+)\]"",
""&lt;ruby&gt;$1&lt;rt&gt;$2&lt;/rt&gt;&lt;/ruby&gt;""
)&amp;""&lt;br&gt;&lt;div class=""""audio""""&gt;[sound:""&amp;C2011&amp;"".mp3]&lt;/div&gt;"""),"&lt;ruby&gt;競技&lt;rt&gt;きょうぎ&lt;/rt&gt;&lt;/ruby&gt;&lt;br&gt;&lt;div class=""audio""&gt;[sound:きょうぎ.mp3]&lt;/div&gt;")</f>
        <v>&lt;ruby&gt;競技&lt;rt&gt;きょうぎ&lt;/rt&gt;&lt;/ruby&gt;&lt;br&gt;&lt;div class="audio"&gt;[sound:きょうぎ.mp3]&lt;/div&gt;</v>
      </c>
      <c r="H2011" s="3" t="str">
        <f t="shared" si="1"/>
        <v>(n): thi đấu</v>
      </c>
      <c r="I2011" s="6" t="s">
        <v>10970</v>
      </c>
      <c r="J2011" s="6" t="s">
        <v>10971</v>
      </c>
      <c r="K2011" s="7">
        <f t="shared" si="2"/>
        <v>0.4177332876</v>
      </c>
    </row>
    <row r="2012">
      <c r="A2012" s="4">
        <v>2012.0</v>
      </c>
      <c r="B2012" s="5" t="s">
        <v>10972</v>
      </c>
      <c r="C2012" s="5" t="s">
        <v>10973</v>
      </c>
      <c r="D2012" s="5" t="s">
        <v>10974</v>
      </c>
      <c r="E2012" s="6" t="s">
        <v>74</v>
      </c>
      <c r="F2012" s="6" t="s">
        <v>10254</v>
      </c>
      <c r="G2012" s="3" t="str">
        <f>IFERROR(__xludf.DUMMYFUNCTION("REGEXREPLACE(
D2012,
""([一-龯々]+)\[([^\]]+)\]"",
""&lt;ruby&gt;$1&lt;rt&gt;$2&lt;/rt&gt;&lt;/ruby&gt;""
)&amp;""&lt;br&gt;&lt;div class=""""audio""""&gt;[sound:""&amp;C2012&amp;"".mp3]&lt;/div&gt;"""),"&lt;ruby&gt;考慮&lt;rt&gt;こうりょ&lt;/rt&gt;&lt;/ruby&gt;&lt;br&gt;&lt;div class=""audio""&gt;[sound:こうりょ.mp3]&lt;/div&gt;")</f>
        <v>&lt;ruby&gt;考慮&lt;rt&gt;こうりょ&lt;/rt&gt;&lt;/ruby&gt;&lt;br&gt;&lt;div class="audio"&gt;[sound:こうりょ.mp3]&lt;/div&gt;</v>
      </c>
      <c r="H2012" s="3" t="str">
        <f t="shared" si="1"/>
        <v>(n): xem xét</v>
      </c>
      <c r="I2012" s="6" t="s">
        <v>10975</v>
      </c>
      <c r="J2012" s="6" t="s">
        <v>10976</v>
      </c>
      <c r="K2012" s="7">
        <f t="shared" si="2"/>
        <v>0.7542674756</v>
      </c>
    </row>
    <row r="2013">
      <c r="A2013" s="4">
        <v>2013.0</v>
      </c>
      <c r="B2013" s="5" t="s">
        <v>10977</v>
      </c>
      <c r="C2013" s="5" t="s">
        <v>10978</v>
      </c>
      <c r="D2013" s="5" t="s">
        <v>10979</v>
      </c>
      <c r="E2013" s="6" t="s">
        <v>74</v>
      </c>
      <c r="F2013" s="6" t="s">
        <v>3841</v>
      </c>
      <c r="G2013" s="3" t="str">
        <f>IFERROR(__xludf.DUMMYFUNCTION("REGEXREPLACE(
D2013,
""([一-龯々]+)\[([^\]]+)\]"",
""&lt;ruby&gt;$1&lt;rt&gt;$2&lt;/rt&gt;&lt;/ruby&gt;""
)&amp;""&lt;br&gt;&lt;div class=""""audio""""&gt;[sound:""&amp;C2013&amp;"".mp3]&lt;/div&gt;"""),"&lt;ruby&gt;規則&lt;rt&gt;きそく&lt;/rt&gt;&lt;/ruby&gt;&lt;br&gt;&lt;div class=""audio""&gt;[sound:きそく.mp3]&lt;/div&gt;")</f>
        <v>&lt;ruby&gt;規則&lt;rt&gt;きそく&lt;/rt&gt;&lt;/ruby&gt;&lt;br&gt;&lt;div class="audio"&gt;[sound:きそく.mp3]&lt;/div&gt;</v>
      </c>
      <c r="H2013" s="3" t="str">
        <f t="shared" si="1"/>
        <v>(n): quy tắc</v>
      </c>
      <c r="I2013" s="6" t="s">
        <v>10980</v>
      </c>
      <c r="J2013" s="6" t="s">
        <v>10981</v>
      </c>
      <c r="K2013" s="7">
        <f t="shared" si="2"/>
        <v>0.416341468</v>
      </c>
    </row>
    <row r="2014">
      <c r="A2014" s="4">
        <v>2014.0</v>
      </c>
      <c r="B2014" s="5" t="s">
        <v>10982</v>
      </c>
      <c r="C2014" s="5" t="s">
        <v>10983</v>
      </c>
      <c r="D2014" s="5" t="s">
        <v>10984</v>
      </c>
      <c r="E2014" s="6" t="s">
        <v>11</v>
      </c>
      <c r="F2014" s="6" t="s">
        <v>10985</v>
      </c>
      <c r="G2014" s="3" t="str">
        <f>IFERROR(__xludf.DUMMYFUNCTION("REGEXREPLACE(
D2014,
""([一-龯々]+)\[([^\]]+)\]"",
""&lt;ruby&gt;$1&lt;rt&gt;$2&lt;/rt&gt;&lt;/ruby&gt;""
)&amp;""&lt;br&gt;&lt;div class=""""audio""""&gt;[sound:""&amp;C2014&amp;"".mp3]&lt;/div&gt;"""),"&lt;ruby&gt;豊&lt;rt&gt;ゆた&lt;/rt&gt;&lt;/ruby&gt;か&lt;br&gt;&lt;div class=""audio""&gt;[sound:ゆたか.mp3]&lt;/div&gt;")</f>
        <v>&lt;ruby&gt;豊&lt;rt&gt;ゆた&lt;/rt&gt;&lt;/ruby&gt;か&lt;br&gt;&lt;div class="audio"&gt;[sound:ゆたか.mp3]&lt;/div&gt;</v>
      </c>
      <c r="H2014" s="3" t="str">
        <f t="shared" si="1"/>
        <v>(adj): giàu có</v>
      </c>
      <c r="I2014" s="6" t="s">
        <v>10986</v>
      </c>
      <c r="J2014" s="6" t="s">
        <v>10987</v>
      </c>
      <c r="K2014" s="7">
        <f t="shared" si="2"/>
        <v>0.7749113721</v>
      </c>
    </row>
    <row r="2015">
      <c r="A2015" s="4">
        <v>2015.0</v>
      </c>
      <c r="B2015" s="5" t="s">
        <v>10988</v>
      </c>
      <c r="C2015" s="5" t="s">
        <v>10989</v>
      </c>
      <c r="D2015" s="5" t="s">
        <v>10990</v>
      </c>
      <c r="E2015" s="6" t="s">
        <v>74</v>
      </c>
      <c r="F2015" s="6" t="s">
        <v>10991</v>
      </c>
      <c r="G2015" s="3" t="str">
        <f>IFERROR(__xludf.DUMMYFUNCTION("REGEXREPLACE(
D2015,
""([一-龯々]+)\[([^\]]+)\]"",
""&lt;ruby&gt;$1&lt;rt&gt;$2&lt;/rt&gt;&lt;/ruby&gt;""
)&amp;""&lt;br&gt;&lt;div class=""""audio""""&gt;[sound:""&amp;C2015&amp;"".mp3]&lt;/div&gt;"""),"&lt;ruby&gt;飲&lt;rt&gt;の&lt;/rt&gt;&lt;/ruby&gt;み&lt;ruby&gt;物&lt;rt&gt;もの&lt;/rt&gt;&lt;/ruby&gt;&lt;br&gt;&lt;div class=""audio""&gt;[sound:のみもの.mp3]&lt;/div&gt;")</f>
        <v>&lt;ruby&gt;飲&lt;rt&gt;の&lt;/rt&gt;&lt;/ruby&gt;み&lt;ruby&gt;物&lt;rt&gt;もの&lt;/rt&gt;&lt;/ruby&gt;&lt;br&gt;&lt;div class="audio"&gt;[sound:のみもの.mp3]&lt;/div&gt;</v>
      </c>
      <c r="H2015" s="3" t="str">
        <f t="shared" si="1"/>
        <v>(n): đồ uống</v>
      </c>
      <c r="I2015" s="6" t="s">
        <v>10992</v>
      </c>
      <c r="J2015" s="6" t="s">
        <v>10993</v>
      </c>
      <c r="K2015" s="7">
        <f t="shared" si="2"/>
        <v>0.8713767926</v>
      </c>
    </row>
    <row r="2016">
      <c r="A2016" s="4">
        <v>2016.0</v>
      </c>
      <c r="B2016" s="5" t="s">
        <v>10994</v>
      </c>
      <c r="C2016" s="5" t="s">
        <v>10995</v>
      </c>
      <c r="D2016" s="5" t="s">
        <v>10996</v>
      </c>
      <c r="E2016" s="6" t="s">
        <v>74</v>
      </c>
      <c r="F2016" s="6" t="s">
        <v>10602</v>
      </c>
      <c r="G2016" s="3" t="str">
        <f>IFERROR(__xludf.DUMMYFUNCTION("REGEXREPLACE(
D2016,
""([一-龯々]+)\[([^\]]+)\]"",
""&lt;ruby&gt;$1&lt;rt&gt;$2&lt;/rt&gt;&lt;/ruby&gt;""
)&amp;""&lt;br&gt;&lt;div class=""""audio""""&gt;[sound:""&amp;C2016&amp;"".mp3]&lt;/div&gt;"""),"&lt;ruby&gt;黒&lt;rt&gt;くろ&lt;/rt&gt;&lt;/ruby&gt;&lt;br&gt;&lt;div class=""audio""&gt;[sound:くろ.mp3]&lt;/div&gt;")</f>
        <v>&lt;ruby&gt;黒&lt;rt&gt;くろ&lt;/rt&gt;&lt;/ruby&gt;&lt;br&gt;&lt;div class="audio"&gt;[sound:くろ.mp3]&lt;/div&gt;</v>
      </c>
      <c r="H2016" s="3" t="str">
        <f t="shared" si="1"/>
        <v>(n): màu đen</v>
      </c>
      <c r="I2016" s="6" t="s">
        <v>10997</v>
      </c>
      <c r="J2016" s="6" t="s">
        <v>10998</v>
      </c>
      <c r="K2016" s="7">
        <f t="shared" si="2"/>
        <v>0.3519782445</v>
      </c>
    </row>
    <row r="2017">
      <c r="A2017" s="4">
        <v>2017.0</v>
      </c>
      <c r="B2017" s="5" t="s">
        <v>10999</v>
      </c>
      <c r="C2017" s="5" t="s">
        <v>11000</v>
      </c>
      <c r="D2017" s="5" t="s">
        <v>11001</v>
      </c>
      <c r="E2017" s="6" t="s">
        <v>74</v>
      </c>
      <c r="F2017" s="6" t="s">
        <v>11002</v>
      </c>
      <c r="G2017" s="3" t="str">
        <f>IFERROR(__xludf.DUMMYFUNCTION("REGEXREPLACE(
D2017,
""([一-龯々]+)\[([^\]]+)\]"",
""&lt;ruby&gt;$1&lt;rt&gt;$2&lt;/rt&gt;&lt;/ruby&gt;""
)&amp;""&lt;br&gt;&lt;div class=""""audio""""&gt;[sound:""&amp;C2017&amp;"".mp3]&lt;/div&gt;"""),"&lt;ruby&gt;予報&lt;rt&gt;よほう&lt;/rt&gt;&lt;/ruby&gt;&lt;br&gt;&lt;div class=""audio""&gt;[sound:よほう.mp3]&lt;/div&gt;")</f>
        <v>&lt;ruby&gt;予報&lt;rt&gt;よほう&lt;/rt&gt;&lt;/ruby&gt;&lt;br&gt;&lt;div class="audio"&gt;[sound:よほう.mp3]&lt;/div&gt;</v>
      </c>
      <c r="H2017" s="3" t="str">
        <f t="shared" si="1"/>
        <v>(n): dự báo</v>
      </c>
      <c r="I2017" s="6" t="s">
        <v>11003</v>
      </c>
      <c r="J2017" s="6" t="s">
        <v>11004</v>
      </c>
      <c r="K2017" s="7">
        <f t="shared" si="2"/>
        <v>0.5763156397</v>
      </c>
    </row>
    <row r="2018">
      <c r="A2018" s="4">
        <v>2018.0</v>
      </c>
      <c r="B2018" s="5" t="s">
        <v>11005</v>
      </c>
      <c r="C2018" s="5" t="s">
        <v>11006</v>
      </c>
      <c r="D2018" s="5" t="s">
        <v>11007</v>
      </c>
      <c r="E2018" s="6" t="s">
        <v>24</v>
      </c>
      <c r="F2018" s="6" t="s">
        <v>539</v>
      </c>
      <c r="G2018" s="3" t="str">
        <f>IFERROR(__xludf.DUMMYFUNCTION("REGEXREPLACE(
D2018,
""([一-龯々]+)\[([^\]]+)\]"",
""&lt;ruby&gt;$1&lt;rt&gt;$2&lt;/rt&gt;&lt;/ruby&gt;""
)&amp;""&lt;br&gt;&lt;div class=""""audio""""&gt;[sound:""&amp;C2018&amp;"".mp3]&lt;/div&gt;"""),"&lt;ruby&gt;召&lt;rt&gt;め&lt;/rt&gt;&lt;/ruby&gt;し&lt;ruby&gt;上&lt;rt&gt;あ&lt;/rt&gt;&lt;/ruby&gt;がる&lt;br&gt;&lt;div class=""audio""&gt;[sound:めしあがる.mp3]&lt;/div&gt;")</f>
        <v>&lt;ruby&gt;召&lt;rt&gt;め&lt;/rt&gt;&lt;/ruby&gt;し&lt;ruby&gt;上&lt;rt&gt;あ&lt;/rt&gt;&lt;/ruby&gt;がる&lt;br&gt;&lt;div class="audio"&gt;[sound:めしあがる.mp3]&lt;/div&gt;</v>
      </c>
      <c r="H2018" s="3" t="str">
        <f t="shared" si="1"/>
        <v>(v): ăn</v>
      </c>
      <c r="I2018" s="6" t="s">
        <v>11008</v>
      </c>
      <c r="J2018" s="6" t="s">
        <v>11009</v>
      </c>
      <c r="K2018" s="7">
        <f t="shared" si="2"/>
        <v>0.6482626419</v>
      </c>
    </row>
    <row r="2019">
      <c r="A2019" s="4">
        <v>2019.0</v>
      </c>
      <c r="B2019" s="5" t="s">
        <v>11010</v>
      </c>
      <c r="C2019" s="5" t="s">
        <v>11010</v>
      </c>
      <c r="D2019" s="5" t="s">
        <v>11010</v>
      </c>
      <c r="E2019" s="6" t="s">
        <v>11</v>
      </c>
      <c r="F2019" s="6" t="s">
        <v>11011</v>
      </c>
      <c r="G2019" s="3" t="str">
        <f>IFERROR(__xludf.DUMMYFUNCTION("REGEXREPLACE(
D2019,
""([一-龯々]+)\[([^\]]+)\]"",
""&lt;ruby&gt;$1&lt;rt&gt;$2&lt;/rt&gt;&lt;/ruby&gt;""
)&amp;""&lt;br&gt;&lt;div class=""""audio""""&gt;[sound:""&amp;C2019&amp;"".mp3]&lt;/div&gt;"""),"たまらない&lt;br&gt;&lt;div class=""audio""&gt;[sound:たまらない.mp3]&lt;/div&gt;")</f>
        <v>たまらない&lt;br&gt;&lt;div class="audio"&gt;[sound:たまらない.mp3]&lt;/div&gt;</v>
      </c>
      <c r="H2019" s="3" t="str">
        <f t="shared" si="1"/>
        <v>(adj): không chịu nổi</v>
      </c>
      <c r="I2019" s="6" t="s">
        <v>11012</v>
      </c>
      <c r="J2019" s="6" t="s">
        <v>11013</v>
      </c>
      <c r="K2019" s="7">
        <f t="shared" si="2"/>
        <v>0.8465661754</v>
      </c>
    </row>
    <row r="2020">
      <c r="A2020" s="4">
        <v>2020.0</v>
      </c>
      <c r="B2020" s="5" t="s">
        <v>11014</v>
      </c>
      <c r="C2020" s="5" t="s">
        <v>11015</v>
      </c>
      <c r="D2020" s="5" t="s">
        <v>11016</v>
      </c>
      <c r="E2020" s="6" t="s">
        <v>74</v>
      </c>
      <c r="F2020" s="6" t="s">
        <v>11017</v>
      </c>
      <c r="G2020" s="3" t="str">
        <f>IFERROR(__xludf.DUMMYFUNCTION("REGEXREPLACE(
D2020,
""([一-龯々]+)\[([^\]]+)\]"",
""&lt;ruby&gt;$1&lt;rt&gt;$2&lt;/rt&gt;&lt;/ruby&gt;""
)&amp;""&lt;br&gt;&lt;div class=""""audio""""&gt;[sound:""&amp;C2020&amp;"".mp3]&lt;/div&gt;"""),"&lt;ruby&gt;付&lt;rt&gt;つ&lt;/rt&gt;&lt;/ruby&gt;き&lt;ruby&gt;合&lt;rt&gt;あ&lt;/rt&gt;&lt;/ruby&gt;い&lt;br&gt;&lt;div class=""audio""&gt;[sound:つきあい.mp3]&lt;/div&gt;")</f>
        <v>&lt;ruby&gt;付&lt;rt&gt;つ&lt;/rt&gt;&lt;/ruby&gt;き&lt;ruby&gt;合&lt;rt&gt;あ&lt;/rt&gt;&lt;/ruby&gt;い&lt;br&gt;&lt;div class="audio"&gt;[sound:つきあい.mp3]&lt;/div&gt;</v>
      </c>
      <c r="H2020" s="3" t="str">
        <f t="shared" si="1"/>
        <v>(n): mối quan hệ</v>
      </c>
      <c r="I2020" s="6" t="s">
        <v>11018</v>
      </c>
      <c r="J2020" s="6" t="s">
        <v>11019</v>
      </c>
      <c r="K2020" s="7">
        <f t="shared" si="2"/>
        <v>0.473146781</v>
      </c>
    </row>
    <row r="2021">
      <c r="A2021" s="4">
        <v>2021.0</v>
      </c>
      <c r="B2021" s="5" t="s">
        <v>11020</v>
      </c>
      <c r="C2021" s="5" t="s">
        <v>11021</v>
      </c>
      <c r="D2021" s="5" t="s">
        <v>11022</v>
      </c>
      <c r="E2021" s="6" t="s">
        <v>24</v>
      </c>
      <c r="F2021" s="6" t="s">
        <v>11023</v>
      </c>
      <c r="G2021" s="3" t="str">
        <f>IFERROR(__xludf.DUMMYFUNCTION("REGEXREPLACE(
D2021,
""([一-龯々]+)\[([^\]]+)\]"",
""&lt;ruby&gt;$1&lt;rt&gt;$2&lt;/rt&gt;&lt;/ruby&gt;""
)&amp;""&lt;br&gt;&lt;div class=""""audio""""&gt;[sound:""&amp;C2021&amp;"".mp3]&lt;/div&gt;"""),"&lt;ruby&gt;揺&lt;rt&gt;ゆ&lt;/rt&gt;&lt;/ruby&gt;れる&lt;br&gt;&lt;div class=""audio""&gt;[sound:ゆれる.mp3]&lt;/div&gt;")</f>
        <v>&lt;ruby&gt;揺&lt;rt&gt;ゆ&lt;/rt&gt;&lt;/ruby&gt;れる&lt;br&gt;&lt;div class="audio"&gt;[sound:ゆれる.mp3]&lt;/div&gt;</v>
      </c>
      <c r="H2021" s="3" t="str">
        <f t="shared" si="1"/>
        <v>(v): rung chuyển</v>
      </c>
      <c r="I2021" s="6" t="s">
        <v>11024</v>
      </c>
      <c r="J2021" s="6" t="s">
        <v>11025</v>
      </c>
      <c r="K2021" s="7">
        <f t="shared" si="2"/>
        <v>0.6438891394</v>
      </c>
    </row>
    <row r="2022">
      <c r="A2022" s="4">
        <v>2022.0</v>
      </c>
      <c r="B2022" s="5" t="s">
        <v>11026</v>
      </c>
      <c r="C2022" s="5" t="s">
        <v>11026</v>
      </c>
      <c r="D2022" s="5" t="s">
        <v>11026</v>
      </c>
      <c r="E2022" s="6" t="s">
        <v>85</v>
      </c>
      <c r="F2022" s="6" t="s">
        <v>10877</v>
      </c>
      <c r="G2022" s="3" t="str">
        <f>IFERROR(__xludf.DUMMYFUNCTION("REGEXREPLACE(
D2022,
""([一-龯々]+)\[([^\]]+)\]"",
""&lt;ruby&gt;$1&lt;rt&gt;$2&lt;/rt&gt;&lt;/ruby&gt;""
)&amp;""&lt;br&gt;&lt;div class=""""audio""""&gt;[sound:""&amp;C2022&amp;"".mp3]&lt;/div&gt;"""),"すっきり&lt;br&gt;&lt;div class=""audio""&gt;[sound:すっきり.mp3]&lt;/div&gt;")</f>
        <v>すっきり&lt;br&gt;&lt;div class="audio"&gt;[sound:すっきり.mp3]&lt;/div&gt;</v>
      </c>
      <c r="H2022" s="3" t="str">
        <f t="shared" si="1"/>
        <v>(adv): sảng khoái</v>
      </c>
      <c r="I2022" s="6" t="s">
        <v>11027</v>
      </c>
      <c r="J2022" s="6" t="s">
        <v>11028</v>
      </c>
      <c r="K2022" s="7">
        <f t="shared" si="2"/>
        <v>0.3147385007</v>
      </c>
    </row>
    <row r="2023">
      <c r="A2023" s="4">
        <v>2023.0</v>
      </c>
      <c r="B2023" s="5" t="s">
        <v>11029</v>
      </c>
      <c r="C2023" s="5" t="s">
        <v>11030</v>
      </c>
      <c r="D2023" s="5" t="s">
        <v>11031</v>
      </c>
      <c r="E2023" s="6" t="s">
        <v>11</v>
      </c>
      <c r="F2023" s="6" t="s">
        <v>929</v>
      </c>
      <c r="G2023" s="3" t="str">
        <f>IFERROR(__xludf.DUMMYFUNCTION("REGEXREPLACE(
D2023,
""([一-龯々]+)\[([^\]]+)\]"",
""&lt;ruby&gt;$1&lt;rt&gt;$2&lt;/rt&gt;&lt;/ruby&gt;""
)&amp;""&lt;br&gt;&lt;div class=""""audio""""&gt;[sound:""&amp;C2023&amp;"".mp3]&lt;/div&gt;"""),"&lt;ruby&gt;不可&lt;rt&gt;ふか&lt;/rt&gt;&lt;/ruby&gt;&lt;br&gt;&lt;div class=""audio""&gt;[sound:ふか.mp3]&lt;/div&gt;")</f>
        <v>&lt;ruby&gt;不可&lt;rt&gt;ふか&lt;/rt&gt;&lt;/ruby&gt;&lt;br&gt;&lt;div class="audio"&gt;[sound:ふか.mp3]&lt;/div&gt;</v>
      </c>
      <c r="H2023" s="3" t="str">
        <f t="shared" si="1"/>
        <v>(adj): không được</v>
      </c>
      <c r="I2023" s="6" t="s">
        <v>11032</v>
      </c>
      <c r="J2023" s="6" t="s">
        <v>11033</v>
      </c>
      <c r="K2023" s="7">
        <f t="shared" si="2"/>
        <v>0.5970017974</v>
      </c>
    </row>
    <row r="2024">
      <c r="A2024" s="4">
        <v>2024.0</v>
      </c>
      <c r="B2024" s="5" t="s">
        <v>11034</v>
      </c>
      <c r="C2024" s="5" t="s">
        <v>11035</v>
      </c>
      <c r="D2024" s="5" t="s">
        <v>11036</v>
      </c>
      <c r="E2024" s="6" t="s">
        <v>74</v>
      </c>
      <c r="F2024" s="6" t="s">
        <v>11037</v>
      </c>
      <c r="G2024" s="3" t="str">
        <f>IFERROR(__xludf.DUMMYFUNCTION("REGEXREPLACE(
D2024,
""([一-龯々]+)\[([^\]]+)\]"",
""&lt;ruby&gt;$1&lt;rt&gt;$2&lt;/rt&gt;&lt;/ruby&gt;""
)&amp;""&lt;br&gt;&lt;div class=""""audio""""&gt;[sound:""&amp;C2024&amp;"".mp3]&lt;/div&gt;"""),"&lt;ruby&gt;成績&lt;rt&gt;せいせき&lt;/rt&gt;&lt;/ruby&gt;&lt;br&gt;&lt;div class=""audio""&gt;[sound:せいせき.mp3]&lt;/div&gt;")</f>
        <v>&lt;ruby&gt;成績&lt;rt&gt;せいせき&lt;/rt&gt;&lt;/ruby&gt;&lt;br&gt;&lt;div class="audio"&gt;[sound:せいせき.mp3]&lt;/div&gt;</v>
      </c>
      <c r="H2024" s="3" t="str">
        <f t="shared" si="1"/>
        <v>(n): thành tích</v>
      </c>
      <c r="I2024" s="6" t="s">
        <v>11038</v>
      </c>
      <c r="J2024" s="6" t="s">
        <v>11039</v>
      </c>
      <c r="K2024" s="7">
        <f t="shared" si="2"/>
        <v>0.4196429415</v>
      </c>
    </row>
    <row r="2025">
      <c r="A2025" s="4">
        <v>2025.0</v>
      </c>
      <c r="B2025" s="5" t="s">
        <v>11040</v>
      </c>
      <c r="C2025" s="5" t="s">
        <v>11041</v>
      </c>
      <c r="D2025" s="5" t="s">
        <v>11042</v>
      </c>
      <c r="E2025" s="6" t="s">
        <v>74</v>
      </c>
      <c r="F2025" s="6" t="s">
        <v>6808</v>
      </c>
      <c r="G2025" s="3" t="str">
        <f>IFERROR(__xludf.DUMMYFUNCTION("REGEXREPLACE(
D2025,
""([一-龯々]+)\[([^\]]+)\]"",
""&lt;ruby&gt;$1&lt;rt&gt;$2&lt;/rt&gt;&lt;/ruby&gt;""
)&amp;""&lt;br&gt;&lt;div class=""""audio""""&gt;[sound:""&amp;C2025&amp;"".mp3]&lt;/div&gt;"""),"&lt;ruby&gt;給与&lt;rt&gt;きゅうよ&lt;/rt&gt;&lt;/ruby&gt;&lt;br&gt;&lt;div class=""audio""&gt;[sound:きゅうよ.mp3]&lt;/div&gt;")</f>
        <v>&lt;ruby&gt;給与&lt;rt&gt;きゅうよ&lt;/rt&gt;&lt;/ruby&gt;&lt;br&gt;&lt;div class="audio"&gt;[sound:きゅうよ.mp3]&lt;/div&gt;</v>
      </c>
      <c r="H2025" s="3" t="str">
        <f t="shared" si="1"/>
        <v>(n): tiền lương</v>
      </c>
      <c r="I2025" s="6" t="s">
        <v>11043</v>
      </c>
      <c r="J2025" s="6" t="s">
        <v>11044</v>
      </c>
      <c r="K2025" s="7">
        <f t="shared" si="2"/>
        <v>0.4348023798</v>
      </c>
    </row>
    <row r="2026">
      <c r="A2026" s="4">
        <v>2026.0</v>
      </c>
      <c r="B2026" s="5" t="s">
        <v>11045</v>
      </c>
      <c r="C2026" s="5" t="s">
        <v>11045</v>
      </c>
      <c r="D2026" s="5" t="s">
        <v>11045</v>
      </c>
      <c r="E2026" s="6" t="s">
        <v>74</v>
      </c>
      <c r="F2026" s="6" t="s">
        <v>11046</v>
      </c>
      <c r="G2026" s="3" t="str">
        <f>IFERROR(__xludf.DUMMYFUNCTION("REGEXREPLACE(
D2026,
""([一-龯々]+)\[([^\]]+)\]"",
""&lt;ruby&gt;$1&lt;rt&gt;$2&lt;/rt&gt;&lt;/ruby&gt;""
)&amp;""&lt;br&gt;&lt;div class=""""audio""""&gt;[sound:""&amp;C2026&amp;"".mp3]&lt;/div&gt;"""),"ごちそう&lt;br&gt;&lt;div class=""audio""&gt;[sound:ごちそう.mp3]&lt;/div&gt;")</f>
        <v>ごちそう&lt;br&gt;&lt;div class="audio"&gt;[sound:ごちそう.mp3]&lt;/div&gt;</v>
      </c>
      <c r="H2026" s="3" t="str">
        <f t="shared" si="1"/>
        <v>(n): chiêu đãi</v>
      </c>
      <c r="I2026" s="6" t="s">
        <v>11047</v>
      </c>
      <c r="J2026" s="6" t="s">
        <v>11048</v>
      </c>
      <c r="K2026" s="7">
        <f t="shared" si="2"/>
        <v>0.7244805514</v>
      </c>
    </row>
    <row r="2027">
      <c r="A2027" s="4">
        <v>2027.0</v>
      </c>
      <c r="B2027" s="5" t="s">
        <v>11049</v>
      </c>
      <c r="C2027" s="5" t="s">
        <v>11049</v>
      </c>
      <c r="D2027" s="5" t="s">
        <v>11049</v>
      </c>
      <c r="E2027" s="6" t="s">
        <v>85</v>
      </c>
      <c r="F2027" s="6" t="s">
        <v>11050</v>
      </c>
      <c r="G2027" s="3" t="str">
        <f>IFERROR(__xludf.DUMMYFUNCTION("REGEXREPLACE(
D2027,
""([一-龯々]+)\[([^\]]+)\]"",
""&lt;ruby&gt;$1&lt;rt&gt;$2&lt;/rt&gt;&lt;/ruby&gt;""
)&amp;""&lt;br&gt;&lt;div class=""""audio""""&gt;[sound:""&amp;C2027&amp;"".mp3]&lt;/div&gt;"""),"なにしろ&lt;br&gt;&lt;div class=""audio""&gt;[sound:なにしろ.mp3]&lt;/div&gt;")</f>
        <v>なにしろ&lt;br&gt;&lt;div class="audio"&gt;[sound:なにしろ.mp3]&lt;/div&gt;</v>
      </c>
      <c r="H2027" s="3" t="str">
        <f t="shared" si="1"/>
        <v>(adv): vì dù sao</v>
      </c>
      <c r="I2027" s="6" t="s">
        <v>11051</v>
      </c>
      <c r="J2027" s="6" t="s">
        <v>11052</v>
      </c>
      <c r="K2027" s="7">
        <f t="shared" si="2"/>
        <v>0.2924876186</v>
      </c>
    </row>
    <row r="2028">
      <c r="A2028" s="4">
        <v>2028.0</v>
      </c>
      <c r="B2028" s="5" t="s">
        <v>11053</v>
      </c>
      <c r="C2028" s="5" t="s">
        <v>11054</v>
      </c>
      <c r="D2028" s="5" t="s">
        <v>11055</v>
      </c>
      <c r="E2028" s="6" t="s">
        <v>74</v>
      </c>
      <c r="F2028" s="6" t="s">
        <v>11056</v>
      </c>
      <c r="G2028" s="3" t="str">
        <f>IFERROR(__xludf.DUMMYFUNCTION("REGEXREPLACE(
D2028,
""([一-龯々]+)\[([^\]]+)\]"",
""&lt;ruby&gt;$1&lt;rt&gt;$2&lt;/rt&gt;&lt;/ruby&gt;""
)&amp;""&lt;br&gt;&lt;div class=""""audio""""&gt;[sound:""&amp;C2028&amp;"".mp3]&lt;/div&gt;"""),"&lt;ruby&gt;去年&lt;rt&gt;きょねん&lt;/rt&gt;&lt;/ruby&gt;&lt;br&gt;&lt;div class=""audio""&gt;[sound:きょねん.mp3]&lt;/div&gt;")</f>
        <v>&lt;ruby&gt;去年&lt;rt&gt;きょねん&lt;/rt&gt;&lt;/ruby&gt;&lt;br&gt;&lt;div class="audio"&gt;[sound:きょねん.mp3]&lt;/div&gt;</v>
      </c>
      <c r="H2028" s="3" t="str">
        <f t="shared" si="1"/>
        <v>(n): năm ngoái</v>
      </c>
      <c r="I2028" s="6" t="s">
        <v>11057</v>
      </c>
      <c r="J2028" s="6" t="s">
        <v>11058</v>
      </c>
      <c r="K2028" s="7">
        <f t="shared" si="2"/>
        <v>0.7667695448</v>
      </c>
    </row>
    <row r="2029">
      <c r="A2029" s="4">
        <v>2029.0</v>
      </c>
      <c r="B2029" s="5" t="s">
        <v>11059</v>
      </c>
      <c r="C2029" s="5" t="s">
        <v>11060</v>
      </c>
      <c r="D2029" s="5" t="s">
        <v>11061</v>
      </c>
      <c r="E2029" s="6" t="s">
        <v>74</v>
      </c>
      <c r="F2029" s="6" t="s">
        <v>11062</v>
      </c>
      <c r="G2029" s="3" t="str">
        <f>IFERROR(__xludf.DUMMYFUNCTION("REGEXREPLACE(
D2029,
""([一-龯々]+)\[([^\]]+)\]"",
""&lt;ruby&gt;$1&lt;rt&gt;$2&lt;/rt&gt;&lt;/ruby&gt;""
)&amp;""&lt;br&gt;&lt;div class=""""audio""""&gt;[sound:""&amp;C2029&amp;"".mp3]&lt;/div&gt;"""),"&lt;ruby&gt;白&lt;rt&gt;しろ&lt;/rt&gt;&lt;/ruby&gt;&lt;br&gt;&lt;div class=""audio""&gt;[sound:しろ.mp3]&lt;/div&gt;")</f>
        <v>&lt;ruby&gt;白&lt;rt&gt;しろ&lt;/rt&gt;&lt;/ruby&gt;&lt;br&gt;&lt;div class="audio"&gt;[sound:しろ.mp3]&lt;/div&gt;</v>
      </c>
      <c r="H2029" s="3" t="str">
        <f t="shared" si="1"/>
        <v>(n): màu trắng</v>
      </c>
      <c r="I2029" s="6" t="s">
        <v>11063</v>
      </c>
      <c r="J2029" s="6" t="s">
        <v>11064</v>
      </c>
      <c r="K2029" s="7">
        <f t="shared" si="2"/>
        <v>0.4927320043</v>
      </c>
    </row>
    <row r="2030">
      <c r="A2030" s="4">
        <v>2030.0</v>
      </c>
      <c r="B2030" s="5" t="s">
        <v>11065</v>
      </c>
      <c r="C2030" s="5" t="s">
        <v>11066</v>
      </c>
      <c r="D2030" s="5" t="s">
        <v>11067</v>
      </c>
      <c r="E2030" s="6" t="s">
        <v>11</v>
      </c>
      <c r="F2030" s="6" t="s">
        <v>11068</v>
      </c>
      <c r="G2030" s="3" t="str">
        <f>IFERROR(__xludf.DUMMYFUNCTION("REGEXREPLACE(
D2030,
""([一-龯々]+)\[([^\]]+)\]"",
""&lt;ruby&gt;$1&lt;rt&gt;$2&lt;/rt&gt;&lt;/ruby&gt;""
)&amp;""&lt;br&gt;&lt;div class=""""audio""""&gt;[sound:""&amp;C2030&amp;"".mp3]&lt;/div&gt;"""),"&lt;ruby&gt;不便&lt;rt&gt;ふべん&lt;/rt&gt;&lt;/ruby&gt;&lt;br&gt;&lt;div class=""audio""&gt;[sound:ふべん.mp3]&lt;/div&gt;")</f>
        <v>&lt;ruby&gt;不便&lt;rt&gt;ふべん&lt;/rt&gt;&lt;/ruby&gt;&lt;br&gt;&lt;div class="audio"&gt;[sound:ふべん.mp3]&lt;/div&gt;</v>
      </c>
      <c r="H2030" s="3" t="str">
        <f t="shared" si="1"/>
        <v>(adj): bất tiện</v>
      </c>
      <c r="I2030" s="6" t="s">
        <v>11069</v>
      </c>
      <c r="J2030" s="6" t="s">
        <v>11070</v>
      </c>
      <c r="K2030" s="7">
        <f t="shared" si="2"/>
        <v>0.8537501035</v>
      </c>
    </row>
    <row r="2031">
      <c r="A2031" s="4">
        <v>2031.0</v>
      </c>
      <c r="B2031" s="5" t="s">
        <v>11071</v>
      </c>
      <c r="C2031" s="5" t="s">
        <v>3277</v>
      </c>
      <c r="D2031" s="5" t="s">
        <v>11072</v>
      </c>
      <c r="E2031" s="6" t="s">
        <v>74</v>
      </c>
      <c r="F2031" s="6" t="s">
        <v>11073</v>
      </c>
      <c r="G2031" s="3" t="str">
        <f>IFERROR(__xludf.DUMMYFUNCTION("REGEXREPLACE(
D2031,
""([一-龯々]+)\[([^\]]+)\]"",
""&lt;ruby&gt;$1&lt;rt&gt;$2&lt;/rt&gt;&lt;/ruby&gt;""
)&amp;""&lt;br&gt;&lt;div class=""""audio""""&gt;[sound:""&amp;C2031&amp;"".mp3]&lt;/div&gt;"""),"&lt;ruby&gt;仕様&lt;rt&gt;しよう&lt;/rt&gt;&lt;/ruby&gt;&lt;br&gt;&lt;div class=""audio""&gt;[sound:しよう.mp3]&lt;/div&gt;")</f>
        <v>&lt;ruby&gt;仕様&lt;rt&gt;しよう&lt;/rt&gt;&lt;/ruby&gt;&lt;br&gt;&lt;div class="audio"&gt;[sound:しよう.mp3]&lt;/div&gt;</v>
      </c>
      <c r="H2031" s="3" t="str">
        <f t="shared" si="1"/>
        <v>(n): thông số</v>
      </c>
      <c r="I2031" s="6" t="s">
        <v>11074</v>
      </c>
      <c r="J2031" s="6" t="s">
        <v>11075</v>
      </c>
      <c r="K2031" s="7">
        <f t="shared" si="2"/>
        <v>0.7098716792</v>
      </c>
    </row>
    <row r="2032">
      <c r="A2032" s="4">
        <v>2032.0</v>
      </c>
      <c r="B2032" s="5" t="s">
        <v>11076</v>
      </c>
      <c r="C2032" s="5" t="s">
        <v>11077</v>
      </c>
      <c r="D2032" s="5" t="s">
        <v>11078</v>
      </c>
      <c r="E2032" s="6" t="s">
        <v>74</v>
      </c>
      <c r="F2032" s="6" t="s">
        <v>6946</v>
      </c>
      <c r="G2032" s="3" t="str">
        <f>IFERROR(__xludf.DUMMYFUNCTION("REGEXREPLACE(
D2032,
""([一-龯々]+)\[([^\]]+)\]"",
""&lt;ruby&gt;$1&lt;rt&gt;$2&lt;/rt&gt;&lt;/ruby&gt;""
)&amp;""&lt;br&gt;&lt;div class=""""audio""""&gt;[sound:""&amp;C2032&amp;"".mp3]&lt;/div&gt;"""),"&lt;ruby&gt;分野&lt;rt&gt;ぶんや&lt;/rt&gt;&lt;/ruby&gt;&lt;br&gt;&lt;div class=""audio""&gt;[sound:ぶんや.mp3]&lt;/div&gt;")</f>
        <v>&lt;ruby&gt;分野&lt;rt&gt;ぶんや&lt;/rt&gt;&lt;/ruby&gt;&lt;br&gt;&lt;div class="audio"&gt;[sound:ぶんや.mp3]&lt;/div&gt;</v>
      </c>
      <c r="H2032" s="3" t="str">
        <f t="shared" si="1"/>
        <v>(n): lĩnh vực</v>
      </c>
      <c r="I2032" s="6" t="s">
        <v>11079</v>
      </c>
      <c r="J2032" s="6" t="s">
        <v>6948</v>
      </c>
      <c r="K2032" s="7">
        <f t="shared" si="2"/>
        <v>0.657272326</v>
      </c>
    </row>
    <row r="2033">
      <c r="A2033" s="4">
        <v>2033.0</v>
      </c>
      <c r="B2033" s="5" t="s">
        <v>11080</v>
      </c>
      <c r="C2033" s="5" t="s">
        <v>11081</v>
      </c>
      <c r="D2033" s="5" t="s">
        <v>11082</v>
      </c>
      <c r="E2033" s="6" t="s">
        <v>11</v>
      </c>
      <c r="F2033" s="6" t="s">
        <v>11083</v>
      </c>
      <c r="G2033" s="3" t="str">
        <f>IFERROR(__xludf.DUMMYFUNCTION("REGEXREPLACE(
D2033,
""([一-龯々]+)\[([^\]]+)\]"",
""&lt;ruby&gt;$1&lt;rt&gt;$2&lt;/rt&gt;&lt;/ruby&gt;""
)&amp;""&lt;br&gt;&lt;div class=""""audio""""&gt;[sound:""&amp;C2033&amp;"".mp3]&lt;/div&gt;"""),"&lt;ruby&gt;必死&lt;rt&gt;ひっし&lt;/rt&gt;&lt;/ruby&gt;&lt;br&gt;&lt;div class=""audio""&gt;[sound:ひっし.mp3]&lt;/div&gt;")</f>
        <v>&lt;ruby&gt;必死&lt;rt&gt;ひっし&lt;/rt&gt;&lt;/ruby&gt;&lt;br&gt;&lt;div class="audio"&gt;[sound:ひっし.mp3]&lt;/div&gt;</v>
      </c>
      <c r="H2033" s="3" t="str">
        <f t="shared" si="1"/>
        <v>(adj): quyết tử</v>
      </c>
      <c r="I2033" s="6" t="s">
        <v>11084</v>
      </c>
      <c r="J2033" s="6" t="s">
        <v>11085</v>
      </c>
      <c r="K2033" s="7">
        <f t="shared" si="2"/>
        <v>0.06363522102</v>
      </c>
    </row>
    <row r="2034">
      <c r="A2034" s="4">
        <v>2034.0</v>
      </c>
      <c r="B2034" s="5" t="s">
        <v>11086</v>
      </c>
      <c r="C2034" s="5" t="s">
        <v>11087</v>
      </c>
      <c r="D2034" s="5" t="s">
        <v>11088</v>
      </c>
      <c r="E2034" s="6" t="s">
        <v>74</v>
      </c>
      <c r="F2034" s="6" t="s">
        <v>5734</v>
      </c>
      <c r="G2034" s="3" t="str">
        <f>IFERROR(__xludf.DUMMYFUNCTION("REGEXREPLACE(
D2034,
""([一-龯々]+)\[([^\]]+)\]"",
""&lt;ruby&gt;$1&lt;rt&gt;$2&lt;/rt&gt;&lt;/ruby&gt;""
)&amp;""&lt;br&gt;&lt;div class=""""audio""""&gt;[sound:""&amp;C2034&amp;"".mp3]&lt;/div&gt;"""),"&lt;ruby&gt;連続&lt;rt&gt;れんぞく&lt;/rt&gt;&lt;/ruby&gt;&lt;br&gt;&lt;div class=""audio""&gt;[sound:れんぞく.mp3]&lt;/div&gt;")</f>
        <v>&lt;ruby&gt;連続&lt;rt&gt;れんぞく&lt;/rt&gt;&lt;/ruby&gt;&lt;br&gt;&lt;div class="audio"&gt;[sound:れんぞく.mp3]&lt;/div&gt;</v>
      </c>
      <c r="H2034" s="3" t="str">
        <f t="shared" si="1"/>
        <v>(n): liên tục</v>
      </c>
      <c r="I2034" s="6" t="s">
        <v>11089</v>
      </c>
      <c r="J2034" s="6" t="s">
        <v>11090</v>
      </c>
      <c r="K2034" s="7">
        <f t="shared" si="2"/>
        <v>0.270260942</v>
      </c>
    </row>
    <row r="2035">
      <c r="A2035" s="4">
        <v>2035.0</v>
      </c>
      <c r="B2035" s="5" t="s">
        <v>11091</v>
      </c>
      <c r="C2035" s="5" t="s">
        <v>11091</v>
      </c>
      <c r="D2035" s="5" t="s">
        <v>11091</v>
      </c>
      <c r="E2035" s="6" t="s">
        <v>90</v>
      </c>
      <c r="F2035" s="6" t="s">
        <v>11092</v>
      </c>
      <c r="G2035" s="3" t="str">
        <f>IFERROR(__xludf.DUMMYFUNCTION("REGEXREPLACE(
D2035,
""([一-龯々]+)\[([^\]]+)\]"",
""&lt;ruby&gt;$1&lt;rt&gt;$2&lt;/rt&gt;&lt;/ruby&gt;""
)&amp;""&lt;br&gt;&lt;div class=""""audio""""&gt;[sound:""&amp;C2035&amp;"".mp3]&lt;/div&gt;"""),"それとも&lt;br&gt;&lt;div class=""audio""&gt;[sound:それとも.mp3]&lt;/div&gt;")</f>
        <v>それとも&lt;br&gt;&lt;div class="audio"&gt;[sound:それとも.mp3]&lt;/div&gt;</v>
      </c>
      <c r="H2035" s="3" t="str">
        <f t="shared" si="1"/>
        <v>(conj): hoặc là</v>
      </c>
      <c r="I2035" s="6" t="s">
        <v>11093</v>
      </c>
      <c r="J2035" s="6" t="s">
        <v>11094</v>
      </c>
      <c r="K2035" s="7">
        <f t="shared" si="2"/>
        <v>0.2824584916</v>
      </c>
    </row>
    <row r="2036">
      <c r="A2036" s="4">
        <v>2036.0</v>
      </c>
      <c r="B2036" s="5" t="s">
        <v>11095</v>
      </c>
      <c r="C2036" s="5" t="s">
        <v>11096</v>
      </c>
      <c r="D2036" s="5" t="s">
        <v>11095</v>
      </c>
      <c r="E2036" s="6" t="s">
        <v>74</v>
      </c>
      <c r="F2036" s="6" t="s">
        <v>11097</v>
      </c>
      <c r="G2036" s="3" t="str">
        <f>IFERROR(__xludf.DUMMYFUNCTION("REGEXREPLACE(
D2036,
""([一-龯々]+)\[([^\]]+)\]"",
""&lt;ruby&gt;$1&lt;rt&gt;$2&lt;/rt&gt;&lt;/ruby&gt;""
)&amp;""&lt;br&gt;&lt;div class=""""audio""""&gt;[sound:""&amp;C2036&amp;"".mp3]&lt;/div&gt;"""),"ポスト&lt;br&gt;&lt;div class=""audio""&gt;[sound:ぽすと.mp3]&lt;/div&gt;")</f>
        <v>ポスト&lt;br&gt;&lt;div class="audio"&gt;[sound:ぽすと.mp3]&lt;/div&gt;</v>
      </c>
      <c r="H2036" s="3" t="str">
        <f t="shared" si="1"/>
        <v>(n): hòm thư</v>
      </c>
      <c r="I2036" s="6" t="s">
        <v>11098</v>
      </c>
      <c r="J2036" s="6" t="s">
        <v>11099</v>
      </c>
      <c r="K2036" s="7">
        <f t="shared" si="2"/>
        <v>0.4228847391</v>
      </c>
    </row>
    <row r="2037">
      <c r="A2037" s="4">
        <v>2037.0</v>
      </c>
      <c r="B2037" s="5" t="s">
        <v>11100</v>
      </c>
      <c r="C2037" s="5" t="s">
        <v>11101</v>
      </c>
      <c r="D2037" s="5" t="s">
        <v>11102</v>
      </c>
      <c r="E2037" s="6" t="s">
        <v>11</v>
      </c>
      <c r="F2037" s="6" t="s">
        <v>11103</v>
      </c>
      <c r="G2037" s="3" t="str">
        <f>IFERROR(__xludf.DUMMYFUNCTION("REGEXREPLACE(
D2037,
""([一-龯々]+)\[([^\]]+)\]"",
""&lt;ruby&gt;$1&lt;rt&gt;$2&lt;/rt&gt;&lt;/ruby&gt;""
)&amp;""&lt;br&gt;&lt;div class=""""audio""""&gt;[sound:""&amp;C2037&amp;"".mp3]&lt;/div&gt;"""),"&lt;ruby&gt;不満&lt;rt&gt;ふまん&lt;/rt&gt;&lt;/ruby&gt;&lt;br&gt;&lt;div class=""audio""&gt;[sound:ふまん.mp3]&lt;/div&gt;")</f>
        <v>&lt;ruby&gt;不満&lt;rt&gt;ふまん&lt;/rt&gt;&lt;/ruby&gt;&lt;br&gt;&lt;div class="audio"&gt;[sound:ふまん.mp3]&lt;/div&gt;</v>
      </c>
      <c r="H2037" s="3" t="str">
        <f t="shared" si="1"/>
        <v>(adj): bất mãn</v>
      </c>
      <c r="I2037" s="6" t="s">
        <v>11104</v>
      </c>
      <c r="J2037" s="6" t="s">
        <v>11105</v>
      </c>
      <c r="K2037" s="7">
        <f t="shared" si="2"/>
        <v>0.9500046922</v>
      </c>
    </row>
    <row r="2038">
      <c r="A2038" s="4">
        <v>2038.0</v>
      </c>
      <c r="B2038" s="5" t="s">
        <v>11106</v>
      </c>
      <c r="C2038" s="5" t="s">
        <v>11107</v>
      </c>
      <c r="D2038" s="5" t="s">
        <v>11108</v>
      </c>
      <c r="E2038" s="6" t="s">
        <v>11</v>
      </c>
      <c r="F2038" s="6" t="s">
        <v>4022</v>
      </c>
      <c r="G2038" s="3" t="str">
        <f>IFERROR(__xludf.DUMMYFUNCTION("REGEXREPLACE(
D2038,
""([一-龯々]+)\[([^\]]+)\]"",
""&lt;ruby&gt;$1&lt;rt&gt;$2&lt;/rt&gt;&lt;/ruby&gt;""
)&amp;""&lt;br&gt;&lt;div class=""""audio""""&gt;[sound:""&amp;C2038&amp;"".mp3]&lt;/div&gt;"""),"&lt;ruby&gt;主要&lt;rt&gt;しゅよう&lt;/rt&gt;&lt;/ruby&gt;&lt;br&gt;&lt;div class=""audio""&gt;[sound:しゅよう.mp3]&lt;/div&gt;")</f>
        <v>&lt;ruby&gt;主要&lt;rt&gt;しゅよう&lt;/rt&gt;&lt;/ruby&gt;&lt;br&gt;&lt;div class="audio"&gt;[sound:しゅよう.mp3]&lt;/div&gt;</v>
      </c>
      <c r="H2038" s="3" t="str">
        <f t="shared" si="1"/>
        <v>(adj): chủ yếu</v>
      </c>
      <c r="I2038" s="6" t="s">
        <v>11109</v>
      </c>
      <c r="J2038" s="6" t="s">
        <v>11110</v>
      </c>
      <c r="K2038" s="7">
        <f t="shared" si="2"/>
        <v>0.6599122144</v>
      </c>
    </row>
    <row r="2039">
      <c r="A2039" s="4">
        <v>2039.0</v>
      </c>
      <c r="B2039" s="5" t="s">
        <v>11111</v>
      </c>
      <c r="C2039" s="5" t="s">
        <v>11112</v>
      </c>
      <c r="D2039" s="5" t="s">
        <v>11113</v>
      </c>
      <c r="E2039" s="6" t="s">
        <v>74</v>
      </c>
      <c r="F2039" s="6" t="s">
        <v>11114</v>
      </c>
      <c r="G2039" s="3" t="str">
        <f>IFERROR(__xludf.DUMMYFUNCTION("REGEXREPLACE(
D2039,
""([一-龯々]+)\[([^\]]+)\]"",
""&lt;ruby&gt;$1&lt;rt&gt;$2&lt;/rt&gt;&lt;/ruby&gt;""
)&amp;""&lt;br&gt;&lt;div class=""""audio""""&gt;[sound:""&amp;C2039&amp;"".mp3]&lt;/div&gt;"""),"&lt;ruby&gt;保存&lt;rt&gt;ほぞん&lt;/rt&gt;&lt;/ruby&gt;&lt;br&gt;&lt;div class=""audio""&gt;[sound:ほぞん.mp3]&lt;/div&gt;")</f>
        <v>&lt;ruby&gt;保存&lt;rt&gt;ほぞん&lt;/rt&gt;&lt;/ruby&gt;&lt;br&gt;&lt;div class="audio"&gt;[sound:ほぞん.mp3]&lt;/div&gt;</v>
      </c>
      <c r="H2039" s="3" t="str">
        <f t="shared" si="1"/>
        <v>(n): lưu trữ</v>
      </c>
      <c r="I2039" s="6" t="s">
        <v>11115</v>
      </c>
      <c r="J2039" s="6" t="s">
        <v>11116</v>
      </c>
      <c r="K2039" s="7">
        <f t="shared" si="2"/>
        <v>0.2805069219</v>
      </c>
    </row>
    <row r="2040">
      <c r="A2040" s="4">
        <v>2040.0</v>
      </c>
      <c r="B2040" s="5" t="s">
        <v>11117</v>
      </c>
      <c r="C2040" s="5" t="s">
        <v>2960</v>
      </c>
      <c r="D2040" s="5" t="s">
        <v>11118</v>
      </c>
      <c r="E2040" s="6" t="s">
        <v>74</v>
      </c>
      <c r="F2040" s="6" t="s">
        <v>8849</v>
      </c>
      <c r="G2040" s="3" t="str">
        <f>IFERROR(__xludf.DUMMYFUNCTION("REGEXREPLACE(
D2040,
""([一-龯々]+)\[([^\]]+)\]"",
""&lt;ruby&gt;$1&lt;rt&gt;$2&lt;/rt&gt;&lt;/ruby&gt;""
)&amp;""&lt;br&gt;&lt;div class=""""audio""""&gt;[sound:""&amp;C2040&amp;"".mp3]&lt;/div&gt;"""),"&lt;ruby&gt;制作&lt;rt&gt;せいさく&lt;/rt&gt;&lt;/ruby&gt;&lt;br&gt;&lt;div class=""audio""&gt;[sound:せいさく.mp3]&lt;/div&gt;")</f>
        <v>&lt;ruby&gt;制作&lt;rt&gt;せいさく&lt;/rt&gt;&lt;/ruby&gt;&lt;br&gt;&lt;div class="audio"&gt;[sound:せいさく.mp3]&lt;/div&gt;</v>
      </c>
      <c r="H2040" s="3" t="str">
        <f t="shared" si="1"/>
        <v>(n): chế tạo</v>
      </c>
      <c r="I2040" s="6" t="s">
        <v>11119</v>
      </c>
      <c r="J2040" s="6" t="s">
        <v>11120</v>
      </c>
      <c r="K2040" s="7">
        <f t="shared" si="2"/>
        <v>0.5484525309</v>
      </c>
    </row>
    <row r="2041">
      <c r="A2041" s="4">
        <v>2041.0</v>
      </c>
      <c r="B2041" s="5" t="s">
        <v>11121</v>
      </c>
      <c r="C2041" s="5" t="s">
        <v>11122</v>
      </c>
      <c r="D2041" s="5" t="s">
        <v>11123</v>
      </c>
      <c r="E2041" s="6" t="s">
        <v>74</v>
      </c>
      <c r="F2041" s="6" t="s">
        <v>11124</v>
      </c>
      <c r="G2041" s="3" t="str">
        <f>IFERROR(__xludf.DUMMYFUNCTION("REGEXREPLACE(
D2041,
""([一-龯々]+)\[([^\]]+)\]"",
""&lt;ruby&gt;$1&lt;rt&gt;$2&lt;/rt&gt;&lt;/ruby&gt;""
)&amp;""&lt;br&gt;&lt;div class=""""audio""""&gt;[sound:""&amp;C2041&amp;"".mp3]&lt;/div&gt;"""),"&lt;ruby&gt;電子&lt;rt&gt;でんし&lt;/rt&gt;&lt;/ruby&gt;&lt;br&gt;&lt;div class=""audio""&gt;[sound:でんし.mp3]&lt;/div&gt;")</f>
        <v>&lt;ruby&gt;電子&lt;rt&gt;でんし&lt;/rt&gt;&lt;/ruby&gt;&lt;br&gt;&lt;div class="audio"&gt;[sound:でんし.mp3]&lt;/div&gt;</v>
      </c>
      <c r="H2041" s="3" t="str">
        <f t="shared" si="1"/>
        <v>(n): điện tử</v>
      </c>
      <c r="I2041" s="6" t="s">
        <v>11125</v>
      </c>
      <c r="J2041" s="6" t="s">
        <v>3987</v>
      </c>
      <c r="K2041" s="7">
        <f t="shared" si="2"/>
        <v>0.3404013604</v>
      </c>
    </row>
    <row r="2042">
      <c r="A2042" s="4">
        <v>2042.0</v>
      </c>
      <c r="B2042" s="5" t="s">
        <v>11126</v>
      </c>
      <c r="C2042" s="5" t="s">
        <v>11127</v>
      </c>
      <c r="D2042" s="5" t="s">
        <v>11126</v>
      </c>
      <c r="E2042" s="6" t="s">
        <v>74</v>
      </c>
      <c r="F2042" s="6" t="s">
        <v>9109</v>
      </c>
      <c r="G2042" s="3" t="str">
        <f>IFERROR(__xludf.DUMMYFUNCTION("REGEXREPLACE(
D2042,
""([一-龯々]+)\[([^\]]+)\]"",
""&lt;ruby&gt;$1&lt;rt&gt;$2&lt;/rt&gt;&lt;/ruby&gt;""
)&amp;""&lt;br&gt;&lt;div class=""""audio""""&gt;[sound:""&amp;C2042&amp;"".mp3]&lt;/div&gt;"""),"ドライブ&lt;br&gt;&lt;div class=""audio""&gt;[sound:どらいぶ.mp3]&lt;/div&gt;")</f>
        <v>ドライブ&lt;br&gt;&lt;div class="audio"&gt;[sound:どらいぶ.mp3]&lt;/div&gt;</v>
      </c>
      <c r="H2042" s="3" t="str">
        <f t="shared" si="1"/>
        <v>(n): lái xe</v>
      </c>
      <c r="I2042" s="6" t="s">
        <v>11128</v>
      </c>
      <c r="J2042" s="6" t="s">
        <v>11129</v>
      </c>
      <c r="K2042" s="7">
        <f t="shared" si="2"/>
        <v>0.469126601</v>
      </c>
    </row>
    <row r="2043">
      <c r="A2043" s="4">
        <v>2043.0</v>
      </c>
      <c r="B2043" s="5" t="s">
        <v>11130</v>
      </c>
      <c r="C2043" s="5" t="s">
        <v>11131</v>
      </c>
      <c r="D2043" s="5" t="s">
        <v>11132</v>
      </c>
      <c r="E2043" s="6" t="s">
        <v>74</v>
      </c>
      <c r="F2043" s="6" t="s">
        <v>554</v>
      </c>
      <c r="G2043" s="3" t="str">
        <f>IFERROR(__xludf.DUMMYFUNCTION("REGEXREPLACE(
D2043,
""([一-龯々]+)\[([^\]]+)\]"",
""&lt;ruby&gt;$1&lt;rt&gt;$2&lt;/rt&gt;&lt;/ruby&gt;""
)&amp;""&lt;br&gt;&lt;div class=""""audio""""&gt;[sound:""&amp;C2043&amp;"".mp3]&lt;/div&gt;"""),"&lt;ruby&gt;世間&lt;rt&gt;せけん&lt;/rt&gt;&lt;/ruby&gt;&lt;br&gt;&lt;div class=""audio""&gt;[sound:せけん.mp3]&lt;/div&gt;")</f>
        <v>&lt;ruby&gt;世間&lt;rt&gt;せけん&lt;/rt&gt;&lt;/ruby&gt;&lt;br&gt;&lt;div class="audio"&gt;[sound:せけん.mp3]&lt;/div&gt;</v>
      </c>
      <c r="H2043" s="3" t="str">
        <f t="shared" si="1"/>
        <v>(n): xã hội</v>
      </c>
      <c r="I2043" s="6" t="s">
        <v>11133</v>
      </c>
      <c r="J2043" s="6" t="s">
        <v>11134</v>
      </c>
      <c r="K2043" s="7">
        <f t="shared" si="2"/>
        <v>0.07999712224</v>
      </c>
    </row>
    <row r="2044">
      <c r="A2044" s="4">
        <v>2044.0</v>
      </c>
      <c r="B2044" s="5" t="s">
        <v>11135</v>
      </c>
      <c r="C2044" s="5" t="s">
        <v>11136</v>
      </c>
      <c r="D2044" s="5" t="s">
        <v>11137</v>
      </c>
      <c r="E2044" s="6" t="s">
        <v>24</v>
      </c>
      <c r="F2044" s="6" t="s">
        <v>11138</v>
      </c>
      <c r="G2044" s="3" t="str">
        <f>IFERROR(__xludf.DUMMYFUNCTION("REGEXREPLACE(
D2044,
""([一-龯々]+)\[([^\]]+)\]"",
""&lt;ruby&gt;$1&lt;rt&gt;$2&lt;/rt&gt;&lt;/ruby&gt;""
)&amp;""&lt;br&gt;&lt;div class=""""audio""""&gt;[sound:""&amp;C2044&amp;"".mp3]&lt;/div&gt;"""),"&lt;ruby&gt;泣&lt;rt&gt;な&lt;/rt&gt;&lt;/ruby&gt;く&lt;br&gt;&lt;div class=""audio""&gt;[sound:なく.mp3]&lt;/div&gt;")</f>
        <v>&lt;ruby&gt;泣&lt;rt&gt;な&lt;/rt&gt;&lt;/ruby&gt;く&lt;br&gt;&lt;div class="audio"&gt;[sound:なく.mp3]&lt;/div&gt;</v>
      </c>
      <c r="H2044" s="3" t="str">
        <f t="shared" si="1"/>
        <v>(v): khóc</v>
      </c>
      <c r="I2044" s="6" t="s">
        <v>11139</v>
      </c>
      <c r="J2044" s="6" t="s">
        <v>11140</v>
      </c>
      <c r="K2044" s="7">
        <f t="shared" si="2"/>
        <v>0.8735661354</v>
      </c>
    </row>
    <row r="2045">
      <c r="A2045" s="4">
        <v>2045.0</v>
      </c>
      <c r="B2045" s="5" t="s">
        <v>11141</v>
      </c>
      <c r="C2045" s="5" t="s">
        <v>2819</v>
      </c>
      <c r="D2045" s="5" t="s">
        <v>11142</v>
      </c>
      <c r="E2045" s="6" t="s">
        <v>24</v>
      </c>
      <c r="F2045" s="6" t="s">
        <v>11143</v>
      </c>
      <c r="G2045" s="3" t="str">
        <f>IFERROR(__xludf.DUMMYFUNCTION("REGEXREPLACE(
D2045,
""([一-龯々]+)\[([^\]]+)\]"",
""&lt;ruby&gt;$1&lt;rt&gt;$2&lt;/rt&gt;&lt;/ruby&gt;""
)&amp;""&lt;br&gt;&lt;div class=""""audio""""&gt;[sound:""&amp;C2045&amp;"".mp3]&lt;/div&gt;"""),"&lt;ruby&gt;済&lt;rt&gt;す&lt;/rt&gt;&lt;/ruby&gt;む&lt;br&gt;&lt;div class=""audio""&gt;[sound:すむ.mp3]&lt;/div&gt;")</f>
        <v>&lt;ruby&gt;済&lt;rt&gt;す&lt;/rt&gt;&lt;/ruby&gt;む&lt;br&gt;&lt;div class="audio"&gt;[sound:すむ.mp3]&lt;/div&gt;</v>
      </c>
      <c r="H2045" s="3" t="str">
        <f t="shared" si="1"/>
        <v>(v): xong</v>
      </c>
      <c r="I2045" s="6" t="s">
        <v>11144</v>
      </c>
      <c r="J2045" s="6" t="s">
        <v>11145</v>
      </c>
      <c r="K2045" s="7">
        <f t="shared" si="2"/>
        <v>0.5973277749</v>
      </c>
    </row>
    <row r="2046">
      <c r="A2046" s="4">
        <v>2046.0</v>
      </c>
      <c r="B2046" s="5" t="s">
        <v>11146</v>
      </c>
      <c r="C2046" s="5" t="s">
        <v>11147</v>
      </c>
      <c r="D2046" s="5" t="s">
        <v>11148</v>
      </c>
      <c r="E2046" s="6" t="s">
        <v>24</v>
      </c>
      <c r="F2046" s="6" t="s">
        <v>11149</v>
      </c>
      <c r="G2046" s="3" t="str">
        <f>IFERROR(__xludf.DUMMYFUNCTION("REGEXREPLACE(
D2046,
""([一-龯々]+)\[([^\]]+)\]"",
""&lt;ruby&gt;$1&lt;rt&gt;$2&lt;/rt&gt;&lt;/ruby&gt;""
)&amp;""&lt;br&gt;&lt;div class=""""audio""""&gt;[sound:""&amp;C2046&amp;"".mp3]&lt;/div&gt;"""),"&lt;ruby&gt;洗&lt;rt&gt;あら&lt;/rt&gt;&lt;/ruby&gt;う&lt;br&gt;&lt;div class=""audio""&gt;[sound:あらう.mp3]&lt;/div&gt;")</f>
        <v>&lt;ruby&gt;洗&lt;rt&gt;あら&lt;/rt&gt;&lt;/ruby&gt;う&lt;br&gt;&lt;div class="audio"&gt;[sound:あらう.mp3]&lt;/div&gt;</v>
      </c>
      <c r="H2046" s="3" t="str">
        <f t="shared" si="1"/>
        <v>(v): rửa</v>
      </c>
      <c r="I2046" s="6" t="s">
        <v>11150</v>
      </c>
      <c r="J2046" s="6" t="s">
        <v>11151</v>
      </c>
      <c r="K2046" s="7">
        <f t="shared" si="2"/>
        <v>0.5250069327</v>
      </c>
    </row>
    <row r="2047">
      <c r="A2047" s="4">
        <v>2047.0</v>
      </c>
      <c r="B2047" s="5" t="s">
        <v>11152</v>
      </c>
      <c r="C2047" s="5" t="s">
        <v>11153</v>
      </c>
      <c r="D2047" s="5" t="s">
        <v>11154</v>
      </c>
      <c r="E2047" s="6" t="s">
        <v>74</v>
      </c>
      <c r="F2047" s="6" t="s">
        <v>11155</v>
      </c>
      <c r="G2047" s="3" t="str">
        <f>IFERROR(__xludf.DUMMYFUNCTION("REGEXREPLACE(
D2047,
""([一-龯々]+)\[([^\]]+)\]"",
""&lt;ruby&gt;$1&lt;rt&gt;$2&lt;/rt&gt;&lt;/ruby&gt;""
)&amp;""&lt;br&gt;&lt;div class=""""audio""""&gt;[sound:""&amp;C2047&amp;"".mp3]&lt;/div&gt;"""),"&lt;ruby&gt;箇所&lt;rt&gt;かしょ&lt;/rt&gt;&lt;/ruby&gt;&lt;br&gt;&lt;div class=""audio""&gt;[sound:かしょ.mp3]&lt;/div&gt;")</f>
        <v>&lt;ruby&gt;箇所&lt;rt&gt;かしょ&lt;/rt&gt;&lt;/ruby&gt;&lt;br&gt;&lt;div class="audio"&gt;[sound:かしょ.mp3]&lt;/div&gt;</v>
      </c>
      <c r="H2047" s="3" t="str">
        <f t="shared" si="1"/>
        <v>(n): chỗ</v>
      </c>
      <c r="I2047" s="6" t="s">
        <v>11156</v>
      </c>
      <c r="J2047" s="6" t="s">
        <v>11157</v>
      </c>
      <c r="K2047" s="7">
        <f t="shared" si="2"/>
        <v>0.3176709526</v>
      </c>
    </row>
    <row r="2048">
      <c r="A2048" s="4">
        <v>2048.0</v>
      </c>
      <c r="B2048" s="5" t="s">
        <v>11158</v>
      </c>
      <c r="C2048" s="5" t="s">
        <v>11159</v>
      </c>
      <c r="D2048" s="5" t="s">
        <v>11158</v>
      </c>
      <c r="E2048" s="6" t="s">
        <v>74</v>
      </c>
      <c r="F2048" s="6" t="s">
        <v>11160</v>
      </c>
      <c r="G2048" s="3" t="str">
        <f>IFERROR(__xludf.DUMMYFUNCTION("REGEXREPLACE(
D2048,
""([一-龯々]+)\[([^\]]+)\]"",
""&lt;ruby&gt;$1&lt;rt&gt;$2&lt;/rt&gt;&lt;/ruby&gt;""
)&amp;""&lt;br&gt;&lt;div class=""""audio""""&gt;[sound:""&amp;C2048&amp;"".mp3]&lt;/div&gt;"""),"バター&lt;br&gt;&lt;div class=""audio""&gt;[sound:ばたー.mp3]&lt;/div&gt;")</f>
        <v>バター&lt;br&gt;&lt;div class="audio"&gt;[sound:ばたー.mp3]&lt;/div&gt;</v>
      </c>
      <c r="H2048" s="3" t="str">
        <f t="shared" si="1"/>
        <v>(n): bơ</v>
      </c>
      <c r="I2048" s="6" t="s">
        <v>11161</v>
      </c>
      <c r="J2048" s="6" t="s">
        <v>11162</v>
      </c>
      <c r="K2048" s="7">
        <f t="shared" si="2"/>
        <v>0.7127617573</v>
      </c>
    </row>
    <row r="2049">
      <c r="A2049" s="4">
        <v>2049.0</v>
      </c>
      <c r="B2049" s="5" t="s">
        <v>11163</v>
      </c>
      <c r="C2049" s="5" t="s">
        <v>11164</v>
      </c>
      <c r="D2049" s="5" t="s">
        <v>11165</v>
      </c>
      <c r="E2049" s="6" t="s">
        <v>74</v>
      </c>
      <c r="F2049" s="6" t="s">
        <v>11166</v>
      </c>
      <c r="G2049" s="3" t="str">
        <f>IFERROR(__xludf.DUMMYFUNCTION("REGEXREPLACE(
D2049,
""([一-龯々]+)\[([^\]]+)\]"",
""&lt;ruby&gt;$1&lt;rt&gt;$2&lt;/rt&gt;&lt;/ruby&gt;""
)&amp;""&lt;br&gt;&lt;div class=""""audio""""&gt;[sound:""&amp;C2049&amp;"".mp3]&lt;/div&gt;"""),"&lt;ruby&gt;県庁&lt;rt&gt;けんちょう&lt;/rt&gt;&lt;/ruby&gt;&lt;br&gt;&lt;div class=""audio""&gt;[sound:けんちょう.mp3]&lt;/div&gt;")</f>
        <v>&lt;ruby&gt;県庁&lt;rt&gt;けんちょう&lt;/rt&gt;&lt;/ruby&gt;&lt;br&gt;&lt;div class="audio"&gt;[sound:けんちょう.mp3]&lt;/div&gt;</v>
      </c>
      <c r="H2049" s="3" t="str">
        <f t="shared" si="1"/>
        <v>(n): trụ sở tỉnh</v>
      </c>
      <c r="I2049" s="6" t="s">
        <v>11167</v>
      </c>
      <c r="J2049" s="6" t="s">
        <v>11168</v>
      </c>
      <c r="K2049" s="7">
        <f t="shared" si="2"/>
        <v>0.03045029103</v>
      </c>
    </row>
    <row r="2050">
      <c r="A2050" s="4">
        <v>2050.0</v>
      </c>
      <c r="B2050" s="5" t="s">
        <v>11169</v>
      </c>
      <c r="C2050" s="5" t="s">
        <v>11170</v>
      </c>
      <c r="D2050" s="5" t="s">
        <v>11171</v>
      </c>
      <c r="E2050" s="6" t="s">
        <v>74</v>
      </c>
      <c r="F2050" s="6" t="s">
        <v>11172</v>
      </c>
      <c r="G2050" s="3" t="str">
        <f>IFERROR(__xludf.DUMMYFUNCTION("REGEXREPLACE(
D2050,
""([一-龯々]+)\[([^\]]+)\]"",
""&lt;ruby&gt;$1&lt;rt&gt;$2&lt;/rt&gt;&lt;/ruby&gt;""
)&amp;""&lt;br&gt;&lt;div class=""""audio""""&gt;[sound:""&amp;C2050&amp;"".mp3]&lt;/div&gt;"""),"&lt;ruby&gt;西洋&lt;rt&gt;せいよう&lt;/rt&gt;&lt;/ruby&gt;&lt;br&gt;&lt;div class=""audio""&gt;[sound:せいよう.mp3]&lt;/div&gt;")</f>
        <v>&lt;ruby&gt;西洋&lt;rt&gt;せいよう&lt;/rt&gt;&lt;/ruby&gt;&lt;br&gt;&lt;div class="audio"&gt;[sound:せいよう.mp3]&lt;/div&gt;</v>
      </c>
      <c r="H2050" s="3" t="str">
        <f t="shared" si="1"/>
        <v>(n): phương tây</v>
      </c>
      <c r="I2050" s="6" t="s">
        <v>11173</v>
      </c>
      <c r="J2050" s="6" t="s">
        <v>11174</v>
      </c>
      <c r="K2050" s="7">
        <f t="shared" si="2"/>
        <v>0.6097823256</v>
      </c>
    </row>
    <row r="2051">
      <c r="A2051" s="4">
        <v>2051.0</v>
      </c>
      <c r="B2051" s="5" t="s">
        <v>11175</v>
      </c>
      <c r="C2051" s="5" t="s">
        <v>11176</v>
      </c>
      <c r="D2051" s="5" t="s">
        <v>11177</v>
      </c>
      <c r="E2051" s="6" t="s">
        <v>74</v>
      </c>
      <c r="F2051" s="6" t="s">
        <v>3812</v>
      </c>
      <c r="G2051" s="3" t="str">
        <f>IFERROR(__xludf.DUMMYFUNCTION("REGEXREPLACE(
D2051,
""([一-龯々]+)\[([^\]]+)\]"",
""&lt;ruby&gt;$1&lt;rt&gt;$2&lt;/rt&gt;&lt;/ruby&gt;""
)&amp;""&lt;br&gt;&lt;div class=""""audio""""&gt;[sound:""&amp;C2051&amp;"".mp3]&lt;/div&gt;"""),"&lt;ruby&gt;解説&lt;rt&gt;かいせつ&lt;/rt&gt;&lt;/ruby&gt;&lt;br&gt;&lt;div class=""audio""&gt;[sound:かいせつ.mp3]&lt;/div&gt;")</f>
        <v>&lt;ruby&gt;解説&lt;rt&gt;かいせつ&lt;/rt&gt;&lt;/ruby&gt;&lt;br&gt;&lt;div class="audio"&gt;[sound:かいせつ.mp3]&lt;/div&gt;</v>
      </c>
      <c r="H2051" s="3" t="str">
        <f t="shared" si="1"/>
        <v>(n): giải thích</v>
      </c>
      <c r="I2051" s="6" t="s">
        <v>11178</v>
      </c>
      <c r="J2051" s="6" t="s">
        <v>11179</v>
      </c>
      <c r="K2051" s="7">
        <f t="shared" si="2"/>
        <v>0.2274203437</v>
      </c>
    </row>
    <row r="2052">
      <c r="A2052" s="4">
        <v>2052.0</v>
      </c>
      <c r="B2052" s="5" t="s">
        <v>11180</v>
      </c>
      <c r="C2052" s="5" t="s">
        <v>11181</v>
      </c>
      <c r="D2052" s="5" t="s">
        <v>11182</v>
      </c>
      <c r="E2052" s="6" t="s">
        <v>74</v>
      </c>
      <c r="F2052" s="6" t="s">
        <v>11183</v>
      </c>
      <c r="G2052" s="3" t="str">
        <f>IFERROR(__xludf.DUMMYFUNCTION("REGEXREPLACE(
D2052,
""([一-龯々]+)\[([^\]]+)\]"",
""&lt;ruby&gt;$1&lt;rt&gt;$2&lt;/rt&gt;&lt;/ruby&gt;""
)&amp;""&lt;br&gt;&lt;div class=""""audio""""&gt;[sound:""&amp;C2052&amp;"".mp3]&lt;/div&gt;"""),"&lt;ruby&gt;証明&lt;rt&gt;しょうめい&lt;/rt&gt;&lt;/ruby&gt;&lt;br&gt;&lt;div class=""audio""&gt;[sound:しょうめい.mp3]&lt;/div&gt;")</f>
        <v>&lt;ruby&gt;証明&lt;rt&gt;しょうめい&lt;/rt&gt;&lt;/ruby&gt;&lt;br&gt;&lt;div class="audio"&gt;[sound:しょうめい.mp3]&lt;/div&gt;</v>
      </c>
      <c r="H2052" s="3" t="str">
        <f t="shared" si="1"/>
        <v>(n): chứng minh</v>
      </c>
      <c r="I2052" s="6" t="s">
        <v>11184</v>
      </c>
      <c r="J2052" s="6" t="s">
        <v>11185</v>
      </c>
      <c r="K2052" s="7">
        <f t="shared" si="2"/>
        <v>0.2677345247</v>
      </c>
    </row>
    <row r="2053">
      <c r="A2053" s="4">
        <v>2053.0</v>
      </c>
      <c r="B2053" s="5" t="s">
        <v>11186</v>
      </c>
      <c r="C2053" s="5" t="s">
        <v>89</v>
      </c>
      <c r="D2053" s="5" t="s">
        <v>11186</v>
      </c>
      <c r="E2053" s="6" t="s">
        <v>74</v>
      </c>
      <c r="F2053" s="6" t="s">
        <v>11187</v>
      </c>
      <c r="G2053" s="3" t="str">
        <f>IFERROR(__xludf.DUMMYFUNCTION("REGEXREPLACE(
D2053,
""([一-龯々]+)\[([^\]]+)\]"",
""&lt;ruby&gt;$1&lt;rt&gt;$2&lt;/rt&gt;&lt;/ruby&gt;""
)&amp;""&lt;br&gt;&lt;div class=""""audio""""&gt;[sound:""&amp;C2053&amp;"".mp3]&lt;/div&gt;"""),"デモ&lt;br&gt;&lt;div class=""audio""&gt;[sound:でも.mp3]&lt;/div&gt;")</f>
        <v>デモ&lt;br&gt;&lt;div class="audio"&gt;[sound:でも.mp3]&lt;/div&gt;</v>
      </c>
      <c r="H2053" s="3" t="str">
        <f t="shared" si="1"/>
        <v>(n): biểu tình</v>
      </c>
      <c r="I2053" s="6" t="s">
        <v>11188</v>
      </c>
      <c r="J2053" s="6" t="s">
        <v>11189</v>
      </c>
      <c r="K2053" s="7">
        <f t="shared" si="2"/>
        <v>0.8823732056</v>
      </c>
    </row>
    <row r="2054">
      <c r="A2054" s="4">
        <v>2054.0</v>
      </c>
      <c r="B2054" s="5" t="s">
        <v>11190</v>
      </c>
      <c r="C2054" s="5" t="s">
        <v>11191</v>
      </c>
      <c r="D2054" s="5" t="s">
        <v>11192</v>
      </c>
      <c r="E2054" s="6" t="s">
        <v>74</v>
      </c>
      <c r="F2054" s="6" t="s">
        <v>11193</v>
      </c>
      <c r="G2054" s="3" t="str">
        <f>IFERROR(__xludf.DUMMYFUNCTION("REGEXREPLACE(
D2054,
""([一-龯々]+)\[([^\]]+)\]"",
""&lt;ruby&gt;$1&lt;rt&gt;$2&lt;/rt&gt;&lt;/ruby&gt;""
)&amp;""&lt;br&gt;&lt;div class=""""audio""""&gt;[sound:""&amp;C2054&amp;"".mp3]&lt;/div&gt;"""),"&lt;ruby&gt;上下&lt;rt&gt;じょうげ&lt;/rt&gt;&lt;/ruby&gt;&lt;br&gt;&lt;div class=""audio""&gt;[sound:じょうげ.mp3]&lt;/div&gt;")</f>
        <v>&lt;ruby&gt;上下&lt;rt&gt;じょうげ&lt;/rt&gt;&lt;/ruby&gt;&lt;br&gt;&lt;div class="audio"&gt;[sound:じょうげ.mp3]&lt;/div&gt;</v>
      </c>
      <c r="H2054" s="3" t="str">
        <f t="shared" si="1"/>
        <v>(n): trên dưới</v>
      </c>
      <c r="I2054" s="6" t="s">
        <v>11194</v>
      </c>
      <c r="J2054" s="6" t="s">
        <v>11195</v>
      </c>
      <c r="K2054" s="7">
        <f t="shared" si="2"/>
        <v>0.4865225947</v>
      </c>
    </row>
    <row r="2055">
      <c r="A2055" s="4">
        <v>2055.0</v>
      </c>
      <c r="B2055" s="5" t="s">
        <v>11196</v>
      </c>
      <c r="C2055" s="5" t="s">
        <v>10218</v>
      </c>
      <c r="D2055" s="5" t="s">
        <v>11197</v>
      </c>
      <c r="E2055" s="6" t="s">
        <v>74</v>
      </c>
      <c r="F2055" s="6" t="s">
        <v>11198</v>
      </c>
      <c r="G2055" s="3" t="str">
        <f>IFERROR(__xludf.DUMMYFUNCTION("REGEXREPLACE(
D2055,
""([一-龯々]+)\[([^\]]+)\]"",
""&lt;ruby&gt;$1&lt;rt&gt;$2&lt;/rt&gt;&lt;/ruby&gt;""
)&amp;""&lt;br&gt;&lt;div class=""""audio""""&gt;[sound:""&amp;C2055&amp;"".mp3]&lt;/div&gt;"""),"&lt;ruby&gt;以降&lt;rt&gt;いこう&lt;/rt&gt;&lt;/ruby&gt;&lt;br&gt;&lt;div class=""audio""&gt;[sound:いこう.mp3]&lt;/div&gt;")</f>
        <v>&lt;ruby&gt;以降&lt;rt&gt;いこう&lt;/rt&gt;&lt;/ruby&gt;&lt;br&gt;&lt;div class="audio"&gt;[sound:いこう.mp3]&lt;/div&gt;</v>
      </c>
      <c r="H2055" s="3" t="str">
        <f t="shared" si="1"/>
        <v>(n): kể từ sau</v>
      </c>
      <c r="I2055" s="6" t="s">
        <v>11199</v>
      </c>
      <c r="J2055" s="6" t="s">
        <v>11200</v>
      </c>
      <c r="K2055" s="7">
        <f t="shared" si="2"/>
        <v>0.6064180088</v>
      </c>
    </row>
    <row r="2056">
      <c r="A2056" s="4">
        <v>2056.0</v>
      </c>
      <c r="B2056" s="5" t="s">
        <v>11201</v>
      </c>
      <c r="C2056" s="5" t="s">
        <v>11202</v>
      </c>
      <c r="D2056" s="5" t="s">
        <v>11203</v>
      </c>
      <c r="E2056" s="6" t="s">
        <v>74</v>
      </c>
      <c r="F2056" s="6" t="s">
        <v>11204</v>
      </c>
      <c r="G2056" s="3" t="str">
        <f>IFERROR(__xludf.DUMMYFUNCTION("REGEXREPLACE(
D2056,
""([一-龯々]+)\[([^\]]+)\]"",
""&lt;ruby&gt;$1&lt;rt&gt;$2&lt;/rt&gt;&lt;/ruby&gt;""
)&amp;""&lt;br&gt;&lt;div class=""""audio""""&gt;[sound:""&amp;C2056&amp;"".mp3]&lt;/div&gt;"""),"&lt;ruby&gt;承認&lt;rt&gt;しょうにん&lt;/rt&gt;&lt;/ruby&gt;&lt;br&gt;&lt;div class=""audio""&gt;[sound:しょうにん.mp3]&lt;/div&gt;")</f>
        <v>&lt;ruby&gt;承認&lt;rt&gt;しょうにん&lt;/rt&gt;&lt;/ruby&gt;&lt;br&gt;&lt;div class="audio"&gt;[sound:しょうにん.mp3]&lt;/div&gt;</v>
      </c>
      <c r="H2056" s="3" t="str">
        <f t="shared" si="1"/>
        <v>(n): thừa nhận</v>
      </c>
      <c r="I2056" s="6" t="s">
        <v>11205</v>
      </c>
      <c r="J2056" s="6" t="s">
        <v>11206</v>
      </c>
      <c r="K2056" s="7">
        <f t="shared" si="2"/>
        <v>0.3036404378</v>
      </c>
    </row>
    <row r="2057">
      <c r="A2057" s="4">
        <v>2057.0</v>
      </c>
      <c r="B2057" s="5" t="s">
        <v>11207</v>
      </c>
      <c r="C2057" s="5" t="s">
        <v>11208</v>
      </c>
      <c r="D2057" s="5" t="s">
        <v>11209</v>
      </c>
      <c r="E2057" s="6" t="s">
        <v>24</v>
      </c>
      <c r="F2057" s="6" t="s">
        <v>1805</v>
      </c>
      <c r="G2057" s="3" t="str">
        <f>IFERROR(__xludf.DUMMYFUNCTION("REGEXREPLACE(
D2057,
""([一-龯々]+)\[([^\]]+)\]"",
""&lt;ruby&gt;$1&lt;rt&gt;$2&lt;/rt&gt;&lt;/ruby&gt;""
)&amp;""&lt;br&gt;&lt;div class=""""audio""""&gt;[sound:""&amp;C2057&amp;"".mp3]&lt;/div&gt;"""),"&lt;ruby&gt;目指&lt;rt&gt;めざ&lt;/rt&gt;&lt;/ruby&gt;す&lt;br&gt;&lt;div class=""audio""&gt;[sound:めざす.mp3]&lt;/div&gt;")</f>
        <v>&lt;ruby&gt;目指&lt;rt&gt;めざ&lt;/rt&gt;&lt;/ruby&gt;す&lt;br&gt;&lt;div class="audio"&gt;[sound:めざす.mp3]&lt;/div&gt;</v>
      </c>
      <c r="H2057" s="3" t="str">
        <f t="shared" si="1"/>
        <v>(v): hướng tới</v>
      </c>
      <c r="I2057" s="6" t="s">
        <v>11210</v>
      </c>
      <c r="J2057" s="6" t="s">
        <v>11211</v>
      </c>
      <c r="K2057" s="7">
        <f t="shared" si="2"/>
        <v>0.1106137461</v>
      </c>
    </row>
    <row r="2058">
      <c r="A2058" s="4">
        <v>2058.0</v>
      </c>
      <c r="B2058" s="5" t="s">
        <v>11212</v>
      </c>
      <c r="C2058" s="5" t="s">
        <v>11213</v>
      </c>
      <c r="D2058" s="5" t="s">
        <v>11214</v>
      </c>
      <c r="E2058" s="6" t="s">
        <v>74</v>
      </c>
      <c r="F2058" s="6" t="s">
        <v>11215</v>
      </c>
      <c r="G2058" s="3" t="str">
        <f>IFERROR(__xludf.DUMMYFUNCTION("REGEXREPLACE(
D2058,
""([一-龯々]+)\[([^\]]+)\]"",
""&lt;ruby&gt;$1&lt;rt&gt;$2&lt;/rt&gt;&lt;/ruby&gt;""
)&amp;""&lt;br&gt;&lt;div class=""""audio""""&gt;[sound:""&amp;C2058&amp;"".mp3]&lt;/div&gt;"""),"&lt;ruby&gt;輸出&lt;rt&gt;ゆしゅつ&lt;/rt&gt;&lt;/ruby&gt;&lt;br&gt;&lt;div class=""audio""&gt;[sound:ゆしゅつ.mp3]&lt;/div&gt;")</f>
        <v>&lt;ruby&gt;輸出&lt;rt&gt;ゆしゅつ&lt;/rt&gt;&lt;/ruby&gt;&lt;br&gt;&lt;div class="audio"&gt;[sound:ゆしゅつ.mp3]&lt;/div&gt;</v>
      </c>
      <c r="H2058" s="3" t="str">
        <f t="shared" si="1"/>
        <v>(n): xuất khẩu</v>
      </c>
      <c r="I2058" s="6" t="s">
        <v>11216</v>
      </c>
      <c r="J2058" s="6" t="s">
        <v>11217</v>
      </c>
      <c r="K2058" s="7">
        <f t="shared" si="2"/>
        <v>0.7998571738</v>
      </c>
    </row>
    <row r="2059">
      <c r="A2059" s="4">
        <v>2059.0</v>
      </c>
      <c r="B2059" s="5" t="s">
        <v>11218</v>
      </c>
      <c r="C2059" s="5" t="s">
        <v>11219</v>
      </c>
      <c r="D2059" s="5" t="s">
        <v>11220</v>
      </c>
      <c r="E2059" s="6" t="s">
        <v>24</v>
      </c>
      <c r="F2059" s="6" t="s">
        <v>11221</v>
      </c>
      <c r="G2059" s="3" t="str">
        <f>IFERROR(__xludf.DUMMYFUNCTION("REGEXREPLACE(
D2059,
""([一-龯々]+)\[([^\]]+)\]"",
""&lt;ruby&gt;$1&lt;rt&gt;$2&lt;/rt&gt;&lt;/ruby&gt;""
)&amp;""&lt;br&gt;&lt;div class=""""audio""""&gt;[sound:""&amp;C2059&amp;"".mp3]&lt;/div&gt;"""),"&lt;ruby&gt;逃&lt;rt&gt;に&lt;/rt&gt;&lt;/ruby&gt;げる&lt;br&gt;&lt;div class=""audio""&gt;[sound:にげる.mp3]&lt;/div&gt;")</f>
        <v>&lt;ruby&gt;逃&lt;rt&gt;に&lt;/rt&gt;&lt;/ruby&gt;げる&lt;br&gt;&lt;div class="audio"&gt;[sound:にげる.mp3]&lt;/div&gt;</v>
      </c>
      <c r="H2059" s="3" t="str">
        <f t="shared" si="1"/>
        <v>(v): chạy trốn</v>
      </c>
      <c r="I2059" s="6" t="s">
        <v>11222</v>
      </c>
      <c r="J2059" s="6" t="s">
        <v>11223</v>
      </c>
      <c r="K2059" s="7">
        <f t="shared" si="2"/>
        <v>0.6689562185</v>
      </c>
    </row>
    <row r="2060">
      <c r="A2060" s="4">
        <v>2060.0</v>
      </c>
      <c r="B2060" s="5" t="s">
        <v>11224</v>
      </c>
      <c r="C2060" s="5" t="s">
        <v>11225</v>
      </c>
      <c r="D2060" s="5" t="s">
        <v>11226</v>
      </c>
      <c r="E2060" s="6" t="s">
        <v>74</v>
      </c>
      <c r="F2060" s="6" t="s">
        <v>11227</v>
      </c>
      <c r="G2060" s="3" t="str">
        <f>IFERROR(__xludf.DUMMYFUNCTION("REGEXREPLACE(
D2060,
""([一-龯々]+)\[([^\]]+)\]"",
""&lt;ruby&gt;$1&lt;rt&gt;$2&lt;/rt&gt;&lt;/ruby&gt;""
)&amp;""&lt;br&gt;&lt;div class=""""audio""""&gt;[sound:""&amp;C2060&amp;"".mp3]&lt;/div&gt;"""),"&lt;ruby&gt;尊敬&lt;rt&gt;そんけい&lt;/rt&gt;&lt;/ruby&gt;&lt;br&gt;&lt;div class=""audio""&gt;[sound:そんけい.mp3]&lt;/div&gt;")</f>
        <v>&lt;ruby&gt;尊敬&lt;rt&gt;そんけい&lt;/rt&gt;&lt;/ruby&gt;&lt;br&gt;&lt;div class="audio"&gt;[sound:そんけい.mp3]&lt;/div&gt;</v>
      </c>
      <c r="H2060" s="3" t="str">
        <f t="shared" si="1"/>
        <v>(n): tôn kính</v>
      </c>
      <c r="I2060" s="6" t="s">
        <v>11228</v>
      </c>
      <c r="J2060" s="6" t="s">
        <v>11229</v>
      </c>
      <c r="K2060" s="7">
        <f t="shared" si="2"/>
        <v>0.566446019</v>
      </c>
    </row>
    <row r="2061">
      <c r="A2061" s="4">
        <v>2061.0</v>
      </c>
      <c r="B2061" s="5" t="s">
        <v>11230</v>
      </c>
      <c r="C2061" s="5" t="s">
        <v>11231</v>
      </c>
      <c r="D2061" s="5" t="s">
        <v>11232</v>
      </c>
      <c r="E2061" s="6" t="s">
        <v>24</v>
      </c>
      <c r="F2061" s="6" t="s">
        <v>3455</v>
      </c>
      <c r="G2061" s="3" t="str">
        <f>IFERROR(__xludf.DUMMYFUNCTION("REGEXREPLACE(
D2061,
""([一-龯々]+)\[([^\]]+)\]"",
""&lt;ruby&gt;$1&lt;rt&gt;$2&lt;/rt&gt;&lt;/ruby&gt;""
)&amp;""&lt;br&gt;&lt;div class=""""audio""""&gt;[sound:""&amp;C2061&amp;"".mp3]&lt;/div&gt;"""),"&lt;ruby&gt;広&lt;rt&gt;ひろ&lt;/rt&gt;&lt;/ruby&gt;める&lt;br&gt;&lt;div class=""audio""&gt;[sound:ひろめる.mp3]&lt;/div&gt;")</f>
        <v>&lt;ruby&gt;広&lt;rt&gt;ひろ&lt;/rt&gt;&lt;/ruby&gt;める&lt;br&gt;&lt;div class="audio"&gt;[sound:ひろめる.mp3]&lt;/div&gt;</v>
      </c>
      <c r="H2061" s="3" t="str">
        <f t="shared" si="1"/>
        <v>(v): phổ biến</v>
      </c>
      <c r="I2061" s="6" t="s">
        <v>11233</v>
      </c>
      <c r="J2061" s="6" t="s">
        <v>11234</v>
      </c>
      <c r="K2061" s="7">
        <f t="shared" si="2"/>
        <v>0.06212170386</v>
      </c>
    </row>
    <row r="2062">
      <c r="A2062" s="4">
        <v>2062.0</v>
      </c>
      <c r="B2062" s="5" t="s">
        <v>11235</v>
      </c>
      <c r="C2062" s="5" t="s">
        <v>11236</v>
      </c>
      <c r="D2062" s="5" t="s">
        <v>11237</v>
      </c>
      <c r="E2062" s="6" t="s">
        <v>74</v>
      </c>
      <c r="F2062" s="6" t="s">
        <v>11238</v>
      </c>
      <c r="G2062" s="3" t="str">
        <f>IFERROR(__xludf.DUMMYFUNCTION("REGEXREPLACE(
D2062,
""([一-龯々]+)\[([^\]]+)\]"",
""&lt;ruby&gt;$1&lt;rt&gt;$2&lt;/rt&gt;&lt;/ruby&gt;""
)&amp;""&lt;br&gt;&lt;div class=""""audio""""&gt;[sound:""&amp;C2062&amp;"".mp3]&lt;/div&gt;"""),"&lt;ruby&gt;応用&lt;rt&gt;おうよう&lt;/rt&gt;&lt;/ruby&gt;&lt;br&gt;&lt;div class=""audio""&gt;[sound:おうよう.mp3]&lt;/div&gt;")</f>
        <v>&lt;ruby&gt;応用&lt;rt&gt;おうよう&lt;/rt&gt;&lt;/ruby&gt;&lt;br&gt;&lt;div class="audio"&gt;[sound:おうよう.mp3]&lt;/div&gt;</v>
      </c>
      <c r="H2062" s="3" t="str">
        <f t="shared" si="1"/>
        <v>(n): ứng dụng</v>
      </c>
      <c r="I2062" s="6" t="s">
        <v>11239</v>
      </c>
      <c r="J2062" s="6" t="s">
        <v>11240</v>
      </c>
      <c r="K2062" s="7">
        <f t="shared" si="2"/>
        <v>0.6084434427</v>
      </c>
    </row>
    <row r="2063">
      <c r="A2063" s="4">
        <v>2063.0</v>
      </c>
      <c r="B2063" s="5" t="s">
        <v>11241</v>
      </c>
      <c r="C2063" s="5" t="s">
        <v>11242</v>
      </c>
      <c r="D2063" s="5" t="s">
        <v>11243</v>
      </c>
      <c r="E2063" s="6" t="s">
        <v>85</v>
      </c>
      <c r="F2063" s="6" t="s">
        <v>11244</v>
      </c>
      <c r="G2063" s="3" t="str">
        <f>IFERROR(__xludf.DUMMYFUNCTION("REGEXREPLACE(
D2063,
""([一-龯々]+)\[([^\]]+)\]"",
""&lt;ruby&gt;$1&lt;rt&gt;$2&lt;/rt&gt;&lt;/ruby&gt;""
)&amp;""&lt;br&gt;&lt;div class=""""audio""""&gt;[sound:""&amp;C2063&amp;"".mp3]&lt;/div&gt;"""),"&lt;ruby&gt;折角&lt;rt&gt;せっかく&lt;/rt&gt;&lt;/ruby&gt;&lt;br&gt;&lt;div class=""audio""&gt;[sound:せっかく.mp3]&lt;/div&gt;")</f>
        <v>&lt;ruby&gt;折角&lt;rt&gt;せっかく&lt;/rt&gt;&lt;/ruby&gt;&lt;br&gt;&lt;div class="audio"&gt;[sound:せっかく.mp3]&lt;/div&gt;</v>
      </c>
      <c r="H2063" s="3" t="str">
        <f t="shared" si="1"/>
        <v>(adv): cất công</v>
      </c>
      <c r="I2063" s="6" t="s">
        <v>11245</v>
      </c>
      <c r="J2063" s="6" t="s">
        <v>11246</v>
      </c>
      <c r="K2063" s="7">
        <f t="shared" si="2"/>
        <v>0.5117783617</v>
      </c>
    </row>
    <row r="2064">
      <c r="A2064" s="4">
        <v>2064.0</v>
      </c>
      <c r="B2064" s="5" t="s">
        <v>11247</v>
      </c>
      <c r="C2064" s="5" t="s">
        <v>11248</v>
      </c>
      <c r="D2064" s="5" t="s">
        <v>11249</v>
      </c>
      <c r="E2064" s="6" t="s">
        <v>74</v>
      </c>
      <c r="F2064" s="6" t="s">
        <v>11250</v>
      </c>
      <c r="G2064" s="3" t="str">
        <f>IFERROR(__xludf.DUMMYFUNCTION("REGEXREPLACE(
D2064,
""([一-龯々]+)\[([^\]]+)\]"",
""&lt;ruby&gt;$1&lt;rt&gt;$2&lt;/rt&gt;&lt;/ruby&gt;""
)&amp;""&lt;br&gt;&lt;div class=""""audio""""&gt;[sound:""&amp;C2064&amp;"".mp3]&lt;/div&gt;"""),"&lt;ruby&gt;抵抗&lt;rt&gt;ていこう&lt;/rt&gt;&lt;/ruby&gt;&lt;br&gt;&lt;div class=""audio""&gt;[sound:ていこう.mp3]&lt;/div&gt;")</f>
        <v>&lt;ruby&gt;抵抗&lt;rt&gt;ていこう&lt;/rt&gt;&lt;/ruby&gt;&lt;br&gt;&lt;div class="audio"&gt;[sound:ていこう.mp3]&lt;/div&gt;</v>
      </c>
      <c r="H2064" s="3" t="str">
        <f t="shared" si="1"/>
        <v>(n): đề kháng</v>
      </c>
      <c r="I2064" s="6" t="s">
        <v>11251</v>
      </c>
      <c r="J2064" s="6" t="s">
        <v>11252</v>
      </c>
      <c r="K2064" s="7">
        <f t="shared" si="2"/>
        <v>0.8294179837</v>
      </c>
    </row>
    <row r="2065">
      <c r="A2065" s="4">
        <v>2065.0</v>
      </c>
      <c r="B2065" s="5" t="s">
        <v>11253</v>
      </c>
      <c r="C2065" s="5" t="s">
        <v>11254</v>
      </c>
      <c r="D2065" s="5" t="s">
        <v>11255</v>
      </c>
      <c r="E2065" s="6" t="s">
        <v>11</v>
      </c>
      <c r="F2065" s="6" t="s">
        <v>11256</v>
      </c>
      <c r="G2065" s="3" t="str">
        <f>IFERROR(__xludf.DUMMYFUNCTION("REGEXREPLACE(
D2065,
""([一-龯々]+)\[([^\]]+)\]"",
""&lt;ruby&gt;$1&lt;rt&gt;$2&lt;/rt&gt;&lt;/ruby&gt;""
)&amp;""&lt;br&gt;&lt;div class=""""audio""""&gt;[sound:""&amp;C2065&amp;"".mp3]&lt;/div&gt;"""),"&lt;ruby&gt;真面目&lt;rt&gt;まじめ&lt;/rt&gt;&lt;/ruby&gt;&lt;br&gt;&lt;div class=""audio""&gt;[sound:まじめ.mp3]&lt;/div&gt;")</f>
        <v>&lt;ruby&gt;真面目&lt;rt&gt;まじめ&lt;/rt&gt;&lt;/ruby&gt;&lt;br&gt;&lt;div class="audio"&gt;[sound:まじめ.mp3]&lt;/div&gt;</v>
      </c>
      <c r="H2065" s="3" t="str">
        <f t="shared" si="1"/>
        <v>(adj): chăm chỉ</v>
      </c>
      <c r="I2065" s="6" t="s">
        <v>11257</v>
      </c>
      <c r="J2065" s="6" t="s">
        <v>11258</v>
      </c>
      <c r="K2065" s="7">
        <f t="shared" si="2"/>
        <v>0.8056331899</v>
      </c>
    </row>
    <row r="2066">
      <c r="A2066" s="4">
        <v>2066.0</v>
      </c>
      <c r="B2066" s="5" t="s">
        <v>11259</v>
      </c>
      <c r="C2066" s="5" t="s">
        <v>8545</v>
      </c>
      <c r="D2066" s="5" t="s">
        <v>11260</v>
      </c>
      <c r="E2066" s="6" t="s">
        <v>24</v>
      </c>
      <c r="F2066" s="6" t="s">
        <v>8547</v>
      </c>
      <c r="G2066" s="3" t="str">
        <f>IFERROR(__xludf.DUMMYFUNCTION("REGEXREPLACE(
D2066,
""([一-龯々]+)\[([^\]]+)\]"",
""&lt;ruby&gt;$1&lt;rt&gt;$2&lt;/rt&gt;&lt;/ruby&gt;""
)&amp;""&lt;br&gt;&lt;div class=""""audio""""&gt;[sound:""&amp;C2066&amp;"".mp3]&lt;/div&gt;"""),"&lt;ruby&gt;越&lt;rt&gt;こ&lt;/rt&gt;&lt;/ruby&gt;える&lt;br&gt;&lt;div class=""audio""&gt;[sound:こえる.mp3]&lt;/div&gt;")</f>
        <v>&lt;ruby&gt;越&lt;rt&gt;こ&lt;/rt&gt;&lt;/ruby&gt;える&lt;br&gt;&lt;div class="audio"&gt;[sound:こえる.mp3]&lt;/div&gt;</v>
      </c>
      <c r="H2066" s="3" t="str">
        <f t="shared" si="1"/>
        <v>(v): vượt qua</v>
      </c>
      <c r="I2066" s="6" t="s">
        <v>11261</v>
      </c>
      <c r="J2066" s="6" t="s">
        <v>11262</v>
      </c>
      <c r="K2066" s="7">
        <f t="shared" si="2"/>
        <v>0.04518627936</v>
      </c>
    </row>
    <row r="2067">
      <c r="A2067" s="4">
        <v>2067.0</v>
      </c>
      <c r="B2067" s="5" t="s">
        <v>11263</v>
      </c>
      <c r="C2067" s="5" t="s">
        <v>11263</v>
      </c>
      <c r="D2067" s="5" t="s">
        <v>11263</v>
      </c>
      <c r="E2067" s="6" t="s">
        <v>85</v>
      </c>
      <c r="F2067" s="6" t="s">
        <v>11264</v>
      </c>
      <c r="G2067" s="3" t="str">
        <f>IFERROR(__xludf.DUMMYFUNCTION("REGEXREPLACE(
D2067,
""([一-龯々]+)\[([^\]]+)\]"",
""&lt;ruby&gt;$1&lt;rt&gt;$2&lt;/rt&gt;&lt;/ruby&gt;""
)&amp;""&lt;br&gt;&lt;div class=""""audio""""&gt;[sound:""&amp;C2067&amp;"".mp3]&lt;/div&gt;"""),"せめて&lt;br&gt;&lt;div class=""audio""&gt;[sound:せめて.mp3]&lt;/div&gt;")</f>
        <v>せめて&lt;br&gt;&lt;div class="audio"&gt;[sound:せめて.mp3]&lt;/div&gt;</v>
      </c>
      <c r="H2067" s="3" t="str">
        <f t="shared" si="1"/>
        <v>(adv): ít nhất</v>
      </c>
      <c r="I2067" s="6" t="s">
        <v>11265</v>
      </c>
      <c r="J2067" s="6" t="s">
        <v>11266</v>
      </c>
      <c r="K2067" s="7">
        <f t="shared" si="2"/>
        <v>0.03675955657</v>
      </c>
    </row>
    <row r="2068">
      <c r="A2068" s="4">
        <v>2068.0</v>
      </c>
      <c r="B2068" s="5" t="s">
        <v>11267</v>
      </c>
      <c r="C2068" s="5" t="s">
        <v>11268</v>
      </c>
      <c r="D2068" s="5" t="s">
        <v>11269</v>
      </c>
      <c r="E2068" s="6" t="s">
        <v>44</v>
      </c>
      <c r="F2068" s="6" t="s">
        <v>11270</v>
      </c>
      <c r="G2068" s="3" t="str">
        <f>IFERROR(__xludf.DUMMYFUNCTION("REGEXREPLACE(
D2068,
""([一-龯々]+)\[([^\]]+)\]"",
""&lt;ruby&gt;$1&lt;rt&gt;$2&lt;/rt&gt;&lt;/ruby&gt;""
)&amp;""&lt;br&gt;&lt;div class=""""audio""""&gt;[sound:""&amp;C2068&amp;"".mp3]&lt;/div&gt;"""),"&lt;ruby&gt;誰&lt;rt&gt;だれ&lt;/rt&gt;&lt;/ruby&gt;か&lt;br&gt;&lt;div class=""audio""&gt;[sound:だれか.mp3]&lt;/div&gt;")</f>
        <v>&lt;ruby&gt;誰&lt;rt&gt;だれ&lt;/rt&gt;&lt;/ruby&gt;か&lt;br&gt;&lt;div class="audio"&gt;[sound:だれか.mp3]&lt;/div&gt;</v>
      </c>
      <c r="H2068" s="3" t="str">
        <f t="shared" si="1"/>
        <v>(pron): ai đó</v>
      </c>
      <c r="I2068" s="6" t="s">
        <v>11271</v>
      </c>
      <c r="J2068" s="6" t="s">
        <v>11272</v>
      </c>
      <c r="K2068" s="7">
        <f t="shared" si="2"/>
        <v>0.7742276325</v>
      </c>
    </row>
    <row r="2069">
      <c r="A2069" s="4">
        <v>2069.0</v>
      </c>
      <c r="B2069" s="5" t="s">
        <v>11273</v>
      </c>
      <c r="C2069" s="5" t="s">
        <v>11274</v>
      </c>
      <c r="D2069" s="5" t="s">
        <v>11275</v>
      </c>
      <c r="E2069" s="6" t="s">
        <v>24</v>
      </c>
      <c r="F2069" s="6" t="s">
        <v>728</v>
      </c>
      <c r="G2069" s="3" t="str">
        <f>IFERROR(__xludf.DUMMYFUNCTION("REGEXREPLACE(
D2069,
""([一-龯々]+)\[([^\]]+)\]"",
""&lt;ruby&gt;$1&lt;rt&gt;$2&lt;/rt&gt;&lt;/ruby&gt;""
)&amp;""&lt;br&gt;&lt;div class=""""audio""""&gt;[sound:""&amp;C2069&amp;"".mp3]&lt;/div&gt;"""),"&lt;ruby&gt;通&lt;rt&gt;つう&lt;/rt&gt;&lt;/ruby&gt;じる&lt;br&gt;&lt;div class=""audio""&gt;[sound:つうじる.mp3]&lt;/div&gt;")</f>
        <v>&lt;ruby&gt;通&lt;rt&gt;つう&lt;/rt&gt;&lt;/ruby&gt;じる&lt;br&gt;&lt;div class="audio"&gt;[sound:つうじる.mp3]&lt;/div&gt;</v>
      </c>
      <c r="H2069" s="3" t="str">
        <f t="shared" si="1"/>
        <v>(v): hiểu</v>
      </c>
      <c r="I2069" s="6" t="s">
        <v>11276</v>
      </c>
      <c r="J2069" s="6" t="s">
        <v>11277</v>
      </c>
      <c r="K2069" s="7">
        <f t="shared" si="2"/>
        <v>0.7123431202</v>
      </c>
    </row>
    <row r="2070">
      <c r="A2070" s="4">
        <v>2070.0</v>
      </c>
      <c r="B2070" s="5" t="s">
        <v>11278</v>
      </c>
      <c r="C2070" s="5" t="s">
        <v>11279</v>
      </c>
      <c r="D2070" s="5" t="s">
        <v>11278</v>
      </c>
      <c r="E2070" s="6" t="s">
        <v>74</v>
      </c>
      <c r="F2070" s="6" t="s">
        <v>11280</v>
      </c>
      <c r="G2070" s="3" t="str">
        <f>IFERROR(__xludf.DUMMYFUNCTION("REGEXREPLACE(
D2070,
""([一-龯々]+)\[([^\]]+)\]"",
""&lt;ruby&gt;$1&lt;rt&gt;$2&lt;/rt&gt;&lt;/ruby&gt;""
)&amp;""&lt;br&gt;&lt;div class=""""audio""""&gt;[sound:""&amp;C2070&amp;"".mp3]&lt;/div&gt;"""),"アルコール&lt;br&gt;&lt;div class=""audio""&gt;[sound:あるこーる.mp3]&lt;/div&gt;")</f>
        <v>アルコール&lt;br&gt;&lt;div class="audio"&gt;[sound:あるこーる.mp3]&lt;/div&gt;</v>
      </c>
      <c r="H2070" s="3" t="str">
        <f t="shared" si="1"/>
        <v>(n): cồn</v>
      </c>
      <c r="I2070" s="6" t="s">
        <v>11281</v>
      </c>
      <c r="J2070" s="6" t="s">
        <v>11282</v>
      </c>
      <c r="K2070" s="7">
        <f t="shared" si="2"/>
        <v>0.7467189838</v>
      </c>
    </row>
    <row r="2071">
      <c r="A2071" s="4">
        <v>2071.0</v>
      </c>
      <c r="B2071" s="5" t="s">
        <v>11283</v>
      </c>
      <c r="C2071" s="5" t="s">
        <v>11284</v>
      </c>
      <c r="D2071" s="5" t="s">
        <v>11285</v>
      </c>
      <c r="E2071" s="6" t="s">
        <v>74</v>
      </c>
      <c r="F2071" s="6" t="s">
        <v>332</v>
      </c>
      <c r="G2071" s="3" t="str">
        <f>IFERROR(__xludf.DUMMYFUNCTION("REGEXREPLACE(
D2071,
""([一-龯々]+)\[([^\]]+)\]"",
""&lt;ruby&gt;$1&lt;rt&gt;$2&lt;/rt&gt;&lt;/ruby&gt;""
)&amp;""&lt;br&gt;&lt;div class=""""audio""""&gt;[sound:""&amp;C2071&amp;"".mp3]&lt;/div&gt;"""),"&lt;ruby&gt;宅&lt;rt&gt;たく&lt;/rt&gt;&lt;/ruby&gt;&lt;br&gt;&lt;div class=""audio""&gt;[sound:たく.mp3]&lt;/div&gt;")</f>
        <v>&lt;ruby&gt;宅&lt;rt&gt;たく&lt;/rt&gt;&lt;/ruby&gt;&lt;br&gt;&lt;div class="audio"&gt;[sound:たく.mp3]&lt;/div&gt;</v>
      </c>
      <c r="H2071" s="3" t="str">
        <f t="shared" si="1"/>
        <v>(n): nhà</v>
      </c>
      <c r="I2071" s="6" t="s">
        <v>11286</v>
      </c>
      <c r="J2071" s="6" t="s">
        <v>11287</v>
      </c>
      <c r="K2071" s="7">
        <f t="shared" si="2"/>
        <v>0.9551119746</v>
      </c>
    </row>
    <row r="2072">
      <c r="A2072" s="4">
        <v>2072.0</v>
      </c>
      <c r="B2072" s="5" t="s">
        <v>11288</v>
      </c>
      <c r="C2072" s="5" t="s">
        <v>11289</v>
      </c>
      <c r="D2072" s="5" t="s">
        <v>11290</v>
      </c>
      <c r="E2072" s="6" t="s">
        <v>24</v>
      </c>
      <c r="F2072" s="6" t="s">
        <v>9852</v>
      </c>
      <c r="G2072" s="3" t="str">
        <f>IFERROR(__xludf.DUMMYFUNCTION("REGEXREPLACE(
D2072,
""([一-龯々]+)\[([^\]]+)\]"",
""&lt;ruby&gt;$1&lt;rt&gt;$2&lt;/rt&gt;&lt;/ruby&gt;""
)&amp;""&lt;br&gt;&lt;div class=""""audio""""&gt;[sound:""&amp;C2072&amp;"".mp3]&lt;/div&gt;"""),"&lt;ruby&gt;試&lt;rt&gt;ため&lt;/rt&gt;&lt;/ruby&gt;す&lt;br&gt;&lt;div class=""audio""&gt;[sound:ためす.mp3]&lt;/div&gt;")</f>
        <v>&lt;ruby&gt;試&lt;rt&gt;ため&lt;/rt&gt;&lt;/ruby&gt;す&lt;br&gt;&lt;div class="audio"&gt;[sound:ためす.mp3]&lt;/div&gt;</v>
      </c>
      <c r="H2072" s="3" t="str">
        <f t="shared" si="1"/>
        <v>(v): thử</v>
      </c>
      <c r="I2072" s="6" t="s">
        <v>11291</v>
      </c>
      <c r="J2072" s="6" t="s">
        <v>11292</v>
      </c>
      <c r="K2072" s="7">
        <f t="shared" si="2"/>
        <v>0.1357775956</v>
      </c>
    </row>
    <row r="2073">
      <c r="A2073" s="4">
        <v>2073.0</v>
      </c>
      <c r="B2073" s="5" t="s">
        <v>11293</v>
      </c>
      <c r="C2073" s="5" t="s">
        <v>11294</v>
      </c>
      <c r="D2073" s="5" t="s">
        <v>11295</v>
      </c>
      <c r="E2073" s="6" t="s">
        <v>74</v>
      </c>
      <c r="F2073" s="6" t="s">
        <v>11296</v>
      </c>
      <c r="G2073" s="3" t="str">
        <f>IFERROR(__xludf.DUMMYFUNCTION("REGEXREPLACE(
D2073,
""([一-龯々]+)\[([^\]]+)\]"",
""&lt;ruby&gt;$1&lt;rt&gt;$2&lt;/rt&gt;&lt;/ruby&gt;""
)&amp;""&lt;br&gt;&lt;div class=""""audio""""&gt;[sound:""&amp;C2073&amp;"".mp3]&lt;/div&gt;"""),"&lt;ruby&gt;男&lt;rt&gt;おとこ&lt;/rt&gt;&lt;/ruby&gt;の&lt;ruby&gt;人&lt;rt&gt;ひと&lt;/rt&gt;&lt;/ruby&gt;&lt;br&gt;&lt;div class=""audio""&gt;[sound:おとこのひと.mp3]&lt;/div&gt;")</f>
        <v>&lt;ruby&gt;男&lt;rt&gt;おとこ&lt;/rt&gt;&lt;/ruby&gt;の&lt;ruby&gt;人&lt;rt&gt;ひと&lt;/rt&gt;&lt;/ruby&gt;&lt;br&gt;&lt;div class="audio"&gt;[sound:おとこのひと.mp3]&lt;/div&gt;</v>
      </c>
      <c r="H2073" s="3" t="str">
        <f t="shared" si="1"/>
        <v>(n): người đàn ông</v>
      </c>
      <c r="I2073" s="6" t="s">
        <v>11297</v>
      </c>
      <c r="J2073" s="6" t="s">
        <v>11298</v>
      </c>
      <c r="K2073" s="7">
        <f t="shared" si="2"/>
        <v>0.8568261021</v>
      </c>
    </row>
    <row r="2074">
      <c r="A2074" s="4">
        <v>2074.0</v>
      </c>
      <c r="B2074" s="5" t="s">
        <v>11299</v>
      </c>
      <c r="C2074" s="5" t="s">
        <v>11300</v>
      </c>
      <c r="D2074" s="5" t="s">
        <v>11301</v>
      </c>
      <c r="E2074" s="6" t="s">
        <v>74</v>
      </c>
      <c r="F2074" s="6" t="s">
        <v>5888</v>
      </c>
      <c r="G2074" s="3" t="str">
        <f>IFERROR(__xludf.DUMMYFUNCTION("REGEXREPLACE(
D2074,
""([一-龯々]+)\[([^\]]+)\]"",
""&lt;ruby&gt;$1&lt;rt&gt;$2&lt;/rt&gt;&lt;/ruby&gt;""
)&amp;""&lt;br&gt;&lt;div class=""""audio""""&gt;[sound:""&amp;C2074&amp;"".mp3]&lt;/div&gt;"""),"&lt;ruby&gt;番組&lt;rt&gt;ばんぐみ&lt;/rt&gt;&lt;/ruby&gt;&lt;br&gt;&lt;div class=""audio""&gt;[sound:ばんぐみ.mp3]&lt;/div&gt;")</f>
        <v>&lt;ruby&gt;番組&lt;rt&gt;ばんぐみ&lt;/rt&gt;&lt;/ruby&gt;&lt;br&gt;&lt;div class="audio"&gt;[sound:ばんぐみ.mp3]&lt;/div&gt;</v>
      </c>
      <c r="H2074" s="3" t="str">
        <f t="shared" si="1"/>
        <v>(n): chương trình</v>
      </c>
      <c r="I2074" s="6" t="s">
        <v>11302</v>
      </c>
      <c r="J2074" s="6" t="s">
        <v>11303</v>
      </c>
      <c r="K2074" s="7">
        <f t="shared" si="2"/>
        <v>0.2454134196</v>
      </c>
    </row>
    <row r="2075">
      <c r="A2075" s="4">
        <v>2075.0</v>
      </c>
      <c r="B2075" s="5" t="s">
        <v>11304</v>
      </c>
      <c r="C2075" s="5" t="s">
        <v>11305</v>
      </c>
      <c r="D2075" s="5" t="s">
        <v>11306</v>
      </c>
      <c r="E2075" s="6" t="s">
        <v>74</v>
      </c>
      <c r="F2075" s="6" t="s">
        <v>11307</v>
      </c>
      <c r="G2075" s="3" t="str">
        <f>IFERROR(__xludf.DUMMYFUNCTION("REGEXREPLACE(
D2075,
""([一-龯々]+)\[([^\]]+)\]"",
""&lt;ruby&gt;$1&lt;rt&gt;$2&lt;/rt&gt;&lt;/ruby&gt;""
)&amp;""&lt;br&gt;&lt;div class=""""audio""""&gt;[sound:""&amp;C2075&amp;"".mp3]&lt;/div&gt;"""),"&lt;ruby&gt;緑&lt;rt&gt;みどり&lt;/rt&gt;&lt;/ruby&gt;&lt;br&gt;&lt;div class=""audio""&gt;[sound:みどり.mp3]&lt;/div&gt;")</f>
        <v>&lt;ruby&gt;緑&lt;rt&gt;みどり&lt;/rt&gt;&lt;/ruby&gt;&lt;br&gt;&lt;div class="audio"&gt;[sound:みどり.mp3]&lt;/div&gt;</v>
      </c>
      <c r="H2075" s="3" t="str">
        <f t="shared" si="1"/>
        <v>(n): màu xanh lá</v>
      </c>
      <c r="I2075" s="6" t="s">
        <v>11308</v>
      </c>
      <c r="J2075" s="6" t="s">
        <v>11309</v>
      </c>
      <c r="K2075" s="7">
        <f t="shared" si="2"/>
        <v>0.9318614586</v>
      </c>
    </row>
    <row r="2076">
      <c r="A2076" s="4">
        <v>2076.0</v>
      </c>
      <c r="B2076" s="5" t="s">
        <v>11310</v>
      </c>
      <c r="C2076" s="5" t="s">
        <v>11311</v>
      </c>
      <c r="D2076" s="5" t="s">
        <v>11312</v>
      </c>
      <c r="E2076" s="6" t="s">
        <v>74</v>
      </c>
      <c r="F2076" s="6" t="s">
        <v>11313</v>
      </c>
      <c r="G2076" s="3" t="str">
        <f>IFERROR(__xludf.DUMMYFUNCTION("REGEXREPLACE(
D2076,
""([一-龯々]+)\[([^\]]+)\]"",
""&lt;ruby&gt;$1&lt;rt&gt;$2&lt;/rt&gt;&lt;/ruby&gt;""
)&amp;""&lt;br&gt;&lt;div class=""""audio""""&gt;[sound:""&amp;C2076&amp;"".mp3]&lt;/div&gt;"""),"&lt;ruby&gt;挑戦&lt;rt&gt;ちょうせん&lt;/rt&gt;&lt;/ruby&gt;&lt;br&gt;&lt;div class=""audio""&gt;[sound:ちょうせん.mp3]&lt;/div&gt;")</f>
        <v>&lt;ruby&gt;挑戦&lt;rt&gt;ちょうせん&lt;/rt&gt;&lt;/ruby&gt;&lt;br&gt;&lt;div class="audio"&gt;[sound:ちょうせん.mp3]&lt;/div&gt;</v>
      </c>
      <c r="H2076" s="3" t="str">
        <f t="shared" si="1"/>
        <v>(n): thử thách</v>
      </c>
      <c r="I2076" s="6" t="s">
        <v>11314</v>
      </c>
      <c r="J2076" s="6" t="s">
        <v>11315</v>
      </c>
      <c r="K2076" s="7">
        <f t="shared" si="2"/>
        <v>0.669741592</v>
      </c>
    </row>
    <row r="2077">
      <c r="A2077" s="4">
        <v>2077.0</v>
      </c>
      <c r="B2077" s="5" t="s">
        <v>11316</v>
      </c>
      <c r="C2077" s="5" t="s">
        <v>11317</v>
      </c>
      <c r="D2077" s="5" t="s">
        <v>11318</v>
      </c>
      <c r="E2077" s="6" t="s">
        <v>74</v>
      </c>
      <c r="F2077" s="6" t="s">
        <v>11319</v>
      </c>
      <c r="G2077" s="3" t="str">
        <f>IFERROR(__xludf.DUMMYFUNCTION("REGEXREPLACE(
D2077,
""([一-龯々]+)\[([^\]]+)\]"",
""&lt;ruby&gt;$1&lt;rt&gt;$2&lt;/rt&gt;&lt;/ruby&gt;""
)&amp;""&lt;br&gt;&lt;div class=""""audio""""&gt;[sound:""&amp;C2077&amp;"".mp3]&lt;/div&gt;"""),"&lt;ruby&gt;輸入&lt;rt&gt;ゆにゅう&lt;/rt&gt;&lt;/ruby&gt;&lt;br&gt;&lt;div class=""audio""&gt;[sound:ゆにゅう.mp3]&lt;/div&gt;")</f>
        <v>&lt;ruby&gt;輸入&lt;rt&gt;ゆにゅう&lt;/rt&gt;&lt;/ruby&gt;&lt;br&gt;&lt;div class="audio"&gt;[sound:ゆにゅう.mp3]&lt;/div&gt;</v>
      </c>
      <c r="H2077" s="3" t="str">
        <f t="shared" si="1"/>
        <v>(n): nhập khẩu</v>
      </c>
      <c r="I2077" s="6" t="s">
        <v>11320</v>
      </c>
      <c r="J2077" s="6" t="s">
        <v>11321</v>
      </c>
      <c r="K2077" s="7">
        <f t="shared" si="2"/>
        <v>0.9478314288</v>
      </c>
    </row>
    <row r="2078">
      <c r="A2078" s="4">
        <v>2078.0</v>
      </c>
      <c r="B2078" s="5" t="s">
        <v>11322</v>
      </c>
      <c r="C2078" s="5" t="s">
        <v>11323</v>
      </c>
      <c r="D2078" s="5" t="s">
        <v>11322</v>
      </c>
      <c r="E2078" s="6" t="s">
        <v>74</v>
      </c>
      <c r="F2078" s="6" t="s">
        <v>1162</v>
      </c>
      <c r="G2078" s="3" t="str">
        <f>IFERROR(__xludf.DUMMYFUNCTION("REGEXREPLACE(
D2078,
""([一-龯々]+)\[([^\]]+)\]"",
""&lt;ruby&gt;$1&lt;rt&gt;$2&lt;/rt&gt;&lt;/ruby&gt;""
)&amp;""&lt;br&gt;&lt;div class=""""audio""""&gt;[sound:""&amp;C2078&amp;"".mp3]&lt;/div&gt;"""),"ショップ&lt;br&gt;&lt;div class=""audio""&gt;[sound:しょっぷ.mp3]&lt;/div&gt;")</f>
        <v>ショップ&lt;br&gt;&lt;div class="audio"&gt;[sound:しょっぷ.mp3]&lt;/div&gt;</v>
      </c>
      <c r="H2078" s="3" t="str">
        <f t="shared" si="1"/>
        <v>(n): cửa hàng</v>
      </c>
      <c r="I2078" s="6" t="s">
        <v>11324</v>
      </c>
      <c r="J2078" s="6" t="s">
        <v>11325</v>
      </c>
      <c r="K2078" s="7">
        <f t="shared" si="2"/>
        <v>0.4751949877</v>
      </c>
    </row>
    <row r="2079">
      <c r="A2079" s="4">
        <v>2079.0</v>
      </c>
      <c r="B2079" s="5" t="s">
        <v>11326</v>
      </c>
      <c r="C2079" s="5" t="s">
        <v>11327</v>
      </c>
      <c r="D2079" s="5" t="s">
        <v>11326</v>
      </c>
      <c r="E2079" s="6" t="s">
        <v>74</v>
      </c>
      <c r="F2079" s="6" t="s">
        <v>11328</v>
      </c>
      <c r="G2079" s="3" t="str">
        <f>IFERROR(__xludf.DUMMYFUNCTION("REGEXREPLACE(
D2079,
""([一-龯々]+)\[([^\]]+)\]"",
""&lt;ruby&gt;$1&lt;rt&gt;$2&lt;/rt&gt;&lt;/ruby&gt;""
)&amp;""&lt;br&gt;&lt;div class=""""audio""""&gt;[sound:""&amp;C2079&amp;"".mp3]&lt;/div&gt;"""),"スター&lt;br&gt;&lt;div class=""audio""&gt;[sound:すたー.mp3]&lt;/div&gt;")</f>
        <v>スター&lt;br&gt;&lt;div class="audio"&gt;[sound:すたー.mp3]&lt;/div&gt;</v>
      </c>
      <c r="H2079" s="3" t="str">
        <f t="shared" si="1"/>
        <v>(n): ngôi sao</v>
      </c>
      <c r="I2079" s="6" t="s">
        <v>11329</v>
      </c>
      <c r="J2079" s="6" t="s">
        <v>11330</v>
      </c>
      <c r="K2079" s="7">
        <f t="shared" si="2"/>
        <v>0.02016185854</v>
      </c>
    </row>
    <row r="2080">
      <c r="A2080" s="4">
        <v>2080.0</v>
      </c>
      <c r="B2080" s="5" t="s">
        <v>11331</v>
      </c>
      <c r="C2080" s="5" t="s">
        <v>11332</v>
      </c>
      <c r="D2080" s="5" t="s">
        <v>11331</v>
      </c>
      <c r="E2080" s="6" t="s">
        <v>74</v>
      </c>
      <c r="F2080" s="6" t="s">
        <v>11333</v>
      </c>
      <c r="G2080" s="3" t="str">
        <f>IFERROR(__xludf.DUMMYFUNCTION("REGEXREPLACE(
D2080,
""([一-龯々]+)\[([^\]]+)\]"",
""&lt;ruby&gt;$1&lt;rt&gt;$2&lt;/rt&gt;&lt;/ruby&gt;""
)&amp;""&lt;br&gt;&lt;div class=""""audio""""&gt;[sound:""&amp;C2080&amp;"".mp3]&lt;/div&gt;"""),"ソファー&lt;br&gt;&lt;div class=""audio""&gt;[sound:そふぁー.mp3]&lt;/div&gt;")</f>
        <v>ソファー&lt;br&gt;&lt;div class="audio"&gt;[sound:そふぁー.mp3]&lt;/div&gt;</v>
      </c>
      <c r="H2080" s="3" t="str">
        <f t="shared" si="1"/>
        <v>(n): ghế sofa</v>
      </c>
      <c r="I2080" s="6" t="s">
        <v>11334</v>
      </c>
      <c r="J2080" s="6" t="s">
        <v>11335</v>
      </c>
      <c r="K2080" s="7">
        <f t="shared" si="2"/>
        <v>0.5379402644</v>
      </c>
    </row>
    <row r="2081">
      <c r="A2081" s="4">
        <v>2081.0</v>
      </c>
      <c r="B2081" s="5" t="s">
        <v>11336</v>
      </c>
      <c r="C2081" s="5" t="s">
        <v>11337</v>
      </c>
      <c r="D2081" s="5" t="s">
        <v>11336</v>
      </c>
      <c r="E2081" s="6" t="s">
        <v>74</v>
      </c>
      <c r="F2081" s="6" t="s">
        <v>11338</v>
      </c>
      <c r="G2081" s="3" t="str">
        <f>IFERROR(__xludf.DUMMYFUNCTION("REGEXREPLACE(
D2081,
""([一-龯々]+)\[([^\]]+)\]"",
""&lt;ruby&gt;$1&lt;rt&gt;$2&lt;/rt&gt;&lt;/ruby&gt;""
)&amp;""&lt;br&gt;&lt;div class=""""audio""""&gt;[sound:""&amp;C2081&amp;"".mp3]&lt;/div&gt;"""),"タオル&lt;br&gt;&lt;div class=""audio""&gt;[sound:たおる.mp3]&lt;/div&gt;")</f>
        <v>タオル&lt;br&gt;&lt;div class="audio"&gt;[sound:たおる.mp3]&lt;/div&gt;</v>
      </c>
      <c r="H2081" s="3" t="str">
        <f t="shared" si="1"/>
        <v>(n): khăn tắm</v>
      </c>
      <c r="I2081" s="6" t="s">
        <v>11339</v>
      </c>
      <c r="J2081" s="6" t="s">
        <v>11340</v>
      </c>
      <c r="K2081" s="7">
        <f t="shared" si="2"/>
        <v>0.7925222421</v>
      </c>
    </row>
    <row r="2082">
      <c r="A2082" s="4">
        <v>2082.0</v>
      </c>
      <c r="B2082" s="5" t="s">
        <v>11341</v>
      </c>
      <c r="C2082" s="5" t="s">
        <v>11342</v>
      </c>
      <c r="D2082" s="5" t="s">
        <v>11341</v>
      </c>
      <c r="E2082" s="6" t="s">
        <v>74</v>
      </c>
      <c r="F2082" s="6" t="s">
        <v>11343</v>
      </c>
      <c r="G2082" s="3" t="str">
        <f>IFERROR(__xludf.DUMMYFUNCTION("REGEXREPLACE(
D2082,
""([一-龯々]+)\[([^\]]+)\]"",
""&lt;ruby&gt;$1&lt;rt&gt;$2&lt;/rt&gt;&lt;/ruby&gt;""
)&amp;""&lt;br&gt;&lt;div class=""""audio""""&gt;[sound:""&amp;C2082&amp;"".mp3]&lt;/div&gt;"""),"ハンカチ&lt;br&gt;&lt;div class=""audio""&gt;[sound:はんかち.mp3]&lt;/div&gt;")</f>
        <v>ハンカチ&lt;br&gt;&lt;div class="audio"&gt;[sound:はんかち.mp3]&lt;/div&gt;</v>
      </c>
      <c r="H2082" s="3" t="str">
        <f t="shared" si="1"/>
        <v>(n): khăn tay</v>
      </c>
      <c r="I2082" s="6" t="s">
        <v>11344</v>
      </c>
      <c r="J2082" s="6" t="s">
        <v>11345</v>
      </c>
      <c r="K2082" s="7">
        <f t="shared" si="2"/>
        <v>0.9066957562</v>
      </c>
    </row>
    <row r="2083">
      <c r="A2083" s="4">
        <v>2083.0</v>
      </c>
      <c r="B2083" s="5" t="s">
        <v>11346</v>
      </c>
      <c r="C2083" s="5" t="s">
        <v>11347</v>
      </c>
      <c r="D2083" s="5" t="s">
        <v>11348</v>
      </c>
      <c r="E2083" s="6" t="s">
        <v>85</v>
      </c>
      <c r="F2083" s="6" t="s">
        <v>3585</v>
      </c>
      <c r="G2083" s="3" t="str">
        <f>IFERROR(__xludf.DUMMYFUNCTION("REGEXREPLACE(
D2083,
""([一-龯々]+)\[([^\]]+)\]"",
""&lt;ruby&gt;$1&lt;rt&gt;$2&lt;/rt&gt;&lt;/ruby&gt;""
)&amp;""&lt;br&gt;&lt;div class=""""audio""""&gt;[sound:""&amp;C2083&amp;"".mp3]&lt;/div&gt;"""),"&lt;ruby&gt;一旦&lt;rt&gt;いったん&lt;/rt&gt;&lt;/ruby&gt;&lt;br&gt;&lt;div class=""audio""&gt;[sound:いったん.mp3]&lt;/div&gt;")</f>
        <v>&lt;ruby&gt;一旦&lt;rt&gt;いったん&lt;/rt&gt;&lt;/ruby&gt;&lt;br&gt;&lt;div class="audio"&gt;[sound:いったん.mp3]&lt;/div&gt;</v>
      </c>
      <c r="H2083" s="3" t="str">
        <f t="shared" si="1"/>
        <v>(adv): tạm thời</v>
      </c>
      <c r="I2083" s="6" t="s">
        <v>11349</v>
      </c>
      <c r="J2083" s="6" t="s">
        <v>11350</v>
      </c>
      <c r="K2083" s="7">
        <f t="shared" si="2"/>
        <v>0.2820842675</v>
      </c>
    </row>
    <row r="2084">
      <c r="A2084" s="4">
        <v>2084.0</v>
      </c>
      <c r="B2084" s="5" t="s">
        <v>11351</v>
      </c>
      <c r="C2084" s="5" t="s">
        <v>11352</v>
      </c>
      <c r="D2084" s="5" t="s">
        <v>11353</v>
      </c>
      <c r="E2084" s="6" t="s">
        <v>85</v>
      </c>
      <c r="F2084" s="6" t="s">
        <v>11354</v>
      </c>
      <c r="G2084" s="3" t="str">
        <f>IFERROR(__xludf.DUMMYFUNCTION("REGEXREPLACE(
D2084,
""([一-龯々]+)\[([^\]]+)\]"",
""&lt;ruby&gt;$1&lt;rt&gt;$2&lt;/rt&gt;&lt;/ruby&gt;""
)&amp;""&lt;br&gt;&lt;div class=""""audio""""&gt;[sound:""&amp;C2084&amp;"".mp3]&lt;/div&gt;"""),"&lt;ruby&gt;思&lt;rt&gt;おも&lt;/rt&gt;&lt;/ruby&gt;わず&lt;br&gt;&lt;div class=""audio""&gt;[sound:おもわず.mp3]&lt;/div&gt;")</f>
        <v>&lt;ruby&gt;思&lt;rt&gt;おも&lt;/rt&gt;&lt;/ruby&gt;わず&lt;br&gt;&lt;div class="audio"&gt;[sound:おもわず.mp3]&lt;/div&gt;</v>
      </c>
      <c r="H2084" s="3" t="str">
        <f t="shared" si="1"/>
        <v>(adv): bất giác</v>
      </c>
      <c r="I2084" s="6" t="s">
        <v>11355</v>
      </c>
      <c r="J2084" s="6" t="s">
        <v>11356</v>
      </c>
      <c r="K2084" s="7">
        <f t="shared" si="2"/>
        <v>0.6490594193</v>
      </c>
    </row>
    <row r="2085">
      <c r="A2085" s="4">
        <v>2085.0</v>
      </c>
      <c r="B2085" s="5" t="s">
        <v>11357</v>
      </c>
      <c r="C2085" s="5" t="s">
        <v>11358</v>
      </c>
      <c r="D2085" s="5" t="s">
        <v>11359</v>
      </c>
      <c r="E2085" s="6" t="s">
        <v>74</v>
      </c>
      <c r="F2085" s="6" t="s">
        <v>3579</v>
      </c>
      <c r="G2085" s="3" t="str">
        <f>IFERROR(__xludf.DUMMYFUNCTION("REGEXREPLACE(
D2085,
""([一-龯々]+)\[([^\]]+)\]"",
""&lt;ruby&gt;$1&lt;rt&gt;$2&lt;/rt&gt;&lt;/ruby&gt;""
)&amp;""&lt;br&gt;&lt;div class=""""audio""""&gt;[sound:""&amp;C2085&amp;"".mp3]&lt;/div&gt;"""),"&lt;ruby&gt;設計&lt;rt&gt;せっけい&lt;/rt&gt;&lt;/ruby&gt;&lt;br&gt;&lt;div class=""audio""&gt;[sound:せっけい.mp3]&lt;/div&gt;")</f>
        <v>&lt;ruby&gt;設計&lt;rt&gt;せっけい&lt;/rt&gt;&lt;/ruby&gt;&lt;br&gt;&lt;div class="audio"&gt;[sound:せっけい.mp3]&lt;/div&gt;</v>
      </c>
      <c r="H2085" s="3" t="str">
        <f t="shared" si="1"/>
        <v>(n): thiết kế</v>
      </c>
      <c r="I2085" s="6" t="s">
        <v>11360</v>
      </c>
      <c r="J2085" s="6" t="s">
        <v>11361</v>
      </c>
      <c r="K2085" s="7">
        <f t="shared" si="2"/>
        <v>0.7479251666</v>
      </c>
    </row>
    <row r="2086">
      <c r="A2086" s="4">
        <v>2086.0</v>
      </c>
      <c r="B2086" s="5" t="s">
        <v>11362</v>
      </c>
      <c r="C2086" s="5" t="s">
        <v>11363</v>
      </c>
      <c r="D2086" s="5" t="s">
        <v>11362</v>
      </c>
      <c r="E2086" s="6" t="s">
        <v>74</v>
      </c>
      <c r="F2086" s="6" t="s">
        <v>11364</v>
      </c>
      <c r="G2086" s="3" t="str">
        <f>IFERROR(__xludf.DUMMYFUNCTION("REGEXREPLACE(
D2086,
""([一-龯々]+)\[([^\]]+)\]"",
""&lt;ruby&gt;$1&lt;rt&gt;$2&lt;/rt&gt;&lt;/ruby&gt;""
)&amp;""&lt;br&gt;&lt;div class=""""audio""""&gt;[sound:""&amp;C2086&amp;"".mp3]&lt;/div&gt;"""),"エンジン&lt;br&gt;&lt;div class=""audio""&gt;[sound:えんじん.mp3]&lt;/div&gt;")</f>
        <v>エンジン&lt;br&gt;&lt;div class="audio"&gt;[sound:えんじん.mp3]&lt;/div&gt;</v>
      </c>
      <c r="H2086" s="3" t="str">
        <f t="shared" si="1"/>
        <v>(n): động cơ</v>
      </c>
      <c r="I2086" s="6" t="s">
        <v>11365</v>
      </c>
      <c r="J2086" s="6" t="s">
        <v>11366</v>
      </c>
      <c r="K2086" s="7">
        <f t="shared" si="2"/>
        <v>0.5977872504</v>
      </c>
    </row>
    <row r="2087">
      <c r="A2087" s="4">
        <v>2087.0</v>
      </c>
      <c r="B2087" s="5" t="s">
        <v>11367</v>
      </c>
      <c r="C2087" s="5" t="s">
        <v>11367</v>
      </c>
      <c r="D2087" s="5" t="s">
        <v>11367</v>
      </c>
      <c r="E2087" s="6" t="s">
        <v>90</v>
      </c>
      <c r="F2087" s="6" t="s">
        <v>11368</v>
      </c>
      <c r="G2087" s="3" t="str">
        <f>IFERROR(__xludf.DUMMYFUNCTION("REGEXREPLACE(
D2087,
""([一-龯々]+)\[([^\]]+)\]"",
""&lt;ruby&gt;$1&lt;rt&gt;$2&lt;/rt&gt;&lt;/ruby&gt;""
)&amp;""&lt;br&gt;&lt;div class=""""audio""""&gt;[sound:""&amp;C2087&amp;"".mp3]&lt;/div&gt;"""),"それなら&lt;br&gt;&lt;div class=""audio""&gt;[sound:それなら.mp3]&lt;/div&gt;")</f>
        <v>それなら&lt;br&gt;&lt;div class="audio"&gt;[sound:それなら.mp3]&lt;/div&gt;</v>
      </c>
      <c r="H2087" s="3" t="str">
        <f t="shared" si="1"/>
        <v>(conj): nếu thế</v>
      </c>
      <c r="I2087" s="6" t="s">
        <v>11369</v>
      </c>
      <c r="J2087" s="6" t="s">
        <v>11370</v>
      </c>
      <c r="K2087" s="7">
        <f t="shared" si="2"/>
        <v>0.8958383319</v>
      </c>
    </row>
    <row r="2088">
      <c r="A2088" s="4">
        <v>2088.0</v>
      </c>
      <c r="B2088" s="5" t="s">
        <v>11371</v>
      </c>
      <c r="C2088" s="5" t="s">
        <v>11372</v>
      </c>
      <c r="D2088" s="5" t="s">
        <v>11371</v>
      </c>
      <c r="E2088" s="6" t="s">
        <v>74</v>
      </c>
      <c r="F2088" s="6" t="s">
        <v>11373</v>
      </c>
      <c r="G2088" s="3" t="str">
        <f>IFERROR(__xludf.DUMMYFUNCTION("REGEXREPLACE(
D2088,
""([一-龯々]+)\[([^\]]+)\]"",
""&lt;ruby&gt;$1&lt;rt&gt;$2&lt;/rt&gt;&lt;/ruby&gt;""
)&amp;""&lt;br&gt;&lt;div class=""""audio""""&gt;[sound:""&amp;C2088&amp;"".mp3]&lt;/div&gt;"""),"ライター&lt;br&gt;&lt;div class=""audio""&gt;[sound:らいたー.mp3]&lt;/div&gt;")</f>
        <v>ライター&lt;br&gt;&lt;div class="audio"&gt;[sound:らいたー.mp3]&lt;/div&gt;</v>
      </c>
      <c r="H2088" s="3" t="str">
        <f t="shared" si="1"/>
        <v>(n): bật lửa</v>
      </c>
      <c r="I2088" s="6" t="s">
        <v>11374</v>
      </c>
      <c r="J2088" s="6" t="s">
        <v>11375</v>
      </c>
      <c r="K2088" s="7">
        <f t="shared" si="2"/>
        <v>0.3408493465</v>
      </c>
    </row>
    <row r="2089">
      <c r="A2089" s="4">
        <v>2089.0</v>
      </c>
      <c r="B2089" s="5" t="s">
        <v>11376</v>
      </c>
      <c r="C2089" s="5" t="s">
        <v>11377</v>
      </c>
      <c r="D2089" s="5" t="s">
        <v>11378</v>
      </c>
      <c r="E2089" s="6" t="s">
        <v>33</v>
      </c>
      <c r="F2089" s="6" t="s">
        <v>11379</v>
      </c>
      <c r="G2089" s="3" t="str">
        <f>IFERROR(__xludf.DUMMYFUNCTION("REGEXREPLACE(
D2089,
""([一-龯々]+)\[([^\]]+)\]"",
""&lt;ruby&gt;$1&lt;rt&gt;$2&lt;/rt&gt;&lt;/ruby&gt;""
)&amp;""&lt;br&gt;&lt;div class=""""audio""""&gt;[sound:""&amp;C2089&amp;"".mp3]&lt;/div&gt;"""),"&lt;ruby&gt;承知&lt;rt&gt;しょうち&lt;/rt&gt;&lt;/ruby&gt;&lt;br&gt;&lt;div class=""audio""&gt;[sound:しょうち.mp3]&lt;/div&gt;")</f>
        <v>&lt;ruby&gt;承知&lt;rt&gt;しょうち&lt;/rt&gt;&lt;/ruby&gt;&lt;br&gt;&lt;div class="audio"&gt;[sound:しょうち.mp3]&lt;/div&gt;</v>
      </c>
      <c r="H2089" s="3" t="str">
        <f t="shared" si="1"/>
        <v>(int): đã hiểu</v>
      </c>
      <c r="I2089" s="6" t="s">
        <v>11380</v>
      </c>
      <c r="J2089" s="6" t="s">
        <v>11381</v>
      </c>
      <c r="K2089" s="7">
        <f t="shared" si="2"/>
        <v>0.2198012367</v>
      </c>
    </row>
    <row r="2090">
      <c r="A2090" s="4">
        <v>2090.0</v>
      </c>
      <c r="B2090" s="5" t="s">
        <v>11382</v>
      </c>
      <c r="C2090" s="5" t="s">
        <v>11383</v>
      </c>
      <c r="D2090" s="5" t="s">
        <v>11384</v>
      </c>
      <c r="E2090" s="6" t="s">
        <v>74</v>
      </c>
      <c r="F2090" s="6" t="s">
        <v>11385</v>
      </c>
      <c r="G2090" s="3" t="str">
        <f>IFERROR(__xludf.DUMMYFUNCTION("REGEXREPLACE(
D2090,
""([一-龯々]+)\[([^\]]+)\]"",
""&lt;ruby&gt;$1&lt;rt&gt;$2&lt;/rt&gt;&lt;/ruby&gt;""
)&amp;""&lt;br&gt;&lt;div class=""""audio""""&gt;[sound:""&amp;C2090&amp;"".mp3]&lt;/div&gt;"""),"&lt;ruby&gt;一生&lt;rt&gt;いっしょう&lt;/rt&gt;&lt;/ruby&gt;&lt;br&gt;&lt;div class=""audio""&gt;[sound:いっしょう.mp3]&lt;/div&gt;")</f>
        <v>&lt;ruby&gt;一生&lt;rt&gt;いっしょう&lt;/rt&gt;&lt;/ruby&gt;&lt;br&gt;&lt;div class="audio"&gt;[sound:いっしょう.mp3]&lt;/div&gt;</v>
      </c>
      <c r="H2090" s="3" t="str">
        <f t="shared" si="1"/>
        <v>(n): cả đời</v>
      </c>
      <c r="I2090" s="6" t="s">
        <v>11386</v>
      </c>
      <c r="J2090" s="6" t="s">
        <v>11387</v>
      </c>
      <c r="K2090" s="7">
        <f t="shared" si="2"/>
        <v>0.6222917217</v>
      </c>
    </row>
    <row r="2091">
      <c r="A2091" s="4">
        <v>2091.0</v>
      </c>
      <c r="B2091" s="5" t="s">
        <v>11388</v>
      </c>
      <c r="C2091" s="5" t="s">
        <v>11389</v>
      </c>
      <c r="D2091" s="5" t="s">
        <v>11390</v>
      </c>
      <c r="E2091" s="6" t="s">
        <v>24</v>
      </c>
      <c r="F2091" s="6" t="s">
        <v>5868</v>
      </c>
      <c r="G2091" s="3" t="str">
        <f>IFERROR(__xludf.DUMMYFUNCTION("REGEXREPLACE(
D2091,
""([一-龯々]+)\[([^\]]+)\]"",
""&lt;ruby&gt;$1&lt;rt&gt;$2&lt;/rt&gt;&lt;/ruby&gt;""
)&amp;""&lt;br&gt;&lt;div class=""""audio""""&gt;[sound:""&amp;C2091&amp;"".mp3]&lt;/div&gt;"""),"&lt;ruby&gt;付合&lt;rt&gt;つきあ&lt;/rt&gt;&lt;/ruby&gt;う&lt;br&gt;&lt;div class=""audio""&gt;[sound:つきあう.mp3]&lt;/div&gt;")</f>
        <v>&lt;ruby&gt;付合&lt;rt&gt;つきあ&lt;/rt&gt;&lt;/ruby&gt;う&lt;br&gt;&lt;div class="audio"&gt;[sound:つきあう.mp3]&lt;/div&gt;</v>
      </c>
      <c r="H2091" s="3" t="str">
        <f t="shared" si="1"/>
        <v>(v): hẹn hò</v>
      </c>
      <c r="I2091" s="6" t="s">
        <v>11391</v>
      </c>
      <c r="J2091" s="6" t="s">
        <v>11392</v>
      </c>
      <c r="K2091" s="7">
        <f t="shared" si="2"/>
        <v>0.1089530911</v>
      </c>
    </row>
    <row r="2092">
      <c r="A2092" s="4">
        <v>2092.0</v>
      </c>
      <c r="B2092" s="5" t="s">
        <v>11393</v>
      </c>
      <c r="C2092" s="5" t="s">
        <v>5019</v>
      </c>
      <c r="D2092" s="5" t="s">
        <v>11394</v>
      </c>
      <c r="E2092" s="6" t="s">
        <v>74</v>
      </c>
      <c r="F2092" s="6" t="s">
        <v>11395</v>
      </c>
      <c r="G2092" s="3" t="str">
        <f>IFERROR(__xludf.DUMMYFUNCTION("REGEXREPLACE(
D2092,
""([一-龯々]+)\[([^\]]+)\]"",
""&lt;ruby&gt;$1&lt;rt&gt;$2&lt;/rt&gt;&lt;/ruby&gt;""
)&amp;""&lt;br&gt;&lt;div class=""""audio""""&gt;[sound:""&amp;C2092&amp;"".mp3]&lt;/div&gt;"""),"&lt;ruby&gt;意思&lt;rt&gt;いし&lt;/rt&gt;&lt;/ruby&gt;&lt;br&gt;&lt;div class=""audio""&gt;[sound:いし.mp3]&lt;/div&gt;")</f>
        <v>&lt;ruby&gt;意思&lt;rt&gt;いし&lt;/rt&gt;&lt;/ruby&gt;&lt;br&gt;&lt;div class="audio"&gt;[sound:いし.mp3]&lt;/div&gt;</v>
      </c>
      <c r="H2092" s="3" t="str">
        <f t="shared" si="1"/>
        <v>(n): ý định</v>
      </c>
      <c r="I2092" s="6" t="s">
        <v>11396</v>
      </c>
      <c r="J2092" s="6" t="s">
        <v>11397</v>
      </c>
      <c r="K2092" s="7">
        <f t="shared" si="2"/>
        <v>0.5448271975</v>
      </c>
    </row>
    <row r="2093">
      <c r="A2093" s="4">
        <v>2093.0</v>
      </c>
      <c r="B2093" s="5" t="s">
        <v>11398</v>
      </c>
      <c r="C2093" s="5" t="s">
        <v>11399</v>
      </c>
      <c r="D2093" s="5" t="s">
        <v>11400</v>
      </c>
      <c r="E2093" s="6" t="s">
        <v>24</v>
      </c>
      <c r="F2093" s="6" t="s">
        <v>11401</v>
      </c>
      <c r="G2093" s="3" t="str">
        <f>IFERROR(__xludf.DUMMYFUNCTION("REGEXREPLACE(
D2093,
""([一-龯々]+)\[([^\]]+)\]"",
""&lt;ruby&gt;$1&lt;rt&gt;$2&lt;/rt&gt;&lt;/ruby&gt;""
)&amp;""&lt;br&gt;&lt;div class=""""audio""""&gt;[sound:""&amp;C2093&amp;"".mp3]&lt;/div&gt;"""),"&lt;ruby&gt;通&lt;rt&gt;かよ&lt;/rt&gt;&lt;/ruby&gt;う&lt;br&gt;&lt;div class=""audio""&gt;[sound:かよう.mp3]&lt;/div&gt;")</f>
        <v>&lt;ruby&gt;通&lt;rt&gt;かよ&lt;/rt&gt;&lt;/ruby&gt;う&lt;br&gt;&lt;div class="audio"&gt;[sound:かよう.mp3]&lt;/div&gt;</v>
      </c>
      <c r="H2093" s="3" t="str">
        <f t="shared" si="1"/>
        <v>(v): đi lại</v>
      </c>
      <c r="I2093" s="6" t="s">
        <v>11402</v>
      </c>
      <c r="J2093" s="6" t="s">
        <v>11403</v>
      </c>
      <c r="K2093" s="7">
        <f t="shared" si="2"/>
        <v>0.03184488572</v>
      </c>
    </row>
    <row r="2094">
      <c r="A2094" s="4">
        <v>2094.0</v>
      </c>
      <c r="B2094" s="5" t="s">
        <v>11404</v>
      </c>
      <c r="C2094" s="5" t="s">
        <v>11405</v>
      </c>
      <c r="D2094" s="5" t="s">
        <v>11406</v>
      </c>
      <c r="E2094" s="6" t="s">
        <v>74</v>
      </c>
      <c r="F2094" s="6" t="s">
        <v>11407</v>
      </c>
      <c r="G2094" s="3" t="str">
        <f>IFERROR(__xludf.DUMMYFUNCTION("REGEXREPLACE(
D2094,
""([一-龯々]+)\[([^\]]+)\]"",
""&lt;ruby&gt;$1&lt;rt&gt;$2&lt;/rt&gt;&lt;/ruby&gt;""
)&amp;""&lt;br&gt;&lt;div class=""""audio""""&gt;[sound:""&amp;C2094&amp;"".mp3]&lt;/div&gt;"""),"&lt;ruby&gt;住宅&lt;rt&gt;じゅうたく&lt;/rt&gt;&lt;/ruby&gt;&lt;br&gt;&lt;div class=""audio""&gt;[sound:じゅうたく.mp3]&lt;/div&gt;")</f>
        <v>&lt;ruby&gt;住宅&lt;rt&gt;じゅうたく&lt;/rt&gt;&lt;/ruby&gt;&lt;br&gt;&lt;div class="audio"&gt;[sound:じゅうたく.mp3]&lt;/div&gt;</v>
      </c>
      <c r="H2094" s="3" t="str">
        <f t="shared" si="1"/>
        <v>(n): nhà ở</v>
      </c>
      <c r="I2094" s="6" t="s">
        <v>11408</v>
      </c>
      <c r="J2094" s="6" t="s">
        <v>11409</v>
      </c>
      <c r="K2094" s="7">
        <f t="shared" si="2"/>
        <v>0.9226790357</v>
      </c>
    </row>
    <row r="2095">
      <c r="A2095" s="4">
        <v>2095.0</v>
      </c>
      <c r="B2095" s="5" t="s">
        <v>11410</v>
      </c>
      <c r="C2095" s="5" t="s">
        <v>11411</v>
      </c>
      <c r="D2095" s="5" t="s">
        <v>11412</v>
      </c>
      <c r="E2095" s="6" t="s">
        <v>85</v>
      </c>
      <c r="F2095" s="6" t="s">
        <v>7212</v>
      </c>
      <c r="G2095" s="3" t="str">
        <f>IFERROR(__xludf.DUMMYFUNCTION("REGEXREPLACE(
D2095,
""([一-龯々]+)\[([^\]]+)\]"",
""&lt;ruby&gt;$1&lt;rt&gt;$2&lt;/rt&gt;&lt;/ruby&gt;""
)&amp;""&lt;br&gt;&lt;div class=""""audio""""&gt;[sound:""&amp;C2095&amp;"".mp3]&lt;/div&gt;"""),"&lt;ruby&gt;恐&lt;rt&gt;おそ&lt;/rt&gt;&lt;/ruby&gt;らく&lt;br&gt;&lt;div class=""audio""&gt;[sound:おそらく.mp3]&lt;/div&gt;")</f>
        <v>&lt;ruby&gt;恐&lt;rt&gt;おそ&lt;/rt&gt;&lt;/ruby&gt;らく&lt;br&gt;&lt;div class="audio"&gt;[sound:おそらく.mp3]&lt;/div&gt;</v>
      </c>
      <c r="H2095" s="3" t="str">
        <f t="shared" si="1"/>
        <v>(adv): có lẽ</v>
      </c>
      <c r="I2095" s="6" t="s">
        <v>11413</v>
      </c>
      <c r="J2095" s="6" t="s">
        <v>11414</v>
      </c>
      <c r="K2095" s="7">
        <f t="shared" si="2"/>
        <v>0.1127656021</v>
      </c>
    </row>
    <row r="2096">
      <c r="A2096" s="4">
        <v>2096.0</v>
      </c>
      <c r="B2096" s="5" t="s">
        <v>11415</v>
      </c>
      <c r="C2096" s="5" t="s">
        <v>11416</v>
      </c>
      <c r="D2096" s="5" t="s">
        <v>11417</v>
      </c>
      <c r="E2096" s="6" t="s">
        <v>24</v>
      </c>
      <c r="F2096" s="6" t="s">
        <v>11418</v>
      </c>
      <c r="G2096" s="3" t="str">
        <f>IFERROR(__xludf.DUMMYFUNCTION("REGEXREPLACE(
D2096,
""([一-龯々]+)\[([^\]]+)\]"",
""&lt;ruby&gt;$1&lt;rt&gt;$2&lt;/rt&gt;&lt;/ruby&gt;""
)&amp;""&lt;br&gt;&lt;div class=""""audio""""&gt;[sound:""&amp;C2096&amp;"".mp3]&lt;/div&gt;"""),"&lt;ruby&gt;奪&lt;rt&gt;うば&lt;/rt&gt;&lt;/ruby&gt;う&lt;br&gt;&lt;div class=""audio""&gt;[sound:うばう.mp3]&lt;/div&gt;")</f>
        <v>&lt;ruby&gt;奪&lt;rt&gt;うば&lt;/rt&gt;&lt;/ruby&gt;う&lt;br&gt;&lt;div class="audio"&gt;[sound:うばう.mp3]&lt;/div&gt;</v>
      </c>
      <c r="H2096" s="3" t="str">
        <f t="shared" si="1"/>
        <v>(v): cướp</v>
      </c>
      <c r="I2096" s="6" t="s">
        <v>11419</v>
      </c>
      <c r="J2096" s="6" t="s">
        <v>11420</v>
      </c>
      <c r="K2096" s="7">
        <f t="shared" si="2"/>
        <v>0.2356367285</v>
      </c>
    </row>
    <row r="2097">
      <c r="A2097" s="4">
        <v>2097.0</v>
      </c>
      <c r="B2097" s="5" t="s">
        <v>11421</v>
      </c>
      <c r="C2097" s="5" t="s">
        <v>11422</v>
      </c>
      <c r="D2097" s="5" t="s">
        <v>11423</v>
      </c>
      <c r="E2097" s="6" t="s">
        <v>24</v>
      </c>
      <c r="F2097" s="6" t="s">
        <v>11424</v>
      </c>
      <c r="G2097" s="3" t="str">
        <f>IFERROR(__xludf.DUMMYFUNCTION("REGEXREPLACE(
D2097,
""([一-龯々]+)\[([^\]]+)\]"",
""&lt;ruby&gt;$1&lt;rt&gt;$2&lt;/rt&gt;&lt;/ruby&gt;""
)&amp;""&lt;br&gt;&lt;div class=""""audio""""&gt;[sound:""&amp;C2097&amp;"".mp3]&lt;/div&gt;"""),"&lt;ruby&gt;解&lt;rt&gt;と&lt;/rt&gt;&lt;/ruby&gt;く&lt;br&gt;&lt;div class=""audio""&gt;[sound:とく.mp3]&lt;/div&gt;")</f>
        <v>&lt;ruby&gt;解&lt;rt&gt;と&lt;/rt&gt;&lt;/ruby&gt;く&lt;br&gt;&lt;div class="audio"&gt;[sound:とく.mp3]&lt;/div&gt;</v>
      </c>
      <c r="H2097" s="3" t="str">
        <f t="shared" si="1"/>
        <v>(v): giải</v>
      </c>
      <c r="I2097" s="6" t="s">
        <v>11425</v>
      </c>
      <c r="J2097" s="6" t="s">
        <v>111</v>
      </c>
      <c r="K2097" s="7">
        <f t="shared" si="2"/>
        <v>0.4070626254</v>
      </c>
    </row>
    <row r="2098">
      <c r="A2098" s="4">
        <v>2098.0</v>
      </c>
      <c r="B2098" s="5" t="s">
        <v>11426</v>
      </c>
      <c r="C2098" s="5" t="s">
        <v>11427</v>
      </c>
      <c r="D2098" s="5" t="s">
        <v>11428</v>
      </c>
      <c r="E2098" s="6" t="s">
        <v>74</v>
      </c>
      <c r="F2098" s="6" t="s">
        <v>11429</v>
      </c>
      <c r="G2098" s="3" t="str">
        <f>IFERROR(__xludf.DUMMYFUNCTION("REGEXREPLACE(
D2098,
""([一-龯々]+)\[([^\]]+)\]"",
""&lt;ruby&gt;$1&lt;rt&gt;$2&lt;/rt&gt;&lt;/ruby&gt;""
)&amp;""&lt;br&gt;&lt;div class=""""audio""""&gt;[sound:""&amp;C2098&amp;"".mp3]&lt;/div&gt;"""),"&lt;ruby&gt;追加&lt;rt&gt;ついか&lt;/rt&gt;&lt;/ruby&gt;&lt;br&gt;&lt;div class=""audio""&gt;[sound:ついか.mp3]&lt;/div&gt;")</f>
        <v>&lt;ruby&gt;追加&lt;rt&gt;ついか&lt;/rt&gt;&lt;/ruby&gt;&lt;br&gt;&lt;div class="audio"&gt;[sound:ついか.mp3]&lt;/div&gt;</v>
      </c>
      <c r="H2098" s="3" t="str">
        <f t="shared" si="1"/>
        <v>(n): thêm</v>
      </c>
      <c r="I2098" s="6" t="s">
        <v>11430</v>
      </c>
      <c r="J2098" s="6" t="s">
        <v>11431</v>
      </c>
      <c r="K2098" s="7">
        <f t="shared" si="2"/>
        <v>0.621813554</v>
      </c>
    </row>
    <row r="2099">
      <c r="A2099" s="4">
        <v>2099.0</v>
      </c>
      <c r="B2099" s="5" t="s">
        <v>11432</v>
      </c>
      <c r="C2099" s="5" t="s">
        <v>11433</v>
      </c>
      <c r="D2099" s="5" t="s">
        <v>11432</v>
      </c>
      <c r="E2099" s="6" t="s">
        <v>74</v>
      </c>
      <c r="F2099" s="6" t="s">
        <v>11434</v>
      </c>
      <c r="G2099" s="3" t="str">
        <f>IFERROR(__xludf.DUMMYFUNCTION("REGEXREPLACE(
D2099,
""([一-龯々]+)\[([^\]]+)\]"",
""&lt;ruby&gt;$1&lt;rt&gt;$2&lt;/rt&gt;&lt;/ruby&gt;""
)&amp;""&lt;br&gt;&lt;div class=""""audio""""&gt;[sound:""&amp;C2099&amp;"".mp3]&lt;/div&gt;"""),"トン&lt;br&gt;&lt;div class=""audio""&gt;[sound:とん.mp3]&lt;/div&gt;")</f>
        <v>トン&lt;br&gt;&lt;div class="audio"&gt;[sound:とん.mp3]&lt;/div&gt;</v>
      </c>
      <c r="H2099" s="3" t="str">
        <f t="shared" si="1"/>
        <v>(n): tấn</v>
      </c>
      <c r="I2099" s="6" t="s">
        <v>11435</v>
      </c>
      <c r="J2099" s="6" t="s">
        <v>11436</v>
      </c>
      <c r="K2099" s="7">
        <f t="shared" si="2"/>
        <v>0.2856351087</v>
      </c>
    </row>
    <row r="2100">
      <c r="A2100" s="4">
        <v>2100.0</v>
      </c>
      <c r="B2100" s="5" t="s">
        <v>11437</v>
      </c>
      <c r="C2100" s="5" t="s">
        <v>11438</v>
      </c>
      <c r="D2100" s="5" t="s">
        <v>11439</v>
      </c>
      <c r="E2100" s="6" t="s">
        <v>74</v>
      </c>
      <c r="F2100" s="6" t="s">
        <v>11440</v>
      </c>
      <c r="G2100" s="3" t="str">
        <f>IFERROR(__xludf.DUMMYFUNCTION("REGEXREPLACE(
D2100,
""([一-龯々]+)\[([^\]]+)\]"",
""&lt;ruby&gt;$1&lt;rt&gt;$2&lt;/rt&gt;&lt;/ruby&gt;""
)&amp;""&lt;br&gt;&lt;div class=""""audio""""&gt;[sound:""&amp;C2100&amp;"".mp3]&lt;/div&gt;"""),"&lt;ruby&gt;一家&lt;rt&gt;いっか&lt;/rt&gt;&lt;/ruby&gt;&lt;br&gt;&lt;div class=""audio""&gt;[sound:いっか.mp3]&lt;/div&gt;")</f>
        <v>&lt;ruby&gt;一家&lt;rt&gt;いっか&lt;/rt&gt;&lt;/ruby&gt;&lt;br&gt;&lt;div class="audio"&gt;[sound:いっか.mp3]&lt;/div&gt;</v>
      </c>
      <c r="H2100" s="3" t="str">
        <f t="shared" si="1"/>
        <v>(n): cả gia đình</v>
      </c>
      <c r="I2100" s="6" t="s">
        <v>11441</v>
      </c>
      <c r="J2100" s="6" t="s">
        <v>11442</v>
      </c>
      <c r="K2100" s="7">
        <f t="shared" si="2"/>
        <v>0.5346030702</v>
      </c>
    </row>
    <row r="2101">
      <c r="A2101" s="4">
        <v>2101.0</v>
      </c>
      <c r="B2101" s="5" t="s">
        <v>11443</v>
      </c>
      <c r="C2101" s="5" t="s">
        <v>11444</v>
      </c>
      <c r="D2101" s="5" t="s">
        <v>11445</v>
      </c>
      <c r="E2101" s="6" t="s">
        <v>74</v>
      </c>
      <c r="F2101" s="6" t="s">
        <v>11446</v>
      </c>
      <c r="G2101" s="3" t="str">
        <f>IFERROR(__xludf.DUMMYFUNCTION("REGEXREPLACE(
D2101,
""([一-龯々]+)\[([^\]]+)\]"",
""&lt;ruby&gt;$1&lt;rt&gt;$2&lt;/rt&gt;&lt;/ruby&gt;""
)&amp;""&lt;br&gt;&lt;div class=""""audio""""&gt;[sound:""&amp;C2101&amp;"".mp3]&lt;/div&gt;"""),"&lt;ruby&gt;愛情&lt;rt&gt;あいじょう&lt;/rt&gt;&lt;/ruby&gt;&lt;br&gt;&lt;div class=""audio""&gt;[sound:あいじょう.mp3]&lt;/div&gt;")</f>
        <v>&lt;ruby&gt;愛情&lt;rt&gt;あいじょう&lt;/rt&gt;&lt;/ruby&gt;&lt;br&gt;&lt;div class="audio"&gt;[sound:あいじょう.mp3]&lt;/div&gt;</v>
      </c>
      <c r="H2101" s="3" t="str">
        <f t="shared" si="1"/>
        <v>(n): tình thương</v>
      </c>
      <c r="I2101" s="6" t="s">
        <v>11447</v>
      </c>
      <c r="J2101" s="6" t="s">
        <v>11448</v>
      </c>
      <c r="K2101" s="7">
        <f t="shared" si="2"/>
        <v>0.3783786671</v>
      </c>
    </row>
    <row r="2102">
      <c r="A2102" s="4">
        <v>2102.0</v>
      </c>
      <c r="B2102" s="5" t="s">
        <v>11449</v>
      </c>
      <c r="C2102" s="5" t="s">
        <v>11450</v>
      </c>
      <c r="D2102" s="5" t="s">
        <v>11449</v>
      </c>
      <c r="E2102" s="6" t="s">
        <v>74</v>
      </c>
      <c r="F2102" s="6" t="s">
        <v>11451</v>
      </c>
      <c r="G2102" s="3" t="str">
        <f>IFERROR(__xludf.DUMMYFUNCTION("REGEXREPLACE(
D2102,
""([一-龯々]+)\[([^\]]+)\]"",
""&lt;ruby&gt;$1&lt;rt&gt;$2&lt;/rt&gt;&lt;/ruby&gt;""
)&amp;""&lt;br&gt;&lt;div class=""""audio""""&gt;[sound:""&amp;C2102&amp;"".mp3]&lt;/div&gt;"""),"ビニール&lt;br&gt;&lt;div class=""audio""&gt;[sound:びにーる.mp3]&lt;/div&gt;")</f>
        <v>ビニール&lt;br&gt;&lt;div class="audio"&gt;[sound:びにーる.mp3]&lt;/div&gt;</v>
      </c>
      <c r="H2102" s="3" t="str">
        <f t="shared" si="1"/>
        <v>(n): nhựa vinyl</v>
      </c>
      <c r="I2102" s="6" t="s">
        <v>11452</v>
      </c>
      <c r="J2102" s="6" t="s">
        <v>11453</v>
      </c>
      <c r="K2102" s="7">
        <f t="shared" si="2"/>
        <v>0.2243239245</v>
      </c>
    </row>
    <row r="2103">
      <c r="A2103" s="4">
        <v>2103.0</v>
      </c>
      <c r="B2103" s="5" t="s">
        <v>11454</v>
      </c>
      <c r="C2103" s="5" t="s">
        <v>11455</v>
      </c>
      <c r="D2103" s="5" t="s">
        <v>11456</v>
      </c>
      <c r="E2103" s="6" t="s">
        <v>74</v>
      </c>
      <c r="F2103" s="6" t="s">
        <v>11457</v>
      </c>
      <c r="G2103" s="3" t="str">
        <f>IFERROR(__xludf.DUMMYFUNCTION("REGEXREPLACE(
D2103,
""([一-龯々]+)\[([^\]]+)\]"",
""&lt;ruby&gt;$1&lt;rt&gt;$2&lt;/rt&gt;&lt;/ruby&gt;""
)&amp;""&lt;br&gt;&lt;div class=""""audio""""&gt;[sound:""&amp;C2103&amp;"".mp3]&lt;/div&gt;"""),"&lt;ruby&gt;感想&lt;rt&gt;かんそう&lt;/rt&gt;&lt;/ruby&gt;&lt;br&gt;&lt;div class=""audio""&gt;[sound:かんそう.mp3]&lt;/div&gt;")</f>
        <v>&lt;ruby&gt;感想&lt;rt&gt;かんそう&lt;/rt&gt;&lt;/ruby&gt;&lt;br&gt;&lt;div class="audio"&gt;[sound:かんそう.mp3]&lt;/div&gt;</v>
      </c>
      <c r="H2103" s="3" t="str">
        <f t="shared" si="1"/>
        <v>(n): cảm tưởng</v>
      </c>
      <c r="I2103" s="6" t="s">
        <v>11458</v>
      </c>
      <c r="J2103" s="6" t="s">
        <v>11459</v>
      </c>
      <c r="K2103" s="7">
        <f t="shared" si="2"/>
        <v>0.2806217053</v>
      </c>
    </row>
    <row r="2104">
      <c r="A2104" s="4">
        <v>2104.0</v>
      </c>
      <c r="B2104" s="5" t="s">
        <v>11460</v>
      </c>
      <c r="C2104" s="5" t="s">
        <v>11461</v>
      </c>
      <c r="D2104" s="5" t="s">
        <v>11462</v>
      </c>
      <c r="E2104" s="6" t="s">
        <v>24</v>
      </c>
      <c r="F2104" s="6" t="s">
        <v>11463</v>
      </c>
      <c r="G2104" s="3" t="str">
        <f>IFERROR(__xludf.DUMMYFUNCTION("REGEXREPLACE(
D2104,
""([一-龯々]+)\[([^\]]+)\]"",
""&lt;ruby&gt;$1&lt;rt&gt;$2&lt;/rt&gt;&lt;/ruby&gt;""
)&amp;""&lt;br&gt;&lt;div class=""""audio""""&gt;[sound:""&amp;C2104&amp;"".mp3]&lt;/div&gt;"""),"&lt;ruby&gt;生&lt;rt&gt;しょう&lt;/rt&gt;&lt;/ruby&gt;じる&lt;br&gt;&lt;div class=""audio""&gt;[sound:しょうじる.mp3]&lt;/div&gt;")</f>
        <v>&lt;ruby&gt;生&lt;rt&gt;しょう&lt;/rt&gt;&lt;/ruby&gt;じる&lt;br&gt;&lt;div class="audio"&gt;[sound:しょうじる.mp3]&lt;/div&gt;</v>
      </c>
      <c r="H2104" s="3" t="str">
        <f t="shared" si="1"/>
        <v>(v): phát sinh</v>
      </c>
      <c r="I2104" s="6" t="s">
        <v>11464</v>
      </c>
      <c r="J2104" s="6" t="s">
        <v>11465</v>
      </c>
      <c r="K2104" s="7">
        <f t="shared" si="2"/>
        <v>0.3106521797</v>
      </c>
    </row>
    <row r="2105">
      <c r="A2105" s="4">
        <v>2105.0</v>
      </c>
      <c r="B2105" s="5" t="s">
        <v>11466</v>
      </c>
      <c r="C2105" s="5" t="s">
        <v>11467</v>
      </c>
      <c r="D2105" s="5" t="s">
        <v>11468</v>
      </c>
      <c r="E2105" s="6" t="s">
        <v>74</v>
      </c>
      <c r="F2105" s="6" t="s">
        <v>11469</v>
      </c>
      <c r="G2105" s="3" t="str">
        <f>IFERROR(__xludf.DUMMYFUNCTION("REGEXREPLACE(
D2105,
""([一-龯々]+)\[([^\]]+)\]"",
""&lt;ruby&gt;$1&lt;rt&gt;$2&lt;/rt&gt;&lt;/ruby&gt;""
)&amp;""&lt;br&gt;&lt;div class=""""audio""""&gt;[sound:""&amp;C2105&amp;"".mp3]&lt;/div&gt;"""),"&lt;ruby&gt;賛成&lt;rt&gt;さんせい&lt;/rt&gt;&lt;/ruby&gt;&lt;br&gt;&lt;div class=""audio""&gt;[sound:さんせい.mp3]&lt;/div&gt;")</f>
        <v>&lt;ruby&gt;賛成&lt;rt&gt;さんせい&lt;/rt&gt;&lt;/ruby&gt;&lt;br&gt;&lt;div class="audio"&gt;[sound:さんせい.mp3]&lt;/div&gt;</v>
      </c>
      <c r="H2105" s="3" t="str">
        <f t="shared" si="1"/>
        <v>(n): tán thành</v>
      </c>
      <c r="I2105" s="6" t="s">
        <v>11470</v>
      </c>
      <c r="J2105" s="6" t="s">
        <v>11471</v>
      </c>
      <c r="K2105" s="7">
        <f t="shared" si="2"/>
        <v>0.676959729</v>
      </c>
    </row>
    <row r="2106">
      <c r="A2106" s="4">
        <v>2106.0</v>
      </c>
      <c r="B2106" s="5" t="s">
        <v>11472</v>
      </c>
      <c r="C2106" s="5" t="s">
        <v>11473</v>
      </c>
      <c r="D2106" s="5" t="s">
        <v>11474</v>
      </c>
      <c r="E2106" s="6" t="s">
        <v>74</v>
      </c>
      <c r="F2106" s="6" t="s">
        <v>11475</v>
      </c>
      <c r="G2106" s="3" t="str">
        <f>IFERROR(__xludf.DUMMYFUNCTION("REGEXREPLACE(
D2106,
""([一-龯々]+)\[([^\]]+)\]"",
""&lt;ruby&gt;$1&lt;rt&gt;$2&lt;/rt&gt;&lt;/ruby&gt;""
)&amp;""&lt;br&gt;&lt;div class=""""audio""""&gt;[sound:""&amp;C2106&amp;"".mp3]&lt;/div&gt;"""),"&lt;ruby&gt;一流&lt;rt&gt;いちりゅう&lt;/rt&gt;&lt;/ruby&gt;&lt;br&gt;&lt;div class=""audio""&gt;[sound:いちりゅう.mp3]&lt;/div&gt;")</f>
        <v>&lt;ruby&gt;一流&lt;rt&gt;いちりゅう&lt;/rt&gt;&lt;/ruby&gt;&lt;br&gt;&lt;div class="audio"&gt;[sound:いちりゅう.mp3]&lt;/div&gt;</v>
      </c>
      <c r="H2106" s="3" t="str">
        <f t="shared" si="1"/>
        <v>(n): hàng đầu</v>
      </c>
      <c r="I2106" s="6" t="s">
        <v>11476</v>
      </c>
      <c r="J2106" s="6" t="s">
        <v>11477</v>
      </c>
      <c r="K2106" s="7">
        <f t="shared" si="2"/>
        <v>0.9399256379</v>
      </c>
    </row>
    <row r="2107">
      <c r="A2107" s="4">
        <v>2107.0</v>
      </c>
      <c r="B2107" s="5" t="s">
        <v>11478</v>
      </c>
      <c r="C2107" s="5" t="s">
        <v>11479</v>
      </c>
      <c r="D2107" s="5" t="s">
        <v>11480</v>
      </c>
      <c r="E2107" s="6" t="s">
        <v>24</v>
      </c>
      <c r="F2107" s="6" t="s">
        <v>11481</v>
      </c>
      <c r="G2107" s="3" t="str">
        <f>IFERROR(__xludf.DUMMYFUNCTION("REGEXREPLACE(
D2107,
""([一-龯々]+)\[([^\]]+)\]"",
""&lt;ruby&gt;$1&lt;rt&gt;$2&lt;/rt&gt;&lt;/ruby&gt;""
)&amp;""&lt;br&gt;&lt;div class=""""audio""""&gt;[sound:""&amp;C2107&amp;"".mp3]&lt;/div&gt;"""),"&lt;ruby&gt;交流&lt;rt&gt;こうりゅう&lt;/rt&gt;&lt;/ruby&gt;&lt;br&gt;&lt;div class=""audio""&gt;[sound:こうりゅう.mp3]&lt;/div&gt;")</f>
        <v>&lt;ruby&gt;交流&lt;rt&gt;こうりゅう&lt;/rt&gt;&lt;/ruby&gt;&lt;br&gt;&lt;div class="audio"&gt;[sound:こうりゅう.mp3]&lt;/div&gt;</v>
      </c>
      <c r="H2107" s="3" t="str">
        <f t="shared" si="1"/>
        <v>(v): giao lưu</v>
      </c>
      <c r="I2107" s="6" t="s">
        <v>11482</v>
      </c>
      <c r="J2107" s="6" t="s">
        <v>11483</v>
      </c>
      <c r="K2107" s="7">
        <f t="shared" si="2"/>
        <v>0.1179380107</v>
      </c>
    </row>
    <row r="2108">
      <c r="A2108" s="4">
        <v>2108.0</v>
      </c>
      <c r="B2108" s="5" t="s">
        <v>11484</v>
      </c>
      <c r="C2108" s="5" t="s">
        <v>11485</v>
      </c>
      <c r="D2108" s="5" t="s">
        <v>11486</v>
      </c>
      <c r="E2108" s="6" t="s">
        <v>74</v>
      </c>
      <c r="F2108" s="6" t="s">
        <v>11487</v>
      </c>
      <c r="G2108" s="3" t="str">
        <f>IFERROR(__xludf.DUMMYFUNCTION("REGEXREPLACE(
D2108,
""([一-龯々]+)\[([^\]]+)\]"",
""&lt;ruby&gt;$1&lt;rt&gt;$2&lt;/rt&gt;&lt;/ruby&gt;""
)&amp;""&lt;br&gt;&lt;div class=""""audio""""&gt;[sound:""&amp;C2108&amp;"".mp3]&lt;/div&gt;"""),"&lt;ruby&gt;光&lt;rt&gt;ひかり&lt;/rt&gt;&lt;/ruby&gt;&lt;br&gt;&lt;div class=""audio""&gt;[sound:ひかり.mp3]&lt;/div&gt;")</f>
        <v>&lt;ruby&gt;光&lt;rt&gt;ひかり&lt;/rt&gt;&lt;/ruby&gt;&lt;br&gt;&lt;div class="audio"&gt;[sound:ひかり.mp3]&lt;/div&gt;</v>
      </c>
      <c r="H2108" s="3" t="str">
        <f t="shared" si="1"/>
        <v>(n): ánh sáng</v>
      </c>
      <c r="I2108" s="6" t="s">
        <v>11488</v>
      </c>
      <c r="J2108" s="6" t="s">
        <v>11489</v>
      </c>
      <c r="K2108" s="7">
        <f t="shared" si="2"/>
        <v>0.5016485737</v>
      </c>
    </row>
    <row r="2109">
      <c r="A2109" s="4">
        <v>2109.0</v>
      </c>
      <c r="B2109" s="5" t="s">
        <v>11490</v>
      </c>
      <c r="C2109" s="5" t="s">
        <v>11491</v>
      </c>
      <c r="D2109" s="5" t="s">
        <v>11492</v>
      </c>
      <c r="E2109" s="6" t="s">
        <v>24</v>
      </c>
      <c r="F2109" s="6" t="s">
        <v>11493</v>
      </c>
      <c r="G2109" s="3" t="str">
        <f>IFERROR(__xludf.DUMMYFUNCTION("REGEXREPLACE(
D2109,
""([一-龯々]+)\[([^\]]+)\]"",
""&lt;ruby&gt;$1&lt;rt&gt;$2&lt;/rt&gt;&lt;/ruby&gt;""
)&amp;""&lt;br&gt;&lt;div class=""""audio""""&gt;[sound:""&amp;C2109&amp;"".mp3]&lt;/div&gt;"""),"&lt;ruby&gt;広&lt;rt&gt;ひろ&lt;/rt&gt;&lt;/ruby&gt;まる&lt;br&gt;&lt;div class=""audio""&gt;[sound:ひろまる.mp3]&lt;/div&gt;")</f>
        <v>&lt;ruby&gt;広&lt;rt&gt;ひろ&lt;/rt&gt;&lt;/ruby&gt;まる&lt;br&gt;&lt;div class="audio"&gt;[sound:ひろまる.mp3]&lt;/div&gt;</v>
      </c>
      <c r="H2109" s="3" t="str">
        <f t="shared" si="1"/>
        <v>(v): lan truyền</v>
      </c>
      <c r="I2109" s="6" t="s">
        <v>11494</v>
      </c>
      <c r="J2109" s="6" t="s">
        <v>11495</v>
      </c>
      <c r="K2109" s="7">
        <f t="shared" si="2"/>
        <v>0.5344470771</v>
      </c>
    </row>
    <row r="2110">
      <c r="A2110" s="4">
        <v>2110.0</v>
      </c>
      <c r="B2110" s="5" t="s">
        <v>11496</v>
      </c>
      <c r="C2110" s="5" t="s">
        <v>11497</v>
      </c>
      <c r="D2110" s="5" t="s">
        <v>11498</v>
      </c>
      <c r="E2110" s="6" t="s">
        <v>74</v>
      </c>
      <c r="F2110" s="6" t="s">
        <v>5056</v>
      </c>
      <c r="G2110" s="3" t="str">
        <f>IFERROR(__xludf.DUMMYFUNCTION("REGEXREPLACE(
D2110,
""([一-龯々]+)\[([^\]]+)\]"",
""&lt;ruby&gt;$1&lt;rt&gt;$2&lt;/rt&gt;&lt;/ruby&gt;""
)&amp;""&lt;br&gt;&lt;div class=""""audio""""&gt;[sound:""&amp;C2110&amp;"".mp3]&lt;/div&gt;"""),"&lt;ruby&gt;恋&lt;rt&gt;こい&lt;/rt&gt;&lt;/ruby&gt;&lt;br&gt;&lt;div class=""audio""&gt;[sound:こい.mp3]&lt;/div&gt;")</f>
        <v>&lt;ruby&gt;恋&lt;rt&gt;こい&lt;/rt&gt;&lt;/ruby&gt;&lt;br&gt;&lt;div class="audio"&gt;[sound:こい.mp3]&lt;/div&gt;</v>
      </c>
      <c r="H2110" s="3" t="str">
        <f t="shared" si="1"/>
        <v>(n): tình yêu</v>
      </c>
      <c r="I2110" s="6" t="s">
        <v>11499</v>
      </c>
      <c r="J2110" s="6" t="s">
        <v>11500</v>
      </c>
      <c r="K2110" s="7">
        <f t="shared" si="2"/>
        <v>0.5690349489</v>
      </c>
    </row>
    <row r="2111">
      <c r="A2111" s="4">
        <v>2111.0</v>
      </c>
      <c r="B2111" s="5" t="s">
        <v>11501</v>
      </c>
      <c r="C2111" s="5" t="s">
        <v>11502</v>
      </c>
      <c r="D2111" s="5" t="s">
        <v>11503</v>
      </c>
      <c r="E2111" s="6" t="s">
        <v>74</v>
      </c>
      <c r="F2111" s="6" t="s">
        <v>11504</v>
      </c>
      <c r="G2111" s="3" t="str">
        <f>IFERROR(__xludf.DUMMYFUNCTION("REGEXREPLACE(
D2111,
""([一-龯々]+)\[([^\]]+)\]"",
""&lt;ruby&gt;$1&lt;rt&gt;$2&lt;/rt&gt;&lt;/ruby&gt;""
)&amp;""&lt;br&gt;&lt;div class=""""audio""""&gt;[sound:""&amp;C2111&amp;"".mp3]&lt;/div&gt;"""),"&lt;ruby&gt;生徒&lt;rt&gt;せいと&lt;/rt&gt;&lt;/ruby&gt;&lt;br&gt;&lt;div class=""audio""&gt;[sound:せいと.mp3]&lt;/div&gt;")</f>
        <v>&lt;ruby&gt;生徒&lt;rt&gt;せいと&lt;/rt&gt;&lt;/ruby&gt;&lt;br&gt;&lt;div class="audio"&gt;[sound:せいと.mp3]&lt;/div&gt;</v>
      </c>
      <c r="H2111" s="3" t="str">
        <f t="shared" si="1"/>
        <v>(n): học sinh</v>
      </c>
      <c r="I2111" s="6" t="s">
        <v>11505</v>
      </c>
      <c r="J2111" s="6" t="s">
        <v>11506</v>
      </c>
      <c r="K2111" s="7">
        <f t="shared" si="2"/>
        <v>0.7833031834</v>
      </c>
    </row>
    <row r="2112">
      <c r="A2112" s="4">
        <v>2112.0</v>
      </c>
      <c r="B2112" s="5" t="s">
        <v>11507</v>
      </c>
      <c r="C2112" s="5" t="s">
        <v>11508</v>
      </c>
      <c r="D2112" s="5" t="s">
        <v>11509</v>
      </c>
      <c r="E2112" s="6" t="s">
        <v>74</v>
      </c>
      <c r="F2112" s="6" t="s">
        <v>11510</v>
      </c>
      <c r="G2112" s="3" t="str">
        <f>IFERROR(__xludf.DUMMYFUNCTION("REGEXREPLACE(
D2112,
""([一-龯々]+)\[([^\]]+)\]"",
""&lt;ruby&gt;$1&lt;rt&gt;$2&lt;/rt&gt;&lt;/ruby&gt;""
)&amp;""&lt;br&gt;&lt;div class=""""audio""""&gt;[sound:""&amp;C2112&amp;"".mp3]&lt;/div&gt;"""),"&lt;ruby&gt;観察&lt;rt&gt;かんさつ&lt;/rt&gt;&lt;/ruby&gt;&lt;br&gt;&lt;div class=""audio""&gt;[sound:かんさつ.mp3]&lt;/div&gt;")</f>
        <v>&lt;ruby&gt;観察&lt;rt&gt;かんさつ&lt;/rt&gt;&lt;/ruby&gt;&lt;br&gt;&lt;div class="audio"&gt;[sound:かんさつ.mp3]&lt;/div&gt;</v>
      </c>
      <c r="H2112" s="3" t="str">
        <f t="shared" si="1"/>
        <v>(n): quan sát</v>
      </c>
      <c r="I2112" s="6" t="s">
        <v>11511</v>
      </c>
      <c r="J2112" s="6" t="s">
        <v>11512</v>
      </c>
      <c r="K2112" s="7">
        <f t="shared" si="2"/>
        <v>0.6653366932</v>
      </c>
    </row>
    <row r="2113">
      <c r="A2113" s="4">
        <v>2113.0</v>
      </c>
      <c r="B2113" s="5" t="s">
        <v>11513</v>
      </c>
      <c r="C2113" s="5" t="s">
        <v>4082</v>
      </c>
      <c r="D2113" s="5" t="s">
        <v>11514</v>
      </c>
      <c r="E2113" s="6" t="s">
        <v>24</v>
      </c>
      <c r="F2113" s="6" t="s">
        <v>11515</v>
      </c>
      <c r="G2113" s="3" t="str">
        <f>IFERROR(__xludf.DUMMYFUNCTION("REGEXREPLACE(
D2113,
""([一-龯々]+)\[([^\]]+)\]"",
""&lt;ruby&gt;$1&lt;rt&gt;$2&lt;/rt&gt;&lt;/ruby&gt;""
)&amp;""&lt;br&gt;&lt;div class=""""audio""""&gt;[sound:""&amp;C2113&amp;"".mp3]&lt;/div&gt;"""),"&lt;ruby&gt;載&lt;rt&gt;の&lt;/rt&gt;&lt;/ruby&gt;せる&lt;br&gt;&lt;div class=""audio""&gt;[sound:のせる.mp3]&lt;/div&gt;")</f>
        <v>&lt;ruby&gt;載&lt;rt&gt;の&lt;/rt&gt;&lt;/ruby&gt;せる&lt;br&gt;&lt;div class="audio"&gt;[sound:のせる.mp3]&lt;/div&gt;</v>
      </c>
      <c r="H2113" s="3" t="str">
        <f t="shared" si="1"/>
        <v>(v): chất lên</v>
      </c>
      <c r="I2113" s="6" t="s">
        <v>11516</v>
      </c>
      <c r="J2113" s="6" t="s">
        <v>11517</v>
      </c>
      <c r="K2113" s="7">
        <f t="shared" si="2"/>
        <v>0.3792285137</v>
      </c>
    </row>
    <row r="2114">
      <c r="A2114" s="4">
        <v>2114.0</v>
      </c>
      <c r="B2114" s="5" t="s">
        <v>11518</v>
      </c>
      <c r="C2114" s="5" t="s">
        <v>11519</v>
      </c>
      <c r="D2114" s="5" t="s">
        <v>11520</v>
      </c>
      <c r="E2114" s="6" t="s">
        <v>24</v>
      </c>
      <c r="F2114" s="6" t="s">
        <v>11521</v>
      </c>
      <c r="G2114" s="3" t="str">
        <f>IFERROR(__xludf.DUMMYFUNCTION("REGEXREPLACE(
D2114,
""([一-龯々]+)\[([^\]]+)\]"",
""&lt;ruby&gt;$1&lt;rt&gt;$2&lt;/rt&gt;&lt;/ruby&gt;""
)&amp;""&lt;br&gt;&lt;div class=""""audio""""&gt;[sound:""&amp;C2114&amp;"".mp3]&lt;/div&gt;"""),"&lt;ruby&gt;連&lt;rt&gt;つ&lt;/rt&gt;&lt;/ruby&gt;れる&lt;br&gt;&lt;div class=""audio""&gt;[sound:つれる.mp3]&lt;/div&gt;")</f>
        <v>&lt;ruby&gt;連&lt;rt&gt;つ&lt;/rt&gt;&lt;/ruby&gt;れる&lt;br&gt;&lt;div class="audio"&gt;[sound:つれる.mp3]&lt;/div&gt;</v>
      </c>
      <c r="H2114" s="3" t="str">
        <f t="shared" si="1"/>
        <v>(v): dẫn theo</v>
      </c>
      <c r="I2114" s="6" t="s">
        <v>11522</v>
      </c>
      <c r="J2114" s="6" t="s">
        <v>11523</v>
      </c>
      <c r="K2114" s="7">
        <f t="shared" si="2"/>
        <v>0.005269761092</v>
      </c>
    </row>
    <row r="2115">
      <c r="A2115" s="4">
        <v>2115.0</v>
      </c>
      <c r="B2115" s="5" t="s">
        <v>11524</v>
      </c>
      <c r="C2115" s="5" t="s">
        <v>11525</v>
      </c>
      <c r="D2115" s="5" t="s">
        <v>11526</v>
      </c>
      <c r="E2115" s="6" t="s">
        <v>74</v>
      </c>
      <c r="F2115" s="6" t="s">
        <v>11527</v>
      </c>
      <c r="G2115" s="3" t="str">
        <f>IFERROR(__xludf.DUMMYFUNCTION("REGEXREPLACE(
D2115,
""([一-龯々]+)\[([^\]]+)\]"",
""&lt;ruby&gt;$1&lt;rt&gt;$2&lt;/rt&gt;&lt;/ruby&gt;""
)&amp;""&lt;br&gt;&lt;div class=""""audio""""&gt;[sound:""&amp;C2115&amp;"".mp3]&lt;/div&gt;"""),"&lt;ruby&gt;噂&lt;rt&gt;うわさ&lt;/rt&gt;&lt;/ruby&gt;&lt;br&gt;&lt;div class=""audio""&gt;[sound:うわさ.mp3]&lt;/div&gt;")</f>
        <v>&lt;ruby&gt;噂&lt;rt&gt;うわさ&lt;/rt&gt;&lt;/ruby&gt;&lt;br&gt;&lt;div class="audio"&gt;[sound:うわさ.mp3]&lt;/div&gt;</v>
      </c>
      <c r="H2115" s="3" t="str">
        <f t="shared" si="1"/>
        <v>(n): lời đồn</v>
      </c>
      <c r="I2115" s="6" t="s">
        <v>11528</v>
      </c>
      <c r="J2115" s="6" t="s">
        <v>11529</v>
      </c>
      <c r="K2115" s="7">
        <f t="shared" si="2"/>
        <v>0.8303987307</v>
      </c>
    </row>
    <row r="2116">
      <c r="A2116" s="4">
        <v>2116.0</v>
      </c>
      <c r="B2116" s="5" t="s">
        <v>11530</v>
      </c>
      <c r="C2116" s="5" t="s">
        <v>11531</v>
      </c>
      <c r="D2116" s="5" t="s">
        <v>11532</v>
      </c>
      <c r="E2116" s="6" t="s">
        <v>11</v>
      </c>
      <c r="F2116" s="6" t="s">
        <v>11533</v>
      </c>
      <c r="G2116" s="3" t="str">
        <f>IFERROR(__xludf.DUMMYFUNCTION("REGEXREPLACE(
D2116,
""([一-龯々]+)\[([^\]]+)\]"",
""&lt;ruby&gt;$1&lt;rt&gt;$2&lt;/rt&gt;&lt;/ruby&gt;""
)&amp;""&lt;br&gt;&lt;div class=""""audio""""&gt;[sound:""&amp;C2116&amp;"".mp3]&lt;/div&gt;"""),"&lt;ruby&gt;失礼&lt;rt&gt;しつれい&lt;/rt&gt;&lt;/ruby&gt;&lt;br&gt;&lt;div class=""audio""&gt;[sound:しつれい.mp3]&lt;/div&gt;")</f>
        <v>&lt;ruby&gt;失礼&lt;rt&gt;しつれい&lt;/rt&gt;&lt;/ruby&gt;&lt;br&gt;&lt;div class="audio"&gt;[sound:しつれい.mp3]&lt;/div&gt;</v>
      </c>
      <c r="H2116" s="3" t="str">
        <f t="shared" si="1"/>
        <v>(adj): thất lễ</v>
      </c>
      <c r="I2116" s="6" t="s">
        <v>11534</v>
      </c>
      <c r="J2116" s="6" t="s">
        <v>11535</v>
      </c>
      <c r="K2116" s="7">
        <f t="shared" si="2"/>
        <v>0.4614546188</v>
      </c>
    </row>
    <row r="2117">
      <c r="A2117" s="4">
        <v>2117.0</v>
      </c>
      <c r="B2117" s="5" t="s">
        <v>11536</v>
      </c>
      <c r="C2117" s="5" t="s">
        <v>11537</v>
      </c>
      <c r="D2117" s="5" t="s">
        <v>11538</v>
      </c>
      <c r="E2117" s="6" t="s">
        <v>74</v>
      </c>
      <c r="F2117" s="6" t="s">
        <v>11539</v>
      </c>
      <c r="G2117" s="3" t="str">
        <f>IFERROR(__xludf.DUMMYFUNCTION("REGEXREPLACE(
D2117,
""([一-龯々]+)\[([^\]]+)\]"",
""&lt;ruby&gt;$1&lt;rt&gt;$2&lt;/rt&gt;&lt;/ruby&gt;""
)&amp;""&lt;br&gt;&lt;div class=""""audio""""&gt;[sound:""&amp;C2117&amp;"".mp3]&lt;/div&gt;"""),"&lt;ruby&gt;定期&lt;rt&gt;ていき&lt;/rt&gt;&lt;/ruby&gt;&lt;br&gt;&lt;div class=""audio""&gt;[sound:ていき.mp3]&lt;/div&gt;")</f>
        <v>&lt;ruby&gt;定期&lt;rt&gt;ていき&lt;/rt&gt;&lt;/ruby&gt;&lt;br&gt;&lt;div class="audio"&gt;[sound:ていき.mp3]&lt;/div&gt;</v>
      </c>
      <c r="H2117" s="3" t="str">
        <f t="shared" si="1"/>
        <v>(n): định kỳ</v>
      </c>
      <c r="I2117" s="6" t="s">
        <v>11540</v>
      </c>
      <c r="J2117" s="6" t="s">
        <v>11541</v>
      </c>
      <c r="K2117" s="7">
        <f t="shared" si="2"/>
        <v>0.1070788457</v>
      </c>
    </row>
    <row r="2118">
      <c r="A2118" s="4">
        <v>2118.0</v>
      </c>
      <c r="B2118" s="5" t="s">
        <v>11542</v>
      </c>
      <c r="C2118" s="5" t="s">
        <v>11543</v>
      </c>
      <c r="D2118" s="5" t="s">
        <v>11544</v>
      </c>
      <c r="E2118" s="6" t="s">
        <v>24</v>
      </c>
      <c r="F2118" s="6" t="s">
        <v>11545</v>
      </c>
      <c r="G2118" s="3" t="str">
        <f>IFERROR(__xludf.DUMMYFUNCTION("REGEXREPLACE(
D2118,
""([一-龯々]+)\[([^\]]+)\]"",
""&lt;ruby&gt;$1&lt;rt&gt;$2&lt;/rt&gt;&lt;/ruby&gt;""
)&amp;""&lt;br&gt;&lt;div class=""""audio""""&gt;[sound:""&amp;C2118&amp;"".mp3]&lt;/div&gt;"""),"&lt;ruby&gt;延&lt;rt&gt;の&lt;/rt&gt;&lt;/ruby&gt;ばす&lt;br&gt;&lt;div class=""audio""&gt;[sound:のばす.mp3]&lt;/div&gt;")</f>
        <v>&lt;ruby&gt;延&lt;rt&gt;の&lt;/rt&gt;&lt;/ruby&gt;ばす&lt;br&gt;&lt;div class="audio"&gt;[sound:のばす.mp3]&lt;/div&gt;</v>
      </c>
      <c r="H2118" s="3" t="str">
        <f t="shared" si="1"/>
        <v>(v): kéo dài</v>
      </c>
      <c r="I2118" s="6" t="s">
        <v>11546</v>
      </c>
      <c r="J2118" s="6" t="s">
        <v>11547</v>
      </c>
      <c r="K2118" s="7">
        <f t="shared" si="2"/>
        <v>0.429941432</v>
      </c>
    </row>
    <row r="2119">
      <c r="A2119" s="4">
        <v>2119.0</v>
      </c>
      <c r="B2119" s="5" t="s">
        <v>11548</v>
      </c>
      <c r="C2119" s="5" t="s">
        <v>11549</v>
      </c>
      <c r="D2119" s="5" t="s">
        <v>11550</v>
      </c>
      <c r="E2119" s="6" t="s">
        <v>74</v>
      </c>
      <c r="F2119" s="6" t="s">
        <v>1296</v>
      </c>
      <c r="G2119" s="3" t="str">
        <f>IFERROR(__xludf.DUMMYFUNCTION("REGEXREPLACE(
D2119,
""([一-龯々]+)\[([^\]]+)\]"",
""&lt;ruby&gt;$1&lt;rt&gt;$2&lt;/rt&gt;&lt;/ruby&gt;""
)&amp;""&lt;br&gt;&lt;div class=""""audio""""&gt;[sound:""&amp;C2119&amp;"".mp3]&lt;/div&gt;"""),"&lt;ruby&gt;意義&lt;rt&gt;いぎ&lt;/rt&gt;&lt;/ruby&gt;&lt;br&gt;&lt;div class=""audio""&gt;[sound:いぎ.mp3]&lt;/div&gt;")</f>
        <v>&lt;ruby&gt;意義&lt;rt&gt;いぎ&lt;/rt&gt;&lt;/ruby&gt;&lt;br&gt;&lt;div class="audio"&gt;[sound:いぎ.mp3]&lt;/div&gt;</v>
      </c>
      <c r="H2119" s="3" t="str">
        <f t="shared" si="1"/>
        <v>(n): ý nghĩa</v>
      </c>
      <c r="I2119" s="6" t="s">
        <v>11551</v>
      </c>
      <c r="J2119" s="6" t="s">
        <v>11552</v>
      </c>
      <c r="K2119" s="7">
        <f t="shared" si="2"/>
        <v>0.1389457521</v>
      </c>
    </row>
    <row r="2120">
      <c r="A2120" s="4">
        <v>2120.0</v>
      </c>
      <c r="B2120" s="5" t="s">
        <v>11553</v>
      </c>
      <c r="C2120" s="5" t="s">
        <v>11554</v>
      </c>
      <c r="D2120" s="5" t="s">
        <v>11555</v>
      </c>
      <c r="E2120" s="6" t="s">
        <v>74</v>
      </c>
      <c r="F2120" s="6" t="s">
        <v>11556</v>
      </c>
      <c r="G2120" s="3" t="str">
        <f>IFERROR(__xludf.DUMMYFUNCTION("REGEXREPLACE(
D2120,
""([一-龯々]+)\[([^\]]+)\]"",
""&lt;ruby&gt;$1&lt;rt&gt;$2&lt;/rt&gt;&lt;/ruby&gt;""
)&amp;""&lt;br&gt;&lt;div class=""""audio""""&gt;[sound:""&amp;C2120&amp;"".mp3]&lt;/div&gt;"""),"&lt;ruby&gt;手伝&lt;rt&gt;てつだ&lt;/rt&gt;&lt;/ruby&gt;い&lt;br&gt;&lt;div class=""audio""&gt;[sound:てつだい.mp3]&lt;/div&gt;")</f>
        <v>&lt;ruby&gt;手伝&lt;rt&gt;てつだ&lt;/rt&gt;&lt;/ruby&gt;い&lt;br&gt;&lt;div class="audio"&gt;[sound:てつだい.mp3]&lt;/div&gt;</v>
      </c>
      <c r="H2120" s="3" t="str">
        <f t="shared" si="1"/>
        <v>(n): giúp đỡ</v>
      </c>
      <c r="I2120" s="6" t="s">
        <v>11557</v>
      </c>
      <c r="J2120" s="6" t="s">
        <v>11558</v>
      </c>
      <c r="K2120" s="7">
        <f t="shared" si="2"/>
        <v>0.8652216296</v>
      </c>
    </row>
    <row r="2121">
      <c r="A2121" s="4">
        <v>2121.0</v>
      </c>
      <c r="B2121" s="5" t="s">
        <v>11559</v>
      </c>
      <c r="C2121" s="5" t="s">
        <v>11560</v>
      </c>
      <c r="D2121" s="5" t="s">
        <v>11561</v>
      </c>
      <c r="E2121" s="6" t="s">
        <v>74</v>
      </c>
      <c r="F2121" s="6" t="s">
        <v>6261</v>
      </c>
      <c r="G2121" s="3" t="str">
        <f>IFERROR(__xludf.DUMMYFUNCTION("REGEXREPLACE(
D2121,
""([一-龯々]+)\[([^\]]+)\]"",
""&lt;ruby&gt;$1&lt;rt&gt;$2&lt;/rt&gt;&lt;/ruby&gt;""
)&amp;""&lt;br&gt;&lt;div class=""""audio""""&gt;[sound:""&amp;C2121&amp;"".mp3]&lt;/div&gt;"""),"&lt;ruby&gt;記念&lt;rt&gt;きねん&lt;/rt&gt;&lt;/ruby&gt;&lt;br&gt;&lt;div class=""audio""&gt;[sound:きねん.mp3]&lt;/div&gt;")</f>
        <v>&lt;ruby&gt;記念&lt;rt&gt;きねん&lt;/rt&gt;&lt;/ruby&gt;&lt;br&gt;&lt;div class="audio"&gt;[sound:きねん.mp3]&lt;/div&gt;</v>
      </c>
      <c r="H2121" s="3" t="str">
        <f t="shared" si="1"/>
        <v>(n): kỷ niệm</v>
      </c>
      <c r="I2121" s="6" t="s">
        <v>11562</v>
      </c>
      <c r="J2121" s="6" t="s">
        <v>11563</v>
      </c>
      <c r="K2121" s="7">
        <f t="shared" si="2"/>
        <v>0.4629426738</v>
      </c>
    </row>
    <row r="2122">
      <c r="A2122" s="4">
        <v>2122.0</v>
      </c>
      <c r="B2122" s="5" t="s">
        <v>11564</v>
      </c>
      <c r="C2122" s="5" t="s">
        <v>11564</v>
      </c>
      <c r="D2122" s="5" t="s">
        <v>11564</v>
      </c>
      <c r="E2122" s="6" t="s">
        <v>74</v>
      </c>
      <c r="F2122" s="6" t="s">
        <v>3028</v>
      </c>
      <c r="G2122" s="3" t="str">
        <f>IFERROR(__xludf.DUMMYFUNCTION("REGEXREPLACE(
D2122,
""([一-龯々]+)\[([^\]]+)\]"",
""&lt;ruby&gt;$1&lt;rt&gt;$2&lt;/rt&gt;&lt;/ruby&gt;""
)&amp;""&lt;br&gt;&lt;div class=""""audio""""&gt;[sound:""&amp;C2122&amp;"".mp3]&lt;/div&gt;"""),"おかず&lt;br&gt;&lt;div class=""audio""&gt;[sound:おかず.mp3]&lt;/div&gt;")</f>
        <v>おかず&lt;br&gt;&lt;div class="audio"&gt;[sound:おかず.mp3]&lt;/div&gt;</v>
      </c>
      <c r="H2122" s="3" t="str">
        <f t="shared" si="1"/>
        <v>(n): món ăn</v>
      </c>
      <c r="I2122" s="6" t="s">
        <v>11565</v>
      </c>
      <c r="J2122" s="6" t="s">
        <v>11566</v>
      </c>
      <c r="K2122" s="7">
        <f t="shared" si="2"/>
        <v>0.7003989277</v>
      </c>
    </row>
    <row r="2123">
      <c r="A2123" s="4">
        <v>2123.0</v>
      </c>
      <c r="B2123" s="5" t="s">
        <v>11567</v>
      </c>
      <c r="C2123" s="5" t="s">
        <v>11567</v>
      </c>
      <c r="D2123" s="5" t="s">
        <v>11567</v>
      </c>
      <c r="E2123" s="6" t="s">
        <v>85</v>
      </c>
      <c r="F2123" s="6" t="s">
        <v>2749</v>
      </c>
      <c r="G2123" s="3" t="str">
        <f>IFERROR(__xludf.DUMMYFUNCTION("REGEXREPLACE(
D2123,
""([一-龯々]+)\[([^\]]+)\]"",
""&lt;ruby&gt;$1&lt;rt&gt;$2&lt;/rt&gt;&lt;/ruby&gt;""
)&amp;""&lt;br&gt;&lt;div class=""""audio""""&gt;[sound:""&amp;C2123&amp;"".mp3]&lt;/div&gt;"""),"およそ&lt;br&gt;&lt;div class=""audio""&gt;[sound:およそ.mp3]&lt;/div&gt;")</f>
        <v>およそ&lt;br&gt;&lt;div class="audio"&gt;[sound:およそ.mp3]&lt;/div&gt;</v>
      </c>
      <c r="H2123" s="3" t="str">
        <f t="shared" si="1"/>
        <v>(adv): khoảng</v>
      </c>
      <c r="I2123" s="6" t="s">
        <v>11568</v>
      </c>
      <c r="J2123" s="6" t="s">
        <v>11569</v>
      </c>
      <c r="K2123" s="7">
        <f t="shared" si="2"/>
        <v>0.2894938585</v>
      </c>
    </row>
    <row r="2124">
      <c r="A2124" s="4">
        <v>2124.0</v>
      </c>
      <c r="B2124" s="5" t="s">
        <v>11570</v>
      </c>
      <c r="C2124" s="5" t="s">
        <v>11571</v>
      </c>
      <c r="D2124" s="5" t="s">
        <v>11570</v>
      </c>
      <c r="E2124" s="6" t="s">
        <v>74</v>
      </c>
      <c r="F2124" s="6" t="s">
        <v>11572</v>
      </c>
      <c r="G2124" s="3" t="str">
        <f>IFERROR(__xludf.DUMMYFUNCTION("REGEXREPLACE(
D2124,
""([一-龯々]+)\[([^\]]+)\]"",
""&lt;ruby&gt;$1&lt;rt&gt;$2&lt;/rt&gt;&lt;/ruby&gt;""
)&amp;""&lt;br&gt;&lt;div class=""""audio""""&gt;[sound:""&amp;C2124&amp;"".mp3]&lt;/div&gt;"""),"ボールペン&lt;br&gt;&lt;div class=""audio""&gt;[sound:ぼーるぺん.mp3]&lt;/div&gt;")</f>
        <v>ボールペン&lt;br&gt;&lt;div class="audio"&gt;[sound:ぼーるぺん.mp3]&lt;/div&gt;</v>
      </c>
      <c r="H2124" s="3" t="str">
        <f t="shared" si="1"/>
        <v>(n): bút bi</v>
      </c>
      <c r="I2124" s="6" t="s">
        <v>11573</v>
      </c>
      <c r="J2124" s="6" t="s">
        <v>11574</v>
      </c>
      <c r="K2124" s="7">
        <f t="shared" si="2"/>
        <v>0.9172837156</v>
      </c>
    </row>
    <row r="2125">
      <c r="A2125" s="4">
        <v>2125.0</v>
      </c>
      <c r="B2125" s="5" t="s">
        <v>11575</v>
      </c>
      <c r="C2125" s="5" t="s">
        <v>11576</v>
      </c>
      <c r="D2125" s="5" t="s">
        <v>11577</v>
      </c>
      <c r="E2125" s="6" t="s">
        <v>24</v>
      </c>
      <c r="F2125" s="6" t="s">
        <v>2353</v>
      </c>
      <c r="G2125" s="3" t="str">
        <f>IFERROR(__xludf.DUMMYFUNCTION("REGEXREPLACE(
D2125,
""([一-龯々]+)\[([^\]]+)\]"",
""&lt;ruby&gt;$1&lt;rt&gt;$2&lt;/rt&gt;&lt;/ruby&gt;""
)&amp;""&lt;br&gt;&lt;div class=""""audio""""&gt;[sound:""&amp;C2125&amp;"".mp3]&lt;/div&gt;"""),"&lt;ruby&gt;異&lt;rt&gt;こと&lt;/rt&gt;&lt;/ruby&gt;なる&lt;br&gt;&lt;div class=""audio""&gt;[sound:ことなる.mp3]&lt;/div&gt;")</f>
        <v>&lt;ruby&gt;異&lt;rt&gt;こと&lt;/rt&gt;&lt;/ruby&gt;なる&lt;br&gt;&lt;div class="audio"&gt;[sound:ことなる.mp3]&lt;/div&gt;</v>
      </c>
      <c r="H2125" s="3" t="str">
        <f t="shared" si="1"/>
        <v>(v): khác</v>
      </c>
      <c r="I2125" s="6" t="s">
        <v>11578</v>
      </c>
      <c r="J2125" s="6" t="s">
        <v>2355</v>
      </c>
      <c r="K2125" s="7">
        <f t="shared" si="2"/>
        <v>0.08332816367</v>
      </c>
    </row>
    <row r="2126">
      <c r="A2126" s="4">
        <v>2126.0</v>
      </c>
      <c r="B2126" s="5" t="s">
        <v>11579</v>
      </c>
      <c r="C2126" s="5" t="s">
        <v>11580</v>
      </c>
      <c r="D2126" s="5" t="s">
        <v>11581</v>
      </c>
      <c r="E2126" s="6" t="s">
        <v>24</v>
      </c>
      <c r="F2126" s="6" t="s">
        <v>11582</v>
      </c>
      <c r="G2126" s="3" t="str">
        <f>IFERROR(__xludf.DUMMYFUNCTION("REGEXREPLACE(
D2126,
""([一-龯々]+)\[([^\]]+)\]"",
""&lt;ruby&gt;$1&lt;rt&gt;$2&lt;/rt&gt;&lt;/ruby&gt;""
)&amp;""&lt;br&gt;&lt;div class=""""audio""""&gt;[sound:""&amp;C2126&amp;"".mp3]&lt;/div&gt;"""),"&lt;ruby&gt;追&lt;rt&gt;お&lt;/rt&gt;&lt;/ruby&gt;う&lt;br&gt;&lt;div class=""audio""&gt;[sound:おう.mp3]&lt;/div&gt;")</f>
        <v>&lt;ruby&gt;追&lt;rt&gt;お&lt;/rt&gt;&lt;/ruby&gt;う&lt;br&gt;&lt;div class="audio"&gt;[sound:おう.mp3]&lt;/div&gt;</v>
      </c>
      <c r="H2126" s="3" t="str">
        <f t="shared" si="1"/>
        <v>(v): đuổi</v>
      </c>
      <c r="I2126" s="6" t="s">
        <v>11583</v>
      </c>
      <c r="J2126" s="6" t="s">
        <v>11584</v>
      </c>
      <c r="K2126" s="7">
        <f t="shared" si="2"/>
        <v>0.2670948532</v>
      </c>
    </row>
    <row r="2127">
      <c r="A2127" s="4">
        <v>2127.0</v>
      </c>
      <c r="B2127" s="5" t="s">
        <v>11585</v>
      </c>
      <c r="C2127" s="5" t="s">
        <v>11586</v>
      </c>
      <c r="D2127" s="5" t="s">
        <v>11587</v>
      </c>
      <c r="E2127" s="6" t="s">
        <v>24</v>
      </c>
      <c r="F2127" s="6" t="s">
        <v>11588</v>
      </c>
      <c r="G2127" s="3" t="str">
        <f>IFERROR(__xludf.DUMMYFUNCTION("REGEXREPLACE(
D2127,
""([一-龯々]+)\[([^\]]+)\]"",
""&lt;ruby&gt;$1&lt;rt&gt;$2&lt;/rt&gt;&lt;/ruby&gt;""
)&amp;""&lt;br&gt;&lt;div class=""""audio""""&gt;[sound:""&amp;C2127&amp;"".mp3]&lt;/div&gt;"""),"&lt;ruby&gt;疲&lt;rt&gt;つか&lt;/rt&gt;&lt;/ruby&gt;れる&lt;br&gt;&lt;div class=""audio""&gt;[sound:つかれる.mp3]&lt;/div&gt;")</f>
        <v>&lt;ruby&gt;疲&lt;rt&gt;つか&lt;/rt&gt;&lt;/ruby&gt;れる&lt;br&gt;&lt;div class="audio"&gt;[sound:つかれる.mp3]&lt;/div&gt;</v>
      </c>
      <c r="H2127" s="3" t="str">
        <f t="shared" si="1"/>
        <v>(v): mệt</v>
      </c>
      <c r="I2127" s="6" t="s">
        <v>11589</v>
      </c>
      <c r="J2127" s="6" t="s">
        <v>11590</v>
      </c>
      <c r="K2127" s="7">
        <f t="shared" si="2"/>
        <v>0.981832108</v>
      </c>
    </row>
    <row r="2128">
      <c r="A2128" s="4">
        <v>2128.0</v>
      </c>
      <c r="B2128" s="5" t="s">
        <v>11591</v>
      </c>
      <c r="C2128" s="5" t="s">
        <v>11592</v>
      </c>
      <c r="D2128" s="5" t="s">
        <v>11593</v>
      </c>
      <c r="E2128" s="6" t="s">
        <v>74</v>
      </c>
      <c r="F2128" s="6" t="s">
        <v>11594</v>
      </c>
      <c r="G2128" s="3" t="str">
        <f>IFERROR(__xludf.DUMMYFUNCTION("REGEXREPLACE(
D2128,
""([一-龯々]+)\[([^\]]+)\]"",
""&lt;ruby&gt;$1&lt;rt&gt;$2&lt;/rt&gt;&lt;/ruby&gt;""
)&amp;""&lt;br&gt;&lt;div class=""""audio""""&gt;[sound:""&amp;C2128&amp;"".mp3]&lt;/div&gt;"""),"&lt;ruby&gt;筋&lt;rt&gt;すじ&lt;/rt&gt;&lt;/ruby&gt;&lt;br&gt;&lt;div class=""audio""&gt;[sound:すじ.mp3]&lt;/div&gt;")</f>
        <v>&lt;ruby&gt;筋&lt;rt&gt;すじ&lt;/rt&gt;&lt;/ruby&gt;&lt;br&gt;&lt;div class="audio"&gt;[sound:すじ.mp3]&lt;/div&gt;</v>
      </c>
      <c r="H2128" s="3" t="str">
        <f t="shared" si="1"/>
        <v>(n): gân</v>
      </c>
      <c r="I2128" s="6" t="s">
        <v>11595</v>
      </c>
      <c r="J2128" s="6" t="s">
        <v>11596</v>
      </c>
      <c r="K2128" s="7">
        <f t="shared" si="2"/>
        <v>0.7263342628</v>
      </c>
    </row>
    <row r="2129">
      <c r="A2129" s="4">
        <v>2129.0</v>
      </c>
      <c r="B2129" s="5" t="s">
        <v>11597</v>
      </c>
      <c r="C2129" s="5" t="s">
        <v>11597</v>
      </c>
      <c r="D2129" s="5" t="s">
        <v>11597</v>
      </c>
      <c r="E2129" s="6" t="s">
        <v>74</v>
      </c>
      <c r="F2129" s="6" t="s">
        <v>11598</v>
      </c>
      <c r="G2129" s="3" t="str">
        <f>IFERROR(__xludf.DUMMYFUNCTION("REGEXREPLACE(
D2129,
""([一-龯々]+)\[([^\]]+)\]"",
""&lt;ruby&gt;$1&lt;rt&gt;$2&lt;/rt&gt;&lt;/ruby&gt;""
)&amp;""&lt;br&gt;&lt;div class=""""audio""""&gt;[sound:""&amp;C2129&amp;"".mp3]&lt;/div&gt;"""),"シャワー&lt;br&gt;&lt;div class=""audio""&gt;[sound:シャワー.mp3]&lt;/div&gt;")</f>
        <v>シャワー&lt;br&gt;&lt;div class="audio"&gt;[sound:シャワー.mp3]&lt;/div&gt;</v>
      </c>
      <c r="H2129" s="3" t="str">
        <f t="shared" si="1"/>
        <v>(n): vòi hoa sen</v>
      </c>
      <c r="I2129" s="6" t="s">
        <v>11599</v>
      </c>
      <c r="J2129" s="6" t="s">
        <v>11600</v>
      </c>
      <c r="K2129" s="7">
        <f t="shared" si="2"/>
        <v>0.9177263819</v>
      </c>
    </row>
    <row r="2130">
      <c r="A2130" s="4">
        <v>2130.0</v>
      </c>
      <c r="B2130" s="5" t="s">
        <v>11601</v>
      </c>
      <c r="C2130" s="5" t="s">
        <v>11602</v>
      </c>
      <c r="D2130" s="5" t="s">
        <v>11603</v>
      </c>
      <c r="E2130" s="6" t="s">
        <v>74</v>
      </c>
      <c r="F2130" s="6" t="s">
        <v>11604</v>
      </c>
      <c r="G2130" s="3" t="str">
        <f>IFERROR(__xludf.DUMMYFUNCTION("REGEXREPLACE(
D2130,
""([一-龯々]+)\[([^\]]+)\]"",
""&lt;ruby&gt;$1&lt;rt&gt;$2&lt;/rt&gt;&lt;/ruby&gt;""
)&amp;""&lt;br&gt;&lt;div class=""""audio""""&gt;[sound:""&amp;C2130&amp;"".mp3]&lt;/div&gt;"""),"&lt;ruby&gt;農業&lt;rt&gt;のうぎょう&lt;/rt&gt;&lt;/ruby&gt;&lt;br&gt;&lt;div class=""audio""&gt;[sound:のうぎょう.mp3]&lt;/div&gt;")</f>
        <v>&lt;ruby&gt;農業&lt;rt&gt;のうぎょう&lt;/rt&gt;&lt;/ruby&gt;&lt;br&gt;&lt;div class="audio"&gt;[sound:のうぎょう.mp3]&lt;/div&gt;</v>
      </c>
      <c r="H2130" s="3" t="str">
        <f t="shared" si="1"/>
        <v>(n): nông nghiệp</v>
      </c>
      <c r="I2130" s="6" t="s">
        <v>11605</v>
      </c>
      <c r="J2130" s="6" t="s">
        <v>11606</v>
      </c>
      <c r="K2130" s="7">
        <f t="shared" si="2"/>
        <v>0.1935004714</v>
      </c>
    </row>
    <row r="2131">
      <c r="A2131" s="4">
        <v>2131.0</v>
      </c>
      <c r="B2131" s="5" t="s">
        <v>11607</v>
      </c>
      <c r="C2131" s="5" t="s">
        <v>11608</v>
      </c>
      <c r="D2131" s="5" t="s">
        <v>11607</v>
      </c>
      <c r="E2131" s="6" t="s">
        <v>74</v>
      </c>
      <c r="F2131" s="6" t="s">
        <v>11609</v>
      </c>
      <c r="G2131" s="3" t="str">
        <f>IFERROR(__xludf.DUMMYFUNCTION("REGEXREPLACE(
D2131,
""([一-龯々]+)\[([^\]]+)\]"",
""&lt;ruby&gt;$1&lt;rt&gt;$2&lt;/rt&gt;&lt;/ruby&gt;""
)&amp;""&lt;br&gt;&lt;div class=""""audio""""&gt;[sound:""&amp;C2131&amp;"".mp3]&lt;/div&gt;"""),"ギター&lt;br&gt;&lt;div class=""audio""&gt;[sound:ぎたー.mp3]&lt;/div&gt;")</f>
        <v>ギター&lt;br&gt;&lt;div class="audio"&gt;[sound:ぎたー.mp3]&lt;/div&gt;</v>
      </c>
      <c r="H2131" s="3" t="str">
        <f t="shared" si="1"/>
        <v>(n): đàn guitar</v>
      </c>
      <c r="I2131" s="6" t="s">
        <v>11610</v>
      </c>
      <c r="J2131" s="6" t="s">
        <v>11611</v>
      </c>
      <c r="K2131" s="7">
        <f t="shared" si="2"/>
        <v>0.5460026754</v>
      </c>
    </row>
    <row r="2132">
      <c r="A2132" s="4">
        <v>2132.0</v>
      </c>
      <c r="B2132" s="5" t="s">
        <v>11612</v>
      </c>
      <c r="C2132" s="5" t="s">
        <v>11613</v>
      </c>
      <c r="D2132" s="5" t="s">
        <v>11614</v>
      </c>
      <c r="E2132" s="6" t="s">
        <v>24</v>
      </c>
      <c r="F2132" s="6" t="s">
        <v>11615</v>
      </c>
      <c r="G2132" s="3" t="str">
        <f>IFERROR(__xludf.DUMMYFUNCTION("REGEXREPLACE(
D2132,
""([一-龯々]+)\[([^\]]+)\]"",
""&lt;ruby&gt;$1&lt;rt&gt;$2&lt;/rt&gt;&lt;/ruby&gt;""
)&amp;""&lt;br&gt;&lt;div class=""""audio""""&gt;[sound:""&amp;C2132&amp;"".mp3]&lt;/div&gt;"""),"&lt;ruby&gt;乗&lt;rt&gt;の&lt;/rt&gt;&lt;/ruby&gt;り&lt;ruby&gt;換&lt;rt&gt;か&lt;/rt&gt;&lt;/ruby&gt;える&lt;br&gt;&lt;div class=""audio""&gt;[sound:のりかえる.mp3]&lt;/div&gt;")</f>
        <v>&lt;ruby&gt;乗&lt;rt&gt;の&lt;/rt&gt;&lt;/ruby&gt;り&lt;ruby&gt;換&lt;rt&gt;か&lt;/rt&gt;&lt;/ruby&gt;える&lt;br&gt;&lt;div class="audio"&gt;[sound:のりかえる.mp3]&lt;/div&gt;</v>
      </c>
      <c r="H2132" s="3" t="str">
        <f t="shared" si="1"/>
        <v>(v): chuyển tàu</v>
      </c>
      <c r="I2132" s="6" t="s">
        <v>11616</v>
      </c>
      <c r="J2132" s="6" t="s">
        <v>11617</v>
      </c>
      <c r="K2132" s="7">
        <f t="shared" si="2"/>
        <v>0.2580095041</v>
      </c>
    </row>
    <row r="2133">
      <c r="A2133" s="4">
        <v>2133.0</v>
      </c>
      <c r="B2133" s="5" t="s">
        <v>11618</v>
      </c>
      <c r="C2133" s="5" t="s">
        <v>11619</v>
      </c>
      <c r="D2133" s="5" t="s">
        <v>11620</v>
      </c>
      <c r="E2133" s="6" t="s">
        <v>74</v>
      </c>
      <c r="F2133" s="6" t="s">
        <v>11621</v>
      </c>
      <c r="G2133" s="3" t="str">
        <f>IFERROR(__xludf.DUMMYFUNCTION("REGEXREPLACE(
D2133,
""([一-龯々]+)\[([^\]]+)\]"",
""&lt;ruby&gt;$1&lt;rt&gt;$2&lt;/rt&gt;&lt;/ruby&gt;""
)&amp;""&lt;br&gt;&lt;div class=""""audio""""&gt;[sound:""&amp;C2133&amp;"".mp3]&lt;/div&gt;"""),"&lt;ruby&gt;手術&lt;rt&gt;しゅじゅつ&lt;/rt&gt;&lt;/ruby&gt;&lt;br&gt;&lt;div class=""audio""&gt;[sound:しゅじゅつ.mp3]&lt;/div&gt;")</f>
        <v>&lt;ruby&gt;手術&lt;rt&gt;しゅじゅつ&lt;/rt&gt;&lt;/ruby&gt;&lt;br&gt;&lt;div class="audio"&gt;[sound:しゅじゅつ.mp3]&lt;/div&gt;</v>
      </c>
      <c r="H2133" s="3" t="str">
        <f t="shared" si="1"/>
        <v>(n): phẫu thuật</v>
      </c>
      <c r="I2133" s="6" t="s">
        <v>11622</v>
      </c>
      <c r="J2133" s="6" t="s">
        <v>11623</v>
      </c>
      <c r="K2133" s="7">
        <f t="shared" si="2"/>
        <v>0.07266556999</v>
      </c>
    </row>
    <row r="2134">
      <c r="A2134" s="4">
        <v>2134.0</v>
      </c>
      <c r="B2134" s="5" t="s">
        <v>11624</v>
      </c>
      <c r="C2134" s="5" t="s">
        <v>11625</v>
      </c>
      <c r="D2134" s="5" t="s">
        <v>11626</v>
      </c>
      <c r="E2134" s="6" t="s">
        <v>74</v>
      </c>
      <c r="F2134" s="6" t="s">
        <v>11627</v>
      </c>
      <c r="G2134" s="3" t="str">
        <f>IFERROR(__xludf.DUMMYFUNCTION("REGEXREPLACE(
D2134,
""([一-龯々]+)\[([^\]]+)\]"",
""&lt;ruby&gt;$1&lt;rt&gt;$2&lt;/rt&gt;&lt;/ruby&gt;""
)&amp;""&lt;br&gt;&lt;div class=""""audio""""&gt;[sound:""&amp;C2134&amp;"".mp3]&lt;/div&gt;"""),"&lt;ruby&gt;北&lt;rt&gt;きた&lt;/rt&gt;&lt;/ruby&gt;&lt;br&gt;&lt;div class=""audio""&gt;[sound:きた.mp3]&lt;/div&gt;")</f>
        <v>&lt;ruby&gt;北&lt;rt&gt;きた&lt;/rt&gt;&lt;/ruby&gt;&lt;br&gt;&lt;div class="audio"&gt;[sound:きた.mp3]&lt;/div&gt;</v>
      </c>
      <c r="H2134" s="3" t="str">
        <f t="shared" si="1"/>
        <v>(n): phía bắc</v>
      </c>
      <c r="I2134" s="6" t="s">
        <v>11628</v>
      </c>
      <c r="J2134" s="6" t="s">
        <v>11629</v>
      </c>
      <c r="K2134" s="7">
        <f t="shared" si="2"/>
        <v>0.4985047189</v>
      </c>
    </row>
    <row r="2135">
      <c r="A2135" s="4">
        <v>2135.0</v>
      </c>
      <c r="B2135" s="5" t="s">
        <v>11630</v>
      </c>
      <c r="C2135" s="5" t="s">
        <v>11631</v>
      </c>
      <c r="D2135" s="5" t="s">
        <v>11632</v>
      </c>
      <c r="E2135" s="6" t="s">
        <v>74</v>
      </c>
      <c r="F2135" s="6" t="s">
        <v>11633</v>
      </c>
      <c r="G2135" s="3" t="str">
        <f>IFERROR(__xludf.DUMMYFUNCTION("REGEXREPLACE(
D2135,
""([一-龯々]+)\[([^\]]+)\]"",
""&lt;ruby&gt;$1&lt;rt&gt;$2&lt;/rt&gt;&lt;/ruby&gt;""
)&amp;""&lt;br&gt;&lt;div class=""""audio""""&gt;[sound:""&amp;C2135&amp;"".mp3]&lt;/div&gt;"""),"&lt;ruby&gt;息子&lt;rt&gt;むすこ&lt;/rt&gt;&lt;/ruby&gt;&lt;br&gt;&lt;div class=""audio""&gt;[sound:むすこ.mp3]&lt;/div&gt;")</f>
        <v>&lt;ruby&gt;息子&lt;rt&gt;むすこ&lt;/rt&gt;&lt;/ruby&gt;&lt;br&gt;&lt;div class="audio"&gt;[sound:むすこ.mp3]&lt;/div&gt;</v>
      </c>
      <c r="H2135" s="3" t="str">
        <f t="shared" si="1"/>
        <v>(n): con trai</v>
      </c>
      <c r="I2135" s="6" t="s">
        <v>11634</v>
      </c>
      <c r="J2135" s="6" t="s">
        <v>11635</v>
      </c>
      <c r="K2135" s="7">
        <f t="shared" si="2"/>
        <v>0.8732182391</v>
      </c>
    </row>
    <row r="2136">
      <c r="A2136" s="4">
        <v>2136.0</v>
      </c>
      <c r="B2136" s="5" t="s">
        <v>11636</v>
      </c>
      <c r="C2136" s="5" t="s">
        <v>11637</v>
      </c>
      <c r="D2136" s="5" t="s">
        <v>11638</v>
      </c>
      <c r="E2136" s="6" t="s">
        <v>74</v>
      </c>
      <c r="F2136" s="6" t="s">
        <v>11639</v>
      </c>
      <c r="G2136" s="3" t="str">
        <f>IFERROR(__xludf.DUMMYFUNCTION("REGEXREPLACE(
D2136,
""([一-龯々]+)\[([^\]]+)\]"",
""&lt;ruby&gt;$1&lt;rt&gt;$2&lt;/rt&gt;&lt;/ruby&gt;""
)&amp;""&lt;br&gt;&lt;div class=""""audio""""&gt;[sound:""&amp;C2136&amp;"".mp3]&lt;/div&gt;"""),"&lt;ruby&gt;生産&lt;rt&gt;せいさん&lt;/rt&gt;&lt;/ruby&gt;&lt;br&gt;&lt;div class=""audio""&gt;[sound:せいさん.mp3]&lt;/div&gt;")</f>
        <v>&lt;ruby&gt;生産&lt;rt&gt;せいさん&lt;/rt&gt;&lt;/ruby&gt;&lt;br&gt;&lt;div class="audio"&gt;[sound:せいさん.mp3]&lt;/div&gt;</v>
      </c>
      <c r="H2136" s="3" t="str">
        <f t="shared" si="1"/>
        <v>(n): sản xuất</v>
      </c>
      <c r="I2136" s="6" t="s">
        <v>11640</v>
      </c>
      <c r="J2136" s="6" t="s">
        <v>11641</v>
      </c>
      <c r="K2136" s="7">
        <f t="shared" si="2"/>
        <v>0.1672916238</v>
      </c>
    </row>
    <row r="2137">
      <c r="A2137" s="4">
        <v>2137.0</v>
      </c>
      <c r="B2137" s="5" t="s">
        <v>11642</v>
      </c>
      <c r="C2137" s="5" t="s">
        <v>11643</v>
      </c>
      <c r="D2137" s="5" t="s">
        <v>11644</v>
      </c>
      <c r="E2137" s="6" t="s">
        <v>74</v>
      </c>
      <c r="F2137" s="6" t="s">
        <v>11645</v>
      </c>
      <c r="G2137" s="3" t="str">
        <f>IFERROR(__xludf.DUMMYFUNCTION("REGEXREPLACE(
D2137,
""([一-龯々]+)\[([^\]]+)\]"",
""&lt;ruby&gt;$1&lt;rt&gt;$2&lt;/rt&gt;&lt;/ruby&gt;""
)&amp;""&lt;br&gt;&lt;div class=""""audio""""&gt;[sound:""&amp;C2137&amp;"".mp3]&lt;/div&gt;"""),"&lt;ruby&gt;血圧&lt;rt&gt;けつあつ&lt;/rt&gt;&lt;/ruby&gt;&lt;br&gt;&lt;div class=""audio""&gt;[sound:けつあつ.mp3]&lt;/div&gt;")</f>
        <v>&lt;ruby&gt;血圧&lt;rt&gt;けつあつ&lt;/rt&gt;&lt;/ruby&gt;&lt;br&gt;&lt;div class="audio"&gt;[sound:けつあつ.mp3]&lt;/div&gt;</v>
      </c>
      <c r="H2137" s="3" t="str">
        <f t="shared" si="1"/>
        <v>(n): huyết áp</v>
      </c>
      <c r="I2137" s="6" t="s">
        <v>11646</v>
      </c>
      <c r="J2137" s="6" t="s">
        <v>11647</v>
      </c>
      <c r="K2137" s="7">
        <f t="shared" si="2"/>
        <v>0.6034556228</v>
      </c>
    </row>
    <row r="2138">
      <c r="A2138" s="4">
        <v>2138.0</v>
      </c>
      <c r="B2138" s="5" t="s">
        <v>11648</v>
      </c>
      <c r="C2138" s="5" t="s">
        <v>11649</v>
      </c>
      <c r="D2138" s="5" t="s">
        <v>11650</v>
      </c>
      <c r="E2138" s="6" t="s">
        <v>74</v>
      </c>
      <c r="F2138" s="6" t="s">
        <v>11651</v>
      </c>
      <c r="G2138" s="3" t="str">
        <f>IFERROR(__xludf.DUMMYFUNCTION("REGEXREPLACE(
D2138,
""([一-龯々]+)\[([^\]]+)\]"",
""&lt;ruby&gt;$1&lt;rt&gt;$2&lt;/rt&gt;&lt;/ruby&gt;""
)&amp;""&lt;br&gt;&lt;div class=""""audio""""&gt;[sound:""&amp;C2138&amp;"".mp3]&lt;/div&gt;"""),"&lt;ruby&gt;血管&lt;rt&gt;けっかん&lt;/rt&gt;&lt;/ruby&gt;&lt;br&gt;&lt;div class=""audio""&gt;[sound:けっかん.mp3]&lt;/div&gt;")</f>
        <v>&lt;ruby&gt;血管&lt;rt&gt;けっかん&lt;/rt&gt;&lt;/ruby&gt;&lt;br&gt;&lt;div class="audio"&gt;[sound:けっかん.mp3]&lt;/div&gt;</v>
      </c>
      <c r="H2138" s="3" t="str">
        <f t="shared" si="1"/>
        <v>(n): mạch máu</v>
      </c>
      <c r="I2138" s="6" t="s">
        <v>11652</v>
      </c>
      <c r="J2138" s="6" t="s">
        <v>11653</v>
      </c>
      <c r="K2138" s="7">
        <f t="shared" si="2"/>
        <v>0.09269009027</v>
      </c>
    </row>
    <row r="2139">
      <c r="A2139" s="4">
        <v>2139.0</v>
      </c>
      <c r="B2139" s="5" t="s">
        <v>11654</v>
      </c>
      <c r="C2139" s="5" t="s">
        <v>11654</v>
      </c>
      <c r="D2139" s="5" t="s">
        <v>11654</v>
      </c>
      <c r="E2139" s="6" t="s">
        <v>33</v>
      </c>
      <c r="F2139" s="6" t="s">
        <v>11655</v>
      </c>
      <c r="G2139" s="3" t="str">
        <f>IFERROR(__xludf.DUMMYFUNCTION("REGEXREPLACE(
D2139,
""([一-龯々]+)\[([^\]]+)\]"",
""&lt;ruby&gt;$1&lt;rt&gt;$2&lt;/rt&gt;&lt;/ruby&gt;""
)&amp;""&lt;br&gt;&lt;div class=""""audio""""&gt;[sound:""&amp;C2139&amp;"".mp3]&lt;/div&gt;"""),"ちょうだい&lt;br&gt;&lt;div class=""audio""&gt;[sound:ちょうだい.mp3]&lt;/div&gt;")</f>
        <v>ちょうだい&lt;br&gt;&lt;div class="audio"&gt;[sound:ちょうだい.mp3]&lt;/div&gt;</v>
      </c>
      <c r="H2139" s="3" t="str">
        <f t="shared" si="1"/>
        <v>(int): cho tôi</v>
      </c>
      <c r="I2139" s="6" t="s">
        <v>11656</v>
      </c>
      <c r="J2139" s="6" t="s">
        <v>529</v>
      </c>
      <c r="K2139" s="7">
        <f t="shared" si="2"/>
        <v>0.02855450593</v>
      </c>
    </row>
    <row r="2140">
      <c r="A2140" s="4">
        <v>2140.0</v>
      </c>
      <c r="B2140" s="5" t="s">
        <v>11657</v>
      </c>
      <c r="C2140" s="5" t="s">
        <v>7789</v>
      </c>
      <c r="D2140" s="5" t="s">
        <v>11658</v>
      </c>
      <c r="E2140" s="6" t="s">
        <v>74</v>
      </c>
      <c r="F2140" s="6" t="s">
        <v>10035</v>
      </c>
      <c r="G2140" s="3" t="str">
        <f>IFERROR(__xludf.DUMMYFUNCTION("REGEXREPLACE(
D2140,
""([一-龯々]+)\[([^\]]+)\]"",
""&lt;ruby&gt;$1&lt;rt&gt;$2&lt;/rt&gt;&lt;/ruby&gt;""
)&amp;""&lt;br&gt;&lt;div class=""""audio""""&gt;[sound:""&amp;C2140&amp;"".mp3]&lt;/div&gt;"""),"&lt;ruby&gt;協力&lt;rt&gt;きょうりょく&lt;/rt&gt;&lt;/ruby&gt;&lt;br&gt;&lt;div class=""audio""&gt;[sound:きょうりょく.mp3]&lt;/div&gt;")</f>
        <v>&lt;ruby&gt;協力&lt;rt&gt;きょうりょく&lt;/rt&gt;&lt;/ruby&gt;&lt;br&gt;&lt;div class="audio"&gt;[sound:きょうりょく.mp3]&lt;/div&gt;</v>
      </c>
      <c r="H2140" s="3" t="str">
        <f t="shared" si="1"/>
        <v>(n): hợp tác</v>
      </c>
      <c r="I2140" s="6" t="s">
        <v>11659</v>
      </c>
      <c r="J2140" s="6" t="s">
        <v>11660</v>
      </c>
      <c r="K2140" s="7">
        <f t="shared" si="2"/>
        <v>0.5615349065</v>
      </c>
    </row>
    <row r="2141">
      <c r="A2141" s="4">
        <v>2141.0</v>
      </c>
      <c r="B2141" s="5" t="s">
        <v>11661</v>
      </c>
      <c r="C2141" s="5" t="s">
        <v>11662</v>
      </c>
      <c r="D2141" s="5" t="s">
        <v>11663</v>
      </c>
      <c r="E2141" s="6" t="s">
        <v>11</v>
      </c>
      <c r="F2141" s="6" t="s">
        <v>11664</v>
      </c>
      <c r="G2141" s="3" t="str">
        <f>IFERROR(__xludf.DUMMYFUNCTION("REGEXREPLACE(
D2141,
""([一-龯々]+)\[([^\]]+)\]"",
""&lt;ruby&gt;$1&lt;rt&gt;$2&lt;/rt&gt;&lt;/ruby&gt;""
)&amp;""&lt;br&gt;&lt;div class=""""audio""""&gt;[sound:""&amp;C2141&amp;"".mp3]&lt;/div&gt;"""),"&lt;ruby&gt;恐&lt;rt&gt;おそ&lt;/rt&gt;&lt;/ruby&gt;ろしい&lt;br&gt;&lt;div class=""audio""&gt;[sound:おそろしい.mp3]&lt;/div&gt;")</f>
        <v>&lt;ruby&gt;恐&lt;rt&gt;おそ&lt;/rt&gt;&lt;/ruby&gt;ろしい&lt;br&gt;&lt;div class="audio"&gt;[sound:おそろしい.mp3]&lt;/div&gt;</v>
      </c>
      <c r="H2141" s="3" t="str">
        <f t="shared" si="1"/>
        <v>(adj): đáng sợ</v>
      </c>
      <c r="I2141" s="6" t="s">
        <v>11665</v>
      </c>
      <c r="J2141" s="6" t="s">
        <v>11666</v>
      </c>
      <c r="K2141" s="7">
        <f t="shared" si="2"/>
        <v>0.4163727239</v>
      </c>
    </row>
    <row r="2142">
      <c r="A2142" s="4">
        <v>2142.0</v>
      </c>
      <c r="B2142" s="5" t="s">
        <v>11667</v>
      </c>
      <c r="C2142" s="5" t="s">
        <v>11668</v>
      </c>
      <c r="D2142" s="5" t="s">
        <v>11669</v>
      </c>
      <c r="E2142" s="6" t="s">
        <v>74</v>
      </c>
      <c r="F2142" s="6" t="s">
        <v>1627</v>
      </c>
      <c r="G2142" s="3" t="str">
        <f>IFERROR(__xludf.DUMMYFUNCTION("REGEXREPLACE(
D2142,
""([一-龯々]+)\[([^\]]+)\]"",
""&lt;ruby&gt;$1&lt;rt&gt;$2&lt;/rt&gt;&lt;/ruby&gt;""
)&amp;""&lt;br&gt;&lt;div class=""""audio""""&gt;[sound:""&amp;C2142&amp;"".mp3]&lt;/div&gt;"""),"&lt;ruby&gt;返事&lt;rt&gt;へんじ&lt;/rt&gt;&lt;/ruby&gt;&lt;br&gt;&lt;div class=""audio""&gt;[sound:へんじ.mp3]&lt;/div&gt;")</f>
        <v>&lt;ruby&gt;返事&lt;rt&gt;へんじ&lt;/rt&gt;&lt;/ruby&gt;&lt;br&gt;&lt;div class="audio"&gt;[sound:へんじ.mp3]&lt;/div&gt;</v>
      </c>
      <c r="H2142" s="3" t="str">
        <f t="shared" si="1"/>
        <v>(n): trả lời</v>
      </c>
      <c r="I2142" s="6" t="s">
        <v>11670</v>
      </c>
      <c r="J2142" s="6" t="s">
        <v>11671</v>
      </c>
      <c r="K2142" s="7">
        <f t="shared" si="2"/>
        <v>0.03788595938</v>
      </c>
    </row>
    <row r="2143">
      <c r="A2143" s="4">
        <v>2143.0</v>
      </c>
      <c r="B2143" s="5" t="s">
        <v>11672</v>
      </c>
      <c r="C2143" s="5" t="s">
        <v>11673</v>
      </c>
      <c r="D2143" s="5" t="s">
        <v>11672</v>
      </c>
      <c r="E2143" s="6" t="s">
        <v>74</v>
      </c>
      <c r="F2143" s="6" t="s">
        <v>11674</v>
      </c>
      <c r="G2143" s="3" t="str">
        <f>IFERROR(__xludf.DUMMYFUNCTION("REGEXREPLACE(
D2143,
""([一-龯々]+)\[([^\]]+)\]"",
""&lt;ruby&gt;$1&lt;rt&gt;$2&lt;/rt&gt;&lt;/ruby&gt;""
)&amp;""&lt;br&gt;&lt;div class=""""audio""""&gt;[sound:""&amp;C2143&amp;"".mp3]&lt;/div&gt;"""),"サイン&lt;br&gt;&lt;div class=""audio""&gt;[sound:さいん.mp3]&lt;/div&gt;")</f>
        <v>サイン&lt;br&gt;&lt;div class="audio"&gt;[sound:さいん.mp3]&lt;/div&gt;</v>
      </c>
      <c r="H2143" s="3" t="str">
        <f t="shared" si="1"/>
        <v>(n): chữ ký</v>
      </c>
      <c r="I2143" s="6" t="s">
        <v>11675</v>
      </c>
      <c r="J2143" s="6" t="s">
        <v>11676</v>
      </c>
      <c r="K2143" s="7">
        <f t="shared" si="2"/>
        <v>0.398109455</v>
      </c>
    </row>
    <row r="2144">
      <c r="A2144" s="4">
        <v>2144.0</v>
      </c>
      <c r="B2144" s="5" t="s">
        <v>11677</v>
      </c>
      <c r="C2144" s="5" t="s">
        <v>11677</v>
      </c>
      <c r="D2144" s="5" t="s">
        <v>11677</v>
      </c>
      <c r="E2144" s="6" t="s">
        <v>85</v>
      </c>
      <c r="F2144" s="6" t="s">
        <v>2744</v>
      </c>
      <c r="G2144" s="3" t="str">
        <f>IFERROR(__xludf.DUMMYFUNCTION("REGEXREPLACE(
D2144,
""([一-龯々]+)\[([^\]]+)\]"",
""&lt;ruby&gt;$1&lt;rt&gt;$2&lt;/rt&gt;&lt;/ruby&gt;""
)&amp;""&lt;br&gt;&lt;div class=""""audio""""&gt;[sound:""&amp;C2144&amp;"".mp3]&lt;/div&gt;"""),"ほっと&lt;br&gt;&lt;div class=""audio""&gt;[sound:ほっと.mp3]&lt;/div&gt;")</f>
        <v>ほっと&lt;br&gt;&lt;div class="audio"&gt;[sound:ほっと.mp3]&lt;/div&gt;</v>
      </c>
      <c r="H2144" s="3" t="str">
        <f t="shared" si="1"/>
        <v>(adv): an tâm</v>
      </c>
      <c r="I2144" s="6" t="s">
        <v>11678</v>
      </c>
      <c r="J2144" s="6" t="s">
        <v>11679</v>
      </c>
      <c r="K2144" s="7">
        <f t="shared" si="2"/>
        <v>0.1173632639</v>
      </c>
    </row>
    <row r="2145">
      <c r="A2145" s="4">
        <v>2145.0</v>
      </c>
      <c r="B2145" s="5" t="s">
        <v>11680</v>
      </c>
      <c r="C2145" s="5" t="s">
        <v>11681</v>
      </c>
      <c r="D2145" s="5" t="s">
        <v>11682</v>
      </c>
      <c r="E2145" s="6" t="s">
        <v>74</v>
      </c>
      <c r="F2145" s="6" t="s">
        <v>956</v>
      </c>
      <c r="G2145" s="3" t="str">
        <f>IFERROR(__xludf.DUMMYFUNCTION("REGEXREPLACE(
D2145,
""([一-龯々]+)\[([^\]]+)\]"",
""&lt;ruby&gt;$1&lt;rt&gt;$2&lt;/rt&gt;&lt;/ruby&gt;""
)&amp;""&lt;br&gt;&lt;div class=""""audio""""&gt;[sound:""&amp;C2145&amp;"".mp3]&lt;/div&gt;"""),"&lt;ruby&gt;以後&lt;rt&gt;いご&lt;/rt&gt;&lt;/ruby&gt;&lt;br&gt;&lt;div class=""audio""&gt;[sound:いご.mp3]&lt;/div&gt;")</f>
        <v>&lt;ruby&gt;以後&lt;rt&gt;いご&lt;/rt&gt;&lt;/ruby&gt;&lt;br&gt;&lt;div class="audio"&gt;[sound:いご.mp3]&lt;/div&gt;</v>
      </c>
      <c r="H2145" s="3" t="str">
        <f t="shared" si="1"/>
        <v>(n): sau đó</v>
      </c>
      <c r="I2145" s="6" t="s">
        <v>11683</v>
      </c>
      <c r="J2145" s="6" t="s">
        <v>11684</v>
      </c>
      <c r="K2145" s="7">
        <f t="shared" si="2"/>
        <v>0.2379797185</v>
      </c>
    </row>
    <row r="2146">
      <c r="A2146" s="4">
        <v>2146.0</v>
      </c>
      <c r="B2146" s="5" t="s">
        <v>11685</v>
      </c>
      <c r="C2146" s="5" t="s">
        <v>11686</v>
      </c>
      <c r="D2146" s="5" t="s">
        <v>11687</v>
      </c>
      <c r="E2146" s="6" t="s">
        <v>58</v>
      </c>
      <c r="F2146" s="6" t="s">
        <v>11688</v>
      </c>
      <c r="G2146" s="3" t="str">
        <f>IFERROR(__xludf.DUMMYFUNCTION("REGEXREPLACE(
D2146,
""([一-龯々]+)\[([^\]]+)\]"",
""&lt;ruby&gt;$1&lt;rt&gt;$2&lt;/rt&gt;&lt;/ruby&gt;""
)&amp;""&lt;br&gt;&lt;div class=""""audio""""&gt;[sound:""&amp;C2146&amp;"".mp3]&lt;/div&gt;"""),"&lt;ruby&gt;八&lt;rt&gt;はち&lt;/rt&gt;&lt;/ruby&gt;&lt;br&gt;&lt;div class=""audio""&gt;[sound:はち.mp3]&lt;/div&gt;")</f>
        <v>&lt;ruby&gt;八&lt;rt&gt;はち&lt;/rt&gt;&lt;/ruby&gt;&lt;br&gt;&lt;div class="audio"&gt;[sound:はち.mp3]&lt;/div&gt;</v>
      </c>
      <c r="H2146" s="3" t="str">
        <f t="shared" si="1"/>
        <v>(num): số tám</v>
      </c>
      <c r="I2146" s="6" t="s">
        <v>11689</v>
      </c>
      <c r="J2146" s="6" t="s">
        <v>11690</v>
      </c>
      <c r="K2146" s="7">
        <f t="shared" si="2"/>
        <v>0.7236578938</v>
      </c>
    </row>
    <row r="2147">
      <c r="A2147" s="4">
        <v>2147.0</v>
      </c>
      <c r="B2147" s="5" t="s">
        <v>11691</v>
      </c>
      <c r="C2147" s="5" t="s">
        <v>11692</v>
      </c>
      <c r="D2147" s="5" t="s">
        <v>11693</v>
      </c>
      <c r="E2147" s="6" t="s">
        <v>24</v>
      </c>
      <c r="F2147" s="6" t="s">
        <v>11694</v>
      </c>
      <c r="G2147" s="3" t="str">
        <f>IFERROR(__xludf.DUMMYFUNCTION("REGEXREPLACE(
D2147,
""([一-龯々]+)\[([^\]]+)\]"",
""&lt;ruby&gt;$1&lt;rt&gt;$2&lt;/rt&gt;&lt;/ruby&gt;""
)&amp;""&lt;br&gt;&lt;div class=""""audio""""&gt;[sound:""&amp;C2147&amp;"".mp3]&lt;/div&gt;"""),"&lt;ruby&gt;折&lt;rt&gt;お&lt;/rt&gt;&lt;/ruby&gt;れる&lt;br&gt;&lt;div class=""audio""&gt;[sound:おれる.mp3]&lt;/div&gt;")</f>
        <v>&lt;ruby&gt;折&lt;rt&gt;お&lt;/rt&gt;&lt;/ruby&gt;れる&lt;br&gt;&lt;div class="audio"&gt;[sound:おれる.mp3]&lt;/div&gt;</v>
      </c>
      <c r="H2147" s="3" t="str">
        <f t="shared" si="1"/>
        <v>(v): bị gãy</v>
      </c>
      <c r="I2147" s="6" t="s">
        <v>11695</v>
      </c>
      <c r="J2147" s="6" t="s">
        <v>11696</v>
      </c>
      <c r="K2147" s="7">
        <f t="shared" si="2"/>
        <v>0.4703912627</v>
      </c>
    </row>
    <row r="2148">
      <c r="A2148" s="4">
        <v>2148.0</v>
      </c>
      <c r="B2148" s="5" t="s">
        <v>11697</v>
      </c>
      <c r="C2148" s="5" t="s">
        <v>11698</v>
      </c>
      <c r="D2148" s="5" t="s">
        <v>11699</v>
      </c>
      <c r="E2148" s="6" t="s">
        <v>24</v>
      </c>
      <c r="F2148" s="6" t="s">
        <v>11700</v>
      </c>
      <c r="G2148" s="3" t="str">
        <f>IFERROR(__xludf.DUMMYFUNCTION("REGEXREPLACE(
D2148,
""([一-龯々]+)\[([^\]]+)\]"",
""&lt;ruby&gt;$1&lt;rt&gt;$2&lt;/rt&gt;&lt;/ruby&gt;""
)&amp;""&lt;br&gt;&lt;div class=""""audio""""&gt;[sound:""&amp;C2148&amp;"".mp3]&lt;/div&gt;"""),"&lt;ruby&gt;避&lt;rt&gt;さ&lt;/rt&gt;&lt;/ruby&gt;ける&lt;br&gt;&lt;div class=""audio""&gt;[sound:さける.mp3]&lt;/div&gt;")</f>
        <v>&lt;ruby&gt;避&lt;rt&gt;さ&lt;/rt&gt;&lt;/ruby&gt;ける&lt;br&gt;&lt;div class="audio"&gt;[sound:さける.mp3]&lt;/div&gt;</v>
      </c>
      <c r="H2148" s="3" t="str">
        <f t="shared" si="1"/>
        <v>(v): tránh</v>
      </c>
      <c r="I2148" s="6" t="s">
        <v>11701</v>
      </c>
      <c r="J2148" s="6" t="s">
        <v>11702</v>
      </c>
      <c r="K2148" s="7">
        <f t="shared" si="2"/>
        <v>0.4170701524</v>
      </c>
    </row>
    <row r="2149">
      <c r="A2149" s="4">
        <v>2149.0</v>
      </c>
      <c r="B2149" s="5" t="s">
        <v>11703</v>
      </c>
      <c r="C2149" s="5" t="s">
        <v>11704</v>
      </c>
      <c r="D2149" s="5" t="s">
        <v>11703</v>
      </c>
      <c r="E2149" s="6" t="s">
        <v>74</v>
      </c>
      <c r="F2149" s="6" t="s">
        <v>11705</v>
      </c>
      <c r="G2149" s="3" t="str">
        <f>IFERROR(__xludf.DUMMYFUNCTION("REGEXREPLACE(
D2149,
""([一-龯々]+)\[([^\]]+)\]"",
""&lt;ruby&gt;$1&lt;rt&gt;$2&lt;/rt&gt;&lt;/ruby&gt;""
)&amp;""&lt;br&gt;&lt;div class=""""audio""""&gt;[sound:""&amp;C2149&amp;"".mp3]&lt;/div&gt;"""),"クリーム&lt;br&gt;&lt;div class=""audio""&gt;[sound:くりーむ.mp3]&lt;/div&gt;")</f>
        <v>クリーム&lt;br&gt;&lt;div class="audio"&gt;[sound:くりーむ.mp3]&lt;/div&gt;</v>
      </c>
      <c r="H2149" s="3" t="str">
        <f t="shared" si="1"/>
        <v>(n): kem</v>
      </c>
      <c r="I2149" s="6" t="s">
        <v>11706</v>
      </c>
      <c r="J2149" s="6" t="s">
        <v>11707</v>
      </c>
      <c r="K2149" s="7">
        <f t="shared" si="2"/>
        <v>0.5584732938</v>
      </c>
    </row>
    <row r="2150">
      <c r="A2150" s="4">
        <v>2150.0</v>
      </c>
      <c r="B2150" s="5" t="s">
        <v>11708</v>
      </c>
      <c r="C2150" s="5" t="s">
        <v>11709</v>
      </c>
      <c r="D2150" s="5" t="s">
        <v>11708</v>
      </c>
      <c r="E2150" s="6" t="s">
        <v>74</v>
      </c>
      <c r="F2150" s="6" t="s">
        <v>3092</v>
      </c>
      <c r="G2150" s="3" t="str">
        <f>IFERROR(__xludf.DUMMYFUNCTION("REGEXREPLACE(
D2150,
""([一-龯々]+)\[([^\]]+)\]"",
""&lt;ruby&gt;$1&lt;rt&gt;$2&lt;/rt&gt;&lt;/ruby&gt;""
)&amp;""&lt;br&gt;&lt;div class=""""audio""""&gt;[sound:""&amp;C2150&amp;"".mp3]&lt;/div&gt;"""),"シーズン&lt;br&gt;&lt;div class=""audio""&gt;[sound:しーずん.mp3]&lt;/div&gt;")</f>
        <v>シーズン&lt;br&gt;&lt;div class="audio"&gt;[sound:しーずん.mp3]&lt;/div&gt;</v>
      </c>
      <c r="H2150" s="3" t="str">
        <f t="shared" si="1"/>
        <v>(n): mùa</v>
      </c>
      <c r="I2150" s="6" t="s">
        <v>11710</v>
      </c>
      <c r="J2150" s="6" t="s">
        <v>11711</v>
      </c>
      <c r="K2150" s="7">
        <f t="shared" si="2"/>
        <v>0.8248990339</v>
      </c>
    </row>
    <row r="2151">
      <c r="A2151" s="4">
        <v>2151.0</v>
      </c>
      <c r="B2151" s="5" t="s">
        <v>11712</v>
      </c>
      <c r="C2151" s="5" t="s">
        <v>11713</v>
      </c>
      <c r="D2151" s="5" t="s">
        <v>11714</v>
      </c>
      <c r="E2151" s="6" t="s">
        <v>24</v>
      </c>
      <c r="F2151" s="6" t="s">
        <v>172</v>
      </c>
      <c r="G2151" s="3" t="str">
        <f>IFERROR(__xludf.DUMMYFUNCTION("REGEXREPLACE(
D2151,
""([一-龯々]+)\[([^\]]+)\]"",
""&lt;ruby&gt;$1&lt;rt&gt;$2&lt;/rt&gt;&lt;/ruby&gt;""
)&amp;""&lt;br&gt;&lt;div class=""""audio""""&gt;[sound:""&amp;C2151&amp;"".mp3]&lt;/div&gt;"""),"&lt;ruby&gt;御覧&lt;rt&gt;ごらん&lt;/rt&gt;&lt;/ruby&gt;&lt;br&gt;&lt;div class=""audio""&gt;[sound:ごらん.mp3]&lt;/div&gt;")</f>
        <v>&lt;ruby&gt;御覧&lt;rt&gt;ごらん&lt;/rt&gt;&lt;/ruby&gt;&lt;br&gt;&lt;div class="audio"&gt;[sound:ごらん.mp3]&lt;/div&gt;</v>
      </c>
      <c r="H2151" s="3" t="str">
        <f t="shared" si="1"/>
        <v>(v): xem</v>
      </c>
      <c r="I2151" s="6" t="s">
        <v>11715</v>
      </c>
      <c r="J2151" s="6" t="s">
        <v>11716</v>
      </c>
      <c r="K2151" s="7">
        <f t="shared" si="2"/>
        <v>0.2550173146</v>
      </c>
    </row>
    <row r="2152">
      <c r="A2152" s="4">
        <v>2152.0</v>
      </c>
      <c r="B2152" s="5" t="s">
        <v>11717</v>
      </c>
      <c r="C2152" s="5" t="s">
        <v>1501</v>
      </c>
      <c r="D2152" s="5" t="s">
        <v>11718</v>
      </c>
      <c r="E2152" s="6" t="s">
        <v>74</v>
      </c>
      <c r="F2152" s="6" t="s">
        <v>11719</v>
      </c>
      <c r="G2152" s="3" t="str">
        <f>IFERROR(__xludf.DUMMYFUNCTION("REGEXREPLACE(
D2152,
""([一-龯々]+)\[([^\]]+)\]"",
""&lt;ruby&gt;$1&lt;rt&gt;$2&lt;/rt&gt;&lt;/ruby&gt;""
)&amp;""&lt;br&gt;&lt;div class=""""audio""""&gt;[sound:""&amp;C2152&amp;"".mp3]&lt;/div&gt;"""),"&lt;ruby&gt;肩&lt;rt&gt;かた&lt;/rt&gt;&lt;/ruby&gt;&lt;br&gt;&lt;div class=""audio""&gt;[sound:かた.mp3]&lt;/div&gt;")</f>
        <v>&lt;ruby&gt;肩&lt;rt&gt;かた&lt;/rt&gt;&lt;/ruby&gt;&lt;br&gt;&lt;div class="audio"&gt;[sound:かた.mp3]&lt;/div&gt;</v>
      </c>
      <c r="H2152" s="3" t="str">
        <f t="shared" si="1"/>
        <v>(n): vai</v>
      </c>
      <c r="I2152" s="6" t="s">
        <v>11720</v>
      </c>
      <c r="J2152" s="6" t="s">
        <v>11721</v>
      </c>
      <c r="K2152" s="7">
        <f t="shared" si="2"/>
        <v>0.7187848571</v>
      </c>
    </row>
    <row r="2153">
      <c r="A2153" s="4">
        <v>2153.0</v>
      </c>
      <c r="B2153" s="5" t="s">
        <v>11722</v>
      </c>
      <c r="C2153" s="5" t="s">
        <v>11722</v>
      </c>
      <c r="D2153" s="5" t="s">
        <v>11722</v>
      </c>
      <c r="E2153" s="6" t="s">
        <v>85</v>
      </c>
      <c r="F2153" s="6" t="s">
        <v>11723</v>
      </c>
      <c r="G2153" s="3" t="str">
        <f>IFERROR(__xludf.DUMMYFUNCTION("REGEXREPLACE(
D2153,
""([一-龯々]+)\[([^\]]+)\]"",
""&lt;ruby&gt;$1&lt;rt&gt;$2&lt;/rt&gt;&lt;/ruby&gt;""
)&amp;""&lt;br&gt;&lt;div class=""""audio""""&gt;[sound:""&amp;C2153&amp;"".mp3]&lt;/div&gt;"""),"うっかり&lt;br&gt;&lt;div class=""audio""&gt;[sound:うっかり.mp3]&lt;/div&gt;")</f>
        <v>うっかり&lt;br&gt;&lt;div class="audio"&gt;[sound:うっかり.mp3]&lt;/div&gt;</v>
      </c>
      <c r="H2153" s="3" t="str">
        <f t="shared" si="1"/>
        <v>(adv): lỡ</v>
      </c>
      <c r="I2153" s="6" t="s">
        <v>11724</v>
      </c>
      <c r="J2153" s="6" t="s">
        <v>11725</v>
      </c>
      <c r="K2153" s="7">
        <f t="shared" si="2"/>
        <v>0.5623939515</v>
      </c>
    </row>
    <row r="2154">
      <c r="A2154" s="4">
        <v>2154.0</v>
      </c>
      <c r="B2154" s="5" t="s">
        <v>11726</v>
      </c>
      <c r="C2154" s="5" t="s">
        <v>11727</v>
      </c>
      <c r="D2154" s="5" t="s">
        <v>11726</v>
      </c>
      <c r="E2154" s="6" t="s">
        <v>74</v>
      </c>
      <c r="F2154" s="6" t="s">
        <v>11728</v>
      </c>
      <c r="G2154" s="3" t="str">
        <f>IFERROR(__xludf.DUMMYFUNCTION("REGEXREPLACE(
D2154,
""([一-龯々]+)\[([^\]]+)\]"",
""&lt;ruby&gt;$1&lt;rt&gt;$2&lt;/rt&gt;&lt;/ruby&gt;""
)&amp;""&lt;br&gt;&lt;div class=""""audio""""&gt;[sound:""&amp;C2154&amp;"".mp3]&lt;/div&gt;"""),"テキスト&lt;br&gt;&lt;div class=""audio""&gt;[sound:てきすと.mp3]&lt;/div&gt;")</f>
        <v>テキスト&lt;br&gt;&lt;div class="audio"&gt;[sound:てきすと.mp3]&lt;/div&gt;</v>
      </c>
      <c r="H2154" s="3" t="str">
        <f t="shared" si="1"/>
        <v>(n): giáo trình</v>
      </c>
      <c r="I2154" s="6" t="s">
        <v>11729</v>
      </c>
      <c r="J2154" s="6" t="s">
        <v>11730</v>
      </c>
      <c r="K2154" s="7">
        <f t="shared" si="2"/>
        <v>0.5814478545</v>
      </c>
    </row>
    <row r="2155">
      <c r="A2155" s="4">
        <v>2155.0</v>
      </c>
      <c r="B2155" s="5" t="s">
        <v>11731</v>
      </c>
      <c r="C2155" s="5" t="s">
        <v>11732</v>
      </c>
      <c r="D2155" s="5" t="s">
        <v>11733</v>
      </c>
      <c r="E2155" s="6" t="s">
        <v>74</v>
      </c>
      <c r="F2155" s="6" t="s">
        <v>2081</v>
      </c>
      <c r="G2155" s="3" t="str">
        <f>IFERROR(__xludf.DUMMYFUNCTION("REGEXREPLACE(
D2155,
""([一-龯々]+)\[([^\]]+)\]"",
""&lt;ruby&gt;$1&lt;rt&gt;$2&lt;/rt&gt;&lt;/ruby&gt;""
)&amp;""&lt;br&gt;&lt;div class=""""audio""""&gt;[sound:""&amp;C2155&amp;"".mp3]&lt;/div&gt;"""),"&lt;ruby&gt;物語&lt;rt&gt;ものがたり&lt;/rt&gt;&lt;/ruby&gt;&lt;br&gt;&lt;div class=""audio""&gt;[sound:ものがたり.mp3]&lt;/div&gt;")</f>
        <v>&lt;ruby&gt;物語&lt;rt&gt;ものがたり&lt;/rt&gt;&lt;/ruby&gt;&lt;br&gt;&lt;div class="audio"&gt;[sound:ものがたり.mp3]&lt;/div&gt;</v>
      </c>
      <c r="H2155" s="3" t="str">
        <f t="shared" si="1"/>
        <v>(n): câu chuyện</v>
      </c>
      <c r="I2155" s="6" t="s">
        <v>11734</v>
      </c>
      <c r="J2155" s="6" t="s">
        <v>11735</v>
      </c>
      <c r="K2155" s="7">
        <f t="shared" si="2"/>
        <v>0.9013766295</v>
      </c>
    </row>
    <row r="2156">
      <c r="A2156" s="4">
        <v>2156.0</v>
      </c>
      <c r="B2156" s="5" t="s">
        <v>11736</v>
      </c>
      <c r="C2156" s="5" t="s">
        <v>11737</v>
      </c>
      <c r="D2156" s="5" t="s">
        <v>11738</v>
      </c>
      <c r="E2156" s="6" t="s">
        <v>24</v>
      </c>
      <c r="F2156" s="6" t="s">
        <v>11739</v>
      </c>
      <c r="G2156" s="3" t="str">
        <f>IFERROR(__xludf.DUMMYFUNCTION("REGEXREPLACE(
D2156,
""([一-龯々]+)\[([^\]]+)\]"",
""&lt;ruby&gt;$1&lt;rt&gt;$2&lt;/rt&gt;&lt;/ruby&gt;""
)&amp;""&lt;br&gt;&lt;div class=""""audio""""&gt;[sound:""&amp;C2156&amp;"".mp3]&lt;/div&gt;"""),"&lt;ruby&gt;通&lt;rt&gt;とお&lt;/rt&gt;&lt;/ruby&gt;す&lt;br&gt;&lt;div class=""audio""&gt;[sound:とおす.mp3]&lt;/div&gt;")</f>
        <v>&lt;ruby&gt;通&lt;rt&gt;とお&lt;/rt&gt;&lt;/ruby&gt;す&lt;br&gt;&lt;div class="audio"&gt;[sound:とおす.mp3]&lt;/div&gt;</v>
      </c>
      <c r="H2156" s="3" t="str">
        <f t="shared" si="1"/>
        <v>(v): xuyên qua</v>
      </c>
      <c r="I2156" s="6" t="s">
        <v>11740</v>
      </c>
      <c r="J2156" s="6" t="s">
        <v>11741</v>
      </c>
      <c r="K2156" s="7">
        <f t="shared" si="2"/>
        <v>0.6295519552</v>
      </c>
    </row>
    <row r="2157">
      <c r="A2157" s="4">
        <v>2157.0</v>
      </c>
      <c r="B2157" s="5" t="s">
        <v>11742</v>
      </c>
      <c r="C2157" s="5" t="s">
        <v>11743</v>
      </c>
      <c r="D2157" s="5" t="s">
        <v>11744</v>
      </c>
      <c r="E2157" s="6" t="s">
        <v>24</v>
      </c>
      <c r="F2157" s="6" t="s">
        <v>10063</v>
      </c>
      <c r="G2157" s="3" t="str">
        <f>IFERROR(__xludf.DUMMYFUNCTION("REGEXREPLACE(
D2157,
""([一-龯々]+)\[([^\]]+)\]"",
""&lt;ruby&gt;$1&lt;rt&gt;$2&lt;/rt&gt;&lt;/ruby&gt;""
)&amp;""&lt;br&gt;&lt;div class=""""audio""""&gt;[sound:""&amp;C2157&amp;"".mp3]&lt;/div&gt;"""),"&lt;ruby&gt;重&lt;rt&gt;かさ&lt;/rt&gt;&lt;/ruby&gt;ねる&lt;br&gt;&lt;div class=""audio""&gt;[sound:かさねる.mp3]&lt;/div&gt;")</f>
        <v>&lt;ruby&gt;重&lt;rt&gt;かさ&lt;/rt&gt;&lt;/ruby&gt;ねる&lt;br&gt;&lt;div class="audio"&gt;[sound:かさねる.mp3]&lt;/div&gt;</v>
      </c>
      <c r="H2157" s="3" t="str">
        <f t="shared" si="1"/>
        <v>(v): chồng lên</v>
      </c>
      <c r="I2157" s="6" t="s">
        <v>11745</v>
      </c>
      <c r="J2157" s="6" t="s">
        <v>11746</v>
      </c>
      <c r="K2157" s="7">
        <f t="shared" si="2"/>
        <v>0.3227303527</v>
      </c>
    </row>
    <row r="2158">
      <c r="A2158" s="4">
        <v>2158.0</v>
      </c>
      <c r="B2158" s="5" t="s">
        <v>11747</v>
      </c>
      <c r="C2158" s="5" t="s">
        <v>11748</v>
      </c>
      <c r="D2158" s="5" t="s">
        <v>11749</v>
      </c>
      <c r="E2158" s="6" t="s">
        <v>11</v>
      </c>
      <c r="F2158" s="6" t="s">
        <v>11750</v>
      </c>
      <c r="G2158" s="3" t="str">
        <f>IFERROR(__xludf.DUMMYFUNCTION("REGEXREPLACE(
D2158,
""([一-龯々]+)\[([^\]]+)\]"",
""&lt;ruby&gt;$1&lt;rt&gt;$2&lt;/rt&gt;&lt;/ruby&gt;""
)&amp;""&lt;br&gt;&lt;div class=""""audio""""&gt;[sound:""&amp;C2158&amp;"".mp3]&lt;/div&gt;"""),"&lt;ruby&gt;優&lt;rt&gt;やさ&lt;/rt&gt;&lt;/ruby&gt;しい&lt;br&gt;&lt;div class=""audio""&gt;[sound:やさしい.mp3]&lt;/div&gt;")</f>
        <v>&lt;ruby&gt;優&lt;rt&gt;やさ&lt;/rt&gt;&lt;/ruby&gt;しい&lt;br&gt;&lt;div class="audio"&gt;[sound:やさしい.mp3]&lt;/div&gt;</v>
      </c>
      <c r="H2158" s="3" t="str">
        <f t="shared" si="1"/>
        <v>(adj): dịu dàng</v>
      </c>
      <c r="I2158" s="6" t="s">
        <v>11751</v>
      </c>
      <c r="J2158" s="6" t="s">
        <v>11752</v>
      </c>
      <c r="K2158" s="7">
        <f t="shared" si="2"/>
        <v>0.02366388377</v>
      </c>
    </row>
    <row r="2159">
      <c r="A2159" s="4">
        <v>2159.0</v>
      </c>
      <c r="B2159" s="5" t="s">
        <v>11753</v>
      </c>
      <c r="C2159" s="5" t="s">
        <v>11754</v>
      </c>
      <c r="D2159" s="5" t="s">
        <v>11755</v>
      </c>
      <c r="E2159" s="6" t="s">
        <v>85</v>
      </c>
      <c r="F2159" s="6" t="s">
        <v>506</v>
      </c>
      <c r="G2159" s="3" t="str">
        <f>IFERROR(__xludf.DUMMYFUNCTION("REGEXREPLACE(
D2159,
""([一-龯々]+)\[([^\]]+)\]"",
""&lt;ruby&gt;$1&lt;rt&gt;$2&lt;/rt&gt;&lt;/ruby&gt;""
)&amp;""&lt;br&gt;&lt;div class=""""audio""""&gt;[sound:""&amp;C2159&amp;"".mp3]&lt;/div&gt;"""),"&lt;ruby&gt;一層&lt;rt&gt;いっそう&lt;/rt&gt;&lt;/ruby&gt;&lt;br&gt;&lt;div class=""audio""&gt;[sound:いっそう.mp3]&lt;/div&gt;")</f>
        <v>&lt;ruby&gt;一層&lt;rt&gt;いっそう&lt;/rt&gt;&lt;/ruby&gt;&lt;br&gt;&lt;div class="audio"&gt;[sound:いっそう.mp3]&lt;/div&gt;</v>
      </c>
      <c r="H2159" s="3" t="str">
        <f t="shared" si="1"/>
        <v>(adv): hơn nữa</v>
      </c>
      <c r="I2159" s="6" t="s">
        <v>11756</v>
      </c>
      <c r="J2159" s="6" t="s">
        <v>11757</v>
      </c>
      <c r="K2159" s="7">
        <f t="shared" si="2"/>
        <v>0.2957288683</v>
      </c>
    </row>
    <row r="2160">
      <c r="A2160" s="4">
        <v>2160.0</v>
      </c>
      <c r="B2160" s="5" t="s">
        <v>11758</v>
      </c>
      <c r="C2160" s="5" t="s">
        <v>11759</v>
      </c>
      <c r="D2160" s="5" t="s">
        <v>11760</v>
      </c>
      <c r="E2160" s="6" t="s">
        <v>24</v>
      </c>
      <c r="F2160" s="6" t="s">
        <v>11761</v>
      </c>
      <c r="G2160" s="3" t="str">
        <f>IFERROR(__xludf.DUMMYFUNCTION("REGEXREPLACE(
D2160,
""([一-龯々]+)\[([^\]]+)\]"",
""&lt;ruby&gt;$1&lt;rt&gt;$2&lt;/rt&gt;&lt;/ruby&gt;""
)&amp;""&lt;br&gt;&lt;div class=""""audio""""&gt;[sound:""&amp;C2160&amp;"".mp3]&lt;/div&gt;"""),"&lt;ruby&gt;切&lt;rt&gt;き&lt;/rt&gt;&lt;/ruby&gt;れる&lt;br&gt;&lt;div class=""audio""&gt;[sound:きれる.mp3]&lt;/div&gt;")</f>
        <v>&lt;ruby&gt;切&lt;rt&gt;き&lt;/rt&gt;&lt;/ruby&gt;れる&lt;br&gt;&lt;div class="audio"&gt;[sound:きれる.mp3]&lt;/div&gt;</v>
      </c>
      <c r="H2160" s="3" t="str">
        <f t="shared" si="1"/>
        <v>(v): cắt đứt</v>
      </c>
      <c r="I2160" s="6" t="s">
        <v>11762</v>
      </c>
      <c r="J2160" s="6" t="s">
        <v>11763</v>
      </c>
      <c r="K2160" s="7">
        <f t="shared" si="2"/>
        <v>0.3116032537</v>
      </c>
    </row>
    <row r="2161">
      <c r="A2161" s="4">
        <v>2161.0</v>
      </c>
      <c r="B2161" s="5" t="s">
        <v>11764</v>
      </c>
      <c r="C2161" s="5" t="s">
        <v>11765</v>
      </c>
      <c r="D2161" s="5" t="s">
        <v>11764</v>
      </c>
      <c r="E2161" s="6" t="s">
        <v>74</v>
      </c>
      <c r="F2161" s="6" t="s">
        <v>11766</v>
      </c>
      <c r="G2161" s="3" t="str">
        <f>IFERROR(__xludf.DUMMYFUNCTION("REGEXREPLACE(
D2161,
""([一-龯々]+)\[([^\]]+)\]"",
""&lt;ruby&gt;$1&lt;rt&gt;$2&lt;/rt&gt;&lt;/ruby&gt;""
)&amp;""&lt;br&gt;&lt;div class=""""audio""""&gt;[sound:""&amp;C2161&amp;"".mp3]&lt;/div&gt;"""),"ダウン&lt;br&gt;&lt;div class=""audio""&gt;[sound:だうん.mp3]&lt;/div&gt;")</f>
        <v>ダウン&lt;br&gt;&lt;div class="audio"&gt;[sound:だうん.mp3]&lt;/div&gt;</v>
      </c>
      <c r="H2161" s="3" t="str">
        <f t="shared" si="1"/>
        <v>(n): giảm</v>
      </c>
      <c r="I2161" s="6" t="s">
        <v>11767</v>
      </c>
      <c r="J2161" s="6" t="s">
        <v>11768</v>
      </c>
      <c r="K2161" s="7">
        <f t="shared" si="2"/>
        <v>0.9533948563</v>
      </c>
    </row>
    <row r="2162">
      <c r="A2162" s="4">
        <v>2162.0</v>
      </c>
      <c r="B2162" s="5" t="s">
        <v>11769</v>
      </c>
      <c r="C2162" s="5" t="s">
        <v>1773</v>
      </c>
      <c r="D2162" s="5" t="s">
        <v>11770</v>
      </c>
      <c r="E2162" s="6" t="s">
        <v>24</v>
      </c>
      <c r="F2162" s="6" t="s">
        <v>6448</v>
      </c>
      <c r="G2162" s="3" t="str">
        <f>IFERROR(__xludf.DUMMYFUNCTION("REGEXREPLACE(
D2162,
""([一-龯々]+)\[([^\]]+)\]"",
""&lt;ruby&gt;$1&lt;rt&gt;$2&lt;/rt&gt;&lt;/ruby&gt;""
)&amp;""&lt;br&gt;&lt;div class=""""audio""""&gt;[sound:""&amp;C2162&amp;"".mp3]&lt;/div&gt;"""),"&lt;ruby&gt;弾&lt;rt&gt;ひ&lt;/rt&gt;&lt;/ruby&gt;く&lt;br&gt;&lt;div class=""audio""&gt;[sound:ひく.mp3]&lt;/div&gt;")</f>
        <v>&lt;ruby&gt;弾&lt;rt&gt;ひ&lt;/rt&gt;&lt;/ruby&gt;く&lt;br&gt;&lt;div class="audio"&gt;[sound:ひく.mp3]&lt;/div&gt;</v>
      </c>
      <c r="H2162" s="3" t="str">
        <f t="shared" si="1"/>
        <v>(v): chơi</v>
      </c>
      <c r="I2162" s="6" t="s">
        <v>11771</v>
      </c>
      <c r="J2162" s="6" t="s">
        <v>11772</v>
      </c>
      <c r="K2162" s="7">
        <f t="shared" si="2"/>
        <v>0.2571515673</v>
      </c>
    </row>
    <row r="2163">
      <c r="A2163" s="4">
        <v>2163.0</v>
      </c>
      <c r="B2163" s="5" t="s">
        <v>11773</v>
      </c>
      <c r="C2163" s="5" t="s">
        <v>11774</v>
      </c>
      <c r="D2163" s="5" t="s">
        <v>11775</v>
      </c>
      <c r="E2163" s="6" t="s">
        <v>74</v>
      </c>
      <c r="F2163" s="6" t="s">
        <v>11776</v>
      </c>
      <c r="G2163" s="3" t="str">
        <f>IFERROR(__xludf.DUMMYFUNCTION("REGEXREPLACE(
D2163,
""([一-龯々]+)\[([^\]]+)\]"",
""&lt;ruby&gt;$1&lt;rt&gt;$2&lt;/rt&gt;&lt;/ruby&gt;""
)&amp;""&lt;br&gt;&lt;div class=""""audio""""&gt;[sound:""&amp;C2163&amp;"".mp3]&lt;/div&gt;"""),"&lt;ruby&gt;布&lt;rt&gt;ぬの&lt;/rt&gt;&lt;/ruby&gt;&lt;br&gt;&lt;div class=""audio""&gt;[sound:ぬの.mp3]&lt;/div&gt;")</f>
        <v>&lt;ruby&gt;布&lt;rt&gt;ぬの&lt;/rt&gt;&lt;/ruby&gt;&lt;br&gt;&lt;div class="audio"&gt;[sound:ぬの.mp3]&lt;/div&gt;</v>
      </c>
      <c r="H2163" s="3" t="str">
        <f t="shared" si="1"/>
        <v>(n): vải</v>
      </c>
      <c r="I2163" s="6" t="s">
        <v>11777</v>
      </c>
      <c r="J2163" s="6" t="s">
        <v>11778</v>
      </c>
      <c r="K2163" s="7">
        <f t="shared" si="2"/>
        <v>0.2872830062</v>
      </c>
    </row>
    <row r="2164">
      <c r="A2164" s="4">
        <v>2164.0</v>
      </c>
      <c r="B2164" s="5" t="s">
        <v>11779</v>
      </c>
      <c r="C2164" s="5" t="s">
        <v>5260</v>
      </c>
      <c r="D2164" s="5" t="s">
        <v>11780</v>
      </c>
      <c r="E2164" s="6" t="s">
        <v>74</v>
      </c>
      <c r="F2164" s="6" t="s">
        <v>11781</v>
      </c>
      <c r="G2164" s="3" t="str">
        <f>IFERROR(__xludf.DUMMYFUNCTION("REGEXREPLACE(
D2164,
""([一-龯々]+)\[([^\]]+)\]"",
""&lt;ruby&gt;$1&lt;rt&gt;$2&lt;/rt&gt;&lt;/ruby&gt;""
)&amp;""&lt;br&gt;&lt;div class=""""audio""""&gt;[sound:""&amp;C2164&amp;"".mp3]&lt;/div&gt;"""),"&lt;ruby&gt;課&lt;rt&gt;か&lt;/rt&gt;&lt;/ruby&gt;&lt;br&gt;&lt;div class=""audio""&gt;[sound:か.mp3]&lt;/div&gt;")</f>
        <v>&lt;ruby&gt;課&lt;rt&gt;か&lt;/rt&gt;&lt;/ruby&gt;&lt;br&gt;&lt;div class="audio"&gt;[sound:か.mp3]&lt;/div&gt;</v>
      </c>
      <c r="H2164" s="3" t="str">
        <f t="shared" si="1"/>
        <v>(n): bài</v>
      </c>
      <c r="I2164" s="6" t="s">
        <v>11782</v>
      </c>
      <c r="J2164" s="6" t="s">
        <v>11783</v>
      </c>
      <c r="K2164" s="7">
        <f t="shared" si="2"/>
        <v>0.9194849326</v>
      </c>
    </row>
    <row r="2165">
      <c r="A2165" s="4">
        <v>2165.0</v>
      </c>
      <c r="B2165" s="5" t="s">
        <v>11784</v>
      </c>
      <c r="C2165" s="5" t="s">
        <v>11785</v>
      </c>
      <c r="D2165" s="5" t="s">
        <v>11784</v>
      </c>
      <c r="E2165" s="6" t="s">
        <v>74</v>
      </c>
      <c r="F2165" s="6" t="s">
        <v>11786</v>
      </c>
      <c r="G2165" s="3" t="str">
        <f>IFERROR(__xludf.DUMMYFUNCTION("REGEXREPLACE(
D2165,
""([一-龯々]+)\[([^\]]+)\]"",
""&lt;ruby&gt;$1&lt;rt&gt;$2&lt;/rt&gt;&lt;/ruby&gt;""
)&amp;""&lt;br&gt;&lt;div class=""""audio""""&gt;[sound:""&amp;C2165&amp;"".mp3]&lt;/div&gt;"""),"テープ&lt;br&gt;&lt;div class=""audio""&gt;[sound:てーぷ.mp3]&lt;/div&gt;")</f>
        <v>テープ&lt;br&gt;&lt;div class="audio"&gt;[sound:てーぷ.mp3]&lt;/div&gt;</v>
      </c>
      <c r="H2165" s="3" t="str">
        <f t="shared" si="1"/>
        <v>(n): băng dính</v>
      </c>
      <c r="I2165" s="6" t="s">
        <v>11787</v>
      </c>
      <c r="J2165" s="6" t="s">
        <v>11788</v>
      </c>
      <c r="K2165" s="7">
        <f t="shared" si="2"/>
        <v>0.9902422242</v>
      </c>
    </row>
    <row r="2166">
      <c r="A2166" s="4">
        <v>2166.0</v>
      </c>
      <c r="B2166" s="5" t="s">
        <v>11789</v>
      </c>
      <c r="C2166" s="5" t="s">
        <v>11790</v>
      </c>
      <c r="D2166" s="5" t="s">
        <v>11789</v>
      </c>
      <c r="E2166" s="6" t="s">
        <v>74</v>
      </c>
      <c r="F2166" s="6" t="s">
        <v>11791</v>
      </c>
      <c r="G2166" s="3" t="str">
        <f>IFERROR(__xludf.DUMMYFUNCTION("REGEXREPLACE(
D2166,
""([一-龯々]+)\[([^\]]+)\]"",
""&lt;ruby&gt;$1&lt;rt&gt;$2&lt;/rt&gt;&lt;/ruby&gt;""
)&amp;""&lt;br&gt;&lt;div class=""""audio""""&gt;[sound:""&amp;C2166&amp;"".mp3]&lt;/div&gt;"""),"ベルト&lt;br&gt;&lt;div class=""audio""&gt;[sound:べると.mp3]&lt;/div&gt;")</f>
        <v>ベルト&lt;br&gt;&lt;div class="audio"&gt;[sound:べると.mp3]&lt;/div&gt;</v>
      </c>
      <c r="H2166" s="3" t="str">
        <f t="shared" si="1"/>
        <v>(n): thắt lưng</v>
      </c>
      <c r="I2166" s="6" t="s">
        <v>11792</v>
      </c>
      <c r="J2166" s="6" t="s">
        <v>11793</v>
      </c>
      <c r="K2166" s="7">
        <f t="shared" si="2"/>
        <v>0.815329072</v>
      </c>
    </row>
    <row r="2167">
      <c r="A2167" s="4">
        <v>2167.0</v>
      </c>
      <c r="B2167" s="5" t="s">
        <v>11794</v>
      </c>
      <c r="C2167" s="5" t="s">
        <v>11795</v>
      </c>
      <c r="D2167" s="5" t="s">
        <v>11794</v>
      </c>
      <c r="E2167" s="6" t="s">
        <v>74</v>
      </c>
      <c r="F2167" s="6" t="s">
        <v>11796</v>
      </c>
      <c r="G2167" s="3" t="str">
        <f>IFERROR(__xludf.DUMMYFUNCTION("REGEXREPLACE(
D2167,
""([一-龯々]+)\[([^\]]+)\]"",
""&lt;ruby&gt;$1&lt;rt&gt;$2&lt;/rt&gt;&lt;/ruby&gt;""
)&amp;""&lt;br&gt;&lt;div class=""""audio""""&gt;[sound:""&amp;C2167&amp;"".mp3]&lt;/div&gt;"""),"リズム&lt;br&gt;&lt;div class=""audio""&gt;[sound:りずむ.mp3]&lt;/div&gt;")</f>
        <v>リズム&lt;br&gt;&lt;div class="audio"&gt;[sound:りずむ.mp3]&lt;/div&gt;</v>
      </c>
      <c r="H2167" s="3" t="str">
        <f t="shared" si="1"/>
        <v>(n): nhịp điệu</v>
      </c>
      <c r="I2167" s="6" t="s">
        <v>11797</v>
      </c>
      <c r="J2167" s="6" t="s">
        <v>11798</v>
      </c>
      <c r="K2167" s="7">
        <f t="shared" si="2"/>
        <v>0.7221191914</v>
      </c>
    </row>
    <row r="2168">
      <c r="A2168" s="4">
        <v>2168.0</v>
      </c>
      <c r="B2168" s="5" t="s">
        <v>11799</v>
      </c>
      <c r="C2168" s="5" t="s">
        <v>11800</v>
      </c>
      <c r="D2168" s="5" t="s">
        <v>11801</v>
      </c>
      <c r="E2168" s="6" t="s">
        <v>74</v>
      </c>
      <c r="F2168" s="6" t="s">
        <v>11802</v>
      </c>
      <c r="G2168" s="3" t="str">
        <f>IFERROR(__xludf.DUMMYFUNCTION("REGEXREPLACE(
D2168,
""([一-龯々]+)\[([^\]]+)\]"",
""&lt;ruby&gt;$1&lt;rt&gt;$2&lt;/rt&gt;&lt;/ruby&gt;""
)&amp;""&lt;br&gt;&lt;div class=""""audio""""&gt;[sound:""&amp;C2168&amp;"".mp3]&lt;/div&gt;"""),"&lt;ruby&gt;論文&lt;rt&gt;ろんぶん&lt;/rt&gt;&lt;/ruby&gt;&lt;br&gt;&lt;div class=""audio""&gt;[sound:ろんぶん.mp3]&lt;/div&gt;")</f>
        <v>&lt;ruby&gt;論文&lt;rt&gt;ろんぶん&lt;/rt&gt;&lt;/ruby&gt;&lt;br&gt;&lt;div class="audio"&gt;[sound:ろんぶん.mp3]&lt;/div&gt;</v>
      </c>
      <c r="H2168" s="3" t="str">
        <f t="shared" si="1"/>
        <v>(n): luận văn</v>
      </c>
      <c r="I2168" s="6" t="s">
        <v>11803</v>
      </c>
      <c r="J2168" s="6" t="s">
        <v>11804</v>
      </c>
      <c r="K2168" s="7">
        <f t="shared" si="2"/>
        <v>0.9393346454</v>
      </c>
    </row>
    <row r="2169">
      <c r="A2169" s="4">
        <v>2169.0</v>
      </c>
      <c r="B2169" s="5" t="s">
        <v>11805</v>
      </c>
      <c r="C2169" s="5" t="s">
        <v>11806</v>
      </c>
      <c r="D2169" s="5" t="s">
        <v>11807</v>
      </c>
      <c r="E2169" s="6" t="s">
        <v>74</v>
      </c>
      <c r="F2169" s="6" t="s">
        <v>11808</v>
      </c>
      <c r="G2169" s="3" t="str">
        <f>IFERROR(__xludf.DUMMYFUNCTION("REGEXREPLACE(
D2169,
""([一-龯々]+)\[([^\]]+)\]"",
""&lt;ruby&gt;$1&lt;rt&gt;$2&lt;/rt&gt;&lt;/ruby&gt;""
)&amp;""&lt;br&gt;&lt;div class=""""audio""""&gt;[sound:""&amp;C2169&amp;"".mp3]&lt;/div&gt;"""),"&lt;ruby&gt;人事&lt;rt&gt;じんじ&lt;/rt&gt;&lt;/ruby&gt;&lt;br&gt;&lt;div class=""audio""&gt;[sound:じんじ.mp3]&lt;/div&gt;")</f>
        <v>&lt;ruby&gt;人事&lt;rt&gt;じんじ&lt;/rt&gt;&lt;/ruby&gt;&lt;br&gt;&lt;div class="audio"&gt;[sound:じんじ.mp3]&lt;/div&gt;</v>
      </c>
      <c r="H2169" s="3" t="str">
        <f t="shared" si="1"/>
        <v>(n): nhân sự</v>
      </c>
      <c r="I2169" s="6" t="s">
        <v>11809</v>
      </c>
      <c r="J2169" s="6" t="s">
        <v>11810</v>
      </c>
      <c r="K2169" s="7">
        <f t="shared" si="2"/>
        <v>0.002249199377</v>
      </c>
    </row>
    <row r="2170">
      <c r="A2170" s="4">
        <v>2170.0</v>
      </c>
      <c r="B2170" s="5" t="s">
        <v>11811</v>
      </c>
      <c r="C2170" s="5" t="s">
        <v>11812</v>
      </c>
      <c r="D2170" s="5" t="s">
        <v>11813</v>
      </c>
      <c r="E2170" s="6" t="s">
        <v>74</v>
      </c>
      <c r="F2170" s="6" t="s">
        <v>5863</v>
      </c>
      <c r="G2170" s="3" t="str">
        <f>IFERROR(__xludf.DUMMYFUNCTION("REGEXREPLACE(
D2170,
""([一-龯々]+)\[([^\]]+)\]"",
""&lt;ruby&gt;$1&lt;rt&gt;$2&lt;/rt&gt;&lt;/ruby&gt;""
)&amp;""&lt;br&gt;&lt;div class=""""audio""""&gt;[sound:""&amp;C2170&amp;"".mp3]&lt;/div&gt;"""),"&lt;ruby&gt;今晩&lt;rt&gt;こんばん&lt;/rt&gt;&lt;/ruby&gt;&lt;br&gt;&lt;div class=""audio""&gt;[sound:こんばん.mp3]&lt;/div&gt;")</f>
        <v>&lt;ruby&gt;今晩&lt;rt&gt;こんばん&lt;/rt&gt;&lt;/ruby&gt;&lt;br&gt;&lt;div class="audio"&gt;[sound:こんばん.mp3]&lt;/div&gt;</v>
      </c>
      <c r="H2170" s="3" t="str">
        <f t="shared" si="1"/>
        <v>(n): tối nay</v>
      </c>
      <c r="I2170" s="6" t="s">
        <v>11814</v>
      </c>
      <c r="J2170" s="6" t="s">
        <v>11815</v>
      </c>
      <c r="K2170" s="7">
        <f t="shared" si="2"/>
        <v>0.3902981201</v>
      </c>
    </row>
    <row r="2171">
      <c r="A2171" s="4">
        <v>2171.0</v>
      </c>
      <c r="B2171" s="5" t="s">
        <v>11816</v>
      </c>
      <c r="C2171" s="5" t="s">
        <v>11817</v>
      </c>
      <c r="D2171" s="5" t="s">
        <v>11816</v>
      </c>
      <c r="E2171" s="6" t="s">
        <v>74</v>
      </c>
      <c r="F2171" s="6" t="s">
        <v>11818</v>
      </c>
      <c r="G2171" s="3" t="str">
        <f>IFERROR(__xludf.DUMMYFUNCTION("REGEXREPLACE(
D2171,
""([一-龯々]+)\[([^\]]+)\]"",
""&lt;ruby&gt;$1&lt;rt&gt;$2&lt;/rt&gt;&lt;/ruby&gt;""
)&amp;""&lt;br&gt;&lt;div class=""""audio""""&gt;[sound:""&amp;C2171&amp;"".mp3]&lt;/div&gt;"""),"トラック&lt;br&gt;&lt;div class=""audio""&gt;[sound:とらっく.mp3]&lt;/div&gt;")</f>
        <v>トラック&lt;br&gt;&lt;div class="audio"&gt;[sound:とらっく.mp3]&lt;/div&gt;</v>
      </c>
      <c r="H2171" s="3" t="str">
        <f t="shared" si="1"/>
        <v>(n): xe tải</v>
      </c>
      <c r="I2171" s="6" t="s">
        <v>11819</v>
      </c>
      <c r="J2171" s="6" t="s">
        <v>11820</v>
      </c>
      <c r="K2171" s="7">
        <f t="shared" si="2"/>
        <v>0.6483876547</v>
      </c>
    </row>
    <row r="2172">
      <c r="A2172" s="4">
        <v>2172.0</v>
      </c>
      <c r="B2172" s="5" t="s">
        <v>11821</v>
      </c>
      <c r="C2172" s="5" t="s">
        <v>11822</v>
      </c>
      <c r="D2172" s="5" t="s">
        <v>11821</v>
      </c>
      <c r="E2172" s="6" t="s">
        <v>74</v>
      </c>
      <c r="F2172" s="6" t="s">
        <v>11823</v>
      </c>
      <c r="G2172" s="3" t="str">
        <f>IFERROR(__xludf.DUMMYFUNCTION("REGEXREPLACE(
D2172,
""([一-龯々]+)\[([^\]]+)\]"",
""&lt;ruby&gt;$1&lt;rt&gt;$2&lt;/rt&gt;&lt;/ruby&gt;""
)&amp;""&lt;br&gt;&lt;div class=""""audio""""&gt;[sound:""&amp;C2172&amp;"".mp3]&lt;/div&gt;"""),"アルバム&lt;br&gt;&lt;div class=""audio""&gt;[sound:あるばむ.mp3]&lt;/div&gt;")</f>
        <v>アルバム&lt;br&gt;&lt;div class="audio"&gt;[sound:あるばむ.mp3]&lt;/div&gt;</v>
      </c>
      <c r="H2172" s="3" t="str">
        <f t="shared" si="1"/>
        <v>(n): album</v>
      </c>
      <c r="I2172" s="6" t="s">
        <v>11824</v>
      </c>
      <c r="J2172" s="6" t="s">
        <v>11825</v>
      </c>
      <c r="K2172" s="7">
        <f t="shared" si="2"/>
        <v>0.9814868271</v>
      </c>
    </row>
    <row r="2173">
      <c r="A2173" s="4">
        <v>2173.0</v>
      </c>
      <c r="B2173" s="5" t="s">
        <v>11826</v>
      </c>
      <c r="C2173" s="5" t="s">
        <v>11827</v>
      </c>
      <c r="D2173" s="5" t="s">
        <v>11828</v>
      </c>
      <c r="E2173" s="6" t="s">
        <v>74</v>
      </c>
      <c r="F2173" s="6" t="s">
        <v>11829</v>
      </c>
      <c r="G2173" s="3" t="str">
        <f>IFERROR(__xludf.DUMMYFUNCTION("REGEXREPLACE(
D2173,
""([一-龯々]+)\[([^\]]+)\]"",
""&lt;ruby&gt;$1&lt;rt&gt;$2&lt;/rt&gt;&lt;/ruby&gt;""
)&amp;""&lt;br&gt;&lt;div class=""""audio""""&gt;[sound:""&amp;C2173&amp;"".mp3]&lt;/div&gt;"""),"&lt;ruby&gt;意&lt;rt&gt;い&lt;/rt&gt;&lt;/ruby&gt;&lt;br&gt;&lt;div class=""audio""&gt;[sound:い.mp3]&lt;/div&gt;")</f>
        <v>&lt;ruby&gt;意&lt;rt&gt;い&lt;/rt&gt;&lt;/ruby&gt;&lt;br&gt;&lt;div class="audio"&gt;[sound:い.mp3]&lt;/div&gt;</v>
      </c>
      <c r="H2173" s="3" t="str">
        <f t="shared" si="1"/>
        <v>(n): ý chí</v>
      </c>
      <c r="I2173" s="6" t="s">
        <v>11830</v>
      </c>
      <c r="J2173" s="6" t="s">
        <v>11831</v>
      </c>
      <c r="K2173" s="7">
        <f t="shared" si="2"/>
        <v>0.3221674423</v>
      </c>
    </row>
    <row r="2174">
      <c r="A2174" s="4">
        <v>2174.0</v>
      </c>
      <c r="B2174" s="5" t="s">
        <v>11832</v>
      </c>
      <c r="C2174" s="5" t="s">
        <v>5019</v>
      </c>
      <c r="D2174" s="5" t="s">
        <v>11833</v>
      </c>
      <c r="E2174" s="6" t="s">
        <v>74</v>
      </c>
      <c r="F2174" s="6" t="s">
        <v>11829</v>
      </c>
      <c r="G2174" s="3" t="str">
        <f>IFERROR(__xludf.DUMMYFUNCTION("REGEXREPLACE(
D2174,
""([一-龯々]+)\[([^\]]+)\]"",
""&lt;ruby&gt;$1&lt;rt&gt;$2&lt;/rt&gt;&lt;/ruby&gt;""
)&amp;""&lt;br&gt;&lt;div class=""""audio""""&gt;[sound:""&amp;C2174&amp;"".mp3]&lt;/div&gt;"""),"&lt;ruby&gt;意志&lt;rt&gt;いし&lt;/rt&gt;&lt;/ruby&gt;&lt;br&gt;&lt;div class=""audio""&gt;[sound:いし.mp3]&lt;/div&gt;")</f>
        <v>&lt;ruby&gt;意志&lt;rt&gt;いし&lt;/rt&gt;&lt;/ruby&gt;&lt;br&gt;&lt;div class="audio"&gt;[sound:いし.mp3]&lt;/div&gt;</v>
      </c>
      <c r="H2174" s="3" t="str">
        <f t="shared" si="1"/>
        <v>(n): ý chí</v>
      </c>
      <c r="I2174" s="6" t="s">
        <v>11834</v>
      </c>
      <c r="J2174" s="6" t="s">
        <v>11835</v>
      </c>
      <c r="K2174" s="7">
        <f t="shared" si="2"/>
        <v>0.960477407</v>
      </c>
    </row>
    <row r="2175">
      <c r="A2175" s="4">
        <v>2175.0</v>
      </c>
      <c r="B2175" s="5" t="s">
        <v>11836</v>
      </c>
      <c r="C2175" s="5" t="s">
        <v>11836</v>
      </c>
      <c r="D2175" s="5" t="s">
        <v>11836</v>
      </c>
      <c r="E2175" s="6" t="s">
        <v>85</v>
      </c>
      <c r="F2175" s="6" t="s">
        <v>11837</v>
      </c>
      <c r="G2175" s="3" t="str">
        <f>IFERROR(__xludf.DUMMYFUNCTION("REGEXREPLACE(
D2175,
""([一-龯々]+)\[([^\]]+)\]"",
""&lt;ruby&gt;$1&lt;rt&gt;$2&lt;/rt&gt;&lt;/ruby&gt;""
)&amp;""&lt;br&gt;&lt;div class=""""audio""""&gt;[sound:""&amp;C2175&amp;"".mp3]&lt;/div&gt;"""),"ずうっと&lt;br&gt;&lt;div class=""audio""&gt;[sound:ずうっと.mp3]&lt;/div&gt;")</f>
        <v>ずうっと&lt;br&gt;&lt;div class="audio"&gt;[sound:ずうっと.mp3]&lt;/div&gt;</v>
      </c>
      <c r="H2175" s="3" t="str">
        <f t="shared" si="1"/>
        <v>(adv): suốt</v>
      </c>
      <c r="I2175" s="6" t="s">
        <v>11838</v>
      </c>
      <c r="J2175" s="6" t="s">
        <v>11839</v>
      </c>
      <c r="K2175" s="7">
        <f t="shared" si="2"/>
        <v>0.8970387983</v>
      </c>
    </row>
    <row r="2176">
      <c r="A2176" s="4">
        <v>2176.0</v>
      </c>
      <c r="B2176" s="5" t="s">
        <v>11840</v>
      </c>
      <c r="C2176" s="5" t="s">
        <v>11841</v>
      </c>
      <c r="D2176" s="5" t="s">
        <v>11840</v>
      </c>
      <c r="E2176" s="6" t="s">
        <v>74</v>
      </c>
      <c r="F2176" s="6" t="s">
        <v>7114</v>
      </c>
      <c r="G2176" s="3" t="str">
        <f>IFERROR(__xludf.DUMMYFUNCTION("REGEXREPLACE(
D2176,
""([一-龯々]+)\[([^\]]+)\]"",
""&lt;ruby&gt;$1&lt;rt&gt;$2&lt;/rt&gt;&lt;/ruby&gt;""
)&amp;""&lt;br&gt;&lt;div class=""""audio""""&gt;[sound:""&amp;C2176&amp;"".mp3]&lt;/div&gt;"""),"ストップ&lt;br&gt;&lt;div class=""audio""&gt;[sound:すとっぷ.mp3]&lt;/div&gt;")</f>
        <v>ストップ&lt;br&gt;&lt;div class="audio"&gt;[sound:すとっぷ.mp3]&lt;/div&gt;</v>
      </c>
      <c r="H2176" s="3" t="str">
        <f t="shared" si="1"/>
        <v>(n): dừng</v>
      </c>
      <c r="I2176" s="6" t="s">
        <v>11842</v>
      </c>
      <c r="J2176" s="6" t="s">
        <v>11843</v>
      </c>
      <c r="K2176" s="7">
        <f t="shared" si="2"/>
        <v>0.363716953</v>
      </c>
    </row>
    <row r="2177">
      <c r="A2177" s="4">
        <v>2177.0</v>
      </c>
      <c r="B2177" s="5" t="s">
        <v>11844</v>
      </c>
      <c r="C2177" s="5" t="s">
        <v>11845</v>
      </c>
      <c r="D2177" s="5" t="s">
        <v>11846</v>
      </c>
      <c r="E2177" s="6" t="s">
        <v>74</v>
      </c>
      <c r="F2177" s="6" t="s">
        <v>11847</v>
      </c>
      <c r="G2177" s="3" t="str">
        <f>IFERROR(__xludf.DUMMYFUNCTION("REGEXREPLACE(
D2177,
""([一-龯々]+)\[([^\]]+)\]"",
""&lt;ruby&gt;$1&lt;rt&gt;$2&lt;/rt&gt;&lt;/ruby&gt;""
)&amp;""&lt;br&gt;&lt;div class=""""audio""""&gt;[sound:""&amp;C2177&amp;"".mp3]&lt;/div&gt;"""),"&lt;ruby&gt;医療&lt;rt&gt;いりょう&lt;/rt&gt;&lt;/ruby&gt;&lt;br&gt;&lt;div class=""audio""&gt;[sound:いりょう.mp3]&lt;/div&gt;")</f>
        <v>&lt;ruby&gt;医療&lt;rt&gt;いりょう&lt;/rt&gt;&lt;/ruby&gt;&lt;br&gt;&lt;div class="audio"&gt;[sound:いりょう.mp3]&lt;/div&gt;</v>
      </c>
      <c r="H2177" s="3" t="str">
        <f t="shared" si="1"/>
        <v>(n): y tế</v>
      </c>
      <c r="I2177" s="6" t="s">
        <v>11848</v>
      </c>
      <c r="J2177" s="6" t="s">
        <v>11849</v>
      </c>
      <c r="K2177" s="7">
        <f t="shared" si="2"/>
        <v>0.829908016</v>
      </c>
    </row>
    <row r="2178">
      <c r="A2178" s="4">
        <v>2178.0</v>
      </c>
      <c r="B2178" s="5" t="s">
        <v>11850</v>
      </c>
      <c r="C2178" s="5" t="s">
        <v>11851</v>
      </c>
      <c r="D2178" s="5" t="s">
        <v>11852</v>
      </c>
      <c r="E2178" s="6" t="s">
        <v>24</v>
      </c>
      <c r="F2178" s="6" t="s">
        <v>11853</v>
      </c>
      <c r="G2178" s="3" t="str">
        <f>IFERROR(__xludf.DUMMYFUNCTION("REGEXREPLACE(
D2178,
""([一-龯々]+)\[([^\]]+)\]"",
""&lt;ruby&gt;$1&lt;rt&gt;$2&lt;/rt&gt;&lt;/ruby&gt;""
)&amp;""&lt;br&gt;&lt;div class=""""audio""""&gt;[sound:""&amp;C2178&amp;"".mp3]&lt;/div&gt;"""),"&lt;ruby&gt;巻&lt;rt&gt;ま&lt;/rt&gt;&lt;/ruby&gt;く&lt;br&gt;&lt;div class=""audio""&gt;[sound:まく.mp3]&lt;/div&gt;")</f>
        <v>&lt;ruby&gt;巻&lt;rt&gt;ま&lt;/rt&gt;&lt;/ruby&gt;く&lt;br&gt;&lt;div class="audio"&gt;[sound:まく.mp3]&lt;/div&gt;</v>
      </c>
      <c r="H2178" s="3" t="str">
        <f t="shared" si="1"/>
        <v>(v): quấn</v>
      </c>
      <c r="I2178" s="6" t="s">
        <v>11854</v>
      </c>
      <c r="J2178" s="6" t="s">
        <v>11855</v>
      </c>
      <c r="K2178" s="7">
        <f t="shared" si="2"/>
        <v>0.4477208215</v>
      </c>
    </row>
    <row r="2179">
      <c r="A2179" s="4">
        <v>2179.0</v>
      </c>
      <c r="B2179" s="5" t="s">
        <v>11856</v>
      </c>
      <c r="C2179" s="5" t="s">
        <v>11857</v>
      </c>
      <c r="D2179" s="5" t="s">
        <v>11858</v>
      </c>
      <c r="E2179" s="6" t="s">
        <v>74</v>
      </c>
      <c r="F2179" s="6" t="s">
        <v>3004</v>
      </c>
      <c r="G2179" s="3" t="str">
        <f>IFERROR(__xludf.DUMMYFUNCTION("REGEXREPLACE(
D2179,
""([一-龯々]+)\[([^\]]+)\]"",
""&lt;ruby&gt;$1&lt;rt&gt;$2&lt;/rt&gt;&lt;/ruby&gt;""
)&amp;""&lt;br&gt;&lt;div class=""""audio""""&gt;[sound:""&amp;C2179&amp;"".mp3]&lt;/div&gt;"""),"&lt;ruby&gt;学&lt;rt&gt;がく&lt;/rt&gt;&lt;/ruby&gt;&lt;br&gt;&lt;div class=""audio""&gt;[sound:がく.mp3]&lt;/div&gt;")</f>
        <v>&lt;ruby&gt;学&lt;rt&gt;がく&lt;/rt&gt;&lt;/ruby&gt;&lt;br&gt;&lt;div class="audio"&gt;[sound:がく.mp3]&lt;/div&gt;</v>
      </c>
      <c r="H2179" s="3" t="str">
        <f t="shared" si="1"/>
        <v>(n): học</v>
      </c>
      <c r="I2179" s="6" t="s">
        <v>11859</v>
      </c>
      <c r="J2179" s="6" t="s">
        <v>11860</v>
      </c>
      <c r="K2179" s="7">
        <f t="shared" si="2"/>
        <v>0.7394090262</v>
      </c>
    </row>
    <row r="2180">
      <c r="A2180" s="4">
        <v>2180.0</v>
      </c>
      <c r="B2180" s="5" t="s">
        <v>11861</v>
      </c>
      <c r="C2180" s="5" t="s">
        <v>11862</v>
      </c>
      <c r="D2180" s="5" t="s">
        <v>11863</v>
      </c>
      <c r="E2180" s="6" t="s">
        <v>24</v>
      </c>
      <c r="F2180" s="6" t="s">
        <v>11864</v>
      </c>
      <c r="G2180" s="3" t="str">
        <f>IFERROR(__xludf.DUMMYFUNCTION("REGEXREPLACE(
D2180,
""([一-龯々]+)\[([^\]]+)\]"",
""&lt;ruby&gt;$1&lt;rt&gt;$2&lt;/rt&gt;&lt;/ruby&gt;""
)&amp;""&lt;br&gt;&lt;div class=""""audio""""&gt;[sound:""&amp;C2180&amp;"".mp3]&lt;/div&gt;"""),"&lt;ruby&gt;挟&lt;rt&gt;はさ&lt;/rt&gt;&lt;/ruby&gt;む&lt;br&gt;&lt;div class=""audio""&gt;[sound:はさむ.mp3]&lt;/div&gt;")</f>
        <v>&lt;ruby&gt;挟&lt;rt&gt;はさ&lt;/rt&gt;&lt;/ruby&gt;む&lt;br&gt;&lt;div class="audio"&gt;[sound:はさむ.mp3]&lt;/div&gt;</v>
      </c>
      <c r="H2180" s="3" t="str">
        <f t="shared" si="1"/>
        <v>(v): kẹp</v>
      </c>
      <c r="I2180" s="6" t="s">
        <v>11865</v>
      </c>
      <c r="J2180" s="6" t="s">
        <v>11866</v>
      </c>
      <c r="K2180" s="7">
        <f t="shared" si="2"/>
        <v>0.5148183138</v>
      </c>
    </row>
    <row r="2181">
      <c r="A2181" s="4">
        <v>2181.0</v>
      </c>
      <c r="B2181" s="5" t="s">
        <v>11867</v>
      </c>
      <c r="C2181" s="5" t="s">
        <v>11868</v>
      </c>
      <c r="D2181" s="5" t="s">
        <v>11869</v>
      </c>
      <c r="E2181" s="6" t="s">
        <v>74</v>
      </c>
      <c r="F2181" s="6" t="s">
        <v>11870</v>
      </c>
      <c r="G2181" s="3" t="str">
        <f>IFERROR(__xludf.DUMMYFUNCTION("REGEXREPLACE(
D2181,
""([一-龯々]+)\[([^\]]+)\]"",
""&lt;ruby&gt;$1&lt;rt&gt;$2&lt;/rt&gt;&lt;/ruby&gt;""
)&amp;""&lt;br&gt;&lt;div class=""""audio""""&gt;[sound:""&amp;C2181&amp;"".mp3]&lt;/div&gt;"""),"&lt;ruby&gt;丸&lt;rt&gt;まる&lt;/rt&gt;&lt;/ruby&gt;&lt;br&gt;&lt;div class=""audio""&gt;[sound:まる.mp3]&lt;/div&gt;")</f>
        <v>&lt;ruby&gt;丸&lt;rt&gt;まる&lt;/rt&gt;&lt;/ruby&gt;&lt;br&gt;&lt;div class="audio"&gt;[sound:まる.mp3]&lt;/div&gt;</v>
      </c>
      <c r="H2181" s="3" t="str">
        <f t="shared" si="1"/>
        <v>(n): hình tròn</v>
      </c>
      <c r="I2181" s="6" t="s">
        <v>11871</v>
      </c>
      <c r="J2181" s="6" t="s">
        <v>11872</v>
      </c>
      <c r="K2181" s="7">
        <f t="shared" si="2"/>
        <v>0.9221107036</v>
      </c>
    </row>
    <row r="2182">
      <c r="A2182" s="4">
        <v>2182.0</v>
      </c>
      <c r="B2182" s="5" t="s">
        <v>11873</v>
      </c>
      <c r="C2182" s="5" t="s">
        <v>11874</v>
      </c>
      <c r="D2182" s="5" t="s">
        <v>11873</v>
      </c>
      <c r="E2182" s="6" t="s">
        <v>74</v>
      </c>
      <c r="F2182" s="6" t="s">
        <v>11875</v>
      </c>
      <c r="G2182" s="3" t="str">
        <f>IFERROR(__xludf.DUMMYFUNCTION("REGEXREPLACE(
D2182,
""([一-龯々]+)\[([^\]]+)\]"",
""&lt;ruby&gt;$1&lt;rt&gt;$2&lt;/rt&gt;&lt;/ruby&gt;""
)&amp;""&lt;br&gt;&lt;div class=""""audio""""&gt;[sound:""&amp;C2182&amp;"".mp3]&lt;/div&gt;"""),"クーラー&lt;br&gt;&lt;div class=""audio""&gt;[sound:くーらー.mp3]&lt;/div&gt;")</f>
        <v>クーラー&lt;br&gt;&lt;div class="audio"&gt;[sound:くーらー.mp3]&lt;/div&gt;</v>
      </c>
      <c r="H2182" s="3" t="str">
        <f t="shared" si="1"/>
        <v>(n): máy lạnh</v>
      </c>
      <c r="I2182" s="6" t="s">
        <v>11876</v>
      </c>
      <c r="J2182" s="6" t="s">
        <v>11877</v>
      </c>
      <c r="K2182" s="7">
        <f t="shared" si="2"/>
        <v>0.5571492012</v>
      </c>
    </row>
    <row r="2183">
      <c r="A2183" s="4">
        <v>2183.0</v>
      </c>
      <c r="B2183" s="5" t="s">
        <v>11878</v>
      </c>
      <c r="C2183" s="5" t="s">
        <v>11879</v>
      </c>
      <c r="D2183" s="5" t="s">
        <v>11878</v>
      </c>
      <c r="E2183" s="6" t="s">
        <v>74</v>
      </c>
      <c r="F2183" s="6" t="s">
        <v>11880</v>
      </c>
      <c r="G2183" s="3" t="str">
        <f>IFERROR(__xludf.DUMMYFUNCTION("REGEXREPLACE(
D2183,
""([一-龯々]+)\[([^\]]+)\]"",
""&lt;ruby&gt;$1&lt;rt&gt;$2&lt;/rt&gt;&lt;/ruby&gt;""
)&amp;""&lt;br&gt;&lt;div class=""""audio""""&gt;[sound:""&amp;C2183&amp;"".mp3]&lt;/div&gt;"""),"コード&lt;br&gt;&lt;div class=""audio""&gt;[sound:こーど.mp3]&lt;/div&gt;")</f>
        <v>コード&lt;br&gt;&lt;div class="audio"&gt;[sound:こーど.mp3]&lt;/div&gt;</v>
      </c>
      <c r="H2183" s="3" t="str">
        <f t="shared" si="1"/>
        <v>(n): dây điện</v>
      </c>
      <c r="I2183" s="6" t="s">
        <v>11881</v>
      </c>
      <c r="J2183" s="6" t="s">
        <v>11882</v>
      </c>
      <c r="K2183" s="7">
        <f t="shared" si="2"/>
        <v>0.4763068896</v>
      </c>
    </row>
    <row r="2184">
      <c r="A2184" s="4">
        <v>2184.0</v>
      </c>
      <c r="B2184" s="5" t="s">
        <v>11883</v>
      </c>
      <c r="C2184" s="5" t="s">
        <v>11884</v>
      </c>
      <c r="D2184" s="5" t="s">
        <v>11883</v>
      </c>
      <c r="E2184" s="6" t="s">
        <v>74</v>
      </c>
      <c r="F2184" s="6" t="s">
        <v>11885</v>
      </c>
      <c r="G2184" s="3" t="str">
        <f>IFERROR(__xludf.DUMMYFUNCTION("REGEXREPLACE(
D2184,
""([一-龯々]+)\[([^\]]+)\]"",
""&lt;ruby&gt;$1&lt;rt&gt;$2&lt;/rt&gt;&lt;/ruby&gt;""
)&amp;""&lt;br&gt;&lt;div class=""""audio""""&gt;[sound:""&amp;C2184&amp;"".mp3]&lt;/div&gt;"""),"シャツ&lt;br&gt;&lt;div class=""audio""&gt;[sound:しゃつ.mp3]&lt;/div&gt;")</f>
        <v>シャツ&lt;br&gt;&lt;div class="audio"&gt;[sound:しゃつ.mp3]&lt;/div&gt;</v>
      </c>
      <c r="H2184" s="3" t="str">
        <f t="shared" si="1"/>
        <v>(n): áo sơ mi</v>
      </c>
      <c r="I2184" s="6" t="s">
        <v>11886</v>
      </c>
      <c r="J2184" s="6" t="s">
        <v>11887</v>
      </c>
      <c r="K2184" s="7">
        <f t="shared" si="2"/>
        <v>0.8268377309</v>
      </c>
    </row>
    <row r="2185">
      <c r="A2185" s="4">
        <v>2185.0</v>
      </c>
      <c r="B2185" s="5" t="s">
        <v>11888</v>
      </c>
      <c r="C2185" s="5" t="s">
        <v>11889</v>
      </c>
      <c r="D2185" s="5" t="s">
        <v>11888</v>
      </c>
      <c r="E2185" s="6" t="s">
        <v>74</v>
      </c>
      <c r="F2185" s="6" t="s">
        <v>11890</v>
      </c>
      <c r="G2185" s="3" t="str">
        <f>IFERROR(__xludf.DUMMYFUNCTION("REGEXREPLACE(
D2185,
""([一-龯々]+)\[([^\]]+)\]"",
""&lt;ruby&gt;$1&lt;rt&gt;$2&lt;/rt&gt;&lt;/ruby&gt;""
)&amp;""&lt;br&gt;&lt;div class=""""audio""""&gt;[sound:""&amp;C2185&amp;"".mp3]&lt;/div&gt;"""),"スイッチ&lt;br&gt;&lt;div class=""audio""&gt;[sound:すいっち.mp3]&lt;/div&gt;")</f>
        <v>スイッチ&lt;br&gt;&lt;div class="audio"&gt;[sound:すいっち.mp3]&lt;/div&gt;</v>
      </c>
      <c r="H2185" s="3" t="str">
        <f t="shared" si="1"/>
        <v>(n): công tắc</v>
      </c>
      <c r="I2185" s="6" t="s">
        <v>11891</v>
      </c>
      <c r="J2185" s="6" t="s">
        <v>11892</v>
      </c>
      <c r="K2185" s="7">
        <f t="shared" si="2"/>
        <v>0.1577969245</v>
      </c>
    </row>
    <row r="2186">
      <c r="A2186" s="4">
        <v>2186.0</v>
      </c>
      <c r="B2186" s="5" t="s">
        <v>11893</v>
      </c>
      <c r="C2186" s="5" t="s">
        <v>11894</v>
      </c>
      <c r="D2186" s="5" t="s">
        <v>11893</v>
      </c>
      <c r="E2186" s="6" t="s">
        <v>74</v>
      </c>
      <c r="F2186" s="6" t="s">
        <v>7950</v>
      </c>
      <c r="G2186" s="3" t="str">
        <f>IFERROR(__xludf.DUMMYFUNCTION("REGEXREPLACE(
D2186,
""([一-龯々]+)\[([^\]]+)\]"",
""&lt;ruby&gt;$1&lt;rt&gt;$2&lt;/rt&gt;&lt;/ruby&gt;""
)&amp;""&lt;br&gt;&lt;div class=""""audio""""&gt;[sound:""&amp;C2186&amp;"".mp3]&lt;/div&gt;"""),"ステージ&lt;br&gt;&lt;div class=""audio""&gt;[sound:すてーじ.mp3]&lt;/div&gt;")</f>
        <v>ステージ&lt;br&gt;&lt;div class="audio"&gt;[sound:すてーじ.mp3]&lt;/div&gt;</v>
      </c>
      <c r="H2186" s="3" t="str">
        <f t="shared" si="1"/>
        <v>(n): sân khấu</v>
      </c>
      <c r="I2186" s="6" t="s">
        <v>11895</v>
      </c>
      <c r="J2186" s="6" t="s">
        <v>11896</v>
      </c>
      <c r="K2186" s="7">
        <f t="shared" si="2"/>
        <v>0.3796821789</v>
      </c>
    </row>
    <row r="2187">
      <c r="A2187" s="4">
        <v>2187.0</v>
      </c>
      <c r="B2187" s="5" t="s">
        <v>11897</v>
      </c>
      <c r="C2187" s="5" t="s">
        <v>11898</v>
      </c>
      <c r="D2187" s="5" t="s">
        <v>11897</v>
      </c>
      <c r="E2187" s="6" t="s">
        <v>74</v>
      </c>
      <c r="F2187" s="6" t="s">
        <v>11899</v>
      </c>
      <c r="G2187" s="3" t="str">
        <f>IFERROR(__xludf.DUMMYFUNCTION("REGEXREPLACE(
D2187,
""([一-龯々]+)\[([^\]]+)\]"",
""&lt;ruby&gt;$1&lt;rt&gt;$2&lt;/rt&gt;&lt;/ruby&gt;""
)&amp;""&lt;br&gt;&lt;div class=""""audio""""&gt;[sound:""&amp;C2187&amp;"".mp3]&lt;/div&gt;"""),"ピンク&lt;br&gt;&lt;div class=""audio""&gt;[sound:ぴんく.mp3]&lt;/div&gt;")</f>
        <v>ピンク&lt;br&gt;&lt;div class="audio"&gt;[sound:ぴんく.mp3]&lt;/div&gt;</v>
      </c>
      <c r="H2187" s="3" t="str">
        <f t="shared" si="1"/>
        <v>(n): màu hồng</v>
      </c>
      <c r="I2187" s="6" t="s">
        <v>11900</v>
      </c>
      <c r="J2187" s="6" t="s">
        <v>11901</v>
      </c>
      <c r="K2187" s="7">
        <f t="shared" si="2"/>
        <v>0.6228148509</v>
      </c>
    </row>
    <row r="2188">
      <c r="A2188" s="4">
        <v>2188.0</v>
      </c>
      <c r="B2188" s="5" t="s">
        <v>11902</v>
      </c>
      <c r="C2188" s="5" t="s">
        <v>11903</v>
      </c>
      <c r="D2188" s="5" t="s">
        <v>11904</v>
      </c>
      <c r="E2188" s="6" t="s">
        <v>24</v>
      </c>
      <c r="F2188" s="6" t="s">
        <v>11905</v>
      </c>
      <c r="G2188" s="3" t="str">
        <f>IFERROR(__xludf.DUMMYFUNCTION("REGEXREPLACE(
D2188,
""([一-龯々]+)\[([^\]]+)\]"",
""&lt;ruby&gt;$1&lt;rt&gt;$2&lt;/rt&gt;&lt;/ruby&gt;""
)&amp;""&lt;br&gt;&lt;div class=""""audio""""&gt;[sound:""&amp;C2188&amp;"".mp3]&lt;/div&gt;"""),"&lt;ruby&gt;渡&lt;rt&gt;わた&lt;/rt&gt;&lt;/ruby&gt;る&lt;br&gt;&lt;div class=""audio""&gt;[sound:わたる.mp3]&lt;/div&gt;")</f>
        <v>&lt;ruby&gt;渡&lt;rt&gt;わた&lt;/rt&gt;&lt;/ruby&gt;る&lt;br&gt;&lt;div class="audio"&gt;[sound:わたる.mp3]&lt;/div&gt;</v>
      </c>
      <c r="H2188" s="3" t="str">
        <f t="shared" si="1"/>
        <v>(v): băng qua</v>
      </c>
      <c r="I2188" s="6" t="s">
        <v>11906</v>
      </c>
      <c r="J2188" s="6" t="s">
        <v>11907</v>
      </c>
      <c r="K2188" s="7">
        <f t="shared" si="2"/>
        <v>0.0891793306</v>
      </c>
    </row>
    <row r="2189">
      <c r="A2189" s="4">
        <v>2189.0</v>
      </c>
      <c r="B2189" s="5" t="s">
        <v>11908</v>
      </c>
      <c r="C2189" s="5" t="s">
        <v>11909</v>
      </c>
      <c r="D2189" s="5" t="s">
        <v>11910</v>
      </c>
      <c r="E2189" s="6" t="s">
        <v>74</v>
      </c>
      <c r="F2189" s="6" t="s">
        <v>11911</v>
      </c>
      <c r="G2189" s="3" t="str">
        <f>IFERROR(__xludf.DUMMYFUNCTION("REGEXREPLACE(
D2189,
""([一-龯々]+)\[([^\]]+)\]"",
""&lt;ruby&gt;$1&lt;rt&gt;$2&lt;/rt&gt;&lt;/ruby&gt;""
)&amp;""&lt;br&gt;&lt;div class=""""audio""""&gt;[sound:""&amp;C2189&amp;"".mp3]&lt;/div&gt;"""),"&lt;ruby&gt;確率&lt;rt&gt;かくりつ&lt;/rt&gt;&lt;/ruby&gt;&lt;br&gt;&lt;div class=""audio""&gt;[sound:かくりつ.mp3]&lt;/div&gt;")</f>
        <v>&lt;ruby&gt;確率&lt;rt&gt;かくりつ&lt;/rt&gt;&lt;/ruby&gt;&lt;br&gt;&lt;div class="audio"&gt;[sound:かくりつ.mp3]&lt;/div&gt;</v>
      </c>
      <c r="H2189" s="3" t="str">
        <f t="shared" si="1"/>
        <v>(n): xác suất</v>
      </c>
      <c r="I2189" s="6" t="s">
        <v>11912</v>
      </c>
      <c r="J2189" s="6" t="s">
        <v>11913</v>
      </c>
      <c r="K2189" s="7">
        <f t="shared" si="2"/>
        <v>0.5827002726</v>
      </c>
    </row>
    <row r="2190">
      <c r="A2190" s="4">
        <v>2190.0</v>
      </c>
      <c r="B2190" s="5" t="s">
        <v>11914</v>
      </c>
      <c r="C2190" s="5" t="s">
        <v>11915</v>
      </c>
      <c r="D2190" s="5" t="s">
        <v>11916</v>
      </c>
      <c r="E2190" s="6" t="s">
        <v>74</v>
      </c>
      <c r="F2190" s="6" t="s">
        <v>2575</v>
      </c>
      <c r="G2190" s="3" t="str">
        <f>IFERROR(__xludf.DUMMYFUNCTION("REGEXREPLACE(
D2190,
""([一-龯々]+)\[([^\]]+)\]"",
""&lt;ruby&gt;$1&lt;rt&gt;$2&lt;/rt&gt;&lt;/ruby&gt;""
)&amp;""&lt;br&gt;&lt;div class=""""audio""""&gt;[sound:""&amp;C2190&amp;"".mp3]&lt;/div&gt;"""),"&lt;ruby&gt;訪問&lt;rt&gt;ほうもん&lt;/rt&gt;&lt;/ruby&gt;&lt;br&gt;&lt;div class=""audio""&gt;[sound:ほうもん.mp3]&lt;/div&gt;")</f>
        <v>&lt;ruby&gt;訪問&lt;rt&gt;ほうもん&lt;/rt&gt;&lt;/ruby&gt;&lt;br&gt;&lt;div class="audio"&gt;[sound:ほうもん.mp3]&lt;/div&gt;</v>
      </c>
      <c r="H2190" s="3" t="str">
        <f t="shared" si="1"/>
        <v>(n): ghé thăm</v>
      </c>
      <c r="I2190" s="6" t="s">
        <v>11917</v>
      </c>
      <c r="J2190" s="6" t="s">
        <v>11918</v>
      </c>
      <c r="K2190" s="7">
        <f t="shared" si="2"/>
        <v>0.67026441</v>
      </c>
    </row>
    <row r="2191">
      <c r="A2191" s="4">
        <v>2191.0</v>
      </c>
      <c r="B2191" s="5" t="s">
        <v>11919</v>
      </c>
      <c r="C2191" s="5" t="s">
        <v>11920</v>
      </c>
      <c r="D2191" s="5" t="s">
        <v>11919</v>
      </c>
      <c r="E2191" s="6" t="s">
        <v>74</v>
      </c>
      <c r="F2191" s="6" t="s">
        <v>9786</v>
      </c>
      <c r="G2191" s="3" t="str">
        <f>IFERROR(__xludf.DUMMYFUNCTION("REGEXREPLACE(
D2191,
""([一-龯々]+)\[([^\]]+)\]"",
""&lt;ruby&gt;$1&lt;rt&gt;$2&lt;/rt&gt;&lt;/ruby&gt;""
)&amp;""&lt;br&gt;&lt;div class=""""audio""""&gt;[sound:""&amp;C2191&amp;"".mp3]&lt;/div&gt;"""),"カラー&lt;br&gt;&lt;div class=""audio""&gt;[sound:からー.mp3]&lt;/div&gt;")</f>
        <v>カラー&lt;br&gt;&lt;div class="audio"&gt;[sound:からー.mp3]&lt;/div&gt;</v>
      </c>
      <c r="H2191" s="3" t="str">
        <f t="shared" si="1"/>
        <v>(n): màu sắc</v>
      </c>
      <c r="I2191" s="6" t="s">
        <v>11921</v>
      </c>
      <c r="J2191" s="6" t="s">
        <v>11922</v>
      </c>
      <c r="K2191" s="7">
        <f t="shared" si="2"/>
        <v>0.8188418974</v>
      </c>
    </row>
    <row r="2192">
      <c r="A2192" s="4">
        <v>2192.0</v>
      </c>
      <c r="B2192" s="5" t="s">
        <v>11923</v>
      </c>
      <c r="C2192" s="5" t="s">
        <v>11923</v>
      </c>
      <c r="D2192" s="5" t="s">
        <v>11923</v>
      </c>
      <c r="E2192" s="6" t="s">
        <v>85</v>
      </c>
      <c r="F2192" s="6" t="s">
        <v>11924</v>
      </c>
      <c r="G2192" s="3" t="str">
        <f>IFERROR(__xludf.DUMMYFUNCTION("REGEXREPLACE(
D2192,
""([一-龯々]+)\[([^\]]+)\]"",
""&lt;ruby&gt;$1&lt;rt&gt;$2&lt;/rt&gt;&lt;/ruby&gt;""
)&amp;""&lt;br&gt;&lt;div class=""""audio""""&gt;[sound:""&amp;C2192&amp;"".mp3]&lt;/div&gt;"""),"まあまあ&lt;br&gt;&lt;div class=""audio""&gt;[sound:まあまあ.mp3]&lt;/div&gt;")</f>
        <v>まあまあ&lt;br&gt;&lt;div class="audio"&gt;[sound:まあまあ.mp3]&lt;/div&gt;</v>
      </c>
      <c r="H2192" s="3" t="str">
        <f t="shared" si="1"/>
        <v>(adv): tàm tạm</v>
      </c>
      <c r="I2192" s="6" t="s">
        <v>11925</v>
      </c>
      <c r="J2192" s="6" t="s">
        <v>11926</v>
      </c>
      <c r="K2192" s="7">
        <f t="shared" si="2"/>
        <v>0.04891876804</v>
      </c>
    </row>
    <row r="2193">
      <c r="A2193" s="4">
        <v>2193.0</v>
      </c>
      <c r="B2193" s="5" t="s">
        <v>11927</v>
      </c>
      <c r="C2193" s="5" t="s">
        <v>11928</v>
      </c>
      <c r="D2193" s="5" t="s">
        <v>11929</v>
      </c>
      <c r="E2193" s="6" t="s">
        <v>74</v>
      </c>
      <c r="F2193" s="6" t="s">
        <v>11930</v>
      </c>
      <c r="G2193" s="3" t="str">
        <f>IFERROR(__xludf.DUMMYFUNCTION("REGEXREPLACE(
D2193,
""([一-龯々]+)\[([^\]]+)\]"",
""&lt;ruby&gt;$1&lt;rt&gt;$2&lt;/rt&gt;&lt;/ruby&gt;""
)&amp;""&lt;br&gt;&lt;div class=""""audio""""&gt;[sound:""&amp;C2193&amp;"".mp3]&lt;/div&gt;"""),"&lt;ruby&gt;延長&lt;rt&gt;えんちょう&lt;/rt&gt;&lt;/ruby&gt;&lt;br&gt;&lt;div class=""audio""&gt;[sound:えんちょう.mp3]&lt;/div&gt;")</f>
        <v>&lt;ruby&gt;延長&lt;rt&gt;えんちょう&lt;/rt&gt;&lt;/ruby&gt;&lt;br&gt;&lt;div class="audio"&gt;[sound:えんちょう.mp3]&lt;/div&gt;</v>
      </c>
      <c r="H2193" s="3" t="str">
        <f t="shared" si="1"/>
        <v>(n): gia hạn</v>
      </c>
      <c r="I2193" s="6" t="s">
        <v>11931</v>
      </c>
      <c r="J2193" s="6" t="s">
        <v>11932</v>
      </c>
      <c r="K2193" s="7">
        <f t="shared" si="2"/>
        <v>0.403813826</v>
      </c>
    </row>
    <row r="2194">
      <c r="A2194" s="4">
        <v>2194.0</v>
      </c>
      <c r="B2194" s="5" t="s">
        <v>11933</v>
      </c>
      <c r="C2194" s="5" t="s">
        <v>11933</v>
      </c>
      <c r="D2194" s="5" t="s">
        <v>11933</v>
      </c>
      <c r="E2194" s="6" t="s">
        <v>85</v>
      </c>
      <c r="F2194" s="6" t="s">
        <v>6586</v>
      </c>
      <c r="G2194" s="3" t="str">
        <f>IFERROR(__xludf.DUMMYFUNCTION("REGEXREPLACE(
D2194,
""([一-龯々]+)\[([^\]]+)\]"",
""&lt;ruby&gt;$1&lt;rt&gt;$2&lt;/rt&gt;&lt;/ruby&gt;""
)&amp;""&lt;br&gt;&lt;div class=""""audio""""&gt;[sound:""&amp;C2194&amp;"".mp3]&lt;/div&gt;"""),"すっと&lt;br&gt;&lt;div class=""audio""&gt;[sound:すっと.mp3]&lt;/div&gt;")</f>
        <v>すっと&lt;br&gt;&lt;div class="audio"&gt;[sound:すっと.mp3]&lt;/div&gt;</v>
      </c>
      <c r="H2194" s="3" t="str">
        <f t="shared" si="1"/>
        <v>(adv): thẳng</v>
      </c>
      <c r="I2194" s="6" t="s">
        <v>11934</v>
      </c>
      <c r="J2194" s="6" t="s">
        <v>11935</v>
      </c>
      <c r="K2194" s="7">
        <f t="shared" si="2"/>
        <v>0.4540386113</v>
      </c>
    </row>
    <row r="2195">
      <c r="A2195" s="4">
        <v>2195.0</v>
      </c>
      <c r="B2195" s="5" t="s">
        <v>11936</v>
      </c>
      <c r="C2195" s="5" t="s">
        <v>10621</v>
      </c>
      <c r="D2195" s="5" t="s">
        <v>11937</v>
      </c>
      <c r="E2195" s="6" t="s">
        <v>74</v>
      </c>
      <c r="F2195" s="6" t="s">
        <v>11938</v>
      </c>
      <c r="G2195" s="3" t="str">
        <f>IFERROR(__xludf.DUMMYFUNCTION("REGEXREPLACE(
D2195,
""([一-龯々]+)\[([^\]]+)\]"",
""&lt;ruby&gt;$1&lt;rt&gt;$2&lt;/rt&gt;&lt;/ruby&gt;""
)&amp;""&lt;br&gt;&lt;div class=""""audio""""&gt;[sound:""&amp;C2195&amp;"".mp3]&lt;/div&gt;"""),"&lt;ruby&gt;党&lt;rt&gt;とう&lt;/rt&gt;&lt;/ruby&gt;&lt;br&gt;&lt;div class=""audio""&gt;[sound:とう.mp3]&lt;/div&gt;")</f>
        <v>&lt;ruby&gt;党&lt;rt&gt;とう&lt;/rt&gt;&lt;/ruby&gt;&lt;br&gt;&lt;div class="audio"&gt;[sound:とう.mp3]&lt;/div&gt;</v>
      </c>
      <c r="H2195" s="3" t="str">
        <f t="shared" si="1"/>
        <v>(n): đảng</v>
      </c>
      <c r="I2195" s="6" t="s">
        <v>11939</v>
      </c>
      <c r="J2195" s="6" t="s">
        <v>11940</v>
      </c>
      <c r="K2195" s="7">
        <f t="shared" si="2"/>
        <v>0.7175328736</v>
      </c>
    </row>
    <row r="2196">
      <c r="A2196" s="4">
        <v>2196.0</v>
      </c>
      <c r="B2196" s="5" t="s">
        <v>11941</v>
      </c>
      <c r="C2196" s="5" t="s">
        <v>11942</v>
      </c>
      <c r="D2196" s="5" t="s">
        <v>11941</v>
      </c>
      <c r="E2196" s="6" t="s">
        <v>74</v>
      </c>
      <c r="F2196" s="6" t="s">
        <v>4206</v>
      </c>
      <c r="G2196" s="3" t="str">
        <f>IFERROR(__xludf.DUMMYFUNCTION("REGEXREPLACE(
D2196,
""([一-龯々]+)\[([^\]]+)\]"",
""&lt;ruby&gt;$1&lt;rt&gt;$2&lt;/rt&gt;&lt;/ruby&gt;""
)&amp;""&lt;br&gt;&lt;div class=""""audio""""&gt;[sound:""&amp;C2196&amp;"".mp3]&lt;/div&gt;"""),"サンプル&lt;br&gt;&lt;div class=""audio""&gt;[sound:さんぷる.mp3]&lt;/div&gt;")</f>
        <v>サンプル&lt;br&gt;&lt;div class="audio"&gt;[sound:さんぷる.mp3]&lt;/div&gt;</v>
      </c>
      <c r="H2196" s="3" t="str">
        <f t="shared" si="1"/>
        <v>(n): mẫu</v>
      </c>
      <c r="I2196" s="6" t="s">
        <v>11943</v>
      </c>
      <c r="J2196" s="6" t="s">
        <v>11944</v>
      </c>
      <c r="K2196" s="7">
        <f t="shared" si="2"/>
        <v>0.9590522781</v>
      </c>
    </row>
    <row r="2197">
      <c r="A2197" s="4">
        <v>2197.0</v>
      </c>
      <c r="B2197" s="5" t="s">
        <v>11945</v>
      </c>
      <c r="C2197" s="5" t="s">
        <v>11946</v>
      </c>
      <c r="D2197" s="5" t="s">
        <v>11947</v>
      </c>
      <c r="E2197" s="6" t="s">
        <v>24</v>
      </c>
      <c r="F2197" s="6" t="s">
        <v>11948</v>
      </c>
      <c r="G2197" s="3" t="str">
        <f>IFERROR(__xludf.DUMMYFUNCTION("REGEXREPLACE(
D2197,
""([一-龯々]+)\[([^\]]+)\]"",
""&lt;ruby&gt;$1&lt;rt&gt;$2&lt;/rt&gt;&lt;/ruby&gt;""
)&amp;""&lt;br&gt;&lt;div class=""""audio""""&gt;[sound:""&amp;C2197&amp;"".mp3]&lt;/div&gt;"""),"&lt;ruby&gt;間&lt;rt&gt;ま&lt;/rt&gt;&lt;/ruby&gt;に&lt;ruby&gt;合&lt;rt&gt;あ&lt;/rt&gt;&lt;/ruby&gt;う&lt;br&gt;&lt;div class=""audio""&gt;[sound:まにあう.mp3]&lt;/div&gt;")</f>
        <v>&lt;ruby&gt;間&lt;rt&gt;ま&lt;/rt&gt;&lt;/ruby&gt;に&lt;ruby&gt;合&lt;rt&gt;あ&lt;/rt&gt;&lt;/ruby&gt;う&lt;br&gt;&lt;div class="audio"&gt;[sound:まにあう.mp3]&lt;/div&gt;</v>
      </c>
      <c r="H2197" s="3" t="str">
        <f t="shared" si="1"/>
        <v>(v): kịp</v>
      </c>
      <c r="I2197" s="6" t="s">
        <v>11949</v>
      </c>
      <c r="J2197" s="6" t="s">
        <v>11950</v>
      </c>
      <c r="K2197" s="7">
        <f t="shared" si="2"/>
        <v>0.5108889801</v>
      </c>
    </row>
    <row r="2198">
      <c r="A2198" s="4">
        <v>2198.0</v>
      </c>
      <c r="B2198" s="5" t="s">
        <v>11951</v>
      </c>
      <c r="C2198" s="5" t="s">
        <v>4890</v>
      </c>
      <c r="D2198" s="5" t="s">
        <v>11952</v>
      </c>
      <c r="E2198" s="6" t="s">
        <v>24</v>
      </c>
      <c r="F2198" s="6" t="s">
        <v>11953</v>
      </c>
      <c r="G2198" s="3" t="str">
        <f>IFERROR(__xludf.DUMMYFUNCTION("REGEXREPLACE(
D2198,
""([一-龯々]+)\[([^\]]+)\]"",
""&lt;ruby&gt;$1&lt;rt&gt;$2&lt;/rt&gt;&lt;/ruby&gt;""
)&amp;""&lt;br&gt;&lt;div class=""""audio""""&gt;[sound:""&amp;C2198&amp;"".mp3]&lt;/div&gt;"""),"&lt;ruby&gt;計&lt;rt&gt;はか&lt;/rt&gt;&lt;/ruby&gt;る&lt;br&gt;&lt;div class=""audio""&gt;[sound:はかる.mp3]&lt;/div&gt;")</f>
        <v>&lt;ruby&gt;計&lt;rt&gt;はか&lt;/rt&gt;&lt;/ruby&gt;る&lt;br&gt;&lt;div class="audio"&gt;[sound:はかる.mp3]&lt;/div&gt;</v>
      </c>
      <c r="H2198" s="3" t="str">
        <f t="shared" si="1"/>
        <v>(v): đo</v>
      </c>
      <c r="I2198" s="6" t="s">
        <v>11954</v>
      </c>
      <c r="J2198" s="6" t="s">
        <v>11955</v>
      </c>
      <c r="K2198" s="7">
        <f t="shared" si="2"/>
        <v>0.7582250943</v>
      </c>
    </row>
    <row r="2199">
      <c r="A2199" s="4">
        <v>2199.0</v>
      </c>
      <c r="B2199" s="5" t="s">
        <v>11956</v>
      </c>
      <c r="C2199" s="5" t="s">
        <v>6480</v>
      </c>
      <c r="D2199" s="5" t="s">
        <v>11957</v>
      </c>
      <c r="E2199" s="6" t="s">
        <v>74</v>
      </c>
      <c r="F2199" s="6" t="s">
        <v>11958</v>
      </c>
      <c r="G2199" s="3" t="str">
        <f>IFERROR(__xludf.DUMMYFUNCTION("REGEXREPLACE(
D2199,
""([一-龯々]+)\[([^\]]+)\]"",
""&lt;ruby&gt;$1&lt;rt&gt;$2&lt;/rt&gt;&lt;/ruby&gt;""
)&amp;""&lt;br&gt;&lt;div class=""""audio""""&gt;[sound:""&amp;C2199&amp;"".mp3]&lt;/div&gt;"""),"&lt;ruby&gt;人工&lt;rt&gt;じんこう&lt;/rt&gt;&lt;/ruby&gt;&lt;br&gt;&lt;div class=""audio""&gt;[sound:じんこう.mp3]&lt;/div&gt;")</f>
        <v>&lt;ruby&gt;人工&lt;rt&gt;じんこう&lt;/rt&gt;&lt;/ruby&gt;&lt;br&gt;&lt;div class="audio"&gt;[sound:じんこう.mp3]&lt;/div&gt;</v>
      </c>
      <c r="H2199" s="3" t="str">
        <f t="shared" si="1"/>
        <v>(n): nhân tạo</v>
      </c>
      <c r="I2199" s="6" t="s">
        <v>11959</v>
      </c>
      <c r="J2199" s="6" t="s">
        <v>11960</v>
      </c>
      <c r="K2199" s="7">
        <f t="shared" si="2"/>
        <v>0.8819604056</v>
      </c>
    </row>
    <row r="2200">
      <c r="A2200" s="4">
        <v>2200.0</v>
      </c>
      <c r="B2200" s="5" t="s">
        <v>11961</v>
      </c>
      <c r="C2200" s="5" t="s">
        <v>11962</v>
      </c>
      <c r="D2200" s="5" t="s">
        <v>11963</v>
      </c>
      <c r="E2200" s="6" t="s">
        <v>74</v>
      </c>
      <c r="F2200" s="6" t="s">
        <v>11964</v>
      </c>
      <c r="G2200" s="3" t="str">
        <f>IFERROR(__xludf.DUMMYFUNCTION("REGEXREPLACE(
D2200,
""([一-龯々]+)\[([^\]]+)\]"",
""&lt;ruby&gt;$1&lt;rt&gt;$2&lt;/rt&gt;&lt;/ruby&gt;""
)&amp;""&lt;br&gt;&lt;div class=""""audio""""&gt;[sound:""&amp;C2200&amp;"".mp3]&lt;/div&gt;"""),"&lt;ruby&gt;疑問&lt;rt&gt;ぎもん&lt;/rt&gt;&lt;/ruby&gt;&lt;br&gt;&lt;div class=""audio""&gt;[sound:ぎもん.mp3]&lt;/div&gt;")</f>
        <v>&lt;ruby&gt;疑問&lt;rt&gt;ぎもん&lt;/rt&gt;&lt;/ruby&gt;&lt;br&gt;&lt;div class="audio"&gt;[sound:ぎもん.mp3]&lt;/div&gt;</v>
      </c>
      <c r="H2200" s="3" t="str">
        <f t="shared" si="1"/>
        <v>(n): nghi vấn</v>
      </c>
      <c r="I2200" s="6" t="s">
        <v>11965</v>
      </c>
      <c r="J2200" s="6" t="s">
        <v>11966</v>
      </c>
      <c r="K2200" s="7">
        <f t="shared" si="2"/>
        <v>0.2000386564</v>
      </c>
    </row>
    <row r="2201">
      <c r="A2201" s="4">
        <v>2201.0</v>
      </c>
      <c r="B2201" s="5" t="s">
        <v>11967</v>
      </c>
      <c r="C2201" s="5" t="s">
        <v>11968</v>
      </c>
      <c r="D2201" s="5" t="s">
        <v>11967</v>
      </c>
      <c r="E2201" s="6" t="s">
        <v>74</v>
      </c>
      <c r="F2201" s="6" t="s">
        <v>11969</v>
      </c>
      <c r="G2201" s="3" t="str">
        <f>IFERROR(__xludf.DUMMYFUNCTION("REGEXREPLACE(
D2201,
""([一-龯々]+)\[([^\]]+)\]"",
""&lt;ruby&gt;$1&lt;rt&gt;$2&lt;/rt&gt;&lt;/ruby&gt;""
)&amp;""&lt;br&gt;&lt;div class=""""audio""""&gt;[sound:""&amp;C2201&amp;"".mp3]&lt;/div&gt;"""),"ハンドル&lt;br&gt;&lt;div class=""audio""&gt;[sound:はんどる.mp3]&lt;/div&gt;")</f>
        <v>ハンドル&lt;br&gt;&lt;div class="audio"&gt;[sound:はんどる.mp3]&lt;/div&gt;</v>
      </c>
      <c r="H2201" s="3" t="str">
        <f t="shared" si="1"/>
        <v>(n): vô lăng</v>
      </c>
      <c r="I2201" s="6" t="s">
        <v>11970</v>
      </c>
      <c r="J2201" s="6" t="s">
        <v>11971</v>
      </c>
      <c r="K2201" s="7">
        <f t="shared" si="2"/>
        <v>0.3230656656</v>
      </c>
    </row>
    <row r="2202">
      <c r="A2202" s="4">
        <v>2202.0</v>
      </c>
      <c r="B2202" s="5" t="s">
        <v>11972</v>
      </c>
      <c r="C2202" s="5" t="s">
        <v>11973</v>
      </c>
      <c r="D2202" s="5" t="s">
        <v>11974</v>
      </c>
      <c r="E2202" s="6" t="s">
        <v>74</v>
      </c>
      <c r="F2202" s="6" t="s">
        <v>11975</v>
      </c>
      <c r="G2202" s="3" t="str">
        <f>IFERROR(__xludf.DUMMYFUNCTION("REGEXREPLACE(
D2202,
""([一-龯々]+)\[([^\]]+)\]"",
""&lt;ruby&gt;$1&lt;rt&gt;$2&lt;/rt&gt;&lt;/ruby&gt;""
)&amp;""&lt;br&gt;&lt;div class=""""audio""""&gt;[sound:""&amp;C2202&amp;"".mp3]&lt;/div&gt;"""),"&lt;ruby&gt;一言&lt;rt&gt;ひとこと&lt;/rt&gt;&lt;/ruby&gt;&lt;br&gt;&lt;div class=""audio""&gt;[sound:ひとこと.mp3]&lt;/div&gt;")</f>
        <v>&lt;ruby&gt;一言&lt;rt&gt;ひとこと&lt;/rt&gt;&lt;/ruby&gt;&lt;br&gt;&lt;div class="audio"&gt;[sound:ひとこと.mp3]&lt;/div&gt;</v>
      </c>
      <c r="H2202" s="3" t="str">
        <f t="shared" si="1"/>
        <v>(n): một lời</v>
      </c>
      <c r="I2202" s="6" t="s">
        <v>11976</v>
      </c>
      <c r="J2202" s="6" t="s">
        <v>11977</v>
      </c>
      <c r="K2202" s="7">
        <f t="shared" si="2"/>
        <v>0.8192258952</v>
      </c>
    </row>
    <row r="2203">
      <c r="A2203" s="4">
        <v>2203.0</v>
      </c>
      <c r="B2203" s="5" t="s">
        <v>11978</v>
      </c>
      <c r="C2203" s="5" t="s">
        <v>11979</v>
      </c>
      <c r="D2203" s="5" t="s">
        <v>11980</v>
      </c>
      <c r="E2203" s="6" t="s">
        <v>74</v>
      </c>
      <c r="F2203" s="6" t="s">
        <v>11981</v>
      </c>
      <c r="G2203" s="3" t="str">
        <f>IFERROR(__xludf.DUMMYFUNCTION("REGEXREPLACE(
D2203,
""([一-龯々]+)\[([^\]]+)\]"",
""&lt;ruby&gt;$1&lt;rt&gt;$2&lt;/rt&gt;&lt;/ruby&gt;""
)&amp;""&lt;br&gt;&lt;div class=""""audio""""&gt;[sound:""&amp;C2203&amp;"".mp3]&lt;/div&gt;"""),"&lt;ruby&gt;主婦&lt;rt&gt;しゅふ&lt;/rt&gt;&lt;/ruby&gt;&lt;br&gt;&lt;div class=""audio""&gt;[sound:しゅふ.mp3]&lt;/div&gt;")</f>
        <v>&lt;ruby&gt;主婦&lt;rt&gt;しゅふ&lt;/rt&gt;&lt;/ruby&gt;&lt;br&gt;&lt;div class="audio"&gt;[sound:しゅふ.mp3]&lt;/div&gt;</v>
      </c>
      <c r="H2203" s="3" t="str">
        <f t="shared" si="1"/>
        <v>(n): nội trợ</v>
      </c>
      <c r="I2203" s="6" t="s">
        <v>11982</v>
      </c>
      <c r="J2203" s="6" t="s">
        <v>11983</v>
      </c>
      <c r="K2203" s="7">
        <f t="shared" si="2"/>
        <v>0.1550958245</v>
      </c>
    </row>
    <row r="2204">
      <c r="A2204" s="4">
        <v>2204.0</v>
      </c>
      <c r="B2204" s="5" t="s">
        <v>11984</v>
      </c>
      <c r="C2204" s="5" t="s">
        <v>11985</v>
      </c>
      <c r="D2204" s="5" t="s">
        <v>11986</v>
      </c>
      <c r="E2204" s="6" t="s">
        <v>24</v>
      </c>
      <c r="F2204" s="6" t="s">
        <v>11987</v>
      </c>
      <c r="G2204" s="3" t="str">
        <f>IFERROR(__xludf.DUMMYFUNCTION("REGEXREPLACE(
D2204,
""([一-龯々]+)\[([^\]]+)\]"",
""&lt;ruby&gt;$1&lt;rt&gt;$2&lt;/rt&gt;&lt;/ruby&gt;""
)&amp;""&lt;br&gt;&lt;div class=""""audio""""&gt;[sound:""&amp;C2204&amp;"".mp3]&lt;/div&gt;"""),"&lt;ruby&gt;予測&lt;rt&gt;よそく&lt;/rt&gt;&lt;/ruby&gt;&lt;br&gt;&lt;div class=""audio""&gt;[sound:よそく.mp3]&lt;/div&gt;")</f>
        <v>&lt;ruby&gt;予測&lt;rt&gt;よそく&lt;/rt&gt;&lt;/ruby&gt;&lt;br&gt;&lt;div class="audio"&gt;[sound:よそく.mp3]&lt;/div&gt;</v>
      </c>
      <c r="H2204" s="3" t="str">
        <f t="shared" si="1"/>
        <v>(v): dự tính</v>
      </c>
      <c r="I2204" s="6" t="s">
        <v>11988</v>
      </c>
      <c r="J2204" s="6" t="s">
        <v>11989</v>
      </c>
      <c r="K2204" s="7">
        <f t="shared" si="2"/>
        <v>0.1898742572</v>
      </c>
    </row>
    <row r="2205">
      <c r="A2205" s="4">
        <v>2205.0</v>
      </c>
      <c r="B2205" s="5" t="s">
        <v>11990</v>
      </c>
      <c r="C2205" s="5" t="s">
        <v>126</v>
      </c>
      <c r="D2205" s="5" t="s">
        <v>11991</v>
      </c>
      <c r="E2205" s="6" t="s">
        <v>74</v>
      </c>
      <c r="F2205" s="6" t="s">
        <v>634</v>
      </c>
      <c r="G2205" s="3" t="str">
        <f>IFERROR(__xludf.DUMMYFUNCTION("REGEXREPLACE(
D2205,
""([一-龯々]+)\[([^\]]+)\]"",
""&lt;ruby&gt;$1&lt;rt&gt;$2&lt;/rt&gt;&lt;/ruby&gt;""
)&amp;""&lt;br&gt;&lt;div class=""""audio""""&gt;[sound:""&amp;C2205&amp;"".mp3]&lt;/div&gt;"""),"&lt;ruby&gt;仲&lt;rt&gt;なか&lt;/rt&gt;&lt;/ruby&gt;&lt;br&gt;&lt;div class=""audio""&gt;[sound:なか.mp3]&lt;/div&gt;")</f>
        <v>&lt;ruby&gt;仲&lt;rt&gt;なか&lt;/rt&gt;&lt;/ruby&gt;&lt;br&gt;&lt;div class="audio"&gt;[sound:なか.mp3]&lt;/div&gt;</v>
      </c>
      <c r="H2205" s="3" t="str">
        <f t="shared" si="1"/>
        <v>(n): quan hệ</v>
      </c>
      <c r="I2205" s="6" t="s">
        <v>11992</v>
      </c>
      <c r="J2205" s="6" t="s">
        <v>11993</v>
      </c>
      <c r="K2205" s="7">
        <f t="shared" si="2"/>
        <v>0.576509269</v>
      </c>
    </row>
    <row r="2206">
      <c r="A2206" s="4">
        <v>2206.0</v>
      </c>
      <c r="B2206" s="5" t="s">
        <v>11994</v>
      </c>
      <c r="C2206" s="5" t="s">
        <v>11995</v>
      </c>
      <c r="D2206" s="5" t="s">
        <v>11996</v>
      </c>
      <c r="E2206" s="6" t="s">
        <v>74</v>
      </c>
      <c r="F2206" s="6" t="s">
        <v>11997</v>
      </c>
      <c r="G2206" s="3" t="str">
        <f>IFERROR(__xludf.DUMMYFUNCTION("REGEXREPLACE(
D2206,
""([一-龯々]+)\[([^\]]+)\]"",
""&lt;ruby&gt;$1&lt;rt&gt;$2&lt;/rt&gt;&lt;/ruby&gt;""
)&amp;""&lt;br&gt;&lt;div class=""""audio""""&gt;[sound:""&amp;C2206&amp;"".mp3]&lt;/div&gt;"""),"&lt;ruby&gt;議員&lt;rt&gt;ぎいん&lt;/rt&gt;&lt;/ruby&gt;&lt;br&gt;&lt;div class=""audio""&gt;[sound:ぎいん.mp3]&lt;/div&gt;")</f>
        <v>&lt;ruby&gt;議員&lt;rt&gt;ぎいん&lt;/rt&gt;&lt;/ruby&gt;&lt;br&gt;&lt;div class="audio"&gt;[sound:ぎいん.mp3]&lt;/div&gt;</v>
      </c>
      <c r="H2206" s="3" t="str">
        <f t="shared" si="1"/>
        <v>(n): nghị sĩ</v>
      </c>
      <c r="I2206" s="6" t="s">
        <v>11998</v>
      </c>
      <c r="J2206" s="6" t="s">
        <v>11999</v>
      </c>
      <c r="K2206" s="7">
        <f t="shared" si="2"/>
        <v>0.07247908426</v>
      </c>
    </row>
    <row r="2207">
      <c r="A2207" s="4">
        <v>2207.0</v>
      </c>
      <c r="B2207" s="5" t="s">
        <v>12000</v>
      </c>
      <c r="C2207" s="5" t="s">
        <v>12001</v>
      </c>
      <c r="D2207" s="5" t="s">
        <v>12000</v>
      </c>
      <c r="E2207" s="6" t="s">
        <v>74</v>
      </c>
      <c r="F2207" s="6" t="s">
        <v>12002</v>
      </c>
      <c r="G2207" s="3" t="str">
        <f>IFERROR(__xludf.DUMMYFUNCTION("REGEXREPLACE(
D2207,
""([一-龯々]+)\[([^\]]+)\]"",
""&lt;ruby&gt;$1&lt;rt&gt;$2&lt;/rt&gt;&lt;/ruby&gt;""
)&amp;""&lt;br&gt;&lt;div class=""""audio""""&gt;[sound:""&amp;C2207&amp;"".mp3]&lt;/div&gt;"""),"テニス&lt;br&gt;&lt;div class=""audio""&gt;[sound:てにす.mp3]&lt;/div&gt;")</f>
        <v>テニス&lt;br&gt;&lt;div class="audio"&gt;[sound:てにす.mp3]&lt;/div&gt;</v>
      </c>
      <c r="H2207" s="3" t="str">
        <f t="shared" si="1"/>
        <v>(n): tennis</v>
      </c>
      <c r="I2207" s="6" t="s">
        <v>12003</v>
      </c>
      <c r="J2207" s="6" t="s">
        <v>12004</v>
      </c>
      <c r="K2207" s="7">
        <f t="shared" si="2"/>
        <v>0.05887580019</v>
      </c>
    </row>
    <row r="2208">
      <c r="A2208" s="4">
        <v>2208.0</v>
      </c>
      <c r="B2208" s="5" t="s">
        <v>12005</v>
      </c>
      <c r="C2208" s="5" t="s">
        <v>12006</v>
      </c>
      <c r="D2208" s="5" t="s">
        <v>12005</v>
      </c>
      <c r="E2208" s="6" t="s">
        <v>74</v>
      </c>
      <c r="F2208" s="6" t="s">
        <v>12007</v>
      </c>
      <c r="G2208" s="3" t="str">
        <f>IFERROR(__xludf.DUMMYFUNCTION("REGEXREPLACE(
D2208,
""([一-龯々]+)\[([^\]]+)\]"",
""&lt;ruby&gt;$1&lt;rt&gt;$2&lt;/rt&gt;&lt;/ruby&gt;""
)&amp;""&lt;br&gt;&lt;div class=""""audio""""&gt;[sound:""&amp;C2208&amp;"".mp3]&lt;/div&gt;"""),"ゴール&lt;br&gt;&lt;div class=""audio""&gt;[sound:ごーる.mp3]&lt;/div&gt;")</f>
        <v>ゴール&lt;br&gt;&lt;div class="audio"&gt;[sound:ごーる.mp3]&lt;/div&gt;</v>
      </c>
      <c r="H2208" s="3" t="str">
        <f t="shared" si="1"/>
        <v>(n): đích</v>
      </c>
      <c r="I2208" s="6" t="s">
        <v>12008</v>
      </c>
      <c r="J2208" s="6" t="s">
        <v>12009</v>
      </c>
      <c r="K2208" s="7">
        <f t="shared" si="2"/>
        <v>0.834074692</v>
      </c>
    </row>
    <row r="2209">
      <c r="A2209" s="4">
        <v>2209.0</v>
      </c>
      <c r="B2209" s="5" t="s">
        <v>12010</v>
      </c>
      <c r="C2209" s="5" t="s">
        <v>12011</v>
      </c>
      <c r="D2209" s="5" t="s">
        <v>12010</v>
      </c>
      <c r="E2209" s="6" t="s">
        <v>74</v>
      </c>
      <c r="F2209" s="6" t="s">
        <v>12012</v>
      </c>
      <c r="G2209" s="3" t="str">
        <f>IFERROR(__xludf.DUMMYFUNCTION("REGEXREPLACE(
D2209,
""([一-龯々]+)\[([^\]]+)\]"",
""&lt;ruby&gt;$1&lt;rt&gt;$2&lt;/rt&gt;&lt;/ruby&gt;""
)&amp;""&lt;br&gt;&lt;div class=""""audio""""&gt;[sound:""&amp;C2209&amp;"".mp3]&lt;/div&gt;"""),"スカート&lt;br&gt;&lt;div class=""audio""&gt;[sound:すかーと.mp3]&lt;/div&gt;")</f>
        <v>スカート&lt;br&gt;&lt;div class="audio"&gt;[sound:すかーと.mp3]&lt;/div&gt;</v>
      </c>
      <c r="H2209" s="3" t="str">
        <f t="shared" si="1"/>
        <v>(n): váy</v>
      </c>
      <c r="I2209" s="6" t="s">
        <v>12013</v>
      </c>
      <c r="J2209" s="6" t="s">
        <v>12014</v>
      </c>
      <c r="K2209" s="7">
        <f t="shared" si="2"/>
        <v>0.9628748026</v>
      </c>
    </row>
    <row r="2210">
      <c r="A2210" s="4">
        <v>2210.0</v>
      </c>
      <c r="B2210" s="5" t="s">
        <v>12015</v>
      </c>
      <c r="C2210" s="5" t="s">
        <v>12016</v>
      </c>
      <c r="D2210" s="5" t="s">
        <v>12017</v>
      </c>
      <c r="E2210" s="6" t="s">
        <v>24</v>
      </c>
      <c r="F2210" s="6" t="s">
        <v>12018</v>
      </c>
      <c r="G2210" s="3" t="str">
        <f>IFERROR(__xludf.DUMMYFUNCTION("REGEXREPLACE(
D2210,
""([一-龯々]+)\[([^\]]+)\]"",
""&lt;ruby&gt;$1&lt;rt&gt;$2&lt;/rt&gt;&lt;/ruby&gt;""
)&amp;""&lt;br&gt;&lt;div class=""""audio""""&gt;[sound:""&amp;C2210&amp;"".mp3]&lt;/div&gt;"""),"&lt;ruby&gt;直&lt;rt&gt;なお&lt;/rt&gt;&lt;/ruby&gt;す&lt;br&gt;&lt;div class=""audio""&gt;[sound:なおす.mp3]&lt;/div&gt;")</f>
        <v>&lt;ruby&gt;直&lt;rt&gt;なお&lt;/rt&gt;&lt;/ruby&gt;す&lt;br&gt;&lt;div class="audio"&gt;[sound:なおす.mp3]&lt;/div&gt;</v>
      </c>
      <c r="H2210" s="3" t="str">
        <f t="shared" si="1"/>
        <v>(v): sửa</v>
      </c>
      <c r="I2210" s="6" t="s">
        <v>12019</v>
      </c>
      <c r="J2210" s="6" t="s">
        <v>12020</v>
      </c>
      <c r="K2210" s="7">
        <f t="shared" si="2"/>
        <v>0.5968465221</v>
      </c>
    </row>
    <row r="2211">
      <c r="A2211" s="4">
        <v>2211.0</v>
      </c>
      <c r="B2211" s="5" t="s">
        <v>12021</v>
      </c>
      <c r="C2211" s="5" t="s">
        <v>12022</v>
      </c>
      <c r="D2211" s="5" t="s">
        <v>12021</v>
      </c>
      <c r="E2211" s="6" t="s">
        <v>74</v>
      </c>
      <c r="F2211" s="6" t="s">
        <v>8483</v>
      </c>
      <c r="G2211" s="3" t="str">
        <f>IFERROR(__xludf.DUMMYFUNCTION("REGEXREPLACE(
D2211,
""([一-龯々]+)\[([^\]]+)\]"",
""&lt;ruby&gt;$1&lt;rt&gt;$2&lt;/rt&gt;&lt;/ruby&gt;""
)&amp;""&lt;br&gt;&lt;div class=""""audio""""&gt;[sound:""&amp;C2211&amp;"".mp3]&lt;/div&gt;"""),"ナンバー&lt;br&gt;&lt;div class=""audio""&gt;[sound:なんばー.mp3]&lt;/div&gt;")</f>
        <v>ナンバー&lt;br&gt;&lt;div class="audio"&gt;[sound:なんばー.mp3]&lt;/div&gt;</v>
      </c>
      <c r="H2211" s="3" t="str">
        <f t="shared" si="1"/>
        <v>(n): số</v>
      </c>
      <c r="I2211" s="6" t="s">
        <v>12023</v>
      </c>
      <c r="J2211" s="6" t="s">
        <v>12024</v>
      </c>
      <c r="K2211" s="7">
        <f t="shared" si="2"/>
        <v>0.5252515747</v>
      </c>
    </row>
    <row r="2212">
      <c r="A2212" s="4">
        <v>2212.0</v>
      </c>
      <c r="B2212" s="5" t="s">
        <v>12025</v>
      </c>
      <c r="C2212" s="5" t="s">
        <v>12026</v>
      </c>
      <c r="D2212" s="5" t="s">
        <v>12027</v>
      </c>
      <c r="E2212" s="6" t="s">
        <v>24</v>
      </c>
      <c r="F2212" s="6" t="s">
        <v>4324</v>
      </c>
      <c r="G2212" s="3" t="str">
        <f>IFERROR(__xludf.DUMMYFUNCTION("REGEXREPLACE(
D2212,
""([一-龯々]+)\[([^\]]+)\]"",
""&lt;ruby&gt;$1&lt;rt&gt;$2&lt;/rt&gt;&lt;/ruby&gt;""
)&amp;""&lt;br&gt;&lt;div class=""""audio""""&gt;[sound:""&amp;C2212&amp;"".mp3]&lt;/div&gt;"""),"&lt;ruby&gt;恐&lt;rt&gt;おそ&lt;/rt&gt;&lt;/ruby&gt;れる&lt;br&gt;&lt;div class=""audio""&gt;[sound:おそれる.mp3]&lt;/div&gt;")</f>
        <v>&lt;ruby&gt;恐&lt;rt&gt;おそ&lt;/rt&gt;&lt;/ruby&gt;れる&lt;br&gt;&lt;div class="audio"&gt;[sound:おそれる.mp3]&lt;/div&gt;</v>
      </c>
      <c r="H2212" s="3" t="str">
        <f t="shared" si="1"/>
        <v>(v): sợ</v>
      </c>
      <c r="I2212" s="6" t="s">
        <v>12028</v>
      </c>
      <c r="J2212" s="6" t="s">
        <v>12029</v>
      </c>
      <c r="K2212" s="7">
        <f t="shared" si="2"/>
        <v>0.7093189653</v>
      </c>
    </row>
    <row r="2213">
      <c r="A2213" s="4">
        <v>2213.0</v>
      </c>
      <c r="B2213" s="5" t="s">
        <v>12030</v>
      </c>
      <c r="C2213" s="5" t="s">
        <v>12031</v>
      </c>
      <c r="D2213" s="5" t="s">
        <v>12032</v>
      </c>
      <c r="E2213" s="6" t="s">
        <v>24</v>
      </c>
      <c r="F2213" s="6" t="s">
        <v>12033</v>
      </c>
      <c r="G2213" s="3" t="str">
        <f>IFERROR(__xludf.DUMMYFUNCTION("REGEXREPLACE(
D2213,
""([一-龯々]+)\[([^\]]+)\]"",
""&lt;ruby&gt;$1&lt;rt&gt;$2&lt;/rt&gt;&lt;/ruby&gt;""
)&amp;""&lt;br&gt;&lt;div class=""""audio""""&gt;[sound:""&amp;C2213&amp;"".mp3]&lt;/div&gt;"""),"&lt;ruby&gt;流&lt;rt&gt;なが&lt;/rt&gt;&lt;/ruby&gt;す&lt;br&gt;&lt;div class=""audio""&gt;[sound:ながす.mp3]&lt;/div&gt;")</f>
        <v>&lt;ruby&gt;流&lt;rt&gt;なが&lt;/rt&gt;&lt;/ruby&gt;す&lt;br&gt;&lt;div class="audio"&gt;[sound:ながす.mp3]&lt;/div&gt;</v>
      </c>
      <c r="H2213" s="3" t="str">
        <f t="shared" si="1"/>
        <v>(v): xả</v>
      </c>
      <c r="I2213" s="6" t="s">
        <v>12034</v>
      </c>
      <c r="J2213" s="6" t="s">
        <v>12035</v>
      </c>
      <c r="K2213" s="7">
        <f t="shared" si="2"/>
        <v>0.9786140893</v>
      </c>
    </row>
    <row r="2214">
      <c r="A2214" s="4">
        <v>2214.0</v>
      </c>
      <c r="B2214" s="5" t="s">
        <v>12036</v>
      </c>
      <c r="C2214" s="5" t="s">
        <v>12037</v>
      </c>
      <c r="D2214" s="5" t="s">
        <v>12038</v>
      </c>
      <c r="E2214" s="6" t="s">
        <v>74</v>
      </c>
      <c r="F2214" s="6" t="s">
        <v>12039</v>
      </c>
      <c r="G2214" s="3" t="str">
        <f>IFERROR(__xludf.DUMMYFUNCTION("REGEXREPLACE(
D2214,
""([一-龯々]+)\[([^\]]+)\]"",
""&lt;ruby&gt;$1&lt;rt&gt;$2&lt;/rt&gt;&lt;/ruby&gt;""
)&amp;""&lt;br&gt;&lt;div class=""""audio""""&gt;[sound:""&amp;C2214&amp;"".mp3]&lt;/div&gt;"""),"&lt;ruby&gt;注文&lt;rt&gt;ちゅうもん&lt;/rt&gt;&lt;/ruby&gt;&lt;br&gt;&lt;div class=""audio""&gt;[sound:ちゅうもん.mp3]&lt;/div&gt;")</f>
        <v>&lt;ruby&gt;注文&lt;rt&gt;ちゅうもん&lt;/rt&gt;&lt;/ruby&gt;&lt;br&gt;&lt;div class="audio"&gt;[sound:ちゅうもん.mp3]&lt;/div&gt;</v>
      </c>
      <c r="H2214" s="3" t="str">
        <f t="shared" si="1"/>
        <v>(n): đặt hàng</v>
      </c>
      <c r="I2214" s="6" t="s">
        <v>12040</v>
      </c>
      <c r="J2214" s="6" t="s">
        <v>12041</v>
      </c>
      <c r="K2214" s="7">
        <f t="shared" si="2"/>
        <v>0.4558265648</v>
      </c>
    </row>
    <row r="2215">
      <c r="A2215" s="4">
        <v>2215.0</v>
      </c>
      <c r="B2215" s="5" t="s">
        <v>12042</v>
      </c>
      <c r="C2215" s="5" t="s">
        <v>12043</v>
      </c>
      <c r="D2215" s="5" t="s">
        <v>12042</v>
      </c>
      <c r="E2215" s="6" t="s">
        <v>74</v>
      </c>
      <c r="F2215" s="6" t="s">
        <v>12044</v>
      </c>
      <c r="G2215" s="3" t="str">
        <f>IFERROR(__xludf.DUMMYFUNCTION("REGEXREPLACE(
D2215,
""([一-龯々]+)\[([^\]]+)\]"",
""&lt;ruby&gt;$1&lt;rt&gt;$2&lt;/rt&gt;&lt;/ruby&gt;""
)&amp;""&lt;br&gt;&lt;div class=""""audio""""&gt;[sound:""&amp;C2215&amp;"".mp3]&lt;/div&gt;"""),"チーズ&lt;br&gt;&lt;div class=""audio""&gt;[sound:ちーず.mp3]&lt;/div&gt;")</f>
        <v>チーズ&lt;br&gt;&lt;div class="audio"&gt;[sound:ちーず.mp3]&lt;/div&gt;</v>
      </c>
      <c r="H2215" s="3" t="str">
        <f t="shared" si="1"/>
        <v>(n): phô mai</v>
      </c>
      <c r="I2215" s="6" t="s">
        <v>12045</v>
      </c>
      <c r="J2215" s="6" t="s">
        <v>12046</v>
      </c>
      <c r="K2215" s="7">
        <f t="shared" si="2"/>
        <v>0.6654279863</v>
      </c>
    </row>
    <row r="2216">
      <c r="A2216" s="4">
        <v>2216.0</v>
      </c>
      <c r="B2216" s="5" t="s">
        <v>12047</v>
      </c>
      <c r="C2216" s="5" t="s">
        <v>12048</v>
      </c>
      <c r="D2216" s="5" t="s">
        <v>12049</v>
      </c>
      <c r="E2216" s="6" t="s">
        <v>58</v>
      </c>
      <c r="F2216" s="6" t="s">
        <v>12050</v>
      </c>
      <c r="G2216" s="3" t="str">
        <f>IFERROR(__xludf.DUMMYFUNCTION("REGEXREPLACE(
D2216,
""([一-龯々]+)\[([^\]]+)\]"",
""&lt;ruby&gt;$1&lt;rt&gt;$2&lt;/rt&gt;&lt;/ruby&gt;""
)&amp;""&lt;br&gt;&lt;div class=""""audio""""&gt;[sound:""&amp;C2216&amp;"".mp3]&lt;/div&gt;"""),"&lt;ruby&gt;五&lt;rt&gt;い&lt;/rt&gt;&lt;/ruby&gt;つ&lt;br&gt;&lt;div class=""audio""&gt;[sound:いつつ.mp3]&lt;/div&gt;")</f>
        <v>&lt;ruby&gt;五&lt;rt&gt;い&lt;/rt&gt;&lt;/ruby&gt;つ&lt;br&gt;&lt;div class="audio"&gt;[sound:いつつ.mp3]&lt;/div&gt;</v>
      </c>
      <c r="H2216" s="3" t="str">
        <f t="shared" si="1"/>
        <v>(num): năm cái</v>
      </c>
      <c r="I2216" s="6" t="s">
        <v>12051</v>
      </c>
      <c r="J2216" s="6" t="s">
        <v>12052</v>
      </c>
      <c r="K2216" s="7">
        <f t="shared" si="2"/>
        <v>0.0231451806</v>
      </c>
    </row>
    <row r="2217">
      <c r="A2217" s="4">
        <v>2217.0</v>
      </c>
      <c r="B2217" s="5" t="s">
        <v>12053</v>
      </c>
      <c r="C2217" s="5" t="s">
        <v>12054</v>
      </c>
      <c r="D2217" s="5" t="s">
        <v>12055</v>
      </c>
      <c r="E2217" s="6" t="s">
        <v>74</v>
      </c>
      <c r="F2217" s="6" t="s">
        <v>12056</v>
      </c>
      <c r="G2217" s="3" t="str">
        <f>IFERROR(__xludf.DUMMYFUNCTION("REGEXREPLACE(
D2217,
""([一-龯々]+)\[([^\]]+)\]"",
""&lt;ruby&gt;$1&lt;rt&gt;$2&lt;/rt&gt;&lt;/ruby&gt;""
)&amp;""&lt;br&gt;&lt;div class=""""audio""""&gt;[sound:""&amp;C2217&amp;"".mp3]&lt;/div&gt;"""),"&lt;ruby&gt;買&lt;rt&gt;か&lt;/rt&gt;&lt;/ruby&gt;い&lt;ruby&gt;物&lt;rt&gt;もの&lt;/rt&gt;&lt;/ruby&gt;&lt;br&gt;&lt;div class=""audio""&gt;[sound:かいもの.mp3]&lt;/div&gt;")</f>
        <v>&lt;ruby&gt;買&lt;rt&gt;か&lt;/rt&gt;&lt;/ruby&gt;い&lt;ruby&gt;物&lt;rt&gt;もの&lt;/rt&gt;&lt;/ruby&gt;&lt;br&gt;&lt;div class="audio"&gt;[sound:かいもの.mp3]&lt;/div&gt;</v>
      </c>
      <c r="H2217" s="3" t="str">
        <f t="shared" si="1"/>
        <v>(n): mua sắm</v>
      </c>
      <c r="I2217" s="6" t="s">
        <v>12057</v>
      </c>
      <c r="J2217" s="6" t="s">
        <v>12058</v>
      </c>
      <c r="K2217" s="7">
        <f t="shared" si="2"/>
        <v>0.9515871513</v>
      </c>
    </row>
    <row r="2218">
      <c r="A2218" s="4">
        <v>2218.0</v>
      </c>
      <c r="B2218" s="5" t="s">
        <v>12059</v>
      </c>
      <c r="C2218" s="5" t="s">
        <v>7998</v>
      </c>
      <c r="D2218" s="5" t="s">
        <v>12060</v>
      </c>
      <c r="E2218" s="6" t="s">
        <v>24</v>
      </c>
      <c r="F2218" s="6" t="s">
        <v>12061</v>
      </c>
      <c r="G2218" s="3" t="str">
        <f>IFERROR(__xludf.DUMMYFUNCTION("REGEXREPLACE(
D2218,
""([一-龯々]+)\[([^\]]+)\]"",
""&lt;ruby&gt;$1&lt;rt&gt;$2&lt;/rt&gt;&lt;/ruby&gt;""
)&amp;""&lt;br&gt;&lt;div class=""""audio""""&gt;[sound:""&amp;C2218&amp;"".mp3]&lt;/div&gt;"""),"&lt;ruby&gt;伸&lt;rt&gt;の&lt;/rt&gt;&lt;/ruby&gt;びる&lt;br&gt;&lt;div class=""audio""&gt;[sound:のびる.mp3]&lt;/div&gt;")</f>
        <v>&lt;ruby&gt;伸&lt;rt&gt;の&lt;/rt&gt;&lt;/ruby&gt;びる&lt;br&gt;&lt;div class="audio"&gt;[sound:のびる.mp3]&lt;/div&gt;</v>
      </c>
      <c r="H2218" s="3" t="str">
        <f t="shared" si="1"/>
        <v>(v): dài ra</v>
      </c>
      <c r="I2218" s="6" t="s">
        <v>12062</v>
      </c>
      <c r="J2218" s="6" t="s">
        <v>12063</v>
      </c>
      <c r="K2218" s="7">
        <f t="shared" si="2"/>
        <v>0.5546405688</v>
      </c>
    </row>
    <row r="2219">
      <c r="A2219" s="4">
        <v>2219.0</v>
      </c>
      <c r="B2219" s="5" t="s">
        <v>12064</v>
      </c>
      <c r="C2219" s="5" t="s">
        <v>12065</v>
      </c>
      <c r="D2219" s="5" t="s">
        <v>12066</v>
      </c>
      <c r="E2219" s="6" t="s">
        <v>74</v>
      </c>
      <c r="F2219" s="6" t="s">
        <v>4145</v>
      </c>
      <c r="G2219" s="3" t="str">
        <f>IFERROR(__xludf.DUMMYFUNCTION("REGEXREPLACE(
D2219,
""([一-龯々]+)\[([^\]]+)\]"",
""&lt;ruby&gt;$1&lt;rt&gt;$2&lt;/rt&gt;&lt;/ruby&gt;""
)&amp;""&lt;br&gt;&lt;div class=""""audio""""&gt;[sound:""&amp;C2219&amp;"".mp3]&lt;/div&gt;"""),"&lt;ruby&gt;砂糖&lt;rt&gt;さとう&lt;/rt&gt;&lt;/ruby&gt;&lt;br&gt;&lt;div class=""audio""&gt;[sound:さとう.mp3]&lt;/div&gt;")</f>
        <v>&lt;ruby&gt;砂糖&lt;rt&gt;さとう&lt;/rt&gt;&lt;/ruby&gt;&lt;br&gt;&lt;div class="audio"&gt;[sound:さとう.mp3]&lt;/div&gt;</v>
      </c>
      <c r="H2219" s="3" t="str">
        <f t="shared" si="1"/>
        <v>(n): đường</v>
      </c>
      <c r="I2219" s="6" t="s">
        <v>12067</v>
      </c>
      <c r="J2219" s="6" t="s">
        <v>12068</v>
      </c>
      <c r="K2219" s="7">
        <f t="shared" si="2"/>
        <v>0.3430700738</v>
      </c>
    </row>
    <row r="2220">
      <c r="A2220" s="4">
        <v>2220.0</v>
      </c>
      <c r="B2220" s="5" t="s">
        <v>12069</v>
      </c>
      <c r="C2220" s="5" t="s">
        <v>12070</v>
      </c>
      <c r="D2220" s="5" t="s">
        <v>12071</v>
      </c>
      <c r="E2220" s="6" t="s">
        <v>24</v>
      </c>
      <c r="F2220" s="6" t="s">
        <v>12072</v>
      </c>
      <c r="G2220" s="3" t="str">
        <f>IFERROR(__xludf.DUMMYFUNCTION("REGEXREPLACE(
D2220,
""([一-龯々]+)\[([^\]]+)\]"",
""&lt;ruby&gt;$1&lt;rt&gt;$2&lt;/rt&gt;&lt;/ruby&gt;""
)&amp;""&lt;br&gt;&lt;div class=""""audio""""&gt;[sound:""&amp;C2220&amp;"".mp3]&lt;/div&gt;"""),"&lt;ruby&gt;踏&lt;rt&gt;ふ&lt;/rt&gt;&lt;/ruby&gt;む&lt;br&gt;&lt;div class=""audio""&gt;[sound:ふむ.mp3]&lt;/div&gt;")</f>
        <v>&lt;ruby&gt;踏&lt;rt&gt;ふ&lt;/rt&gt;&lt;/ruby&gt;む&lt;br&gt;&lt;div class="audio"&gt;[sound:ふむ.mp3]&lt;/div&gt;</v>
      </c>
      <c r="H2220" s="3" t="str">
        <f t="shared" si="1"/>
        <v>(v): giẫm</v>
      </c>
      <c r="I2220" s="6" t="s">
        <v>12073</v>
      </c>
      <c r="J2220" s="6" t="s">
        <v>12074</v>
      </c>
      <c r="K2220" s="7">
        <f t="shared" si="2"/>
        <v>0.1469696379</v>
      </c>
    </row>
    <row r="2221">
      <c r="A2221" s="4">
        <v>2221.0</v>
      </c>
      <c r="B2221" s="5" t="s">
        <v>12075</v>
      </c>
      <c r="C2221" s="5" t="s">
        <v>12076</v>
      </c>
      <c r="D2221" s="5" t="s">
        <v>12077</v>
      </c>
      <c r="E2221" s="6" t="s">
        <v>24</v>
      </c>
      <c r="F2221" s="6" t="s">
        <v>12078</v>
      </c>
      <c r="G2221" s="3" t="str">
        <f>IFERROR(__xludf.DUMMYFUNCTION("REGEXREPLACE(
D2221,
""([一-龯々]+)\[([^\]]+)\]"",
""&lt;ruby&gt;$1&lt;rt&gt;$2&lt;/rt&gt;&lt;/ruby&gt;""
)&amp;""&lt;br&gt;&lt;div class=""""audio""""&gt;[sound:""&amp;C2221&amp;"".mp3]&lt;/div&gt;"""),"&lt;ruby&gt;招&lt;rt&gt;まね&lt;/rt&gt;&lt;/ruby&gt;く&lt;br&gt;&lt;div class=""audio""&gt;[sound:まねく.mp3]&lt;/div&gt;")</f>
        <v>&lt;ruby&gt;招&lt;rt&gt;まね&lt;/rt&gt;&lt;/ruby&gt;く&lt;br&gt;&lt;div class="audio"&gt;[sound:まねく.mp3]&lt;/div&gt;</v>
      </c>
      <c r="H2221" s="3" t="str">
        <f t="shared" si="1"/>
        <v>(v): mời</v>
      </c>
      <c r="I2221" s="6" t="s">
        <v>12079</v>
      </c>
      <c r="J2221" s="6" t="s">
        <v>12080</v>
      </c>
      <c r="K2221" s="7">
        <f t="shared" si="2"/>
        <v>0.9741345845</v>
      </c>
    </row>
    <row r="2222">
      <c r="A2222" s="4">
        <v>2222.0</v>
      </c>
      <c r="B2222" s="5" t="s">
        <v>12081</v>
      </c>
      <c r="C2222" s="5" t="s">
        <v>12082</v>
      </c>
      <c r="D2222" s="5" t="s">
        <v>12083</v>
      </c>
      <c r="E2222" s="6" t="s">
        <v>24</v>
      </c>
      <c r="F2222" s="6" t="s">
        <v>3806</v>
      </c>
      <c r="G2222" s="3" t="str">
        <f>IFERROR(__xludf.DUMMYFUNCTION("REGEXREPLACE(
D2222,
""([一-龯々]+)\[([^\]]+)\]"",
""&lt;ruby&gt;$1&lt;rt&gt;$2&lt;/rt&gt;&lt;/ruby&gt;""
)&amp;""&lt;br&gt;&lt;div class=""""audio""""&gt;[sound:""&amp;C2222&amp;"".mp3]&lt;/div&gt;"""),"&lt;ruby&gt;被&lt;rt&gt;かぶ&lt;/rt&gt;&lt;/ruby&gt;る&lt;br&gt;&lt;div class=""audio""&gt;[sound:かぶる.mp3]&lt;/div&gt;")</f>
        <v>&lt;ruby&gt;被&lt;rt&gt;かぶ&lt;/rt&gt;&lt;/ruby&gt;る&lt;br&gt;&lt;div class="audio"&gt;[sound:かぶる.mp3]&lt;/div&gt;</v>
      </c>
      <c r="H2222" s="3" t="str">
        <f t="shared" si="1"/>
        <v>(v): đội</v>
      </c>
      <c r="I2222" s="6" t="s">
        <v>12084</v>
      </c>
      <c r="J2222" s="6" t="s">
        <v>12085</v>
      </c>
      <c r="K2222" s="7">
        <f t="shared" si="2"/>
        <v>0.2152503494</v>
      </c>
    </row>
    <row r="2223">
      <c r="A2223" s="4">
        <v>2223.0</v>
      </c>
      <c r="B2223" s="5" t="s">
        <v>12086</v>
      </c>
      <c r="C2223" s="5" t="s">
        <v>12087</v>
      </c>
      <c r="D2223" s="5" t="s">
        <v>12088</v>
      </c>
      <c r="E2223" s="6" t="s">
        <v>74</v>
      </c>
      <c r="F2223" s="6" t="s">
        <v>8980</v>
      </c>
      <c r="G2223" s="3" t="str">
        <f>IFERROR(__xludf.DUMMYFUNCTION("REGEXREPLACE(
D2223,
""([一-龯々]+)\[([^\]]+)\]"",
""&lt;ruby&gt;$1&lt;rt&gt;$2&lt;/rt&gt;&lt;/ruby&gt;""
)&amp;""&lt;br&gt;&lt;div class=""""audio""""&gt;[sound:""&amp;C2223&amp;"".mp3]&lt;/div&gt;"""),"&lt;ruby&gt;遠&lt;rt&gt;とお&lt;/rt&gt;&lt;/ruby&gt;く&lt;br&gt;&lt;div class=""audio""&gt;[sound:とおく.mp3]&lt;/div&gt;")</f>
        <v>&lt;ruby&gt;遠&lt;rt&gt;とお&lt;/rt&gt;&lt;/ruby&gt;く&lt;br&gt;&lt;div class="audio"&gt;[sound:とおく.mp3]&lt;/div&gt;</v>
      </c>
      <c r="H2223" s="3" t="str">
        <f t="shared" si="1"/>
        <v>(n): xa</v>
      </c>
      <c r="I2223" s="6" t="s">
        <v>12089</v>
      </c>
      <c r="J2223" s="6" t="s">
        <v>12090</v>
      </c>
      <c r="K2223" s="7">
        <f t="shared" si="2"/>
        <v>0.03307505726</v>
      </c>
    </row>
    <row r="2224">
      <c r="A2224" s="4">
        <v>2224.0</v>
      </c>
      <c r="B2224" s="5" t="s">
        <v>12091</v>
      </c>
      <c r="C2224" s="5" t="s">
        <v>12092</v>
      </c>
      <c r="D2224" s="5" t="s">
        <v>12093</v>
      </c>
      <c r="E2224" s="6" t="s">
        <v>24</v>
      </c>
      <c r="F2224" s="6" t="s">
        <v>12094</v>
      </c>
      <c r="G2224" s="3" t="str">
        <f>IFERROR(__xludf.DUMMYFUNCTION("REGEXREPLACE(
D2224,
""([一-龯々]+)\[([^\]]+)\]"",
""&lt;ruby&gt;$1&lt;rt&gt;$2&lt;/rt&gt;&lt;/ruby&gt;""
)&amp;""&lt;br&gt;&lt;div class=""""audio""""&gt;[sound:""&amp;C2224&amp;"".mp3]&lt;/div&gt;"""),"&lt;ruby&gt;辞&lt;rt&gt;や&lt;/rt&gt;&lt;/ruby&gt;める&lt;br&gt;&lt;div class=""audio""&gt;[sound:やめる.mp3]&lt;/div&gt;")</f>
        <v>&lt;ruby&gt;辞&lt;rt&gt;や&lt;/rt&gt;&lt;/ruby&gt;める&lt;br&gt;&lt;div class="audio"&gt;[sound:やめる.mp3]&lt;/div&gt;</v>
      </c>
      <c r="H2224" s="3" t="str">
        <f t="shared" si="1"/>
        <v>(v): nghỉ việc</v>
      </c>
      <c r="I2224" s="6" t="s">
        <v>12095</v>
      </c>
      <c r="J2224" s="6" t="s">
        <v>12096</v>
      </c>
      <c r="K2224" s="7">
        <f t="shared" si="2"/>
        <v>0.1808334738</v>
      </c>
    </row>
    <row r="2225">
      <c r="A2225" s="4">
        <v>2225.0</v>
      </c>
      <c r="B2225" s="5" t="s">
        <v>12097</v>
      </c>
      <c r="C2225" s="5" t="s">
        <v>12098</v>
      </c>
      <c r="D2225" s="5" t="s">
        <v>12097</v>
      </c>
      <c r="E2225" s="6" t="s">
        <v>74</v>
      </c>
      <c r="F2225" s="6" t="s">
        <v>12099</v>
      </c>
      <c r="G2225" s="3" t="str">
        <f>IFERROR(__xludf.DUMMYFUNCTION("REGEXREPLACE(
D2225,
""([一-龯々]+)\[([^\]]+)\]"",
""&lt;ruby&gt;$1&lt;rt&gt;$2&lt;/rt&gt;&lt;/ruby&gt;""
)&amp;""&lt;br&gt;&lt;div class=""""audio""""&gt;[sound:""&amp;C2225&amp;"".mp3]&lt;/div&gt;"""),"マッチ&lt;br&gt;&lt;div class=""audio""&gt;[sound:まっち.mp3]&lt;/div&gt;")</f>
        <v>マッチ&lt;br&gt;&lt;div class="audio"&gt;[sound:まっち.mp3]&lt;/div&gt;</v>
      </c>
      <c r="H2225" s="3" t="str">
        <f t="shared" si="1"/>
        <v>(n): diêm</v>
      </c>
      <c r="I2225" s="6" t="s">
        <v>12100</v>
      </c>
      <c r="J2225" s="6" t="s">
        <v>12101</v>
      </c>
      <c r="K2225" s="7">
        <f t="shared" si="2"/>
        <v>0.3907123048</v>
      </c>
    </row>
    <row r="2226">
      <c r="A2226" s="4">
        <v>2226.0</v>
      </c>
      <c r="B2226" s="5" t="s">
        <v>12102</v>
      </c>
      <c r="C2226" s="5" t="s">
        <v>12103</v>
      </c>
      <c r="D2226" s="5" t="s">
        <v>12104</v>
      </c>
      <c r="E2226" s="6" t="s">
        <v>11</v>
      </c>
      <c r="F2226" s="6" t="s">
        <v>12105</v>
      </c>
      <c r="G2226" s="3" t="str">
        <f>IFERROR(__xludf.DUMMYFUNCTION("REGEXREPLACE(
D2226,
""([一-龯々]+)\[([^\]]+)\]"",
""&lt;ruby&gt;$1&lt;rt&gt;$2&lt;/rt&gt;&lt;/ruby&gt;""
)&amp;""&lt;br&gt;&lt;div class=""""audio""""&gt;[sound:""&amp;C2226&amp;"".mp3]&lt;/div&gt;"""),"&lt;ruby&gt;狭&lt;rt&gt;せま&lt;/rt&gt;&lt;/ruby&gt;い&lt;br&gt;&lt;div class=""audio""&gt;[sound:せまい.mp3]&lt;/div&gt;")</f>
        <v>&lt;ruby&gt;狭&lt;rt&gt;せま&lt;/rt&gt;&lt;/ruby&gt;い&lt;br&gt;&lt;div class="audio"&gt;[sound:せまい.mp3]&lt;/div&gt;</v>
      </c>
      <c r="H2226" s="3" t="str">
        <f t="shared" si="1"/>
        <v>(adj): hẹp</v>
      </c>
      <c r="I2226" s="6" t="s">
        <v>12106</v>
      </c>
      <c r="J2226" s="6" t="s">
        <v>12107</v>
      </c>
      <c r="K2226" s="7">
        <f t="shared" si="2"/>
        <v>0.6606209703</v>
      </c>
    </row>
    <row r="2227">
      <c r="A2227" s="4">
        <v>2227.0</v>
      </c>
      <c r="B2227" s="5" t="s">
        <v>12108</v>
      </c>
      <c r="C2227" s="5" t="s">
        <v>12109</v>
      </c>
      <c r="D2227" s="5" t="s">
        <v>12108</v>
      </c>
      <c r="E2227" s="6" t="s">
        <v>74</v>
      </c>
      <c r="F2227" s="6" t="s">
        <v>12110</v>
      </c>
      <c r="G2227" s="3" t="str">
        <f>IFERROR(__xludf.DUMMYFUNCTION("REGEXREPLACE(
D2227,
""([一-龯々]+)\[([^\]]+)\]"",
""&lt;ruby&gt;$1&lt;rt&gt;$2&lt;/rt&gt;&lt;/ruby&gt;""
)&amp;""&lt;br&gt;&lt;div class=""""audio""""&gt;[sound:""&amp;C2227&amp;"".mp3]&lt;/div&gt;"""),"センチ&lt;br&gt;&lt;div class=""audio""&gt;[sound:せんち.mp3]&lt;/div&gt;")</f>
        <v>センチ&lt;br&gt;&lt;div class="audio"&gt;[sound:せんち.mp3]&lt;/div&gt;</v>
      </c>
      <c r="H2227" s="3" t="str">
        <f t="shared" si="1"/>
        <v>(n): cm</v>
      </c>
      <c r="I2227" s="6" t="s">
        <v>12111</v>
      </c>
      <c r="J2227" s="6" t="s">
        <v>12112</v>
      </c>
      <c r="K2227" s="7">
        <f t="shared" si="2"/>
        <v>0.8195778623</v>
      </c>
    </row>
    <row r="2228">
      <c r="A2228" s="4">
        <v>2228.0</v>
      </c>
      <c r="B2228" s="5" t="s">
        <v>12113</v>
      </c>
      <c r="C2228" s="5" t="s">
        <v>12114</v>
      </c>
      <c r="D2228" s="5" t="s">
        <v>12115</v>
      </c>
      <c r="E2228" s="6" t="s">
        <v>24</v>
      </c>
      <c r="F2228" s="6" t="s">
        <v>12116</v>
      </c>
      <c r="G2228" s="3" t="str">
        <f>IFERROR(__xludf.DUMMYFUNCTION("REGEXREPLACE(
D2228,
""([一-龯々]+)\[([^\]]+)\]"",
""&lt;ruby&gt;$1&lt;rt&gt;$2&lt;/rt&gt;&lt;/ruby&gt;""
)&amp;""&lt;br&gt;&lt;div class=""""audio""""&gt;[sound:""&amp;C2228&amp;"".mp3]&lt;/div&gt;"""),"&lt;ruby&gt;倒&lt;rt&gt;たお&lt;/rt&gt;&lt;/ruby&gt;れる&lt;br&gt;&lt;div class=""audio""&gt;[sound:たおれる.mp3]&lt;/div&gt;")</f>
        <v>&lt;ruby&gt;倒&lt;rt&gt;たお&lt;/rt&gt;&lt;/ruby&gt;れる&lt;br&gt;&lt;div class="audio"&gt;[sound:たおれる.mp3]&lt;/div&gt;</v>
      </c>
      <c r="H2228" s="3" t="str">
        <f t="shared" si="1"/>
        <v>(v): đổ</v>
      </c>
      <c r="I2228" s="6" t="s">
        <v>12117</v>
      </c>
      <c r="J2228" s="6" t="s">
        <v>12118</v>
      </c>
      <c r="K2228" s="7">
        <f t="shared" si="2"/>
        <v>0.5756646175</v>
      </c>
    </row>
    <row r="2229">
      <c r="A2229" s="4">
        <v>2229.0</v>
      </c>
      <c r="B2229" s="5" t="s">
        <v>12119</v>
      </c>
      <c r="C2229" s="5" t="s">
        <v>12120</v>
      </c>
      <c r="D2229" s="5" t="s">
        <v>12121</v>
      </c>
      <c r="E2229" s="6" t="s">
        <v>74</v>
      </c>
      <c r="F2229" s="6" t="s">
        <v>12122</v>
      </c>
      <c r="G2229" s="3" t="str">
        <f>IFERROR(__xludf.DUMMYFUNCTION("REGEXREPLACE(
D2229,
""([一-龯々]+)\[([^\]]+)\]"",
""&lt;ruby&gt;$1&lt;rt&gt;$2&lt;/rt&gt;&lt;/ruby&gt;""
)&amp;""&lt;br&gt;&lt;div class=""""audio""""&gt;[sound:""&amp;C2229&amp;"".mp3]&lt;/div&gt;"""),"&lt;ruby&gt;肌&lt;rt&gt;はだ&lt;/rt&gt;&lt;/ruby&gt;&lt;br&gt;&lt;div class=""audio""&gt;[sound:はだ.mp3]&lt;/div&gt;")</f>
        <v>&lt;ruby&gt;肌&lt;rt&gt;はだ&lt;/rt&gt;&lt;/ruby&gt;&lt;br&gt;&lt;div class="audio"&gt;[sound:はだ.mp3]&lt;/div&gt;</v>
      </c>
      <c r="H2229" s="3" t="str">
        <f t="shared" si="1"/>
        <v>(n): da</v>
      </c>
      <c r="I2229" s="6" t="s">
        <v>12123</v>
      </c>
      <c r="J2229" s="6" t="s">
        <v>12124</v>
      </c>
      <c r="K2229" s="7">
        <f t="shared" si="2"/>
        <v>0.5633860187</v>
      </c>
    </row>
    <row r="2230">
      <c r="A2230" s="4">
        <v>2230.0</v>
      </c>
      <c r="B2230" s="5" t="s">
        <v>12125</v>
      </c>
      <c r="C2230" s="5" t="s">
        <v>12126</v>
      </c>
      <c r="D2230" s="5" t="s">
        <v>12125</v>
      </c>
      <c r="E2230" s="6" t="s">
        <v>74</v>
      </c>
      <c r="F2230" s="6" t="s">
        <v>12127</v>
      </c>
      <c r="G2230" s="3" t="str">
        <f>IFERROR(__xludf.DUMMYFUNCTION("REGEXREPLACE(
D2230,
""([一-龯々]+)\[([^\]]+)\]"",
""&lt;ruby&gt;$1&lt;rt&gt;$2&lt;/rt&gt;&lt;/ruby&gt;""
)&amp;""&lt;br&gt;&lt;div class=""""audio""""&gt;[sound:""&amp;C2230&amp;"".mp3]&lt;/div&gt;"""),"カレンダー&lt;br&gt;&lt;div class=""audio""&gt;[sound:かれんだー.mp3]&lt;/div&gt;")</f>
        <v>カレンダー&lt;br&gt;&lt;div class="audio"&gt;[sound:かれんだー.mp3]&lt;/div&gt;</v>
      </c>
      <c r="H2230" s="3" t="str">
        <f t="shared" si="1"/>
        <v>(n): lịch</v>
      </c>
      <c r="I2230" s="6" t="s">
        <v>12128</v>
      </c>
      <c r="J2230" s="6" t="s">
        <v>12129</v>
      </c>
      <c r="K2230" s="7">
        <f t="shared" si="2"/>
        <v>0.995051568</v>
      </c>
    </row>
    <row r="2231">
      <c r="A2231" s="4">
        <v>2231.0</v>
      </c>
      <c r="B2231" s="5" t="s">
        <v>12130</v>
      </c>
      <c r="C2231" s="5" t="s">
        <v>12131</v>
      </c>
      <c r="D2231" s="5" t="s">
        <v>12130</v>
      </c>
      <c r="E2231" s="6" t="s">
        <v>74</v>
      </c>
      <c r="F2231" s="6" t="s">
        <v>6566</v>
      </c>
      <c r="G2231" s="3" t="str">
        <f>IFERROR(__xludf.DUMMYFUNCTION("REGEXREPLACE(
D2231,
""([一-龯々]+)\[([^\]]+)\]"",
""&lt;ruby&gt;$1&lt;rt&gt;$2&lt;/rt&gt;&lt;/ruby&gt;""
)&amp;""&lt;br&gt;&lt;div class=""""audio""""&gt;[sound:""&amp;C2231&amp;"".mp3]&lt;/div&gt;"""),"ズボン&lt;br&gt;&lt;div class=""audio""&gt;[sound:ずぼん.mp3]&lt;/div&gt;")</f>
        <v>ズボン&lt;br&gt;&lt;div class="audio"&gt;[sound:ずぼん.mp3]&lt;/div&gt;</v>
      </c>
      <c r="H2231" s="3" t="str">
        <f t="shared" si="1"/>
        <v>(n): quần</v>
      </c>
      <c r="I2231" s="6" t="s">
        <v>12132</v>
      </c>
      <c r="J2231" s="6" t="s">
        <v>12133</v>
      </c>
      <c r="K2231" s="7">
        <f t="shared" si="2"/>
        <v>0.4151787538</v>
      </c>
    </row>
    <row r="2232">
      <c r="A2232" s="4">
        <v>2232.0</v>
      </c>
      <c r="B2232" s="5" t="s">
        <v>12134</v>
      </c>
      <c r="C2232" s="5" t="s">
        <v>12135</v>
      </c>
      <c r="D2232" s="5" t="s">
        <v>12134</v>
      </c>
      <c r="E2232" s="6" t="s">
        <v>74</v>
      </c>
      <c r="F2232" s="6" t="s">
        <v>7056</v>
      </c>
      <c r="G2232" s="3" t="str">
        <f>IFERROR(__xludf.DUMMYFUNCTION("REGEXREPLACE(
D2232,
""([一-龯々]+)\[([^\]]+)\]"",
""&lt;ruby&gt;$1&lt;rt&gt;$2&lt;/rt&gt;&lt;/ruby&gt;""
)&amp;""&lt;br&gt;&lt;div class=""""audio""""&gt;[sound:""&amp;C2232&amp;"".mp3]&lt;/div&gt;"""),"ダンス&lt;br&gt;&lt;div class=""audio""&gt;[sound:だんす.mp3]&lt;/div&gt;")</f>
        <v>ダンス&lt;br&gt;&lt;div class="audio"&gt;[sound:だんす.mp3]&lt;/div&gt;</v>
      </c>
      <c r="H2232" s="3" t="str">
        <f t="shared" si="1"/>
        <v>(n): nhảy</v>
      </c>
      <c r="I2232" s="6" t="s">
        <v>12136</v>
      </c>
      <c r="J2232" s="6" t="s">
        <v>12137</v>
      </c>
      <c r="K2232" s="7">
        <f t="shared" si="2"/>
        <v>0.3124750392</v>
      </c>
    </row>
    <row r="2233">
      <c r="A2233" s="4">
        <v>2233.0</v>
      </c>
      <c r="B2233" s="5" t="s">
        <v>12138</v>
      </c>
      <c r="C2233" s="5" t="s">
        <v>2361</v>
      </c>
      <c r="D2233" s="5" t="s">
        <v>12139</v>
      </c>
      <c r="E2233" s="6" t="s">
        <v>24</v>
      </c>
      <c r="F2233" s="6" t="s">
        <v>12140</v>
      </c>
      <c r="G2233" s="3" t="str">
        <f>IFERROR(__xludf.DUMMYFUNCTION("REGEXREPLACE(
D2233,
""([一-龯々]+)\[([^\]]+)\]"",
""&lt;ruby&gt;$1&lt;rt&gt;$2&lt;/rt&gt;&lt;/ruby&gt;""
)&amp;""&lt;br&gt;&lt;div class=""""audio""""&gt;[sound:""&amp;C2233&amp;"".mp3]&lt;/div&gt;"""),"&lt;ruby&gt;折&lt;rt&gt;お&lt;/rt&gt;&lt;/ruby&gt;る&lt;br&gt;&lt;div class=""audio""&gt;[sound:おる.mp3]&lt;/div&gt;")</f>
        <v>&lt;ruby&gt;折&lt;rt&gt;お&lt;/rt&gt;&lt;/ruby&gt;る&lt;br&gt;&lt;div class="audio"&gt;[sound:おる.mp3]&lt;/div&gt;</v>
      </c>
      <c r="H2233" s="3" t="str">
        <f t="shared" si="1"/>
        <v>(v): bẻ</v>
      </c>
      <c r="I2233" s="6" t="s">
        <v>12141</v>
      </c>
      <c r="J2233" s="6" t="s">
        <v>12142</v>
      </c>
      <c r="K2233" s="7">
        <f t="shared" si="2"/>
        <v>0.8699278688</v>
      </c>
    </row>
    <row r="2234">
      <c r="A2234" s="4">
        <v>2234.0</v>
      </c>
      <c r="B2234" s="5" t="s">
        <v>12143</v>
      </c>
      <c r="C2234" s="5" t="s">
        <v>12144</v>
      </c>
      <c r="D2234" s="5" t="s">
        <v>12145</v>
      </c>
      <c r="E2234" s="6" t="s">
        <v>74</v>
      </c>
      <c r="F2234" s="6" t="s">
        <v>2105</v>
      </c>
      <c r="G2234" s="3" t="str">
        <f>IFERROR(__xludf.DUMMYFUNCTION("REGEXREPLACE(
D2234,
""([一-龯々]+)\[([^\]]+)\]"",
""&lt;ruby&gt;$1&lt;rt&gt;$2&lt;/rt&gt;&lt;/ruby&gt;""
)&amp;""&lt;br&gt;&lt;div class=""""audio""""&gt;[sound:""&amp;C2234&amp;"".mp3]&lt;/div&gt;"""),"&lt;ruby&gt;遊&lt;rt&gt;あそ&lt;/rt&gt;&lt;/ruby&gt;び&lt;br&gt;&lt;div class=""audio""&gt;[sound:あそび.mp3]&lt;/div&gt;")</f>
        <v>&lt;ruby&gt;遊&lt;rt&gt;あそ&lt;/rt&gt;&lt;/ruby&gt;び&lt;br&gt;&lt;div class="audio"&gt;[sound:あそび.mp3]&lt;/div&gt;</v>
      </c>
      <c r="H2234" s="3" t="str">
        <f t="shared" si="1"/>
        <v>(n): trò chơi</v>
      </c>
      <c r="I2234" s="6" t="s">
        <v>12146</v>
      </c>
      <c r="J2234" s="6" t="s">
        <v>12147</v>
      </c>
      <c r="K2234" s="7">
        <f t="shared" si="2"/>
        <v>0.06915463793</v>
      </c>
    </row>
    <row r="2235">
      <c r="A2235" s="4">
        <v>2235.0</v>
      </c>
      <c r="B2235" s="5" t="s">
        <v>12148</v>
      </c>
      <c r="C2235" s="5" t="s">
        <v>12149</v>
      </c>
      <c r="D2235" s="5" t="s">
        <v>12148</v>
      </c>
      <c r="E2235" s="6" t="s">
        <v>74</v>
      </c>
      <c r="F2235" s="6" t="s">
        <v>12150</v>
      </c>
      <c r="G2235" s="3" t="str">
        <f>IFERROR(__xludf.DUMMYFUNCTION("REGEXREPLACE(
D2235,
""([一-龯々]+)\[([^\]]+)\]"",
""&lt;ruby&gt;$1&lt;rt&gt;$2&lt;/rt&gt;&lt;/ruby&gt;""
)&amp;""&lt;br&gt;&lt;div class=""""audio""""&gt;[sound:""&amp;C2235&amp;"".mp3]&lt;/div&gt;"""),"ランニング&lt;br&gt;&lt;div class=""audio""&gt;[sound:らんにんぐ.mp3]&lt;/div&gt;")</f>
        <v>ランニング&lt;br&gt;&lt;div class="audio"&gt;[sound:らんにんぐ.mp3]&lt;/div&gt;</v>
      </c>
      <c r="H2235" s="3" t="str">
        <f t="shared" si="1"/>
        <v>(n): chạy bộ</v>
      </c>
      <c r="I2235" s="6" t="s">
        <v>12151</v>
      </c>
      <c r="J2235" s="6" t="s">
        <v>12152</v>
      </c>
      <c r="K2235" s="7">
        <f t="shared" si="2"/>
        <v>0.7679519572</v>
      </c>
    </row>
    <row r="2236">
      <c r="A2236" s="4">
        <v>2236.0</v>
      </c>
      <c r="B2236" s="5" t="s">
        <v>12153</v>
      </c>
      <c r="C2236" s="5" t="s">
        <v>12153</v>
      </c>
      <c r="D2236" s="5" t="s">
        <v>12153</v>
      </c>
      <c r="E2236" s="6" t="s">
        <v>44</v>
      </c>
      <c r="F2236" s="6" t="s">
        <v>12154</v>
      </c>
      <c r="G2236" s="3" t="str">
        <f>IFERROR(__xludf.DUMMYFUNCTION("REGEXREPLACE(
D2236,
""([一-龯々]+)\[([^\]]+)\]"",
""&lt;ruby&gt;$1&lt;rt&gt;$2&lt;/rt&gt;&lt;/ruby&gt;""
)&amp;""&lt;br&gt;&lt;div class=""""audio""""&gt;[sound:""&amp;C2236&amp;"".mp3]&lt;/div&gt;"""),"どなた&lt;br&gt;&lt;div class=""audio""&gt;[sound:どなた.mp3]&lt;/div&gt;")</f>
        <v>どなた&lt;br&gt;&lt;div class="audio"&gt;[sound:どなた.mp3]&lt;/div&gt;</v>
      </c>
      <c r="H2236" s="3" t="str">
        <f t="shared" si="1"/>
        <v>(pron): vị nào</v>
      </c>
      <c r="I2236" s="6" t="s">
        <v>12155</v>
      </c>
      <c r="J2236" s="6" t="s">
        <v>12156</v>
      </c>
      <c r="K2236" s="7">
        <f t="shared" si="2"/>
        <v>0.5177962282</v>
      </c>
    </row>
    <row r="2237">
      <c r="A2237" s="4">
        <v>2237.0</v>
      </c>
      <c r="B2237" s="5" t="s">
        <v>12157</v>
      </c>
      <c r="C2237" s="5" t="s">
        <v>12158</v>
      </c>
      <c r="D2237" s="5" t="s">
        <v>12157</v>
      </c>
      <c r="E2237" s="6" t="s">
        <v>74</v>
      </c>
      <c r="F2237" s="6" t="s">
        <v>12159</v>
      </c>
      <c r="G2237" s="3" t="str">
        <f>IFERROR(__xludf.DUMMYFUNCTION("REGEXREPLACE(
D2237,
""([一-龯々]+)\[([^\]]+)\]"",
""&lt;ruby&gt;$1&lt;rt&gt;$2&lt;/rt&gt;&lt;/ruby&gt;""
)&amp;""&lt;br&gt;&lt;div class=""""audio""""&gt;[sound:""&amp;C2237&amp;"".mp3]&lt;/div&gt;"""),"ガソリン&lt;br&gt;&lt;div class=""audio""&gt;[sound:がそりん.mp3]&lt;/div&gt;")</f>
        <v>ガソリン&lt;br&gt;&lt;div class="audio"&gt;[sound:がそりん.mp3]&lt;/div&gt;</v>
      </c>
      <c r="H2237" s="3" t="str">
        <f t="shared" si="1"/>
        <v>(n): xăng</v>
      </c>
      <c r="I2237" s="6" t="s">
        <v>12160</v>
      </c>
      <c r="J2237" s="6" t="s">
        <v>12161</v>
      </c>
      <c r="K2237" s="7">
        <f t="shared" si="2"/>
        <v>0.2769529388</v>
      </c>
    </row>
    <row r="2238">
      <c r="A2238" s="4">
        <v>2238.0</v>
      </c>
      <c r="B2238" s="5" t="s">
        <v>12162</v>
      </c>
      <c r="C2238" s="5" t="s">
        <v>12163</v>
      </c>
      <c r="D2238" s="5" t="s">
        <v>12162</v>
      </c>
      <c r="E2238" s="6" t="s">
        <v>74</v>
      </c>
      <c r="F2238" s="6" t="s">
        <v>6531</v>
      </c>
      <c r="G2238" s="3" t="str">
        <f>IFERROR(__xludf.DUMMYFUNCTION("REGEXREPLACE(
D2238,
""([一-龯々]+)\[([^\]]+)\]"",
""&lt;ruby&gt;$1&lt;rt&gt;$2&lt;/rt&gt;&lt;/ruby&gt;""
)&amp;""&lt;br&gt;&lt;div class=""""audio""""&gt;[sound:""&amp;C2238&amp;"".mp3]&lt;/div&gt;"""),"コップ&lt;br&gt;&lt;div class=""audio""&gt;[sound:こっぷ.mp3]&lt;/div&gt;")</f>
        <v>コップ&lt;br&gt;&lt;div class="audio"&gt;[sound:こっぷ.mp3]&lt;/div&gt;</v>
      </c>
      <c r="H2238" s="3" t="str">
        <f t="shared" si="1"/>
        <v>(n): cốc</v>
      </c>
      <c r="I2238" s="6" t="s">
        <v>12164</v>
      </c>
      <c r="J2238" s="6" t="s">
        <v>12165</v>
      </c>
      <c r="K2238" s="7">
        <f t="shared" si="2"/>
        <v>0.8260715898</v>
      </c>
    </row>
    <row r="2239">
      <c r="A2239" s="4">
        <v>2239.0</v>
      </c>
      <c r="B2239" s="5" t="s">
        <v>12166</v>
      </c>
      <c r="C2239" s="5" t="s">
        <v>12167</v>
      </c>
      <c r="D2239" s="5" t="s">
        <v>12166</v>
      </c>
      <c r="E2239" s="6" t="s">
        <v>74</v>
      </c>
      <c r="F2239" s="6" t="s">
        <v>12168</v>
      </c>
      <c r="G2239" s="3" t="str">
        <f>IFERROR(__xludf.DUMMYFUNCTION("REGEXREPLACE(
D2239,
""([一-龯々]+)\[([^\]]+)\]"",
""&lt;ruby&gt;$1&lt;rt&gt;$2&lt;/rt&gt;&lt;/ruby&gt;""
)&amp;""&lt;br&gt;&lt;div class=""""audio""""&gt;[sound:""&amp;C2239&amp;"".mp3]&lt;/div&gt;"""),"スープ&lt;br&gt;&lt;div class=""audio""&gt;[sound:すーぷ.mp3]&lt;/div&gt;")</f>
        <v>スープ&lt;br&gt;&lt;div class="audio"&gt;[sound:すーぷ.mp3]&lt;/div&gt;</v>
      </c>
      <c r="H2239" s="3" t="str">
        <f t="shared" si="1"/>
        <v>(n): súp</v>
      </c>
      <c r="I2239" s="6" t="s">
        <v>12169</v>
      </c>
      <c r="J2239" s="6" t="s">
        <v>12170</v>
      </c>
      <c r="K2239" s="7">
        <f t="shared" si="2"/>
        <v>0.1636143342</v>
      </c>
    </row>
    <row r="2240">
      <c r="A2240" s="4">
        <v>2240.0</v>
      </c>
      <c r="B2240" s="5" t="s">
        <v>12171</v>
      </c>
      <c r="C2240" s="5" t="s">
        <v>12172</v>
      </c>
      <c r="D2240" s="5" t="s">
        <v>12173</v>
      </c>
      <c r="E2240" s="6" t="s">
        <v>11</v>
      </c>
      <c r="F2240" s="6" t="s">
        <v>12174</v>
      </c>
      <c r="G2240" s="3" t="str">
        <f>IFERROR(__xludf.DUMMYFUNCTION("REGEXREPLACE(
D2240,
""([一-龯々]+)\[([^\]]+)\]"",
""&lt;ruby&gt;$1&lt;rt&gt;$2&lt;/rt&gt;&lt;/ruby&gt;""
)&amp;""&lt;br&gt;&lt;div class=""""audio""""&gt;[sound:""&amp;C2240&amp;"".mp3]&lt;/div&gt;"""),"&lt;ruby&gt;痛&lt;rt&gt;いた&lt;/rt&gt;&lt;/ruby&gt;い&lt;br&gt;&lt;div class=""audio""&gt;[sound:いたい.mp3]&lt;/div&gt;")</f>
        <v>&lt;ruby&gt;痛&lt;rt&gt;いた&lt;/rt&gt;&lt;/ruby&gt;い&lt;br&gt;&lt;div class="audio"&gt;[sound:いたい.mp3]&lt;/div&gt;</v>
      </c>
      <c r="H2240" s="3" t="str">
        <f t="shared" si="1"/>
        <v>(adj): đau</v>
      </c>
      <c r="I2240" s="6" t="s">
        <v>12175</v>
      </c>
      <c r="J2240" s="6" t="s">
        <v>12176</v>
      </c>
      <c r="K2240" s="7">
        <f t="shared" si="2"/>
        <v>0.6807888092</v>
      </c>
    </row>
    <row r="2241">
      <c r="A2241" s="4">
        <v>2241.0</v>
      </c>
      <c r="B2241" s="5" t="s">
        <v>12082</v>
      </c>
      <c r="C2241" s="5" t="s">
        <v>12082</v>
      </c>
      <c r="D2241" s="5" t="s">
        <v>12082</v>
      </c>
      <c r="E2241" s="6" t="s">
        <v>24</v>
      </c>
      <c r="F2241" s="6" t="s">
        <v>3806</v>
      </c>
      <c r="G2241" s="3" t="str">
        <f>IFERROR(__xludf.DUMMYFUNCTION("REGEXREPLACE(
D2241,
""([一-龯々]+)\[([^\]]+)\]"",
""&lt;ruby&gt;$1&lt;rt&gt;$2&lt;/rt&gt;&lt;/ruby&gt;""
)&amp;""&lt;br&gt;&lt;div class=""""audio""""&gt;[sound:""&amp;C2241&amp;"".mp3]&lt;/div&gt;"""),"かぶる&lt;br&gt;&lt;div class=""audio""&gt;[sound:かぶる.mp3]&lt;/div&gt;")</f>
        <v>かぶる&lt;br&gt;&lt;div class="audio"&gt;[sound:かぶる.mp3]&lt;/div&gt;</v>
      </c>
      <c r="H2241" s="3" t="str">
        <f t="shared" si="1"/>
        <v>(v): đội</v>
      </c>
      <c r="I2241" s="6" t="s">
        <v>12177</v>
      </c>
      <c r="J2241" s="6" t="s">
        <v>12085</v>
      </c>
      <c r="K2241" s="7">
        <f t="shared" si="2"/>
        <v>0.3744785848</v>
      </c>
    </row>
    <row r="2242">
      <c r="A2242" s="4">
        <v>2242.0</v>
      </c>
      <c r="B2242" s="5" t="s">
        <v>12178</v>
      </c>
      <c r="C2242" s="5" t="s">
        <v>12179</v>
      </c>
      <c r="D2242" s="5" t="s">
        <v>12180</v>
      </c>
      <c r="E2242" s="6" t="s">
        <v>11</v>
      </c>
      <c r="F2242" s="6" t="s">
        <v>228</v>
      </c>
      <c r="G2242" s="3" t="str">
        <f>IFERROR(__xludf.DUMMYFUNCTION("REGEXREPLACE(
D2242,
""([一-龯々]+)\[([^\]]+)\]"",
""&lt;ruby&gt;$1&lt;rt&gt;$2&lt;/rt&gt;&lt;/ruby&gt;""
)&amp;""&lt;br&gt;&lt;div class=""""audio""""&gt;[sound:""&amp;C2242&amp;"".mp3]&lt;/div&gt;"""),"&lt;ruby&gt;太&lt;rt&gt;ふと&lt;/rt&gt;&lt;/ruby&gt;い&lt;br&gt;&lt;div class=""audio""&gt;[sound:ふとい.mp3]&lt;/div&gt;")</f>
        <v>&lt;ruby&gt;太&lt;rt&gt;ふと&lt;/rt&gt;&lt;/ruby&gt;い&lt;br&gt;&lt;div class="audio"&gt;[sound:ふとい.mp3]&lt;/div&gt;</v>
      </c>
      <c r="H2242" s="3" t="str">
        <f t="shared" si="1"/>
        <v>(adj): to</v>
      </c>
      <c r="I2242" s="6" t="s">
        <v>12181</v>
      </c>
      <c r="J2242" s="6" t="s">
        <v>12182</v>
      </c>
      <c r="K2242" s="7">
        <f t="shared" si="2"/>
        <v>0.3397707239</v>
      </c>
    </row>
    <row r="2243">
      <c r="A2243" s="4">
        <v>2243.0</v>
      </c>
      <c r="B2243" s="5" t="s">
        <v>12183</v>
      </c>
      <c r="C2243" s="5" t="s">
        <v>12184</v>
      </c>
      <c r="D2243" s="5" t="s">
        <v>12185</v>
      </c>
      <c r="E2243" s="6" t="s">
        <v>11</v>
      </c>
      <c r="F2243" s="6" t="s">
        <v>12186</v>
      </c>
      <c r="G2243" s="3" t="str">
        <f>IFERROR(__xludf.DUMMYFUNCTION("REGEXREPLACE(
D2243,
""([一-龯々]+)\[([^\]]+)\]"",
""&lt;ruby&gt;$1&lt;rt&gt;$2&lt;/rt&gt;&lt;/ruby&gt;""
)&amp;""&lt;br&gt;&lt;div class=""""audio""""&gt;[sound:""&amp;C2243&amp;"".mp3]&lt;/div&gt;"""),"&lt;ruby&gt;緩&lt;rt&gt;ゆる&lt;/rt&gt;&lt;/ruby&gt;やか&lt;br&gt;&lt;div class=""audio""&gt;[sound:ゆるやか.mp3]&lt;/div&gt;")</f>
        <v>&lt;ruby&gt;緩&lt;rt&gt;ゆる&lt;/rt&gt;&lt;/ruby&gt;やか&lt;br&gt;&lt;div class="audio"&gt;[sound:ゆるやか.mp3]&lt;/div&gt;</v>
      </c>
      <c r="H2243" s="3" t="str">
        <f t="shared" si="1"/>
        <v>(adj): thoải mái</v>
      </c>
      <c r="I2243" s="6" t="s">
        <v>12187</v>
      </c>
      <c r="J2243" s="6" t="s">
        <v>12188</v>
      </c>
      <c r="K2243" s="7">
        <f t="shared" si="2"/>
        <v>0.7273037481</v>
      </c>
    </row>
    <row r="2244">
      <c r="A2244" s="4">
        <v>2244.0</v>
      </c>
      <c r="B2244" s="5" t="s">
        <v>12189</v>
      </c>
      <c r="C2244" s="5" t="s">
        <v>12189</v>
      </c>
      <c r="D2244" s="5" t="s">
        <v>12189</v>
      </c>
      <c r="E2244" s="6" t="s">
        <v>85</v>
      </c>
      <c r="F2244" s="6" t="s">
        <v>12190</v>
      </c>
      <c r="G2244" s="3" t="str">
        <f>IFERROR(__xludf.DUMMYFUNCTION("REGEXREPLACE(
D2244,
""([一-龯々]+)\[([^\]]+)\]"",
""&lt;ruby&gt;$1&lt;rt&gt;$2&lt;/rt&gt;&lt;/ruby&gt;""
)&amp;""&lt;br&gt;&lt;div class=""""audio""""&gt;[sound:""&amp;C2244&amp;"".mp3]&lt;/div&gt;"""),"どうにか&lt;br&gt;&lt;div class=""audio""&gt;[sound:どうにか.mp3]&lt;/div&gt;")</f>
        <v>どうにか&lt;br&gt;&lt;div class="audio"&gt;[sound:どうにか.mp3]&lt;/div&gt;</v>
      </c>
      <c r="H2244" s="3" t="str">
        <f t="shared" si="1"/>
        <v>(adv): bằng cách nào đó</v>
      </c>
      <c r="I2244" s="6" t="s">
        <v>12191</v>
      </c>
      <c r="J2244" s="6" t="s">
        <v>12192</v>
      </c>
      <c r="K2244" s="7">
        <f t="shared" si="2"/>
        <v>0.8298447704</v>
      </c>
    </row>
    <row r="2245">
      <c r="A2245" s="4">
        <v>2245.0</v>
      </c>
      <c r="B2245" s="5" t="s">
        <v>12193</v>
      </c>
      <c r="C2245" s="5" t="s">
        <v>12194</v>
      </c>
      <c r="D2245" s="5" t="s">
        <v>12195</v>
      </c>
      <c r="E2245" s="6" t="s">
        <v>11</v>
      </c>
      <c r="F2245" s="6" t="s">
        <v>12196</v>
      </c>
      <c r="G2245" s="3" t="str">
        <f>IFERROR(__xludf.DUMMYFUNCTION("REGEXREPLACE(
D2245,
""([一-龯々]+)\[([^\]]+)\]"",
""&lt;ruby&gt;$1&lt;rt&gt;$2&lt;/rt&gt;&lt;/ruby&gt;""
)&amp;""&lt;br&gt;&lt;div class=""""audio""""&gt;[sound:""&amp;C2245&amp;"".mp3]&lt;/div&gt;"""),"&lt;ruby&gt;不可欠&lt;rt&gt;ふかけつ&lt;/rt&gt;&lt;/ruby&gt;&lt;br&gt;&lt;div class=""audio""&gt;[sound:ふかけつ.mp3]&lt;/div&gt;")</f>
        <v>&lt;ruby&gt;不可欠&lt;rt&gt;ふかけつ&lt;/rt&gt;&lt;/ruby&gt;&lt;br&gt;&lt;div class="audio"&gt;[sound:ふかけつ.mp3]&lt;/div&gt;</v>
      </c>
      <c r="H2245" s="3" t="str">
        <f t="shared" si="1"/>
        <v>(adj): không thể thiếu</v>
      </c>
      <c r="I2245" s="6" t="s">
        <v>12197</v>
      </c>
      <c r="J2245" s="6" t="s">
        <v>12198</v>
      </c>
      <c r="K2245" s="7">
        <f t="shared" si="2"/>
        <v>0.4584851787</v>
      </c>
    </row>
    <row r="2246">
      <c r="A2246" s="4">
        <v>2246.0</v>
      </c>
      <c r="B2246" s="5" t="s">
        <v>12199</v>
      </c>
      <c r="C2246" s="5" t="s">
        <v>12200</v>
      </c>
      <c r="D2246" s="5" t="s">
        <v>12201</v>
      </c>
      <c r="E2246" s="6" t="s">
        <v>74</v>
      </c>
      <c r="F2246" s="6" t="s">
        <v>12202</v>
      </c>
      <c r="G2246" s="3" t="str">
        <f>IFERROR(__xludf.DUMMYFUNCTION("REGEXREPLACE(
D2246,
""([一-龯々]+)\[([^\]]+)\]"",
""&lt;ruby&gt;$1&lt;rt&gt;$2&lt;/rt&gt;&lt;/ruby&gt;""
)&amp;""&lt;br&gt;&lt;div class=""""audio""""&gt;[sound:""&amp;C2246&amp;"".mp3]&lt;/div&gt;"""),"&lt;ruby&gt;好評&lt;rt&gt;こうひょう&lt;/rt&gt;&lt;/ruby&gt;&lt;br&gt;&lt;div class=""audio""&gt;[sound:こうひょう.mp3]&lt;/div&gt;")</f>
        <v>&lt;ruby&gt;好評&lt;rt&gt;こうひょう&lt;/rt&gt;&lt;/ruby&gt;&lt;br&gt;&lt;div class="audio"&gt;[sound:こうひょう.mp3]&lt;/div&gt;</v>
      </c>
      <c r="H2246" s="3" t="str">
        <f t="shared" si="1"/>
        <v>(n): sự đánh giá cao</v>
      </c>
      <c r="I2246" s="6" t="s">
        <v>12203</v>
      </c>
      <c r="J2246" s="6" t="s">
        <v>12204</v>
      </c>
      <c r="K2246" s="7">
        <f t="shared" si="2"/>
        <v>0.7767816298</v>
      </c>
    </row>
    <row r="2247">
      <c r="A2247" s="4">
        <v>2247.0</v>
      </c>
      <c r="B2247" s="5" t="s">
        <v>12205</v>
      </c>
      <c r="C2247" s="5" t="s">
        <v>12206</v>
      </c>
      <c r="D2247" s="5" t="s">
        <v>12207</v>
      </c>
      <c r="E2247" s="6" t="s">
        <v>74</v>
      </c>
      <c r="F2247" s="6" t="s">
        <v>12208</v>
      </c>
      <c r="G2247" s="3" t="str">
        <f>IFERROR(__xludf.DUMMYFUNCTION("REGEXREPLACE(
D2247,
""([一-龯々]+)\[([^\]]+)\]"",
""&lt;ruby&gt;$1&lt;rt&gt;$2&lt;/rt&gt;&lt;/ruby&gt;""
)&amp;""&lt;br&gt;&lt;div class=""""audio""""&gt;[sound:""&amp;C2247&amp;"".mp3]&lt;/div&gt;"""),"&lt;ruby&gt;財源&lt;rt&gt;ざいげん&lt;/rt&gt;&lt;/ruby&gt;&lt;br&gt;&lt;div class=""audio""&gt;[sound:ざいげん.mp3]&lt;/div&gt;")</f>
        <v>&lt;ruby&gt;財源&lt;rt&gt;ざいげん&lt;/rt&gt;&lt;/ruby&gt;&lt;br&gt;&lt;div class="audio"&gt;[sound:ざいげん.mp3]&lt;/div&gt;</v>
      </c>
      <c r="H2247" s="3" t="str">
        <f t="shared" si="1"/>
        <v>(n): nguồn tài chính</v>
      </c>
      <c r="I2247" s="6" t="s">
        <v>12209</v>
      </c>
      <c r="J2247" s="6" t="s">
        <v>12210</v>
      </c>
      <c r="K2247" s="7">
        <f t="shared" si="2"/>
        <v>0.8827365704</v>
      </c>
    </row>
    <row r="2248">
      <c r="A2248" s="4">
        <v>2248.0</v>
      </c>
      <c r="B2248" s="5" t="s">
        <v>12211</v>
      </c>
      <c r="C2248" s="5" t="s">
        <v>12212</v>
      </c>
      <c r="D2248" s="5" t="s">
        <v>12213</v>
      </c>
      <c r="E2248" s="6" t="s">
        <v>74</v>
      </c>
      <c r="F2248" s="6" t="s">
        <v>12214</v>
      </c>
      <c r="G2248" s="3" t="str">
        <f>IFERROR(__xludf.DUMMYFUNCTION("REGEXREPLACE(
D2248,
""([一-龯々]+)\[([^\]]+)\]"",
""&lt;ruby&gt;$1&lt;rt&gt;$2&lt;/rt&gt;&lt;/ruby&gt;""
)&amp;""&lt;br&gt;&lt;div class=""""audio""""&gt;[sound:""&amp;C2248&amp;"".mp3]&lt;/div&gt;"""),"&lt;ruby&gt;青春&lt;rt&gt;せいしゅん&lt;/rt&gt;&lt;/ruby&gt;&lt;br&gt;&lt;div class=""audio""&gt;[sound:せいしゅん.mp3]&lt;/div&gt;")</f>
        <v>&lt;ruby&gt;青春&lt;rt&gt;せいしゅん&lt;/rt&gt;&lt;/ruby&gt;&lt;br&gt;&lt;div class="audio"&gt;[sound:せいしゅん.mp3]&lt;/div&gt;</v>
      </c>
      <c r="H2248" s="3" t="str">
        <f t="shared" si="1"/>
        <v>(n): tuổi thanh xuân</v>
      </c>
      <c r="I2248" s="6" t="s">
        <v>12215</v>
      </c>
      <c r="J2248" s="6" t="s">
        <v>12216</v>
      </c>
      <c r="K2248" s="7">
        <f t="shared" si="2"/>
        <v>0.1251338802</v>
      </c>
    </row>
    <row r="2249">
      <c r="A2249" s="4">
        <v>2249.0</v>
      </c>
      <c r="B2249" s="5" t="s">
        <v>12217</v>
      </c>
      <c r="C2249" s="5" t="s">
        <v>12218</v>
      </c>
      <c r="D2249" s="5" t="s">
        <v>12219</v>
      </c>
      <c r="E2249" s="6" t="s">
        <v>74</v>
      </c>
      <c r="F2249" s="6" t="s">
        <v>12220</v>
      </c>
      <c r="G2249" s="3" t="str">
        <f>IFERROR(__xludf.DUMMYFUNCTION("REGEXREPLACE(
D2249,
""([一-龯々]+)\[([^\]]+)\]"",
""&lt;ruby&gt;$1&lt;rt&gt;$2&lt;/rt&gt;&lt;/ruby&gt;""
)&amp;""&lt;br&gt;&lt;div class=""""audio""""&gt;[sound:""&amp;C2249&amp;"".mp3]&lt;/div&gt;"""),"&lt;ruby&gt;討論&lt;rt&gt;とうろん&lt;/rt&gt;&lt;/ruby&gt;&lt;br&gt;&lt;div class=""audio""&gt;[sound:とうろん.mp3]&lt;/div&gt;")</f>
        <v>&lt;ruby&gt;討論&lt;rt&gt;とうろん&lt;/rt&gt;&lt;/ruby&gt;&lt;br&gt;&lt;div class="audio"&gt;[sound:とうろん.mp3]&lt;/div&gt;</v>
      </c>
      <c r="H2249" s="3" t="str">
        <f t="shared" si="1"/>
        <v>(n): cuộc thảo luận</v>
      </c>
      <c r="I2249" s="6" t="s">
        <v>12221</v>
      </c>
      <c r="J2249" s="6" t="s">
        <v>12222</v>
      </c>
      <c r="K2249" s="7">
        <f t="shared" si="2"/>
        <v>0.1045017461</v>
      </c>
    </row>
    <row r="2250">
      <c r="A2250" s="4">
        <v>2250.0</v>
      </c>
      <c r="B2250" s="5" t="s">
        <v>12223</v>
      </c>
      <c r="C2250" s="5" t="s">
        <v>12224</v>
      </c>
      <c r="D2250" s="5" t="s">
        <v>12225</v>
      </c>
      <c r="E2250" s="6" t="s">
        <v>74</v>
      </c>
      <c r="F2250" s="6" t="s">
        <v>12226</v>
      </c>
      <c r="G2250" s="3" t="str">
        <f>IFERROR(__xludf.DUMMYFUNCTION("REGEXREPLACE(
D2250,
""([一-龯々]+)\[([^\]]+)\]"",
""&lt;ruby&gt;$1&lt;rt&gt;$2&lt;/rt&gt;&lt;/ruby&gt;""
)&amp;""&lt;br&gt;&lt;div class=""""audio""""&gt;[sound:""&amp;C2250&amp;"".mp3]&lt;/div&gt;"""),"&lt;ruby&gt;説得&lt;rt&gt;せっとく&lt;/rt&gt;&lt;/ruby&gt;&lt;br&gt;&lt;div class=""audio""&gt;[sound:せっとく.mp3]&lt;/div&gt;")</f>
        <v>&lt;ruby&gt;説得&lt;rt&gt;せっとく&lt;/rt&gt;&lt;/ruby&gt;&lt;br&gt;&lt;div class="audio"&gt;[sound:せっとく.mp3]&lt;/div&gt;</v>
      </c>
      <c r="H2250" s="3" t="str">
        <f t="shared" si="1"/>
        <v>(n): sự thuyết phục</v>
      </c>
      <c r="I2250" s="6" t="s">
        <v>12227</v>
      </c>
      <c r="J2250" s="6" t="s">
        <v>12228</v>
      </c>
      <c r="K2250" s="7">
        <f t="shared" si="2"/>
        <v>0.9394769451</v>
      </c>
    </row>
    <row r="2251">
      <c r="A2251" s="4">
        <v>2251.0</v>
      </c>
      <c r="B2251" s="5" t="s">
        <v>12229</v>
      </c>
      <c r="C2251" s="5" t="s">
        <v>12230</v>
      </c>
      <c r="D2251" s="5" t="s">
        <v>12229</v>
      </c>
      <c r="E2251" s="6" t="s">
        <v>74</v>
      </c>
      <c r="F2251" s="6" t="s">
        <v>12231</v>
      </c>
      <c r="G2251" s="3" t="str">
        <f>IFERROR(__xludf.DUMMYFUNCTION("REGEXREPLACE(
D2251,
""([一-龯々]+)\[([^\]]+)\]"",
""&lt;ruby&gt;$1&lt;rt&gt;$2&lt;/rt&gt;&lt;/ruby&gt;""
)&amp;""&lt;br&gt;&lt;div class=""""audio""""&gt;[sound:""&amp;C2251&amp;"".mp3]&lt;/div&gt;"""),"カメラマン&lt;br&gt;&lt;div class=""audio""&gt;[sound:かめらまん.mp3]&lt;/div&gt;")</f>
        <v>カメラマン&lt;br&gt;&lt;div class="audio"&gt;[sound:かめらまん.mp3]&lt;/div&gt;</v>
      </c>
      <c r="H2251" s="3" t="str">
        <f t="shared" si="1"/>
        <v>(n): nhiếp ảnh gia</v>
      </c>
      <c r="I2251" s="6" t="s">
        <v>12232</v>
      </c>
      <c r="J2251" s="6" t="s">
        <v>12233</v>
      </c>
      <c r="K2251" s="7">
        <f t="shared" si="2"/>
        <v>0.6360847827</v>
      </c>
    </row>
    <row r="2252">
      <c r="A2252" s="4">
        <v>2252.0</v>
      </c>
      <c r="B2252" s="5" t="s">
        <v>12234</v>
      </c>
      <c r="C2252" s="5" t="s">
        <v>12235</v>
      </c>
      <c r="D2252" s="5" t="s">
        <v>12236</v>
      </c>
      <c r="E2252" s="6" t="s">
        <v>74</v>
      </c>
      <c r="F2252" s="6" t="s">
        <v>12237</v>
      </c>
      <c r="G2252" s="3" t="str">
        <f>IFERROR(__xludf.DUMMYFUNCTION("REGEXREPLACE(
D2252,
""([一-龯々]+)\[([^\]]+)\]"",
""&lt;ruby&gt;$1&lt;rt&gt;$2&lt;/rt&gt;&lt;/ruby&gt;""
)&amp;""&lt;br&gt;&lt;div class=""""audio""""&gt;[sound:""&amp;C2252&amp;"".mp3]&lt;/div&gt;"""),"&lt;ruby&gt;伝説&lt;rt&gt;でんせつ&lt;/rt&gt;&lt;/ruby&gt;&lt;br&gt;&lt;div class=""audio""&gt;[sound:でんせつ.mp3]&lt;/div&gt;")</f>
        <v>&lt;ruby&gt;伝説&lt;rt&gt;でんせつ&lt;/rt&gt;&lt;/ruby&gt;&lt;br&gt;&lt;div class="audio"&gt;[sound:でんせつ.mp3]&lt;/div&gt;</v>
      </c>
      <c r="H2252" s="3" t="str">
        <f t="shared" si="1"/>
        <v>(n): truyền thuyết</v>
      </c>
      <c r="I2252" s="6" t="s">
        <v>12238</v>
      </c>
      <c r="J2252" s="6" t="s">
        <v>12239</v>
      </c>
      <c r="K2252" s="7">
        <f t="shared" si="2"/>
        <v>0.3284283935</v>
      </c>
    </row>
    <row r="2253">
      <c r="A2253" s="4">
        <v>2253.0</v>
      </c>
      <c r="B2253" s="5" t="s">
        <v>12240</v>
      </c>
      <c r="C2253" s="5" t="s">
        <v>12241</v>
      </c>
      <c r="D2253" s="5" t="s">
        <v>12242</v>
      </c>
      <c r="E2253" s="6" t="s">
        <v>24</v>
      </c>
      <c r="F2253" s="6" t="s">
        <v>12243</v>
      </c>
      <c r="G2253" s="3" t="str">
        <f>IFERROR(__xludf.DUMMYFUNCTION("REGEXREPLACE(
D2253,
""([一-龯々]+)\[([^\]]+)\]"",
""&lt;ruby&gt;$1&lt;rt&gt;$2&lt;/rt&gt;&lt;/ruby&gt;""
)&amp;""&lt;br&gt;&lt;div class=""""audio""""&gt;[sound:""&amp;C2253&amp;"".mp3]&lt;/div&gt;"""),"&lt;ruby&gt;定&lt;rt&gt;さだ&lt;/rt&gt;&lt;/ruby&gt;まる&lt;br&gt;&lt;div class=""audio""&gt;[sound:さだまる.mp3]&lt;/div&gt;")</f>
        <v>&lt;ruby&gt;定&lt;rt&gt;さだ&lt;/rt&gt;&lt;/ruby&gt;まる&lt;br&gt;&lt;div class="audio"&gt;[sound:さだまる.mp3]&lt;/div&gt;</v>
      </c>
      <c r="H2253" s="3" t="str">
        <f t="shared" si="1"/>
        <v>(v): được xác định</v>
      </c>
      <c r="I2253" s="6" t="s">
        <v>12244</v>
      </c>
      <c r="J2253" s="6" t="s">
        <v>12245</v>
      </c>
      <c r="K2253" s="7">
        <f t="shared" si="2"/>
        <v>0.6879356023</v>
      </c>
    </row>
    <row r="2254">
      <c r="A2254" s="4">
        <v>2254.0</v>
      </c>
      <c r="B2254" s="5" t="s">
        <v>12246</v>
      </c>
      <c r="C2254" s="5" t="s">
        <v>12247</v>
      </c>
      <c r="D2254" s="5" t="s">
        <v>12248</v>
      </c>
      <c r="E2254" s="6" t="s">
        <v>11</v>
      </c>
      <c r="F2254" s="6" t="s">
        <v>12249</v>
      </c>
      <c r="G2254" s="3" t="str">
        <f>IFERROR(__xludf.DUMMYFUNCTION("REGEXREPLACE(
D2254,
""([一-龯々]+)\[([^\]]+)\]"",
""&lt;ruby&gt;$1&lt;rt&gt;$2&lt;/rt&gt;&lt;/ruby&gt;""
)&amp;""&lt;br&gt;&lt;div class=""""audio""""&gt;[sound:""&amp;C2254&amp;"".mp3]&lt;/div&gt;"""),"&lt;ruby&gt;独自&lt;rt&gt;どくじ&lt;/rt&gt;&lt;/ruby&gt;&lt;br&gt;&lt;div class=""audio""&gt;[sound:どくじ.mp3]&lt;/div&gt;")</f>
        <v>&lt;ruby&gt;独自&lt;rt&gt;どくじ&lt;/rt&gt;&lt;/ruby&gt;&lt;br&gt;&lt;div class="audio"&gt;[sound:どくじ.mp3]&lt;/div&gt;</v>
      </c>
      <c r="H2254" s="3" t="str">
        <f t="shared" si="1"/>
        <v>(adj): riêng</v>
      </c>
      <c r="I2254" s="6" t="s">
        <v>12250</v>
      </c>
      <c r="J2254" s="6" t="s">
        <v>12251</v>
      </c>
      <c r="K2254" s="7">
        <f t="shared" si="2"/>
        <v>0.8820215237</v>
      </c>
    </row>
    <row r="2255">
      <c r="A2255" s="4">
        <v>2255.0</v>
      </c>
      <c r="B2255" s="5" t="s">
        <v>12252</v>
      </c>
      <c r="C2255" s="5" t="s">
        <v>12253</v>
      </c>
      <c r="D2255" s="5" t="s">
        <v>12254</v>
      </c>
      <c r="E2255" s="6" t="s">
        <v>74</v>
      </c>
      <c r="F2255" s="6" t="s">
        <v>12255</v>
      </c>
      <c r="G2255" s="3" t="str">
        <f>IFERROR(__xludf.DUMMYFUNCTION("REGEXREPLACE(
D2255,
""([一-龯々]+)\[([^\]]+)\]"",
""&lt;ruby&gt;$1&lt;rt&gt;$2&lt;/rt&gt;&lt;/ruby&gt;""
)&amp;""&lt;br&gt;&lt;div class=""""audio""""&gt;[sound:""&amp;C2255&amp;"".mp3]&lt;/div&gt;"""),"&lt;ruby&gt;補強&lt;rt&gt;ほきょう&lt;/rt&gt;&lt;/ruby&gt;&lt;br&gt;&lt;div class=""audio""&gt;[sound:ほきょう.mp3]&lt;/div&gt;")</f>
        <v>&lt;ruby&gt;補強&lt;rt&gt;ほきょう&lt;/rt&gt;&lt;/ruby&gt;&lt;br&gt;&lt;div class="audio"&gt;[sound:ほきょう.mp3]&lt;/div&gt;</v>
      </c>
      <c r="H2255" s="3" t="str">
        <f t="shared" si="1"/>
        <v>(n): sự tăng cường</v>
      </c>
      <c r="I2255" s="6" t="s">
        <v>12256</v>
      </c>
      <c r="J2255" s="6" t="s">
        <v>12257</v>
      </c>
      <c r="K2255" s="7">
        <f t="shared" si="2"/>
        <v>0.5177328987</v>
      </c>
    </row>
    <row r="2256">
      <c r="A2256" s="4">
        <v>2256.0</v>
      </c>
      <c r="B2256" s="5" t="s">
        <v>12258</v>
      </c>
      <c r="C2256" s="5" t="s">
        <v>12259</v>
      </c>
      <c r="D2256" s="5" t="s">
        <v>12260</v>
      </c>
      <c r="E2256" s="6" t="s">
        <v>74</v>
      </c>
      <c r="F2256" s="6" t="s">
        <v>12261</v>
      </c>
      <c r="G2256" s="3" t="str">
        <f>IFERROR(__xludf.DUMMYFUNCTION("REGEXREPLACE(
D2256,
""([一-龯々]+)\[([^\]]+)\]"",
""&lt;ruby&gt;$1&lt;rt&gt;$2&lt;/rt&gt;&lt;/ruby&gt;""
)&amp;""&lt;br&gt;&lt;div class=""""audio""""&gt;[sound:""&amp;C2256&amp;"".mp3]&lt;/div&gt;"""),"&lt;ruby&gt;試&lt;rt&gt;こころ&lt;/rt&gt;&lt;/ruby&gt;み&lt;br&gt;&lt;div class=""audio""&gt;[sound:こころみ.mp3]&lt;/div&gt;")</f>
        <v>&lt;ruby&gt;試&lt;rt&gt;こころ&lt;/rt&gt;&lt;/ruby&gt;み&lt;br&gt;&lt;div class="audio"&gt;[sound:こころみ.mp3]&lt;/div&gt;</v>
      </c>
      <c r="H2256" s="3" t="str">
        <f t="shared" si="1"/>
        <v>(n): sự thử nghiệm</v>
      </c>
      <c r="I2256" s="6" t="s">
        <v>12262</v>
      </c>
      <c r="J2256" s="6" t="s">
        <v>12263</v>
      </c>
      <c r="K2256" s="7">
        <f t="shared" si="2"/>
        <v>0.5226730976</v>
      </c>
    </row>
    <row r="2257">
      <c r="A2257" s="4">
        <v>2257.0</v>
      </c>
      <c r="B2257" s="5" t="s">
        <v>12264</v>
      </c>
      <c r="C2257" s="5" t="s">
        <v>12265</v>
      </c>
      <c r="D2257" s="5" t="s">
        <v>12266</v>
      </c>
      <c r="E2257" s="6" t="s">
        <v>74</v>
      </c>
      <c r="F2257" s="6" t="s">
        <v>12267</v>
      </c>
      <c r="G2257" s="3" t="str">
        <f>IFERROR(__xludf.DUMMYFUNCTION("REGEXREPLACE(
D2257,
""([一-龯々]+)\[([^\]]+)\]"",
""&lt;ruby&gt;$1&lt;rt&gt;$2&lt;/rt&gt;&lt;/ruby&gt;""
)&amp;""&lt;br&gt;&lt;div class=""""audio""""&gt;[sound:""&amp;C2257&amp;"".mp3]&lt;/div&gt;"""),"&lt;ruby&gt;進&lt;rt&gt;すす&lt;/rt&gt;&lt;/ruby&gt;み&lt;br&gt;&lt;div class=""audio""&gt;[sound:すすみ.mp3]&lt;/div&gt;")</f>
        <v>&lt;ruby&gt;進&lt;rt&gt;すす&lt;/rt&gt;&lt;/ruby&gt;み&lt;br&gt;&lt;div class="audio"&gt;[sound:すすみ.mp3]&lt;/div&gt;</v>
      </c>
      <c r="H2257" s="3" t="str">
        <f t="shared" si="1"/>
        <v>(n): sự tiến triển</v>
      </c>
      <c r="I2257" s="6" t="s">
        <v>12268</v>
      </c>
      <c r="J2257" s="6" t="s">
        <v>12269</v>
      </c>
      <c r="K2257" s="7">
        <f t="shared" si="2"/>
        <v>0.4758102235</v>
      </c>
    </row>
    <row r="2258">
      <c r="A2258" s="4">
        <v>2258.0</v>
      </c>
      <c r="B2258" s="5" t="s">
        <v>12270</v>
      </c>
      <c r="C2258" s="5" t="s">
        <v>12271</v>
      </c>
      <c r="D2258" s="5" t="s">
        <v>12272</v>
      </c>
      <c r="E2258" s="6" t="s">
        <v>74</v>
      </c>
      <c r="F2258" s="6" t="s">
        <v>12273</v>
      </c>
      <c r="G2258" s="3" t="str">
        <f>IFERROR(__xludf.DUMMYFUNCTION("REGEXREPLACE(
D2258,
""([一-龯々]+)\[([^\]]+)\]"",
""&lt;ruby&gt;$1&lt;rt&gt;$2&lt;/rt&gt;&lt;/ruby&gt;""
)&amp;""&lt;br&gt;&lt;div class=""""audio""""&gt;[sound:""&amp;C2258&amp;"".mp3]&lt;/div&gt;"""),"&lt;ruby&gt;元年&lt;rt&gt;がんねん&lt;/rt&gt;&lt;/ruby&gt;&lt;br&gt;&lt;div class=""audio""&gt;[sound:がんねん.mp3]&lt;/div&gt;")</f>
        <v>&lt;ruby&gt;元年&lt;rt&gt;がんねん&lt;/rt&gt;&lt;/ruby&gt;&lt;br&gt;&lt;div class="audio"&gt;[sound:がんねん.mp3]&lt;/div&gt;</v>
      </c>
      <c r="H2258" s="3" t="str">
        <f t="shared" si="1"/>
        <v>(n): năm đầu tiên</v>
      </c>
      <c r="I2258" s="6" t="s">
        <v>12274</v>
      </c>
      <c r="J2258" s="6" t="s">
        <v>12275</v>
      </c>
      <c r="K2258" s="7">
        <f t="shared" si="2"/>
        <v>0.3293657518</v>
      </c>
    </row>
    <row r="2259">
      <c r="A2259" s="4">
        <v>2259.0</v>
      </c>
      <c r="B2259" s="5" t="s">
        <v>12276</v>
      </c>
      <c r="C2259" s="5" t="s">
        <v>12277</v>
      </c>
      <c r="D2259" s="5" t="s">
        <v>12278</v>
      </c>
      <c r="E2259" s="6" t="s">
        <v>74</v>
      </c>
      <c r="F2259" s="6" t="s">
        <v>12279</v>
      </c>
      <c r="G2259" s="3" t="str">
        <f>IFERROR(__xludf.DUMMYFUNCTION("REGEXREPLACE(
D2259,
""([一-龯々]+)\[([^\]]+)\]"",
""&lt;ruby&gt;$1&lt;rt&gt;$2&lt;/rt&gt;&lt;/ruby&gt;""
)&amp;""&lt;br&gt;&lt;div class=""""audio""""&gt;[sound:""&amp;C2259&amp;"".mp3]&lt;/div&gt;"""),"&lt;ruby&gt;出品&lt;rt&gt;しゅっぴん&lt;/rt&gt;&lt;/ruby&gt;&lt;br&gt;&lt;div class=""audio""&gt;[sound:しゅっぴん.mp3]&lt;/div&gt;")</f>
        <v>&lt;ruby&gt;出品&lt;rt&gt;しゅっぴん&lt;/rt&gt;&lt;/ruby&gt;&lt;br&gt;&lt;div class="audio"&gt;[sound:しゅっぴん.mp3]&lt;/div&gt;</v>
      </c>
      <c r="H2259" s="3" t="str">
        <f t="shared" si="1"/>
        <v>(n): sự trưng bày</v>
      </c>
      <c r="I2259" s="6" t="s">
        <v>12280</v>
      </c>
      <c r="J2259" s="6" t="s">
        <v>12281</v>
      </c>
      <c r="K2259" s="7">
        <f t="shared" si="2"/>
        <v>0.6371452064</v>
      </c>
    </row>
    <row r="2260">
      <c r="A2260" s="4">
        <v>2260.0</v>
      </c>
      <c r="B2260" s="5" t="s">
        <v>12282</v>
      </c>
      <c r="C2260" s="5" t="s">
        <v>12283</v>
      </c>
      <c r="D2260" s="5" t="s">
        <v>12284</v>
      </c>
      <c r="E2260" s="6" t="s">
        <v>74</v>
      </c>
      <c r="F2260" s="6" t="s">
        <v>12285</v>
      </c>
      <c r="G2260" s="3" t="str">
        <f>IFERROR(__xludf.DUMMYFUNCTION("REGEXREPLACE(
D2260,
""([一-龯々]+)\[([^\]]+)\]"",
""&lt;ruby&gt;$1&lt;rt&gt;$2&lt;/rt&gt;&lt;/ruby&gt;""
)&amp;""&lt;br&gt;&lt;div class=""""audio""""&gt;[sound:""&amp;C2260&amp;"".mp3]&lt;/div&gt;"""),"&lt;ruby&gt;出現&lt;rt&gt;しゅつげん&lt;/rt&gt;&lt;/ruby&gt;&lt;br&gt;&lt;div class=""audio""&gt;[sound:しゅつげん.mp3]&lt;/div&gt;")</f>
        <v>&lt;ruby&gt;出現&lt;rt&gt;しゅつげん&lt;/rt&gt;&lt;/ruby&gt;&lt;br&gt;&lt;div class="audio"&gt;[sound:しゅつげん.mp3]&lt;/div&gt;</v>
      </c>
      <c r="H2260" s="3" t="str">
        <f t="shared" si="1"/>
        <v>(n): sự xuất hiện</v>
      </c>
      <c r="I2260" s="6" t="s">
        <v>12286</v>
      </c>
      <c r="J2260" s="6" t="s">
        <v>12287</v>
      </c>
      <c r="K2260" s="7">
        <f t="shared" si="2"/>
        <v>0.2711505809</v>
      </c>
    </row>
    <row r="2261">
      <c r="A2261" s="4">
        <v>2261.0</v>
      </c>
      <c r="B2261" s="5" t="s">
        <v>12288</v>
      </c>
      <c r="C2261" s="5" t="s">
        <v>12289</v>
      </c>
      <c r="D2261" s="5" t="s">
        <v>12290</v>
      </c>
      <c r="E2261" s="6" t="s">
        <v>74</v>
      </c>
      <c r="F2261" s="6" t="s">
        <v>12291</v>
      </c>
      <c r="G2261" s="3" t="str">
        <f>IFERROR(__xludf.DUMMYFUNCTION("REGEXREPLACE(
D2261,
""([一-龯々]+)\[([^\]]+)\]"",
""&lt;ruby&gt;$1&lt;rt&gt;$2&lt;/rt&gt;&lt;/ruby&gt;""
)&amp;""&lt;br&gt;&lt;div class=""""audio""""&gt;[sound:""&amp;C2261&amp;"".mp3]&lt;/div&gt;"""),"&lt;ruby&gt;原作&lt;rt&gt;げんさく&lt;/rt&gt;&lt;/ruby&gt;&lt;br&gt;&lt;div class=""audio""&gt;[sound:げんさく.mp3]&lt;/div&gt;")</f>
        <v>&lt;ruby&gt;原作&lt;rt&gt;げんさく&lt;/rt&gt;&lt;/ruby&gt;&lt;br&gt;&lt;div class="audio"&gt;[sound:げんさく.mp3]&lt;/div&gt;</v>
      </c>
      <c r="H2261" s="3" t="str">
        <f t="shared" si="1"/>
        <v>(n): tác phẩm gốc</v>
      </c>
      <c r="I2261" s="6" t="s">
        <v>12292</v>
      </c>
      <c r="J2261" s="6" t="s">
        <v>12293</v>
      </c>
      <c r="K2261" s="7">
        <f t="shared" si="2"/>
        <v>0.2397710809</v>
      </c>
    </row>
    <row r="2262">
      <c r="A2262" s="4">
        <v>2262.0</v>
      </c>
      <c r="B2262" s="5" t="s">
        <v>12294</v>
      </c>
      <c r="C2262" s="5" t="s">
        <v>12295</v>
      </c>
      <c r="D2262" s="5" t="s">
        <v>12296</v>
      </c>
      <c r="E2262" s="6" t="s">
        <v>74</v>
      </c>
      <c r="F2262" s="6" t="s">
        <v>12297</v>
      </c>
      <c r="G2262" s="3" t="str">
        <f>IFERROR(__xludf.DUMMYFUNCTION("REGEXREPLACE(
D2262,
""([一-龯々]+)\[([^\]]+)\]"",
""&lt;ruby&gt;$1&lt;rt&gt;$2&lt;/rt&gt;&lt;/ruby&gt;""
)&amp;""&lt;br&gt;&lt;div class=""""audio""""&gt;[sound:""&amp;C2262&amp;"".mp3]&lt;/div&gt;"""),"&lt;ruby&gt;取扱&lt;rt&gt;とりあつかい&lt;/rt&gt;&lt;/ruby&gt;&lt;br&gt;&lt;div class=""audio""&gt;[sound:とりあつかい.mp3]&lt;/div&gt;")</f>
        <v>&lt;ruby&gt;取扱&lt;rt&gt;とりあつかい&lt;/rt&gt;&lt;/ruby&gt;&lt;br&gt;&lt;div class="audio"&gt;[sound:とりあつかい.mp3]&lt;/div&gt;</v>
      </c>
      <c r="H2262" s="3" t="str">
        <f t="shared" si="1"/>
        <v>(n): cách sử dụng</v>
      </c>
      <c r="I2262" s="6" t="s">
        <v>12298</v>
      </c>
      <c r="J2262" s="6" t="s">
        <v>12299</v>
      </c>
      <c r="K2262" s="7">
        <f t="shared" si="2"/>
        <v>0.2751683074</v>
      </c>
    </row>
    <row r="2263">
      <c r="A2263" s="4">
        <v>2263.0</v>
      </c>
      <c r="B2263" s="5" t="s">
        <v>12300</v>
      </c>
      <c r="C2263" s="5" t="s">
        <v>12301</v>
      </c>
      <c r="D2263" s="5" t="s">
        <v>12302</v>
      </c>
      <c r="E2263" s="6" t="s">
        <v>74</v>
      </c>
      <c r="F2263" s="6" t="s">
        <v>12303</v>
      </c>
      <c r="G2263" s="3" t="str">
        <f>IFERROR(__xludf.DUMMYFUNCTION("REGEXREPLACE(
D2263,
""([一-龯々]+)\[([^\]]+)\]"",
""&lt;ruby&gt;$1&lt;rt&gt;$2&lt;/rt&gt;&lt;/ruby&gt;""
)&amp;""&lt;br&gt;&lt;div class=""""audio""""&gt;[sound:""&amp;C2263&amp;"".mp3]&lt;/div&gt;"""),"&lt;ruby&gt;受&lt;rt&gt;う&lt;/rt&gt;&lt;/ruby&gt;け&lt;ruby&gt;入&lt;rt&gt;い&lt;/rt&gt;&lt;/ruby&gt;れ&lt;br&gt;&lt;div class=""audio""&gt;[sound:うけいれ.mp3]&lt;/div&gt;")</f>
        <v>&lt;ruby&gt;受&lt;rt&gt;う&lt;/rt&gt;&lt;/ruby&gt;け&lt;ruby&gt;入&lt;rt&gt;い&lt;/rt&gt;&lt;/ruby&gt;れ&lt;br&gt;&lt;div class="audio"&gt;[sound:うけいれ.mp3]&lt;/div&gt;</v>
      </c>
      <c r="H2263" s="3" t="str">
        <f t="shared" si="1"/>
        <v>(n): sự tiếp nhận</v>
      </c>
      <c r="I2263" s="6" t="s">
        <v>12304</v>
      </c>
      <c r="J2263" s="6" t="s">
        <v>12305</v>
      </c>
      <c r="K2263" s="7">
        <f t="shared" si="2"/>
        <v>0.5843950306</v>
      </c>
    </row>
    <row r="2264">
      <c r="A2264" s="4">
        <v>2264.0</v>
      </c>
      <c r="B2264" s="5" t="s">
        <v>12306</v>
      </c>
      <c r="C2264" s="5" t="s">
        <v>12307</v>
      </c>
      <c r="D2264" s="5" t="s">
        <v>12308</v>
      </c>
      <c r="E2264" s="6" t="s">
        <v>74</v>
      </c>
      <c r="F2264" s="6" t="s">
        <v>12309</v>
      </c>
      <c r="G2264" s="3" t="str">
        <f>IFERROR(__xludf.DUMMYFUNCTION("REGEXREPLACE(
D2264,
""([一-龯々]+)\[([^\]]+)\]"",
""&lt;ruby&gt;$1&lt;rt&gt;$2&lt;/rt&gt;&lt;/ruby&gt;""
)&amp;""&lt;br&gt;&lt;div class=""""audio""""&gt;[sound:""&amp;C2264&amp;"".mp3]&lt;/div&gt;"""),"&lt;ruby&gt;在庫&lt;rt&gt;ざいこ&lt;/rt&gt;&lt;/ruby&gt;&lt;br&gt;&lt;div class=""audio""&gt;[sound:ざいこ.mp3]&lt;/div&gt;")</f>
        <v>&lt;ruby&gt;在庫&lt;rt&gt;ざいこ&lt;/rt&gt;&lt;/ruby&gt;&lt;br&gt;&lt;div class="audio"&gt;[sound:ざいこ.mp3]&lt;/div&gt;</v>
      </c>
      <c r="H2264" s="3" t="str">
        <f t="shared" si="1"/>
        <v>(n): hàng tồn kho</v>
      </c>
      <c r="I2264" s="6" t="s">
        <v>12310</v>
      </c>
      <c r="J2264" s="6" t="s">
        <v>12311</v>
      </c>
      <c r="K2264" s="7">
        <f t="shared" si="2"/>
        <v>0.1297245163</v>
      </c>
    </row>
    <row r="2265">
      <c r="A2265" s="4">
        <v>2265.0</v>
      </c>
      <c r="B2265" s="5" t="s">
        <v>12312</v>
      </c>
      <c r="C2265" s="5" t="s">
        <v>12313</v>
      </c>
      <c r="D2265" s="5" t="s">
        <v>12314</v>
      </c>
      <c r="E2265" s="6" t="s">
        <v>74</v>
      </c>
      <c r="F2265" s="6" t="s">
        <v>12315</v>
      </c>
      <c r="G2265" s="3" t="str">
        <f>IFERROR(__xludf.DUMMYFUNCTION("REGEXREPLACE(
D2265,
""([一-龯々]+)\[([^\]]+)\]"",
""&lt;ruby&gt;$1&lt;rt&gt;$2&lt;/rt&gt;&lt;/ruby&gt;""
)&amp;""&lt;br&gt;&lt;div class=""""audio""""&gt;[sound:""&amp;C2265&amp;"".mp3]&lt;/div&gt;"""),"&lt;ruby&gt;妊娠&lt;rt&gt;にんしん&lt;/rt&gt;&lt;/ruby&gt;&lt;br&gt;&lt;div class=""audio""&gt;[sound:にんしん.mp3]&lt;/div&gt;")</f>
        <v>&lt;ruby&gt;妊娠&lt;rt&gt;にんしん&lt;/rt&gt;&lt;/ruby&gt;&lt;br&gt;&lt;div class="audio"&gt;[sound:にんしん.mp3]&lt;/div&gt;</v>
      </c>
      <c r="H2265" s="3" t="str">
        <f t="shared" si="1"/>
        <v>(n): sự mang thai</v>
      </c>
      <c r="I2265" s="6" t="s">
        <v>12316</v>
      </c>
      <c r="J2265" s="6" t="s">
        <v>12317</v>
      </c>
      <c r="K2265" s="7">
        <f t="shared" si="2"/>
        <v>0.8216641646</v>
      </c>
    </row>
    <row r="2266">
      <c r="A2266" s="4">
        <v>2266.0</v>
      </c>
      <c r="B2266" s="5" t="s">
        <v>12318</v>
      </c>
      <c r="C2266" s="5" t="s">
        <v>12319</v>
      </c>
      <c r="D2266" s="5" t="s">
        <v>12320</v>
      </c>
      <c r="E2266" s="6" t="s">
        <v>74</v>
      </c>
      <c r="F2266" s="6" t="s">
        <v>12321</v>
      </c>
      <c r="G2266" s="3" t="str">
        <f>IFERROR(__xludf.DUMMYFUNCTION("REGEXREPLACE(
D2266,
""([一-龯々]+)\[([^\]]+)\]"",
""&lt;ruby&gt;$1&lt;rt&gt;$2&lt;/rt&gt;&lt;/ruby&gt;""
)&amp;""&lt;br&gt;&lt;div class=""""audio""""&gt;[sound:""&amp;C2266&amp;"".mp3]&lt;/div&gt;"""),"&lt;ruby&gt;実家&lt;rt&gt;じっか&lt;/rt&gt;&lt;/ruby&gt;&lt;br&gt;&lt;div class=""audio""&gt;[sound:じっか.mp3]&lt;/div&gt;")</f>
        <v>&lt;ruby&gt;実家&lt;rt&gt;じっか&lt;/rt&gt;&lt;/ruby&gt;&lt;br&gt;&lt;div class="audio"&gt;[sound:じっか.mp3]&lt;/div&gt;</v>
      </c>
      <c r="H2266" s="3" t="str">
        <f t="shared" si="1"/>
        <v>(n): nhà bố mẹ đẻ</v>
      </c>
      <c r="I2266" s="6" t="s">
        <v>12322</v>
      </c>
      <c r="J2266" s="6" t="s">
        <v>12323</v>
      </c>
      <c r="K2266" s="7">
        <f t="shared" si="2"/>
        <v>0.1862910376</v>
      </c>
    </row>
    <row r="2267">
      <c r="A2267" s="4">
        <v>2267.0</v>
      </c>
      <c r="B2267" s="5" t="s">
        <v>12324</v>
      </c>
      <c r="C2267" s="5" t="s">
        <v>12325</v>
      </c>
      <c r="D2267" s="5" t="s">
        <v>12326</v>
      </c>
      <c r="E2267" s="6" t="s">
        <v>74</v>
      </c>
      <c r="F2267" s="6" t="s">
        <v>12327</v>
      </c>
      <c r="G2267" s="3" t="str">
        <f>IFERROR(__xludf.DUMMYFUNCTION("REGEXREPLACE(
D2267,
""([一-龯々]+)\[([^\]]+)\]"",
""&lt;ruby&gt;$1&lt;rt&gt;$2&lt;/rt&gt;&lt;/ruby&gt;""
)&amp;""&lt;br&gt;&lt;div class=""""audio""""&gt;[sound:""&amp;C2267&amp;"".mp3]&lt;/div&gt;"""),"&lt;ruby&gt;落&lt;rt&gt;お&lt;/rt&gt;&lt;/ruby&gt;ち&lt;ruby&gt;着&lt;rt&gt;つ&lt;/rt&gt;&lt;/ruby&gt;き&lt;br&gt;&lt;div class=""audio""&gt;[sound:おちつき.mp3]&lt;/div&gt;")</f>
        <v>&lt;ruby&gt;落&lt;rt&gt;お&lt;/rt&gt;&lt;/ruby&gt;ち&lt;ruby&gt;着&lt;rt&gt;つ&lt;/rt&gt;&lt;/ruby&gt;き&lt;br&gt;&lt;div class="audio"&gt;[sound:おちつき.mp3]&lt;/div&gt;</v>
      </c>
      <c r="H2267" s="3" t="str">
        <f t="shared" si="1"/>
        <v>(n): sự bình tĩnh</v>
      </c>
      <c r="I2267" s="6" t="s">
        <v>12328</v>
      </c>
      <c r="J2267" s="6" t="s">
        <v>12329</v>
      </c>
      <c r="K2267" s="7">
        <f t="shared" si="2"/>
        <v>0.8464763105</v>
      </c>
    </row>
    <row r="2268">
      <c r="A2268" s="4">
        <v>2268.0</v>
      </c>
      <c r="B2268" s="5" t="s">
        <v>12330</v>
      </c>
      <c r="C2268" s="5" t="s">
        <v>12331</v>
      </c>
      <c r="D2268" s="5" t="s">
        <v>12332</v>
      </c>
      <c r="E2268" s="6" t="s">
        <v>74</v>
      </c>
      <c r="F2268" s="6" t="s">
        <v>12333</v>
      </c>
      <c r="G2268" s="3" t="str">
        <f>IFERROR(__xludf.DUMMYFUNCTION("REGEXREPLACE(
D2268,
""([一-龯々]+)\[([^\]]+)\]"",
""&lt;ruby&gt;$1&lt;rt&gt;$2&lt;/rt&gt;&lt;/ruby&gt;""
)&amp;""&lt;br&gt;&lt;div class=""""audio""""&gt;[sound:""&amp;C2268&amp;"".mp3]&lt;/div&gt;"""),"&lt;ruby&gt;装飾&lt;rt&gt;そうしょく&lt;/rt&gt;&lt;/ruby&gt;&lt;br&gt;&lt;div class=""audio""&gt;[sound:そうしょく.mp3]&lt;/div&gt;")</f>
        <v>&lt;ruby&gt;装飾&lt;rt&gt;そうしょく&lt;/rt&gt;&lt;/ruby&gt;&lt;br&gt;&lt;div class="audio"&gt;[sound:そうしょく.mp3]&lt;/div&gt;</v>
      </c>
      <c r="H2268" s="3" t="str">
        <f t="shared" si="1"/>
        <v>(n): sự trang trí</v>
      </c>
      <c r="I2268" s="6" t="s">
        <v>12334</v>
      </c>
      <c r="J2268" s="6" t="s">
        <v>12335</v>
      </c>
      <c r="K2268" s="7">
        <f t="shared" si="2"/>
        <v>0.05552605825</v>
      </c>
    </row>
    <row r="2269">
      <c r="A2269" s="4">
        <v>2269.0</v>
      </c>
      <c r="B2269" s="5" t="s">
        <v>12336</v>
      </c>
      <c r="C2269" s="5" t="s">
        <v>12337</v>
      </c>
      <c r="D2269" s="5" t="s">
        <v>12338</v>
      </c>
      <c r="E2269" s="6" t="s">
        <v>74</v>
      </c>
      <c r="F2269" s="6" t="s">
        <v>12339</v>
      </c>
      <c r="G2269" s="3" t="str">
        <f>IFERROR(__xludf.DUMMYFUNCTION("REGEXREPLACE(
D2269,
""([一-龯々]+)\[([^\]]+)\]"",
""&lt;ruby&gt;$1&lt;rt&gt;$2&lt;/rt&gt;&lt;/ruby&gt;""
)&amp;""&lt;br&gt;&lt;div class=""""audio""""&gt;[sound:""&amp;C2269&amp;"".mp3]&lt;/div&gt;"""),"&lt;ruby&gt;誘導&lt;rt&gt;ゆうどう&lt;/rt&gt;&lt;/ruby&gt;&lt;br&gt;&lt;div class=""audio""&gt;[sound:ゆうどう.mp3]&lt;/div&gt;")</f>
        <v>&lt;ruby&gt;誘導&lt;rt&gt;ゆうどう&lt;/rt&gt;&lt;/ruby&gt;&lt;br&gt;&lt;div class="audio"&gt;[sound:ゆうどう.mp3]&lt;/div&gt;</v>
      </c>
      <c r="H2269" s="3" t="str">
        <f t="shared" si="1"/>
        <v>(n): sự hướng dẫn</v>
      </c>
      <c r="I2269" s="6" t="s">
        <v>12340</v>
      </c>
      <c r="J2269" s="6" t="s">
        <v>12341</v>
      </c>
      <c r="K2269" s="7">
        <f t="shared" si="2"/>
        <v>0.720687772</v>
      </c>
    </row>
    <row r="2270">
      <c r="A2270" s="4">
        <v>2270.0</v>
      </c>
      <c r="B2270" s="5" t="s">
        <v>12342</v>
      </c>
      <c r="C2270" s="5" t="s">
        <v>12343</v>
      </c>
      <c r="D2270" s="5" t="s">
        <v>12344</v>
      </c>
      <c r="E2270" s="6" t="s">
        <v>74</v>
      </c>
      <c r="F2270" s="6" t="s">
        <v>12345</v>
      </c>
      <c r="G2270" s="3" t="str">
        <f>IFERROR(__xludf.DUMMYFUNCTION("REGEXREPLACE(
D2270,
""([一-龯々]+)\[([^\]]+)\]"",
""&lt;ruby&gt;$1&lt;rt&gt;$2&lt;/rt&gt;&lt;/ruby&gt;""
)&amp;""&lt;br&gt;&lt;div class=""""audio""""&gt;[sound:""&amp;C2270&amp;"".mp3]&lt;/div&gt;"""),"&lt;ruby&gt;警戒&lt;rt&gt;けいかい&lt;/rt&gt;&lt;/ruby&gt;&lt;br&gt;&lt;div class=""audio""&gt;[sound:けいかい.mp3]&lt;/div&gt;")</f>
        <v>&lt;ruby&gt;警戒&lt;rt&gt;けいかい&lt;/rt&gt;&lt;/ruby&gt;&lt;br&gt;&lt;div class="audio"&gt;[sound:けいかい.mp3]&lt;/div&gt;</v>
      </c>
      <c r="H2270" s="3" t="str">
        <f t="shared" si="1"/>
        <v>(n): sự cảnh giác</v>
      </c>
      <c r="I2270" s="6" t="s">
        <v>12346</v>
      </c>
      <c r="J2270" s="6" t="s">
        <v>12347</v>
      </c>
      <c r="K2270" s="7">
        <f t="shared" si="2"/>
        <v>0.6995165404</v>
      </c>
    </row>
    <row r="2271">
      <c r="A2271" s="4">
        <v>2271.0</v>
      </c>
      <c r="B2271" s="5" t="s">
        <v>12348</v>
      </c>
      <c r="C2271" s="5" t="s">
        <v>12349</v>
      </c>
      <c r="D2271" s="5" t="s">
        <v>12350</v>
      </c>
      <c r="E2271" s="6" t="s">
        <v>74</v>
      </c>
      <c r="F2271" s="6" t="s">
        <v>12351</v>
      </c>
      <c r="G2271" s="3" t="str">
        <f>IFERROR(__xludf.DUMMYFUNCTION("REGEXREPLACE(
D2271,
""([一-龯々]+)\[([^\]]+)\]"",
""&lt;ruby&gt;$1&lt;rt&gt;$2&lt;/rt&gt;&lt;/ruby&gt;""
)&amp;""&lt;br&gt;&lt;div class=""""audio""""&gt;[sound:""&amp;C2271&amp;"".mp3]&lt;/div&gt;"""),"&lt;ruby&gt;貧困&lt;rt&gt;ひんこん&lt;/rt&gt;&lt;/ruby&gt;&lt;br&gt;&lt;div class=""audio""&gt;[sound:ひんこん.mp3]&lt;/div&gt;")</f>
        <v>&lt;ruby&gt;貧困&lt;rt&gt;ひんこん&lt;/rt&gt;&lt;/ruby&gt;&lt;br&gt;&lt;div class="audio"&gt;[sound:ひんこん.mp3]&lt;/div&gt;</v>
      </c>
      <c r="H2271" s="3" t="str">
        <f t="shared" si="1"/>
        <v>(n): sự nghèo khó</v>
      </c>
      <c r="I2271" s="6" t="s">
        <v>12352</v>
      </c>
      <c r="J2271" s="6" t="s">
        <v>12353</v>
      </c>
      <c r="K2271" s="7">
        <f t="shared" si="2"/>
        <v>0.9973402986</v>
      </c>
    </row>
    <row r="2272">
      <c r="A2272" s="4">
        <v>2272.0</v>
      </c>
      <c r="B2272" s="5" t="s">
        <v>12354</v>
      </c>
      <c r="C2272" s="5" t="s">
        <v>12355</v>
      </c>
      <c r="D2272" s="5" t="s">
        <v>12356</v>
      </c>
      <c r="E2272" s="6" t="s">
        <v>74</v>
      </c>
      <c r="F2272" s="6" t="s">
        <v>12357</v>
      </c>
      <c r="G2272" s="3" t="str">
        <f>IFERROR(__xludf.DUMMYFUNCTION("REGEXREPLACE(
D2272,
""([一-龯々]+)\[([^\]]+)\]"",
""&lt;ruby&gt;$1&lt;rt&gt;$2&lt;/rt&gt;&lt;/ruby&gt;""
)&amp;""&lt;br&gt;&lt;div class=""""audio""""&gt;[sound:""&amp;C2272&amp;"".mp3]&lt;/div&gt;"""),"&lt;ruby&gt;逆転&lt;rt&gt;ぎゃくてん&lt;/rt&gt;&lt;/ruby&gt;&lt;br&gt;&lt;div class=""audio""&gt;[sound:ぎゃくてん.mp3]&lt;/div&gt;")</f>
        <v>&lt;ruby&gt;逆転&lt;rt&gt;ぎゃくてん&lt;/rt&gt;&lt;/ruby&gt;&lt;br&gt;&lt;div class="audio"&gt;[sound:ぎゃくてん.mp3]&lt;/div&gt;</v>
      </c>
      <c r="H2272" s="3" t="str">
        <f t="shared" si="1"/>
        <v>(n): sự đảo ngược</v>
      </c>
      <c r="I2272" s="6" t="s">
        <v>12358</v>
      </c>
      <c r="J2272" s="6" t="s">
        <v>12359</v>
      </c>
      <c r="K2272" s="7">
        <f t="shared" si="2"/>
        <v>0.7915821908</v>
      </c>
    </row>
    <row r="2273">
      <c r="A2273" s="4">
        <v>2273.0</v>
      </c>
      <c r="B2273" s="5" t="s">
        <v>12360</v>
      </c>
      <c r="C2273" s="5" t="s">
        <v>12361</v>
      </c>
      <c r="D2273" s="5" t="s">
        <v>12362</v>
      </c>
      <c r="E2273" s="6" t="s">
        <v>74</v>
      </c>
      <c r="F2273" s="6" t="s">
        <v>12363</v>
      </c>
      <c r="G2273" s="3" t="str">
        <f>IFERROR(__xludf.DUMMYFUNCTION("REGEXREPLACE(
D2273,
""([一-龯々]+)\[([^\]]+)\]"",
""&lt;ruby&gt;$1&lt;rt&gt;$2&lt;/rt&gt;&lt;/ruby&gt;""
)&amp;""&lt;br&gt;&lt;div class=""""audio""""&gt;[sound:""&amp;C2273&amp;"".mp3]&lt;/div&gt;"""),"&lt;ruby&gt;適応&lt;rt&gt;てきおう&lt;/rt&gt;&lt;/ruby&gt;&lt;br&gt;&lt;div class=""audio""&gt;[sound:てきおう.mp3]&lt;/div&gt;")</f>
        <v>&lt;ruby&gt;適応&lt;rt&gt;てきおう&lt;/rt&gt;&lt;/ruby&gt;&lt;br&gt;&lt;div class="audio"&gt;[sound:てきおう.mp3]&lt;/div&gt;</v>
      </c>
      <c r="H2273" s="3" t="str">
        <f t="shared" si="1"/>
        <v>(n): sự thích ứng</v>
      </c>
      <c r="I2273" s="6" t="s">
        <v>12364</v>
      </c>
      <c r="J2273" s="6" t="s">
        <v>12365</v>
      </c>
      <c r="K2273" s="7">
        <f t="shared" si="2"/>
        <v>0.5650627211</v>
      </c>
    </row>
    <row r="2274">
      <c r="A2274" s="4">
        <v>2274.0</v>
      </c>
      <c r="B2274" s="5" t="s">
        <v>12366</v>
      </c>
      <c r="C2274" s="5" t="s">
        <v>12367</v>
      </c>
      <c r="D2274" s="5" t="s">
        <v>12368</v>
      </c>
      <c r="E2274" s="6" t="s">
        <v>74</v>
      </c>
      <c r="F2274" s="6" t="s">
        <v>12369</v>
      </c>
      <c r="G2274" s="3" t="str">
        <f>IFERROR(__xludf.DUMMYFUNCTION("REGEXREPLACE(
D2274,
""([一-龯々]+)\[([^\]]+)\]"",
""&lt;ruby&gt;$1&lt;rt&gt;$2&lt;/rt&gt;&lt;/ruby&gt;""
)&amp;""&lt;br&gt;&lt;div class=""""audio""""&gt;[sound:""&amp;C2274&amp;"".mp3]&lt;/div&gt;"""),"&lt;ruby&gt;配布&lt;rt&gt;はいふ&lt;/rt&gt;&lt;/ruby&gt;&lt;br&gt;&lt;div class=""audio""&gt;[sound:はいふ.mp3]&lt;/div&gt;")</f>
        <v>&lt;ruby&gt;配布&lt;rt&gt;はいふ&lt;/rt&gt;&lt;/ruby&gt;&lt;br&gt;&lt;div class="audio"&gt;[sound:はいふ.mp3]&lt;/div&gt;</v>
      </c>
      <c r="H2274" s="3" t="str">
        <f t="shared" si="1"/>
        <v>(n): sự phân phát</v>
      </c>
      <c r="I2274" s="6" t="s">
        <v>12370</v>
      </c>
      <c r="J2274" s="6" t="s">
        <v>12371</v>
      </c>
      <c r="K2274" s="7">
        <f t="shared" si="2"/>
        <v>0.5603971105</v>
      </c>
    </row>
    <row r="2275">
      <c r="A2275" s="4">
        <v>2275.0</v>
      </c>
      <c r="B2275" s="5" t="s">
        <v>12372</v>
      </c>
      <c r="C2275" s="5" t="s">
        <v>12373</v>
      </c>
      <c r="D2275" s="5" t="s">
        <v>12374</v>
      </c>
      <c r="E2275" s="6" t="s">
        <v>74</v>
      </c>
      <c r="F2275" s="6" t="s">
        <v>12375</v>
      </c>
      <c r="G2275" s="3" t="str">
        <f>IFERROR(__xludf.DUMMYFUNCTION("REGEXREPLACE(
D2275,
""([一-龯々]+)\[([^\]]+)\]"",
""&lt;ruby&gt;$1&lt;rt&gt;$2&lt;/rt&gt;&lt;/ruby&gt;""
)&amp;""&lt;br&gt;&lt;div class=""""audio""""&gt;[sound:""&amp;C2275&amp;"".mp3]&lt;/div&gt;"""),"&lt;ruby&gt;関与&lt;rt&gt;かんよ&lt;/rt&gt;&lt;/ruby&gt;&lt;br&gt;&lt;div class=""audio""&gt;[sound:かんよ.mp3]&lt;/div&gt;")</f>
        <v>&lt;ruby&gt;関与&lt;rt&gt;かんよ&lt;/rt&gt;&lt;/ruby&gt;&lt;br&gt;&lt;div class="audio"&gt;[sound:かんよ.mp3]&lt;/div&gt;</v>
      </c>
      <c r="H2275" s="3" t="str">
        <f t="shared" si="1"/>
        <v>(n): sự liên quan</v>
      </c>
      <c r="I2275" s="6" t="s">
        <v>12376</v>
      </c>
      <c r="J2275" s="6" t="s">
        <v>12377</v>
      </c>
      <c r="K2275" s="7">
        <f t="shared" si="2"/>
        <v>0.1676683779</v>
      </c>
    </row>
    <row r="2276">
      <c r="A2276" s="4">
        <v>2276.0</v>
      </c>
      <c r="B2276" s="5" t="s">
        <v>12378</v>
      </c>
      <c r="C2276" s="5" t="s">
        <v>12379</v>
      </c>
      <c r="D2276" s="5" t="s">
        <v>12380</v>
      </c>
      <c r="E2276" s="6" t="s">
        <v>11</v>
      </c>
      <c r="F2276" s="6" t="s">
        <v>9297</v>
      </c>
      <c r="G2276" s="3" t="str">
        <f>IFERROR(__xludf.DUMMYFUNCTION("REGEXREPLACE(
D2276,
""([一-龯々]+)\[([^\]]+)\]"",
""&lt;ruby&gt;$1&lt;rt&gt;$2&lt;/rt&gt;&lt;/ruby&gt;""
)&amp;""&lt;br&gt;&lt;div class=""""audio""""&gt;[sound:""&amp;C2276&amp;"".mp3]&lt;/div&gt;"""),"&lt;ruby&gt;頻繁&lt;rt&gt;ひんぱん&lt;/rt&gt;&lt;/ruby&gt;&lt;br&gt;&lt;div class=""audio""&gt;[sound:ひんぱん.mp3]&lt;/div&gt;")</f>
        <v>&lt;ruby&gt;頻繁&lt;rt&gt;ひんぱん&lt;/rt&gt;&lt;/ruby&gt;&lt;br&gt;&lt;div class="audio"&gt;[sound:ひんぱん.mp3]&lt;/div&gt;</v>
      </c>
      <c r="H2276" s="3" t="str">
        <f t="shared" si="1"/>
        <v>(adj): thường xuyên</v>
      </c>
      <c r="I2276" s="6" t="s">
        <v>12381</v>
      </c>
      <c r="J2276" s="6" t="s">
        <v>12382</v>
      </c>
      <c r="K2276" s="7">
        <f t="shared" si="2"/>
        <v>0.7492666097</v>
      </c>
    </row>
    <row r="2277">
      <c r="A2277" s="4">
        <v>2277.0</v>
      </c>
      <c r="B2277" s="5" t="s">
        <v>12383</v>
      </c>
      <c r="C2277" s="5" t="s">
        <v>12383</v>
      </c>
      <c r="D2277" s="5" t="s">
        <v>12383</v>
      </c>
      <c r="E2277" s="6" t="s">
        <v>85</v>
      </c>
      <c r="F2277" s="6" t="s">
        <v>12384</v>
      </c>
      <c r="G2277" s="3" t="str">
        <f>IFERROR(__xludf.DUMMYFUNCTION("REGEXREPLACE(
D2277,
""([一-龯々]+)\[([^\]]+)\]"",
""&lt;ruby&gt;$1&lt;rt&gt;$2&lt;/rt&gt;&lt;/ruby&gt;""
)&amp;""&lt;br&gt;&lt;div class=""""audio""""&gt;[sound:""&amp;C2277&amp;"".mp3]&lt;/div&gt;"""),"いかにも&lt;br&gt;&lt;div class=""audio""&gt;[sound:いかにも.mp3]&lt;/div&gt;")</f>
        <v>いかにも&lt;br&gt;&lt;div class="audio"&gt;[sound:いかにも.mp3]&lt;/div&gt;</v>
      </c>
      <c r="H2277" s="3" t="str">
        <f t="shared" si="1"/>
        <v>(adv): quả thật là</v>
      </c>
      <c r="I2277" s="6" t="s">
        <v>12385</v>
      </c>
      <c r="J2277" s="6" t="s">
        <v>12386</v>
      </c>
      <c r="K2277" s="7">
        <f t="shared" si="2"/>
        <v>0.2813622189</v>
      </c>
    </row>
    <row r="2278">
      <c r="A2278" s="4">
        <v>2278.0</v>
      </c>
      <c r="B2278" s="5" t="s">
        <v>12387</v>
      </c>
      <c r="C2278" s="5" t="s">
        <v>12387</v>
      </c>
      <c r="D2278" s="5" t="s">
        <v>12387</v>
      </c>
      <c r="E2278" s="6" t="s">
        <v>85</v>
      </c>
      <c r="F2278" s="6" t="s">
        <v>12388</v>
      </c>
      <c r="G2278" s="3" t="str">
        <f>IFERROR(__xludf.DUMMYFUNCTION("REGEXREPLACE(
D2278,
""([一-龯々]+)\[([^\]]+)\]"",
""&lt;ruby&gt;$1&lt;rt&gt;$2&lt;/rt&gt;&lt;/ruby&gt;""
)&amp;""&lt;br&gt;&lt;div class=""""audio""""&gt;[sound:""&amp;C2278&amp;"".mp3]&lt;/div&gt;"""),"さっと&lt;br&gt;&lt;div class=""audio""&gt;[sound:さっと.mp3]&lt;/div&gt;")</f>
        <v>さっと&lt;br&gt;&lt;div class="audio"&gt;[sound:さっと.mp3]&lt;/div&gt;</v>
      </c>
      <c r="H2278" s="3" t="str">
        <f t="shared" si="1"/>
        <v>(adv): nhanh chóng</v>
      </c>
      <c r="I2278" s="6" t="s">
        <v>12389</v>
      </c>
      <c r="J2278" s="6" t="s">
        <v>12390</v>
      </c>
      <c r="K2278" s="7">
        <f t="shared" si="2"/>
        <v>0.8246510918</v>
      </c>
    </row>
    <row r="2279">
      <c r="A2279" s="4">
        <v>2279.0</v>
      </c>
      <c r="B2279" s="5" t="s">
        <v>12391</v>
      </c>
      <c r="C2279" s="5" t="s">
        <v>12392</v>
      </c>
      <c r="D2279" s="5" t="s">
        <v>12393</v>
      </c>
      <c r="E2279" s="6" t="s">
        <v>74</v>
      </c>
      <c r="F2279" s="6" t="s">
        <v>12394</v>
      </c>
      <c r="G2279" s="3" t="str">
        <f>IFERROR(__xludf.DUMMYFUNCTION("REGEXREPLACE(
D2279,
""([一-龯々]+)\[([^\]]+)\]"",
""&lt;ruby&gt;$1&lt;rt&gt;$2&lt;/rt&gt;&lt;/ruby&gt;""
)&amp;""&lt;br&gt;&lt;div class=""""audio""""&gt;[sound:""&amp;C2279&amp;"".mp3]&lt;/div&gt;"""),"&lt;ruby&gt;保管&lt;rt&gt;ほかん&lt;/rt&gt;&lt;/ruby&gt;&lt;br&gt;&lt;div class=""audio""&gt;[sound:ほかん.mp3]&lt;/div&gt;")</f>
        <v>&lt;ruby&gt;保管&lt;rt&gt;ほかん&lt;/rt&gt;&lt;/ruby&gt;&lt;br&gt;&lt;div class="audio"&gt;[sound:ほかん.mp3]&lt;/div&gt;</v>
      </c>
      <c r="H2279" s="3" t="str">
        <f t="shared" si="1"/>
        <v>(n): sự bảo quản</v>
      </c>
      <c r="I2279" s="6" t="s">
        <v>12395</v>
      </c>
      <c r="J2279" s="6" t="s">
        <v>12396</v>
      </c>
      <c r="K2279" s="7">
        <f t="shared" si="2"/>
        <v>0.2037138859</v>
      </c>
    </row>
    <row r="2280">
      <c r="A2280" s="4">
        <v>2280.0</v>
      </c>
      <c r="B2280" s="5" t="s">
        <v>12397</v>
      </c>
      <c r="C2280" s="5" t="s">
        <v>12398</v>
      </c>
      <c r="D2280" s="5" t="s">
        <v>12399</v>
      </c>
      <c r="E2280" s="6" t="s">
        <v>74</v>
      </c>
      <c r="F2280" s="6" t="s">
        <v>12400</v>
      </c>
      <c r="G2280" s="3" t="str">
        <f>IFERROR(__xludf.DUMMYFUNCTION("REGEXREPLACE(
D2280,
""([一-龯々]+)\[([^\]]+)\]"",
""&lt;ruby&gt;$1&lt;rt&gt;$2&lt;/rt&gt;&lt;/ruby&gt;""
)&amp;""&lt;br&gt;&lt;div class=""""audio""""&gt;[sound:""&amp;C2280&amp;"".mp3]&lt;/div&gt;"""),"&lt;ruby&gt;共感&lt;rt&gt;きょうかん&lt;/rt&gt;&lt;/ruby&gt;&lt;br&gt;&lt;div class=""audio""&gt;[sound:きょうかん.mp3]&lt;/div&gt;")</f>
        <v>&lt;ruby&gt;共感&lt;rt&gt;きょうかん&lt;/rt&gt;&lt;/ruby&gt;&lt;br&gt;&lt;div class="audio"&gt;[sound:きょうかん.mp3]&lt;/div&gt;</v>
      </c>
      <c r="H2280" s="3" t="str">
        <f t="shared" si="1"/>
        <v>(n): sự đồng cảm</v>
      </c>
      <c r="I2280" s="6" t="s">
        <v>12401</v>
      </c>
      <c r="J2280" s="6" t="s">
        <v>12402</v>
      </c>
      <c r="K2280" s="7">
        <f t="shared" si="2"/>
        <v>0.2590874105</v>
      </c>
    </row>
    <row r="2281">
      <c r="A2281" s="4">
        <v>2281.0</v>
      </c>
      <c r="B2281" s="5" t="s">
        <v>12403</v>
      </c>
      <c r="C2281" s="5" t="s">
        <v>12404</v>
      </c>
      <c r="D2281" s="5" t="s">
        <v>12405</v>
      </c>
      <c r="E2281" s="6" t="s">
        <v>74</v>
      </c>
      <c r="F2281" s="6" t="s">
        <v>12406</v>
      </c>
      <c r="G2281" s="3" t="str">
        <f>IFERROR(__xludf.DUMMYFUNCTION("REGEXREPLACE(
D2281,
""([一-龯々]+)\[([^\]]+)\]"",
""&lt;ruby&gt;$1&lt;rt&gt;$2&lt;/rt&gt;&lt;/ruby&gt;""
)&amp;""&lt;br&gt;&lt;div class=""""audio""""&gt;[sound:""&amp;C2281&amp;"".mp3]&lt;/div&gt;"""),"&lt;ruby&gt;再発&lt;rt&gt;さいはつ&lt;/rt&gt;&lt;/ruby&gt;&lt;br&gt;&lt;div class=""audio""&gt;[sound:さいはつ.mp3]&lt;/div&gt;")</f>
        <v>&lt;ruby&gt;再発&lt;rt&gt;さいはつ&lt;/rt&gt;&lt;/ruby&gt;&lt;br&gt;&lt;div class="audio"&gt;[sound:さいはつ.mp3]&lt;/div&gt;</v>
      </c>
      <c r="H2281" s="3" t="str">
        <f t="shared" si="1"/>
        <v>(n): sự tái phát</v>
      </c>
      <c r="I2281" s="6" t="s">
        <v>12407</v>
      </c>
      <c r="J2281" s="6" t="s">
        <v>12408</v>
      </c>
      <c r="K2281" s="7">
        <f t="shared" si="2"/>
        <v>0.8810871886</v>
      </c>
    </row>
    <row r="2282">
      <c r="A2282" s="4">
        <v>2282.0</v>
      </c>
      <c r="B2282" s="5" t="s">
        <v>12409</v>
      </c>
      <c r="C2282" s="5" t="s">
        <v>12410</v>
      </c>
      <c r="D2282" s="5" t="s">
        <v>12411</v>
      </c>
      <c r="E2282" s="6" t="s">
        <v>74</v>
      </c>
      <c r="F2282" s="6" t="s">
        <v>12412</v>
      </c>
      <c r="G2282" s="3" t="str">
        <f>IFERROR(__xludf.DUMMYFUNCTION("REGEXREPLACE(
D2282,
""([一-龯々]+)\[([^\]]+)\]"",
""&lt;ruby&gt;$1&lt;rt&gt;$2&lt;/rt&gt;&lt;/ruby&gt;""
)&amp;""&lt;br&gt;&lt;div class=""""audio""""&gt;[sound:""&amp;C2282&amp;"".mp3]&lt;/div&gt;"""),"&lt;ruby&gt;冷蔵&lt;rt&gt;れいぞう&lt;/rt&gt;&lt;/ruby&gt;&lt;br&gt;&lt;div class=""audio""&gt;[sound:れいぞう.mp3]&lt;/div&gt;")</f>
        <v>&lt;ruby&gt;冷蔵&lt;rt&gt;れいぞう&lt;/rt&gt;&lt;/ruby&gt;&lt;br&gt;&lt;div class="audio"&gt;[sound:れいぞう.mp3]&lt;/div&gt;</v>
      </c>
      <c r="H2282" s="3" t="str">
        <f t="shared" si="1"/>
        <v>(n): sự làm lạnh</v>
      </c>
      <c r="I2282" s="6" t="s">
        <v>12413</v>
      </c>
      <c r="J2282" s="6" t="s">
        <v>12414</v>
      </c>
      <c r="K2282" s="7">
        <f t="shared" si="2"/>
        <v>0.01928080646</v>
      </c>
    </row>
    <row r="2283">
      <c r="A2283" s="4">
        <v>2283.0</v>
      </c>
      <c r="B2283" s="5" t="s">
        <v>12415</v>
      </c>
      <c r="C2283" s="5" t="s">
        <v>12416</v>
      </c>
      <c r="D2283" s="5" t="s">
        <v>12417</v>
      </c>
      <c r="E2283" s="6" t="s">
        <v>74</v>
      </c>
      <c r="F2283" s="6" t="s">
        <v>1633</v>
      </c>
      <c r="G2283" s="3" t="str">
        <f>IFERROR(__xludf.DUMMYFUNCTION("REGEXREPLACE(
D2283,
""([一-龯々]+)\[([^\]]+)\]"",
""&lt;ruby&gt;$1&lt;rt&gt;$2&lt;/rt&gt;&lt;/ruby&gt;""
)&amp;""&lt;br&gt;&lt;div class=""""audio""""&gt;[sound:""&amp;C2283&amp;"".mp3]&lt;/div&gt;"""),"&lt;ruby&gt;切替&lt;rt&gt;きりかえ&lt;/rt&gt;&lt;/ruby&gt;&lt;br&gt;&lt;div class=""audio""&gt;[sound:きりかえ.mp3]&lt;/div&gt;")</f>
        <v>&lt;ruby&gt;切替&lt;rt&gt;きりかえ&lt;/rt&gt;&lt;/ruby&gt;&lt;br&gt;&lt;div class="audio"&gt;[sound:きりかえ.mp3]&lt;/div&gt;</v>
      </c>
      <c r="H2283" s="3" t="str">
        <f t="shared" si="1"/>
        <v>(n): sự thay đổi</v>
      </c>
      <c r="I2283" s="6" t="s">
        <v>12418</v>
      </c>
      <c r="J2283" s="6" t="s">
        <v>12419</v>
      </c>
      <c r="K2283" s="7">
        <f t="shared" si="2"/>
        <v>0.4841152433</v>
      </c>
    </row>
    <row r="2284">
      <c r="A2284" s="4">
        <v>2284.0</v>
      </c>
      <c r="B2284" s="5" t="s">
        <v>12420</v>
      </c>
      <c r="C2284" s="5" t="s">
        <v>12421</v>
      </c>
      <c r="D2284" s="5" t="s">
        <v>12422</v>
      </c>
      <c r="E2284" s="6" t="s">
        <v>74</v>
      </c>
      <c r="F2284" s="6" t="s">
        <v>12423</v>
      </c>
      <c r="G2284" s="3" t="str">
        <f>IFERROR(__xludf.DUMMYFUNCTION("REGEXREPLACE(
D2284,
""([一-龯々]+)\[([^\]]+)\]"",
""&lt;ruby&gt;$1&lt;rt&gt;$2&lt;/rt&gt;&lt;/ruby&gt;""
)&amp;""&lt;br&gt;&lt;div class=""""audio""""&gt;[sound:""&amp;C2284&amp;"".mp3]&lt;/div&gt;"""),"&lt;ruby&gt;反発&lt;rt&gt;はんぱつ&lt;/rt&gt;&lt;/ruby&gt;&lt;br&gt;&lt;div class=""audio""&gt;[sound:はんぱつ.mp3]&lt;/div&gt;")</f>
        <v>&lt;ruby&gt;反発&lt;rt&gt;はんぱつ&lt;/rt&gt;&lt;/ruby&gt;&lt;br&gt;&lt;div class="audio"&gt;[sound:はんぱつ.mp3]&lt;/div&gt;</v>
      </c>
      <c r="H2284" s="3" t="str">
        <f t="shared" si="1"/>
        <v>(n): sự phản đối</v>
      </c>
      <c r="I2284" s="6" t="s">
        <v>12424</v>
      </c>
      <c r="J2284" s="6" t="s">
        <v>815</v>
      </c>
      <c r="K2284" s="7">
        <f t="shared" si="2"/>
        <v>0.3152080864</v>
      </c>
    </row>
    <row r="2285">
      <c r="A2285" s="4">
        <v>2285.0</v>
      </c>
      <c r="B2285" s="5" t="s">
        <v>12425</v>
      </c>
      <c r="C2285" s="5" t="s">
        <v>12426</v>
      </c>
      <c r="D2285" s="5" t="s">
        <v>12427</v>
      </c>
      <c r="E2285" s="6" t="s">
        <v>74</v>
      </c>
      <c r="F2285" s="6" t="s">
        <v>12428</v>
      </c>
      <c r="G2285" s="3" t="str">
        <f>IFERROR(__xludf.DUMMYFUNCTION("REGEXREPLACE(
D2285,
""([一-龯々]+)\[([^\]]+)\]"",
""&lt;ruby&gt;$1&lt;rt&gt;$2&lt;/rt&gt;&lt;/ruby&gt;""
)&amp;""&lt;br&gt;&lt;div class=""""audio""""&gt;[sound:""&amp;C2285&amp;"".mp3]&lt;/div&gt;"""),"&lt;ruby&gt;収集&lt;rt&gt;しゅうしゅう&lt;/rt&gt;&lt;/ruby&gt;&lt;br&gt;&lt;div class=""audio""&gt;[sound:しゅうしゅう.mp3]&lt;/div&gt;")</f>
        <v>&lt;ruby&gt;収集&lt;rt&gt;しゅうしゅう&lt;/rt&gt;&lt;/ruby&gt;&lt;br&gt;&lt;div class="audio"&gt;[sound:しゅうしゅう.mp3]&lt;/div&gt;</v>
      </c>
      <c r="H2285" s="3" t="str">
        <f t="shared" si="1"/>
        <v>(n): sự thu thập</v>
      </c>
      <c r="I2285" s="6" t="s">
        <v>12429</v>
      </c>
      <c r="J2285" s="6" t="s">
        <v>1001</v>
      </c>
      <c r="K2285" s="7">
        <f t="shared" si="2"/>
        <v>0.04676909198</v>
      </c>
    </row>
    <row r="2286">
      <c r="A2286" s="4">
        <v>2286.0</v>
      </c>
      <c r="B2286" s="5" t="s">
        <v>12430</v>
      </c>
      <c r="C2286" s="5" t="s">
        <v>12431</v>
      </c>
      <c r="D2286" s="5" t="s">
        <v>12432</v>
      </c>
      <c r="E2286" s="6" t="s">
        <v>11</v>
      </c>
      <c r="F2286" s="6" t="s">
        <v>5073</v>
      </c>
      <c r="G2286" s="3" t="str">
        <f>IFERROR(__xludf.DUMMYFUNCTION("REGEXREPLACE(
D2286,
""([一-龯々]+)\[([^\]]+)\]"",
""&lt;ruby&gt;$1&lt;rt&gt;$2&lt;/rt&gt;&lt;/ruby&gt;""
)&amp;""&lt;br&gt;&lt;div class=""""audio""""&gt;[sound:""&amp;C2286&amp;"".mp3]&lt;/div&gt;"""),"&lt;ruby&gt;正常&lt;rt&gt;せいじょう&lt;/rt&gt;&lt;/ruby&gt;&lt;br&gt;&lt;div class=""audio""&gt;[sound:せいじょう.mp3]&lt;/div&gt;")</f>
        <v>&lt;ruby&gt;正常&lt;rt&gt;せいじょう&lt;/rt&gt;&lt;/ruby&gt;&lt;br&gt;&lt;div class="audio"&gt;[sound:せいじょう.mp3]&lt;/div&gt;</v>
      </c>
      <c r="H2286" s="3" t="str">
        <f t="shared" si="1"/>
        <v>(adj): bình thường</v>
      </c>
      <c r="I2286" s="6" t="s">
        <v>12433</v>
      </c>
      <c r="J2286" s="6" t="s">
        <v>12434</v>
      </c>
      <c r="K2286" s="7">
        <f t="shared" si="2"/>
        <v>0.04359400658</v>
      </c>
    </row>
    <row r="2287">
      <c r="A2287" s="4">
        <v>2287.0</v>
      </c>
      <c r="B2287" s="5" t="s">
        <v>12435</v>
      </c>
      <c r="C2287" s="5" t="s">
        <v>12436</v>
      </c>
      <c r="D2287" s="5" t="s">
        <v>12437</v>
      </c>
      <c r="E2287" s="6" t="s">
        <v>74</v>
      </c>
      <c r="F2287" s="6" t="s">
        <v>12438</v>
      </c>
      <c r="G2287" s="3" t="str">
        <f>IFERROR(__xludf.DUMMYFUNCTION("REGEXREPLACE(
D2287,
""([一-龯々]+)\[([^\]]+)\]"",
""&lt;ruby&gt;$1&lt;rt&gt;$2&lt;/rt&gt;&lt;/ruby&gt;""
)&amp;""&lt;br&gt;&lt;div class=""""audio""""&gt;[sound:""&amp;C2287&amp;"".mp3]&lt;/div&gt;"""),"&lt;ruby&gt;正義&lt;rt&gt;せいぎ&lt;/rt&gt;&lt;/ruby&gt;&lt;br&gt;&lt;div class=""audio""&gt;[sound:せいぎ.mp3]&lt;/div&gt;")</f>
        <v>&lt;ruby&gt;正義&lt;rt&gt;せいぎ&lt;/rt&gt;&lt;/ruby&gt;&lt;br&gt;&lt;div class="audio"&gt;[sound:せいぎ.mp3]&lt;/div&gt;</v>
      </c>
      <c r="H2287" s="3" t="str">
        <f t="shared" si="1"/>
        <v>(n): chính nghĩa</v>
      </c>
      <c r="I2287" s="6" t="s">
        <v>12439</v>
      </c>
      <c r="J2287" s="6" t="s">
        <v>12440</v>
      </c>
      <c r="K2287" s="7">
        <f t="shared" si="2"/>
        <v>0.5794033866</v>
      </c>
    </row>
    <row r="2288">
      <c r="A2288" s="4">
        <v>2288.0</v>
      </c>
      <c r="B2288" s="5" t="s">
        <v>12441</v>
      </c>
      <c r="C2288" s="5" t="s">
        <v>12442</v>
      </c>
      <c r="D2288" s="5" t="s">
        <v>12443</v>
      </c>
      <c r="E2288" s="6" t="s">
        <v>74</v>
      </c>
      <c r="F2288" s="6" t="s">
        <v>12444</v>
      </c>
      <c r="G2288" s="3" t="str">
        <f>IFERROR(__xludf.DUMMYFUNCTION("REGEXREPLACE(
D2288,
""([一-龯々]+)\[([^\]]+)\]"",
""&lt;ruby&gt;$1&lt;rt&gt;$2&lt;/rt&gt;&lt;/ruby&gt;""
)&amp;""&lt;br&gt;&lt;div class=""""audio""""&gt;[sound:""&amp;C2288&amp;"".mp3]&lt;/div&gt;"""),"&lt;ruby&gt;確定&lt;rt&gt;かくてい&lt;/rt&gt;&lt;/ruby&gt;&lt;br&gt;&lt;div class=""audio""&gt;[sound:かくてい.mp3]&lt;/div&gt;")</f>
        <v>&lt;ruby&gt;確定&lt;rt&gt;かくてい&lt;/rt&gt;&lt;/ruby&gt;&lt;br&gt;&lt;div class="audio"&gt;[sound:かくてい.mp3]&lt;/div&gt;</v>
      </c>
      <c r="H2288" s="3" t="str">
        <f t="shared" si="1"/>
        <v>(n): sự xác định</v>
      </c>
      <c r="I2288" s="6" t="s">
        <v>12445</v>
      </c>
      <c r="J2288" s="6" t="s">
        <v>12446</v>
      </c>
      <c r="K2288" s="7">
        <f t="shared" si="2"/>
        <v>0.1002315885</v>
      </c>
    </row>
    <row r="2289">
      <c r="A2289" s="4">
        <v>2289.0</v>
      </c>
      <c r="B2289" s="5" t="s">
        <v>12447</v>
      </c>
      <c r="C2289" s="5" t="s">
        <v>12448</v>
      </c>
      <c r="D2289" s="5" t="s">
        <v>12449</v>
      </c>
      <c r="E2289" s="6" t="s">
        <v>74</v>
      </c>
      <c r="F2289" s="6" t="s">
        <v>12450</v>
      </c>
      <c r="G2289" s="3" t="str">
        <f>IFERROR(__xludf.DUMMYFUNCTION("REGEXREPLACE(
D2289,
""([一-龯々]+)\[([^\]]+)\]"",
""&lt;ruby&gt;$1&lt;rt&gt;$2&lt;/rt&gt;&lt;/ruby&gt;""
)&amp;""&lt;br&gt;&lt;div class=""""audio""""&gt;[sound:""&amp;C2289&amp;"".mp3]&lt;/div&gt;"""),"&lt;ruby&gt;素材&lt;rt&gt;そざい&lt;/rt&gt;&lt;/ruby&gt;&lt;br&gt;&lt;div class=""audio""&gt;[sound:そざい.mp3]&lt;/div&gt;")</f>
        <v>&lt;ruby&gt;素材&lt;rt&gt;そざい&lt;/rt&gt;&lt;/ruby&gt;&lt;br&gt;&lt;div class="audio"&gt;[sound:そざい.mp3]&lt;/div&gt;</v>
      </c>
      <c r="H2289" s="3" t="str">
        <f t="shared" si="1"/>
        <v>(n): nguyên liệu</v>
      </c>
      <c r="I2289" s="6" t="s">
        <v>12451</v>
      </c>
      <c r="J2289" s="6" t="s">
        <v>12452</v>
      </c>
      <c r="K2289" s="7">
        <f t="shared" si="2"/>
        <v>0.1188263832</v>
      </c>
    </row>
    <row r="2290">
      <c r="A2290" s="4">
        <v>2290.0</v>
      </c>
      <c r="B2290" s="5" t="s">
        <v>12453</v>
      </c>
      <c r="C2290" s="5" t="s">
        <v>12454</v>
      </c>
      <c r="D2290" s="5" t="s">
        <v>12455</v>
      </c>
      <c r="E2290" s="6" t="s">
        <v>74</v>
      </c>
      <c r="F2290" s="6" t="s">
        <v>12456</v>
      </c>
      <c r="G2290" s="3" t="str">
        <f>IFERROR(__xludf.DUMMYFUNCTION("REGEXREPLACE(
D2290,
""([一-龯々]+)\[([^\]]+)\]"",
""&lt;ruby&gt;$1&lt;rt&gt;$2&lt;/rt&gt;&lt;/ruby&gt;""
)&amp;""&lt;br&gt;&lt;div class=""""audio""""&gt;[sound:""&amp;C2290&amp;"".mp3]&lt;/div&gt;"""),"&lt;ruby&gt;訂正&lt;rt&gt;ていせい&lt;/rt&gt;&lt;/ruby&gt;&lt;br&gt;&lt;div class=""audio""&gt;[sound:ていせい.mp3]&lt;/div&gt;")</f>
        <v>&lt;ruby&gt;訂正&lt;rt&gt;ていせい&lt;/rt&gt;&lt;/ruby&gt;&lt;br&gt;&lt;div class="audio"&gt;[sound:ていせい.mp3]&lt;/div&gt;</v>
      </c>
      <c r="H2290" s="3" t="str">
        <f t="shared" si="1"/>
        <v>(n): sự sửa chữa</v>
      </c>
      <c r="I2290" s="6" t="s">
        <v>12457</v>
      </c>
      <c r="J2290" s="6" t="s">
        <v>12458</v>
      </c>
      <c r="K2290" s="7">
        <f t="shared" si="2"/>
        <v>0.07956829365</v>
      </c>
    </row>
    <row r="2291">
      <c r="A2291" s="4">
        <v>2291.0</v>
      </c>
      <c r="B2291" s="5" t="s">
        <v>12459</v>
      </c>
      <c r="C2291" s="5" t="s">
        <v>12460</v>
      </c>
      <c r="D2291" s="5" t="s">
        <v>12461</v>
      </c>
      <c r="E2291" s="6" t="s">
        <v>74</v>
      </c>
      <c r="F2291" s="6" t="s">
        <v>12462</v>
      </c>
      <c r="G2291" s="3" t="str">
        <f>IFERROR(__xludf.DUMMYFUNCTION("REGEXREPLACE(
D2291,
""([一-龯々]+)\[([^\]]+)\]"",
""&lt;ruby&gt;$1&lt;rt&gt;$2&lt;/rt&gt;&lt;/ruby&gt;""
)&amp;""&lt;br&gt;&lt;div class=""""audio""""&gt;[sound:""&amp;C2291&amp;"".mp3]&lt;/div&gt;"""),"&lt;ruby&gt;軽減&lt;rt&gt;けいげん&lt;/rt&gt;&lt;/ruby&gt;&lt;br&gt;&lt;div class=""audio""&gt;[sound:けいげん.mp3]&lt;/div&gt;")</f>
        <v>&lt;ruby&gt;軽減&lt;rt&gt;けいげん&lt;/rt&gt;&lt;/ruby&gt;&lt;br&gt;&lt;div class="audio"&gt;[sound:けいげん.mp3]&lt;/div&gt;</v>
      </c>
      <c r="H2291" s="3" t="str">
        <f t="shared" si="1"/>
        <v>(n): sự giảm bớt</v>
      </c>
      <c r="I2291" s="6" t="s">
        <v>12463</v>
      </c>
      <c r="J2291" s="6" t="s">
        <v>12464</v>
      </c>
      <c r="K2291" s="7">
        <f t="shared" si="2"/>
        <v>0.8109966163</v>
      </c>
    </row>
    <row r="2292">
      <c r="A2292" s="4">
        <v>2292.0</v>
      </c>
      <c r="B2292" s="5" t="s">
        <v>12465</v>
      </c>
      <c r="C2292" s="5" t="s">
        <v>12466</v>
      </c>
      <c r="D2292" s="5" t="s">
        <v>12467</v>
      </c>
      <c r="E2292" s="6" t="s">
        <v>74</v>
      </c>
      <c r="F2292" s="6" t="s">
        <v>12468</v>
      </c>
      <c r="G2292" s="3" t="str">
        <f>IFERROR(__xludf.DUMMYFUNCTION("REGEXREPLACE(
D2292,
""([一-龯々]+)\[([^\]]+)\]"",
""&lt;ruby&gt;$1&lt;rt&gt;$2&lt;/rt&gt;&lt;/ruby&gt;""
)&amp;""&lt;br&gt;&lt;div class=""""audio""""&gt;[sound:""&amp;C2292&amp;"".mp3]&lt;/div&gt;"""),"&lt;ruby&gt;閉鎖&lt;rt&gt;へいさ&lt;/rt&gt;&lt;/ruby&gt;&lt;br&gt;&lt;div class=""audio""&gt;[sound:へいさ.mp3]&lt;/div&gt;")</f>
        <v>&lt;ruby&gt;閉鎖&lt;rt&gt;へいさ&lt;/rt&gt;&lt;/ruby&gt;&lt;br&gt;&lt;div class="audio"&gt;[sound:へいさ.mp3]&lt;/div&gt;</v>
      </c>
      <c r="H2292" s="3" t="str">
        <f t="shared" si="1"/>
        <v>(n): sự đóng cửa</v>
      </c>
      <c r="I2292" s="6" t="s">
        <v>12469</v>
      </c>
      <c r="J2292" s="6" t="s">
        <v>12470</v>
      </c>
      <c r="K2292" s="7">
        <f t="shared" si="2"/>
        <v>0.6441596356</v>
      </c>
    </row>
    <row r="2293">
      <c r="A2293" s="4">
        <v>2293.0</v>
      </c>
      <c r="B2293" s="5" t="s">
        <v>12471</v>
      </c>
      <c r="C2293" s="5" t="s">
        <v>12472</v>
      </c>
      <c r="D2293" s="5" t="s">
        <v>12473</v>
      </c>
      <c r="E2293" s="6" t="s">
        <v>74</v>
      </c>
      <c r="F2293" s="6" t="s">
        <v>12474</v>
      </c>
      <c r="G2293" s="3" t="str">
        <f>IFERROR(__xludf.DUMMYFUNCTION("REGEXREPLACE(
D2293,
""([一-龯々]+)\[([^\]]+)\]"",
""&lt;ruby&gt;$1&lt;rt&gt;$2&lt;/rt&gt;&lt;/ruby&gt;""
)&amp;""&lt;br&gt;&lt;div class=""""audio""""&gt;[sound:""&amp;C2293&amp;"".mp3]&lt;/div&gt;"""),"&lt;ruby&gt;類似&lt;rt&gt;るいじ&lt;/rt&gt;&lt;/ruby&gt;&lt;br&gt;&lt;div class=""audio""&gt;[sound:るいじ.mp3]&lt;/div&gt;")</f>
        <v>&lt;ruby&gt;類似&lt;rt&gt;るいじ&lt;/rt&gt;&lt;/ruby&gt;&lt;br&gt;&lt;div class="audio"&gt;[sound:るいじ.mp3]&lt;/div&gt;</v>
      </c>
      <c r="H2293" s="3" t="str">
        <f t="shared" si="1"/>
        <v>(n): sự tương tự</v>
      </c>
      <c r="I2293" s="6" t="s">
        <v>12475</v>
      </c>
      <c r="J2293" s="6" t="s">
        <v>12476</v>
      </c>
      <c r="K2293" s="7">
        <f t="shared" si="2"/>
        <v>0.6595973206</v>
      </c>
    </row>
    <row r="2294">
      <c r="A2294" s="4">
        <v>2294.0</v>
      </c>
      <c r="B2294" s="5" t="s">
        <v>12477</v>
      </c>
      <c r="C2294" s="5" t="s">
        <v>12478</v>
      </c>
      <c r="D2294" s="5" t="s">
        <v>12477</v>
      </c>
      <c r="E2294" s="6" t="s">
        <v>74</v>
      </c>
      <c r="F2294" s="6" t="s">
        <v>12479</v>
      </c>
      <c r="G2294" s="3" t="str">
        <f>IFERROR(__xludf.DUMMYFUNCTION("REGEXREPLACE(
D2294,
""([一-龯々]+)\[([^\]]+)\]"",
""&lt;ruby&gt;$1&lt;rt&gt;$2&lt;/rt&gt;&lt;/ruby&gt;""
)&amp;""&lt;br&gt;&lt;div class=""""audio""""&gt;[sound:""&amp;C2294&amp;"".mp3]&lt;/div&gt;"""),"レンジ&lt;br&gt;&lt;div class=""audio""&gt;[sound:れんじ.mp3]&lt;/div&gt;")</f>
        <v>レンジ&lt;br&gt;&lt;div class="audio"&gt;[sound:れんじ.mp3]&lt;/div&gt;</v>
      </c>
      <c r="H2294" s="3" t="str">
        <f t="shared" si="1"/>
        <v>(n): lò vi sóng</v>
      </c>
      <c r="I2294" s="6" t="s">
        <v>12480</v>
      </c>
      <c r="J2294" s="6" t="s">
        <v>12481</v>
      </c>
      <c r="K2294" s="7">
        <f t="shared" si="2"/>
        <v>0.6765064326</v>
      </c>
    </row>
    <row r="2295">
      <c r="A2295" s="4">
        <v>2295.0</v>
      </c>
      <c r="B2295" s="5" t="s">
        <v>12482</v>
      </c>
      <c r="C2295" s="5" t="s">
        <v>12483</v>
      </c>
      <c r="D2295" s="5" t="s">
        <v>12484</v>
      </c>
      <c r="E2295" s="6" t="s">
        <v>74</v>
      </c>
      <c r="F2295" s="6" t="s">
        <v>12485</v>
      </c>
      <c r="G2295" s="3" t="str">
        <f>IFERROR(__xludf.DUMMYFUNCTION("REGEXREPLACE(
D2295,
""([一-龯々]+)\[([^\]]+)\]"",
""&lt;ruby&gt;$1&lt;rt&gt;$2&lt;/rt&gt;&lt;/ruby&gt;""
)&amp;""&lt;br&gt;&lt;div class=""""audio""""&gt;[sound:""&amp;C2295&amp;"".mp3]&lt;/div&gt;"""),"&lt;ruby&gt;事項&lt;rt&gt;じこう&lt;/rt&gt;&lt;/ruby&gt;&lt;br&gt;&lt;div class=""audio""&gt;[sound:じこう.mp3]&lt;/div&gt;")</f>
        <v>&lt;ruby&gt;事項&lt;rt&gt;じこう&lt;/rt&gt;&lt;/ruby&gt;&lt;br&gt;&lt;div class="audio"&gt;[sound:じこう.mp3]&lt;/div&gt;</v>
      </c>
      <c r="H2295" s="3" t="str">
        <f t="shared" si="1"/>
        <v>(n): điều khoản</v>
      </c>
      <c r="I2295" s="6" t="s">
        <v>12486</v>
      </c>
      <c r="J2295" s="6" t="s">
        <v>12487</v>
      </c>
      <c r="K2295" s="7">
        <f t="shared" si="2"/>
        <v>0.2947966427</v>
      </c>
    </row>
    <row r="2296">
      <c r="A2296" s="4">
        <v>2296.0</v>
      </c>
      <c r="B2296" s="5" t="s">
        <v>12488</v>
      </c>
      <c r="C2296" s="5" t="s">
        <v>12489</v>
      </c>
      <c r="D2296" s="5" t="s">
        <v>12490</v>
      </c>
      <c r="E2296" s="6" t="s">
        <v>24</v>
      </c>
      <c r="F2296" s="6" t="s">
        <v>12491</v>
      </c>
      <c r="G2296" s="3" t="str">
        <f>IFERROR(__xludf.DUMMYFUNCTION("REGEXREPLACE(
D2296,
""([一-龯々]+)\[([^\]]+)\]"",
""&lt;ruby&gt;$1&lt;rt&gt;$2&lt;/rt&gt;&lt;/ruby&gt;""
)&amp;""&lt;br&gt;&lt;div class=""""audio""""&gt;[sound:""&amp;C2296&amp;"".mp3]&lt;/div&gt;"""),"&lt;ruby&gt;免&lt;rt&gt;まぬが&lt;/rt&gt;&lt;/ruby&gt;れる&lt;br&gt;&lt;div class=""audio""&gt;[sound:まぬがれる.mp3]&lt;/div&gt;")</f>
        <v>&lt;ruby&gt;免&lt;rt&gt;まぬが&lt;/rt&gt;&lt;/ruby&gt;れる&lt;br&gt;&lt;div class="audio"&gt;[sound:まぬがれる.mp3]&lt;/div&gt;</v>
      </c>
      <c r="H2296" s="3" t="str">
        <f t="shared" si="1"/>
        <v>(v): tránh khỏi</v>
      </c>
      <c r="I2296" s="6" t="s">
        <v>12492</v>
      </c>
      <c r="J2296" s="6" t="s">
        <v>12493</v>
      </c>
      <c r="K2296" s="7">
        <f t="shared" si="2"/>
        <v>0.9450723893</v>
      </c>
    </row>
    <row r="2297">
      <c r="A2297" s="4">
        <v>2297.0</v>
      </c>
      <c r="B2297" s="5" t="s">
        <v>12494</v>
      </c>
      <c r="C2297" s="5" t="s">
        <v>12495</v>
      </c>
      <c r="D2297" s="5" t="s">
        <v>12496</v>
      </c>
      <c r="E2297" s="6" t="s">
        <v>74</v>
      </c>
      <c r="F2297" s="6" t="s">
        <v>12497</v>
      </c>
      <c r="G2297" s="3" t="str">
        <f>IFERROR(__xludf.DUMMYFUNCTION("REGEXREPLACE(
D2297,
""([一-龯々]+)\[([^\]]+)\]"",
""&lt;ruby&gt;$1&lt;rt&gt;$2&lt;/rt&gt;&lt;/ruby&gt;""
)&amp;""&lt;br&gt;&lt;div class=""""audio""""&gt;[sound:""&amp;C2297&amp;"".mp3]&lt;/div&gt;"""),"&lt;ruby&gt;再会&lt;rt&gt;さいかい&lt;/rt&gt;&lt;/ruby&gt;&lt;br&gt;&lt;div class=""audio""&gt;[sound:さいかい.mp3]&lt;/div&gt;")</f>
        <v>&lt;ruby&gt;再会&lt;rt&gt;さいかい&lt;/rt&gt;&lt;/ruby&gt;&lt;br&gt;&lt;div class="audio"&gt;[sound:さいかい.mp3]&lt;/div&gt;</v>
      </c>
      <c r="H2297" s="3" t="str">
        <f t="shared" si="1"/>
        <v>(n): sự tái ngộ</v>
      </c>
      <c r="I2297" s="6" t="s">
        <v>12498</v>
      </c>
      <c r="J2297" s="6" t="s">
        <v>12499</v>
      </c>
      <c r="K2297" s="7">
        <f t="shared" si="2"/>
        <v>0.5024160955</v>
      </c>
    </row>
    <row r="2298">
      <c r="A2298" s="4">
        <v>2298.0</v>
      </c>
      <c r="B2298" s="5" t="s">
        <v>12500</v>
      </c>
      <c r="C2298" s="5" t="s">
        <v>12501</v>
      </c>
      <c r="D2298" s="5" t="s">
        <v>12502</v>
      </c>
      <c r="E2298" s="6" t="s">
        <v>74</v>
      </c>
      <c r="F2298" s="6" t="s">
        <v>12503</v>
      </c>
      <c r="G2298" s="3" t="str">
        <f>IFERROR(__xludf.DUMMYFUNCTION("REGEXREPLACE(
D2298,
""([一-龯々]+)\[([^\]]+)\]"",
""&lt;ruby&gt;$1&lt;rt&gt;$2&lt;/rt&gt;&lt;/ruby&gt;""
)&amp;""&lt;br&gt;&lt;div class=""""audio""""&gt;[sound:""&amp;C2298&amp;"".mp3]&lt;/div&gt;"""),"&lt;ruby&gt;分離&lt;rt&gt;ぶんり&lt;/rt&gt;&lt;/ruby&gt;&lt;br&gt;&lt;div class=""audio""&gt;[sound:ぶんり.mp3]&lt;/div&gt;")</f>
        <v>&lt;ruby&gt;分離&lt;rt&gt;ぶんり&lt;/rt&gt;&lt;/ruby&gt;&lt;br&gt;&lt;div class="audio"&gt;[sound:ぶんり.mp3]&lt;/div&gt;</v>
      </c>
      <c r="H2298" s="3" t="str">
        <f t="shared" si="1"/>
        <v>(n): sự phân ly</v>
      </c>
      <c r="I2298" s="6" t="s">
        <v>12504</v>
      </c>
      <c r="J2298" s="6" t="s">
        <v>12505</v>
      </c>
      <c r="K2298" s="7">
        <f t="shared" si="2"/>
        <v>0.4766874732</v>
      </c>
    </row>
    <row r="2299">
      <c r="A2299" s="4">
        <v>2299.0</v>
      </c>
      <c r="B2299" s="5" t="s">
        <v>12506</v>
      </c>
      <c r="C2299" s="5" t="s">
        <v>12507</v>
      </c>
      <c r="D2299" s="5" t="s">
        <v>12508</v>
      </c>
      <c r="E2299" s="6" t="s">
        <v>74</v>
      </c>
      <c r="F2299" s="6" t="s">
        <v>12509</v>
      </c>
      <c r="G2299" s="3" t="str">
        <f>IFERROR(__xludf.DUMMYFUNCTION("REGEXREPLACE(
D2299,
""([一-龯々]+)\[([^\]]+)\]"",
""&lt;ruby&gt;$1&lt;rt&gt;$2&lt;/rt&gt;&lt;/ruby&gt;""
)&amp;""&lt;br&gt;&lt;div class=""""audio""""&gt;[sound:""&amp;C2299&amp;"".mp3]&lt;/div&gt;"""),"&lt;ruby&gt;到達&lt;rt&gt;とうたつ&lt;/rt&gt;&lt;/ruby&gt;&lt;br&gt;&lt;div class=""audio""&gt;[sound:とうたつ.mp3]&lt;/div&gt;")</f>
        <v>&lt;ruby&gt;到達&lt;rt&gt;とうたつ&lt;/rt&gt;&lt;/ruby&gt;&lt;br&gt;&lt;div class="audio"&gt;[sound:とうたつ.mp3]&lt;/div&gt;</v>
      </c>
      <c r="H2299" s="3" t="str">
        <f t="shared" si="1"/>
        <v>(n): sự đạt đến</v>
      </c>
      <c r="I2299" s="6" t="s">
        <v>12510</v>
      </c>
      <c r="J2299" s="6" t="s">
        <v>12511</v>
      </c>
      <c r="K2299" s="7">
        <f t="shared" si="2"/>
        <v>0.2390693227</v>
      </c>
    </row>
    <row r="2300">
      <c r="A2300" s="4">
        <v>2300.0</v>
      </c>
      <c r="B2300" s="5" t="s">
        <v>12512</v>
      </c>
      <c r="C2300" s="5" t="s">
        <v>12513</v>
      </c>
      <c r="D2300" s="5" t="s">
        <v>12514</v>
      </c>
      <c r="E2300" s="6" t="s">
        <v>74</v>
      </c>
      <c r="F2300" s="6" t="s">
        <v>12515</v>
      </c>
      <c r="G2300" s="3" t="str">
        <f>IFERROR(__xludf.DUMMYFUNCTION("REGEXREPLACE(
D2300,
""([一-龯々]+)\[([^\]]+)\]"",
""&lt;ruby&gt;$1&lt;rt&gt;$2&lt;/rt&gt;&lt;/ruby&gt;""
)&amp;""&lt;br&gt;&lt;div class=""""audio""""&gt;[sound:""&amp;C2300&amp;"".mp3]&lt;/div&gt;"""),"&lt;ruby&gt;制約&lt;rt&gt;せいやく&lt;/rt&gt;&lt;/ruby&gt;&lt;br&gt;&lt;div class=""audio""&gt;[sound:せいやく.mp3]&lt;/div&gt;")</f>
        <v>&lt;ruby&gt;制約&lt;rt&gt;せいやく&lt;/rt&gt;&lt;/ruby&gt;&lt;br&gt;&lt;div class="audio"&gt;[sound:せいやく.mp3]&lt;/div&gt;</v>
      </c>
      <c r="H2300" s="3" t="str">
        <f t="shared" si="1"/>
        <v>(n): sự hạn chế</v>
      </c>
      <c r="I2300" s="6" t="s">
        <v>12516</v>
      </c>
      <c r="J2300" s="6" t="s">
        <v>12517</v>
      </c>
      <c r="K2300" s="7">
        <f t="shared" si="2"/>
        <v>0.75895674</v>
      </c>
    </row>
    <row r="2301">
      <c r="A2301" s="4">
        <v>2301.0</v>
      </c>
      <c r="B2301" s="5" t="s">
        <v>12518</v>
      </c>
      <c r="C2301" s="5" t="s">
        <v>12519</v>
      </c>
      <c r="D2301" s="5" t="s">
        <v>12520</v>
      </c>
      <c r="E2301" s="6" t="s">
        <v>74</v>
      </c>
      <c r="F2301" s="6" t="s">
        <v>12521</v>
      </c>
      <c r="G2301" s="3" t="str">
        <f>IFERROR(__xludf.DUMMYFUNCTION("REGEXREPLACE(
D2301,
""([一-龯々]+)\[([^\]]+)\]"",
""&lt;ruby&gt;$1&lt;rt&gt;$2&lt;/rt&gt;&lt;/ruby&gt;""
)&amp;""&lt;br&gt;&lt;div class=""""audio""""&gt;[sound:""&amp;C2301&amp;"".mp3]&lt;/div&gt;"""),"&lt;ruby&gt;実態&lt;rt&gt;じったい&lt;/rt&gt;&lt;/ruby&gt;&lt;br&gt;&lt;div class=""audio""&gt;[sound:じったい.mp3]&lt;/div&gt;")</f>
        <v>&lt;ruby&gt;実態&lt;rt&gt;じったい&lt;/rt&gt;&lt;/ruby&gt;&lt;br&gt;&lt;div class="audio"&gt;[sound:じったい.mp3]&lt;/div&gt;</v>
      </c>
      <c r="H2301" s="3" t="str">
        <f t="shared" si="1"/>
        <v>(n): thực trạng</v>
      </c>
      <c r="I2301" s="6" t="s">
        <v>12522</v>
      </c>
      <c r="J2301" s="6" t="s">
        <v>12523</v>
      </c>
      <c r="K2301" s="7">
        <f t="shared" si="2"/>
        <v>0.08129543125</v>
      </c>
    </row>
    <row r="2302">
      <c r="A2302" s="4">
        <v>2302.0</v>
      </c>
      <c r="B2302" s="5" t="s">
        <v>12524</v>
      </c>
      <c r="C2302" s="5" t="s">
        <v>12525</v>
      </c>
      <c r="D2302" s="5" t="s">
        <v>12526</v>
      </c>
      <c r="E2302" s="6" t="s">
        <v>74</v>
      </c>
      <c r="F2302" s="6" t="s">
        <v>12527</v>
      </c>
      <c r="G2302" s="3" t="str">
        <f>IFERROR(__xludf.DUMMYFUNCTION("REGEXREPLACE(
D2302,
""([一-龯々]+)\[([^\]]+)\]"",
""&lt;ruby&gt;$1&lt;rt&gt;$2&lt;/rt&gt;&lt;/ruby&gt;""
)&amp;""&lt;br&gt;&lt;div class=""""audio""""&gt;[sound:""&amp;C2302&amp;"".mp3]&lt;/div&gt;"""),"&lt;ruby&gt;権限&lt;rt&gt;けんげん&lt;/rt&gt;&lt;/ruby&gt;&lt;br&gt;&lt;div class=""audio""&gt;[sound:けんげん.mp3]&lt;/div&gt;")</f>
        <v>&lt;ruby&gt;権限&lt;rt&gt;けんげん&lt;/rt&gt;&lt;/ruby&gt;&lt;br&gt;&lt;div class="audio"&gt;[sound:けんげん.mp3]&lt;/div&gt;</v>
      </c>
      <c r="H2302" s="3" t="str">
        <f t="shared" si="1"/>
        <v>(n): thẩm quyền</v>
      </c>
      <c r="I2302" s="6" t="s">
        <v>12528</v>
      </c>
      <c r="J2302" s="6" t="s">
        <v>12529</v>
      </c>
      <c r="K2302" s="7">
        <f t="shared" si="2"/>
        <v>0.756727025</v>
      </c>
    </row>
    <row r="2303">
      <c r="A2303" s="4">
        <v>2303.0</v>
      </c>
      <c r="B2303" s="5" t="s">
        <v>12530</v>
      </c>
      <c r="C2303" s="5" t="s">
        <v>12531</v>
      </c>
      <c r="D2303" s="5" t="s">
        <v>12532</v>
      </c>
      <c r="E2303" s="6" t="s">
        <v>74</v>
      </c>
      <c r="F2303" s="6" t="s">
        <v>12533</v>
      </c>
      <c r="G2303" s="3" t="str">
        <f>IFERROR(__xludf.DUMMYFUNCTION("REGEXREPLACE(
D2303,
""([一-龯々]+)\[([^\]]+)\]"",
""&lt;ruby&gt;$1&lt;rt&gt;$2&lt;/rt&gt;&lt;/ruby&gt;""
)&amp;""&lt;br&gt;&lt;div class=""""audio""""&gt;[sound:""&amp;C2303&amp;"".mp3]&lt;/div&gt;"""),"&lt;ruby&gt;決断&lt;rt&gt;けつだん&lt;/rt&gt;&lt;/ruby&gt;&lt;br&gt;&lt;div class=""audio""&gt;[sound:けつだん.mp3]&lt;/div&gt;")</f>
        <v>&lt;ruby&gt;決断&lt;rt&gt;けつだん&lt;/rt&gt;&lt;/ruby&gt;&lt;br&gt;&lt;div class="audio"&gt;[sound:けつだん.mp3]&lt;/div&gt;</v>
      </c>
      <c r="H2303" s="3" t="str">
        <f t="shared" si="1"/>
        <v>(n): quyết đoán</v>
      </c>
      <c r="I2303" s="6" t="s">
        <v>12534</v>
      </c>
      <c r="J2303" s="6" t="s">
        <v>12535</v>
      </c>
      <c r="K2303" s="7">
        <f t="shared" si="2"/>
        <v>0.1071144926</v>
      </c>
    </row>
    <row r="2304">
      <c r="A2304" s="4">
        <v>2304.0</v>
      </c>
      <c r="B2304" s="5" t="s">
        <v>12536</v>
      </c>
      <c r="C2304" s="5" t="s">
        <v>12537</v>
      </c>
      <c r="D2304" s="5" t="s">
        <v>12538</v>
      </c>
      <c r="E2304" s="6" t="s">
        <v>74</v>
      </c>
      <c r="F2304" s="6" t="s">
        <v>12539</v>
      </c>
      <c r="G2304" s="3" t="str">
        <f>IFERROR(__xludf.DUMMYFUNCTION("REGEXREPLACE(
D2304,
""([一-龯々]+)\[([^\]]+)\]"",
""&lt;ruby&gt;$1&lt;rt&gt;$2&lt;/rt&gt;&lt;/ruby&gt;""
)&amp;""&lt;br&gt;&lt;div class=""""audio""""&gt;[sound:""&amp;C2304&amp;"".mp3]&lt;/div&gt;"""),"&lt;ruby&gt;決算&lt;rt&gt;けっさん&lt;/rt&gt;&lt;/ruby&gt;&lt;br&gt;&lt;div class=""audio""&gt;[sound:けっさん.mp3]&lt;/div&gt;")</f>
        <v>&lt;ruby&gt;決算&lt;rt&gt;けっさん&lt;/rt&gt;&lt;/ruby&gt;&lt;br&gt;&lt;div class="audio"&gt;[sound:けっさん.mp3]&lt;/div&gt;</v>
      </c>
      <c r="H2304" s="3" t="str">
        <f t="shared" si="1"/>
        <v>(n): quyết toán</v>
      </c>
      <c r="I2304" s="6" t="s">
        <v>12540</v>
      </c>
      <c r="J2304" s="6" t="s">
        <v>12541</v>
      </c>
      <c r="K2304" s="7">
        <f t="shared" si="2"/>
        <v>0.05224374482</v>
      </c>
    </row>
    <row r="2305">
      <c r="A2305" s="4">
        <v>2305.0</v>
      </c>
      <c r="B2305" s="5" t="s">
        <v>12542</v>
      </c>
      <c r="C2305" s="5" t="s">
        <v>12543</v>
      </c>
      <c r="D2305" s="5" t="s">
        <v>12544</v>
      </c>
      <c r="E2305" s="6" t="s">
        <v>74</v>
      </c>
      <c r="F2305" s="6" t="s">
        <v>12545</v>
      </c>
      <c r="G2305" s="3" t="str">
        <f>IFERROR(__xludf.DUMMYFUNCTION("REGEXREPLACE(
D2305,
""([一-龯々]+)\[([^\]]+)\]"",
""&lt;ruby&gt;$1&lt;rt&gt;$2&lt;/rt&gt;&lt;/ruby&gt;""
)&amp;""&lt;br&gt;&lt;div class=""""audio""""&gt;[sound:""&amp;C2305&amp;"".mp3]&lt;/div&gt;"""),"&lt;ruby&gt;派遣&lt;rt&gt;はけん&lt;/rt&gt;&lt;/ruby&gt;&lt;br&gt;&lt;div class=""audio""&gt;[sound:はけん.mp3]&lt;/div&gt;")</f>
        <v>&lt;ruby&gt;派遣&lt;rt&gt;はけん&lt;/rt&gt;&lt;/ruby&gt;&lt;br&gt;&lt;div class="audio"&gt;[sound:はけん.mp3]&lt;/div&gt;</v>
      </c>
      <c r="H2305" s="3" t="str">
        <f t="shared" si="1"/>
        <v>(n): sự phái cử</v>
      </c>
      <c r="I2305" s="6" t="s">
        <v>12546</v>
      </c>
      <c r="J2305" s="6" t="s">
        <v>12547</v>
      </c>
      <c r="K2305" s="7">
        <f t="shared" si="2"/>
        <v>0.8807233624</v>
      </c>
    </row>
    <row r="2306">
      <c r="A2306" s="4">
        <v>2306.0</v>
      </c>
      <c r="B2306" s="5" t="s">
        <v>12548</v>
      </c>
      <c r="C2306" s="5" t="s">
        <v>12549</v>
      </c>
      <c r="D2306" s="5" t="s">
        <v>12550</v>
      </c>
      <c r="E2306" s="6" t="s">
        <v>74</v>
      </c>
      <c r="F2306" s="6" t="s">
        <v>6796</v>
      </c>
      <c r="G2306" s="3" t="str">
        <f>IFERROR(__xludf.DUMMYFUNCTION("REGEXREPLACE(
D2306,
""([一-龯々]+)\[([^\]]+)\]"",
""&lt;ruby&gt;$1&lt;rt&gt;$2&lt;/rt&gt;&lt;/ruby&gt;""
)&amp;""&lt;br&gt;&lt;div class=""""audio""""&gt;[sound:""&amp;C2306&amp;"".mp3]&lt;/div&gt;"""),"&lt;ruby&gt;申込&lt;rt&gt;もうしこみ&lt;/rt&gt;&lt;/ruby&gt;&lt;br&gt;&lt;div class=""audio""&gt;[sound:もうしこみ.mp3]&lt;/div&gt;")</f>
        <v>&lt;ruby&gt;申込&lt;rt&gt;もうしこみ&lt;/rt&gt;&lt;/ruby&gt;&lt;br&gt;&lt;div class="audio"&gt;[sound:もうしこみ.mp3]&lt;/div&gt;</v>
      </c>
      <c r="H2306" s="3" t="str">
        <f t="shared" si="1"/>
        <v>(n): sự đăng ký</v>
      </c>
      <c r="I2306" s="6" t="s">
        <v>12551</v>
      </c>
      <c r="J2306" s="6" t="s">
        <v>12552</v>
      </c>
      <c r="K2306" s="7">
        <f t="shared" si="2"/>
        <v>0.07361769325</v>
      </c>
    </row>
    <row r="2307">
      <c r="A2307" s="4">
        <v>2307.0</v>
      </c>
      <c r="B2307" s="5" t="s">
        <v>12553</v>
      </c>
      <c r="C2307" s="5" t="s">
        <v>12554</v>
      </c>
      <c r="D2307" s="5" t="s">
        <v>12555</v>
      </c>
      <c r="E2307" s="6" t="s">
        <v>74</v>
      </c>
      <c r="F2307" s="6" t="s">
        <v>12556</v>
      </c>
      <c r="G2307" s="3" t="str">
        <f>IFERROR(__xludf.DUMMYFUNCTION("REGEXREPLACE(
D2307,
""([一-龯々]+)\[([^\]]+)\]"",
""&lt;ruby&gt;$1&lt;rt&gt;$2&lt;/rt&gt;&lt;/ruby&gt;""
)&amp;""&lt;br&gt;&lt;div class=""""audio""""&gt;[sound:""&amp;C2307&amp;"".mp3]&lt;/div&gt;"""),"&lt;ruby&gt;聖書&lt;rt&gt;せいしょ&lt;/rt&gt;&lt;/ruby&gt;&lt;br&gt;&lt;div class=""audio""&gt;[sound:せいしょ.mp3]&lt;/div&gt;")</f>
        <v>&lt;ruby&gt;聖書&lt;rt&gt;せいしょ&lt;/rt&gt;&lt;/ruby&gt;&lt;br&gt;&lt;div class="audio"&gt;[sound:せいしょ.mp3]&lt;/div&gt;</v>
      </c>
      <c r="H2307" s="3" t="str">
        <f t="shared" si="1"/>
        <v>(n): kinh thánh</v>
      </c>
      <c r="I2307" s="6" t="s">
        <v>12557</v>
      </c>
      <c r="J2307" s="6" t="s">
        <v>12558</v>
      </c>
      <c r="K2307" s="7">
        <f t="shared" si="2"/>
        <v>0.7522991901</v>
      </c>
    </row>
    <row r="2308">
      <c r="A2308" s="4">
        <v>2308.0</v>
      </c>
      <c r="B2308" s="5" t="s">
        <v>12559</v>
      </c>
      <c r="C2308" s="5" t="s">
        <v>12560</v>
      </c>
      <c r="D2308" s="5" t="s">
        <v>12561</v>
      </c>
      <c r="E2308" s="6" t="s">
        <v>24</v>
      </c>
      <c r="F2308" s="6" t="s">
        <v>12562</v>
      </c>
      <c r="G2308" s="3" t="str">
        <f>IFERROR(__xludf.DUMMYFUNCTION("REGEXREPLACE(
D2308,
""([一-龯々]+)\[([^\]]+)\]"",
""&lt;ruby&gt;$1&lt;rt&gt;$2&lt;/rt&gt;&lt;/ruby&gt;""
)&amp;""&lt;br&gt;&lt;div class=""""audio""""&gt;[sound:""&amp;C2308&amp;"".mp3]&lt;/div&gt;"""),"&lt;ruby&gt;脱&lt;rt&gt;だっ&lt;/rt&gt;&lt;/ruby&gt;する&lt;br&gt;&lt;div class=""audio""&gt;[sound:だっする.mp3]&lt;/div&gt;")</f>
        <v>&lt;ruby&gt;脱&lt;rt&gt;だっ&lt;/rt&gt;&lt;/ruby&gt;する&lt;br&gt;&lt;div class="audio"&gt;[sound:だっする.mp3]&lt;/div&gt;</v>
      </c>
      <c r="H2308" s="3" t="str">
        <f t="shared" si="1"/>
        <v>(v): thoát khỏi</v>
      </c>
      <c r="I2308" s="6" t="s">
        <v>12563</v>
      </c>
      <c r="J2308" s="6" t="s">
        <v>12564</v>
      </c>
      <c r="K2308" s="7">
        <f t="shared" si="2"/>
        <v>0.8029988809</v>
      </c>
    </row>
    <row r="2309">
      <c r="A2309" s="4">
        <v>2309.0</v>
      </c>
      <c r="B2309" s="5" t="s">
        <v>12565</v>
      </c>
      <c r="C2309" s="5" t="s">
        <v>12566</v>
      </c>
      <c r="D2309" s="5" t="s">
        <v>12567</v>
      </c>
      <c r="E2309" s="6" t="s">
        <v>74</v>
      </c>
      <c r="F2309" s="6" t="s">
        <v>8351</v>
      </c>
      <c r="G2309" s="3" t="str">
        <f>IFERROR(__xludf.DUMMYFUNCTION("REGEXREPLACE(
D2309,
""([一-龯々]+)\[([^\]]+)\]"",
""&lt;ruby&gt;$1&lt;rt&gt;$2&lt;/rt&gt;&lt;/ruby&gt;""
)&amp;""&lt;br&gt;&lt;div class=""""audio""""&gt;[sound:""&amp;C2309&amp;"".mp3]&lt;/div&gt;"""),"&lt;ruby&gt;芸&lt;rt&gt;げい&lt;/rt&gt;&lt;/ruby&gt;&lt;br&gt;&lt;div class=""audio""&gt;[sound:げい.mp3]&lt;/div&gt;")</f>
        <v>&lt;ruby&gt;芸&lt;rt&gt;げい&lt;/rt&gt;&lt;/ruby&gt;&lt;br&gt;&lt;div class="audio"&gt;[sound:げい.mp3]&lt;/div&gt;</v>
      </c>
      <c r="H2309" s="3" t="str">
        <f t="shared" si="1"/>
        <v>(n): nghệ thuật</v>
      </c>
      <c r="I2309" s="6" t="s">
        <v>12568</v>
      </c>
      <c r="J2309" s="6" t="s">
        <v>12569</v>
      </c>
      <c r="K2309" s="7">
        <f t="shared" si="2"/>
        <v>0.04527772743</v>
      </c>
    </row>
    <row r="2310">
      <c r="A2310" s="4">
        <v>2310.0</v>
      </c>
      <c r="B2310" s="5" t="s">
        <v>12570</v>
      </c>
      <c r="C2310" s="5" t="s">
        <v>12571</v>
      </c>
      <c r="D2310" s="5" t="s">
        <v>12572</v>
      </c>
      <c r="E2310" s="6" t="s">
        <v>74</v>
      </c>
      <c r="F2310" s="6" t="s">
        <v>12573</v>
      </c>
      <c r="G2310" s="3" t="str">
        <f>IFERROR(__xludf.DUMMYFUNCTION("REGEXREPLACE(
D2310,
""([一-龯々]+)\[([^\]]+)\]"",
""&lt;ruby&gt;$1&lt;rt&gt;$2&lt;/rt&gt;&lt;/ruby&gt;""
)&amp;""&lt;br&gt;&lt;div class=""""audio""""&gt;[sound:""&amp;C2310&amp;"".mp3]&lt;/div&gt;"""),"&lt;ruby&gt;補足&lt;rt&gt;ほそく&lt;/rt&gt;&lt;/ruby&gt;&lt;br&gt;&lt;div class=""audio""&gt;[sound:ほそく.mp3]&lt;/div&gt;")</f>
        <v>&lt;ruby&gt;補足&lt;rt&gt;ほそく&lt;/rt&gt;&lt;/ruby&gt;&lt;br&gt;&lt;div class="audio"&gt;[sound:ほそく.mp3]&lt;/div&gt;</v>
      </c>
      <c r="H2310" s="3" t="str">
        <f t="shared" si="1"/>
        <v>(n): sự bổ sung</v>
      </c>
      <c r="I2310" s="6" t="s">
        <v>12574</v>
      </c>
      <c r="J2310" s="6" t="s">
        <v>12575</v>
      </c>
      <c r="K2310" s="7">
        <f t="shared" si="2"/>
        <v>0.8249280838</v>
      </c>
    </row>
    <row r="2311">
      <c r="A2311" s="4">
        <v>2311.0</v>
      </c>
      <c r="B2311" s="5" t="s">
        <v>12576</v>
      </c>
      <c r="C2311" s="5" t="s">
        <v>12577</v>
      </c>
      <c r="D2311" s="5" t="s">
        <v>12578</v>
      </c>
      <c r="E2311" s="6" t="s">
        <v>74</v>
      </c>
      <c r="F2311" s="6" t="s">
        <v>12579</v>
      </c>
      <c r="G2311" s="3" t="str">
        <f>IFERROR(__xludf.DUMMYFUNCTION("REGEXREPLACE(
D2311,
""([一-龯々]+)\[([^\]]+)\]"",
""&lt;ruby&gt;$1&lt;rt&gt;$2&lt;/rt&gt;&lt;/ruby&gt;""
)&amp;""&lt;br&gt;&lt;div class=""""audio""""&gt;[sound:""&amp;C2311&amp;"".mp3]&lt;/div&gt;"""),"&lt;ruby&gt;詐欺&lt;rt&gt;さぎ&lt;/rt&gt;&lt;/ruby&gt;&lt;br&gt;&lt;div class=""audio""&gt;[sound:さぎ.mp3]&lt;/div&gt;")</f>
        <v>&lt;ruby&gt;詐欺&lt;rt&gt;さぎ&lt;/rt&gt;&lt;/ruby&gt;&lt;br&gt;&lt;div class="audio"&gt;[sound:さぎ.mp3]&lt;/div&gt;</v>
      </c>
      <c r="H2311" s="3" t="str">
        <f t="shared" si="1"/>
        <v>(n): sự lừa đảo</v>
      </c>
      <c r="I2311" s="6" t="s">
        <v>12580</v>
      </c>
      <c r="J2311" s="6" t="s">
        <v>12581</v>
      </c>
      <c r="K2311" s="7">
        <f t="shared" si="2"/>
        <v>0.7863493095</v>
      </c>
    </row>
    <row r="2312">
      <c r="A2312" s="4">
        <v>2312.0</v>
      </c>
      <c r="B2312" s="5" t="s">
        <v>12582</v>
      </c>
      <c r="C2312" s="5" t="s">
        <v>12583</v>
      </c>
      <c r="D2312" s="5" t="s">
        <v>12584</v>
      </c>
      <c r="E2312" s="6" t="s">
        <v>74</v>
      </c>
      <c r="F2312" s="6" t="s">
        <v>12585</v>
      </c>
      <c r="G2312" s="3" t="str">
        <f>IFERROR(__xludf.DUMMYFUNCTION("REGEXREPLACE(
D2312,
""([一-龯々]+)\[([^\]]+)\]"",
""&lt;ruby&gt;$1&lt;rt&gt;$2&lt;/rt&gt;&lt;/ruby&gt;""
)&amp;""&lt;br&gt;&lt;div class=""""audio""""&gt;[sound:""&amp;C2312&amp;"".mp3]&lt;/div&gt;"""),"&lt;ruby&gt;購買&lt;rt&gt;こうばい&lt;/rt&gt;&lt;/ruby&gt;&lt;br&gt;&lt;div class=""audio""&gt;[sound:こうばい.mp3]&lt;/div&gt;")</f>
        <v>&lt;ruby&gt;購買&lt;rt&gt;こうばい&lt;/rt&gt;&lt;/ruby&gt;&lt;br&gt;&lt;div class="audio"&gt;[sound:こうばい.mp3]&lt;/div&gt;</v>
      </c>
      <c r="H2312" s="3" t="str">
        <f t="shared" si="1"/>
        <v>(n): sự mua sắm</v>
      </c>
      <c r="I2312" s="6" t="s">
        <v>12586</v>
      </c>
      <c r="J2312" s="6" t="s">
        <v>12587</v>
      </c>
      <c r="K2312" s="7">
        <f t="shared" si="2"/>
        <v>0.4353416492</v>
      </c>
    </row>
    <row r="2313">
      <c r="A2313" s="4">
        <v>2313.0</v>
      </c>
      <c r="B2313" s="5" t="s">
        <v>12588</v>
      </c>
      <c r="C2313" s="5" t="s">
        <v>12589</v>
      </c>
      <c r="D2313" s="5" t="s">
        <v>12590</v>
      </c>
      <c r="E2313" s="6" t="s">
        <v>24</v>
      </c>
      <c r="F2313" s="6" t="s">
        <v>12591</v>
      </c>
      <c r="G2313" s="3" t="str">
        <f>IFERROR(__xludf.DUMMYFUNCTION("REGEXREPLACE(
D2313,
""([一-龯々]+)\[([^\]]+)\]"",
""&lt;ruby&gt;$1&lt;rt&gt;$2&lt;/rt&gt;&lt;/ruby&gt;""
)&amp;""&lt;br&gt;&lt;div class=""""audio""""&gt;[sound:""&amp;C2313&amp;"".mp3]&lt;/div&gt;"""),"&lt;ruby&gt;逃&lt;rt&gt;のが&lt;/rt&gt;&lt;/ruby&gt;れる&lt;br&gt;&lt;div class=""audio""&gt;[sound:のがれる.mp3]&lt;/div&gt;")</f>
        <v>&lt;ruby&gt;逃&lt;rt&gt;のが&lt;/rt&gt;&lt;/ruby&gt;れる&lt;br&gt;&lt;div class="audio"&gt;[sound:のがれる.mp3]&lt;/div&gt;</v>
      </c>
      <c r="H2313" s="3" t="str">
        <f t="shared" si="1"/>
        <v>(v): trốn thoát</v>
      </c>
      <c r="I2313" s="6" t="s">
        <v>12592</v>
      </c>
      <c r="J2313" s="6" t="s">
        <v>12593</v>
      </c>
      <c r="K2313" s="7">
        <f t="shared" si="2"/>
        <v>0.5452071087</v>
      </c>
    </row>
    <row r="2314">
      <c r="A2314" s="4">
        <v>2314.0</v>
      </c>
      <c r="B2314" s="5" t="s">
        <v>12594</v>
      </c>
      <c r="C2314" s="5" t="s">
        <v>12595</v>
      </c>
      <c r="D2314" s="5" t="s">
        <v>12596</v>
      </c>
      <c r="E2314" s="6" t="s">
        <v>74</v>
      </c>
      <c r="F2314" s="6" t="s">
        <v>12597</v>
      </c>
      <c r="G2314" s="3" t="str">
        <f>IFERROR(__xludf.DUMMYFUNCTION("REGEXREPLACE(
D2314,
""([一-龯々]+)\[([^\]]+)\]"",
""&lt;ruby&gt;$1&lt;rt&gt;$2&lt;/rt&gt;&lt;/ruby&gt;""
)&amp;""&lt;br&gt;&lt;div class=""""audio""""&gt;[sound:""&amp;C2314&amp;"".mp3]&lt;/div&gt;"""),"&lt;ruby&gt;電源&lt;rt&gt;でんげん&lt;/rt&gt;&lt;/ruby&gt;&lt;br&gt;&lt;div class=""audio""&gt;[sound:でんげん.mp3]&lt;/div&gt;")</f>
        <v>&lt;ruby&gt;電源&lt;rt&gt;でんげん&lt;/rt&gt;&lt;/ruby&gt;&lt;br&gt;&lt;div class="audio"&gt;[sound:でんげん.mp3]&lt;/div&gt;</v>
      </c>
      <c r="H2314" s="3" t="str">
        <f t="shared" si="1"/>
        <v>(n): nguồn điện</v>
      </c>
      <c r="I2314" s="6" t="s">
        <v>12598</v>
      </c>
      <c r="J2314" s="6" t="s">
        <v>12599</v>
      </c>
      <c r="K2314" s="7">
        <f t="shared" si="2"/>
        <v>0.459397543</v>
      </c>
    </row>
    <row r="2315">
      <c r="A2315" s="4">
        <v>2315.0</v>
      </c>
      <c r="B2315" s="5" t="s">
        <v>12600</v>
      </c>
      <c r="C2315" s="5" t="s">
        <v>12601</v>
      </c>
      <c r="D2315" s="5" t="s">
        <v>12602</v>
      </c>
      <c r="E2315" s="6" t="s">
        <v>24</v>
      </c>
      <c r="F2315" s="6" t="s">
        <v>6802</v>
      </c>
      <c r="G2315" s="3" t="str">
        <f>IFERROR(__xludf.DUMMYFUNCTION("REGEXREPLACE(
D2315,
""([一-龯々]+)\[([^\]]+)\]"",
""&lt;ruby&gt;$1&lt;rt&gt;$2&lt;/rt&gt;&lt;/ruby&gt;""
)&amp;""&lt;br&gt;&lt;div class=""""audio""""&gt;[sound:""&amp;C2315&amp;"".mp3]&lt;/div&gt;"""),"&lt;ruby&gt;養&lt;rt&gt;やしな&lt;/rt&gt;&lt;/ruby&gt;う&lt;br&gt;&lt;div class=""audio""&gt;[sound:やしなう.mp3]&lt;/div&gt;")</f>
        <v>&lt;ruby&gt;養&lt;rt&gt;やしな&lt;/rt&gt;&lt;/ruby&gt;う&lt;br&gt;&lt;div class="audio"&gt;[sound:やしなう.mp3]&lt;/div&gt;</v>
      </c>
      <c r="H2315" s="3" t="str">
        <f t="shared" si="1"/>
        <v>(v): nuôi dưỡng</v>
      </c>
      <c r="I2315" s="6" t="s">
        <v>12603</v>
      </c>
      <c r="J2315" s="6" t="s">
        <v>12604</v>
      </c>
      <c r="K2315" s="7">
        <f t="shared" si="2"/>
        <v>0.2513642799</v>
      </c>
    </row>
    <row r="2316">
      <c r="A2316" s="4">
        <v>2316.0</v>
      </c>
      <c r="B2316" s="5" t="s">
        <v>12605</v>
      </c>
      <c r="C2316" s="5" t="s">
        <v>12606</v>
      </c>
      <c r="D2316" s="5" t="s">
        <v>12605</v>
      </c>
      <c r="E2316" s="6" t="s">
        <v>74</v>
      </c>
      <c r="F2316" s="6" t="s">
        <v>12607</v>
      </c>
      <c r="G2316" s="3" t="str">
        <f>IFERROR(__xludf.DUMMYFUNCTION("REGEXREPLACE(
D2316,
""([一-龯々]+)\[([^\]]+)\]"",
""&lt;ruby&gt;$1&lt;rt&gt;$2&lt;/rt&gt;&lt;/ruby&gt;""
)&amp;""&lt;br&gt;&lt;div class=""""audio""""&gt;[sound:""&amp;C2316&amp;"".mp3]&lt;/div&gt;"""),"アマチュア&lt;br&gt;&lt;div class=""audio""&gt;[sound:あまちゅあ.mp3]&lt;/div&gt;")</f>
        <v>アマチュア&lt;br&gt;&lt;div class="audio"&gt;[sound:あまちゅあ.mp3]&lt;/div&gt;</v>
      </c>
      <c r="H2316" s="3" t="str">
        <f t="shared" si="1"/>
        <v>(n): nghiệp dư</v>
      </c>
      <c r="I2316" s="6" t="s">
        <v>12608</v>
      </c>
      <c r="J2316" s="6" t="s">
        <v>12609</v>
      </c>
      <c r="K2316" s="7">
        <f t="shared" si="2"/>
        <v>0.676553539</v>
      </c>
    </row>
    <row r="2317">
      <c r="A2317" s="4">
        <v>2317.0</v>
      </c>
      <c r="B2317" s="5" t="s">
        <v>12610</v>
      </c>
      <c r="C2317" s="5" t="s">
        <v>12611</v>
      </c>
      <c r="D2317" s="5" t="s">
        <v>12610</v>
      </c>
      <c r="E2317" s="6" t="s">
        <v>74</v>
      </c>
      <c r="F2317" s="6" t="s">
        <v>3502</v>
      </c>
      <c r="G2317" s="3" t="str">
        <f>IFERROR(__xludf.DUMMYFUNCTION("REGEXREPLACE(
D2317,
""([一-龯々]+)\[([^\]]+)\]"",
""&lt;ruby&gt;$1&lt;rt&gt;$2&lt;/rt&gt;&lt;/ruby&gt;""
)&amp;""&lt;br&gt;&lt;div class=""""audio""""&gt;[sound:""&amp;C2317&amp;"".mp3]&lt;/div&gt;"""),"ファイト&lt;br&gt;&lt;div class=""audio""&gt;[sound:ふぁいと.mp3]&lt;/div&gt;")</f>
        <v>ファイト&lt;br&gt;&lt;div class="audio"&gt;[sound:ふぁいと.mp3]&lt;/div&gt;</v>
      </c>
      <c r="H2317" s="3" t="str">
        <f t="shared" si="1"/>
        <v>(n): chiến đấu</v>
      </c>
      <c r="I2317" s="6" t="s">
        <v>12612</v>
      </c>
      <c r="J2317" s="6" t="s">
        <v>12613</v>
      </c>
      <c r="K2317" s="7">
        <f t="shared" si="2"/>
        <v>0.8068220752</v>
      </c>
    </row>
    <row r="2318">
      <c r="A2318" s="4">
        <v>2318.0</v>
      </c>
      <c r="B2318" s="5" t="s">
        <v>12614</v>
      </c>
      <c r="C2318" s="5" t="s">
        <v>12614</v>
      </c>
      <c r="D2318" s="5" t="s">
        <v>12614</v>
      </c>
      <c r="E2318" s="6" t="s">
        <v>74</v>
      </c>
      <c r="F2318" s="6" t="s">
        <v>10410</v>
      </c>
      <c r="G2318" s="3" t="str">
        <f>IFERROR(__xludf.DUMMYFUNCTION("REGEXREPLACE(
D2318,
""([一-龯々]+)\[([^\]]+)\]"",
""&lt;ruby&gt;$1&lt;rt&gt;$2&lt;/rt&gt;&lt;/ruby&gt;""
)&amp;""&lt;br&gt;&lt;div class=""""audio""""&gt;[sound:""&amp;C2318&amp;"".mp3]&lt;/div&gt;"""),"ゆとり&lt;br&gt;&lt;div class=""audio""&gt;[sound:ゆとり.mp3]&lt;/div&gt;")</f>
        <v>ゆとり&lt;br&gt;&lt;div class="audio"&gt;[sound:ゆとり.mp3]&lt;/div&gt;</v>
      </c>
      <c r="H2318" s="3" t="str">
        <f t="shared" si="1"/>
        <v>(n): thong thả</v>
      </c>
      <c r="I2318" s="6" t="s">
        <v>12615</v>
      </c>
      <c r="J2318" s="6" t="s">
        <v>12616</v>
      </c>
      <c r="K2318" s="7">
        <f t="shared" si="2"/>
        <v>0.4071704159</v>
      </c>
    </row>
    <row r="2319">
      <c r="A2319" s="4">
        <v>2319.0</v>
      </c>
      <c r="B2319" s="5" t="s">
        <v>12617</v>
      </c>
      <c r="C2319" s="5" t="s">
        <v>12618</v>
      </c>
      <c r="D2319" s="5" t="s">
        <v>12619</v>
      </c>
      <c r="E2319" s="6" t="s">
        <v>11</v>
      </c>
      <c r="F2319" s="6" t="s">
        <v>12620</v>
      </c>
      <c r="G2319" s="3" t="str">
        <f>IFERROR(__xludf.DUMMYFUNCTION("REGEXREPLACE(
D2319,
""([一-龯々]+)\[([^\]]+)\]"",
""&lt;ruby&gt;$1&lt;rt&gt;$2&lt;/rt&gt;&lt;/ruby&gt;""
)&amp;""&lt;br&gt;&lt;div class=""""audio""""&gt;[sound:""&amp;C2319&amp;"".mp3]&lt;/div&gt;"""),"&lt;ruby&gt;健全&lt;rt&gt;けんぜん&lt;/rt&gt;&lt;/ruby&gt;&lt;br&gt;&lt;div class=""audio""&gt;[sound:けんぜん.mp3]&lt;/div&gt;")</f>
        <v>&lt;ruby&gt;健全&lt;rt&gt;けんぜん&lt;/rt&gt;&lt;/ruby&gt;&lt;br&gt;&lt;div class="audio"&gt;[sound:けんぜん.mp3]&lt;/div&gt;</v>
      </c>
      <c r="H2319" s="3" t="str">
        <f t="shared" si="1"/>
        <v>(adj): lành mạnh</v>
      </c>
      <c r="I2319" s="6" t="s">
        <v>12621</v>
      </c>
      <c r="J2319" s="6" t="s">
        <v>12622</v>
      </c>
      <c r="K2319" s="7">
        <f t="shared" si="2"/>
        <v>0.1318408525</v>
      </c>
    </row>
    <row r="2320">
      <c r="A2320" s="4">
        <v>2320.0</v>
      </c>
      <c r="B2320" s="5" t="s">
        <v>12623</v>
      </c>
      <c r="C2320" s="5" t="s">
        <v>12624</v>
      </c>
      <c r="D2320" s="5" t="s">
        <v>12625</v>
      </c>
      <c r="E2320" s="6" t="s">
        <v>74</v>
      </c>
      <c r="F2320" s="6" t="s">
        <v>12626</v>
      </c>
      <c r="G2320" s="3" t="str">
        <f>IFERROR(__xludf.DUMMYFUNCTION("REGEXREPLACE(
D2320,
""([一-龯々]+)\[([^\]]+)\]"",
""&lt;ruby&gt;$1&lt;rt&gt;$2&lt;/rt&gt;&lt;/ruby&gt;""
)&amp;""&lt;br&gt;&lt;div class=""""audio""""&gt;[sound:""&amp;C2320&amp;"".mp3]&lt;/div&gt;"""),"&lt;ruby&gt;兵士&lt;rt&gt;へいし&lt;/rt&gt;&lt;/ruby&gt;&lt;br&gt;&lt;div class=""audio""&gt;[sound:へいし.mp3]&lt;/div&gt;")</f>
        <v>&lt;ruby&gt;兵士&lt;rt&gt;へいし&lt;/rt&gt;&lt;/ruby&gt;&lt;br&gt;&lt;div class="audio"&gt;[sound:へいし.mp3]&lt;/div&gt;</v>
      </c>
      <c r="H2320" s="3" t="str">
        <f t="shared" si="1"/>
        <v>(n): binh lính</v>
      </c>
      <c r="I2320" s="6" t="s">
        <v>12627</v>
      </c>
      <c r="J2320" s="6" t="s">
        <v>12628</v>
      </c>
      <c r="K2320" s="7">
        <f t="shared" si="2"/>
        <v>0.03746661314</v>
      </c>
    </row>
    <row r="2321">
      <c r="A2321" s="4">
        <v>2321.0</v>
      </c>
      <c r="B2321" s="5" t="s">
        <v>12629</v>
      </c>
      <c r="C2321" s="5" t="s">
        <v>12630</v>
      </c>
      <c r="D2321" s="5" t="s">
        <v>12631</v>
      </c>
      <c r="E2321" s="6" t="s">
        <v>74</v>
      </c>
      <c r="F2321" s="6" t="s">
        <v>12632</v>
      </c>
      <c r="G2321" s="3" t="str">
        <f>IFERROR(__xludf.DUMMYFUNCTION("REGEXREPLACE(
D2321,
""([一-龯々]+)\[([^\]]+)\]"",
""&lt;ruby&gt;$1&lt;rt&gt;$2&lt;/rt&gt;&lt;/ruby&gt;""
)&amp;""&lt;br&gt;&lt;div class=""""audio""""&gt;[sound:""&amp;C2321&amp;"".mp3]&lt;/div&gt;"""),"&lt;ruby&gt;処置&lt;rt&gt;しょち&lt;/rt&gt;&lt;/ruby&gt;&lt;br&gt;&lt;div class=""audio""&gt;[sound:しょち.mp3]&lt;/div&gt;")</f>
        <v>&lt;ruby&gt;処置&lt;rt&gt;しょち&lt;/rt&gt;&lt;/ruby&gt;&lt;br&gt;&lt;div class="audio"&gt;[sound:しょち.mp3]&lt;/div&gt;</v>
      </c>
      <c r="H2321" s="3" t="str">
        <f t="shared" si="1"/>
        <v>(n): sự xử trí</v>
      </c>
      <c r="I2321" s="6" t="s">
        <v>12633</v>
      </c>
      <c r="J2321" s="6" t="s">
        <v>12634</v>
      </c>
      <c r="K2321" s="7">
        <f t="shared" si="2"/>
        <v>0.3854861587</v>
      </c>
    </row>
    <row r="2322">
      <c r="A2322" s="4">
        <v>2322.0</v>
      </c>
      <c r="B2322" s="5" t="s">
        <v>12635</v>
      </c>
      <c r="C2322" s="5" t="s">
        <v>12636</v>
      </c>
      <c r="D2322" s="5" t="s">
        <v>12637</v>
      </c>
      <c r="E2322" s="6" t="s">
        <v>74</v>
      </c>
      <c r="F2322" s="6" t="s">
        <v>12638</v>
      </c>
      <c r="G2322" s="3" t="str">
        <f>IFERROR(__xludf.DUMMYFUNCTION("REGEXREPLACE(
D2322,
""([一-龯々]+)\[([^\]]+)\]"",
""&lt;ruby&gt;$1&lt;rt&gt;$2&lt;/rt&gt;&lt;/ruby&gt;""
)&amp;""&lt;br&gt;&lt;div class=""""audio""""&gt;[sound:""&amp;C2322&amp;"".mp3]&lt;/div&gt;"""),"&lt;ruby&gt;出社&lt;rt&gt;しゅっしゃ&lt;/rt&gt;&lt;/ruby&gt;&lt;br&gt;&lt;div class=""audio""&gt;[sound:しゅっしゃ.mp3]&lt;/div&gt;")</f>
        <v>&lt;ruby&gt;出社&lt;rt&gt;しゅっしゃ&lt;/rt&gt;&lt;/ruby&gt;&lt;br&gt;&lt;div class="audio"&gt;[sound:しゅっしゃ.mp3]&lt;/div&gt;</v>
      </c>
      <c r="H2322" s="3" t="str">
        <f t="shared" si="1"/>
        <v>(n): sự đi làm</v>
      </c>
      <c r="I2322" s="6" t="s">
        <v>12639</v>
      </c>
      <c r="J2322" s="6" t="s">
        <v>12640</v>
      </c>
      <c r="K2322" s="7">
        <f t="shared" si="2"/>
        <v>0.5381723747</v>
      </c>
    </row>
    <row r="2323">
      <c r="A2323" s="4">
        <v>2323.0</v>
      </c>
      <c r="B2323" s="5" t="s">
        <v>12641</v>
      </c>
      <c r="C2323" s="5" t="s">
        <v>12642</v>
      </c>
      <c r="D2323" s="5" t="s">
        <v>12643</v>
      </c>
      <c r="E2323" s="6" t="s">
        <v>74</v>
      </c>
      <c r="F2323" s="6" t="s">
        <v>12644</v>
      </c>
      <c r="G2323" s="3" t="str">
        <f>IFERROR(__xludf.DUMMYFUNCTION("REGEXREPLACE(
D2323,
""([一-龯々]+)\[([^\]]+)\]"",
""&lt;ruby&gt;$1&lt;rt&gt;$2&lt;/rt&gt;&lt;/ruby&gt;""
)&amp;""&lt;br&gt;&lt;div class=""""audio""""&gt;[sound:""&amp;C2323&amp;"".mp3]&lt;/div&gt;"""),"&lt;ruby&gt;協定&lt;rt&gt;きょうてい&lt;/rt&gt;&lt;/ruby&gt;&lt;br&gt;&lt;div class=""audio""&gt;[sound:きょうてい.mp3]&lt;/div&gt;")</f>
        <v>&lt;ruby&gt;協定&lt;rt&gt;きょうてい&lt;/rt&gt;&lt;/ruby&gt;&lt;br&gt;&lt;div class="audio"&gt;[sound:きょうてい.mp3]&lt;/div&gt;</v>
      </c>
      <c r="H2323" s="3" t="str">
        <f t="shared" si="1"/>
        <v>(n): hiệp định</v>
      </c>
      <c r="I2323" s="6" t="s">
        <v>12645</v>
      </c>
      <c r="J2323" s="6" t="s">
        <v>12646</v>
      </c>
      <c r="K2323" s="7">
        <f t="shared" si="2"/>
        <v>0.3650610047</v>
      </c>
    </row>
    <row r="2324">
      <c r="A2324" s="4">
        <v>2324.0</v>
      </c>
      <c r="B2324" s="5" t="s">
        <v>12647</v>
      </c>
      <c r="C2324" s="5" t="s">
        <v>12648</v>
      </c>
      <c r="D2324" s="5" t="s">
        <v>12649</v>
      </c>
      <c r="E2324" s="6" t="s">
        <v>74</v>
      </c>
      <c r="F2324" s="6" t="s">
        <v>8357</v>
      </c>
      <c r="G2324" s="3" t="str">
        <f>IFERROR(__xludf.DUMMYFUNCTION("REGEXREPLACE(
D2324,
""([一-龯々]+)\[([^\]]+)\]"",
""&lt;ruby&gt;$1&lt;rt&gt;$2&lt;/rt&gt;&lt;/ruby&gt;""
)&amp;""&lt;br&gt;&lt;div class=""""audio""""&gt;[sound:""&amp;C2324&amp;"".mp3]&lt;/div&gt;"""),"&lt;ruby&gt;収益&lt;rt&gt;しゅうえき&lt;/rt&gt;&lt;/ruby&gt;&lt;br&gt;&lt;div class=""audio""&gt;[sound:しゅうえき.mp3]&lt;/div&gt;")</f>
        <v>&lt;ruby&gt;収益&lt;rt&gt;しゅうえき&lt;/rt&gt;&lt;/ruby&gt;&lt;br&gt;&lt;div class="audio"&gt;[sound:しゅうえき.mp3]&lt;/div&gt;</v>
      </c>
      <c r="H2324" s="3" t="str">
        <f t="shared" si="1"/>
        <v>(n): lợi nhuận</v>
      </c>
      <c r="I2324" s="6" t="s">
        <v>12650</v>
      </c>
      <c r="J2324" s="6" t="s">
        <v>12651</v>
      </c>
      <c r="K2324" s="7">
        <f t="shared" si="2"/>
        <v>0.434107402</v>
      </c>
    </row>
    <row r="2325">
      <c r="A2325" s="4">
        <v>2325.0</v>
      </c>
      <c r="B2325" s="5" t="s">
        <v>12652</v>
      </c>
      <c r="C2325" s="5" t="s">
        <v>12653</v>
      </c>
      <c r="D2325" s="5" t="s">
        <v>12654</v>
      </c>
      <c r="E2325" s="6" t="s">
        <v>24</v>
      </c>
      <c r="F2325" s="6" t="s">
        <v>12655</v>
      </c>
      <c r="G2325" s="3" t="str">
        <f>IFERROR(__xludf.DUMMYFUNCTION("REGEXREPLACE(
D2325,
""([一-龯々]+)\[([^\]]+)\]"",
""&lt;ruby&gt;$1&lt;rt&gt;$2&lt;/rt&gt;&lt;/ruby&gt;""
)&amp;""&lt;br&gt;&lt;div class=""""audio""""&gt;[sound:""&amp;C2325&amp;"".mp3]&lt;/div&gt;"""),"&lt;ruby&gt;受&lt;rt&gt;う&lt;/rt&gt;&lt;/ruby&gt;け&lt;ruby&gt;付&lt;rt&gt;つ&lt;/rt&gt;&lt;/ruby&gt;ける&lt;br&gt;&lt;div class=""audio""&gt;[sound:うけつける.mp3]&lt;/div&gt;")</f>
        <v>&lt;ruby&gt;受&lt;rt&gt;う&lt;/rt&gt;&lt;/ruby&gt;け&lt;ruby&gt;付&lt;rt&gt;つ&lt;/rt&gt;&lt;/ruby&gt;ける&lt;br&gt;&lt;div class="audio"&gt;[sound:うけつける.mp3]&lt;/div&gt;</v>
      </c>
      <c r="H2325" s="3" t="str">
        <f t="shared" si="1"/>
        <v>(v): tiếp nhận</v>
      </c>
      <c r="I2325" s="6" t="s">
        <v>12656</v>
      </c>
      <c r="J2325" s="6" t="s">
        <v>12657</v>
      </c>
      <c r="K2325" s="7">
        <f t="shared" si="2"/>
        <v>0.0841911166</v>
      </c>
    </row>
    <row r="2326">
      <c r="A2326" s="4">
        <v>2326.0</v>
      </c>
      <c r="B2326" s="5" t="s">
        <v>12658</v>
      </c>
      <c r="C2326" s="5" t="s">
        <v>12659</v>
      </c>
      <c r="D2326" s="5" t="s">
        <v>12660</v>
      </c>
      <c r="E2326" s="6" t="s">
        <v>24</v>
      </c>
      <c r="F2326" s="6" t="s">
        <v>12661</v>
      </c>
      <c r="G2326" s="3" t="str">
        <f>IFERROR(__xludf.DUMMYFUNCTION("REGEXREPLACE(
D2326,
""([一-龯々]+)\[([^\]]+)\]"",
""&lt;ruby&gt;$1&lt;rt&gt;$2&lt;/rt&gt;&lt;/ruby&gt;""
)&amp;""&lt;br&gt;&lt;div class=""""audio""""&gt;[sound:""&amp;C2326&amp;"".mp3]&lt;/div&gt;"""),"&lt;ruby&gt;営&lt;rt&gt;いとな&lt;/rt&gt;&lt;/ruby&gt;む&lt;br&gt;&lt;div class=""audio""&gt;[sound:いとなむ.mp3]&lt;/div&gt;")</f>
        <v>&lt;ruby&gt;営&lt;rt&gt;いとな&lt;/rt&gt;&lt;/ruby&gt;む&lt;br&gt;&lt;div class="audio"&gt;[sound:いとなむ.mp3]&lt;/div&gt;</v>
      </c>
      <c r="H2326" s="3" t="str">
        <f t="shared" si="1"/>
        <v>(v): điều hành</v>
      </c>
      <c r="I2326" s="6" t="s">
        <v>12662</v>
      </c>
      <c r="J2326" s="6" t="s">
        <v>12663</v>
      </c>
      <c r="K2326" s="7">
        <f t="shared" si="2"/>
        <v>0.1026386777</v>
      </c>
    </row>
    <row r="2327">
      <c r="A2327" s="4">
        <v>2327.0</v>
      </c>
      <c r="B2327" s="5" t="s">
        <v>12664</v>
      </c>
      <c r="C2327" s="5" t="s">
        <v>12665</v>
      </c>
      <c r="D2327" s="5" t="s">
        <v>12666</v>
      </c>
      <c r="E2327" s="6" t="s">
        <v>74</v>
      </c>
      <c r="F2327" s="6" t="s">
        <v>12667</v>
      </c>
      <c r="G2327" s="3" t="str">
        <f>IFERROR(__xludf.DUMMYFUNCTION("REGEXREPLACE(
D2327,
""([一-龯々]+)\[([^\]]+)\]"",
""&lt;ruby&gt;$1&lt;rt&gt;$2&lt;/rt&gt;&lt;/ruby&gt;""
)&amp;""&lt;br&gt;&lt;div class=""""audio""""&gt;[sound:""&amp;C2327&amp;"".mp3]&lt;/div&gt;"""),"&lt;ruby&gt;圧倒&lt;rt&gt;あっとう&lt;/rt&gt;&lt;/ruby&gt;&lt;br&gt;&lt;div class=""audio""&gt;[sound:あっとう.mp3]&lt;/div&gt;")</f>
        <v>&lt;ruby&gt;圧倒&lt;rt&gt;あっとう&lt;/rt&gt;&lt;/ruby&gt;&lt;br&gt;&lt;div class="audio"&gt;[sound:あっとう.mp3]&lt;/div&gt;</v>
      </c>
      <c r="H2327" s="3" t="str">
        <f t="shared" si="1"/>
        <v>(n): sự áp đảo</v>
      </c>
      <c r="I2327" s="6" t="s">
        <v>12668</v>
      </c>
      <c r="J2327" s="6" t="s">
        <v>12669</v>
      </c>
      <c r="K2327" s="7">
        <f t="shared" si="2"/>
        <v>0.7865205549</v>
      </c>
    </row>
    <row r="2328">
      <c r="A2328" s="4">
        <v>2328.0</v>
      </c>
      <c r="B2328" s="5" t="s">
        <v>12670</v>
      </c>
      <c r="C2328" s="5" t="s">
        <v>12671</v>
      </c>
      <c r="D2328" s="5" t="s">
        <v>12672</v>
      </c>
      <c r="E2328" s="6" t="s">
        <v>74</v>
      </c>
      <c r="F2328" s="6" t="s">
        <v>12673</v>
      </c>
      <c r="G2328" s="3" t="str">
        <f>IFERROR(__xludf.DUMMYFUNCTION("REGEXREPLACE(
D2328,
""([一-龯々]+)\[([^\]]+)\]"",
""&lt;ruby&gt;$1&lt;rt&gt;$2&lt;/rt&gt;&lt;/ruby&gt;""
)&amp;""&lt;br&gt;&lt;div class=""""audio""""&gt;[sound:""&amp;C2328&amp;"".mp3]&lt;/div&gt;"""),"&lt;ruby&gt;特集&lt;rt&gt;とくしゅう&lt;/rt&gt;&lt;/ruby&gt;&lt;br&gt;&lt;div class=""audio""&gt;[sound:とくしゅう.mp3]&lt;/div&gt;")</f>
        <v>&lt;ruby&gt;特集&lt;rt&gt;とくしゅう&lt;/rt&gt;&lt;/ruby&gt;&lt;br&gt;&lt;div class="audio"&gt;[sound:とくしゅう.mp3]&lt;/div&gt;</v>
      </c>
      <c r="H2328" s="3" t="str">
        <f t="shared" si="1"/>
        <v>(n): chuyên đề</v>
      </c>
      <c r="I2328" s="6" t="s">
        <v>12674</v>
      </c>
      <c r="J2328" s="6" t="s">
        <v>12675</v>
      </c>
      <c r="K2328" s="7">
        <f t="shared" si="2"/>
        <v>0.6922039456</v>
      </c>
    </row>
    <row r="2329">
      <c r="A2329" s="4">
        <v>2329.0</v>
      </c>
      <c r="B2329" s="5" t="s">
        <v>12676</v>
      </c>
      <c r="C2329" s="5" t="s">
        <v>12677</v>
      </c>
      <c r="D2329" s="5" t="s">
        <v>12678</v>
      </c>
      <c r="E2329" s="6" t="s">
        <v>11</v>
      </c>
      <c r="F2329" s="6" t="s">
        <v>3887</v>
      </c>
      <c r="G2329" s="3" t="str">
        <f>IFERROR(__xludf.DUMMYFUNCTION("REGEXREPLACE(
D2329,
""([一-龯々]+)\[([^\]]+)\]"",
""&lt;ruby&gt;$1&lt;rt&gt;$2&lt;/rt&gt;&lt;/ruby&gt;""
)&amp;""&lt;br&gt;&lt;div class=""""audio""""&gt;[sound:""&amp;C2329&amp;"".mp3]&lt;/div&gt;"""),"&lt;ruby&gt;著名&lt;rt&gt;ちょめい&lt;/rt&gt;&lt;/ruby&gt;&lt;br&gt;&lt;div class=""audio""&gt;[sound:ちょめい.mp3]&lt;/div&gt;")</f>
        <v>&lt;ruby&gt;著名&lt;rt&gt;ちょめい&lt;/rt&gt;&lt;/ruby&gt;&lt;br&gt;&lt;div class="audio"&gt;[sound:ちょめい.mp3]&lt;/div&gt;</v>
      </c>
      <c r="H2329" s="3" t="str">
        <f t="shared" si="1"/>
        <v>(adj): nổi tiếng</v>
      </c>
      <c r="I2329" s="6" t="s">
        <v>12679</v>
      </c>
      <c r="J2329" s="6" t="s">
        <v>12680</v>
      </c>
      <c r="K2329" s="7">
        <f t="shared" si="2"/>
        <v>0.9021463259</v>
      </c>
    </row>
    <row r="2330">
      <c r="A2330" s="4">
        <v>2330.0</v>
      </c>
      <c r="B2330" s="5" t="s">
        <v>12681</v>
      </c>
      <c r="C2330" s="5" t="s">
        <v>12682</v>
      </c>
      <c r="D2330" s="5" t="s">
        <v>12683</v>
      </c>
      <c r="E2330" s="6" t="s">
        <v>74</v>
      </c>
      <c r="F2330" s="6" t="s">
        <v>12684</v>
      </c>
      <c r="G2330" s="3" t="str">
        <f>IFERROR(__xludf.DUMMYFUNCTION("REGEXREPLACE(
D2330,
""([一-龯々]+)\[([^\]]+)\]"",
""&lt;ruby&gt;$1&lt;rt&gt;$2&lt;/rt&gt;&lt;/ruby&gt;""
)&amp;""&lt;br&gt;&lt;div class=""""audio""""&gt;[sound:""&amp;C2330&amp;"".mp3]&lt;/div&gt;"""),"&lt;ruby&gt;返済&lt;rt&gt;へんさい&lt;/rt&gt;&lt;/ruby&gt;&lt;br&gt;&lt;div class=""audio""&gt;[sound:へんさい.mp3]&lt;/div&gt;")</f>
        <v>&lt;ruby&gt;返済&lt;rt&gt;へんさい&lt;/rt&gt;&lt;/ruby&gt;&lt;br&gt;&lt;div class="audio"&gt;[sound:へんさい.mp3]&lt;/div&gt;</v>
      </c>
      <c r="H2330" s="3" t="str">
        <f t="shared" si="1"/>
        <v>(n): sự trả nợ</v>
      </c>
      <c r="I2330" s="6" t="s">
        <v>12685</v>
      </c>
      <c r="J2330" s="6" t="s">
        <v>12686</v>
      </c>
      <c r="K2330" s="7">
        <f t="shared" si="2"/>
        <v>0.6595624031</v>
      </c>
    </row>
    <row r="2331">
      <c r="A2331" s="4">
        <v>2331.0</v>
      </c>
      <c r="B2331" s="5" t="s">
        <v>12687</v>
      </c>
      <c r="C2331" s="5" t="s">
        <v>12688</v>
      </c>
      <c r="D2331" s="5" t="s">
        <v>12689</v>
      </c>
      <c r="E2331" s="6" t="s">
        <v>74</v>
      </c>
      <c r="F2331" s="6" t="s">
        <v>12690</v>
      </c>
      <c r="G2331" s="3" t="str">
        <f>IFERROR(__xludf.DUMMYFUNCTION("REGEXREPLACE(
D2331,
""([一-龯々]+)\[([^\]]+)\]"",
""&lt;ruby&gt;$1&lt;rt&gt;$2&lt;/rt&gt;&lt;/ruby&gt;""
)&amp;""&lt;br&gt;&lt;div class=""""audio""""&gt;[sound:""&amp;C2331&amp;"".mp3]&lt;/div&gt;"""),"&lt;ruby&gt;連邦&lt;rt&gt;れんぽう&lt;/rt&gt;&lt;/ruby&gt;&lt;br&gt;&lt;div class=""audio""&gt;[sound:れんぽう.mp3]&lt;/div&gt;")</f>
        <v>&lt;ruby&gt;連邦&lt;rt&gt;れんぽう&lt;/rt&gt;&lt;/ruby&gt;&lt;br&gt;&lt;div class="audio"&gt;[sound:れんぽう.mp3]&lt;/div&gt;</v>
      </c>
      <c r="H2331" s="3" t="str">
        <f t="shared" si="1"/>
        <v>(n): liên bang</v>
      </c>
      <c r="I2331" s="6" t="s">
        <v>12691</v>
      </c>
      <c r="J2331" s="6" t="s">
        <v>12692</v>
      </c>
      <c r="K2331" s="7">
        <f t="shared" si="2"/>
        <v>0.8816443918</v>
      </c>
    </row>
    <row r="2332">
      <c r="A2332" s="4">
        <v>2332.0</v>
      </c>
      <c r="B2332" s="5" t="s">
        <v>12693</v>
      </c>
      <c r="C2332" s="5" t="s">
        <v>12694</v>
      </c>
      <c r="D2332" s="5" t="s">
        <v>12695</v>
      </c>
      <c r="E2332" s="6" t="s">
        <v>74</v>
      </c>
      <c r="F2332" s="6" t="s">
        <v>12696</v>
      </c>
      <c r="G2332" s="3" t="str">
        <f>IFERROR(__xludf.DUMMYFUNCTION("REGEXREPLACE(
D2332,
""([一-龯々]+)\[([^\]]+)\]"",
""&lt;ruby&gt;$1&lt;rt&gt;$2&lt;/rt&gt;&lt;/ruby&gt;""
)&amp;""&lt;br&gt;&lt;div class=""""audio""""&gt;[sound:""&amp;C2332&amp;"".mp3]&lt;/div&gt;"""),"&lt;ruby&gt;避難&lt;rt&gt;ひなん&lt;/rt&gt;&lt;/ruby&gt;&lt;br&gt;&lt;div class=""audio""&gt;[sound:ひなん.mp3]&lt;/div&gt;")</f>
        <v>&lt;ruby&gt;避難&lt;rt&gt;ひなん&lt;/rt&gt;&lt;/ruby&gt;&lt;br&gt;&lt;div class="audio"&gt;[sound:ひなん.mp3]&lt;/div&gt;</v>
      </c>
      <c r="H2332" s="3" t="str">
        <f t="shared" si="1"/>
        <v>(n): sự sơ tán</v>
      </c>
      <c r="I2332" s="6" t="s">
        <v>12697</v>
      </c>
      <c r="J2332" s="6" t="s">
        <v>12698</v>
      </c>
      <c r="K2332" s="7">
        <f t="shared" si="2"/>
        <v>0.8060462442</v>
      </c>
    </row>
    <row r="2333">
      <c r="A2333" s="4">
        <v>2333.0</v>
      </c>
      <c r="B2333" s="5" t="s">
        <v>12699</v>
      </c>
      <c r="C2333" s="5" t="s">
        <v>12700</v>
      </c>
      <c r="D2333" s="5" t="s">
        <v>12699</v>
      </c>
      <c r="E2333" s="6" t="s">
        <v>74</v>
      </c>
      <c r="F2333" s="6" t="s">
        <v>12701</v>
      </c>
      <c r="G2333" s="3" t="str">
        <f>IFERROR(__xludf.DUMMYFUNCTION("REGEXREPLACE(
D2333,
""([一-龯々]+)\[([^\]]+)\]"",
""&lt;ruby&gt;$1&lt;rt&gt;$2&lt;/rt&gt;&lt;/ruby&gt;""
)&amp;""&lt;br&gt;&lt;div class=""""audio""""&gt;[sound:""&amp;C2333&amp;"".mp3]&lt;/div&gt;"""),"インフレ&lt;br&gt;&lt;div class=""audio""&gt;[sound:いんふれ.mp3]&lt;/div&gt;")</f>
        <v>インフレ&lt;br&gt;&lt;div class="audio"&gt;[sound:いんふれ.mp3]&lt;/div&gt;</v>
      </c>
      <c r="H2333" s="3" t="str">
        <f t="shared" si="1"/>
        <v>(n): lạm phát</v>
      </c>
      <c r="I2333" s="6" t="s">
        <v>12702</v>
      </c>
      <c r="J2333" s="6" t="s">
        <v>12703</v>
      </c>
      <c r="K2333" s="7">
        <f t="shared" si="2"/>
        <v>0.3355078012</v>
      </c>
    </row>
    <row r="2334">
      <c r="A2334" s="4">
        <v>2334.0</v>
      </c>
      <c r="B2334" s="5" t="s">
        <v>12704</v>
      </c>
      <c r="C2334" s="5" t="s">
        <v>12705</v>
      </c>
      <c r="D2334" s="5" t="s">
        <v>12704</v>
      </c>
      <c r="E2334" s="6" t="s">
        <v>74</v>
      </c>
      <c r="F2334" s="6" t="s">
        <v>12706</v>
      </c>
      <c r="G2334" s="3" t="str">
        <f>IFERROR(__xludf.DUMMYFUNCTION("REGEXREPLACE(
D2334,
""([一-龯々]+)\[([^\]]+)\]"",
""&lt;ruby&gt;$1&lt;rt&gt;$2&lt;/rt&gt;&lt;/ruby&gt;""
)&amp;""&lt;br&gt;&lt;div class=""""audio""""&gt;[sound:""&amp;C2334&amp;"".mp3]&lt;/div&gt;"""),"シナリオ&lt;br&gt;&lt;div class=""audio""&gt;[sound:しなりお.mp3]&lt;/div&gt;")</f>
        <v>シナリオ&lt;br&gt;&lt;div class="audio"&gt;[sound:しなりお.mp3]&lt;/div&gt;</v>
      </c>
      <c r="H2334" s="3" t="str">
        <f t="shared" si="1"/>
        <v>(n): kịch bản</v>
      </c>
      <c r="I2334" s="6" t="s">
        <v>12707</v>
      </c>
      <c r="J2334" s="6" t="s">
        <v>12708</v>
      </c>
      <c r="K2334" s="7">
        <f t="shared" si="2"/>
        <v>0.4568378386</v>
      </c>
    </row>
    <row r="2335">
      <c r="A2335" s="4">
        <v>2335.0</v>
      </c>
      <c r="B2335" s="5" t="s">
        <v>12709</v>
      </c>
      <c r="C2335" s="5" t="s">
        <v>12709</v>
      </c>
      <c r="D2335" s="5" t="s">
        <v>12709</v>
      </c>
      <c r="E2335" s="6" t="s">
        <v>11</v>
      </c>
      <c r="F2335" s="6" t="s">
        <v>8282</v>
      </c>
      <c r="G2335" s="3" t="str">
        <f>IFERROR(__xludf.DUMMYFUNCTION("REGEXREPLACE(
D2335,
""([一-龯々]+)\[([^\]]+)\]"",
""&lt;ruby&gt;$1&lt;rt&gt;$2&lt;/rt&gt;&lt;/ruby&gt;""
)&amp;""&lt;br&gt;&lt;div class=""""audio""""&gt;[sound:""&amp;C2335&amp;"".mp3]&lt;/div&gt;"""),"でかい&lt;br&gt;&lt;div class=""audio""&gt;[sound:でかい.mp3]&lt;/div&gt;")</f>
        <v>でかい&lt;br&gt;&lt;div class="audio"&gt;[sound:でかい.mp3]&lt;/div&gt;</v>
      </c>
      <c r="H2335" s="3" t="str">
        <f t="shared" si="1"/>
        <v>(adj): khổng lồ</v>
      </c>
      <c r="I2335" s="6" t="s">
        <v>12710</v>
      </c>
      <c r="J2335" s="6" t="s">
        <v>12711</v>
      </c>
      <c r="K2335" s="7">
        <f t="shared" si="2"/>
        <v>0.3058554224</v>
      </c>
    </row>
    <row r="2336">
      <c r="A2336" s="4">
        <v>2336.0</v>
      </c>
      <c r="B2336" s="5" t="s">
        <v>12712</v>
      </c>
      <c r="C2336" s="5" t="s">
        <v>12713</v>
      </c>
      <c r="D2336" s="5" t="s">
        <v>12712</v>
      </c>
      <c r="E2336" s="6" t="s">
        <v>74</v>
      </c>
      <c r="F2336" s="6" t="s">
        <v>12714</v>
      </c>
      <c r="G2336" s="3" t="str">
        <f>IFERROR(__xludf.DUMMYFUNCTION("REGEXREPLACE(
D2336,
""([一-龯々]+)\[([^\]]+)\]"",
""&lt;ruby&gt;$1&lt;rt&gt;$2&lt;/rt&gt;&lt;/ruby&gt;""
)&amp;""&lt;br&gt;&lt;div class=""""audio""""&gt;[sound:""&amp;C2336&amp;"".mp3]&lt;/div&gt;"""),"バー&lt;br&gt;&lt;div class=""audio""&gt;[sound:ばー.mp3]&lt;/div&gt;")</f>
        <v>バー&lt;br&gt;&lt;div class="audio"&gt;[sound:ばー.mp3]&lt;/div&gt;</v>
      </c>
      <c r="H2336" s="3" t="str">
        <f t="shared" si="1"/>
        <v>(n): quán bar</v>
      </c>
      <c r="I2336" s="6" t="s">
        <v>12715</v>
      </c>
      <c r="J2336" s="6" t="s">
        <v>12716</v>
      </c>
      <c r="K2336" s="7">
        <f t="shared" si="2"/>
        <v>0.859323585</v>
      </c>
    </row>
    <row r="2337">
      <c r="A2337" s="4">
        <v>2337.0</v>
      </c>
      <c r="B2337" s="5" t="s">
        <v>12717</v>
      </c>
      <c r="C2337" s="5" t="s">
        <v>12718</v>
      </c>
      <c r="D2337" s="5" t="s">
        <v>12717</v>
      </c>
      <c r="E2337" s="6" t="s">
        <v>74</v>
      </c>
      <c r="F2337" s="6" t="s">
        <v>12719</v>
      </c>
      <c r="G2337" s="3" t="str">
        <f>IFERROR(__xludf.DUMMYFUNCTION("REGEXREPLACE(
D2337,
""([一-龯々]+)\[([^\]]+)\]"",
""&lt;ruby&gt;$1&lt;rt&gt;$2&lt;/rt&gt;&lt;/ruby&gt;""
)&amp;""&lt;br&gt;&lt;div class=""""audio""""&gt;[sound:""&amp;C2337&amp;"".mp3]&lt;/div&gt;"""),"レース&lt;br&gt;&lt;div class=""audio""&gt;[sound:れーす.mp3]&lt;/div&gt;")</f>
        <v>レース&lt;br&gt;&lt;div class="audio"&gt;[sound:れーす.mp3]&lt;/div&gt;</v>
      </c>
      <c r="H2337" s="3" t="str">
        <f t="shared" si="1"/>
        <v>(n): cuộc đua</v>
      </c>
      <c r="I2337" s="6" t="s">
        <v>12720</v>
      </c>
      <c r="J2337" s="6" t="s">
        <v>12721</v>
      </c>
      <c r="K2337" s="7">
        <f t="shared" si="2"/>
        <v>0.8463171568</v>
      </c>
    </row>
    <row r="2338">
      <c r="A2338" s="4">
        <v>2338.0</v>
      </c>
      <c r="B2338" s="5" t="s">
        <v>12722</v>
      </c>
      <c r="C2338" s="5" t="s">
        <v>12723</v>
      </c>
      <c r="D2338" s="5" t="s">
        <v>12724</v>
      </c>
      <c r="E2338" s="6" t="s">
        <v>24</v>
      </c>
      <c r="F2338" s="6" t="s">
        <v>12725</v>
      </c>
      <c r="G2338" s="3" t="str">
        <f>IFERROR(__xludf.DUMMYFUNCTION("REGEXREPLACE(
D2338,
""([一-龯々]+)\[([^\]]+)\]"",
""&lt;ruby&gt;$1&lt;rt&gt;$2&lt;/rt&gt;&lt;/ruby&gt;""
)&amp;""&lt;br&gt;&lt;div class=""""audio""""&gt;[sound:""&amp;C2338&amp;"".mp3]&lt;/div&gt;"""),"&lt;ruby&gt;任&lt;rt&gt;まか&lt;/rt&gt;&lt;/ruby&gt;す&lt;br&gt;&lt;div class=""audio""&gt;[sound:まかす.mp3]&lt;/div&gt;")</f>
        <v>&lt;ruby&gt;任&lt;rt&gt;まか&lt;/rt&gt;&lt;/ruby&gt;す&lt;br&gt;&lt;div class="audio"&gt;[sound:まかす.mp3]&lt;/div&gt;</v>
      </c>
      <c r="H2338" s="3" t="str">
        <f t="shared" si="1"/>
        <v>(v): giao phó</v>
      </c>
      <c r="I2338" s="6" t="s">
        <v>12726</v>
      </c>
      <c r="J2338" s="6" t="s">
        <v>12727</v>
      </c>
      <c r="K2338" s="7">
        <f t="shared" si="2"/>
        <v>0.09113309791</v>
      </c>
    </row>
    <row r="2339">
      <c r="A2339" s="4">
        <v>2339.0</v>
      </c>
      <c r="B2339" s="5" t="s">
        <v>12728</v>
      </c>
      <c r="C2339" s="5" t="s">
        <v>12729</v>
      </c>
      <c r="D2339" s="5" t="s">
        <v>12730</v>
      </c>
      <c r="E2339" s="6" t="s">
        <v>24</v>
      </c>
      <c r="F2339" s="6" t="s">
        <v>12731</v>
      </c>
      <c r="G2339" s="3" t="str">
        <f>IFERROR(__xludf.DUMMYFUNCTION("REGEXREPLACE(
D2339,
""([一-龯々]+)\[([^\]]+)\]"",
""&lt;ruby&gt;$1&lt;rt&gt;$2&lt;/rt&gt;&lt;/ruby&gt;""
)&amp;""&lt;br&gt;&lt;div class=""""audio""""&gt;[sound:""&amp;C2339&amp;"".mp3]&lt;/div&gt;"""),"&lt;ruby&gt;作用&lt;rt&gt;さよう&lt;/rt&gt;&lt;/ruby&gt;&lt;br&gt;&lt;div class=""audio""&gt;[sound:さよう.mp3]&lt;/div&gt;")</f>
        <v>&lt;ruby&gt;作用&lt;rt&gt;さよう&lt;/rt&gt;&lt;/ruby&gt;&lt;br&gt;&lt;div class="audio"&gt;[sound:さよう.mp3]&lt;/div&gt;</v>
      </c>
      <c r="H2339" s="3" t="str">
        <f t="shared" si="1"/>
        <v>(v): tác dụng</v>
      </c>
      <c r="I2339" s="6" t="s">
        <v>12732</v>
      </c>
      <c r="J2339" s="6" t="s">
        <v>12733</v>
      </c>
      <c r="K2339" s="7">
        <f t="shared" si="2"/>
        <v>0.8821335929</v>
      </c>
    </row>
    <row r="2340">
      <c r="A2340" s="4">
        <v>2340.0</v>
      </c>
      <c r="B2340" s="5" t="s">
        <v>12734</v>
      </c>
      <c r="C2340" s="5" t="s">
        <v>12735</v>
      </c>
      <c r="D2340" s="5" t="s">
        <v>12736</v>
      </c>
      <c r="E2340" s="6" t="s">
        <v>74</v>
      </c>
      <c r="F2340" s="6" t="s">
        <v>12737</v>
      </c>
      <c r="G2340" s="3" t="str">
        <f>IFERROR(__xludf.DUMMYFUNCTION("REGEXREPLACE(
D2340,
""([一-龯々]+)\[([^\]]+)\]"",
""&lt;ruby&gt;$1&lt;rt&gt;$2&lt;/rt&gt;&lt;/ruby&gt;""
)&amp;""&lt;br&gt;&lt;div class=""""audio""""&gt;[sound:""&amp;C2340&amp;"".mp3]&lt;/div&gt;"""),"&lt;ruby&gt;兆&lt;rt&gt;ちょう&lt;/rt&gt;&lt;/ruby&gt;&lt;br&gt;&lt;div class=""audio""&gt;[sound:ちょう.mp3]&lt;/div&gt;")</f>
        <v>&lt;ruby&gt;兆&lt;rt&gt;ちょう&lt;/rt&gt;&lt;/ruby&gt;&lt;br&gt;&lt;div class="audio"&gt;[sound:ちょう.mp3]&lt;/div&gt;</v>
      </c>
      <c r="H2340" s="3" t="str">
        <f t="shared" si="1"/>
        <v>(n): nghìn tỷ</v>
      </c>
      <c r="I2340" s="6" t="s">
        <v>12738</v>
      </c>
      <c r="J2340" s="6" t="s">
        <v>12739</v>
      </c>
      <c r="K2340" s="7">
        <f t="shared" si="2"/>
        <v>0.4579447277</v>
      </c>
    </row>
    <row r="2341">
      <c r="A2341" s="4">
        <v>2341.0</v>
      </c>
      <c r="B2341" s="5" t="s">
        <v>12740</v>
      </c>
      <c r="C2341" s="5" t="s">
        <v>12741</v>
      </c>
      <c r="D2341" s="5" t="s">
        <v>12742</v>
      </c>
      <c r="E2341" s="6" t="s">
        <v>74</v>
      </c>
      <c r="F2341" s="6" t="s">
        <v>12743</v>
      </c>
      <c r="G2341" s="3" t="str">
        <f>IFERROR(__xludf.DUMMYFUNCTION("REGEXREPLACE(
D2341,
""([一-龯々]+)\[([^\]]+)\]"",
""&lt;ruby&gt;$1&lt;rt&gt;$2&lt;/rt&gt;&lt;/ruby&gt;""
)&amp;""&lt;br&gt;&lt;div class=""""audio""""&gt;[sound:""&amp;C2341&amp;"".mp3]&lt;/div&gt;"""),"&lt;ruby&gt;冒頭&lt;rt&gt;ぼうとう&lt;/rt&gt;&lt;/ruby&gt;&lt;br&gt;&lt;div class=""audio""&gt;[sound:ぼうとう.mp3]&lt;/div&gt;")</f>
        <v>&lt;ruby&gt;冒頭&lt;rt&gt;ぼうとう&lt;/rt&gt;&lt;/ruby&gt;&lt;br&gt;&lt;div class="audio"&gt;[sound:ぼうとう.mp3]&lt;/div&gt;</v>
      </c>
      <c r="H2341" s="3" t="str">
        <f t="shared" si="1"/>
        <v>(n): đầu đoạn</v>
      </c>
      <c r="I2341" s="6" t="s">
        <v>12744</v>
      </c>
      <c r="J2341" s="6" t="s">
        <v>12745</v>
      </c>
      <c r="K2341" s="7">
        <f t="shared" si="2"/>
        <v>0.7659164094</v>
      </c>
    </row>
    <row r="2342">
      <c r="A2342" s="4">
        <v>2342.0</v>
      </c>
      <c r="B2342" s="5" t="s">
        <v>12746</v>
      </c>
      <c r="C2342" s="5" t="s">
        <v>12747</v>
      </c>
      <c r="D2342" s="5" t="s">
        <v>12748</v>
      </c>
      <c r="E2342" s="6" t="s">
        <v>11</v>
      </c>
      <c r="F2342" s="6" t="s">
        <v>12749</v>
      </c>
      <c r="G2342" s="3" t="str">
        <f>IFERROR(__xludf.DUMMYFUNCTION("REGEXREPLACE(
D2342,
""([一-龯々]+)\[([^\]]+)\]"",
""&lt;ruby&gt;$1&lt;rt&gt;$2&lt;/rt&gt;&lt;/ruby&gt;""
)&amp;""&lt;br&gt;&lt;div class=""""audio""""&gt;[sound:""&amp;C2342&amp;"".mp3]&lt;/div&gt;"""),"&lt;ruby&gt;切&lt;rt&gt;せつ&lt;/rt&gt;&lt;/ruby&gt;ない&lt;br&gt;&lt;div class=""audio""&gt;[sound:せつない.mp3]&lt;/div&gt;")</f>
        <v>&lt;ruby&gt;切&lt;rt&gt;せつ&lt;/rt&gt;&lt;/ruby&gt;ない&lt;br&gt;&lt;div class="audio"&gt;[sound:せつない.mp3]&lt;/div&gt;</v>
      </c>
      <c r="H2342" s="3" t="str">
        <f t="shared" si="1"/>
        <v>(adj): đau lòng</v>
      </c>
      <c r="I2342" s="6" t="s">
        <v>12750</v>
      </c>
      <c r="J2342" s="6" t="s">
        <v>12751</v>
      </c>
      <c r="K2342" s="7">
        <f t="shared" si="2"/>
        <v>0.0460325598</v>
      </c>
    </row>
    <row r="2343">
      <c r="A2343" s="4">
        <v>2343.0</v>
      </c>
      <c r="B2343" s="5" t="s">
        <v>12752</v>
      </c>
      <c r="C2343" s="5" t="s">
        <v>12753</v>
      </c>
      <c r="D2343" s="5" t="s">
        <v>12754</v>
      </c>
      <c r="E2343" s="6" t="s">
        <v>74</v>
      </c>
      <c r="F2343" s="6" t="s">
        <v>12755</v>
      </c>
      <c r="G2343" s="3" t="str">
        <f>IFERROR(__xludf.DUMMYFUNCTION("REGEXREPLACE(
D2343,
""([一-龯々]+)\[([^\]]+)\]"",
""&lt;ruby&gt;$1&lt;rt&gt;$2&lt;/rt&gt;&lt;/ruby&gt;""
)&amp;""&lt;br&gt;&lt;div class=""""audio""""&gt;[sound:""&amp;C2343&amp;"".mp3]&lt;/div&gt;"""),"&lt;ruby&gt;利点&lt;rt&gt;りてん&lt;/rt&gt;&lt;/ruby&gt;&lt;br&gt;&lt;div class=""audio""&gt;[sound:りてん.mp3]&lt;/div&gt;")</f>
        <v>&lt;ruby&gt;利点&lt;rt&gt;りてん&lt;/rt&gt;&lt;/ruby&gt;&lt;br&gt;&lt;div class="audio"&gt;[sound:りてん.mp3]&lt;/div&gt;</v>
      </c>
      <c r="H2343" s="3" t="str">
        <f t="shared" si="1"/>
        <v>(n): điểm lợi</v>
      </c>
      <c r="I2343" s="6" t="s">
        <v>12756</v>
      </c>
      <c r="J2343" s="6" t="s">
        <v>12757</v>
      </c>
      <c r="K2343" s="7">
        <f t="shared" si="2"/>
        <v>0.1885230306</v>
      </c>
    </row>
    <row r="2344">
      <c r="A2344" s="4">
        <v>2344.0</v>
      </c>
      <c r="B2344" s="5" t="s">
        <v>12758</v>
      </c>
      <c r="C2344" s="5" t="s">
        <v>12759</v>
      </c>
      <c r="D2344" s="5" t="s">
        <v>12760</v>
      </c>
      <c r="E2344" s="6" t="s">
        <v>24</v>
      </c>
      <c r="F2344" s="6" t="s">
        <v>12761</v>
      </c>
      <c r="G2344" s="3" t="str">
        <f>IFERROR(__xludf.DUMMYFUNCTION("REGEXREPLACE(
D2344,
""([一-龯々]+)\[([^\]]+)\]"",
""&lt;ruby&gt;$1&lt;rt&gt;$2&lt;/rt&gt;&lt;/ruby&gt;""
)&amp;""&lt;br&gt;&lt;div class=""""audio""""&gt;[sound:""&amp;C2344&amp;"".mp3]&lt;/div&gt;"""),"&lt;ruby&gt;励&lt;rt&gt;はげ&lt;/rt&gt;&lt;/ruby&gt;ます&lt;br&gt;&lt;div class=""audio""&gt;[sound:はげます.mp3]&lt;/div&gt;")</f>
        <v>&lt;ruby&gt;励&lt;rt&gt;はげ&lt;/rt&gt;&lt;/ruby&gt;ます&lt;br&gt;&lt;div class="audio"&gt;[sound:はげます.mp3]&lt;/div&gt;</v>
      </c>
      <c r="H2344" s="3" t="str">
        <f t="shared" si="1"/>
        <v>(v): khích lệ</v>
      </c>
      <c r="I2344" s="6" t="s">
        <v>12762</v>
      </c>
      <c r="J2344" s="6" t="s">
        <v>12763</v>
      </c>
      <c r="K2344" s="7">
        <f t="shared" si="2"/>
        <v>0.37348009</v>
      </c>
    </row>
    <row r="2345">
      <c r="A2345" s="4">
        <v>2345.0</v>
      </c>
      <c r="B2345" s="5" t="s">
        <v>12764</v>
      </c>
      <c r="C2345" s="5" t="s">
        <v>12765</v>
      </c>
      <c r="D2345" s="5" t="s">
        <v>12766</v>
      </c>
      <c r="E2345" s="6" t="s">
        <v>24</v>
      </c>
      <c r="F2345" s="6" t="s">
        <v>12767</v>
      </c>
      <c r="G2345" s="3" t="str">
        <f>IFERROR(__xludf.DUMMYFUNCTION("REGEXREPLACE(
D2345,
""([一-龯々]+)\[([^\]]+)\]"",
""&lt;ruby&gt;$1&lt;rt&gt;$2&lt;/rt&gt;&lt;/ruby&gt;""
)&amp;""&lt;br&gt;&lt;div class=""""audio""""&gt;[sound:""&amp;C2345&amp;"".mp3]&lt;/div&gt;"""),"&lt;ruby&gt;受&lt;rt&gt;う&lt;/rt&gt;&lt;/ruby&gt;け&lt;ruby&gt;止&lt;rt&gt;と&lt;/rt&gt;&lt;/ruby&gt;める&lt;br&gt;&lt;div class=""audio""&gt;[sound:うけとめる.mp3]&lt;/div&gt;")</f>
        <v>&lt;ruby&gt;受&lt;rt&gt;う&lt;/rt&gt;&lt;/ruby&gt;け&lt;ruby&gt;止&lt;rt&gt;と&lt;/rt&gt;&lt;/ruby&gt;める&lt;br&gt;&lt;div class="audio"&gt;[sound:うけとめる.mp3]&lt;/div&gt;</v>
      </c>
      <c r="H2345" s="3" t="str">
        <f t="shared" si="1"/>
        <v>(v): đón nhận</v>
      </c>
      <c r="I2345" s="6" t="s">
        <v>12768</v>
      </c>
      <c r="J2345" s="6" t="s">
        <v>12769</v>
      </c>
      <c r="K2345" s="7">
        <f t="shared" si="2"/>
        <v>0.5055501043</v>
      </c>
    </row>
    <row r="2346">
      <c r="A2346" s="4">
        <v>2346.0</v>
      </c>
      <c r="B2346" s="5" t="s">
        <v>12770</v>
      </c>
      <c r="C2346" s="5" t="s">
        <v>12771</v>
      </c>
      <c r="D2346" s="5" t="s">
        <v>12772</v>
      </c>
      <c r="E2346" s="6" t="s">
        <v>24</v>
      </c>
      <c r="F2346" s="6" t="s">
        <v>12773</v>
      </c>
      <c r="G2346" s="3" t="str">
        <f>IFERROR(__xludf.DUMMYFUNCTION("REGEXREPLACE(
D2346,
""([一-龯々]+)\[([^\]]+)\]"",
""&lt;ruby&gt;$1&lt;rt&gt;$2&lt;/rt&gt;&lt;/ruby&gt;""
)&amp;""&lt;br&gt;&lt;div class=""""audio""""&gt;[sound:""&amp;C2346&amp;"".mp3]&lt;/div&gt;"""),"&lt;ruby&gt;生&lt;rt&gt;い&lt;/rt&gt;&lt;/ruby&gt;かす&lt;br&gt;&lt;div class=""audio""&gt;[sound:いかす.mp3]&lt;/div&gt;")</f>
        <v>&lt;ruby&gt;生&lt;rt&gt;い&lt;/rt&gt;&lt;/ruby&gt;かす&lt;br&gt;&lt;div class="audio"&gt;[sound:いかす.mp3]&lt;/div&gt;</v>
      </c>
      <c r="H2346" s="3" t="str">
        <f t="shared" si="1"/>
        <v>(v): tận dụng</v>
      </c>
      <c r="I2346" s="6" t="s">
        <v>12774</v>
      </c>
      <c r="J2346" s="6" t="s">
        <v>12775</v>
      </c>
      <c r="K2346" s="7">
        <f t="shared" si="2"/>
        <v>0.883748754</v>
      </c>
    </row>
    <row r="2347">
      <c r="A2347" s="4">
        <v>2347.0</v>
      </c>
      <c r="B2347" s="5" t="s">
        <v>12776</v>
      </c>
      <c r="C2347" s="5" t="s">
        <v>12777</v>
      </c>
      <c r="D2347" s="5" t="s">
        <v>12778</v>
      </c>
      <c r="E2347" s="6" t="s">
        <v>74</v>
      </c>
      <c r="F2347" s="6" t="s">
        <v>12779</v>
      </c>
      <c r="G2347" s="3" t="str">
        <f>IFERROR(__xludf.DUMMYFUNCTION("REGEXREPLACE(
D2347,
""([一-龯々]+)\[([^\]]+)\]"",
""&lt;ruby&gt;$1&lt;rt&gt;$2&lt;/rt&gt;&lt;/ruby&gt;""
)&amp;""&lt;br&gt;&lt;div class=""""audio""""&gt;[sound:""&amp;C2347&amp;"".mp3]&lt;/div&gt;"""),"&lt;ruby&gt;義理&lt;rt&gt;ぎり&lt;/rt&gt;&lt;/ruby&gt;&lt;br&gt;&lt;div class=""audio""&gt;[sound:ぎり.mp3]&lt;/div&gt;")</f>
        <v>&lt;ruby&gt;義理&lt;rt&gt;ぎり&lt;/rt&gt;&lt;/ruby&gt;&lt;br&gt;&lt;div class="audio"&gt;[sound:ぎり.mp3]&lt;/div&gt;</v>
      </c>
      <c r="H2347" s="3" t="str">
        <f t="shared" si="1"/>
        <v>(n): nghĩa lý</v>
      </c>
      <c r="I2347" s="6" t="s">
        <v>12780</v>
      </c>
      <c r="J2347" s="6" t="s">
        <v>12781</v>
      </c>
      <c r="K2347" s="7">
        <f t="shared" si="2"/>
        <v>0.907614056</v>
      </c>
    </row>
    <row r="2348">
      <c r="A2348" s="4">
        <v>2348.0</v>
      </c>
      <c r="B2348" s="5" t="s">
        <v>12782</v>
      </c>
      <c r="C2348" s="5" t="s">
        <v>12783</v>
      </c>
      <c r="D2348" s="5" t="s">
        <v>12784</v>
      </c>
      <c r="E2348" s="6" t="s">
        <v>74</v>
      </c>
      <c r="F2348" s="6" t="s">
        <v>12785</v>
      </c>
      <c r="G2348" s="3" t="str">
        <f>IFERROR(__xludf.DUMMYFUNCTION("REGEXREPLACE(
D2348,
""([一-龯々]+)\[([^\]]+)\]"",
""&lt;ruby&gt;$1&lt;rt&gt;$2&lt;/rt&gt;&lt;/ruby&gt;""
)&amp;""&lt;br&gt;&lt;div class=""""audio""""&gt;[sound:""&amp;C2348&amp;"".mp3]&lt;/div&gt;"""),"&lt;ruby&gt;花粉&lt;rt&gt;かふん&lt;/rt&gt;&lt;/ruby&gt;&lt;br&gt;&lt;div class=""audio""&gt;[sound:かふん.mp3]&lt;/div&gt;")</f>
        <v>&lt;ruby&gt;花粉&lt;rt&gt;かふん&lt;/rt&gt;&lt;/ruby&gt;&lt;br&gt;&lt;div class="audio"&gt;[sound:かふん.mp3]&lt;/div&gt;</v>
      </c>
      <c r="H2348" s="3" t="str">
        <f t="shared" si="1"/>
        <v>(n): phấn hoa</v>
      </c>
      <c r="I2348" s="6" t="s">
        <v>12786</v>
      </c>
      <c r="J2348" s="6" t="s">
        <v>12787</v>
      </c>
      <c r="K2348" s="7">
        <f t="shared" si="2"/>
        <v>0.8507471968</v>
      </c>
    </row>
    <row r="2349">
      <c r="A2349" s="4">
        <v>2349.0</v>
      </c>
      <c r="B2349" s="5" t="s">
        <v>12788</v>
      </c>
      <c r="C2349" s="5" t="s">
        <v>12789</v>
      </c>
      <c r="D2349" s="5" t="s">
        <v>12790</v>
      </c>
      <c r="E2349" s="6" t="s">
        <v>74</v>
      </c>
      <c r="F2349" s="6" t="s">
        <v>12791</v>
      </c>
      <c r="G2349" s="3" t="str">
        <f>IFERROR(__xludf.DUMMYFUNCTION("REGEXREPLACE(
D2349,
""([一-龯々]+)\[([^\]]+)\]"",
""&lt;ruby&gt;$1&lt;rt&gt;$2&lt;/rt&gt;&lt;/ruby&gt;""
)&amp;""&lt;br&gt;&lt;div class=""""audio""""&gt;[sound:""&amp;C2349&amp;"".mp3]&lt;/div&gt;"""),"&lt;ruby&gt;英雄&lt;rt&gt;えいゆう&lt;/rt&gt;&lt;/ruby&gt;&lt;br&gt;&lt;div class=""audio""&gt;[sound:えいゆう.mp3]&lt;/div&gt;")</f>
        <v>&lt;ruby&gt;英雄&lt;rt&gt;えいゆう&lt;/rt&gt;&lt;/ruby&gt;&lt;br&gt;&lt;div class="audio"&gt;[sound:えいゆう.mp3]&lt;/div&gt;</v>
      </c>
      <c r="H2349" s="3" t="str">
        <f t="shared" si="1"/>
        <v>(n): anh hùng</v>
      </c>
      <c r="I2349" s="6" t="s">
        <v>12792</v>
      </c>
      <c r="J2349" s="6" t="s">
        <v>12793</v>
      </c>
      <c r="K2349" s="7">
        <f t="shared" si="2"/>
        <v>0.709560681</v>
      </c>
    </row>
    <row r="2350">
      <c r="A2350" s="4">
        <v>2350.0</v>
      </c>
      <c r="B2350" s="5" t="s">
        <v>12794</v>
      </c>
      <c r="C2350" s="5" t="s">
        <v>12795</v>
      </c>
      <c r="D2350" s="5" t="s">
        <v>12796</v>
      </c>
      <c r="E2350" s="6" t="s">
        <v>74</v>
      </c>
      <c r="F2350" s="6" t="s">
        <v>12797</v>
      </c>
      <c r="G2350" s="3" t="str">
        <f>IFERROR(__xludf.DUMMYFUNCTION("REGEXREPLACE(
D2350,
""([一-龯々]+)\[([^\]]+)\]"",
""&lt;ruby&gt;$1&lt;rt&gt;$2&lt;/rt&gt;&lt;/ruby&gt;""
)&amp;""&lt;br&gt;&lt;div class=""""audio""""&gt;[sound:""&amp;C2350&amp;"".mp3]&lt;/div&gt;"""),"&lt;ruby&gt;複合&lt;rt&gt;ふくごう&lt;/rt&gt;&lt;/ruby&gt;&lt;br&gt;&lt;div class=""audio""&gt;[sound:ふくごう.mp3]&lt;/div&gt;")</f>
        <v>&lt;ruby&gt;複合&lt;rt&gt;ふくごう&lt;/rt&gt;&lt;/ruby&gt;&lt;br&gt;&lt;div class="audio"&gt;[sound:ふくごう.mp3]&lt;/div&gt;</v>
      </c>
      <c r="H2350" s="3" t="str">
        <f t="shared" si="1"/>
        <v>(n): phức hợp</v>
      </c>
      <c r="I2350" s="6" t="s">
        <v>12798</v>
      </c>
      <c r="J2350" s="6" t="s">
        <v>12799</v>
      </c>
      <c r="K2350" s="7">
        <f t="shared" si="2"/>
        <v>0.4487102836</v>
      </c>
    </row>
    <row r="2351">
      <c r="A2351" s="4">
        <v>2351.0</v>
      </c>
      <c r="B2351" s="5" t="s">
        <v>12800</v>
      </c>
      <c r="C2351" s="5" t="s">
        <v>12801</v>
      </c>
      <c r="D2351" s="5" t="s">
        <v>12802</v>
      </c>
      <c r="E2351" s="6" t="s">
        <v>24</v>
      </c>
      <c r="F2351" s="6" t="s">
        <v>12803</v>
      </c>
      <c r="G2351" s="3" t="str">
        <f>IFERROR(__xludf.DUMMYFUNCTION("REGEXREPLACE(
D2351,
""([一-龯々]+)\[([^\]]+)\]"",
""&lt;ruby&gt;$1&lt;rt&gt;$2&lt;/rt&gt;&lt;/ruby&gt;""
)&amp;""&lt;br&gt;&lt;div class=""""audio""""&gt;[sound:""&amp;C2351&amp;"".mp3]&lt;/div&gt;"""),"&lt;ruby&gt;襲&lt;rt&gt;おそ&lt;/rt&gt;&lt;/ruby&gt;う&lt;br&gt;&lt;div class=""audio""&gt;[sound:おそう.mp3]&lt;/div&gt;")</f>
        <v>&lt;ruby&gt;襲&lt;rt&gt;おそ&lt;/rt&gt;&lt;/ruby&gt;う&lt;br&gt;&lt;div class="audio"&gt;[sound:おそう.mp3]&lt;/div&gt;</v>
      </c>
      <c r="H2351" s="3" t="str">
        <f t="shared" si="1"/>
        <v>(v): tấn công</v>
      </c>
      <c r="I2351" s="6" t="s">
        <v>12804</v>
      </c>
      <c r="J2351" s="6" t="s">
        <v>12805</v>
      </c>
      <c r="K2351" s="7">
        <f t="shared" si="2"/>
        <v>0.8258486977</v>
      </c>
    </row>
    <row r="2352">
      <c r="A2352" s="4">
        <v>2352.0</v>
      </c>
      <c r="B2352" s="5" t="s">
        <v>12806</v>
      </c>
      <c r="C2352" s="5" t="s">
        <v>12807</v>
      </c>
      <c r="D2352" s="5" t="s">
        <v>12808</v>
      </c>
      <c r="E2352" s="6" t="s">
        <v>74</v>
      </c>
      <c r="F2352" s="6" t="s">
        <v>12809</v>
      </c>
      <c r="G2352" s="3" t="str">
        <f>IFERROR(__xludf.DUMMYFUNCTION("REGEXREPLACE(
D2352,
""([一-龯々]+)\[([^\]]+)\]"",
""&lt;ruby&gt;$1&lt;rt&gt;$2&lt;/rt&gt;&lt;/ruby&gt;""
)&amp;""&lt;br&gt;&lt;div class=""""audio""""&gt;[sound:""&amp;C2352&amp;"".mp3]&lt;/div&gt;"""),"&lt;ruby&gt;階層&lt;rt&gt;かいそう&lt;/rt&gt;&lt;/ruby&gt;&lt;br&gt;&lt;div class=""audio""&gt;[sound:かいそう.mp3]&lt;/div&gt;")</f>
        <v>&lt;ruby&gt;階層&lt;rt&gt;かいそう&lt;/rt&gt;&lt;/ruby&gt;&lt;br&gt;&lt;div class="audio"&gt;[sound:かいそう.mp3]&lt;/div&gt;</v>
      </c>
      <c r="H2352" s="3" t="str">
        <f t="shared" si="1"/>
        <v>(n): tầng lớp</v>
      </c>
      <c r="I2352" s="6" t="s">
        <v>12810</v>
      </c>
      <c r="J2352" s="6" t="s">
        <v>12811</v>
      </c>
      <c r="K2352" s="7">
        <f t="shared" si="2"/>
        <v>0.6941945927</v>
      </c>
    </row>
    <row r="2353">
      <c r="A2353" s="4">
        <v>2353.0</v>
      </c>
      <c r="B2353" s="5" t="s">
        <v>12812</v>
      </c>
      <c r="C2353" s="5" t="s">
        <v>12813</v>
      </c>
      <c r="D2353" s="5" t="s">
        <v>12814</v>
      </c>
      <c r="E2353" s="6" t="s">
        <v>74</v>
      </c>
      <c r="F2353" s="6" t="s">
        <v>12815</v>
      </c>
      <c r="G2353" s="3" t="str">
        <f>IFERROR(__xludf.DUMMYFUNCTION("REGEXREPLACE(
D2353,
""([一-龯々]+)\[([^\]]+)\]"",
""&lt;ruby&gt;$1&lt;rt&gt;$2&lt;/rt&gt;&lt;/ruby&gt;""
)&amp;""&lt;br&gt;&lt;div class=""""audio""""&gt;[sound:""&amp;C2353&amp;"".mp3]&lt;/div&gt;"""),"&lt;ruby&gt;魂&lt;rt&gt;たましい&lt;/rt&gt;&lt;/ruby&gt;&lt;br&gt;&lt;div class=""audio""&gt;[sound:たましい.mp3]&lt;/div&gt;")</f>
        <v>&lt;ruby&gt;魂&lt;rt&gt;たましい&lt;/rt&gt;&lt;/ruby&gt;&lt;br&gt;&lt;div class="audio"&gt;[sound:たましい.mp3]&lt;/div&gt;</v>
      </c>
      <c r="H2353" s="3" t="str">
        <f t="shared" si="1"/>
        <v>(n): linh hồn</v>
      </c>
      <c r="I2353" s="6" t="s">
        <v>12816</v>
      </c>
      <c r="J2353" s="6" t="s">
        <v>12817</v>
      </c>
      <c r="K2353" s="7">
        <f t="shared" si="2"/>
        <v>0.9055294137</v>
      </c>
    </row>
    <row r="2354">
      <c r="A2354" s="4">
        <v>2354.0</v>
      </c>
      <c r="B2354" s="5" t="s">
        <v>12818</v>
      </c>
      <c r="C2354" s="5" t="s">
        <v>12819</v>
      </c>
      <c r="D2354" s="5" t="s">
        <v>12818</v>
      </c>
      <c r="E2354" s="6" t="s">
        <v>11</v>
      </c>
      <c r="F2354" s="6" t="s">
        <v>12820</v>
      </c>
      <c r="G2354" s="3" t="str">
        <f>IFERROR(__xludf.DUMMYFUNCTION("REGEXREPLACE(
D2354,
""([一-龯々]+)\[([^\]]+)\]"",
""&lt;ruby&gt;$1&lt;rt&gt;$2&lt;/rt&gt;&lt;/ruby&gt;""
)&amp;""&lt;br&gt;&lt;div class=""""audio""""&gt;[sound:""&amp;C2354&amp;"".mp3]&lt;/div&gt;"""),"ユニーク&lt;br&gt;&lt;div class=""audio""&gt;[sound:ゆにーく.mp3]&lt;/div&gt;")</f>
        <v>ユニーク&lt;br&gt;&lt;div class="audio"&gt;[sound:ゆにーく.mp3]&lt;/div&gt;</v>
      </c>
      <c r="H2354" s="3" t="str">
        <f t="shared" si="1"/>
        <v>(adj): độc đáo</v>
      </c>
      <c r="I2354" s="6" t="s">
        <v>12821</v>
      </c>
      <c r="J2354" s="6" t="s">
        <v>12822</v>
      </c>
      <c r="K2354" s="7">
        <f t="shared" si="2"/>
        <v>0.4305905627</v>
      </c>
    </row>
    <row r="2355">
      <c r="A2355" s="4">
        <v>2355.0</v>
      </c>
      <c r="B2355" s="5" t="s">
        <v>12823</v>
      </c>
      <c r="C2355" s="5" t="s">
        <v>12824</v>
      </c>
      <c r="D2355" s="5" t="s">
        <v>12825</v>
      </c>
      <c r="E2355" s="6" t="s">
        <v>74</v>
      </c>
      <c r="F2355" s="6" t="s">
        <v>12826</v>
      </c>
      <c r="G2355" s="3" t="str">
        <f>IFERROR(__xludf.DUMMYFUNCTION("REGEXREPLACE(
D2355,
""([一-龯々]+)\[([^\]]+)\]"",
""&lt;ruby&gt;$1&lt;rt&gt;$2&lt;/rt&gt;&lt;/ruby&gt;""
)&amp;""&lt;br&gt;&lt;div class=""""audio""""&gt;[sound:""&amp;C2355&amp;"".mp3]&lt;/div&gt;"""),"&lt;ruby&gt;主体&lt;rt&gt;しゅたい&lt;/rt&gt;&lt;/ruby&gt;&lt;br&gt;&lt;div class=""audio""&gt;[sound:しゅたい.mp3]&lt;/div&gt;")</f>
        <v>&lt;ruby&gt;主体&lt;rt&gt;しゅたい&lt;/rt&gt;&lt;/ruby&gt;&lt;br&gt;&lt;div class="audio"&gt;[sound:しゅたい.mp3]&lt;/div&gt;</v>
      </c>
      <c r="H2355" s="3" t="str">
        <f t="shared" si="1"/>
        <v>(n): chủ thể</v>
      </c>
      <c r="I2355" s="6" t="s">
        <v>12827</v>
      </c>
      <c r="J2355" s="6" t="s">
        <v>12828</v>
      </c>
      <c r="K2355" s="7">
        <f t="shared" si="2"/>
        <v>0.7425674391</v>
      </c>
    </row>
    <row r="2356">
      <c r="A2356" s="4">
        <v>2356.0</v>
      </c>
      <c r="B2356" s="5" t="s">
        <v>12829</v>
      </c>
      <c r="C2356" s="5" t="s">
        <v>12830</v>
      </c>
      <c r="D2356" s="5" t="s">
        <v>12831</v>
      </c>
      <c r="E2356" s="6" t="s">
        <v>24</v>
      </c>
      <c r="F2356" s="6" t="s">
        <v>303</v>
      </c>
      <c r="G2356" s="3" t="str">
        <f>IFERROR(__xludf.DUMMYFUNCTION("REGEXREPLACE(
D2356,
""([一-龯々]+)\[([^\]]+)\]"",
""&lt;ruby&gt;$1&lt;rt&gt;$2&lt;/rt&gt;&lt;/ruby&gt;""
)&amp;""&lt;br&gt;&lt;div class=""""audio""""&gt;[sound:""&amp;C2356&amp;"".mp3]&lt;/div&gt;"""),"&lt;ruby&gt;仕掛&lt;rt&gt;しか&lt;/rt&gt;&lt;/ruby&gt;ける&lt;br&gt;&lt;div class=""audio""&gt;[sound:しかける.mp3]&lt;/div&gt;")</f>
        <v>&lt;ruby&gt;仕掛&lt;rt&gt;しか&lt;/rt&gt;&lt;/ruby&gt;ける&lt;br&gt;&lt;div class="audio"&gt;[sound:しかける.mp3]&lt;/div&gt;</v>
      </c>
      <c r="H2356" s="3" t="str">
        <f t="shared" si="1"/>
        <v>(v): bắt đầu</v>
      </c>
      <c r="I2356" s="6" t="s">
        <v>12832</v>
      </c>
      <c r="J2356" s="6" t="s">
        <v>12833</v>
      </c>
      <c r="K2356" s="7">
        <f t="shared" si="2"/>
        <v>0.8151209003</v>
      </c>
    </row>
    <row r="2357">
      <c r="A2357" s="4">
        <v>2357.0</v>
      </c>
      <c r="B2357" s="5" t="s">
        <v>12834</v>
      </c>
      <c r="C2357" s="5" t="s">
        <v>12835</v>
      </c>
      <c r="D2357" s="5" t="s">
        <v>12836</v>
      </c>
      <c r="E2357" s="6" t="s">
        <v>74</v>
      </c>
      <c r="F2357" s="6" t="s">
        <v>12837</v>
      </c>
      <c r="G2357" s="3" t="str">
        <f>IFERROR(__xludf.DUMMYFUNCTION("REGEXREPLACE(
D2357,
""([一-龯々]+)\[([^\]]+)\]"",
""&lt;ruby&gt;$1&lt;rt&gt;$2&lt;/rt&gt;&lt;/ruby&gt;""
)&amp;""&lt;br&gt;&lt;div class=""""audio""""&gt;[sound:""&amp;C2357&amp;"".mp3]&lt;/div&gt;"""),"&lt;ruby&gt;保守&lt;rt&gt;ほしゅ&lt;/rt&gt;&lt;/ruby&gt;&lt;br&gt;&lt;div class=""audio""&gt;[sound:ほしゅ.mp3]&lt;/div&gt;")</f>
        <v>&lt;ruby&gt;保守&lt;rt&gt;ほしゅ&lt;/rt&gt;&lt;/ruby&gt;&lt;br&gt;&lt;div class="audio"&gt;[sound:ほしゅ.mp3]&lt;/div&gt;</v>
      </c>
      <c r="H2357" s="3" t="str">
        <f t="shared" si="1"/>
        <v>(n): bảo trì</v>
      </c>
      <c r="I2357" s="6" t="s">
        <v>12838</v>
      </c>
      <c r="J2357" s="6" t="s">
        <v>12839</v>
      </c>
      <c r="K2357" s="7">
        <f t="shared" si="2"/>
        <v>0.2809099326</v>
      </c>
    </row>
    <row r="2358">
      <c r="A2358" s="4">
        <v>2358.0</v>
      </c>
      <c r="B2358" s="5" t="s">
        <v>12840</v>
      </c>
      <c r="C2358" s="5" t="s">
        <v>12841</v>
      </c>
      <c r="D2358" s="5" t="s">
        <v>12842</v>
      </c>
      <c r="E2358" s="6" t="s">
        <v>74</v>
      </c>
      <c r="F2358" s="6" t="s">
        <v>12843</v>
      </c>
      <c r="G2358" s="3" t="str">
        <f>IFERROR(__xludf.DUMMYFUNCTION("REGEXREPLACE(
D2358,
""([一-龯々]+)\[([^\]]+)\]"",
""&lt;ruby&gt;$1&lt;rt&gt;$2&lt;/rt&gt;&lt;/ruby&gt;""
)&amp;""&lt;br&gt;&lt;div class=""""audio""""&gt;[sound:""&amp;C2358&amp;"".mp3]&lt;/div&gt;"""),"&lt;ruby&gt;個別&lt;rt&gt;こべつ&lt;/rt&gt;&lt;/ruby&gt;&lt;br&gt;&lt;div class=""audio""&gt;[sound:こべつ.mp3]&lt;/div&gt;")</f>
        <v>&lt;ruby&gt;個別&lt;rt&gt;こべつ&lt;/rt&gt;&lt;/ruby&gt;&lt;br&gt;&lt;div class="audio"&gt;[sound:こべつ.mp3]&lt;/div&gt;</v>
      </c>
      <c r="H2358" s="3" t="str">
        <f t="shared" si="1"/>
        <v>(n): cá biệt</v>
      </c>
      <c r="I2358" s="6" t="s">
        <v>12844</v>
      </c>
      <c r="J2358" s="6" t="s">
        <v>12845</v>
      </c>
      <c r="K2358" s="7">
        <f t="shared" si="2"/>
        <v>0.02984977656</v>
      </c>
    </row>
    <row r="2359">
      <c r="A2359" s="4">
        <v>2359.0</v>
      </c>
      <c r="B2359" s="5" t="s">
        <v>12846</v>
      </c>
      <c r="C2359" s="5" t="s">
        <v>12847</v>
      </c>
      <c r="D2359" s="5" t="s">
        <v>12848</v>
      </c>
      <c r="E2359" s="6" t="s">
        <v>24</v>
      </c>
      <c r="F2359" s="6" t="s">
        <v>12849</v>
      </c>
      <c r="G2359" s="3" t="str">
        <f>IFERROR(__xludf.DUMMYFUNCTION("REGEXREPLACE(
D2359,
""([一-龯々]+)\[([^\]]+)\]"",
""&lt;ruby&gt;$1&lt;rt&gt;$2&lt;/rt&gt;&lt;/ruby&gt;""
)&amp;""&lt;br&gt;&lt;div class=""""audio""""&gt;[sound:""&amp;C2359&amp;"".mp3]&lt;/div&gt;"""),"&lt;ruby&gt;傾&lt;rt&gt;かたむ&lt;/rt&gt;&lt;/ruby&gt;ける&lt;br&gt;&lt;div class=""audio""&gt;[sound:かたむける.mp3]&lt;/div&gt;")</f>
        <v>&lt;ruby&gt;傾&lt;rt&gt;かたむ&lt;/rt&gt;&lt;/ruby&gt;ける&lt;br&gt;&lt;div class="audio"&gt;[sound:かたむける.mp3]&lt;/div&gt;</v>
      </c>
      <c r="H2359" s="3" t="str">
        <f t="shared" si="1"/>
        <v>(v): nghiêng</v>
      </c>
      <c r="I2359" s="6" t="s">
        <v>12850</v>
      </c>
      <c r="J2359" s="6" t="s">
        <v>12851</v>
      </c>
      <c r="K2359" s="7">
        <f t="shared" si="2"/>
        <v>0.5770359862</v>
      </c>
    </row>
    <row r="2360">
      <c r="A2360" s="4">
        <v>2360.0</v>
      </c>
      <c r="B2360" s="5" t="s">
        <v>12852</v>
      </c>
      <c r="C2360" s="5" t="s">
        <v>12853</v>
      </c>
      <c r="D2360" s="5" t="s">
        <v>12854</v>
      </c>
      <c r="E2360" s="6" t="s">
        <v>74</v>
      </c>
      <c r="F2360" s="6" t="s">
        <v>12855</v>
      </c>
      <c r="G2360" s="3" t="str">
        <f>IFERROR(__xludf.DUMMYFUNCTION("REGEXREPLACE(
D2360,
""([一-龯々]+)\[([^\]]+)\]"",
""&lt;ruby&gt;$1&lt;rt&gt;$2&lt;/rt&gt;&lt;/ruby&gt;""
)&amp;""&lt;br&gt;&lt;div class=""""audio""""&gt;[sound:""&amp;C2360&amp;"".mp3]&lt;/div&gt;"""),"&lt;ruby&gt;分子&lt;rt&gt;ぶんし&lt;/rt&gt;&lt;/ruby&gt;&lt;br&gt;&lt;div class=""audio""&gt;[sound:ぶんし.mp3]&lt;/div&gt;")</f>
        <v>&lt;ruby&gt;分子&lt;rt&gt;ぶんし&lt;/rt&gt;&lt;/ruby&gt;&lt;br&gt;&lt;div class="audio"&gt;[sound:ぶんし.mp3]&lt;/div&gt;</v>
      </c>
      <c r="H2360" s="3" t="str">
        <f t="shared" si="1"/>
        <v>(n): phân tử</v>
      </c>
      <c r="I2360" s="6" t="s">
        <v>12856</v>
      </c>
      <c r="J2360" s="6" t="s">
        <v>12857</v>
      </c>
      <c r="K2360" s="7">
        <f t="shared" si="2"/>
        <v>0.39539966</v>
      </c>
    </row>
    <row r="2361">
      <c r="A2361" s="4">
        <v>2361.0</v>
      </c>
      <c r="B2361" s="5" t="s">
        <v>12858</v>
      </c>
      <c r="C2361" s="5" t="s">
        <v>12859</v>
      </c>
      <c r="D2361" s="5" t="s">
        <v>12860</v>
      </c>
      <c r="E2361" s="6" t="s">
        <v>74</v>
      </c>
      <c r="F2361" s="6" t="s">
        <v>11364</v>
      </c>
      <c r="G2361" s="3" t="str">
        <f>IFERROR(__xludf.DUMMYFUNCTION("REGEXREPLACE(
D2361,
""([一-龯々]+)\[([^\]]+)\]"",
""&lt;ruby&gt;$1&lt;rt&gt;$2&lt;/rt&gt;&lt;/ruby&gt;""
)&amp;""&lt;br&gt;&lt;div class=""""audio""""&gt;[sound:""&amp;C2361&amp;"".mp3]&lt;/div&gt;"""),"&lt;ruby&gt;動機&lt;rt&gt;どうき&lt;/rt&gt;&lt;/ruby&gt;&lt;br&gt;&lt;div class=""audio""&gt;[sound:どうき.mp3]&lt;/div&gt;")</f>
        <v>&lt;ruby&gt;動機&lt;rt&gt;どうき&lt;/rt&gt;&lt;/ruby&gt;&lt;br&gt;&lt;div class="audio"&gt;[sound:どうき.mp3]&lt;/div&gt;</v>
      </c>
      <c r="H2361" s="3" t="str">
        <f t="shared" si="1"/>
        <v>(n): động cơ</v>
      </c>
      <c r="I2361" s="6" t="s">
        <v>12861</v>
      </c>
      <c r="J2361" s="6" t="s">
        <v>12862</v>
      </c>
      <c r="K2361" s="7">
        <f t="shared" si="2"/>
        <v>0.4471464022</v>
      </c>
    </row>
    <row r="2362">
      <c r="A2362" s="4">
        <v>2362.0</v>
      </c>
      <c r="B2362" s="5" t="s">
        <v>12863</v>
      </c>
      <c r="C2362" s="5" t="s">
        <v>12864</v>
      </c>
      <c r="D2362" s="5" t="s">
        <v>12865</v>
      </c>
      <c r="E2362" s="6" t="s">
        <v>74</v>
      </c>
      <c r="F2362" s="6" t="s">
        <v>12866</v>
      </c>
      <c r="G2362" s="3" t="str">
        <f>IFERROR(__xludf.DUMMYFUNCTION("REGEXREPLACE(
D2362,
""([一-龯々]+)\[([^\]]+)\]"",
""&lt;ruby&gt;$1&lt;rt&gt;$2&lt;/rt&gt;&lt;/ruby&gt;""
)&amp;""&lt;br&gt;&lt;div class=""""audio""""&gt;[sound:""&amp;C2362&amp;"".mp3]&lt;/div&gt;"""),"&lt;ruby&gt;勢力&lt;rt&gt;せいりょく&lt;/rt&gt;&lt;/ruby&gt;&lt;br&gt;&lt;div class=""audio""&gt;[sound:せいりょく.mp3]&lt;/div&gt;")</f>
        <v>&lt;ruby&gt;勢力&lt;rt&gt;せいりょく&lt;/rt&gt;&lt;/ruby&gt;&lt;br&gt;&lt;div class="audio"&gt;[sound:せいりょく.mp3]&lt;/div&gt;</v>
      </c>
      <c r="H2362" s="3" t="str">
        <f t="shared" si="1"/>
        <v>(n): thế lực</v>
      </c>
      <c r="I2362" s="6" t="s">
        <v>12867</v>
      </c>
      <c r="J2362" s="6" t="s">
        <v>12868</v>
      </c>
      <c r="K2362" s="7">
        <f t="shared" si="2"/>
        <v>0.2706206256</v>
      </c>
    </row>
    <row r="2363">
      <c r="A2363" s="4">
        <v>2363.0</v>
      </c>
      <c r="B2363" s="5" t="s">
        <v>12869</v>
      </c>
      <c r="C2363" s="5" t="s">
        <v>12870</v>
      </c>
      <c r="D2363" s="5" t="s">
        <v>12871</v>
      </c>
      <c r="E2363" s="6" t="s">
        <v>24</v>
      </c>
      <c r="F2363" s="6" t="s">
        <v>12872</v>
      </c>
      <c r="G2363" s="3" t="str">
        <f>IFERROR(__xludf.DUMMYFUNCTION("REGEXREPLACE(
D2363,
""([一-龯々]+)\[([^\]]+)\]"",
""&lt;ruby&gt;$1&lt;rt&gt;$2&lt;/rt&gt;&lt;/ruby&gt;""
)&amp;""&lt;br&gt;&lt;div class=""""audio""""&gt;[sound:""&amp;C2363&amp;"".mp3]&lt;/div&gt;"""),"&lt;ruby&gt;取&lt;rt&gt;と&lt;/rt&gt;&lt;/ruby&gt;り&lt;ruby&gt;付&lt;rt&gt;つ&lt;/rt&gt;&lt;/ruby&gt;ける&lt;br&gt;&lt;div class=""audio""&gt;[sound:とりつける.mp3]&lt;/div&gt;")</f>
        <v>&lt;ruby&gt;取&lt;rt&gt;と&lt;/rt&gt;&lt;/ruby&gt;り&lt;ruby&gt;付&lt;rt&gt;つ&lt;/rt&gt;&lt;/ruby&gt;ける&lt;br&gt;&lt;div class="audio"&gt;[sound:とりつける.mp3]&lt;/div&gt;</v>
      </c>
      <c r="H2363" s="3" t="str">
        <f t="shared" si="1"/>
        <v>(v): lắp đặt</v>
      </c>
      <c r="I2363" s="6" t="s">
        <v>12873</v>
      </c>
      <c r="J2363" s="6" t="s">
        <v>12874</v>
      </c>
      <c r="K2363" s="7">
        <f t="shared" si="2"/>
        <v>0.6462607026</v>
      </c>
    </row>
    <row r="2364">
      <c r="A2364" s="4">
        <v>2364.0</v>
      </c>
      <c r="B2364" s="5" t="s">
        <v>12875</v>
      </c>
      <c r="C2364" s="5" t="s">
        <v>12876</v>
      </c>
      <c r="D2364" s="5" t="s">
        <v>12877</v>
      </c>
      <c r="E2364" s="6" t="s">
        <v>24</v>
      </c>
      <c r="F2364" s="6" t="s">
        <v>12878</v>
      </c>
      <c r="G2364" s="3" t="str">
        <f>IFERROR(__xludf.DUMMYFUNCTION("REGEXREPLACE(
D2364,
""([一-龯々]+)\[([^\]]+)\]"",
""&lt;ruby&gt;$1&lt;rt&gt;$2&lt;/rt&gt;&lt;/ruby&gt;""
)&amp;""&lt;br&gt;&lt;div class=""""audio""""&gt;[sound:""&amp;C2364&amp;"".mp3]&lt;/div&gt;"""),"&lt;ruby&gt;取&lt;rt&gt;と&lt;/rt&gt;&lt;/ruby&gt;り&lt;ruby&gt;除&lt;rt&gt;のぞ&lt;/rt&gt;&lt;/ruby&gt;く&lt;br&gt;&lt;div class=""audio""&gt;[sound:とりのぞく.mp3]&lt;/div&gt;")</f>
        <v>&lt;ruby&gt;取&lt;rt&gt;と&lt;/rt&gt;&lt;/ruby&gt;り&lt;ruby&gt;除&lt;rt&gt;のぞ&lt;/rt&gt;&lt;/ruby&gt;く&lt;br&gt;&lt;div class="audio"&gt;[sound:とりのぞく.mp3]&lt;/div&gt;</v>
      </c>
      <c r="H2364" s="3" t="str">
        <f t="shared" si="1"/>
        <v>(v): loại bỏ</v>
      </c>
      <c r="I2364" s="6" t="s">
        <v>12879</v>
      </c>
      <c r="J2364" s="6" t="s">
        <v>12880</v>
      </c>
      <c r="K2364" s="7">
        <f t="shared" si="2"/>
        <v>0.2032628257</v>
      </c>
    </row>
    <row r="2365">
      <c r="A2365" s="4">
        <v>2365.0</v>
      </c>
      <c r="B2365" s="5" t="s">
        <v>12881</v>
      </c>
      <c r="C2365" s="5" t="s">
        <v>12882</v>
      </c>
      <c r="D2365" s="5" t="s">
        <v>12883</v>
      </c>
      <c r="E2365" s="6" t="s">
        <v>74</v>
      </c>
      <c r="F2365" s="6" t="s">
        <v>12884</v>
      </c>
      <c r="G2365" s="3" t="str">
        <f>IFERROR(__xludf.DUMMYFUNCTION("REGEXREPLACE(
D2365,
""([一-龯々]+)\[([^\]]+)\]"",
""&lt;ruby&gt;$1&lt;rt&gt;$2&lt;/rt&gt;&lt;/ruby&gt;""
)&amp;""&lt;br&gt;&lt;div class=""""audio""""&gt;[sound:""&amp;C2365&amp;"".mp3]&lt;/div&gt;"""),"&lt;ruby&gt;名称&lt;rt&gt;めいしょう&lt;/rt&gt;&lt;/ruby&gt;&lt;br&gt;&lt;div class=""audio""&gt;[sound:めいしょう.mp3]&lt;/div&gt;")</f>
        <v>&lt;ruby&gt;名称&lt;rt&gt;めいしょう&lt;/rt&gt;&lt;/ruby&gt;&lt;br&gt;&lt;div class="audio"&gt;[sound:めいしょう.mp3]&lt;/div&gt;</v>
      </c>
      <c r="H2365" s="3" t="str">
        <f t="shared" si="1"/>
        <v>(n): tên gọi</v>
      </c>
      <c r="I2365" s="6" t="s">
        <v>12885</v>
      </c>
      <c r="J2365" s="6" t="s">
        <v>12886</v>
      </c>
      <c r="K2365" s="7">
        <f t="shared" si="2"/>
        <v>0.4399647081</v>
      </c>
    </row>
    <row r="2366">
      <c r="A2366" s="4">
        <v>2366.0</v>
      </c>
      <c r="B2366" s="5" t="s">
        <v>12887</v>
      </c>
      <c r="C2366" s="5" t="s">
        <v>12888</v>
      </c>
      <c r="D2366" s="5" t="s">
        <v>12889</v>
      </c>
      <c r="E2366" s="6" t="s">
        <v>24</v>
      </c>
      <c r="F2366" s="6" t="s">
        <v>9751</v>
      </c>
      <c r="G2366" s="3" t="str">
        <f>IFERROR(__xludf.DUMMYFUNCTION("REGEXREPLACE(
D2366,
""([一-龯々]+)\[([^\]]+)\]"",
""&lt;ruby&gt;$1&lt;rt&gt;$2&lt;/rt&gt;&lt;/ruby&gt;""
)&amp;""&lt;br&gt;&lt;div class=""""audio""""&gt;[sound:""&amp;C2366&amp;"".mp3]&lt;/div&gt;"""),"&lt;ruby&gt;報&lt;rt&gt;ほう&lt;/rt&gt;&lt;/ruby&gt;ずる&lt;br&gt;&lt;div class=""audio""&gt;[sound:ほうずる.mp3]&lt;/div&gt;")</f>
        <v>&lt;ruby&gt;報&lt;rt&gt;ほう&lt;/rt&gt;&lt;/ruby&gt;ずる&lt;br&gt;&lt;div class="audio"&gt;[sound:ほうずる.mp3]&lt;/div&gt;</v>
      </c>
      <c r="H2366" s="3" t="str">
        <f t="shared" si="1"/>
        <v>(v): đưa tin</v>
      </c>
      <c r="I2366" s="6" t="s">
        <v>12890</v>
      </c>
      <c r="J2366" s="6" t="s">
        <v>12891</v>
      </c>
      <c r="K2366" s="7">
        <f t="shared" si="2"/>
        <v>0.7137757653</v>
      </c>
    </row>
    <row r="2367">
      <c r="A2367" s="4">
        <v>2367.0</v>
      </c>
      <c r="B2367" s="5" t="s">
        <v>12892</v>
      </c>
      <c r="C2367" s="5" t="s">
        <v>12893</v>
      </c>
      <c r="D2367" s="5" t="s">
        <v>12894</v>
      </c>
      <c r="E2367" s="6" t="s">
        <v>11</v>
      </c>
      <c r="F2367" s="6" t="s">
        <v>7808</v>
      </c>
      <c r="G2367" s="3" t="str">
        <f>IFERROR(__xludf.DUMMYFUNCTION("REGEXREPLACE(
D2367,
""([一-龯々]+)\[([^\]]+)\]"",
""&lt;ruby&gt;$1&lt;rt&gt;$2&lt;/rt&gt;&lt;/ruby&gt;""
)&amp;""&lt;br&gt;&lt;div class=""""audio""""&gt;[sound:""&amp;C2367&amp;"".mp3]&lt;/div&gt;"""),"&lt;ruby&gt;多様&lt;rt&gt;たよう&lt;/rt&gt;&lt;/ruby&gt;&lt;br&gt;&lt;div class=""audio""&gt;[sound:たよう.mp3]&lt;/div&gt;")</f>
        <v>&lt;ruby&gt;多様&lt;rt&gt;たよう&lt;/rt&gt;&lt;/ruby&gt;&lt;br&gt;&lt;div class="audio"&gt;[sound:たよう.mp3]&lt;/div&gt;</v>
      </c>
      <c r="H2367" s="3" t="str">
        <f t="shared" si="1"/>
        <v>(adj): đa dạng</v>
      </c>
      <c r="I2367" s="6" t="s">
        <v>12895</v>
      </c>
      <c r="J2367" s="6" t="s">
        <v>12896</v>
      </c>
      <c r="K2367" s="7">
        <f t="shared" si="2"/>
        <v>0.4272220801</v>
      </c>
    </row>
    <row r="2368">
      <c r="A2368" s="4">
        <v>2368.0</v>
      </c>
      <c r="B2368" s="5" t="s">
        <v>12897</v>
      </c>
      <c r="C2368" s="5" t="s">
        <v>12898</v>
      </c>
      <c r="D2368" s="5" t="s">
        <v>12899</v>
      </c>
      <c r="E2368" s="6" t="s">
        <v>74</v>
      </c>
      <c r="F2368" s="6" t="s">
        <v>12900</v>
      </c>
      <c r="G2368" s="3" t="str">
        <f>IFERROR(__xludf.DUMMYFUNCTION("REGEXREPLACE(
D2368,
""([一-龯々]+)\[([^\]]+)\]"",
""&lt;ruby&gt;$1&lt;rt&gt;$2&lt;/rt&gt;&lt;/ruby&gt;""
)&amp;""&lt;br&gt;&lt;div class=""""audio""""&gt;[sound:""&amp;C2368&amp;"".mp3]&lt;/div&gt;"""),"&lt;ruby&gt;根本&lt;rt&gt;こんぽん&lt;/rt&gt;&lt;/ruby&gt;&lt;br&gt;&lt;div class=""audio""&gt;[sound:こんぽん.mp3]&lt;/div&gt;")</f>
        <v>&lt;ruby&gt;根本&lt;rt&gt;こんぽん&lt;/rt&gt;&lt;/ruby&gt;&lt;br&gt;&lt;div class="audio"&gt;[sound:こんぽん.mp3]&lt;/div&gt;</v>
      </c>
      <c r="H2368" s="3" t="str">
        <f t="shared" si="1"/>
        <v>(n): căn bản</v>
      </c>
      <c r="I2368" s="6" t="s">
        <v>12901</v>
      </c>
      <c r="J2368" s="6" t="s">
        <v>12902</v>
      </c>
      <c r="K2368" s="7">
        <f t="shared" si="2"/>
        <v>0.8828284125</v>
      </c>
    </row>
    <row r="2369">
      <c r="A2369" s="4">
        <v>2369.0</v>
      </c>
      <c r="B2369" s="5" t="s">
        <v>12903</v>
      </c>
      <c r="C2369" s="5" t="s">
        <v>12904</v>
      </c>
      <c r="D2369" s="5" t="s">
        <v>12905</v>
      </c>
      <c r="E2369" s="6" t="s">
        <v>74</v>
      </c>
      <c r="F2369" s="6" t="s">
        <v>12906</v>
      </c>
      <c r="G2369" s="3" t="str">
        <f>IFERROR(__xludf.DUMMYFUNCTION("REGEXREPLACE(
D2369,
""([一-龯々]+)\[([^\]]+)\]"",
""&lt;ruby&gt;$1&lt;rt&gt;$2&lt;/rt&gt;&lt;/ruby&gt;""
)&amp;""&lt;br&gt;&lt;div class=""""audio""""&gt;[sound:""&amp;C2369&amp;"".mp3]&lt;/div&gt;"""),"&lt;ruby&gt;法案&lt;rt&gt;ほうあん&lt;/rt&gt;&lt;/ruby&gt;&lt;br&gt;&lt;div class=""audio""&gt;[sound:ほうあん.mp3]&lt;/div&gt;")</f>
        <v>&lt;ruby&gt;法案&lt;rt&gt;ほうあん&lt;/rt&gt;&lt;/ruby&gt;&lt;br&gt;&lt;div class="audio"&gt;[sound:ほうあん.mp3]&lt;/div&gt;</v>
      </c>
      <c r="H2369" s="3" t="str">
        <f t="shared" si="1"/>
        <v>(n): dự luật</v>
      </c>
      <c r="I2369" s="6" t="s">
        <v>12907</v>
      </c>
      <c r="J2369" s="6" t="s">
        <v>12908</v>
      </c>
      <c r="K2369" s="7">
        <f t="shared" si="2"/>
        <v>0.7484690333</v>
      </c>
    </row>
    <row r="2370">
      <c r="A2370" s="4">
        <v>2370.0</v>
      </c>
      <c r="B2370" s="5" t="s">
        <v>12909</v>
      </c>
      <c r="C2370" s="5" t="s">
        <v>12910</v>
      </c>
      <c r="D2370" s="5" t="s">
        <v>12911</v>
      </c>
      <c r="E2370" s="6" t="s">
        <v>24</v>
      </c>
      <c r="F2370" s="6" t="s">
        <v>12912</v>
      </c>
      <c r="G2370" s="3" t="str">
        <f>IFERROR(__xludf.DUMMYFUNCTION("REGEXREPLACE(
D2370,
""([一-龯々]+)\[([^\]]+)\]"",
""&lt;ruby&gt;$1&lt;rt&gt;$2&lt;/rt&gt;&lt;/ruby&gt;""
)&amp;""&lt;br&gt;&lt;div class=""""audio""""&gt;[sound:""&amp;C2370&amp;"".mp3]&lt;/div&gt;"""),"&lt;ruby&gt;満&lt;rt&gt;み&lt;/rt&gt;&lt;/ruby&gt;たす&lt;br&gt;&lt;div class=""audio""&gt;[sound:みたす.mp3]&lt;/div&gt;")</f>
        <v>&lt;ruby&gt;満&lt;rt&gt;み&lt;/rt&gt;&lt;/ruby&gt;たす&lt;br&gt;&lt;div class="audio"&gt;[sound:みたす.mp3]&lt;/div&gt;</v>
      </c>
      <c r="H2370" s="3" t="str">
        <f t="shared" si="1"/>
        <v>(v): làm đầy</v>
      </c>
      <c r="I2370" s="6" t="s">
        <v>12913</v>
      </c>
      <c r="J2370" s="6" t="s">
        <v>12914</v>
      </c>
      <c r="K2370" s="7">
        <f t="shared" si="2"/>
        <v>0.9372729</v>
      </c>
    </row>
    <row r="2371">
      <c r="A2371" s="4">
        <v>2371.0</v>
      </c>
      <c r="B2371" s="5" t="s">
        <v>12915</v>
      </c>
      <c r="C2371" s="5" t="s">
        <v>12916</v>
      </c>
      <c r="D2371" s="5" t="s">
        <v>12917</v>
      </c>
      <c r="E2371" s="6" t="s">
        <v>74</v>
      </c>
      <c r="F2371" s="6" t="s">
        <v>12918</v>
      </c>
      <c r="G2371" s="3" t="str">
        <f>IFERROR(__xludf.DUMMYFUNCTION("REGEXREPLACE(
D2371,
""([一-龯々]+)\[([^\]]+)\]"",
""&lt;ruby&gt;$1&lt;rt&gt;$2&lt;/rt&gt;&lt;/ruby&gt;""
)&amp;""&lt;br&gt;&lt;div class=""""audio""""&gt;[sound:""&amp;C2371&amp;"".mp3]&lt;/div&gt;"""),"&lt;ruby&gt;罰&lt;rt&gt;ばつ&lt;/rt&gt;&lt;/ruby&gt;&lt;br&gt;&lt;div class=""audio""&gt;[sound:ばつ.mp3]&lt;/div&gt;")</f>
        <v>&lt;ruby&gt;罰&lt;rt&gt;ばつ&lt;/rt&gt;&lt;/ruby&gt;&lt;br&gt;&lt;div class="audio"&gt;[sound:ばつ.mp3]&lt;/div&gt;</v>
      </c>
      <c r="H2371" s="3" t="str">
        <f t="shared" si="1"/>
        <v>(n): sự phạt</v>
      </c>
      <c r="I2371" s="6" t="s">
        <v>12919</v>
      </c>
      <c r="J2371" s="6" t="s">
        <v>12920</v>
      </c>
      <c r="K2371" s="7">
        <f t="shared" si="2"/>
        <v>0.1142254671</v>
      </c>
    </row>
    <row r="2372">
      <c r="A2372" s="4">
        <v>2372.0</v>
      </c>
      <c r="B2372" s="5" t="s">
        <v>12921</v>
      </c>
      <c r="C2372" s="5" t="s">
        <v>12922</v>
      </c>
      <c r="D2372" s="5" t="s">
        <v>12923</v>
      </c>
      <c r="E2372" s="6" t="s">
        <v>74</v>
      </c>
      <c r="F2372" s="6" t="s">
        <v>1799</v>
      </c>
      <c r="G2372" s="3" t="str">
        <f>IFERROR(__xludf.DUMMYFUNCTION("REGEXREPLACE(
D2372,
""([一-龯々]+)\[([^\]]+)\]"",
""&lt;ruby&gt;$1&lt;rt&gt;$2&lt;/rt&gt;&lt;/ruby&gt;""
)&amp;""&lt;br&gt;&lt;div class=""""audio""""&gt;[sound:""&amp;C2372&amp;"".mp3]&lt;/div&gt;"""),"&lt;ruby&gt;行&lt;rt&gt;おこな&lt;/rt&gt;&lt;/ruby&gt;い&lt;br&gt;&lt;div class=""audio""&gt;[sound:おこない.mp3]&lt;/div&gt;")</f>
        <v>&lt;ruby&gt;行&lt;rt&gt;おこな&lt;/rt&gt;&lt;/ruby&gt;い&lt;br&gt;&lt;div class="audio"&gt;[sound:おこない.mp3]&lt;/div&gt;</v>
      </c>
      <c r="H2372" s="3" t="str">
        <f t="shared" si="1"/>
        <v>(n): hành vi</v>
      </c>
      <c r="I2372" s="6" t="s">
        <v>12924</v>
      </c>
      <c r="J2372" s="6" t="s">
        <v>12925</v>
      </c>
      <c r="K2372" s="7">
        <f t="shared" si="2"/>
        <v>0.2314414522</v>
      </c>
    </row>
    <row r="2373">
      <c r="A2373" s="4">
        <v>2373.0</v>
      </c>
      <c r="B2373" s="5" t="s">
        <v>12926</v>
      </c>
      <c r="C2373" s="5" t="s">
        <v>12927</v>
      </c>
      <c r="D2373" s="5" t="s">
        <v>12928</v>
      </c>
      <c r="E2373" s="6" t="s">
        <v>74</v>
      </c>
      <c r="F2373" s="6" t="s">
        <v>7328</v>
      </c>
      <c r="G2373" s="3" t="str">
        <f>IFERROR(__xludf.DUMMYFUNCTION("REGEXREPLACE(
D2373,
""([一-龯々]+)\[([^\]]+)\]"",
""&lt;ruby&gt;$1&lt;rt&gt;$2&lt;/rt&gt;&lt;/ruby&gt;""
)&amp;""&lt;br&gt;&lt;div class=""""audio""""&gt;[sound:""&amp;C2373&amp;"".mp3]&lt;/div&gt;"""),"&lt;ruby&gt;衣類&lt;rt&gt;いるい&lt;/rt&gt;&lt;/ruby&gt;&lt;br&gt;&lt;div class=""audio""&gt;[sound:いるい.mp3]&lt;/div&gt;")</f>
        <v>&lt;ruby&gt;衣類&lt;rt&gt;いるい&lt;/rt&gt;&lt;/ruby&gt;&lt;br&gt;&lt;div class="audio"&gt;[sound:いるい.mp3]&lt;/div&gt;</v>
      </c>
      <c r="H2373" s="3" t="str">
        <f t="shared" si="1"/>
        <v>(n): quần áo</v>
      </c>
      <c r="I2373" s="6" t="s">
        <v>12929</v>
      </c>
      <c r="J2373" s="6" t="s">
        <v>12930</v>
      </c>
      <c r="K2373" s="7">
        <f t="shared" si="2"/>
        <v>0.8658728859</v>
      </c>
    </row>
    <row r="2374">
      <c r="A2374" s="4">
        <v>2374.0</v>
      </c>
      <c r="B2374" s="5" t="s">
        <v>12931</v>
      </c>
      <c r="C2374" s="5" t="s">
        <v>12932</v>
      </c>
      <c r="D2374" s="5" t="s">
        <v>12933</v>
      </c>
      <c r="E2374" s="6" t="s">
        <v>74</v>
      </c>
      <c r="F2374" s="6" t="s">
        <v>12934</v>
      </c>
      <c r="G2374" s="3" t="str">
        <f>IFERROR(__xludf.DUMMYFUNCTION("REGEXREPLACE(
D2374,
""([一-龯々]+)\[([^\]]+)\]"",
""&lt;ruby&gt;$1&lt;rt&gt;$2&lt;/rt&gt;&lt;/ruby&gt;""
)&amp;""&lt;br&gt;&lt;div class=""""audio""""&gt;[sound:""&amp;C2374&amp;"".mp3]&lt;/div&gt;"""),"&lt;ruby&gt;訴訟&lt;rt&gt;そしょう&lt;/rt&gt;&lt;/ruby&gt;&lt;br&gt;&lt;div class=""audio""&gt;[sound:そしょう.mp3]&lt;/div&gt;")</f>
        <v>&lt;ruby&gt;訴訟&lt;rt&gt;そしょう&lt;/rt&gt;&lt;/ruby&gt;&lt;br&gt;&lt;div class="audio"&gt;[sound:そしょう.mp3]&lt;/div&gt;</v>
      </c>
      <c r="H2374" s="3" t="str">
        <f t="shared" si="1"/>
        <v>(n): vụ kiện</v>
      </c>
      <c r="I2374" s="6" t="s">
        <v>12935</v>
      </c>
      <c r="J2374" s="6" t="s">
        <v>12936</v>
      </c>
      <c r="K2374" s="7">
        <f t="shared" si="2"/>
        <v>0.1713815191</v>
      </c>
    </row>
    <row r="2375">
      <c r="A2375" s="4">
        <v>2375.0</v>
      </c>
      <c r="B2375" s="5" t="s">
        <v>12937</v>
      </c>
      <c r="C2375" s="5" t="s">
        <v>12938</v>
      </c>
      <c r="D2375" s="5" t="s">
        <v>12939</v>
      </c>
      <c r="E2375" s="6" t="s">
        <v>24</v>
      </c>
      <c r="F2375" s="6" t="s">
        <v>9093</v>
      </c>
      <c r="G2375" s="3" t="str">
        <f>IFERROR(__xludf.DUMMYFUNCTION("REGEXREPLACE(
D2375,
""([一-龯々]+)\[([^\]]+)\]"",
""&lt;ruby&gt;$1&lt;rt&gt;$2&lt;/rt&gt;&lt;/ruby&gt;""
)&amp;""&lt;br&gt;&lt;div class=""""audio""""&gt;[sound:""&amp;C2375&amp;"".mp3]&lt;/div&gt;"""),"&lt;ruby&gt;誤&lt;rt&gt;あやま&lt;/rt&gt;&lt;/ruby&gt;る&lt;br&gt;&lt;div class=""audio""&gt;[sound:あやまる.mp3]&lt;/div&gt;")</f>
        <v>&lt;ruby&gt;誤&lt;rt&gt;あやま&lt;/rt&gt;&lt;/ruby&gt;る&lt;br&gt;&lt;div class="audio"&gt;[sound:あやまる.mp3]&lt;/div&gt;</v>
      </c>
      <c r="H2375" s="3" t="str">
        <f t="shared" si="1"/>
        <v>(v): sai lầm</v>
      </c>
      <c r="I2375" s="6" t="s">
        <v>12940</v>
      </c>
      <c r="J2375" s="6" t="s">
        <v>12941</v>
      </c>
      <c r="K2375" s="7">
        <f t="shared" si="2"/>
        <v>0.9353890331</v>
      </c>
    </row>
    <row r="2376">
      <c r="A2376" s="4">
        <v>2376.0</v>
      </c>
      <c r="B2376" s="5" t="s">
        <v>12942</v>
      </c>
      <c r="C2376" s="5" t="s">
        <v>12943</v>
      </c>
      <c r="D2376" s="5" t="s">
        <v>12944</v>
      </c>
      <c r="E2376" s="6" t="s">
        <v>74</v>
      </c>
      <c r="F2376" s="6" t="s">
        <v>12945</v>
      </c>
      <c r="G2376" s="3" t="str">
        <f>IFERROR(__xludf.DUMMYFUNCTION("REGEXREPLACE(
D2376,
""([一-龯々]+)\[([^\]]+)\]"",
""&lt;ruby&gt;$1&lt;rt&gt;$2&lt;/rt&gt;&lt;/ruby&gt;""
)&amp;""&lt;br&gt;&lt;div class=""""audio""""&gt;[sound:""&amp;C2376&amp;"".mp3]&lt;/div&gt;"""),"&lt;ruby&gt;赤字&lt;rt&gt;あかじ&lt;/rt&gt;&lt;/ruby&gt;&lt;br&gt;&lt;div class=""audio""&gt;[sound:あかじ.mp3]&lt;/div&gt;")</f>
        <v>&lt;ruby&gt;赤字&lt;rt&gt;あかじ&lt;/rt&gt;&lt;/ruby&gt;&lt;br&gt;&lt;div class="audio"&gt;[sound:あかじ.mp3]&lt;/div&gt;</v>
      </c>
      <c r="H2376" s="3" t="str">
        <f t="shared" si="1"/>
        <v>(n): thua lỗ</v>
      </c>
      <c r="I2376" s="6" t="s">
        <v>12946</v>
      </c>
      <c r="J2376" s="6" t="s">
        <v>12947</v>
      </c>
      <c r="K2376" s="7">
        <f t="shared" si="2"/>
        <v>0.5775290614</v>
      </c>
    </row>
    <row r="2377">
      <c r="A2377" s="4">
        <v>2377.0</v>
      </c>
      <c r="B2377" s="5" t="s">
        <v>12948</v>
      </c>
      <c r="C2377" s="5" t="s">
        <v>12949</v>
      </c>
      <c r="D2377" s="5" t="s">
        <v>12950</v>
      </c>
      <c r="E2377" s="6" t="s">
        <v>74</v>
      </c>
      <c r="F2377" s="6" t="s">
        <v>12951</v>
      </c>
      <c r="G2377" s="3" t="str">
        <f>IFERROR(__xludf.DUMMYFUNCTION("REGEXREPLACE(
D2377,
""([一-龯々]+)\[([^\]]+)\]"",
""&lt;ruby&gt;$1&lt;rt&gt;$2&lt;/rt&gt;&lt;/ruby&gt;""
)&amp;""&lt;br&gt;&lt;div class=""""audio""""&gt;[sound:""&amp;C2377&amp;"".mp3]&lt;/div&gt;"""),"&lt;ruby&gt;走行&lt;rt&gt;そうこう&lt;/rt&gt;&lt;/ruby&gt;&lt;br&gt;&lt;div class=""audio""&gt;[sound:そうこう.mp3]&lt;/div&gt;")</f>
        <v>&lt;ruby&gt;走行&lt;rt&gt;そうこう&lt;/rt&gt;&lt;/ruby&gt;&lt;br&gt;&lt;div class="audio"&gt;[sound:そうこう.mp3]&lt;/div&gt;</v>
      </c>
      <c r="H2377" s="3" t="str">
        <f t="shared" si="1"/>
        <v>(n): sự chạy</v>
      </c>
      <c r="I2377" s="6" t="s">
        <v>12952</v>
      </c>
      <c r="J2377" s="6" t="s">
        <v>12953</v>
      </c>
      <c r="K2377" s="7">
        <f t="shared" si="2"/>
        <v>0.7111376374</v>
      </c>
    </row>
    <row r="2378">
      <c r="A2378" s="4">
        <v>2378.0</v>
      </c>
      <c r="B2378" s="5" t="s">
        <v>12954</v>
      </c>
      <c r="C2378" s="5" t="s">
        <v>12955</v>
      </c>
      <c r="D2378" s="5" t="s">
        <v>12956</v>
      </c>
      <c r="E2378" s="6" t="s">
        <v>24</v>
      </c>
      <c r="F2378" s="6" t="s">
        <v>12957</v>
      </c>
      <c r="G2378" s="3" t="str">
        <f>IFERROR(__xludf.DUMMYFUNCTION("REGEXREPLACE(
D2378,
""([一-龯々]+)\[([^\]]+)\]"",
""&lt;ruby&gt;$1&lt;rt&gt;$2&lt;/rt&gt;&lt;/ruby&gt;""
)&amp;""&lt;br&gt;&lt;div class=""""audio""""&gt;[sound:""&amp;C2378&amp;"".mp3]&lt;/div&gt;"""),"&lt;ruby&gt;追&lt;rt&gt;お&lt;/rt&gt;&lt;/ruby&gt;い&lt;ruby&gt;込&lt;rt&gt;こ&lt;/rt&gt;&lt;/ruby&gt;む&lt;br&gt;&lt;div class=""audio""&gt;[sound:おいこむ.mp3]&lt;/div&gt;")</f>
        <v>&lt;ruby&gt;追&lt;rt&gt;お&lt;/rt&gt;&lt;/ruby&gt;い&lt;ruby&gt;込&lt;rt&gt;こ&lt;/rt&gt;&lt;/ruby&gt;む&lt;br&gt;&lt;div class="audio"&gt;[sound:おいこむ.mp3]&lt;/div&gt;</v>
      </c>
      <c r="H2378" s="3" t="str">
        <f t="shared" si="1"/>
        <v>(v): dồn vào</v>
      </c>
      <c r="I2378" s="6" t="s">
        <v>12958</v>
      </c>
      <c r="J2378" s="6" t="s">
        <v>12959</v>
      </c>
      <c r="K2378" s="7">
        <f t="shared" si="2"/>
        <v>0.9031524948</v>
      </c>
    </row>
    <row r="2379">
      <c r="A2379" s="4">
        <v>2379.0</v>
      </c>
      <c r="B2379" s="5" t="s">
        <v>12960</v>
      </c>
      <c r="C2379" s="5" t="s">
        <v>12961</v>
      </c>
      <c r="D2379" s="5" t="s">
        <v>12960</v>
      </c>
      <c r="E2379" s="6" t="s">
        <v>74</v>
      </c>
      <c r="F2379" s="6" t="s">
        <v>7108</v>
      </c>
      <c r="G2379" s="3" t="str">
        <f>IFERROR(__xludf.DUMMYFUNCTION("REGEXREPLACE(
D2379,
""([一-龯々]+)\[([^\]]+)\]"",
""&lt;ruby&gt;$1&lt;rt&gt;$2&lt;/rt&gt;&lt;/ruby&gt;""
)&amp;""&lt;br&gt;&lt;div class=""""audio""""&gt;[sound:""&amp;C2379&amp;"".mp3]&lt;/div&gt;"""),"ポーズ&lt;br&gt;&lt;div class=""audio""&gt;[sound:ぽーず.mp3]&lt;/div&gt;")</f>
        <v>ポーズ&lt;br&gt;&lt;div class="audio"&gt;[sound:ぽーず.mp3]&lt;/div&gt;</v>
      </c>
      <c r="H2379" s="3" t="str">
        <f t="shared" si="1"/>
        <v>(n): tư thế</v>
      </c>
      <c r="I2379" s="6" t="s">
        <v>12962</v>
      </c>
      <c r="J2379" s="6" t="s">
        <v>12963</v>
      </c>
      <c r="K2379" s="7">
        <f t="shared" si="2"/>
        <v>0.5018589633</v>
      </c>
    </row>
    <row r="2380">
      <c r="A2380" s="4">
        <v>2380.0</v>
      </c>
      <c r="B2380" s="5" t="s">
        <v>12964</v>
      </c>
      <c r="C2380" s="5" t="s">
        <v>12965</v>
      </c>
      <c r="D2380" s="5" t="s">
        <v>12966</v>
      </c>
      <c r="E2380" s="6" t="s">
        <v>74</v>
      </c>
      <c r="F2380" s="6" t="s">
        <v>12967</v>
      </c>
      <c r="G2380" s="3" t="str">
        <f>IFERROR(__xludf.DUMMYFUNCTION("REGEXREPLACE(
D2380,
""([一-龯々]+)\[([^\]]+)\]"",
""&lt;ruby&gt;$1&lt;rt&gt;$2&lt;/rt&gt;&lt;/ruby&gt;""
)&amp;""&lt;br&gt;&lt;div class=""""audio""""&gt;[sound:""&amp;C2380&amp;"".mp3]&lt;/div&gt;"""),"&lt;ruby&gt;仕組&lt;rt&gt;しくみ&lt;/rt&gt;&lt;/ruby&gt;&lt;br&gt;&lt;div class=""audio""&gt;[sound:しくみ.mp3]&lt;/div&gt;")</f>
        <v>&lt;ruby&gt;仕組&lt;rt&gt;しくみ&lt;/rt&gt;&lt;/ruby&gt;&lt;br&gt;&lt;div class="audio"&gt;[sound:しくみ.mp3]&lt;/div&gt;</v>
      </c>
      <c r="H2380" s="3" t="str">
        <f t="shared" si="1"/>
        <v>(n): cơ cấu</v>
      </c>
      <c r="I2380" s="6" t="s">
        <v>12968</v>
      </c>
      <c r="J2380" s="6" t="s">
        <v>12969</v>
      </c>
      <c r="K2380" s="7">
        <f t="shared" si="2"/>
        <v>0.3765544516</v>
      </c>
    </row>
    <row r="2381">
      <c r="A2381" s="4">
        <v>2381.0</v>
      </c>
      <c r="B2381" s="5" t="s">
        <v>12970</v>
      </c>
      <c r="C2381" s="5" t="s">
        <v>12971</v>
      </c>
      <c r="D2381" s="5" t="s">
        <v>12972</v>
      </c>
      <c r="E2381" s="6" t="s">
        <v>74</v>
      </c>
      <c r="F2381" s="6" t="s">
        <v>12973</v>
      </c>
      <c r="G2381" s="3" t="str">
        <f>IFERROR(__xludf.DUMMYFUNCTION("REGEXREPLACE(
D2381,
""([一-龯々]+)\[([^\]]+)\]"",
""&lt;ruby&gt;$1&lt;rt&gt;$2&lt;/rt&gt;&lt;/ruby&gt;""
)&amp;""&lt;br&gt;&lt;div class=""""audio""""&gt;[sound:""&amp;C2381&amp;"".mp3]&lt;/div&gt;"""),"&lt;ruby&gt;入浴&lt;rt&gt;にゅうよく&lt;/rt&gt;&lt;/ruby&gt;&lt;br&gt;&lt;div class=""audio""&gt;[sound:にゅうよく.mp3]&lt;/div&gt;")</f>
        <v>&lt;ruby&gt;入浴&lt;rt&gt;にゅうよく&lt;/rt&gt;&lt;/ruby&gt;&lt;br&gt;&lt;div class="audio"&gt;[sound:にゅうよく.mp3]&lt;/div&gt;</v>
      </c>
      <c r="H2381" s="3" t="str">
        <f t="shared" si="1"/>
        <v>(n): sự tắm</v>
      </c>
      <c r="I2381" s="6" t="s">
        <v>12974</v>
      </c>
      <c r="J2381" s="6" t="s">
        <v>12975</v>
      </c>
      <c r="K2381" s="7">
        <f t="shared" si="2"/>
        <v>0.2834879273</v>
      </c>
    </row>
    <row r="2382">
      <c r="A2382" s="4">
        <v>2382.0</v>
      </c>
      <c r="B2382" s="5" t="s">
        <v>12976</v>
      </c>
      <c r="C2382" s="5" t="s">
        <v>12977</v>
      </c>
      <c r="D2382" s="5" t="s">
        <v>12978</v>
      </c>
      <c r="E2382" s="6" t="s">
        <v>74</v>
      </c>
      <c r="F2382" s="6" t="s">
        <v>7632</v>
      </c>
      <c r="G2382" s="3" t="str">
        <f>IFERROR(__xludf.DUMMYFUNCTION("REGEXREPLACE(
D2382,
""([一-龯々]+)\[([^\]]+)\]"",
""&lt;ruby&gt;$1&lt;rt&gt;$2&lt;/rt&gt;&lt;/ruby&gt;""
)&amp;""&lt;br&gt;&lt;div class=""""audio""""&gt;[sound:""&amp;C2382&amp;"".mp3]&lt;/div&gt;"""),"&lt;ruby&gt;内緒&lt;rt&gt;ないしょ&lt;/rt&gt;&lt;/ruby&gt;&lt;br&gt;&lt;div class=""audio""&gt;[sound:ないしょ.mp3]&lt;/div&gt;")</f>
        <v>&lt;ruby&gt;内緒&lt;rt&gt;ないしょ&lt;/rt&gt;&lt;/ruby&gt;&lt;br&gt;&lt;div class="audio"&gt;[sound:ないしょ.mp3]&lt;/div&gt;</v>
      </c>
      <c r="H2382" s="3" t="str">
        <f t="shared" si="1"/>
        <v>(n): bí mật</v>
      </c>
      <c r="I2382" s="6" t="s">
        <v>12979</v>
      </c>
      <c r="J2382" s="6" t="s">
        <v>12980</v>
      </c>
      <c r="K2382" s="7">
        <f t="shared" si="2"/>
        <v>0.09750023585</v>
      </c>
    </row>
    <row r="2383">
      <c r="A2383" s="4">
        <v>2383.0</v>
      </c>
      <c r="B2383" s="5" t="s">
        <v>12981</v>
      </c>
      <c r="C2383" s="5" t="s">
        <v>12982</v>
      </c>
      <c r="D2383" s="5" t="s">
        <v>12983</v>
      </c>
      <c r="E2383" s="6" t="s">
        <v>24</v>
      </c>
      <c r="F2383" s="6" t="s">
        <v>12984</v>
      </c>
      <c r="G2383" s="3" t="str">
        <f>IFERROR(__xludf.DUMMYFUNCTION("REGEXREPLACE(
D2383,
""([一-龯々]+)\[([^\]]+)\]"",
""&lt;ruby&gt;$1&lt;rt&gt;$2&lt;/rt&gt;&lt;/ruby&gt;""
)&amp;""&lt;br&gt;&lt;div class=""""audio""""&gt;[sound:""&amp;C2383&amp;"".mp3]&lt;/div&gt;"""),"&lt;ruby&gt;凝&lt;rt&gt;こ&lt;/rt&gt;&lt;/ruby&gt;る&lt;br&gt;&lt;div class=""audio""&gt;[sound:こる.mp3]&lt;/div&gt;")</f>
        <v>&lt;ruby&gt;凝&lt;rt&gt;こ&lt;/rt&gt;&lt;/ruby&gt;る&lt;br&gt;&lt;div class="audio"&gt;[sound:こる.mp3]&lt;/div&gt;</v>
      </c>
      <c r="H2383" s="3" t="str">
        <f t="shared" si="1"/>
        <v>(v): đam mê</v>
      </c>
      <c r="I2383" s="6" t="s">
        <v>12985</v>
      </c>
      <c r="J2383" s="6" t="s">
        <v>12986</v>
      </c>
      <c r="K2383" s="7">
        <f t="shared" si="2"/>
        <v>0.4291622196</v>
      </c>
    </row>
    <row r="2384">
      <c r="A2384" s="4">
        <v>2384.0</v>
      </c>
      <c r="B2384" s="5" t="s">
        <v>12987</v>
      </c>
      <c r="C2384" s="5" t="s">
        <v>12988</v>
      </c>
      <c r="D2384" s="5" t="s">
        <v>12989</v>
      </c>
      <c r="E2384" s="6" t="s">
        <v>74</v>
      </c>
      <c r="F2384" s="6" t="s">
        <v>12990</v>
      </c>
      <c r="G2384" s="3" t="str">
        <f>IFERROR(__xludf.DUMMYFUNCTION("REGEXREPLACE(
D2384,
""([一-龯々]+)\[([^\]]+)\]"",
""&lt;ruby&gt;$1&lt;rt&gt;$2&lt;/rt&gt;&lt;/ruby&gt;""
)&amp;""&lt;br&gt;&lt;div class=""""audio""""&gt;[sound:""&amp;C2384&amp;"".mp3]&lt;/div&gt;"""),"&lt;ruby&gt;判決&lt;rt&gt;はんけつ&lt;/rt&gt;&lt;/ruby&gt;&lt;br&gt;&lt;div class=""audio""&gt;[sound:はんけつ.mp3]&lt;/div&gt;")</f>
        <v>&lt;ruby&gt;判決&lt;rt&gt;はんけつ&lt;/rt&gt;&lt;/ruby&gt;&lt;br&gt;&lt;div class="audio"&gt;[sound:はんけつ.mp3]&lt;/div&gt;</v>
      </c>
      <c r="H2384" s="3" t="str">
        <f t="shared" si="1"/>
        <v>(n): bản án</v>
      </c>
      <c r="I2384" s="6" t="s">
        <v>12991</v>
      </c>
      <c r="J2384" s="6" t="s">
        <v>12992</v>
      </c>
      <c r="K2384" s="7">
        <f t="shared" si="2"/>
        <v>0.05378629504</v>
      </c>
    </row>
    <row r="2385">
      <c r="A2385" s="4">
        <v>2385.0</v>
      </c>
      <c r="B2385" s="5" t="s">
        <v>12993</v>
      </c>
      <c r="C2385" s="5" t="s">
        <v>12994</v>
      </c>
      <c r="D2385" s="5" t="s">
        <v>12995</v>
      </c>
      <c r="E2385" s="6" t="s">
        <v>74</v>
      </c>
      <c r="F2385" s="6" t="s">
        <v>12996</v>
      </c>
      <c r="G2385" s="3" t="str">
        <f>IFERROR(__xludf.DUMMYFUNCTION("REGEXREPLACE(
D2385,
""([一-龯々]+)\[([^\]]+)\]"",
""&lt;ruby&gt;$1&lt;rt&gt;$2&lt;/rt&gt;&lt;/ruby&gt;""
)&amp;""&lt;br&gt;&lt;div class=""""audio""""&gt;[sound:""&amp;C2385&amp;"".mp3]&lt;/div&gt;"""),"&lt;ruby&gt;自立&lt;rt&gt;じりつ&lt;/rt&gt;&lt;/ruby&gt;&lt;br&gt;&lt;div class=""audio""&gt;[sound:じりつ.mp3]&lt;/div&gt;")</f>
        <v>&lt;ruby&gt;自立&lt;rt&gt;じりつ&lt;/rt&gt;&lt;/ruby&gt;&lt;br&gt;&lt;div class="audio"&gt;[sound:じりつ.mp3]&lt;/div&gt;</v>
      </c>
      <c r="H2385" s="3" t="str">
        <f t="shared" si="1"/>
        <v>(n): tự lập</v>
      </c>
      <c r="I2385" s="6" t="s">
        <v>12997</v>
      </c>
      <c r="J2385" s="6" t="s">
        <v>12998</v>
      </c>
      <c r="K2385" s="7">
        <f t="shared" si="2"/>
        <v>0.08071822682</v>
      </c>
    </row>
    <row r="2386">
      <c r="A2386" s="4">
        <v>2386.0</v>
      </c>
      <c r="B2386" s="5" t="s">
        <v>12999</v>
      </c>
      <c r="C2386" s="5" t="s">
        <v>13000</v>
      </c>
      <c r="D2386" s="5" t="s">
        <v>13001</v>
      </c>
      <c r="E2386" s="6" t="s">
        <v>24</v>
      </c>
      <c r="F2386" s="6" t="s">
        <v>13002</v>
      </c>
      <c r="G2386" s="3" t="str">
        <f>IFERROR(__xludf.DUMMYFUNCTION("REGEXREPLACE(
D2386,
""([一-龯々]+)\[([^\]]+)\]"",
""&lt;ruby&gt;$1&lt;rt&gt;$2&lt;/rt&gt;&lt;/ruby&gt;""
)&amp;""&lt;br&gt;&lt;div class=""""audio""""&gt;[sound:""&amp;C2386&amp;"".mp3]&lt;/div&gt;"""),"&lt;ruby&gt;誇&lt;rt&gt;ほこ&lt;/rt&gt;&lt;/ruby&gt;る&lt;br&gt;&lt;div class=""audio""&gt;[sound:ほこる.mp3]&lt;/div&gt;")</f>
        <v>&lt;ruby&gt;誇&lt;rt&gt;ほこ&lt;/rt&gt;&lt;/ruby&gt;る&lt;br&gt;&lt;div class="audio"&gt;[sound:ほこる.mp3]&lt;/div&gt;</v>
      </c>
      <c r="H2386" s="3" t="str">
        <f t="shared" si="1"/>
        <v>(v): tự hào</v>
      </c>
      <c r="I2386" s="6" t="s">
        <v>13003</v>
      </c>
      <c r="J2386" s="6" t="s">
        <v>13004</v>
      </c>
      <c r="K2386" s="7">
        <f t="shared" si="2"/>
        <v>0.9215245069</v>
      </c>
    </row>
    <row r="2387">
      <c r="A2387" s="4">
        <v>2387.0</v>
      </c>
      <c r="B2387" s="5" t="s">
        <v>13005</v>
      </c>
      <c r="C2387" s="5" t="s">
        <v>13006</v>
      </c>
      <c r="D2387" s="5" t="s">
        <v>13007</v>
      </c>
      <c r="E2387" s="6" t="s">
        <v>74</v>
      </c>
      <c r="F2387" s="6" t="s">
        <v>13008</v>
      </c>
      <c r="G2387" s="3" t="str">
        <f>IFERROR(__xludf.DUMMYFUNCTION("REGEXREPLACE(
D2387,
""([一-龯々]+)\[([^\]]+)\]"",
""&lt;ruby&gt;$1&lt;rt&gt;$2&lt;/rt&gt;&lt;/ruby&gt;""
)&amp;""&lt;br&gt;&lt;div class=""""audio""""&gt;[sound:""&amp;C2387&amp;"".mp3]&lt;/div&gt;"""),"&lt;ruby&gt;事前&lt;rt&gt;じぜん&lt;/rt&gt;&lt;/ruby&gt;&lt;br&gt;&lt;div class=""audio""&gt;[sound:じぜん.mp3]&lt;/div&gt;")</f>
        <v>&lt;ruby&gt;事前&lt;rt&gt;じぜん&lt;/rt&gt;&lt;/ruby&gt;&lt;br&gt;&lt;div class="audio"&gt;[sound:じぜん.mp3]&lt;/div&gt;</v>
      </c>
      <c r="H2387" s="3" t="str">
        <f t="shared" si="1"/>
        <v>(n): trước</v>
      </c>
      <c r="I2387" s="6" t="s">
        <v>13009</v>
      </c>
      <c r="J2387" s="6" t="s">
        <v>13010</v>
      </c>
      <c r="K2387" s="7">
        <f t="shared" si="2"/>
        <v>0.09217783129</v>
      </c>
    </row>
    <row r="2388">
      <c r="A2388" s="4">
        <v>2388.0</v>
      </c>
      <c r="B2388" s="5" t="s">
        <v>13011</v>
      </c>
      <c r="C2388" s="5" t="s">
        <v>13012</v>
      </c>
      <c r="D2388" s="5" t="s">
        <v>13013</v>
      </c>
      <c r="E2388" s="6" t="s">
        <v>24</v>
      </c>
      <c r="F2388" s="6" t="s">
        <v>13014</v>
      </c>
      <c r="G2388" s="3" t="str">
        <f>IFERROR(__xludf.DUMMYFUNCTION("REGEXREPLACE(
D2388,
""([一-龯々]+)\[([^\]]+)\]"",
""&lt;ruby&gt;$1&lt;rt&gt;$2&lt;/rt&gt;&lt;/ruby&gt;""
)&amp;""&lt;br&gt;&lt;div class=""""audio""""&gt;[sound:""&amp;C2388&amp;"".mp3]&lt;/div&gt;"""),"&lt;ruby&gt;募&lt;rt&gt;つの&lt;/rt&gt;&lt;/ruby&gt;る&lt;br&gt;&lt;div class=""audio""&gt;[sound:つのる.mp3]&lt;/div&gt;")</f>
        <v>&lt;ruby&gt;募&lt;rt&gt;つの&lt;/rt&gt;&lt;/ruby&gt;る&lt;br&gt;&lt;div class="audio"&gt;[sound:つのる.mp3]&lt;/div&gt;</v>
      </c>
      <c r="H2388" s="3" t="str">
        <f t="shared" si="1"/>
        <v>(v): tuyển</v>
      </c>
      <c r="I2388" s="6" t="s">
        <v>13015</v>
      </c>
      <c r="J2388" s="6" t="s">
        <v>13016</v>
      </c>
      <c r="K2388" s="7">
        <f t="shared" si="2"/>
        <v>0.9399839639</v>
      </c>
    </row>
    <row r="2389">
      <c r="A2389" s="4">
        <v>2389.0</v>
      </c>
      <c r="B2389" s="5" t="s">
        <v>13017</v>
      </c>
      <c r="C2389" s="5" t="s">
        <v>13018</v>
      </c>
      <c r="D2389" s="5" t="s">
        <v>13019</v>
      </c>
      <c r="E2389" s="6" t="s">
        <v>24</v>
      </c>
      <c r="F2389" s="6" t="s">
        <v>8597</v>
      </c>
      <c r="G2389" s="3" t="str">
        <f>IFERROR(__xludf.DUMMYFUNCTION("REGEXREPLACE(
D2389,
""([一-龯々]+)\[([^\]]+)\]"",
""&lt;ruby&gt;$1&lt;rt&gt;$2&lt;/rt&gt;&lt;/ruby&gt;""
)&amp;""&lt;br&gt;&lt;div class=""""audio""""&gt;[sound:""&amp;C2389&amp;"".mp3]&lt;/div&gt;"""),"&lt;ruby&gt;取&lt;rt&gt;と&lt;/rt&gt;&lt;/ruby&gt;り&lt;ruby&gt;扱&lt;rt&gt;あつか&lt;/rt&gt;&lt;/ruby&gt;う&lt;br&gt;&lt;div class=""audio""&gt;[sound:とりあつかう.mp3]&lt;/div&gt;")</f>
        <v>&lt;ruby&gt;取&lt;rt&gt;と&lt;/rt&gt;&lt;/ruby&gt;り&lt;ruby&gt;扱&lt;rt&gt;あつか&lt;/rt&gt;&lt;/ruby&gt;う&lt;br&gt;&lt;div class="audio"&gt;[sound:とりあつかう.mp3]&lt;/div&gt;</v>
      </c>
      <c r="H2389" s="3" t="str">
        <f t="shared" si="1"/>
        <v>(v): xử lý</v>
      </c>
      <c r="I2389" s="6" t="s">
        <v>13020</v>
      </c>
      <c r="J2389" s="6" t="s">
        <v>13021</v>
      </c>
      <c r="K2389" s="7">
        <f t="shared" si="2"/>
        <v>0.1374000025</v>
      </c>
    </row>
    <row r="2390">
      <c r="A2390" s="4">
        <v>2390.0</v>
      </c>
      <c r="B2390" s="5" t="s">
        <v>13022</v>
      </c>
      <c r="C2390" s="5" t="s">
        <v>13023</v>
      </c>
      <c r="D2390" s="5" t="s">
        <v>13024</v>
      </c>
      <c r="E2390" s="6" t="s">
        <v>74</v>
      </c>
      <c r="F2390" s="6" t="s">
        <v>13025</v>
      </c>
      <c r="G2390" s="3" t="str">
        <f>IFERROR(__xludf.DUMMYFUNCTION("REGEXREPLACE(
D2390,
""([一-龯々]+)\[([^\]]+)\]"",
""&lt;ruby&gt;$1&lt;rt&gt;$2&lt;/rt&gt;&lt;/ruby&gt;""
)&amp;""&lt;br&gt;&lt;div class=""""audio""""&gt;[sound:""&amp;C2390&amp;"".mp3]&lt;/div&gt;"""),"&lt;ruby&gt;比率&lt;rt&gt;ひりつ&lt;/rt&gt;&lt;/ruby&gt;&lt;br&gt;&lt;div class=""audio""&gt;[sound:ひりつ.mp3]&lt;/div&gt;")</f>
        <v>&lt;ruby&gt;比率&lt;rt&gt;ひりつ&lt;/rt&gt;&lt;/ruby&gt;&lt;br&gt;&lt;div class="audio"&gt;[sound:ひりつ.mp3]&lt;/div&gt;</v>
      </c>
      <c r="H2390" s="3" t="str">
        <f t="shared" si="1"/>
        <v>(n): tỷ lệ</v>
      </c>
      <c r="I2390" s="6" t="s">
        <v>13026</v>
      </c>
      <c r="J2390" s="6" t="s">
        <v>13027</v>
      </c>
      <c r="K2390" s="7">
        <f t="shared" si="2"/>
        <v>0.504206629</v>
      </c>
    </row>
    <row r="2391">
      <c r="A2391" s="4">
        <v>2391.0</v>
      </c>
      <c r="B2391" s="5" t="s">
        <v>13028</v>
      </c>
      <c r="C2391" s="5" t="s">
        <v>13028</v>
      </c>
      <c r="D2391" s="5" t="s">
        <v>13028</v>
      </c>
      <c r="E2391" s="6" t="s">
        <v>74</v>
      </c>
      <c r="F2391" s="6" t="s">
        <v>13029</v>
      </c>
      <c r="G2391" s="3" t="str">
        <f>IFERROR(__xludf.DUMMYFUNCTION("REGEXREPLACE(
D2391,
""([一-龯々]+)\[([^\]]+)\]"",
""&lt;ruby&gt;$1&lt;rt&gt;$2&lt;/rt&gt;&lt;/ruby&gt;""
)&amp;""&lt;br&gt;&lt;div class=""""audio""""&gt;[sound:""&amp;C2391&amp;"".mp3]&lt;/div&gt;"""),"ずれ&lt;br&gt;&lt;div class=""audio""&gt;[sound:ずれ.mp3]&lt;/div&gt;")</f>
        <v>ずれ&lt;br&gt;&lt;div class="audio"&gt;[sound:ずれ.mp3]&lt;/div&gt;</v>
      </c>
      <c r="H2391" s="3" t="str">
        <f t="shared" si="1"/>
        <v>(n): lệch</v>
      </c>
      <c r="I2391" s="6" t="s">
        <v>13030</v>
      </c>
      <c r="J2391" s="6" t="s">
        <v>13031</v>
      </c>
      <c r="K2391" s="7">
        <f t="shared" si="2"/>
        <v>0.6535273047</v>
      </c>
    </row>
    <row r="2392">
      <c r="A2392" s="4">
        <v>2392.0</v>
      </c>
      <c r="B2392" s="5" t="s">
        <v>13032</v>
      </c>
      <c r="C2392" s="5" t="s">
        <v>13033</v>
      </c>
      <c r="D2392" s="5" t="s">
        <v>13032</v>
      </c>
      <c r="E2392" s="6" t="s">
        <v>74</v>
      </c>
      <c r="F2392" s="6" t="s">
        <v>13034</v>
      </c>
      <c r="G2392" s="3" t="str">
        <f>IFERROR(__xludf.DUMMYFUNCTION("REGEXREPLACE(
D2392,
""([一-龯々]+)\[([^\]]+)\]"",
""&lt;ruby&gt;$1&lt;rt&gt;$2&lt;/rt&gt;&lt;/ruby&gt;""
)&amp;""&lt;br&gt;&lt;div class=""""audio""""&gt;[sound:""&amp;C2392&amp;"".mp3]&lt;/div&gt;"""),"タワー&lt;br&gt;&lt;div class=""audio""&gt;[sound:たわー.mp3]&lt;/div&gt;")</f>
        <v>タワー&lt;br&gt;&lt;div class="audio"&gt;[sound:たわー.mp3]&lt;/div&gt;</v>
      </c>
      <c r="H2392" s="3" t="str">
        <f t="shared" si="1"/>
        <v>(n): tháp</v>
      </c>
      <c r="I2392" s="6" t="s">
        <v>13035</v>
      </c>
      <c r="J2392" s="6" t="s">
        <v>13036</v>
      </c>
      <c r="K2392" s="7">
        <f t="shared" si="2"/>
        <v>0.8697306243</v>
      </c>
    </row>
    <row r="2393">
      <c r="A2393" s="4">
        <v>2393.0</v>
      </c>
      <c r="B2393" s="5" t="s">
        <v>13037</v>
      </c>
      <c r="C2393" s="5" t="s">
        <v>9008</v>
      </c>
      <c r="D2393" s="5" t="s">
        <v>13038</v>
      </c>
      <c r="E2393" s="6" t="s">
        <v>74</v>
      </c>
      <c r="F2393" s="6" t="s">
        <v>13039</v>
      </c>
      <c r="G2393" s="3" t="str">
        <f>IFERROR(__xludf.DUMMYFUNCTION("REGEXREPLACE(
D2393,
""([一-龯々]+)\[([^\]]+)\]"",
""&lt;ruby&gt;$1&lt;rt&gt;$2&lt;/rt&gt;&lt;/ruby&gt;""
)&amp;""&lt;br&gt;&lt;div class=""""audio""""&gt;[sound:""&amp;C2393&amp;"".mp3]&lt;/div&gt;"""),"&lt;ruby&gt;天&lt;rt&gt;てん&lt;/rt&gt;&lt;/ruby&gt;&lt;br&gt;&lt;div class=""audio""&gt;[sound:てん.mp3]&lt;/div&gt;")</f>
        <v>&lt;ruby&gt;天&lt;rt&gt;てん&lt;/rt&gt;&lt;/ruby&gt;&lt;br&gt;&lt;div class="audio"&gt;[sound:てん.mp3]&lt;/div&gt;</v>
      </c>
      <c r="H2393" s="3" t="str">
        <f t="shared" si="1"/>
        <v>(n): trời</v>
      </c>
      <c r="I2393" s="6" t="s">
        <v>13040</v>
      </c>
      <c r="J2393" s="6" t="s">
        <v>13041</v>
      </c>
      <c r="K2393" s="7">
        <f t="shared" si="2"/>
        <v>0.0205445615</v>
      </c>
    </row>
    <row r="2394">
      <c r="A2394" s="4">
        <v>2394.0</v>
      </c>
      <c r="B2394" s="5" t="s">
        <v>13042</v>
      </c>
      <c r="C2394" s="5" t="s">
        <v>13043</v>
      </c>
      <c r="D2394" s="5" t="s">
        <v>13044</v>
      </c>
      <c r="E2394" s="6" t="s">
        <v>24</v>
      </c>
      <c r="F2394" s="6" t="s">
        <v>13045</v>
      </c>
      <c r="G2394" s="3" t="str">
        <f>IFERROR(__xludf.DUMMYFUNCTION("REGEXREPLACE(
D2394,
""([一-龯々]+)\[([^\]]+)\]"",
""&lt;ruby&gt;$1&lt;rt&gt;$2&lt;/rt&gt;&lt;/ruby&gt;""
)&amp;""&lt;br&gt;&lt;div class=""""audio""""&gt;[sound:""&amp;C2394&amp;"".mp3]&lt;/div&gt;"""),"&lt;ruby&gt;演&lt;rt&gt;えん&lt;/rt&gt;&lt;/ruby&gt;じる&lt;br&gt;&lt;div class=""audio""&gt;[sound:えんじる.mp3]&lt;/div&gt;")</f>
        <v>&lt;ruby&gt;演&lt;rt&gt;えん&lt;/rt&gt;&lt;/ruby&gt;じる&lt;br&gt;&lt;div class="audio"&gt;[sound:えんじる.mp3]&lt;/div&gt;</v>
      </c>
      <c r="H2394" s="3" t="str">
        <f t="shared" si="1"/>
        <v>(v): diễn</v>
      </c>
      <c r="I2394" s="6" t="s">
        <v>13046</v>
      </c>
      <c r="J2394" s="6" t="s">
        <v>13047</v>
      </c>
      <c r="K2394" s="7">
        <f t="shared" si="2"/>
        <v>0.3153736161</v>
      </c>
    </row>
    <row r="2395">
      <c r="A2395" s="4">
        <v>2395.0</v>
      </c>
      <c r="B2395" s="5" t="s">
        <v>13048</v>
      </c>
      <c r="C2395" s="5" t="s">
        <v>13049</v>
      </c>
      <c r="D2395" s="5" t="s">
        <v>13050</v>
      </c>
      <c r="E2395" s="6" t="s">
        <v>74</v>
      </c>
      <c r="F2395" s="6" t="s">
        <v>13051</v>
      </c>
      <c r="G2395" s="3" t="str">
        <f>IFERROR(__xludf.DUMMYFUNCTION("REGEXREPLACE(
D2395,
""([一-龯々]+)\[([^\]]+)\]"",
""&lt;ruby&gt;$1&lt;rt&gt;$2&lt;/rt&gt;&lt;/ruby&gt;""
)&amp;""&lt;br&gt;&lt;div class=""""audio""""&gt;[sound:""&amp;C2395&amp;"".mp3]&lt;/div&gt;"""),"&lt;ruby&gt;類&lt;rt&gt;るい&lt;/rt&gt;&lt;/ruby&gt;&lt;br&gt;&lt;div class=""audio""&gt;[sound:るい.mp3]&lt;/div&gt;")</f>
        <v>&lt;ruby&gt;類&lt;rt&gt;るい&lt;/rt&gt;&lt;/ruby&gt;&lt;br&gt;&lt;div class="audio"&gt;[sound:るい.mp3]&lt;/div&gt;</v>
      </c>
      <c r="H2395" s="3" t="str">
        <f t="shared" si="1"/>
        <v>(n): loại</v>
      </c>
      <c r="I2395" s="6" t="s">
        <v>13052</v>
      </c>
      <c r="J2395" s="6" t="s">
        <v>13053</v>
      </c>
      <c r="K2395" s="7">
        <f t="shared" si="2"/>
        <v>0.4397560284</v>
      </c>
    </row>
    <row r="2396">
      <c r="A2396" s="4">
        <v>2396.0</v>
      </c>
      <c r="B2396" s="5" t="s">
        <v>13054</v>
      </c>
      <c r="C2396" s="5" t="s">
        <v>13055</v>
      </c>
      <c r="D2396" s="5" t="s">
        <v>13054</v>
      </c>
      <c r="E2396" s="6" t="s">
        <v>11</v>
      </c>
      <c r="F2396" s="6" t="s">
        <v>1302</v>
      </c>
      <c r="G2396" s="3" t="str">
        <f>IFERROR(__xludf.DUMMYFUNCTION("REGEXREPLACE(
D2396,
""([一-龯々]+)\[([^\]]+)\]"",
""&lt;ruby&gt;$1&lt;rt&gt;$2&lt;/rt&gt;&lt;/ruby&gt;""
)&amp;""&lt;br&gt;&lt;div class=""""audio""""&gt;[sound:""&amp;C2396&amp;"".mp3]&lt;/div&gt;"""),"ニュー&lt;br&gt;&lt;div class=""audio""&gt;[sound:にゅー.mp3]&lt;/div&gt;")</f>
        <v>ニュー&lt;br&gt;&lt;div class="audio"&gt;[sound:にゅー.mp3]&lt;/div&gt;</v>
      </c>
      <c r="H2396" s="3" t="str">
        <f t="shared" si="1"/>
        <v>(adj): mới</v>
      </c>
      <c r="I2396" s="6" t="s">
        <v>13056</v>
      </c>
      <c r="J2396" s="6" t="s">
        <v>13057</v>
      </c>
      <c r="K2396" s="7">
        <f t="shared" si="2"/>
        <v>0.6420303191</v>
      </c>
    </row>
    <row r="2397">
      <c r="A2397" s="4">
        <v>2397.0</v>
      </c>
      <c r="B2397" s="5" t="s">
        <v>13058</v>
      </c>
      <c r="C2397" s="5" t="s">
        <v>3014</v>
      </c>
      <c r="D2397" s="5" t="s">
        <v>13059</v>
      </c>
      <c r="E2397" s="6" t="s">
        <v>74</v>
      </c>
      <c r="F2397" s="6" t="s">
        <v>13060</v>
      </c>
      <c r="G2397" s="3" t="str">
        <f>IFERROR(__xludf.DUMMYFUNCTION("REGEXREPLACE(
D2397,
""([一-龯々]+)\[([^\]]+)\]"",
""&lt;ruby&gt;$1&lt;rt&gt;$2&lt;/rt&gt;&lt;/ruby&gt;""
)&amp;""&lt;br&gt;&lt;div class=""""audio""""&gt;[sound:""&amp;C2397&amp;"".mp3]&lt;/div&gt;"""),"&lt;ruby&gt;副&lt;rt&gt;ふく&lt;/rt&gt;&lt;/ruby&gt;&lt;br&gt;&lt;div class=""audio""&gt;[sound:ふく.mp3]&lt;/div&gt;")</f>
        <v>&lt;ruby&gt;副&lt;rt&gt;ふく&lt;/rt&gt;&lt;/ruby&gt;&lt;br&gt;&lt;div class="audio"&gt;[sound:ふく.mp3]&lt;/div&gt;</v>
      </c>
      <c r="H2397" s="3" t="str">
        <f t="shared" si="1"/>
        <v>(n): phó</v>
      </c>
      <c r="I2397" s="6" t="s">
        <v>13061</v>
      </c>
      <c r="J2397" s="6" t="s">
        <v>13062</v>
      </c>
      <c r="K2397" s="7">
        <f t="shared" si="2"/>
        <v>0.7579717776</v>
      </c>
    </row>
    <row r="2398">
      <c r="A2398" s="4">
        <v>2398.0</v>
      </c>
      <c r="B2398" s="5" t="s">
        <v>13063</v>
      </c>
      <c r="C2398" s="5" t="s">
        <v>13064</v>
      </c>
      <c r="D2398" s="5" t="s">
        <v>13065</v>
      </c>
      <c r="E2398" s="6" t="s">
        <v>24</v>
      </c>
      <c r="F2398" s="6" t="s">
        <v>1839</v>
      </c>
      <c r="G2398" s="3" t="str">
        <f>IFERROR(__xludf.DUMMYFUNCTION("REGEXREPLACE(
D2398,
""([一-龯々]+)\[([^\]]+)\]"",
""&lt;ruby&gt;$1&lt;rt&gt;$2&lt;/rt&gt;&lt;/ruby&gt;""
)&amp;""&lt;br&gt;&lt;div class=""""audio""""&gt;[sound:""&amp;C2398&amp;"".mp3]&lt;/div&gt;"""),"&lt;ruby&gt;売&lt;rt&gt;う&lt;/rt&gt;&lt;/ruby&gt;り&lt;ruby&gt;出&lt;rt&gt;だ&lt;/rt&gt;&lt;/ruby&gt;す&lt;br&gt;&lt;div class=""audio""&gt;[sound:うりだす.mp3]&lt;/div&gt;")</f>
        <v>&lt;ruby&gt;売&lt;rt&gt;う&lt;/rt&gt;&lt;/ruby&gt;り&lt;ruby&gt;出&lt;rt&gt;だ&lt;/rt&gt;&lt;/ruby&gt;す&lt;br&gt;&lt;div class="audio"&gt;[sound:うりだす.mp3]&lt;/div&gt;</v>
      </c>
      <c r="H2398" s="3" t="str">
        <f t="shared" si="1"/>
        <v>(v): bán</v>
      </c>
      <c r="I2398" s="6" t="s">
        <v>13066</v>
      </c>
      <c r="J2398" s="6" t="s">
        <v>13067</v>
      </c>
      <c r="K2398" s="7">
        <f t="shared" si="2"/>
        <v>0.2058298938</v>
      </c>
    </row>
    <row r="2399">
      <c r="A2399" s="4">
        <v>2399.0</v>
      </c>
      <c r="B2399" s="5" t="s">
        <v>13068</v>
      </c>
      <c r="C2399" s="5" t="s">
        <v>13069</v>
      </c>
      <c r="D2399" s="5" t="s">
        <v>13070</v>
      </c>
      <c r="E2399" s="6" t="s">
        <v>11</v>
      </c>
      <c r="F2399" s="6" t="s">
        <v>578</v>
      </c>
      <c r="G2399" s="3" t="str">
        <f>IFERROR(__xludf.DUMMYFUNCTION("REGEXREPLACE(
D2399,
""([一-龯々]+)\[([^\]]+)\]"",
""&lt;ruby&gt;$1&lt;rt&gt;$2&lt;/rt&gt;&lt;/ruby&gt;""
)&amp;""&lt;br&gt;&lt;div class=""""audio""""&gt;[sound:""&amp;C2399&amp;"".mp3]&lt;/div&gt;"""),"&lt;ruby&gt;好調&lt;rt&gt;こうちょう&lt;/rt&gt;&lt;/ruby&gt;&lt;br&gt;&lt;div class=""audio""&gt;[sound:こうちょう.mp3]&lt;/div&gt;")</f>
        <v>&lt;ruby&gt;好調&lt;rt&gt;こうちょう&lt;/rt&gt;&lt;/ruby&gt;&lt;br&gt;&lt;div class="audio"&gt;[sound:こうちょう.mp3]&lt;/div&gt;</v>
      </c>
      <c r="H2399" s="3" t="str">
        <f t="shared" si="1"/>
        <v>(adj): tốt</v>
      </c>
      <c r="I2399" s="6" t="s">
        <v>13071</v>
      </c>
      <c r="J2399" s="6" t="s">
        <v>13072</v>
      </c>
      <c r="K2399" s="7">
        <f t="shared" si="2"/>
        <v>0.3304968165</v>
      </c>
    </row>
    <row r="2400">
      <c r="A2400" s="4">
        <v>2400.0</v>
      </c>
      <c r="B2400" s="5" t="s">
        <v>13073</v>
      </c>
      <c r="C2400" s="5" t="s">
        <v>13074</v>
      </c>
      <c r="D2400" s="5" t="s">
        <v>13075</v>
      </c>
      <c r="E2400" s="6" t="s">
        <v>11</v>
      </c>
      <c r="F2400" s="6" t="s">
        <v>578</v>
      </c>
      <c r="G2400" s="3" t="str">
        <f>IFERROR(__xludf.DUMMYFUNCTION("REGEXREPLACE(
D2400,
""([一-龯々]+)\[([^\]]+)\]"",
""&lt;ruby&gt;$1&lt;rt&gt;$2&lt;/rt&gt;&lt;/ruby&gt;""
)&amp;""&lt;br&gt;&lt;div class=""""audio""""&gt;[sound:""&amp;C2400&amp;"".mp3]&lt;/div&gt;"""),"&lt;ruby&gt;良&lt;rt&gt;よ&lt;/rt&gt;&lt;/ruby&gt;し&lt;br&gt;&lt;div class=""audio""&gt;[sound:よし.mp3]&lt;/div&gt;")</f>
        <v>&lt;ruby&gt;良&lt;rt&gt;よ&lt;/rt&gt;&lt;/ruby&gt;し&lt;br&gt;&lt;div class="audio"&gt;[sound:よし.mp3]&lt;/div&gt;</v>
      </c>
      <c r="H2400" s="3" t="str">
        <f t="shared" si="1"/>
        <v>(adj): tốt</v>
      </c>
      <c r="I2400" s="6" t="s">
        <v>13076</v>
      </c>
      <c r="J2400" s="6" t="s">
        <v>13077</v>
      </c>
      <c r="K2400" s="7">
        <f t="shared" si="2"/>
        <v>0.07891684144</v>
      </c>
    </row>
    <row r="2401">
      <c r="A2401" s="4">
        <v>2401.0</v>
      </c>
      <c r="B2401" s="5" t="s">
        <v>13078</v>
      </c>
      <c r="C2401" s="5" t="s">
        <v>13079</v>
      </c>
      <c r="D2401" s="5" t="s">
        <v>13080</v>
      </c>
      <c r="E2401" s="6" t="s">
        <v>24</v>
      </c>
      <c r="F2401" s="6" t="s">
        <v>9138</v>
      </c>
      <c r="G2401" s="3" t="str">
        <f>IFERROR(__xludf.DUMMYFUNCTION("REGEXREPLACE(
D2401,
""([一-龯々]+)\[([^\]]+)\]"",
""&lt;ruby&gt;$1&lt;rt&gt;$2&lt;/rt&gt;&lt;/ruby&gt;""
)&amp;""&lt;br&gt;&lt;div class=""""audio""""&gt;[sound:""&amp;C2401&amp;"".mp3]&lt;/div&gt;"""),"&lt;ruby&gt;転&lt;rt&gt;てん&lt;/rt&gt;&lt;/ruby&gt;ずる&lt;br&gt;&lt;div class=""audio""&gt;[sound:てんずる.mp3]&lt;/div&gt;")</f>
        <v>&lt;ruby&gt;転&lt;rt&gt;てん&lt;/rt&gt;&lt;/ruby&gt;ずる&lt;br&gt;&lt;div class="audio"&gt;[sound:てんずる.mp3]&lt;/div&gt;</v>
      </c>
      <c r="H2401" s="3" t="str">
        <f t="shared" si="1"/>
        <v>(v): đổi</v>
      </c>
      <c r="I2401" s="6" t="s">
        <v>13081</v>
      </c>
      <c r="J2401" s="6" t="s">
        <v>13082</v>
      </c>
      <c r="K2401" s="7">
        <f t="shared" si="2"/>
        <v>0.4685801675</v>
      </c>
    </row>
    <row r="2402">
      <c r="A2402" s="4">
        <v>2402.0</v>
      </c>
      <c r="B2402" s="5" t="s">
        <v>13083</v>
      </c>
      <c r="C2402" s="5" t="s">
        <v>13084</v>
      </c>
      <c r="D2402" s="5" t="s">
        <v>13085</v>
      </c>
      <c r="E2402" s="6" t="s">
        <v>74</v>
      </c>
      <c r="F2402" s="6" t="s">
        <v>13086</v>
      </c>
      <c r="G2402" s="3" t="str">
        <f>IFERROR(__xludf.DUMMYFUNCTION("REGEXREPLACE(
D2402,
""([一-龯々]+)\[([^\]]+)\]"",
""&lt;ruby&gt;$1&lt;rt&gt;$2&lt;/rt&gt;&lt;/ruby&gt;""
)&amp;""&lt;br&gt;&lt;div class=""""audio""""&gt;[sound:""&amp;C2402&amp;"".mp3]&lt;/div&gt;"""),"&lt;ruby&gt;黒字&lt;rt&gt;くろじ&lt;/rt&gt;&lt;/ruby&gt;&lt;br&gt;&lt;div class=""audio""&gt;[sound:くろじ.mp3]&lt;/div&gt;")</f>
        <v>&lt;ruby&gt;黒字&lt;rt&gt;くろじ&lt;/rt&gt;&lt;/ruby&gt;&lt;br&gt;&lt;div class="audio"&gt;[sound:くろじ.mp3]&lt;/div&gt;</v>
      </c>
      <c r="H2402" s="3" t="str">
        <f t="shared" si="1"/>
        <v>(n): lãi</v>
      </c>
      <c r="I2402" s="6" t="s">
        <v>13087</v>
      </c>
      <c r="J2402" s="6" t="s">
        <v>13088</v>
      </c>
      <c r="K2402" s="7">
        <f t="shared" si="2"/>
        <v>0.0148159189</v>
      </c>
    </row>
    <row r="2403">
      <c r="A2403" s="4">
        <v>2403.0</v>
      </c>
      <c r="B2403" s="5" t="s">
        <v>13089</v>
      </c>
      <c r="C2403" s="5" t="s">
        <v>13090</v>
      </c>
      <c r="D2403" s="5" t="s">
        <v>13091</v>
      </c>
      <c r="E2403" s="6" t="s">
        <v>24</v>
      </c>
      <c r="F2403" s="6" t="s">
        <v>1730</v>
      </c>
      <c r="G2403" s="3" t="str">
        <f>IFERROR(__xludf.DUMMYFUNCTION("REGEXREPLACE(
D2403,
""([一-龯々]+)\[([^\]]+)\]"",
""&lt;ruby&gt;$1&lt;rt&gt;$2&lt;/rt&gt;&lt;/ruby&gt;""
)&amp;""&lt;br&gt;&lt;div class=""""audio""""&gt;[sound:""&amp;C2403&amp;"".mp3]&lt;/div&gt;"""),"&lt;ruby&gt;受&lt;rt&gt;う&lt;/rt&gt;&lt;/ruby&gt;かる&lt;br&gt;&lt;div class=""audio""&gt;[sound:うかる.mp3]&lt;/div&gt;")</f>
        <v>&lt;ruby&gt;受&lt;rt&gt;う&lt;/rt&gt;&lt;/ruby&gt;かる&lt;br&gt;&lt;div class="audio"&gt;[sound:うかる.mp3]&lt;/div&gt;</v>
      </c>
      <c r="H2403" s="3" t="str">
        <f t="shared" si="1"/>
        <v>(v): đỗ</v>
      </c>
      <c r="I2403" s="6" t="s">
        <v>13092</v>
      </c>
      <c r="J2403" s="6" t="s">
        <v>9159</v>
      </c>
      <c r="K2403" s="7">
        <f t="shared" si="2"/>
        <v>0.07287796164</v>
      </c>
    </row>
    <row r="2404">
      <c r="A2404" s="4">
        <v>2404.0</v>
      </c>
      <c r="B2404" s="5" t="s">
        <v>13093</v>
      </c>
      <c r="C2404" s="5" t="s">
        <v>13094</v>
      </c>
      <c r="D2404" s="5" t="s">
        <v>13095</v>
      </c>
      <c r="E2404" s="6" t="s">
        <v>74</v>
      </c>
      <c r="F2404" s="6" t="s">
        <v>13096</v>
      </c>
      <c r="G2404" s="3" t="str">
        <f>IFERROR(__xludf.DUMMYFUNCTION("REGEXREPLACE(
D2404,
""([一-龯々]+)\[([^\]]+)\]"",
""&lt;ruby&gt;$1&lt;rt&gt;$2&lt;/rt&gt;&lt;/ruby&gt;""
)&amp;""&lt;br&gt;&lt;div class=""""audio""""&gt;[sound:""&amp;C2404&amp;"".mp3]&lt;/div&gt;"""),"&lt;ruby&gt;同僚&lt;rt&gt;どうりょう&lt;/rt&gt;&lt;/ruby&gt;&lt;br&gt;&lt;div class=""audio""&gt;[sound:どうりょう.mp3]&lt;/div&gt;")</f>
        <v>&lt;ruby&gt;同僚&lt;rt&gt;どうりょう&lt;/rt&gt;&lt;/ruby&gt;&lt;br&gt;&lt;div class="audio"&gt;[sound:どうりょう.mp3]&lt;/div&gt;</v>
      </c>
      <c r="H2404" s="3" t="str">
        <f t="shared" si="1"/>
        <v>(n): đồng nghiệp</v>
      </c>
      <c r="I2404" s="6" t="s">
        <v>13097</v>
      </c>
      <c r="J2404" s="6" t="s">
        <v>13098</v>
      </c>
      <c r="K2404" s="7">
        <f t="shared" si="2"/>
        <v>0.8602057065</v>
      </c>
    </row>
    <row r="2405">
      <c r="A2405" s="4">
        <v>2405.0</v>
      </c>
      <c r="B2405" s="5" t="s">
        <v>13099</v>
      </c>
      <c r="C2405" s="5" t="s">
        <v>13100</v>
      </c>
      <c r="D2405" s="5" t="s">
        <v>13101</v>
      </c>
      <c r="E2405" s="6" t="s">
        <v>74</v>
      </c>
      <c r="F2405" s="6" t="s">
        <v>13102</v>
      </c>
      <c r="G2405" s="3" t="str">
        <f>IFERROR(__xludf.DUMMYFUNCTION("REGEXREPLACE(
D2405,
""([一-龯々]+)\[([^\]]+)\]"",
""&lt;ruby&gt;$1&lt;rt&gt;$2&lt;/rt&gt;&lt;/ruby&gt;""
)&amp;""&lt;br&gt;&lt;div class=""""audio""""&gt;[sound:""&amp;C2405&amp;"".mp3]&lt;/div&gt;"""),"&lt;ruby&gt;方針&lt;rt&gt;ほうしん&lt;/rt&gt;&lt;/ruby&gt;&lt;br&gt;&lt;div class=""audio""&gt;[sound:ほうしん.mp3]&lt;/div&gt;")</f>
        <v>&lt;ruby&gt;方針&lt;rt&gt;ほうしん&lt;/rt&gt;&lt;/ruby&gt;&lt;br&gt;&lt;div class="audio"&gt;[sound:ほうしん.mp3]&lt;/div&gt;</v>
      </c>
      <c r="H2405" s="3" t="str">
        <f t="shared" si="1"/>
        <v>(n): phương châm</v>
      </c>
      <c r="I2405" s="6" t="s">
        <v>13103</v>
      </c>
      <c r="J2405" s="6" t="s">
        <v>13104</v>
      </c>
      <c r="K2405" s="7">
        <f t="shared" si="2"/>
        <v>0.4139095303</v>
      </c>
    </row>
    <row r="2406">
      <c r="A2406" s="4">
        <v>2406.0</v>
      </c>
      <c r="B2406" s="5" t="s">
        <v>13105</v>
      </c>
      <c r="C2406" s="5" t="s">
        <v>13106</v>
      </c>
      <c r="D2406" s="5" t="s">
        <v>13107</v>
      </c>
      <c r="E2406" s="6" t="s">
        <v>11</v>
      </c>
      <c r="F2406" s="6" t="s">
        <v>12186</v>
      </c>
      <c r="G2406" s="3" t="str">
        <f>IFERROR(__xludf.DUMMYFUNCTION("REGEXREPLACE(
D2406,
""([一-龯々]+)\[([^\]]+)\]"",
""&lt;ruby&gt;$1&lt;rt&gt;$2&lt;/rt&gt;&lt;/ruby&gt;""
)&amp;""&lt;br&gt;&lt;div class=""""audio""""&gt;[sound:""&amp;C2406&amp;"".mp3]&lt;/div&gt;"""),"&lt;ruby&gt;楽&lt;rt&gt;らく&lt;/rt&gt;&lt;/ruby&gt;&lt;br&gt;&lt;div class=""audio""&gt;[sound:らく.mp3]&lt;/div&gt;")</f>
        <v>&lt;ruby&gt;楽&lt;rt&gt;らく&lt;/rt&gt;&lt;/ruby&gt;&lt;br&gt;&lt;div class="audio"&gt;[sound:らく.mp3]&lt;/div&gt;</v>
      </c>
      <c r="H2406" s="3" t="str">
        <f t="shared" si="1"/>
        <v>(adj): thoải mái</v>
      </c>
      <c r="I2406" s="6" t="s">
        <v>13108</v>
      </c>
      <c r="J2406" s="6" t="s">
        <v>13109</v>
      </c>
      <c r="K2406" s="7">
        <f t="shared" si="2"/>
        <v>0.9214594423</v>
      </c>
    </row>
    <row r="2407">
      <c r="A2407" s="4">
        <v>2407.0</v>
      </c>
      <c r="B2407" s="5" t="s">
        <v>13110</v>
      </c>
      <c r="C2407" s="5" t="s">
        <v>13111</v>
      </c>
      <c r="D2407" s="5" t="s">
        <v>13112</v>
      </c>
      <c r="E2407" s="6" t="s">
        <v>74</v>
      </c>
      <c r="F2407" s="6" t="s">
        <v>13113</v>
      </c>
      <c r="G2407" s="3" t="str">
        <f>IFERROR(__xludf.DUMMYFUNCTION("REGEXREPLACE(
D2407,
""([一-龯々]+)\[([^\]]+)\]"",
""&lt;ruby&gt;$1&lt;rt&gt;$2&lt;/rt&gt;&lt;/ruby&gt;""
)&amp;""&lt;br&gt;&lt;div class=""""audio""""&gt;[sound:""&amp;C2407&amp;"".mp3]&lt;/div&gt;"""),"&lt;ruby&gt;商業&lt;rt&gt;しょうぎょう&lt;/rt&gt;&lt;/ruby&gt;&lt;br&gt;&lt;div class=""audio""&gt;[sound:しょうぎょう.mp3]&lt;/div&gt;")</f>
        <v>&lt;ruby&gt;商業&lt;rt&gt;しょうぎょう&lt;/rt&gt;&lt;/ruby&gt;&lt;br&gt;&lt;div class="audio"&gt;[sound:しょうぎょう.mp3]&lt;/div&gt;</v>
      </c>
      <c r="H2407" s="3" t="str">
        <f t="shared" si="1"/>
        <v>(n): thương mại</v>
      </c>
      <c r="I2407" s="6" t="s">
        <v>13114</v>
      </c>
      <c r="J2407" s="6" t="s">
        <v>13115</v>
      </c>
      <c r="K2407" s="7">
        <f t="shared" si="2"/>
        <v>0.336757767</v>
      </c>
    </row>
    <row r="2408">
      <c r="A2408" s="4">
        <v>2408.0</v>
      </c>
      <c r="B2408" s="5" t="s">
        <v>13116</v>
      </c>
      <c r="C2408" s="5" t="s">
        <v>9113</v>
      </c>
      <c r="D2408" s="5" t="s">
        <v>13117</v>
      </c>
      <c r="E2408" s="6" t="s">
        <v>11</v>
      </c>
      <c r="F2408" s="6" t="s">
        <v>9115</v>
      </c>
      <c r="G2408" s="3" t="str">
        <f>IFERROR(__xludf.DUMMYFUNCTION("REGEXREPLACE(
D2408,
""([一-龯々]+)\[([^\]]+)\]"",
""&lt;ruby&gt;$1&lt;rt&gt;$2&lt;/rt&gt;&lt;/ruby&gt;""
)&amp;""&lt;br&gt;&lt;div class=""""audio""""&gt;[sound:""&amp;C2408&amp;"".mp3]&lt;/div&gt;"""),"&lt;ruby&gt;暖&lt;rt&gt;あたた&lt;/rt&gt;&lt;/ruby&gt;かい&lt;br&gt;&lt;div class=""audio""&gt;[sound:あたたかい.mp3]&lt;/div&gt;")</f>
        <v>&lt;ruby&gt;暖&lt;rt&gt;あたた&lt;/rt&gt;&lt;/ruby&gt;かい&lt;br&gt;&lt;div class="audio"&gt;[sound:あたたかい.mp3]&lt;/div&gt;</v>
      </c>
      <c r="H2408" s="3" t="str">
        <f t="shared" si="1"/>
        <v>(adj): ấm áp</v>
      </c>
      <c r="I2408" s="6" t="s">
        <v>13118</v>
      </c>
      <c r="J2408" s="6" t="s">
        <v>13119</v>
      </c>
      <c r="K2408" s="7">
        <f t="shared" si="2"/>
        <v>0.6611531719</v>
      </c>
    </row>
    <row r="2409">
      <c r="A2409" s="4">
        <v>2409.0</v>
      </c>
      <c r="B2409" s="5" t="s">
        <v>13120</v>
      </c>
      <c r="C2409" s="5" t="s">
        <v>13121</v>
      </c>
      <c r="D2409" s="5" t="s">
        <v>13122</v>
      </c>
      <c r="E2409" s="6" t="s">
        <v>74</v>
      </c>
      <c r="F2409" s="6" t="s">
        <v>13123</v>
      </c>
      <c r="G2409" s="3" t="str">
        <f>IFERROR(__xludf.DUMMYFUNCTION("REGEXREPLACE(
D2409,
""([一-龯々]+)\[([^\]]+)\]"",
""&lt;ruby&gt;$1&lt;rt&gt;$2&lt;/rt&gt;&lt;/ruby&gt;""
)&amp;""&lt;br&gt;&lt;div class=""""audio""""&gt;[sound:""&amp;C2409&amp;"".mp3]&lt;/div&gt;"""),"&lt;ruby&gt;毎週&lt;rt&gt;まいしゅう&lt;/rt&gt;&lt;/ruby&gt;&lt;br&gt;&lt;div class=""audio""&gt;[sound:まいしゅう.mp3]&lt;/div&gt;")</f>
        <v>&lt;ruby&gt;毎週&lt;rt&gt;まいしゅう&lt;/rt&gt;&lt;/ruby&gt;&lt;br&gt;&lt;div class="audio"&gt;[sound:まいしゅう.mp3]&lt;/div&gt;</v>
      </c>
      <c r="H2409" s="3" t="str">
        <f t="shared" si="1"/>
        <v>(n): mỗi tuần</v>
      </c>
      <c r="I2409" s="6" t="s">
        <v>13124</v>
      </c>
      <c r="J2409" s="6" t="s">
        <v>13125</v>
      </c>
      <c r="K2409" s="7">
        <f t="shared" si="2"/>
        <v>0.2968316807</v>
      </c>
    </row>
    <row r="2410">
      <c r="A2410" s="4">
        <v>2410.0</v>
      </c>
      <c r="B2410" s="5" t="s">
        <v>13126</v>
      </c>
      <c r="C2410" s="5" t="s">
        <v>13127</v>
      </c>
      <c r="D2410" s="5" t="s">
        <v>13128</v>
      </c>
      <c r="E2410" s="6" t="s">
        <v>24</v>
      </c>
      <c r="F2410" s="6" t="s">
        <v>9836</v>
      </c>
      <c r="G2410" s="3" t="str">
        <f>IFERROR(__xludf.DUMMYFUNCTION("REGEXREPLACE(
D2410,
""([一-龯々]+)\[([^\]]+)\]"",
""&lt;ruby&gt;$1&lt;rt&gt;$2&lt;/rt&gt;&lt;/ruby&gt;""
)&amp;""&lt;br&gt;&lt;div class=""""audio""""&gt;[sound:""&amp;C2410&amp;"".mp3]&lt;/div&gt;"""),"&lt;ruby&gt;捕&lt;rt&gt;つか&lt;/rt&gt;&lt;/ruby&gt;まえる&lt;br&gt;&lt;div class=""audio""&gt;[sound:つかまえる.mp3]&lt;/div&gt;")</f>
        <v>&lt;ruby&gt;捕&lt;rt&gt;つか&lt;/rt&gt;&lt;/ruby&gt;まえる&lt;br&gt;&lt;div class="audio"&gt;[sound:つかまえる.mp3]&lt;/div&gt;</v>
      </c>
      <c r="H2410" s="3" t="str">
        <f t="shared" si="1"/>
        <v>(v): bắt</v>
      </c>
      <c r="I2410" s="6" t="s">
        <v>13129</v>
      </c>
      <c r="J2410" s="6" t="s">
        <v>13130</v>
      </c>
      <c r="K2410" s="7">
        <f t="shared" si="2"/>
        <v>0.3936437355</v>
      </c>
    </row>
    <row r="2411">
      <c r="A2411" s="4">
        <v>2411.0</v>
      </c>
      <c r="B2411" s="5" t="s">
        <v>13131</v>
      </c>
      <c r="C2411" s="5" t="s">
        <v>13132</v>
      </c>
      <c r="D2411" s="5" t="s">
        <v>13133</v>
      </c>
      <c r="E2411" s="6" t="s">
        <v>74</v>
      </c>
      <c r="F2411" s="6" t="s">
        <v>13134</v>
      </c>
      <c r="G2411" s="3" t="str">
        <f>IFERROR(__xludf.DUMMYFUNCTION("REGEXREPLACE(
D2411,
""([一-龯々]+)\[([^\]]+)\]"",
""&lt;ruby&gt;$1&lt;rt&gt;$2&lt;/rt&gt;&lt;/ruby&gt;""
)&amp;""&lt;br&gt;&lt;div class=""""audio""""&gt;[sound:""&amp;C2411&amp;"".mp3]&lt;/div&gt;"""),"&lt;ruby&gt;抗議&lt;rt&gt;こうぎ&lt;/rt&gt;&lt;/ruby&gt;&lt;br&gt;&lt;div class=""audio""&gt;[sound:こうぎ.mp3]&lt;/div&gt;")</f>
        <v>&lt;ruby&gt;抗議&lt;rt&gt;こうぎ&lt;/rt&gt;&lt;/ruby&gt;&lt;br&gt;&lt;div class="audio"&gt;[sound:こうぎ.mp3]&lt;/div&gt;</v>
      </c>
      <c r="H2411" s="3" t="str">
        <f t="shared" si="1"/>
        <v>(n): kháng nghị</v>
      </c>
      <c r="I2411" s="6" t="s">
        <v>13135</v>
      </c>
      <c r="J2411" s="6" t="s">
        <v>13136</v>
      </c>
      <c r="K2411" s="7">
        <f t="shared" si="2"/>
        <v>0.8859383504</v>
      </c>
    </row>
    <row r="2412">
      <c r="A2412" s="4">
        <v>2412.0</v>
      </c>
      <c r="B2412" s="5" t="s">
        <v>13137</v>
      </c>
      <c r="C2412" s="5" t="s">
        <v>13138</v>
      </c>
      <c r="D2412" s="5" t="s">
        <v>13139</v>
      </c>
      <c r="E2412" s="6" t="s">
        <v>74</v>
      </c>
      <c r="F2412" s="6" t="s">
        <v>13140</v>
      </c>
      <c r="G2412" s="3" t="str">
        <f>IFERROR(__xludf.DUMMYFUNCTION("REGEXREPLACE(
D2412,
""([一-龯々]+)\[([^\]]+)\]"",
""&lt;ruby&gt;$1&lt;rt&gt;$2&lt;/rt&gt;&lt;/ruby&gt;""
)&amp;""&lt;br&gt;&lt;div class=""""audio""""&gt;[sound:""&amp;C2412&amp;"".mp3]&lt;/div&gt;"""),"&lt;ruby&gt;対決&lt;rt&gt;たいけつ&lt;/rt&gt;&lt;/ruby&gt;&lt;br&gt;&lt;div class=""audio""&gt;[sound:たいけつ.mp3]&lt;/div&gt;")</f>
        <v>&lt;ruby&gt;対決&lt;rt&gt;たいけつ&lt;/rt&gt;&lt;/ruby&gt;&lt;br&gt;&lt;div class="audio"&gt;[sound:たいけつ.mp3]&lt;/div&gt;</v>
      </c>
      <c r="H2412" s="3" t="str">
        <f t="shared" si="1"/>
        <v>(n): đối quyết</v>
      </c>
      <c r="I2412" s="6" t="s">
        <v>13141</v>
      </c>
      <c r="J2412" s="6" t="s">
        <v>13142</v>
      </c>
      <c r="K2412" s="7">
        <f t="shared" si="2"/>
        <v>0.3746689243</v>
      </c>
    </row>
    <row r="2413">
      <c r="A2413" s="4">
        <v>2413.0</v>
      </c>
      <c r="B2413" s="5" t="s">
        <v>13143</v>
      </c>
      <c r="C2413" s="5" t="s">
        <v>13144</v>
      </c>
      <c r="D2413" s="5" t="s">
        <v>13145</v>
      </c>
      <c r="E2413" s="6" t="s">
        <v>74</v>
      </c>
      <c r="F2413" s="6" t="s">
        <v>13146</v>
      </c>
      <c r="G2413" s="3" t="str">
        <f>IFERROR(__xludf.DUMMYFUNCTION("REGEXREPLACE(
D2413,
""([一-龯々]+)\[([^\]]+)\]"",
""&lt;ruby&gt;$1&lt;rt&gt;$2&lt;/rt&gt;&lt;/ruby&gt;""
)&amp;""&lt;br&gt;&lt;div class=""""audio""""&gt;[sound:""&amp;C2413&amp;"".mp3]&lt;/div&gt;"""),"&lt;ruby&gt;富&lt;rt&gt;とみ&lt;/rt&gt;&lt;/ruby&gt;&lt;br&gt;&lt;div class=""audio""&gt;[sound:とみ.mp3]&lt;/div&gt;")</f>
        <v>&lt;ruby&gt;富&lt;rt&gt;とみ&lt;/rt&gt;&lt;/ruby&gt;&lt;br&gt;&lt;div class="audio"&gt;[sound:とみ.mp3]&lt;/div&gt;</v>
      </c>
      <c r="H2413" s="3" t="str">
        <f t="shared" si="1"/>
        <v>(n): của cải</v>
      </c>
      <c r="I2413" s="6" t="s">
        <v>13147</v>
      </c>
      <c r="J2413" s="6" t="s">
        <v>13148</v>
      </c>
      <c r="K2413" s="7">
        <f t="shared" si="2"/>
        <v>0.895901535</v>
      </c>
    </row>
    <row r="2414">
      <c r="A2414" s="4">
        <v>2414.0</v>
      </c>
      <c r="B2414" s="5" t="s">
        <v>13149</v>
      </c>
      <c r="C2414" s="5" t="s">
        <v>13150</v>
      </c>
      <c r="D2414" s="5" t="s">
        <v>13151</v>
      </c>
      <c r="E2414" s="6" t="s">
        <v>74</v>
      </c>
      <c r="F2414" s="6" t="s">
        <v>9774</v>
      </c>
      <c r="G2414" s="3" t="str">
        <f>IFERROR(__xludf.DUMMYFUNCTION("REGEXREPLACE(
D2414,
""([一-龯々]+)\[([^\]]+)\]"",
""&lt;ruby&gt;$1&lt;rt&gt;$2&lt;/rt&gt;&lt;/ruby&gt;""
)&amp;""&lt;br&gt;&lt;div class=""""audio""""&gt;[sound:""&amp;C2414&amp;"".mp3]&lt;/div&gt;"""),"&lt;ruby&gt;役職&lt;rt&gt;やくしょく&lt;/rt&gt;&lt;/ruby&gt;&lt;br&gt;&lt;div class=""audio""&gt;[sound:やくしょく.mp3]&lt;/div&gt;")</f>
        <v>&lt;ruby&gt;役職&lt;rt&gt;やくしょく&lt;/rt&gt;&lt;/ruby&gt;&lt;br&gt;&lt;div class="audio"&gt;[sound:やくしょく.mp3]&lt;/div&gt;</v>
      </c>
      <c r="H2414" s="3" t="str">
        <f t="shared" si="1"/>
        <v>(n): chức vụ</v>
      </c>
      <c r="I2414" s="6" t="s">
        <v>13152</v>
      </c>
      <c r="J2414" s="6" t="s">
        <v>13153</v>
      </c>
      <c r="K2414" s="7">
        <f t="shared" si="2"/>
        <v>0.6707244898</v>
      </c>
    </row>
    <row r="2415">
      <c r="A2415" s="4">
        <v>2415.0</v>
      </c>
      <c r="B2415" s="5" t="s">
        <v>13154</v>
      </c>
      <c r="C2415" s="5" t="s">
        <v>13155</v>
      </c>
      <c r="D2415" s="5" t="s">
        <v>13156</v>
      </c>
      <c r="E2415" s="6" t="s">
        <v>74</v>
      </c>
      <c r="F2415" s="6" t="s">
        <v>8182</v>
      </c>
      <c r="G2415" s="3" t="str">
        <f>IFERROR(__xludf.DUMMYFUNCTION("REGEXREPLACE(
D2415,
""([一-龯々]+)\[([^\]]+)\]"",
""&lt;ruby&gt;$1&lt;rt&gt;$2&lt;/rt&gt;&lt;/ruby&gt;""
)&amp;""&lt;br&gt;&lt;div class=""""audio""""&gt;[sound:""&amp;C2415&amp;"".mp3]&lt;/div&gt;"""),"&lt;ruby&gt;持続&lt;rt&gt;じぞく&lt;/rt&gt;&lt;/ruby&gt;&lt;br&gt;&lt;div class=""audio""&gt;[sound:じぞく.mp3]&lt;/div&gt;")</f>
        <v>&lt;ruby&gt;持続&lt;rt&gt;じぞく&lt;/rt&gt;&lt;/ruby&gt;&lt;br&gt;&lt;div class="audio"&gt;[sound:じぞく.mp3]&lt;/div&gt;</v>
      </c>
      <c r="H2415" s="3" t="str">
        <f t="shared" si="1"/>
        <v>(n): duy trì</v>
      </c>
      <c r="I2415" s="6" t="s">
        <v>13157</v>
      </c>
      <c r="J2415" s="6" t="s">
        <v>13158</v>
      </c>
      <c r="K2415" s="7">
        <f t="shared" si="2"/>
        <v>0.4563315008</v>
      </c>
    </row>
    <row r="2416">
      <c r="A2416" s="4">
        <v>2416.0</v>
      </c>
      <c r="B2416" s="5" t="s">
        <v>13159</v>
      </c>
      <c r="C2416" s="5" t="s">
        <v>13160</v>
      </c>
      <c r="D2416" s="5" t="s">
        <v>13161</v>
      </c>
      <c r="E2416" s="6" t="s">
        <v>74</v>
      </c>
      <c r="F2416" s="6" t="s">
        <v>13162</v>
      </c>
      <c r="G2416" s="3" t="str">
        <f>IFERROR(__xludf.DUMMYFUNCTION("REGEXREPLACE(
D2416,
""([一-龯々]+)\[([^\]]+)\]"",
""&lt;ruby&gt;$1&lt;rt&gt;$2&lt;/rt&gt;&lt;/ruby&gt;""
)&amp;""&lt;br&gt;&lt;div class=""""audio""""&gt;[sound:""&amp;C2416&amp;"".mp3]&lt;/div&gt;"""),"&lt;ruby&gt;放置&lt;rt&gt;ほうち&lt;/rt&gt;&lt;/ruby&gt;&lt;br&gt;&lt;div class=""audio""&gt;[sound:ほうち.mp3]&lt;/div&gt;")</f>
        <v>&lt;ruby&gt;放置&lt;rt&gt;ほうち&lt;/rt&gt;&lt;/ruby&gt;&lt;br&gt;&lt;div class="audio"&gt;[sound:ほうち.mp3]&lt;/div&gt;</v>
      </c>
      <c r="H2416" s="3" t="str">
        <f t="shared" si="1"/>
        <v>(n): để mặc</v>
      </c>
      <c r="I2416" s="6" t="s">
        <v>13163</v>
      </c>
      <c r="J2416" s="6" t="s">
        <v>13164</v>
      </c>
      <c r="K2416" s="7">
        <f t="shared" si="2"/>
        <v>0.3608620278</v>
      </c>
    </row>
    <row r="2417">
      <c r="A2417" s="4">
        <v>2417.0</v>
      </c>
      <c r="B2417" s="5" t="s">
        <v>13165</v>
      </c>
      <c r="C2417" s="5" t="s">
        <v>13166</v>
      </c>
      <c r="D2417" s="5" t="s">
        <v>13167</v>
      </c>
      <c r="E2417" s="6" t="s">
        <v>74</v>
      </c>
      <c r="F2417" s="6" t="s">
        <v>13168</v>
      </c>
      <c r="G2417" s="3" t="str">
        <f>IFERROR(__xludf.DUMMYFUNCTION("REGEXREPLACE(
D2417,
""([一-龯々]+)\[([^\]]+)\]"",
""&lt;ruby&gt;$1&lt;rt&gt;$2&lt;/rt&gt;&lt;/ruby&gt;""
)&amp;""&lt;br&gt;&lt;div class=""""audio""""&gt;[sound:""&amp;C2417&amp;"".mp3]&lt;/div&gt;"""),"&lt;ruby&gt;学会&lt;rt&gt;がっかい&lt;/rt&gt;&lt;/ruby&gt;&lt;br&gt;&lt;div class=""audio""&gt;[sound:がっかい.mp3]&lt;/div&gt;")</f>
        <v>&lt;ruby&gt;学会&lt;rt&gt;がっかい&lt;/rt&gt;&lt;/ruby&gt;&lt;br&gt;&lt;div class="audio"&gt;[sound:がっかい.mp3]&lt;/div&gt;</v>
      </c>
      <c r="H2417" s="3" t="str">
        <f t="shared" si="1"/>
        <v>(n): hội nghị khoa học</v>
      </c>
      <c r="I2417" s="6" t="s">
        <v>13169</v>
      </c>
      <c r="J2417" s="6" t="s">
        <v>13170</v>
      </c>
      <c r="K2417" s="7">
        <f t="shared" si="2"/>
        <v>0.5428447402</v>
      </c>
    </row>
    <row r="2418">
      <c r="A2418" s="4">
        <v>2418.0</v>
      </c>
      <c r="B2418" s="5" t="s">
        <v>13171</v>
      </c>
      <c r="C2418" s="5" t="s">
        <v>13172</v>
      </c>
      <c r="D2418" s="5" t="s">
        <v>13173</v>
      </c>
      <c r="E2418" s="6" t="s">
        <v>74</v>
      </c>
      <c r="F2418" s="6" t="s">
        <v>13174</v>
      </c>
      <c r="G2418" s="3" t="str">
        <f>IFERROR(__xludf.DUMMYFUNCTION("REGEXREPLACE(
D2418,
""([一-龯々]+)\[([^\]]+)\]"",
""&lt;ruby&gt;$1&lt;rt&gt;$2&lt;/rt&gt;&lt;/ruby&gt;""
)&amp;""&lt;br&gt;&lt;div class=""""audio""""&gt;[sound:""&amp;C2418&amp;"".mp3]&lt;/div&gt;"""),"&lt;ruby&gt;外交&lt;rt&gt;がいこう&lt;/rt&gt;&lt;/ruby&gt;&lt;br&gt;&lt;div class=""audio""&gt;[sound:がいこう.mp3]&lt;/div&gt;")</f>
        <v>&lt;ruby&gt;外交&lt;rt&gt;がいこう&lt;/rt&gt;&lt;/ruby&gt;&lt;br&gt;&lt;div class="audio"&gt;[sound:がいこう.mp3]&lt;/div&gt;</v>
      </c>
      <c r="H2418" s="3" t="str">
        <f t="shared" si="1"/>
        <v>(n): ngoại giao</v>
      </c>
      <c r="I2418" s="6" t="s">
        <v>13175</v>
      </c>
      <c r="J2418" s="6" t="s">
        <v>13176</v>
      </c>
      <c r="K2418" s="7">
        <f t="shared" si="2"/>
        <v>0.2057852491</v>
      </c>
    </row>
    <row r="2419">
      <c r="A2419" s="4">
        <v>2419.0</v>
      </c>
      <c r="B2419" s="5" t="s">
        <v>13177</v>
      </c>
      <c r="C2419" s="5" t="s">
        <v>13178</v>
      </c>
      <c r="D2419" s="5" t="s">
        <v>13179</v>
      </c>
      <c r="E2419" s="6" t="s">
        <v>74</v>
      </c>
      <c r="F2419" s="6" t="s">
        <v>13180</v>
      </c>
      <c r="G2419" s="3" t="str">
        <f>IFERROR(__xludf.DUMMYFUNCTION("REGEXREPLACE(
D2419,
""([一-龯々]+)\[([^\]]+)\]"",
""&lt;ruby&gt;$1&lt;rt&gt;$2&lt;/rt&gt;&lt;/ruby&gt;""
)&amp;""&lt;br&gt;&lt;div class=""""audio""""&gt;[sound:""&amp;C2419&amp;"".mp3]&lt;/div&gt;"""),"&lt;ruby&gt;古典&lt;rt&gt;こてん&lt;/rt&gt;&lt;/ruby&gt;&lt;br&gt;&lt;div class=""audio""&gt;[sound:こてん.mp3]&lt;/div&gt;")</f>
        <v>&lt;ruby&gt;古典&lt;rt&gt;こてん&lt;/rt&gt;&lt;/ruby&gt;&lt;br&gt;&lt;div class="audio"&gt;[sound:こてん.mp3]&lt;/div&gt;</v>
      </c>
      <c r="H2419" s="3" t="str">
        <f t="shared" si="1"/>
        <v>(n): cổ điển</v>
      </c>
      <c r="I2419" s="6" t="s">
        <v>13181</v>
      </c>
      <c r="J2419" s="6" t="s">
        <v>13182</v>
      </c>
      <c r="K2419" s="7">
        <f t="shared" si="2"/>
        <v>0.8041198227</v>
      </c>
    </row>
    <row r="2420">
      <c r="A2420" s="4">
        <v>2420.0</v>
      </c>
      <c r="B2420" s="5" t="s">
        <v>13183</v>
      </c>
      <c r="C2420" s="5" t="s">
        <v>13184</v>
      </c>
      <c r="D2420" s="5" t="s">
        <v>13185</v>
      </c>
      <c r="E2420" s="6" t="s">
        <v>74</v>
      </c>
      <c r="F2420" s="6" t="s">
        <v>13186</v>
      </c>
      <c r="G2420" s="3" t="str">
        <f>IFERROR(__xludf.DUMMYFUNCTION("REGEXREPLACE(
D2420,
""([一-龯々]+)\[([^\]]+)\]"",
""&lt;ruby&gt;$1&lt;rt&gt;$2&lt;/rt&gt;&lt;/ruby&gt;""
)&amp;""&lt;br&gt;&lt;div class=""""audio""""&gt;[sound:""&amp;C2420&amp;"".mp3]&lt;/div&gt;"""),"&lt;ruby&gt;合理&lt;rt&gt;ごうり&lt;/rt&gt;&lt;/ruby&gt;&lt;br&gt;&lt;div class=""audio""&gt;[sound:ごうり.mp3]&lt;/div&gt;")</f>
        <v>&lt;ruby&gt;合理&lt;rt&gt;ごうり&lt;/rt&gt;&lt;/ruby&gt;&lt;br&gt;&lt;div class="audio"&gt;[sound:ごうり.mp3]&lt;/div&gt;</v>
      </c>
      <c r="H2420" s="3" t="str">
        <f t="shared" si="1"/>
        <v>(n): hợp lý</v>
      </c>
      <c r="I2420" s="6" t="s">
        <v>13187</v>
      </c>
      <c r="J2420" s="6" t="s">
        <v>13188</v>
      </c>
      <c r="K2420" s="7">
        <f t="shared" si="2"/>
        <v>0.734082508</v>
      </c>
    </row>
    <row r="2421">
      <c r="A2421" s="4">
        <v>2421.0</v>
      </c>
      <c r="B2421" s="5" t="s">
        <v>13189</v>
      </c>
      <c r="C2421" s="5" t="s">
        <v>13190</v>
      </c>
      <c r="D2421" s="5" t="s">
        <v>13191</v>
      </c>
      <c r="E2421" s="6" t="s">
        <v>74</v>
      </c>
      <c r="F2421" s="6" t="s">
        <v>13192</v>
      </c>
      <c r="G2421" s="3" t="str">
        <f>IFERROR(__xludf.DUMMYFUNCTION("REGEXREPLACE(
D2421,
""([一-龯々]+)\[([^\]]+)\]"",
""&lt;ruby&gt;$1&lt;rt&gt;$2&lt;/rt&gt;&lt;/ruby&gt;""
)&amp;""&lt;br&gt;&lt;div class=""""audio""""&gt;[sound:""&amp;C2421&amp;"".mp3]&lt;/div&gt;"""),"&lt;ruby&gt;大臣&lt;rt&gt;だいじん&lt;/rt&gt;&lt;/ruby&gt;&lt;br&gt;&lt;div class=""audio""&gt;[sound:だいじん.mp3]&lt;/div&gt;")</f>
        <v>&lt;ruby&gt;大臣&lt;rt&gt;だいじん&lt;/rt&gt;&lt;/ruby&gt;&lt;br&gt;&lt;div class="audio"&gt;[sound:だいじん.mp3]&lt;/div&gt;</v>
      </c>
      <c r="H2421" s="3" t="str">
        <f t="shared" si="1"/>
        <v>(n): bộ trưởng</v>
      </c>
      <c r="I2421" s="6" t="s">
        <v>13193</v>
      </c>
      <c r="J2421" s="6" t="s">
        <v>13194</v>
      </c>
      <c r="K2421" s="7">
        <f t="shared" si="2"/>
        <v>0.5258543026</v>
      </c>
    </row>
    <row r="2422">
      <c r="A2422" s="4">
        <v>2422.0</v>
      </c>
      <c r="B2422" s="5" t="s">
        <v>13195</v>
      </c>
      <c r="C2422" s="5" t="s">
        <v>13196</v>
      </c>
      <c r="D2422" s="5" t="s">
        <v>13197</v>
      </c>
      <c r="E2422" s="6" t="s">
        <v>74</v>
      </c>
      <c r="F2422" s="6" t="s">
        <v>13198</v>
      </c>
      <c r="G2422" s="3" t="str">
        <f>IFERROR(__xludf.DUMMYFUNCTION("REGEXREPLACE(
D2422,
""([一-龯々]+)\[([^\]]+)\]"",
""&lt;ruby&gt;$1&lt;rt&gt;$2&lt;/rt&gt;&lt;/ruby&gt;""
)&amp;""&lt;br&gt;&lt;div class=""""audio""""&gt;[sound:""&amp;C2422&amp;"".mp3]&lt;/div&gt;"""),"&lt;ruby&gt;委員&lt;rt&gt;いいん&lt;/rt&gt;&lt;/ruby&gt;&lt;br&gt;&lt;div class=""audio""&gt;[sound:いいん.mp3]&lt;/div&gt;")</f>
        <v>&lt;ruby&gt;委員&lt;rt&gt;いいん&lt;/rt&gt;&lt;/ruby&gt;&lt;br&gt;&lt;div class="audio"&gt;[sound:いいん.mp3]&lt;/div&gt;</v>
      </c>
      <c r="H2422" s="3" t="str">
        <f t="shared" si="1"/>
        <v>(n): ủy viên</v>
      </c>
      <c r="I2422" s="6" t="s">
        <v>13199</v>
      </c>
      <c r="J2422" s="6" t="s">
        <v>13200</v>
      </c>
      <c r="K2422" s="7">
        <f t="shared" si="2"/>
        <v>0.3886288135</v>
      </c>
    </row>
    <row r="2423">
      <c r="A2423" s="4">
        <v>2423.0</v>
      </c>
      <c r="B2423" s="5" t="s">
        <v>13201</v>
      </c>
      <c r="C2423" s="5" t="s">
        <v>13202</v>
      </c>
      <c r="D2423" s="5" t="s">
        <v>13203</v>
      </c>
      <c r="E2423" s="6" t="s">
        <v>24</v>
      </c>
      <c r="F2423" s="6" t="s">
        <v>13204</v>
      </c>
      <c r="G2423" s="3" t="str">
        <f>IFERROR(__xludf.DUMMYFUNCTION("REGEXREPLACE(
D2423,
""([一-龯々]+)\[([^\]]+)\]"",
""&lt;ruby&gt;$1&lt;rt&gt;$2&lt;/rt&gt;&lt;/ruby&gt;""
)&amp;""&lt;br&gt;&lt;div class=""""audio""""&gt;[sound:""&amp;C2423&amp;"".mp3]&lt;/div&gt;"""),"&lt;ruby&gt;接&lt;rt&gt;せっ&lt;/rt&gt;&lt;/ruby&gt;する&lt;br&gt;&lt;div class=""audio""&gt;[sound:せっする.mp3]&lt;/div&gt;")</f>
        <v>&lt;ruby&gt;接&lt;rt&gt;せっ&lt;/rt&gt;&lt;/ruby&gt;する&lt;br&gt;&lt;div class="audio"&gt;[sound:せっする.mp3]&lt;/div&gt;</v>
      </c>
      <c r="H2423" s="3" t="str">
        <f t="shared" si="1"/>
        <v>(v): tiếp xúc</v>
      </c>
      <c r="I2423" s="6" t="s">
        <v>13205</v>
      </c>
      <c r="J2423" s="6" t="s">
        <v>13206</v>
      </c>
      <c r="K2423" s="7">
        <f t="shared" si="2"/>
        <v>0.91527682</v>
      </c>
    </row>
    <row r="2424">
      <c r="A2424" s="4">
        <v>2424.0</v>
      </c>
      <c r="B2424" s="5" t="s">
        <v>13207</v>
      </c>
      <c r="C2424" s="5" t="s">
        <v>13208</v>
      </c>
      <c r="D2424" s="5" t="s">
        <v>13209</v>
      </c>
      <c r="E2424" s="6" t="s">
        <v>74</v>
      </c>
      <c r="F2424" s="6" t="s">
        <v>13210</v>
      </c>
      <c r="G2424" s="3" t="str">
        <f>IFERROR(__xludf.DUMMYFUNCTION("REGEXREPLACE(
D2424,
""([一-龯々]+)\[([^\]]+)\]"",
""&lt;ruby&gt;$1&lt;rt&gt;$2&lt;/rt&gt;&lt;/ruby&gt;""
)&amp;""&lt;br&gt;&lt;div class=""""audio""""&gt;[sound:""&amp;C2424&amp;"".mp3]&lt;/div&gt;"""),"&lt;ruby&gt;宇宙&lt;rt&gt;うちゅう&lt;/rt&gt;&lt;/ruby&gt;&lt;br&gt;&lt;div class=""audio""&gt;[sound:うちゅう.mp3]&lt;/div&gt;")</f>
        <v>&lt;ruby&gt;宇宙&lt;rt&gt;うちゅう&lt;/rt&gt;&lt;/ruby&gt;&lt;br&gt;&lt;div class="audio"&gt;[sound:うちゅう.mp3]&lt;/div&gt;</v>
      </c>
      <c r="H2424" s="3" t="str">
        <f t="shared" si="1"/>
        <v>(n): vũ trụ</v>
      </c>
      <c r="I2424" s="6" t="s">
        <v>13211</v>
      </c>
      <c r="J2424" s="6" t="s">
        <v>13212</v>
      </c>
      <c r="K2424" s="7">
        <f t="shared" si="2"/>
        <v>0.6712537409</v>
      </c>
    </row>
    <row r="2425">
      <c r="A2425" s="4">
        <v>2425.0</v>
      </c>
      <c r="B2425" s="5" t="s">
        <v>13213</v>
      </c>
      <c r="C2425" s="5" t="s">
        <v>13214</v>
      </c>
      <c r="D2425" s="5" t="s">
        <v>13215</v>
      </c>
      <c r="E2425" s="6" t="s">
        <v>74</v>
      </c>
      <c r="F2425" s="6" t="s">
        <v>13216</v>
      </c>
      <c r="G2425" s="3" t="str">
        <f>IFERROR(__xludf.DUMMYFUNCTION("REGEXREPLACE(
D2425,
""([一-龯々]+)\[([^\]]+)\]"",
""&lt;ruby&gt;$1&lt;rt&gt;$2&lt;/rt&gt;&lt;/ruby&gt;""
)&amp;""&lt;br&gt;&lt;div class=""""audio""""&gt;[sound:""&amp;C2425&amp;"".mp3]&lt;/div&gt;"""),"&lt;ruby&gt;振&lt;rt&gt;ふ&lt;/rt&gt;&lt;/ruby&gt;り&lt;br&gt;&lt;div class=""audio""&gt;[sound:ふり.mp3]&lt;/div&gt;")</f>
        <v>&lt;ruby&gt;振&lt;rt&gt;ふ&lt;/rt&gt;&lt;/ruby&gt;り&lt;br&gt;&lt;div class="audio"&gt;[sound:ふり.mp3]&lt;/div&gt;</v>
      </c>
      <c r="H2425" s="3" t="str">
        <f t="shared" si="1"/>
        <v>(n): vẻ</v>
      </c>
      <c r="I2425" s="6" t="s">
        <v>13217</v>
      </c>
      <c r="J2425" s="6" t="s">
        <v>13218</v>
      </c>
      <c r="K2425" s="7">
        <f t="shared" si="2"/>
        <v>0.2328135586</v>
      </c>
    </row>
    <row r="2426">
      <c r="A2426" s="4">
        <v>2426.0</v>
      </c>
      <c r="B2426" s="5" t="s">
        <v>13219</v>
      </c>
      <c r="C2426" s="5" t="s">
        <v>13220</v>
      </c>
      <c r="D2426" s="5" t="s">
        <v>13221</v>
      </c>
      <c r="E2426" s="6" t="s">
        <v>74</v>
      </c>
      <c r="F2426" s="6" t="s">
        <v>8992</v>
      </c>
      <c r="G2426" s="3" t="str">
        <f>IFERROR(__xludf.DUMMYFUNCTION("REGEXREPLACE(
D2426,
""([一-龯々]+)\[([^\]]+)\]"",
""&lt;ruby&gt;$1&lt;rt&gt;$2&lt;/rt&gt;&lt;/ruby&gt;""
)&amp;""&lt;br&gt;&lt;div class=""""audio""""&gt;[sound:""&amp;C2426&amp;"".mp3]&lt;/div&gt;"""),"&lt;ruby&gt;書類&lt;rt&gt;しょるい&lt;/rt&gt;&lt;/ruby&gt;&lt;br&gt;&lt;div class=""audio""&gt;[sound:しょるい.mp3]&lt;/div&gt;")</f>
        <v>&lt;ruby&gt;書類&lt;rt&gt;しょるい&lt;/rt&gt;&lt;/ruby&gt;&lt;br&gt;&lt;div class="audio"&gt;[sound:しょるい.mp3]&lt;/div&gt;</v>
      </c>
      <c r="H2426" s="3" t="str">
        <f t="shared" si="1"/>
        <v>(n): tài liệu</v>
      </c>
      <c r="I2426" s="6" t="s">
        <v>13222</v>
      </c>
      <c r="J2426" s="6" t="s">
        <v>13223</v>
      </c>
      <c r="K2426" s="7">
        <f t="shared" si="2"/>
        <v>0.1724598694</v>
      </c>
    </row>
    <row r="2427">
      <c r="A2427" s="4">
        <v>2427.0</v>
      </c>
      <c r="B2427" s="5" t="s">
        <v>13224</v>
      </c>
      <c r="C2427" s="5" t="s">
        <v>7872</v>
      </c>
      <c r="D2427" s="5" t="s">
        <v>13225</v>
      </c>
      <c r="E2427" s="6" t="s">
        <v>24</v>
      </c>
      <c r="F2427" s="6" t="s">
        <v>13226</v>
      </c>
      <c r="G2427" s="3" t="str">
        <f>IFERROR(__xludf.DUMMYFUNCTION("REGEXREPLACE(
D2427,
""([一-龯々]+)\[([^\]]+)\]"",
""&lt;ruby&gt;$1&lt;rt&gt;$2&lt;/rt&gt;&lt;/ruby&gt;""
)&amp;""&lt;br&gt;&lt;div class=""""audio""""&gt;[sound:""&amp;C2427&amp;"".mp3]&lt;/div&gt;"""),"&lt;ruby&gt;咲&lt;rt&gt;さ&lt;/rt&gt;&lt;/ruby&gt;く&lt;br&gt;&lt;div class=""audio""&gt;[sound:さく.mp3]&lt;/div&gt;")</f>
        <v>&lt;ruby&gt;咲&lt;rt&gt;さ&lt;/rt&gt;&lt;/ruby&gt;く&lt;br&gt;&lt;div class="audio"&gt;[sound:さく.mp3]&lt;/div&gt;</v>
      </c>
      <c r="H2427" s="3" t="str">
        <f t="shared" si="1"/>
        <v>(v): nở</v>
      </c>
      <c r="I2427" s="6" t="s">
        <v>13227</v>
      </c>
      <c r="J2427" s="6" t="s">
        <v>13228</v>
      </c>
      <c r="K2427" s="7">
        <f t="shared" si="2"/>
        <v>0.5523795357</v>
      </c>
    </row>
    <row r="2428">
      <c r="A2428" s="4">
        <v>2428.0</v>
      </c>
      <c r="B2428" s="5" t="s">
        <v>13229</v>
      </c>
      <c r="C2428" s="5" t="s">
        <v>13230</v>
      </c>
      <c r="D2428" s="5" t="s">
        <v>13231</v>
      </c>
      <c r="E2428" s="6" t="s">
        <v>74</v>
      </c>
      <c r="F2428" s="6" t="s">
        <v>13232</v>
      </c>
      <c r="G2428" s="3" t="str">
        <f>IFERROR(__xludf.DUMMYFUNCTION("REGEXREPLACE(
D2428,
""([一-龯々]+)\[([^\]]+)\]"",
""&lt;ruby&gt;$1&lt;rt&gt;$2&lt;/rt&gt;&lt;/ruby&gt;""
)&amp;""&lt;br&gt;&lt;div class=""""audio""""&gt;[sound:""&amp;C2428&amp;"".mp3]&lt;/div&gt;"""),"&lt;ruby&gt;金属&lt;rt&gt;きんぞく&lt;/rt&gt;&lt;/ruby&gt;&lt;br&gt;&lt;div class=""audio""&gt;[sound:きんぞく.mp3]&lt;/div&gt;")</f>
        <v>&lt;ruby&gt;金属&lt;rt&gt;きんぞく&lt;/rt&gt;&lt;/ruby&gt;&lt;br&gt;&lt;div class="audio"&gt;[sound:きんぞく.mp3]&lt;/div&gt;</v>
      </c>
      <c r="H2428" s="3" t="str">
        <f t="shared" si="1"/>
        <v>(n): kim loại</v>
      </c>
      <c r="I2428" s="6" t="s">
        <v>13233</v>
      </c>
      <c r="J2428" s="6" t="s">
        <v>13234</v>
      </c>
      <c r="K2428" s="7">
        <f t="shared" si="2"/>
        <v>0.6051734975</v>
      </c>
    </row>
    <row r="2429">
      <c r="A2429" s="4">
        <v>2429.0</v>
      </c>
      <c r="B2429" s="5" t="s">
        <v>13235</v>
      </c>
      <c r="C2429" s="5" t="s">
        <v>13236</v>
      </c>
      <c r="D2429" s="5" t="s">
        <v>13237</v>
      </c>
      <c r="E2429" s="6" t="s">
        <v>74</v>
      </c>
      <c r="F2429" s="6" t="s">
        <v>13238</v>
      </c>
      <c r="G2429" s="3" t="str">
        <f>IFERROR(__xludf.DUMMYFUNCTION("REGEXREPLACE(
D2429,
""([一-龯々]+)\[([^\]]+)\]"",
""&lt;ruby&gt;$1&lt;rt&gt;$2&lt;/rt&gt;&lt;/ruby&gt;""
)&amp;""&lt;br&gt;&lt;div class=""""audio""""&gt;[sound:""&amp;C2429&amp;"".mp3]&lt;/div&gt;"""),"&lt;ruby&gt;構造&lt;rt&gt;こうぞう&lt;/rt&gt;&lt;/ruby&gt;&lt;br&gt;&lt;div class=""audio""&gt;[sound:こうぞう.mp3]&lt;/div&gt;")</f>
        <v>&lt;ruby&gt;構造&lt;rt&gt;こうぞう&lt;/rt&gt;&lt;/ruby&gt;&lt;br&gt;&lt;div class="audio"&gt;[sound:こうぞう.mp3]&lt;/div&gt;</v>
      </c>
      <c r="H2429" s="3" t="str">
        <f t="shared" si="1"/>
        <v>(n): cấu trúc</v>
      </c>
      <c r="I2429" s="6" t="s">
        <v>13239</v>
      </c>
      <c r="J2429" s="6" t="s">
        <v>13240</v>
      </c>
      <c r="K2429" s="7">
        <f t="shared" si="2"/>
        <v>0.7362582657</v>
      </c>
    </row>
    <row r="2430">
      <c r="A2430" s="4">
        <v>2430.0</v>
      </c>
      <c r="B2430" s="5" t="s">
        <v>13241</v>
      </c>
      <c r="C2430" s="5" t="s">
        <v>13242</v>
      </c>
      <c r="D2430" s="5" t="s">
        <v>13243</v>
      </c>
      <c r="E2430" s="6" t="s">
        <v>74</v>
      </c>
      <c r="F2430" s="6" t="s">
        <v>13244</v>
      </c>
      <c r="G2430" s="3" t="str">
        <f>IFERROR(__xludf.DUMMYFUNCTION("REGEXREPLACE(
D2430,
""([一-龯々]+)\[([^\]]+)\]"",
""&lt;ruby&gt;$1&lt;rt&gt;$2&lt;/rt&gt;&lt;/ruby&gt;""
)&amp;""&lt;br&gt;&lt;div class=""""audio""""&gt;[sound:""&amp;C2430&amp;"".mp3]&lt;/div&gt;"""),"&lt;ruby&gt;相撲&lt;rt&gt;すもう&lt;/rt&gt;&lt;/ruby&gt;&lt;br&gt;&lt;div class=""audio""&gt;[sound:すもう.mp3]&lt;/div&gt;")</f>
        <v>&lt;ruby&gt;相撲&lt;rt&gt;すもう&lt;/rt&gt;&lt;/ruby&gt;&lt;br&gt;&lt;div class="audio"&gt;[sound:すもう.mp3]&lt;/div&gt;</v>
      </c>
      <c r="H2430" s="3" t="str">
        <f t="shared" si="1"/>
        <v>(n): sumo</v>
      </c>
      <c r="I2430" s="6" t="s">
        <v>13245</v>
      </c>
      <c r="J2430" s="6" t="s">
        <v>13246</v>
      </c>
      <c r="K2430" s="7">
        <f t="shared" si="2"/>
        <v>0.935222072</v>
      </c>
    </row>
    <row r="2431">
      <c r="A2431" s="4">
        <v>2431.0</v>
      </c>
      <c r="B2431" s="5" t="s">
        <v>13247</v>
      </c>
      <c r="C2431" s="5" t="s">
        <v>13248</v>
      </c>
      <c r="D2431" s="5" t="s">
        <v>13249</v>
      </c>
      <c r="E2431" s="6" t="s">
        <v>74</v>
      </c>
      <c r="F2431" s="6" t="s">
        <v>13250</v>
      </c>
      <c r="G2431" s="3" t="str">
        <f>IFERROR(__xludf.DUMMYFUNCTION("REGEXREPLACE(
D2431,
""([一-龯々]+)\[([^\]]+)\]"",
""&lt;ruby&gt;$1&lt;rt&gt;$2&lt;/rt&gt;&lt;/ruby&gt;""
)&amp;""&lt;br&gt;&lt;div class=""""audio""""&gt;[sound:""&amp;C2431&amp;"".mp3]&lt;/div&gt;"""),"&lt;ruby&gt;時計&lt;rt&gt;とけい&lt;/rt&gt;&lt;/ruby&gt;&lt;br&gt;&lt;div class=""audio""&gt;[sound:とけい.mp3]&lt;/div&gt;")</f>
        <v>&lt;ruby&gt;時計&lt;rt&gt;とけい&lt;/rt&gt;&lt;/ruby&gt;&lt;br&gt;&lt;div class="audio"&gt;[sound:とけい.mp3]&lt;/div&gt;</v>
      </c>
      <c r="H2431" s="3" t="str">
        <f t="shared" si="1"/>
        <v>(n): đồng hồ</v>
      </c>
      <c r="I2431" s="6" t="s">
        <v>13251</v>
      </c>
      <c r="J2431" s="6" t="s">
        <v>13252</v>
      </c>
      <c r="K2431" s="7">
        <f t="shared" si="2"/>
        <v>0.1554680833</v>
      </c>
    </row>
    <row r="2432">
      <c r="A2432" s="4">
        <v>2432.0</v>
      </c>
      <c r="B2432" s="5" t="s">
        <v>13253</v>
      </c>
      <c r="C2432" s="5" t="s">
        <v>13254</v>
      </c>
      <c r="D2432" s="5" t="s">
        <v>13255</v>
      </c>
      <c r="E2432" s="6" t="s">
        <v>24</v>
      </c>
      <c r="F2432" s="6" t="s">
        <v>13256</v>
      </c>
      <c r="G2432" s="3" t="str">
        <f>IFERROR(__xludf.DUMMYFUNCTION("REGEXREPLACE(
D2432,
""([一-龯々]+)\[([^\]]+)\]"",
""&lt;ruby&gt;$1&lt;rt&gt;$2&lt;/rt&gt;&lt;/ruby&gt;""
)&amp;""&lt;br&gt;&lt;div class=""""audio""""&gt;[sound:""&amp;C2432&amp;"".mp3]&lt;/div&gt;"""),"&lt;ruby&gt;殺&lt;rt&gt;ころ&lt;/rt&gt;&lt;/ruby&gt;す&lt;br&gt;&lt;div class=""audio""&gt;[sound:ころす.mp3]&lt;/div&gt;")</f>
        <v>&lt;ruby&gt;殺&lt;rt&gt;ころ&lt;/rt&gt;&lt;/ruby&gt;す&lt;br&gt;&lt;div class="audio"&gt;[sound:ころす.mp3]&lt;/div&gt;</v>
      </c>
      <c r="H2432" s="3" t="str">
        <f t="shared" si="1"/>
        <v>(v): giết</v>
      </c>
      <c r="I2432" s="6" t="s">
        <v>13257</v>
      </c>
      <c r="J2432" s="6" t="s">
        <v>13258</v>
      </c>
      <c r="K2432" s="7">
        <f t="shared" si="2"/>
        <v>0.9525946389</v>
      </c>
    </row>
    <row r="2433">
      <c r="A2433" s="4">
        <v>2433.0</v>
      </c>
      <c r="B2433" s="5" t="s">
        <v>13259</v>
      </c>
      <c r="C2433" s="5" t="s">
        <v>13260</v>
      </c>
      <c r="D2433" s="5" t="s">
        <v>13261</v>
      </c>
      <c r="E2433" s="6" t="s">
        <v>74</v>
      </c>
      <c r="F2433" s="6" t="s">
        <v>13262</v>
      </c>
      <c r="G2433" s="3" t="str">
        <f>IFERROR(__xludf.DUMMYFUNCTION("REGEXREPLACE(
D2433,
""([一-龯々]+)\[([^\]]+)\]"",
""&lt;ruby&gt;$1&lt;rt&gt;$2&lt;/rt&gt;&lt;/ruby&gt;""
)&amp;""&lt;br&gt;&lt;div class=""""audio""""&gt;[sound:""&amp;C2433&amp;"".mp3]&lt;/div&gt;"""),"&lt;ruby&gt;直線&lt;rt&gt;ちょくせん&lt;/rt&gt;&lt;/ruby&gt;&lt;br&gt;&lt;div class=""audio""&gt;[sound:ちょくせん.mp3]&lt;/div&gt;")</f>
        <v>&lt;ruby&gt;直線&lt;rt&gt;ちょくせん&lt;/rt&gt;&lt;/ruby&gt;&lt;br&gt;&lt;div class="audio"&gt;[sound:ちょくせん.mp3]&lt;/div&gt;</v>
      </c>
      <c r="H2433" s="3" t="str">
        <f t="shared" si="1"/>
        <v>(n): đường thẳng</v>
      </c>
      <c r="I2433" s="6" t="s">
        <v>13263</v>
      </c>
      <c r="J2433" s="6" t="s">
        <v>13264</v>
      </c>
      <c r="K2433" s="7">
        <f t="shared" si="2"/>
        <v>0.5658356683</v>
      </c>
    </row>
    <row r="2434">
      <c r="A2434" s="4">
        <v>2434.0</v>
      </c>
      <c r="B2434" s="5" t="s">
        <v>13265</v>
      </c>
      <c r="C2434" s="5" t="s">
        <v>13266</v>
      </c>
      <c r="D2434" s="5" t="s">
        <v>13267</v>
      </c>
      <c r="E2434" s="6" t="s">
        <v>74</v>
      </c>
      <c r="F2434" s="6" t="s">
        <v>12945</v>
      </c>
      <c r="G2434" s="3" t="str">
        <f>IFERROR(__xludf.DUMMYFUNCTION("REGEXREPLACE(
D2434,
""([一-龯々]+)\[([^\]]+)\]"",
""&lt;ruby&gt;$1&lt;rt&gt;$2&lt;/rt&gt;&lt;/ruby&gt;""
)&amp;""&lt;br&gt;&lt;div class=""""audio""""&gt;[sound:""&amp;C2434&amp;"".mp3]&lt;/div&gt;"""),"&lt;ruby&gt;損&lt;rt&gt;そん&lt;/rt&gt;&lt;/ruby&gt;&lt;br&gt;&lt;div class=""audio""&gt;[sound:そん.mp3]&lt;/div&gt;")</f>
        <v>&lt;ruby&gt;損&lt;rt&gt;そん&lt;/rt&gt;&lt;/ruby&gt;&lt;br&gt;&lt;div class="audio"&gt;[sound:そん.mp3]&lt;/div&gt;</v>
      </c>
      <c r="H2434" s="3" t="str">
        <f t="shared" si="1"/>
        <v>(n): thua lỗ</v>
      </c>
      <c r="I2434" s="6" t="s">
        <v>13268</v>
      </c>
      <c r="J2434" s="6" t="s">
        <v>13269</v>
      </c>
      <c r="K2434" s="7">
        <f t="shared" si="2"/>
        <v>0.02081053091</v>
      </c>
    </row>
    <row r="2435">
      <c r="A2435" s="4">
        <v>2435.0</v>
      </c>
      <c r="B2435" s="5" t="s">
        <v>13270</v>
      </c>
      <c r="C2435" s="5" t="s">
        <v>13271</v>
      </c>
      <c r="D2435" s="5" t="s">
        <v>13272</v>
      </c>
      <c r="E2435" s="6" t="s">
        <v>74</v>
      </c>
      <c r="F2435" s="6" t="s">
        <v>13273</v>
      </c>
      <c r="G2435" s="3" t="str">
        <f>IFERROR(__xludf.DUMMYFUNCTION("REGEXREPLACE(
D2435,
""([一-龯々]+)\[([^\]]+)\]"",
""&lt;ruby&gt;$1&lt;rt&gt;$2&lt;/rt&gt;&lt;/ruby&gt;""
)&amp;""&lt;br&gt;&lt;div class=""""audio""""&gt;[sound:""&amp;C2435&amp;"".mp3]&lt;/div&gt;"""),"&lt;ruby&gt;情熱&lt;rt&gt;じょうねつ&lt;/rt&gt;&lt;/ruby&gt;&lt;br&gt;&lt;div class=""audio""&gt;[sound:じょうねつ.mp3]&lt;/div&gt;")</f>
        <v>&lt;ruby&gt;情熱&lt;rt&gt;じょうねつ&lt;/rt&gt;&lt;/ruby&gt;&lt;br&gt;&lt;div class="audio"&gt;[sound:じょうねつ.mp3]&lt;/div&gt;</v>
      </c>
      <c r="H2435" s="3" t="str">
        <f t="shared" si="1"/>
        <v>(n): nhiệt huyết</v>
      </c>
      <c r="I2435" s="6" t="s">
        <v>13274</v>
      </c>
      <c r="J2435" s="6" t="s">
        <v>13275</v>
      </c>
      <c r="K2435" s="7">
        <f t="shared" si="2"/>
        <v>0.6107763811</v>
      </c>
    </row>
    <row r="2436">
      <c r="A2436" s="4">
        <v>2436.0</v>
      </c>
      <c r="B2436" s="5" t="s">
        <v>13276</v>
      </c>
      <c r="C2436" s="5" t="s">
        <v>13277</v>
      </c>
      <c r="D2436" s="5" t="s">
        <v>13278</v>
      </c>
      <c r="E2436" s="6" t="s">
        <v>74</v>
      </c>
      <c r="F2436" s="6" t="s">
        <v>13279</v>
      </c>
      <c r="G2436" s="3" t="str">
        <f>IFERROR(__xludf.DUMMYFUNCTION("REGEXREPLACE(
D2436,
""([一-龯々]+)\[([^\]]+)\]"",
""&lt;ruby&gt;$1&lt;rt&gt;$2&lt;/rt&gt;&lt;/ruby&gt;""
)&amp;""&lt;br&gt;&lt;div class=""""audio""""&gt;[sound:""&amp;C2436&amp;"".mp3]&lt;/div&gt;"""),"&lt;ruby&gt;戦術&lt;rt&gt;せんじゅつ&lt;/rt&gt;&lt;/ruby&gt;&lt;br&gt;&lt;div class=""audio""&gt;[sound:せんじゅつ.mp3]&lt;/div&gt;")</f>
        <v>&lt;ruby&gt;戦術&lt;rt&gt;せんじゅつ&lt;/rt&gt;&lt;/ruby&gt;&lt;br&gt;&lt;div class="audio"&gt;[sound:せんじゅつ.mp3]&lt;/div&gt;</v>
      </c>
      <c r="H2436" s="3" t="str">
        <f t="shared" si="1"/>
        <v>(n): chiến thuật</v>
      </c>
      <c r="I2436" s="6" t="s">
        <v>13280</v>
      </c>
      <c r="J2436" s="6" t="s">
        <v>13281</v>
      </c>
      <c r="K2436" s="7">
        <f t="shared" si="2"/>
        <v>0.7192789718</v>
      </c>
    </row>
    <row r="2437">
      <c r="A2437" s="4">
        <v>2437.0</v>
      </c>
      <c r="B2437" s="5" t="s">
        <v>13282</v>
      </c>
      <c r="C2437" s="5" t="s">
        <v>13283</v>
      </c>
      <c r="D2437" s="5" t="s">
        <v>13284</v>
      </c>
      <c r="E2437" s="6" t="s">
        <v>74</v>
      </c>
      <c r="F2437" s="6" t="s">
        <v>13285</v>
      </c>
      <c r="G2437" s="3" t="str">
        <f>IFERROR(__xludf.DUMMYFUNCTION("REGEXREPLACE(
D2437,
""([一-龯々]+)\[([^\]]+)\]"",
""&lt;ruby&gt;$1&lt;rt&gt;$2&lt;/rt&gt;&lt;/ruby&gt;""
)&amp;""&lt;br&gt;&lt;div class=""""audio""""&gt;[sound:""&amp;C2437&amp;"".mp3]&lt;/div&gt;"""),"&lt;ruby&gt;拡散&lt;rt&gt;かくさん&lt;/rt&gt;&lt;/ruby&gt;&lt;br&gt;&lt;div class=""audio""&gt;[sound:かくさん.mp3]&lt;/div&gt;")</f>
        <v>&lt;ruby&gt;拡散&lt;rt&gt;かくさん&lt;/rt&gt;&lt;/ruby&gt;&lt;br&gt;&lt;div class="audio"&gt;[sound:かくさん.mp3]&lt;/div&gt;</v>
      </c>
      <c r="H2437" s="3" t="str">
        <f t="shared" si="1"/>
        <v>(n): khuếch tán</v>
      </c>
      <c r="I2437" s="6" t="s">
        <v>13286</v>
      </c>
      <c r="J2437" s="6" t="s">
        <v>13287</v>
      </c>
      <c r="K2437" s="7">
        <f t="shared" si="2"/>
        <v>0.6142142777</v>
      </c>
    </row>
    <row r="2438">
      <c r="A2438" s="4">
        <v>2438.0</v>
      </c>
      <c r="B2438" s="5" t="s">
        <v>13288</v>
      </c>
      <c r="C2438" s="5" t="s">
        <v>13289</v>
      </c>
      <c r="D2438" s="5" t="s">
        <v>13290</v>
      </c>
      <c r="E2438" s="6" t="s">
        <v>74</v>
      </c>
      <c r="F2438" s="6" t="s">
        <v>7206</v>
      </c>
      <c r="G2438" s="3" t="str">
        <f>IFERROR(__xludf.DUMMYFUNCTION("REGEXREPLACE(
D2438,
""([一-龯々]+)\[([^\]]+)\]"",
""&lt;ruby&gt;$1&lt;rt&gt;$2&lt;/rt&gt;&lt;/ruby&gt;""
)&amp;""&lt;br&gt;&lt;div class=""""audio""""&gt;[sound:""&amp;C2438&amp;"".mp3]&lt;/div&gt;"""),"&lt;ruby&gt;本気&lt;rt&gt;ほんき&lt;/rt&gt;&lt;/ruby&gt;&lt;br&gt;&lt;div class=""audio""&gt;[sound:ほんき.mp3]&lt;/div&gt;")</f>
        <v>&lt;ruby&gt;本気&lt;rt&gt;ほんき&lt;/rt&gt;&lt;/ruby&gt;&lt;br&gt;&lt;div class="audio"&gt;[sound:ほんき.mp3]&lt;/div&gt;</v>
      </c>
      <c r="H2438" s="3" t="str">
        <f t="shared" si="1"/>
        <v>(n): nghiêm túc</v>
      </c>
      <c r="I2438" s="6" t="s">
        <v>13291</v>
      </c>
      <c r="J2438" s="6" t="s">
        <v>13292</v>
      </c>
      <c r="K2438" s="7">
        <f t="shared" si="2"/>
        <v>0.925888523</v>
      </c>
    </row>
    <row r="2439">
      <c r="A2439" s="4">
        <v>2439.0</v>
      </c>
      <c r="B2439" s="5" t="s">
        <v>13293</v>
      </c>
      <c r="C2439" s="5" t="s">
        <v>13294</v>
      </c>
      <c r="D2439" s="5" t="s">
        <v>13295</v>
      </c>
      <c r="E2439" s="6" t="s">
        <v>74</v>
      </c>
      <c r="F2439" s="6" t="s">
        <v>13296</v>
      </c>
      <c r="G2439" s="3" t="str">
        <f>IFERROR(__xludf.DUMMYFUNCTION("REGEXREPLACE(
D2439,
""([一-龯々]+)\[([^\]]+)\]"",
""&lt;ruby&gt;$1&lt;rt&gt;$2&lt;/rt&gt;&lt;/ruby&gt;""
)&amp;""&lt;br&gt;&lt;div class=""""audio""""&gt;[sound:""&amp;C2439&amp;"".mp3]&lt;/div&gt;"""),"&lt;ruby&gt;手元&lt;rt&gt;てもと&lt;/rt&gt;&lt;/ruby&gt;&lt;br&gt;&lt;div class=""audio""&gt;[sound:てもと.mp3]&lt;/div&gt;")</f>
        <v>&lt;ruby&gt;手元&lt;rt&gt;てもと&lt;/rt&gt;&lt;/ruby&gt;&lt;br&gt;&lt;div class="audio"&gt;[sound:てもと.mp3]&lt;/div&gt;</v>
      </c>
      <c r="H2439" s="3" t="str">
        <f t="shared" si="1"/>
        <v>(n): trong tay</v>
      </c>
      <c r="I2439" s="6" t="s">
        <v>13297</v>
      </c>
      <c r="J2439" s="6" t="s">
        <v>13298</v>
      </c>
      <c r="K2439" s="7">
        <f t="shared" si="2"/>
        <v>0.554479064</v>
      </c>
    </row>
    <row r="2440">
      <c r="A2440" s="4">
        <v>2440.0</v>
      </c>
      <c r="B2440" s="5" t="s">
        <v>13299</v>
      </c>
      <c r="C2440" s="5" t="s">
        <v>13300</v>
      </c>
      <c r="D2440" s="5" t="s">
        <v>13301</v>
      </c>
      <c r="E2440" s="6" t="s">
        <v>74</v>
      </c>
      <c r="F2440" s="6" t="s">
        <v>13302</v>
      </c>
      <c r="G2440" s="3" t="str">
        <f>IFERROR(__xludf.DUMMYFUNCTION("REGEXREPLACE(
D2440,
""([一-龯々]+)\[([^\]]+)\]"",
""&lt;ruby&gt;$1&lt;rt&gt;$2&lt;/rt&gt;&lt;/ruby&gt;""
)&amp;""&lt;br&gt;&lt;div class=""""audio""""&gt;[sound:""&amp;C2440&amp;"".mp3]&lt;/div&gt;"""),"&lt;ruby&gt;手順&lt;rt&gt;てじゅん&lt;/rt&gt;&lt;/ruby&gt;&lt;br&gt;&lt;div class=""audio""&gt;[sound:てじゅん.mp3]&lt;/div&gt;")</f>
        <v>&lt;ruby&gt;手順&lt;rt&gt;てじゅん&lt;/rt&gt;&lt;/ruby&gt;&lt;br&gt;&lt;div class="audio"&gt;[sound:てじゅん.mp3]&lt;/div&gt;</v>
      </c>
      <c r="H2440" s="3" t="str">
        <f t="shared" si="1"/>
        <v>(n): quy trình</v>
      </c>
      <c r="I2440" s="6" t="s">
        <v>13303</v>
      </c>
      <c r="J2440" s="6" t="s">
        <v>13304</v>
      </c>
      <c r="K2440" s="7">
        <f t="shared" si="2"/>
        <v>0.9228505218</v>
      </c>
    </row>
    <row r="2441">
      <c r="A2441" s="4">
        <v>2441.0</v>
      </c>
      <c r="B2441" s="5" t="s">
        <v>13305</v>
      </c>
      <c r="C2441" s="5" t="s">
        <v>13306</v>
      </c>
      <c r="D2441" s="5" t="s">
        <v>13307</v>
      </c>
      <c r="E2441" s="6" t="s">
        <v>24</v>
      </c>
      <c r="F2441" s="6" t="s">
        <v>11313</v>
      </c>
      <c r="G2441" s="3" t="str">
        <f>IFERROR(__xludf.DUMMYFUNCTION("REGEXREPLACE(
D2441,
""([一-龯々]+)\[([^\]]+)\]"",
""&lt;ruby&gt;$1&lt;rt&gt;$2&lt;/rt&gt;&lt;/ruby&gt;""
)&amp;""&lt;br&gt;&lt;div class=""""audio""""&gt;[sound:""&amp;C2441&amp;"".mp3]&lt;/div&gt;"""),"&lt;ruby&gt;挑&lt;rt&gt;いど&lt;/rt&gt;&lt;/ruby&gt;む&lt;br&gt;&lt;div class=""audio""&gt;[sound:いどむ.mp3]&lt;/div&gt;")</f>
        <v>&lt;ruby&gt;挑&lt;rt&gt;いど&lt;/rt&gt;&lt;/ruby&gt;む&lt;br&gt;&lt;div class="audio"&gt;[sound:いどむ.mp3]&lt;/div&gt;</v>
      </c>
      <c r="H2441" s="3" t="str">
        <f t="shared" si="1"/>
        <v>(v): thử thách</v>
      </c>
      <c r="I2441" s="6" t="s">
        <v>13308</v>
      </c>
      <c r="J2441" s="6" t="s">
        <v>13309</v>
      </c>
      <c r="K2441" s="7">
        <f t="shared" si="2"/>
        <v>0.4788426953</v>
      </c>
    </row>
    <row r="2442">
      <c r="A2442" s="4">
        <v>2442.0</v>
      </c>
      <c r="B2442" s="5" t="s">
        <v>13310</v>
      </c>
      <c r="C2442" s="5" t="s">
        <v>13311</v>
      </c>
      <c r="D2442" s="5" t="s">
        <v>13312</v>
      </c>
      <c r="E2442" s="6" t="s">
        <v>74</v>
      </c>
      <c r="F2442" s="6" t="s">
        <v>1985</v>
      </c>
      <c r="G2442" s="3" t="str">
        <f>IFERROR(__xludf.DUMMYFUNCTION("REGEXREPLACE(
D2442,
""([一-龯々]+)\[([^\]]+)\]"",
""&lt;ruby&gt;$1&lt;rt&gt;$2&lt;/rt&gt;&lt;/ruby&gt;""
)&amp;""&lt;br&gt;&lt;div class=""""audio""""&gt;[sound:""&amp;C2442&amp;"".mp3]&lt;/div&gt;"""),"&lt;ruby&gt;措置&lt;rt&gt;そち&lt;/rt&gt;&lt;/ruby&gt;&lt;br&gt;&lt;div class=""audio""&gt;[sound:そち.mp3]&lt;/div&gt;")</f>
        <v>&lt;ruby&gt;措置&lt;rt&gt;そち&lt;/rt&gt;&lt;/ruby&gt;&lt;br&gt;&lt;div class="audio"&gt;[sound:そち.mp3]&lt;/div&gt;</v>
      </c>
      <c r="H2442" s="3" t="str">
        <f t="shared" si="1"/>
        <v>(n): biện pháp</v>
      </c>
      <c r="I2442" s="6" t="s">
        <v>13313</v>
      </c>
      <c r="J2442" s="6" t="s">
        <v>13314</v>
      </c>
      <c r="K2442" s="7">
        <f t="shared" si="2"/>
        <v>0.02479452598</v>
      </c>
    </row>
    <row r="2443">
      <c r="A2443" s="4">
        <v>2443.0</v>
      </c>
      <c r="B2443" s="5" t="s">
        <v>13315</v>
      </c>
      <c r="C2443" s="5" t="s">
        <v>13316</v>
      </c>
      <c r="D2443" s="5" t="s">
        <v>13317</v>
      </c>
      <c r="E2443" s="6" t="s">
        <v>24</v>
      </c>
      <c r="F2443" s="6" t="s">
        <v>13318</v>
      </c>
      <c r="G2443" s="3" t="str">
        <f>IFERROR(__xludf.DUMMYFUNCTION("REGEXREPLACE(
D2443,
""([一-龯々]+)\[([^\]]+)\]"",
""&lt;ruby&gt;$1&lt;rt&gt;$2&lt;/rt&gt;&lt;/ruby&gt;""
)&amp;""&lt;br&gt;&lt;div class=""""audio""""&gt;[sound:""&amp;C2443&amp;"".mp3]&lt;/div&gt;"""),"&lt;ruby&gt;尽&lt;rt&gt;つ&lt;/rt&gt;&lt;/ruby&gt;きる&lt;br&gt;&lt;div class=""audio""&gt;[sound:つきる.mp3]&lt;/div&gt;")</f>
        <v>&lt;ruby&gt;尽&lt;rt&gt;つ&lt;/rt&gt;&lt;/ruby&gt;きる&lt;br&gt;&lt;div class="audio"&gt;[sound:つきる.mp3]&lt;/div&gt;</v>
      </c>
      <c r="H2443" s="3" t="str">
        <f t="shared" si="1"/>
        <v>(v): cạn kiệt</v>
      </c>
      <c r="I2443" s="6" t="s">
        <v>13319</v>
      </c>
      <c r="J2443" s="6" t="s">
        <v>13320</v>
      </c>
      <c r="K2443" s="7">
        <f t="shared" si="2"/>
        <v>0.6881694637</v>
      </c>
    </row>
    <row r="2444">
      <c r="A2444" s="4">
        <v>2444.0</v>
      </c>
      <c r="B2444" s="5" t="s">
        <v>13321</v>
      </c>
      <c r="C2444" s="5" t="s">
        <v>13322</v>
      </c>
      <c r="D2444" s="5" t="s">
        <v>13323</v>
      </c>
      <c r="E2444" s="6" t="s">
        <v>74</v>
      </c>
      <c r="F2444" s="6" t="s">
        <v>13324</v>
      </c>
      <c r="G2444" s="3" t="str">
        <f>IFERROR(__xludf.DUMMYFUNCTION("REGEXREPLACE(
D2444,
""([一-龯々]+)\[([^\]]+)\]"",
""&lt;ruby&gt;$1&lt;rt&gt;$2&lt;/rt&gt;&lt;/ruby&gt;""
)&amp;""&lt;br&gt;&lt;div class=""""audio""""&gt;[sound:""&amp;C2444&amp;"".mp3]&lt;/div&gt;"""),"&lt;ruby&gt;工作&lt;rt&gt;こうさく&lt;/rt&gt;&lt;/ruby&gt;&lt;br&gt;&lt;div class=""audio""&gt;[sound:こうさく.mp3]&lt;/div&gt;")</f>
        <v>&lt;ruby&gt;工作&lt;rt&gt;こうさく&lt;/rt&gt;&lt;/ruby&gt;&lt;br&gt;&lt;div class="audio"&gt;[sound:こうさく.mp3]&lt;/div&gt;</v>
      </c>
      <c r="H2444" s="3" t="str">
        <f t="shared" si="1"/>
        <v>(n): thủ công</v>
      </c>
      <c r="I2444" s="6" t="s">
        <v>13325</v>
      </c>
      <c r="J2444" s="6" t="s">
        <v>13326</v>
      </c>
      <c r="K2444" s="7">
        <f t="shared" si="2"/>
        <v>0.2791578399</v>
      </c>
    </row>
    <row r="2445">
      <c r="A2445" s="4">
        <v>2445.0</v>
      </c>
      <c r="B2445" s="5" t="s">
        <v>13327</v>
      </c>
      <c r="C2445" s="5" t="s">
        <v>13328</v>
      </c>
      <c r="D2445" s="5" t="s">
        <v>13329</v>
      </c>
      <c r="E2445" s="6" t="s">
        <v>74</v>
      </c>
      <c r="F2445" s="6" t="s">
        <v>13330</v>
      </c>
      <c r="G2445" s="3" t="str">
        <f>IFERROR(__xludf.DUMMYFUNCTION("REGEXREPLACE(
D2445,
""([一-龯々]+)\[([^\]]+)\]"",
""&lt;ruby&gt;$1&lt;rt&gt;$2&lt;/rt&gt;&lt;/ruby&gt;""
)&amp;""&lt;br&gt;&lt;div class=""""audio""""&gt;[sound:""&amp;C2445&amp;"".mp3]&lt;/div&gt;"""),"&lt;ruby&gt;廃棄&lt;rt&gt;はいき&lt;/rt&gt;&lt;/ruby&gt;&lt;br&gt;&lt;div class=""audio""&gt;[sound:はいき.mp3]&lt;/div&gt;")</f>
        <v>&lt;ruby&gt;廃棄&lt;rt&gt;はいき&lt;/rt&gt;&lt;/ruby&gt;&lt;br&gt;&lt;div class="audio"&gt;[sound:はいき.mp3]&lt;/div&gt;</v>
      </c>
      <c r="H2445" s="3" t="str">
        <f t="shared" si="1"/>
        <v>(n): phế thải</v>
      </c>
      <c r="I2445" s="6" t="s">
        <v>13331</v>
      </c>
      <c r="J2445" s="6" t="s">
        <v>13332</v>
      </c>
      <c r="K2445" s="7">
        <f t="shared" si="2"/>
        <v>0.0546517614</v>
      </c>
    </row>
    <row r="2446">
      <c r="A2446" s="4">
        <v>2446.0</v>
      </c>
      <c r="B2446" s="5" t="s">
        <v>13333</v>
      </c>
      <c r="C2446" s="5" t="s">
        <v>13334</v>
      </c>
      <c r="D2446" s="5" t="s">
        <v>13335</v>
      </c>
      <c r="E2446" s="6" t="s">
        <v>74</v>
      </c>
      <c r="F2446" s="6" t="s">
        <v>13336</v>
      </c>
      <c r="G2446" s="3" t="str">
        <f>IFERROR(__xludf.DUMMYFUNCTION("REGEXREPLACE(
D2446,
""([一-龯々]+)\[([^\]]+)\]"",
""&lt;ruby&gt;$1&lt;rt&gt;$2&lt;/rt&gt;&lt;/ruby&gt;""
)&amp;""&lt;br&gt;&lt;div class=""""audio""""&gt;[sound:""&amp;C2446&amp;"".mp3]&lt;/div&gt;"""),"&lt;ruby&gt;復旧&lt;rt&gt;ふっきゅう&lt;/rt&gt;&lt;/ruby&gt;&lt;br&gt;&lt;div class=""audio""&gt;[sound:ふっきゅう.mp3]&lt;/div&gt;")</f>
        <v>&lt;ruby&gt;復旧&lt;rt&gt;ふっきゅう&lt;/rt&gt;&lt;/ruby&gt;&lt;br&gt;&lt;div class="audio"&gt;[sound:ふっきゅう.mp3]&lt;/div&gt;</v>
      </c>
      <c r="H2446" s="3" t="str">
        <f t="shared" si="1"/>
        <v>(n): phục hồi</v>
      </c>
      <c r="I2446" s="6" t="s">
        <v>13337</v>
      </c>
      <c r="J2446" s="6" t="s">
        <v>13338</v>
      </c>
      <c r="K2446" s="7">
        <f t="shared" si="2"/>
        <v>0.05803496695</v>
      </c>
    </row>
    <row r="2447">
      <c r="A2447" s="4">
        <v>2447.0</v>
      </c>
      <c r="B2447" s="5" t="s">
        <v>13339</v>
      </c>
      <c r="C2447" s="5" t="s">
        <v>13340</v>
      </c>
      <c r="D2447" s="5" t="s">
        <v>13341</v>
      </c>
      <c r="E2447" s="6" t="s">
        <v>24</v>
      </c>
      <c r="F2447" s="6" t="s">
        <v>13342</v>
      </c>
      <c r="G2447" s="3" t="str">
        <f>IFERROR(__xludf.DUMMYFUNCTION("REGEXREPLACE(
D2447,
""([一-龯々]+)\[([^\]]+)\]"",
""&lt;ruby&gt;$1&lt;rt&gt;$2&lt;/rt&gt;&lt;/ruby&gt;""
)&amp;""&lt;br&gt;&lt;div class=""""audio""""&gt;[sound:""&amp;C2447&amp;"".mp3]&lt;/div&gt;"""),"&lt;ruby&gt;担&lt;rt&gt;にな&lt;/rt&gt;&lt;/ruby&gt;う&lt;br&gt;&lt;div class=""audio""&gt;[sound:になう.mp3]&lt;/div&gt;")</f>
        <v>&lt;ruby&gt;担&lt;rt&gt;にな&lt;/rt&gt;&lt;/ruby&gt;う&lt;br&gt;&lt;div class="audio"&gt;[sound:になう.mp3]&lt;/div&gt;</v>
      </c>
      <c r="H2447" s="3" t="str">
        <f t="shared" si="1"/>
        <v>(v): gánh vác</v>
      </c>
      <c r="I2447" s="6" t="s">
        <v>13343</v>
      </c>
      <c r="J2447" s="6" t="s">
        <v>13344</v>
      </c>
      <c r="K2447" s="7">
        <f t="shared" si="2"/>
        <v>0.04860407831</v>
      </c>
    </row>
    <row r="2448">
      <c r="A2448" s="4">
        <v>2448.0</v>
      </c>
      <c r="B2448" s="5" t="s">
        <v>13345</v>
      </c>
      <c r="C2448" s="5" t="s">
        <v>13346</v>
      </c>
      <c r="D2448" s="5" t="s">
        <v>13347</v>
      </c>
      <c r="E2448" s="6" t="s">
        <v>74</v>
      </c>
      <c r="F2448" s="6" t="s">
        <v>13348</v>
      </c>
      <c r="G2448" s="3" t="str">
        <f>IFERROR(__xludf.DUMMYFUNCTION("REGEXREPLACE(
D2448,
""([一-龯々]+)\[([^\]]+)\]"",
""&lt;ruby&gt;$1&lt;rt&gt;$2&lt;/rt&gt;&lt;/ruby&gt;""
)&amp;""&lt;br&gt;&lt;div class=""""audio""""&gt;[sound:""&amp;C2448&amp;"".mp3]&lt;/div&gt;"""),"&lt;ruby&gt;排除&lt;rt&gt;はいじょ&lt;/rt&gt;&lt;/ruby&gt;&lt;br&gt;&lt;div class=""audio""&gt;[sound:はいじょ.mp3]&lt;/div&gt;")</f>
        <v>&lt;ruby&gt;排除&lt;rt&gt;はいじょ&lt;/rt&gt;&lt;/ruby&gt;&lt;br&gt;&lt;div class="audio"&gt;[sound:はいじょ.mp3]&lt;/div&gt;</v>
      </c>
      <c r="H2448" s="3" t="str">
        <f t="shared" si="1"/>
        <v>(n): loại trừ</v>
      </c>
      <c r="I2448" s="6" t="s">
        <v>13349</v>
      </c>
      <c r="J2448" s="6" t="s">
        <v>13350</v>
      </c>
      <c r="K2448" s="7">
        <f t="shared" si="2"/>
        <v>0.008986880564</v>
      </c>
    </row>
    <row r="2449">
      <c r="A2449" s="4">
        <v>2449.0</v>
      </c>
      <c r="B2449" s="5" t="s">
        <v>13351</v>
      </c>
      <c r="C2449" s="5" t="s">
        <v>13352</v>
      </c>
      <c r="D2449" s="5" t="s">
        <v>13353</v>
      </c>
      <c r="E2449" s="6" t="s">
        <v>74</v>
      </c>
      <c r="F2449" s="6" t="s">
        <v>13354</v>
      </c>
      <c r="G2449" s="3" t="str">
        <f>IFERROR(__xludf.DUMMYFUNCTION("REGEXREPLACE(
D2449,
""([一-龯々]+)\[([^\]]+)\]"",
""&lt;ruby&gt;$1&lt;rt&gt;$2&lt;/rt&gt;&lt;/ruby&gt;""
)&amp;""&lt;br&gt;&lt;div class=""""audio""""&gt;[sound:""&amp;C2449&amp;"".mp3]&lt;/div&gt;"""),"&lt;ruby&gt;損失&lt;rt&gt;そんしつ&lt;/rt&gt;&lt;/ruby&gt;&lt;br&gt;&lt;div class=""audio""&gt;[sound:そんしつ.mp3]&lt;/div&gt;")</f>
        <v>&lt;ruby&gt;損失&lt;rt&gt;そんしつ&lt;/rt&gt;&lt;/ruby&gt;&lt;br&gt;&lt;div class="audio"&gt;[sound:そんしつ.mp3]&lt;/div&gt;</v>
      </c>
      <c r="H2449" s="3" t="str">
        <f t="shared" si="1"/>
        <v>(n): tổn thất</v>
      </c>
      <c r="I2449" s="6" t="s">
        <v>13355</v>
      </c>
      <c r="J2449" s="6" t="s">
        <v>13356</v>
      </c>
      <c r="K2449" s="7">
        <f t="shared" si="2"/>
        <v>0.8617389371</v>
      </c>
    </row>
    <row r="2450">
      <c r="A2450" s="4">
        <v>2450.0</v>
      </c>
      <c r="B2450" s="5" t="s">
        <v>13357</v>
      </c>
      <c r="C2450" s="5" t="s">
        <v>13358</v>
      </c>
      <c r="D2450" s="5" t="s">
        <v>13359</v>
      </c>
      <c r="E2450" s="6" t="s">
        <v>74</v>
      </c>
      <c r="F2450" s="6" t="s">
        <v>13360</v>
      </c>
      <c r="G2450" s="3" t="str">
        <f>IFERROR(__xludf.DUMMYFUNCTION("REGEXREPLACE(
D2450,
""([一-龯々]+)\[([^\]]+)\]"",
""&lt;ruby&gt;$1&lt;rt&gt;$2&lt;/rt&gt;&lt;/ruby&gt;""
)&amp;""&lt;br&gt;&lt;div class=""""audio""""&gt;[sound:""&amp;C2450&amp;"".mp3]&lt;/div&gt;"""),"&lt;ruby&gt;改良&lt;rt&gt;かいりょう&lt;/rt&gt;&lt;/ruby&gt;&lt;br&gt;&lt;div class=""audio""&gt;[sound:かいりょう.mp3]&lt;/div&gt;")</f>
        <v>&lt;ruby&gt;改良&lt;rt&gt;かいりょう&lt;/rt&gt;&lt;/ruby&gt;&lt;br&gt;&lt;div class="audio"&gt;[sound:かいりょう.mp3]&lt;/div&gt;</v>
      </c>
      <c r="H2450" s="3" t="str">
        <f t="shared" si="1"/>
        <v>(n): cải tiến</v>
      </c>
      <c r="I2450" s="6" t="s">
        <v>13361</v>
      </c>
      <c r="J2450" s="6" t="s">
        <v>13362</v>
      </c>
      <c r="K2450" s="7">
        <f t="shared" si="2"/>
        <v>0.3491136127</v>
      </c>
    </row>
    <row r="2451">
      <c r="A2451" s="4">
        <v>2451.0</v>
      </c>
      <c r="B2451" s="5" t="s">
        <v>13363</v>
      </c>
      <c r="C2451" s="5" t="s">
        <v>13364</v>
      </c>
      <c r="D2451" s="5" t="s">
        <v>13365</v>
      </c>
      <c r="E2451" s="6" t="s">
        <v>24</v>
      </c>
      <c r="F2451" s="6" t="s">
        <v>13366</v>
      </c>
      <c r="G2451" s="3" t="str">
        <f>IFERROR(__xludf.DUMMYFUNCTION("REGEXREPLACE(
D2451,
""([一-龯々]+)\[([^\]]+)\]"",
""&lt;ruby&gt;$1&lt;rt&gt;$2&lt;/rt&gt;&lt;/ruby&gt;""
)&amp;""&lt;br&gt;&lt;div class=""""audio""""&gt;[sound:""&amp;C2451&amp;"".mp3]&lt;/div&gt;"""),"&lt;ruby&gt;整&lt;rt&gt;ととの&lt;/rt&gt;&lt;/ruby&gt;える&lt;br&gt;&lt;div class=""audio""&gt;[sound:ととのえる.mp3]&lt;/div&gt;")</f>
        <v>&lt;ruby&gt;整&lt;rt&gt;ととの&lt;/rt&gt;&lt;/ruby&gt;える&lt;br&gt;&lt;div class="audio"&gt;[sound:ととのえる.mp3]&lt;/div&gt;</v>
      </c>
      <c r="H2451" s="3" t="str">
        <f t="shared" si="1"/>
        <v>(v): chỉnh đốn</v>
      </c>
      <c r="I2451" s="6" t="s">
        <v>13367</v>
      </c>
      <c r="J2451" s="6" t="s">
        <v>13368</v>
      </c>
      <c r="K2451" s="7">
        <f t="shared" si="2"/>
        <v>0.2963195407</v>
      </c>
    </row>
    <row r="2452">
      <c r="A2452" s="4">
        <v>2452.0</v>
      </c>
      <c r="B2452" s="5" t="s">
        <v>13369</v>
      </c>
      <c r="C2452" s="5" t="s">
        <v>13370</v>
      </c>
      <c r="D2452" s="5" t="s">
        <v>13371</v>
      </c>
      <c r="E2452" s="6" t="s">
        <v>74</v>
      </c>
      <c r="F2452" s="6" t="s">
        <v>13372</v>
      </c>
      <c r="G2452" s="3" t="str">
        <f>IFERROR(__xludf.DUMMYFUNCTION("REGEXREPLACE(
D2452,
""([一-龯々]+)\[([^\]]+)\]"",
""&lt;ruby&gt;$1&lt;rt&gt;$2&lt;/rt&gt;&lt;/ruby&gt;""
)&amp;""&lt;br&gt;&lt;div class=""""audio""""&gt;[sound:""&amp;C2452&amp;"".mp3]&lt;/div&gt;"""),"&lt;ruby&gt;暴力&lt;rt&gt;ぼうりょく&lt;/rt&gt;&lt;/ruby&gt;&lt;br&gt;&lt;div class=""audio""&gt;[sound:ぼうりょく.mp3]&lt;/div&gt;")</f>
        <v>&lt;ruby&gt;暴力&lt;rt&gt;ぼうりょく&lt;/rt&gt;&lt;/ruby&gt;&lt;br&gt;&lt;div class="audio"&gt;[sound:ぼうりょく.mp3]&lt;/div&gt;</v>
      </c>
      <c r="H2452" s="3" t="str">
        <f t="shared" si="1"/>
        <v>(n): bạo lực</v>
      </c>
      <c r="I2452" s="6" t="s">
        <v>13373</v>
      </c>
      <c r="J2452" s="6" t="s">
        <v>13374</v>
      </c>
      <c r="K2452" s="7">
        <f t="shared" si="2"/>
        <v>0.9393498311</v>
      </c>
    </row>
    <row r="2453">
      <c r="A2453" s="4">
        <v>2453.0</v>
      </c>
      <c r="B2453" s="5" t="s">
        <v>13375</v>
      </c>
      <c r="C2453" s="5" t="s">
        <v>13376</v>
      </c>
      <c r="D2453" s="5" t="s">
        <v>13377</v>
      </c>
      <c r="E2453" s="6" t="s">
        <v>74</v>
      </c>
      <c r="F2453" s="6" t="s">
        <v>13378</v>
      </c>
      <c r="G2453" s="3" t="str">
        <f>IFERROR(__xludf.DUMMYFUNCTION("REGEXREPLACE(
D2453,
""([一-龯々]+)\[([^\]]+)\]"",
""&lt;ruby&gt;$1&lt;rt&gt;$2&lt;/rt&gt;&lt;/ruby&gt;""
)&amp;""&lt;br&gt;&lt;div class=""""audio""""&gt;[sound:""&amp;C2453&amp;"".mp3]&lt;/div&gt;"""),"&lt;ruby&gt;本体&lt;rt&gt;ほんたい&lt;/rt&gt;&lt;/ruby&gt;&lt;br&gt;&lt;div class=""audio""&gt;[sound:ほんたい.mp3]&lt;/div&gt;")</f>
        <v>&lt;ruby&gt;本体&lt;rt&gt;ほんたい&lt;/rt&gt;&lt;/ruby&gt;&lt;br&gt;&lt;div class="audio"&gt;[sound:ほんたい.mp3]&lt;/div&gt;</v>
      </c>
      <c r="H2453" s="3" t="str">
        <f t="shared" si="1"/>
        <v>(n): bản thể</v>
      </c>
      <c r="I2453" s="6" t="s">
        <v>13379</v>
      </c>
      <c r="J2453" s="6" t="s">
        <v>13380</v>
      </c>
      <c r="K2453" s="7">
        <f t="shared" si="2"/>
        <v>0.417270184</v>
      </c>
    </row>
    <row r="2454">
      <c r="A2454" s="4">
        <v>2454.0</v>
      </c>
      <c r="B2454" s="5" t="s">
        <v>13381</v>
      </c>
      <c r="C2454" s="5" t="s">
        <v>13382</v>
      </c>
      <c r="D2454" s="5" t="s">
        <v>13383</v>
      </c>
      <c r="E2454" s="6" t="s">
        <v>74</v>
      </c>
      <c r="F2454" s="6" t="s">
        <v>13384</v>
      </c>
      <c r="G2454" s="3" t="str">
        <f>IFERROR(__xludf.DUMMYFUNCTION("REGEXREPLACE(
D2454,
""([一-龯々]+)\[([^\]]+)\]"",
""&lt;ruby&gt;$1&lt;rt&gt;$2&lt;/rt&gt;&lt;/ruby&gt;""
)&amp;""&lt;br&gt;&lt;div class=""""audio""""&gt;[sound:""&amp;C2454&amp;"".mp3]&lt;/div&gt;"""),"&lt;ruby&gt;密度&lt;rt&gt;みつど&lt;/rt&gt;&lt;/ruby&gt;&lt;br&gt;&lt;div class=""audio""&gt;[sound:みつど.mp3]&lt;/div&gt;")</f>
        <v>&lt;ruby&gt;密度&lt;rt&gt;みつど&lt;/rt&gt;&lt;/ruby&gt;&lt;br&gt;&lt;div class="audio"&gt;[sound:みつど.mp3]&lt;/div&gt;</v>
      </c>
      <c r="H2454" s="3" t="str">
        <f t="shared" si="1"/>
        <v>(n): mật độ</v>
      </c>
      <c r="I2454" s="6" t="s">
        <v>13385</v>
      </c>
      <c r="J2454" s="6" t="s">
        <v>13386</v>
      </c>
      <c r="K2454" s="7">
        <f t="shared" si="2"/>
        <v>0.859958716</v>
      </c>
    </row>
    <row r="2455">
      <c r="A2455" s="4">
        <v>2455.0</v>
      </c>
      <c r="B2455" s="5" t="s">
        <v>13387</v>
      </c>
      <c r="C2455" s="5" t="s">
        <v>13388</v>
      </c>
      <c r="D2455" s="5" t="s">
        <v>13389</v>
      </c>
      <c r="E2455" s="6" t="s">
        <v>74</v>
      </c>
      <c r="F2455" s="6" t="s">
        <v>13390</v>
      </c>
      <c r="G2455" s="3" t="str">
        <f>IFERROR(__xludf.DUMMYFUNCTION("REGEXREPLACE(
D2455,
""([一-龯々]+)\[([^\]]+)\]"",
""&lt;ruby&gt;$1&lt;rt&gt;$2&lt;/rt&gt;&lt;/ruby&gt;""
)&amp;""&lt;br&gt;&lt;div class=""""audio""""&gt;[sound:""&amp;C2455&amp;"".mp3]&lt;/div&gt;"""),"&lt;ruby&gt;念&lt;rt&gt;ねん&lt;/rt&gt;&lt;/ruby&gt;&lt;br&gt;&lt;div class=""audio""&gt;[sound:ねん.mp3]&lt;/div&gt;")</f>
        <v>&lt;ruby&gt;念&lt;rt&gt;ねん&lt;/rt&gt;&lt;/ruby&gt;&lt;br&gt;&lt;div class="audio"&gt;[sound:ねん.mp3]&lt;/div&gt;</v>
      </c>
      <c r="H2455" s="3" t="str">
        <f t="shared" si="1"/>
        <v>(n): ý niệm</v>
      </c>
      <c r="I2455" s="6" t="s">
        <v>13391</v>
      </c>
      <c r="J2455" s="6" t="s">
        <v>13392</v>
      </c>
      <c r="K2455" s="7">
        <f t="shared" si="2"/>
        <v>0.8660475365</v>
      </c>
    </row>
    <row r="2456">
      <c r="A2456" s="4">
        <v>2456.0</v>
      </c>
      <c r="B2456" s="5" t="s">
        <v>13393</v>
      </c>
      <c r="C2456" s="5" t="s">
        <v>13394</v>
      </c>
      <c r="D2456" s="5" t="s">
        <v>13395</v>
      </c>
      <c r="E2456" s="6" t="s">
        <v>74</v>
      </c>
      <c r="F2456" s="6" t="s">
        <v>3321</v>
      </c>
      <c r="G2456" s="3" t="str">
        <f>IFERROR(__xludf.DUMMYFUNCTION("REGEXREPLACE(
D2456,
""([一-龯々]+)\[([^\]]+)\]"",
""&lt;ruby&gt;$1&lt;rt&gt;$2&lt;/rt&gt;&lt;/ruby&gt;""
)&amp;""&lt;br&gt;&lt;div class=""""audio""""&gt;[sound:""&amp;C2456&amp;"".mp3]&lt;/div&gt;"""),"&lt;ruby&gt;徒歩&lt;rt&gt;とほ&lt;/rt&gt;&lt;/ruby&gt;&lt;br&gt;&lt;div class=""audio""&gt;[sound:とほ.mp3]&lt;/div&gt;")</f>
        <v>&lt;ruby&gt;徒歩&lt;rt&gt;とほ&lt;/rt&gt;&lt;/ruby&gt;&lt;br&gt;&lt;div class="audio"&gt;[sound:とほ.mp3]&lt;/div&gt;</v>
      </c>
      <c r="H2456" s="3" t="str">
        <f t="shared" si="1"/>
        <v>(n): đi bộ</v>
      </c>
      <c r="I2456" s="6" t="s">
        <v>13396</v>
      </c>
      <c r="J2456" s="6" t="s">
        <v>13397</v>
      </c>
      <c r="K2456" s="7">
        <f t="shared" si="2"/>
        <v>0.297207145</v>
      </c>
    </row>
    <row r="2457">
      <c r="A2457" s="4">
        <v>2457.0</v>
      </c>
      <c r="B2457" s="5" t="s">
        <v>13398</v>
      </c>
      <c r="C2457" s="5" t="s">
        <v>13399</v>
      </c>
      <c r="D2457" s="5" t="s">
        <v>13400</v>
      </c>
      <c r="E2457" s="6" t="s">
        <v>74</v>
      </c>
      <c r="F2457" s="6" t="s">
        <v>2929</v>
      </c>
      <c r="G2457" s="3" t="str">
        <f>IFERROR(__xludf.DUMMYFUNCTION("REGEXREPLACE(
D2457,
""([一-龯々]+)\[([^\]]+)\]"",
""&lt;ruby&gt;$1&lt;rt&gt;$2&lt;/rt&gt;&lt;/ruby&gt;""
)&amp;""&lt;br&gt;&lt;div class=""""audio""""&gt;[sound:""&amp;C2457&amp;"".mp3]&lt;/div&gt;"""),"&lt;ruby&gt;弱&lt;rt&gt;じゃく&lt;/rt&gt;&lt;/ruby&gt;&lt;br&gt;&lt;div class=""audio""&gt;[sound:じゃく.mp3]&lt;/div&gt;")</f>
        <v>&lt;ruby&gt;弱&lt;rt&gt;じゃく&lt;/rt&gt;&lt;/ruby&gt;&lt;br&gt;&lt;div class="audio"&gt;[sound:じゃく.mp3]&lt;/div&gt;</v>
      </c>
      <c r="H2457" s="3" t="str">
        <f t="shared" si="1"/>
        <v>(n): yếu</v>
      </c>
      <c r="I2457" s="6" t="s">
        <v>13401</v>
      </c>
      <c r="J2457" s="6" t="s">
        <v>13402</v>
      </c>
      <c r="K2457" s="7">
        <f t="shared" si="2"/>
        <v>0.9422784672</v>
      </c>
    </row>
    <row r="2458">
      <c r="A2458" s="4">
        <v>2458.0</v>
      </c>
      <c r="B2458" s="5" t="s">
        <v>13403</v>
      </c>
      <c r="C2458" s="5" t="s">
        <v>13404</v>
      </c>
      <c r="D2458" s="5" t="s">
        <v>13405</v>
      </c>
      <c r="E2458" s="6" t="s">
        <v>44</v>
      </c>
      <c r="F2458" s="6" t="s">
        <v>45</v>
      </c>
      <c r="G2458" s="3" t="str">
        <f>IFERROR(__xludf.DUMMYFUNCTION("REGEXREPLACE(
D2458,
""([一-龯々]+)\[([^\]]+)\]"",
""&lt;ruby&gt;$1&lt;rt&gt;$2&lt;/rt&gt;&lt;/ruby&gt;""
)&amp;""&lt;br&gt;&lt;div class=""""audio""""&gt;[sound:""&amp;C2458&amp;"".mp3]&lt;/div&gt;"""),"&lt;ruby&gt;我&lt;rt&gt;われ&lt;/rt&gt;&lt;/ruby&gt;&lt;br&gt;&lt;div class=""audio""&gt;[sound:われ.mp3]&lt;/div&gt;")</f>
        <v>&lt;ruby&gt;我&lt;rt&gt;われ&lt;/rt&gt;&lt;/ruby&gt;&lt;br&gt;&lt;div class="audio"&gt;[sound:われ.mp3]&lt;/div&gt;</v>
      </c>
      <c r="H2458" s="3" t="str">
        <f t="shared" si="1"/>
        <v>(pron): tôi</v>
      </c>
      <c r="I2458" s="6" t="s">
        <v>13406</v>
      </c>
      <c r="J2458" s="6" t="s">
        <v>13407</v>
      </c>
      <c r="K2458" s="7">
        <f t="shared" si="2"/>
        <v>0.7469650959</v>
      </c>
    </row>
    <row r="2459">
      <c r="A2459" s="4">
        <v>2459.0</v>
      </c>
      <c r="B2459" s="5" t="s">
        <v>13408</v>
      </c>
      <c r="C2459" s="5" t="s">
        <v>13409</v>
      </c>
      <c r="D2459" s="5" t="s">
        <v>13410</v>
      </c>
      <c r="E2459" s="6" t="s">
        <v>74</v>
      </c>
      <c r="F2459" s="6" t="s">
        <v>13411</v>
      </c>
      <c r="G2459" s="3" t="str">
        <f>IFERROR(__xludf.DUMMYFUNCTION("REGEXREPLACE(
D2459,
""([一-龯々]+)\[([^\]]+)\]"",
""&lt;ruby&gt;$1&lt;rt&gt;$2&lt;/rt&gt;&lt;/ruby&gt;""
)&amp;""&lt;br&gt;&lt;div class=""""audio""""&gt;[sound:""&amp;C2459&amp;"".mp3]&lt;/div&gt;"""),"&lt;ruby&gt;名刺&lt;rt&gt;めいし&lt;/rt&gt;&lt;/ruby&gt;&lt;br&gt;&lt;div class=""audio""&gt;[sound:めいし.mp3]&lt;/div&gt;")</f>
        <v>&lt;ruby&gt;名刺&lt;rt&gt;めいし&lt;/rt&gt;&lt;/ruby&gt;&lt;br&gt;&lt;div class="audio"&gt;[sound:めいし.mp3]&lt;/div&gt;</v>
      </c>
      <c r="H2459" s="3" t="str">
        <f t="shared" si="1"/>
        <v>(n): danh thiếp</v>
      </c>
      <c r="I2459" s="6" t="s">
        <v>13412</v>
      </c>
      <c r="J2459" s="6" t="s">
        <v>13413</v>
      </c>
      <c r="K2459" s="7">
        <f t="shared" si="2"/>
        <v>0.2564246531</v>
      </c>
    </row>
    <row r="2460">
      <c r="A2460" s="4">
        <v>2460.0</v>
      </c>
      <c r="B2460" s="5" t="s">
        <v>13414</v>
      </c>
      <c r="C2460" s="5" t="s">
        <v>13415</v>
      </c>
      <c r="D2460" s="5" t="s">
        <v>13416</v>
      </c>
      <c r="E2460" s="6" t="s">
        <v>74</v>
      </c>
      <c r="F2460" s="6" t="s">
        <v>13417</v>
      </c>
      <c r="G2460" s="3" t="str">
        <f>IFERROR(__xludf.DUMMYFUNCTION("REGEXREPLACE(
D2460,
""([一-龯々]+)\[([^\]]+)\]"",
""&lt;ruby&gt;$1&lt;rt&gt;$2&lt;/rt&gt;&lt;/ruby&gt;""
)&amp;""&lt;br&gt;&lt;div class=""""audio""""&gt;[sound:""&amp;C2460&amp;"".mp3]&lt;/div&gt;"""),"&lt;ruby&gt;同一&lt;rt&gt;どういつ&lt;/rt&gt;&lt;/ruby&gt;&lt;br&gt;&lt;div class=""audio""&gt;[sound:どういつ.mp3]&lt;/div&gt;")</f>
        <v>&lt;ruby&gt;同一&lt;rt&gt;どういつ&lt;/rt&gt;&lt;/ruby&gt;&lt;br&gt;&lt;div class="audio"&gt;[sound:どういつ.mp3]&lt;/div&gt;</v>
      </c>
      <c r="H2460" s="3" t="str">
        <f t="shared" si="1"/>
        <v>(n): đồng nhất</v>
      </c>
      <c r="I2460" s="6" t="s">
        <v>13418</v>
      </c>
      <c r="J2460" s="6" t="s">
        <v>13419</v>
      </c>
      <c r="K2460" s="7">
        <f t="shared" si="2"/>
        <v>0.7233633306</v>
      </c>
    </row>
    <row r="2461">
      <c r="A2461" s="4">
        <v>2461.0</v>
      </c>
      <c r="B2461" s="5" t="s">
        <v>13420</v>
      </c>
      <c r="C2461" s="5" t="s">
        <v>13421</v>
      </c>
      <c r="D2461" s="5" t="s">
        <v>13422</v>
      </c>
      <c r="E2461" s="6" t="s">
        <v>74</v>
      </c>
      <c r="F2461" s="6" t="s">
        <v>13423</v>
      </c>
      <c r="G2461" s="3" t="str">
        <f>IFERROR(__xludf.DUMMYFUNCTION("REGEXREPLACE(
D2461,
""([一-龯々]+)\[([^\]]+)\]"",
""&lt;ruby&gt;$1&lt;rt&gt;$2&lt;/rt&gt;&lt;/ruby&gt;""
)&amp;""&lt;br&gt;&lt;div class=""""audio""""&gt;[sound:""&amp;C2461&amp;"".mp3]&lt;/div&gt;"""),"&lt;ruby&gt;整備&lt;rt&gt;せいび&lt;/rt&gt;&lt;/ruby&gt;&lt;br&gt;&lt;div class=""audio""&gt;[sound:せいび.mp3]&lt;/div&gt;")</f>
        <v>&lt;ruby&gt;整備&lt;rt&gt;せいび&lt;/rt&gt;&lt;/ruby&gt;&lt;br&gt;&lt;div class="audio"&gt;[sound:せいび.mp3]&lt;/div&gt;</v>
      </c>
      <c r="H2461" s="3" t="str">
        <f t="shared" si="1"/>
        <v>(n): bảo dưỡng</v>
      </c>
      <c r="I2461" s="6" t="s">
        <v>13424</v>
      </c>
      <c r="J2461" s="6" t="s">
        <v>13425</v>
      </c>
      <c r="K2461" s="7">
        <f t="shared" si="2"/>
        <v>0.8317348942</v>
      </c>
    </row>
    <row r="2462">
      <c r="A2462" s="4">
        <v>2462.0</v>
      </c>
      <c r="B2462" s="5" t="s">
        <v>13426</v>
      </c>
      <c r="C2462" s="5" t="s">
        <v>13427</v>
      </c>
      <c r="D2462" s="5" t="s">
        <v>13428</v>
      </c>
      <c r="E2462" s="6" t="s">
        <v>74</v>
      </c>
      <c r="F2462" s="6" t="s">
        <v>10260</v>
      </c>
      <c r="G2462" s="3" t="str">
        <f>IFERROR(__xludf.DUMMYFUNCTION("REGEXREPLACE(
D2462,
""([一-龯々]+)\[([^\]]+)\]"",
""&lt;ruby&gt;$1&lt;rt&gt;$2&lt;/rt&gt;&lt;/ruby&gt;""
)&amp;""&lt;br&gt;&lt;div class=""""audio""""&gt;[sound:""&amp;C2462&amp;"".mp3]&lt;/div&gt;"""),"&lt;ruby&gt;比較&lt;rt&gt;ひかく&lt;/rt&gt;&lt;/ruby&gt;&lt;br&gt;&lt;div class=""audio""&gt;[sound:ひかく.mp3]&lt;/div&gt;")</f>
        <v>&lt;ruby&gt;比較&lt;rt&gt;ひかく&lt;/rt&gt;&lt;/ruby&gt;&lt;br&gt;&lt;div class="audio"&gt;[sound:ひかく.mp3]&lt;/div&gt;</v>
      </c>
      <c r="H2462" s="3" t="str">
        <f t="shared" si="1"/>
        <v>(n): so sánh</v>
      </c>
      <c r="I2462" s="6" t="s">
        <v>13429</v>
      </c>
      <c r="J2462" s="6" t="s">
        <v>13430</v>
      </c>
      <c r="K2462" s="7">
        <f t="shared" si="2"/>
        <v>0.03767696187</v>
      </c>
    </row>
    <row r="2463">
      <c r="A2463" s="4">
        <v>2463.0</v>
      </c>
      <c r="B2463" s="5" t="s">
        <v>13431</v>
      </c>
      <c r="C2463" s="5" t="s">
        <v>13432</v>
      </c>
      <c r="D2463" s="5" t="s">
        <v>13433</v>
      </c>
      <c r="E2463" s="6" t="s">
        <v>74</v>
      </c>
      <c r="F2463" s="6" t="s">
        <v>13434</v>
      </c>
      <c r="G2463" s="3" t="str">
        <f>IFERROR(__xludf.DUMMYFUNCTION("REGEXREPLACE(
D2463,
""([一-龯々]+)\[([^\]]+)\]"",
""&lt;ruby&gt;$1&lt;rt&gt;$2&lt;/rt&gt;&lt;/ruby&gt;""
)&amp;""&lt;br&gt;&lt;div class=""""audio""""&gt;[sound:""&amp;C2463&amp;"".mp3]&lt;/div&gt;"""),"&lt;ruby&gt;権利&lt;rt&gt;けんり&lt;/rt&gt;&lt;/ruby&gt;&lt;br&gt;&lt;div class=""audio""&gt;[sound:けんり.mp3]&lt;/div&gt;")</f>
        <v>&lt;ruby&gt;権利&lt;rt&gt;けんり&lt;/rt&gt;&lt;/ruby&gt;&lt;br&gt;&lt;div class="audio"&gt;[sound:けんり.mp3]&lt;/div&gt;</v>
      </c>
      <c r="H2463" s="3" t="str">
        <f t="shared" si="1"/>
        <v>(n): quyền lợi</v>
      </c>
      <c r="I2463" s="6" t="s">
        <v>13435</v>
      </c>
      <c r="J2463" s="6" t="s">
        <v>13436</v>
      </c>
      <c r="K2463" s="7">
        <f t="shared" si="2"/>
        <v>0.8273133133</v>
      </c>
    </row>
    <row r="2464">
      <c r="A2464" s="4">
        <v>2464.0</v>
      </c>
      <c r="B2464" s="5" t="s">
        <v>13437</v>
      </c>
      <c r="C2464" s="5" t="s">
        <v>13438</v>
      </c>
      <c r="D2464" s="5" t="s">
        <v>13439</v>
      </c>
      <c r="E2464" s="6" t="s">
        <v>24</v>
      </c>
      <c r="F2464" s="6" t="s">
        <v>7556</v>
      </c>
      <c r="G2464" s="3" t="str">
        <f>IFERROR(__xludf.DUMMYFUNCTION("REGEXREPLACE(
D2464,
""([一-龯々]+)\[([^\]]+)\]"",
""&lt;ruby&gt;$1&lt;rt&gt;$2&lt;/rt&gt;&lt;/ruby&gt;""
)&amp;""&lt;br&gt;&lt;div class=""""audio""""&gt;[sound:""&amp;C2464&amp;"".mp3]&lt;/div&gt;"""),"&lt;ruby&gt;掴&lt;rt&gt;つか&lt;/rt&gt;&lt;/ruby&gt;む&lt;br&gt;&lt;div class=""audio""&gt;[sound:つかむ.mp3]&lt;/div&gt;")</f>
        <v>&lt;ruby&gt;掴&lt;rt&gt;つか&lt;/rt&gt;&lt;/ruby&gt;む&lt;br&gt;&lt;div class="audio"&gt;[sound:つかむ.mp3]&lt;/div&gt;</v>
      </c>
      <c r="H2464" s="3" t="str">
        <f t="shared" si="1"/>
        <v>(v): nắm bắt</v>
      </c>
      <c r="I2464" s="6" t="s">
        <v>13440</v>
      </c>
      <c r="J2464" s="6" t="s">
        <v>13441</v>
      </c>
      <c r="K2464" s="7">
        <f t="shared" si="2"/>
        <v>0.07041013268</v>
      </c>
    </row>
    <row r="2465">
      <c r="A2465" s="4">
        <v>2465.0</v>
      </c>
      <c r="B2465" s="5" t="s">
        <v>13442</v>
      </c>
      <c r="C2465" s="5" t="s">
        <v>13443</v>
      </c>
      <c r="D2465" s="5" t="s">
        <v>13444</v>
      </c>
      <c r="E2465" s="6" t="s">
        <v>74</v>
      </c>
      <c r="F2465" s="6" t="s">
        <v>13445</v>
      </c>
      <c r="G2465" s="3" t="str">
        <f>IFERROR(__xludf.DUMMYFUNCTION("REGEXREPLACE(
D2465,
""([一-龯々]+)\[([^\]]+)\]"",
""&lt;ruby&gt;$1&lt;rt&gt;$2&lt;/rt&gt;&lt;/ruby&gt;""
)&amp;""&lt;br&gt;&lt;div class=""""audio""""&gt;[sound:""&amp;C2465&amp;"".mp3]&lt;/div&gt;"""),"&lt;ruby&gt;攻撃&lt;rt&gt;こうげき&lt;/rt&gt;&lt;/ruby&gt;&lt;br&gt;&lt;div class=""audio""&gt;[sound:こうげき.mp3]&lt;/div&gt;")</f>
        <v>&lt;ruby&gt;攻撃&lt;rt&gt;こうげき&lt;/rt&gt;&lt;/ruby&gt;&lt;br&gt;&lt;div class="audio"&gt;[sound:こうげき.mp3]&lt;/div&gt;</v>
      </c>
      <c r="H2465" s="3" t="str">
        <f t="shared" si="1"/>
        <v>(n): công kích</v>
      </c>
      <c r="I2465" s="6" t="s">
        <v>13446</v>
      </c>
      <c r="J2465" s="6" t="s">
        <v>13447</v>
      </c>
      <c r="K2465" s="7">
        <f t="shared" si="2"/>
        <v>0.6102123872</v>
      </c>
    </row>
    <row r="2466">
      <c r="A2466" s="4">
        <v>2466.0</v>
      </c>
      <c r="B2466" s="5" t="s">
        <v>13448</v>
      </c>
      <c r="C2466" s="5" t="s">
        <v>13449</v>
      </c>
      <c r="D2466" s="5" t="s">
        <v>13450</v>
      </c>
      <c r="E2466" s="6" t="s">
        <v>24</v>
      </c>
      <c r="F2466" s="6" t="s">
        <v>13451</v>
      </c>
      <c r="G2466" s="3" t="str">
        <f>IFERROR(__xludf.DUMMYFUNCTION("REGEXREPLACE(
D2466,
""([一-龯々]+)\[([^\]]+)\]"",
""&lt;ruby&gt;$1&lt;rt&gt;$2&lt;/rt&gt;&lt;/ruby&gt;""
)&amp;""&lt;br&gt;&lt;div class=""""audio""""&gt;[sound:""&amp;C2466&amp;"".mp3]&lt;/div&gt;"""),"&lt;ruby&gt;吐&lt;rt&gt;は&lt;/rt&gt;&lt;/ruby&gt;く&lt;br&gt;&lt;div class=""audio""&gt;[sound:はく.mp3]&lt;/div&gt;")</f>
        <v>&lt;ruby&gt;吐&lt;rt&gt;は&lt;/rt&gt;&lt;/ruby&gt;く&lt;br&gt;&lt;div class="audio"&gt;[sound:はく.mp3]&lt;/div&gt;</v>
      </c>
      <c r="H2466" s="3" t="str">
        <f t="shared" si="1"/>
        <v>(v): nôn</v>
      </c>
      <c r="I2466" s="6" t="s">
        <v>13452</v>
      </c>
      <c r="J2466" s="6" t="s">
        <v>13453</v>
      </c>
      <c r="K2466" s="7">
        <f t="shared" si="2"/>
        <v>0.4123950155</v>
      </c>
    </row>
    <row r="2467">
      <c r="A2467" s="4">
        <v>2467.0</v>
      </c>
      <c r="B2467" s="5" t="s">
        <v>13454</v>
      </c>
      <c r="C2467" s="5" t="s">
        <v>13455</v>
      </c>
      <c r="D2467" s="5" t="s">
        <v>13456</v>
      </c>
      <c r="E2467" s="6" t="s">
        <v>74</v>
      </c>
      <c r="F2467" s="6" t="s">
        <v>7306</v>
      </c>
      <c r="G2467" s="3" t="str">
        <f>IFERROR(__xludf.DUMMYFUNCTION("REGEXREPLACE(
D2467,
""([一-龯々]+)\[([^\]]+)\]"",
""&lt;ruby&gt;$1&lt;rt&gt;$2&lt;/rt&gt;&lt;/ruby&gt;""
)&amp;""&lt;br&gt;&lt;div class=""""audio""""&gt;[sound:""&amp;C2467&amp;"".mp3]&lt;/div&gt;"""),"&lt;ruby&gt;楽&lt;rt&gt;たの&lt;/rt&gt;&lt;/ruby&gt;しみ&lt;br&gt;&lt;div class=""audio""&gt;[sound:たのしみ.mp3]&lt;/div&gt;")</f>
        <v>&lt;ruby&gt;楽&lt;rt&gt;たの&lt;/rt&gt;&lt;/ruby&gt;しみ&lt;br&gt;&lt;div class="audio"&gt;[sound:たのしみ.mp3]&lt;/div&gt;</v>
      </c>
      <c r="H2467" s="3" t="str">
        <f t="shared" si="1"/>
        <v>(n): niềm vui</v>
      </c>
      <c r="I2467" s="6" t="s">
        <v>13457</v>
      </c>
      <c r="J2467" s="6" t="s">
        <v>13458</v>
      </c>
      <c r="K2467" s="7">
        <f t="shared" si="2"/>
        <v>0.2201209584</v>
      </c>
    </row>
    <row r="2468">
      <c r="A2468" s="4">
        <v>2468.0</v>
      </c>
      <c r="B2468" s="5" t="s">
        <v>13459</v>
      </c>
      <c r="C2468" s="5" t="s">
        <v>13460</v>
      </c>
      <c r="D2468" s="5" t="s">
        <v>13461</v>
      </c>
      <c r="E2468" s="6" t="s">
        <v>74</v>
      </c>
      <c r="F2468" s="6" t="s">
        <v>13462</v>
      </c>
      <c r="G2468" s="3" t="str">
        <f>IFERROR(__xludf.DUMMYFUNCTION("REGEXREPLACE(
D2468,
""([一-龯々]+)\[([^\]]+)\]"",
""&lt;ruby&gt;$1&lt;rt&gt;$2&lt;/rt&gt;&lt;/ruby&gt;""
)&amp;""&lt;br&gt;&lt;div class=""""audio""""&gt;[sound:""&amp;C2468&amp;"".mp3]&lt;/div&gt;"""),"&lt;ruby&gt;向&lt;rt&gt;む&lt;/rt&gt;&lt;/ruby&gt;かい&lt;br&gt;&lt;div class=""audio""&gt;[sound:むかい.mp3]&lt;/div&gt;")</f>
        <v>&lt;ruby&gt;向&lt;rt&gt;む&lt;/rt&gt;&lt;/ruby&gt;かい&lt;br&gt;&lt;div class="audio"&gt;[sound:むかい.mp3]&lt;/div&gt;</v>
      </c>
      <c r="H2468" s="3" t="str">
        <f t="shared" si="1"/>
        <v>(n): đối diện</v>
      </c>
      <c r="I2468" s="6" t="s">
        <v>13463</v>
      </c>
      <c r="J2468" s="6" t="s">
        <v>13464</v>
      </c>
      <c r="K2468" s="7">
        <f t="shared" si="2"/>
        <v>0.4909727131</v>
      </c>
    </row>
    <row r="2469">
      <c r="A2469" s="4">
        <v>2469.0</v>
      </c>
      <c r="B2469" s="5" t="s">
        <v>13465</v>
      </c>
      <c r="C2469" s="5" t="s">
        <v>13466</v>
      </c>
      <c r="D2469" s="5" t="s">
        <v>13467</v>
      </c>
      <c r="E2469" s="6" t="s">
        <v>11</v>
      </c>
      <c r="F2469" s="6" t="s">
        <v>2262</v>
      </c>
      <c r="G2469" s="3" t="str">
        <f>IFERROR(__xludf.DUMMYFUNCTION("REGEXREPLACE(
D2469,
""([一-龯々]+)\[([^\]]+)\]"",
""&lt;ruby&gt;$1&lt;rt&gt;$2&lt;/rt&gt;&lt;/ruby&gt;""
)&amp;""&lt;br&gt;&lt;div class=""""audio""""&gt;[sound:""&amp;C2469&amp;"".mp3]&lt;/div&gt;"""),"&lt;ruby&gt;最終&lt;rt&gt;さいしゅう&lt;/rt&gt;&lt;/ruby&gt;&lt;br&gt;&lt;div class=""audio""&gt;[sound:さいしゅう.mp3]&lt;/div&gt;")</f>
        <v>&lt;ruby&gt;最終&lt;rt&gt;さいしゅう&lt;/rt&gt;&lt;/ruby&gt;&lt;br&gt;&lt;div class="audio"&gt;[sound:さいしゅう.mp3]&lt;/div&gt;</v>
      </c>
      <c r="H2469" s="3" t="str">
        <f t="shared" si="1"/>
        <v>(adj): cuối cùng</v>
      </c>
      <c r="I2469" s="6" t="s">
        <v>13468</v>
      </c>
      <c r="J2469" s="6" t="s">
        <v>13469</v>
      </c>
      <c r="K2469" s="7">
        <f t="shared" si="2"/>
        <v>0.5456584687</v>
      </c>
    </row>
    <row r="2470">
      <c r="A2470" s="4">
        <v>2470.0</v>
      </c>
      <c r="B2470" s="5" t="s">
        <v>13470</v>
      </c>
      <c r="C2470" s="5" t="s">
        <v>13471</v>
      </c>
      <c r="D2470" s="5" t="s">
        <v>13472</v>
      </c>
      <c r="E2470" s="6" t="s">
        <v>74</v>
      </c>
      <c r="F2470" s="6" t="s">
        <v>13473</v>
      </c>
      <c r="G2470" s="3" t="str">
        <f>IFERROR(__xludf.DUMMYFUNCTION("REGEXREPLACE(
D2470,
""([一-龯々]+)\[([^\]]+)\]"",
""&lt;ruby&gt;$1&lt;rt&gt;$2&lt;/rt&gt;&lt;/ruby&gt;""
)&amp;""&lt;br&gt;&lt;div class=""""audio""""&gt;[sound:""&amp;C2470&amp;"".mp3]&lt;/div&gt;"""),"&lt;ruby&gt;各自&lt;rt&gt;かくじ&lt;/rt&gt;&lt;/ruby&gt;&lt;br&gt;&lt;div class=""audio""&gt;[sound:かくじ.mp3]&lt;/div&gt;")</f>
        <v>&lt;ruby&gt;各自&lt;rt&gt;かくじ&lt;/rt&gt;&lt;/ruby&gt;&lt;br&gt;&lt;div class="audio"&gt;[sound:かくじ.mp3]&lt;/div&gt;</v>
      </c>
      <c r="H2470" s="3" t="str">
        <f t="shared" si="1"/>
        <v>(n): mỗi cá nhân</v>
      </c>
      <c r="I2470" s="6" t="s">
        <v>13474</v>
      </c>
      <c r="J2470" s="6" t="s">
        <v>13475</v>
      </c>
      <c r="K2470" s="7">
        <f t="shared" si="2"/>
        <v>0.8454989174</v>
      </c>
    </row>
    <row r="2471">
      <c r="A2471" s="4">
        <v>2471.0</v>
      </c>
      <c r="B2471" s="5" t="s">
        <v>13476</v>
      </c>
      <c r="C2471" s="5" t="s">
        <v>13477</v>
      </c>
      <c r="D2471" s="5" t="s">
        <v>13478</v>
      </c>
      <c r="E2471" s="6" t="s">
        <v>74</v>
      </c>
      <c r="F2471" s="6" t="s">
        <v>13479</v>
      </c>
      <c r="G2471" s="3" t="str">
        <f>IFERROR(__xludf.DUMMYFUNCTION("REGEXREPLACE(
D2471,
""([一-龯々]+)\[([^\]]+)\]"",
""&lt;ruby&gt;$1&lt;rt&gt;$2&lt;/rt&gt;&lt;/ruby&gt;""
)&amp;""&lt;br&gt;&lt;div class=""""audio""""&gt;[sound:""&amp;C2471&amp;"".mp3]&lt;/div&gt;"""),"&lt;ruby&gt;星&lt;rt&gt;ほし&lt;/rt&gt;&lt;/ruby&gt;&lt;br&gt;&lt;div class=""audio""&gt;[sound:ほし.mp3]&lt;/div&gt;")</f>
        <v>&lt;ruby&gt;星&lt;rt&gt;ほし&lt;/rt&gt;&lt;/ruby&gt;&lt;br&gt;&lt;div class="audio"&gt;[sound:ほし.mp3]&lt;/div&gt;</v>
      </c>
      <c r="H2471" s="3" t="str">
        <f t="shared" si="1"/>
        <v>(n): sao</v>
      </c>
      <c r="I2471" s="6" t="s">
        <v>13480</v>
      </c>
      <c r="J2471" s="6" t="s">
        <v>13481</v>
      </c>
      <c r="K2471" s="7">
        <f t="shared" si="2"/>
        <v>0.9198248906</v>
      </c>
    </row>
    <row r="2472">
      <c r="A2472" s="4">
        <v>2472.0</v>
      </c>
      <c r="B2472" s="5" t="s">
        <v>13482</v>
      </c>
      <c r="C2472" s="5" t="s">
        <v>13483</v>
      </c>
      <c r="D2472" s="5" t="s">
        <v>13484</v>
      </c>
      <c r="E2472" s="6" t="s">
        <v>74</v>
      </c>
      <c r="F2472" s="6" t="s">
        <v>2483</v>
      </c>
      <c r="G2472" s="3" t="str">
        <f>IFERROR(__xludf.DUMMYFUNCTION("REGEXREPLACE(
D2472,
""([一-龯々]+)\[([^\]]+)\]"",
""&lt;ruby&gt;$1&lt;rt&gt;$2&lt;/rt&gt;&lt;/ruby&gt;""
)&amp;""&lt;br&gt;&lt;div class=""""audio""""&gt;[sound:""&amp;C2472&amp;"".mp3]&lt;/div&gt;"""),"&lt;ruby&gt;来&lt;rt&gt;らい&lt;/rt&gt;&lt;/ruby&gt;&lt;br&gt;&lt;div class=""audio""&gt;[sound:らい.mp3]&lt;/div&gt;")</f>
        <v>&lt;ruby&gt;来&lt;rt&gt;らい&lt;/rt&gt;&lt;/ruby&gt;&lt;br&gt;&lt;div class="audio"&gt;[sound:らい.mp3]&lt;/div&gt;</v>
      </c>
      <c r="H2472" s="3" t="str">
        <f t="shared" si="1"/>
        <v>(n): tới</v>
      </c>
      <c r="I2472" s="6" t="s">
        <v>13485</v>
      </c>
      <c r="J2472" s="6" t="s">
        <v>13486</v>
      </c>
      <c r="K2472" s="7">
        <f t="shared" si="2"/>
        <v>0.1711480668</v>
      </c>
    </row>
    <row r="2473">
      <c r="A2473" s="4">
        <v>2473.0</v>
      </c>
      <c r="B2473" s="5" t="s">
        <v>13487</v>
      </c>
      <c r="C2473" s="5" t="s">
        <v>13488</v>
      </c>
      <c r="D2473" s="5" t="s">
        <v>13489</v>
      </c>
      <c r="E2473" s="6" t="s">
        <v>74</v>
      </c>
      <c r="F2473" s="6" t="s">
        <v>13490</v>
      </c>
      <c r="G2473" s="3" t="str">
        <f>IFERROR(__xludf.DUMMYFUNCTION("REGEXREPLACE(
D2473,
""([一-龯々]+)\[([^\]]+)\]"",
""&lt;ruby&gt;$1&lt;rt&gt;$2&lt;/rt&gt;&lt;/ruby&gt;""
)&amp;""&lt;br&gt;&lt;div class=""""audio""""&gt;[sound:""&amp;C2473&amp;"".mp3]&lt;/div&gt;"""),"&lt;ruby&gt;教授&lt;rt&gt;きょうじゅ&lt;/rt&gt;&lt;/ruby&gt;&lt;br&gt;&lt;div class=""audio""&gt;[sound:きょうじゅ.mp3]&lt;/div&gt;")</f>
        <v>&lt;ruby&gt;教授&lt;rt&gt;きょうじゅ&lt;/rt&gt;&lt;/ruby&gt;&lt;br&gt;&lt;div class="audio"&gt;[sound:きょうじゅ.mp3]&lt;/div&gt;</v>
      </c>
      <c r="H2473" s="3" t="str">
        <f t="shared" si="1"/>
        <v>(n): giáo sư</v>
      </c>
      <c r="I2473" s="6" t="s">
        <v>13491</v>
      </c>
      <c r="J2473" s="6" t="s">
        <v>13492</v>
      </c>
      <c r="K2473" s="7">
        <f t="shared" si="2"/>
        <v>0.7002373746</v>
      </c>
    </row>
    <row r="2474">
      <c r="A2474" s="4">
        <v>2474.0</v>
      </c>
      <c r="B2474" s="5" t="s">
        <v>13493</v>
      </c>
      <c r="C2474" s="5" t="s">
        <v>13494</v>
      </c>
      <c r="D2474" s="5" t="s">
        <v>13495</v>
      </c>
      <c r="E2474" s="6" t="s">
        <v>74</v>
      </c>
      <c r="F2474" s="6" t="s">
        <v>4754</v>
      </c>
      <c r="G2474" s="3" t="str">
        <f>IFERROR(__xludf.DUMMYFUNCTION("REGEXREPLACE(
D2474,
""([一-龯々]+)\[([^\]]+)\]"",
""&lt;ruby&gt;$1&lt;rt&gt;$2&lt;/rt&gt;&lt;/ruby&gt;""
)&amp;""&lt;br&gt;&lt;div class=""""audio""""&gt;[sound:""&amp;C2474&amp;"".mp3]&lt;/div&gt;"""),"&lt;ruby&gt;品物&lt;rt&gt;しなもの&lt;/rt&gt;&lt;/ruby&gt;&lt;br&gt;&lt;div class=""audio""&gt;[sound:しなもの.mp3]&lt;/div&gt;")</f>
        <v>&lt;ruby&gt;品物&lt;rt&gt;しなもの&lt;/rt&gt;&lt;/ruby&gt;&lt;br&gt;&lt;div class="audio"&gt;[sound:しなもの.mp3]&lt;/div&gt;</v>
      </c>
      <c r="H2474" s="3" t="str">
        <f t="shared" si="1"/>
        <v>(n): hàng hóa</v>
      </c>
      <c r="I2474" s="6" t="s">
        <v>13496</v>
      </c>
      <c r="J2474" s="6" t="s">
        <v>13497</v>
      </c>
      <c r="K2474" s="7">
        <f t="shared" si="2"/>
        <v>0.0380344176</v>
      </c>
    </row>
    <row r="2475">
      <c r="A2475" s="4">
        <v>2475.0</v>
      </c>
      <c r="B2475" s="5" t="s">
        <v>13498</v>
      </c>
      <c r="C2475" s="5" t="s">
        <v>9909</v>
      </c>
      <c r="D2475" s="5" t="s">
        <v>13499</v>
      </c>
      <c r="E2475" s="6" t="s">
        <v>74</v>
      </c>
      <c r="F2475" s="6" t="s">
        <v>5640</v>
      </c>
      <c r="G2475" s="3" t="str">
        <f>IFERROR(__xludf.DUMMYFUNCTION("REGEXREPLACE(
D2475,
""([一-龯々]+)\[([^\]]+)\]"",
""&lt;ruby&gt;$1&lt;rt&gt;$2&lt;/rt&gt;&lt;/ruby&gt;""
)&amp;""&lt;br&gt;&lt;div class=""""audio""""&gt;[sound:""&amp;C2475&amp;"".mp3]&lt;/div&gt;"""),"&lt;ruby&gt;捜査&lt;rt&gt;そうさ&lt;/rt&gt;&lt;/ruby&gt;&lt;br&gt;&lt;div class=""audio""&gt;[sound:そうさ.mp3]&lt;/div&gt;")</f>
        <v>&lt;ruby&gt;捜査&lt;rt&gt;そうさ&lt;/rt&gt;&lt;/ruby&gt;&lt;br&gt;&lt;div class="audio"&gt;[sound:そうさ.mp3]&lt;/div&gt;</v>
      </c>
      <c r="H2475" s="3" t="str">
        <f t="shared" si="1"/>
        <v>(n): điều tra</v>
      </c>
      <c r="I2475" s="6" t="s">
        <v>13500</v>
      </c>
      <c r="J2475" s="6" t="s">
        <v>13501</v>
      </c>
      <c r="K2475" s="7">
        <f t="shared" si="2"/>
        <v>0.5369800646</v>
      </c>
    </row>
    <row r="2476">
      <c r="A2476" s="4">
        <v>2476.0</v>
      </c>
      <c r="B2476" s="5" t="s">
        <v>13502</v>
      </c>
      <c r="C2476" s="5" t="s">
        <v>13503</v>
      </c>
      <c r="D2476" s="5" t="s">
        <v>13504</v>
      </c>
      <c r="E2476" s="6" t="s">
        <v>74</v>
      </c>
      <c r="F2476" s="6" t="s">
        <v>13505</v>
      </c>
      <c r="G2476" s="3" t="str">
        <f>IFERROR(__xludf.DUMMYFUNCTION("REGEXREPLACE(
D2476,
""([一-龯々]+)\[([^\]]+)\]"",
""&lt;ruby&gt;$1&lt;rt&gt;$2&lt;/rt&gt;&lt;/ruby&gt;""
)&amp;""&lt;br&gt;&lt;div class=""""audio""""&gt;[sound:""&amp;C2476&amp;"".mp3]&lt;/div&gt;"""),"&lt;ruby&gt;橋&lt;rt&gt;はし&lt;/rt&gt;&lt;/ruby&gt;&lt;br&gt;&lt;div class=""audio""&gt;[sound:はし.mp3]&lt;/div&gt;")</f>
        <v>&lt;ruby&gt;橋&lt;rt&gt;はし&lt;/rt&gt;&lt;/ruby&gt;&lt;br&gt;&lt;div class="audio"&gt;[sound:はし.mp3]&lt;/div&gt;</v>
      </c>
      <c r="H2476" s="3" t="str">
        <f t="shared" si="1"/>
        <v>(n): cầu</v>
      </c>
      <c r="I2476" s="6" t="s">
        <v>13506</v>
      </c>
      <c r="J2476" s="6" t="s">
        <v>13507</v>
      </c>
      <c r="K2476" s="7">
        <f t="shared" si="2"/>
        <v>0.818907258</v>
      </c>
    </row>
    <row r="2477">
      <c r="A2477" s="4">
        <v>2477.0</v>
      </c>
      <c r="B2477" s="5" t="s">
        <v>13508</v>
      </c>
      <c r="C2477" s="5" t="s">
        <v>1994</v>
      </c>
      <c r="D2477" s="5" t="s">
        <v>13509</v>
      </c>
      <c r="E2477" s="6" t="s">
        <v>74</v>
      </c>
      <c r="F2477" s="6" t="s">
        <v>3860</v>
      </c>
      <c r="G2477" s="3" t="str">
        <f>IFERROR(__xludf.DUMMYFUNCTION("REGEXREPLACE(
D2477,
""([一-龯々]+)\[([^\]]+)\]"",
""&lt;ruby&gt;$1&lt;rt&gt;$2&lt;/rt&gt;&lt;/ruby&gt;""
)&amp;""&lt;br&gt;&lt;div class=""""audio""""&gt;[sound:""&amp;C2477&amp;"".mp3]&lt;/div&gt;"""),"&lt;ruby&gt;氏&lt;rt&gt;し&lt;/rt&gt;&lt;/ruby&gt;&lt;br&gt;&lt;div class=""audio""&gt;[sound:し.mp3]&lt;/div&gt;")</f>
        <v>&lt;ruby&gt;氏&lt;rt&gt;し&lt;/rt&gt;&lt;/ruby&gt;&lt;br&gt;&lt;div class="audio"&gt;[sound:し.mp3]&lt;/div&gt;</v>
      </c>
      <c r="H2477" s="3" t="str">
        <f t="shared" si="1"/>
        <v>(n): ông</v>
      </c>
      <c r="I2477" s="6" t="s">
        <v>13510</v>
      </c>
      <c r="J2477" s="6" t="s">
        <v>13511</v>
      </c>
      <c r="K2477" s="7">
        <f t="shared" si="2"/>
        <v>0.9598991629</v>
      </c>
    </row>
    <row r="2478">
      <c r="A2478" s="4">
        <v>2478.0</v>
      </c>
      <c r="B2478" s="5" t="s">
        <v>13512</v>
      </c>
      <c r="C2478" s="5" t="s">
        <v>368</v>
      </c>
      <c r="D2478" s="5" t="s">
        <v>13513</v>
      </c>
      <c r="E2478" s="6" t="s">
        <v>24</v>
      </c>
      <c r="F2478" s="6" t="s">
        <v>4010</v>
      </c>
      <c r="G2478" s="3" t="str">
        <f>IFERROR(__xludf.DUMMYFUNCTION("REGEXREPLACE(
D2478,
""([一-龯々]+)\[([^\]]+)\]"",
""&lt;ruby&gt;$1&lt;rt&gt;$2&lt;/rt&gt;&lt;/ruby&gt;""
)&amp;""&lt;br&gt;&lt;div class=""""audio""""&gt;[sound:""&amp;C2478&amp;"".mp3]&lt;/div&gt;"""),"&lt;ruby&gt;換&lt;rt&gt;か&lt;/rt&gt;&lt;/ruby&gt;える&lt;br&gt;&lt;div class=""audio""&gt;[sound:かえる.mp3]&lt;/div&gt;")</f>
        <v>&lt;ruby&gt;換&lt;rt&gt;か&lt;/rt&gt;&lt;/ruby&gt;える&lt;br&gt;&lt;div class="audio"&gt;[sound:かえる.mp3]&lt;/div&gt;</v>
      </c>
      <c r="H2478" s="3" t="str">
        <f t="shared" si="1"/>
        <v>(v): thay thế</v>
      </c>
      <c r="I2478" s="6" t="s">
        <v>13514</v>
      </c>
      <c r="J2478" s="6" t="s">
        <v>13515</v>
      </c>
      <c r="K2478" s="7">
        <f t="shared" si="2"/>
        <v>0.1561217673</v>
      </c>
    </row>
    <row r="2479">
      <c r="A2479" s="4">
        <v>2479.0</v>
      </c>
      <c r="B2479" s="5" t="s">
        <v>13516</v>
      </c>
      <c r="C2479" s="5" t="s">
        <v>13517</v>
      </c>
      <c r="D2479" s="5" t="s">
        <v>13518</v>
      </c>
      <c r="E2479" s="6" t="s">
        <v>74</v>
      </c>
      <c r="F2479" s="6" t="s">
        <v>13519</v>
      </c>
      <c r="G2479" s="3" t="str">
        <f>IFERROR(__xludf.DUMMYFUNCTION("REGEXREPLACE(
D2479,
""([一-龯々]+)\[([^\]]+)\]"",
""&lt;ruby&gt;$1&lt;rt&gt;$2&lt;/rt&gt;&lt;/ruby&gt;""
)&amp;""&lt;br&gt;&lt;div class=""""audio""""&gt;[sound:""&amp;C2479&amp;"".mp3]&lt;/div&gt;"""),"&lt;ruby&gt;家計&lt;rt&gt;かけい&lt;/rt&gt;&lt;/ruby&gt;&lt;br&gt;&lt;div class=""audio""&gt;[sound:かけい.mp3]&lt;/div&gt;")</f>
        <v>&lt;ruby&gt;家計&lt;rt&gt;かけい&lt;/rt&gt;&lt;/ruby&gt;&lt;br&gt;&lt;div class="audio"&gt;[sound:かけい.mp3]&lt;/div&gt;</v>
      </c>
      <c r="H2479" s="3" t="str">
        <f t="shared" si="1"/>
        <v>(n): kinh tế gia đình</v>
      </c>
      <c r="I2479" s="6" t="s">
        <v>13520</v>
      </c>
      <c r="J2479" s="6" t="s">
        <v>13521</v>
      </c>
      <c r="K2479" s="7">
        <f t="shared" si="2"/>
        <v>0.1038079306</v>
      </c>
    </row>
    <row r="2480">
      <c r="A2480" s="4">
        <v>2480.0</v>
      </c>
      <c r="B2480" s="5" t="s">
        <v>13522</v>
      </c>
      <c r="C2480" s="5" t="s">
        <v>13523</v>
      </c>
      <c r="D2480" s="5" t="s">
        <v>13524</v>
      </c>
      <c r="E2480" s="6" t="s">
        <v>74</v>
      </c>
      <c r="F2480" s="6" t="s">
        <v>13525</v>
      </c>
      <c r="G2480" s="3" t="str">
        <f>IFERROR(__xludf.DUMMYFUNCTION("REGEXREPLACE(
D2480,
""([一-龯々]+)\[([^\]]+)\]"",
""&lt;ruby&gt;$1&lt;rt&gt;$2&lt;/rt&gt;&lt;/ruby&gt;""
)&amp;""&lt;br&gt;&lt;div class=""""audio""""&gt;[sound:""&amp;C2480&amp;"".mp3]&lt;/div&gt;"""),"&lt;ruby&gt;本文&lt;rt&gt;ほんぶん&lt;/rt&gt;&lt;/ruby&gt;&lt;br&gt;&lt;div class=""audio""&gt;[sound:ほんぶん.mp3]&lt;/div&gt;")</f>
        <v>&lt;ruby&gt;本文&lt;rt&gt;ほんぶん&lt;/rt&gt;&lt;/ruby&gt;&lt;br&gt;&lt;div class="audio"&gt;[sound:ほんぶん.mp3]&lt;/div&gt;</v>
      </c>
      <c r="H2480" s="3" t="str">
        <f t="shared" si="1"/>
        <v>(n): nội dung chính</v>
      </c>
      <c r="I2480" s="6" t="s">
        <v>13526</v>
      </c>
      <c r="J2480" s="6" t="s">
        <v>13527</v>
      </c>
      <c r="K2480" s="7">
        <f t="shared" si="2"/>
        <v>0.678366179</v>
      </c>
    </row>
    <row r="2481">
      <c r="A2481" s="4">
        <v>2481.0</v>
      </c>
      <c r="B2481" s="5" t="s">
        <v>13528</v>
      </c>
      <c r="C2481" s="5" t="s">
        <v>13529</v>
      </c>
      <c r="D2481" s="5" t="s">
        <v>13530</v>
      </c>
      <c r="E2481" s="6" t="s">
        <v>74</v>
      </c>
      <c r="F2481" s="6" t="s">
        <v>13531</v>
      </c>
      <c r="G2481" s="3" t="str">
        <f>IFERROR(__xludf.DUMMYFUNCTION("REGEXREPLACE(
D2481,
""([一-龯々]+)\[([^\]]+)\]"",
""&lt;ruby&gt;$1&lt;rt&gt;$2&lt;/rt&gt;&lt;/ruby&gt;""
)&amp;""&lt;br&gt;&lt;div class=""""audio""""&gt;[sound:""&amp;C2481&amp;"".mp3]&lt;/div&gt;"""),"&lt;ruby&gt;干渉&lt;rt&gt;かんしょう&lt;/rt&gt;&lt;/ruby&gt;&lt;br&gt;&lt;div class=""audio""&gt;[sound:かんしょう.mp3]&lt;/div&gt;")</f>
        <v>&lt;ruby&gt;干渉&lt;rt&gt;かんしょう&lt;/rt&gt;&lt;/ruby&gt;&lt;br&gt;&lt;div class="audio"&gt;[sound:かんしょう.mp3]&lt;/div&gt;</v>
      </c>
      <c r="H2481" s="3" t="str">
        <f t="shared" si="1"/>
        <v>(n): can thiệp</v>
      </c>
      <c r="I2481" s="6" t="s">
        <v>13532</v>
      </c>
      <c r="J2481" s="6" t="s">
        <v>13533</v>
      </c>
      <c r="K2481" s="7">
        <f t="shared" si="2"/>
        <v>0.5032765579</v>
      </c>
    </row>
    <row r="2482">
      <c r="A2482" s="4">
        <v>2482.0</v>
      </c>
      <c r="B2482" s="5" t="s">
        <v>13534</v>
      </c>
      <c r="C2482" s="5" t="s">
        <v>13535</v>
      </c>
      <c r="D2482" s="5" t="s">
        <v>13536</v>
      </c>
      <c r="E2482" s="6" t="s">
        <v>74</v>
      </c>
      <c r="F2482" s="6" t="s">
        <v>13537</v>
      </c>
      <c r="G2482" s="3" t="str">
        <f>IFERROR(__xludf.DUMMYFUNCTION("REGEXREPLACE(
D2482,
""([一-龯々]+)\[([^\]]+)\]"",
""&lt;ruby&gt;$1&lt;rt&gt;$2&lt;/rt&gt;&lt;/ruby&gt;""
)&amp;""&lt;br&gt;&lt;div class=""""audio""""&gt;[sound:""&amp;C2482&amp;"".mp3]&lt;/div&gt;"""),"&lt;ruby&gt;新人&lt;rt&gt;しんじん&lt;/rt&gt;&lt;/ruby&gt;&lt;br&gt;&lt;div class=""audio""&gt;[sound:しんじん.mp3]&lt;/div&gt;")</f>
        <v>&lt;ruby&gt;新人&lt;rt&gt;しんじん&lt;/rt&gt;&lt;/ruby&gt;&lt;br&gt;&lt;div class="audio"&gt;[sound:しんじん.mp3]&lt;/div&gt;</v>
      </c>
      <c r="H2482" s="3" t="str">
        <f t="shared" si="1"/>
        <v>(n): người mới</v>
      </c>
      <c r="I2482" s="6" t="s">
        <v>13538</v>
      </c>
      <c r="J2482" s="6" t="s">
        <v>13539</v>
      </c>
      <c r="K2482" s="7">
        <f t="shared" si="2"/>
        <v>0.3790003723</v>
      </c>
    </row>
    <row r="2483">
      <c r="A2483" s="4">
        <v>2483.0</v>
      </c>
      <c r="B2483" s="5" t="s">
        <v>13540</v>
      </c>
      <c r="C2483" s="5" t="s">
        <v>13541</v>
      </c>
      <c r="D2483" s="5" t="s">
        <v>13542</v>
      </c>
      <c r="E2483" s="6" t="s">
        <v>74</v>
      </c>
      <c r="F2483" s="6" t="s">
        <v>8042</v>
      </c>
      <c r="G2483" s="3" t="str">
        <f>IFERROR(__xludf.DUMMYFUNCTION("REGEXREPLACE(
D2483,
""([一-龯々]+)\[([^\]]+)\]"",
""&lt;ruby&gt;$1&lt;rt&gt;$2&lt;/rt&gt;&lt;/ruby&gt;""
)&amp;""&lt;br&gt;&lt;div class=""""audio""""&gt;[sound:""&amp;C2483&amp;"".mp3]&lt;/div&gt;"""),"&lt;ruby&gt;従事&lt;rt&gt;じゅうじ&lt;/rt&gt;&lt;/ruby&gt;&lt;br&gt;&lt;div class=""audio""&gt;[sound:じゅうじ.mp3]&lt;/div&gt;")</f>
        <v>&lt;ruby&gt;従事&lt;rt&gt;じゅうじ&lt;/rt&gt;&lt;/ruby&gt;&lt;br&gt;&lt;div class="audio"&gt;[sound:じゅうじ.mp3]&lt;/div&gt;</v>
      </c>
      <c r="H2483" s="3" t="str">
        <f t="shared" si="1"/>
        <v>(n): tham gia</v>
      </c>
      <c r="I2483" s="6" t="s">
        <v>13543</v>
      </c>
      <c r="J2483" s="6" t="s">
        <v>13544</v>
      </c>
      <c r="K2483" s="7">
        <f t="shared" si="2"/>
        <v>0.05053447681</v>
      </c>
    </row>
    <row r="2484">
      <c r="A2484" s="4">
        <v>2484.0</v>
      </c>
      <c r="B2484" s="5" t="s">
        <v>13545</v>
      </c>
      <c r="C2484" s="5" t="s">
        <v>8304</v>
      </c>
      <c r="D2484" s="5" t="s">
        <v>13546</v>
      </c>
      <c r="E2484" s="6" t="s">
        <v>74</v>
      </c>
      <c r="F2484" s="6" t="s">
        <v>13547</v>
      </c>
      <c r="G2484" s="3" t="str">
        <f>IFERROR(__xludf.DUMMYFUNCTION("REGEXREPLACE(
D2484,
""([一-龯々]+)\[([^\]]+)\]"",
""&lt;ruby&gt;$1&lt;rt&gt;$2&lt;/rt&gt;&lt;/ruby&gt;""
)&amp;""&lt;br&gt;&lt;div class=""""audio""""&gt;[sound:""&amp;C2484&amp;"".mp3]&lt;/div&gt;"""),"&lt;ruby&gt;態勢&lt;rt&gt;たいせい&lt;/rt&gt;&lt;/ruby&gt;&lt;br&gt;&lt;div class=""audio""&gt;[sound:たいせい.mp3]&lt;/div&gt;")</f>
        <v>&lt;ruby&gt;態勢&lt;rt&gt;たいせい&lt;/rt&gt;&lt;/ruby&gt;&lt;br&gt;&lt;div class="audio"&gt;[sound:たいせい.mp3]&lt;/div&gt;</v>
      </c>
      <c r="H2484" s="3" t="str">
        <f t="shared" si="1"/>
        <v>(n): thế trận</v>
      </c>
      <c r="I2484" s="6" t="s">
        <v>13548</v>
      </c>
      <c r="J2484" s="6" t="s">
        <v>13549</v>
      </c>
      <c r="K2484" s="7">
        <f t="shared" si="2"/>
        <v>0.4082119658</v>
      </c>
    </row>
    <row r="2485">
      <c r="A2485" s="4">
        <v>2485.0</v>
      </c>
      <c r="B2485" s="5" t="s">
        <v>13550</v>
      </c>
      <c r="C2485" s="5" t="s">
        <v>13551</v>
      </c>
      <c r="D2485" s="5" t="s">
        <v>13552</v>
      </c>
      <c r="E2485" s="6" t="s">
        <v>74</v>
      </c>
      <c r="F2485" s="6" t="s">
        <v>13553</v>
      </c>
      <c r="G2485" s="3" t="str">
        <f>IFERROR(__xludf.DUMMYFUNCTION("REGEXREPLACE(
D2485,
""([一-龯々]+)\[([^\]]+)\]"",
""&lt;ruby&gt;$1&lt;rt&gt;$2&lt;/rt&gt;&lt;/ruby&gt;""
)&amp;""&lt;br&gt;&lt;div class=""""audio""""&gt;[sound:""&amp;C2485&amp;"".mp3]&lt;/div&gt;"""),"&lt;ruby&gt;技能&lt;rt&gt;ぎのう&lt;/rt&gt;&lt;/ruby&gt;&lt;br&gt;&lt;div class=""audio""&gt;[sound:ぎのう.mp3]&lt;/div&gt;")</f>
        <v>&lt;ruby&gt;技能&lt;rt&gt;ぎのう&lt;/rt&gt;&lt;/ruby&gt;&lt;br&gt;&lt;div class="audio"&gt;[sound:ぎのう.mp3]&lt;/div&gt;</v>
      </c>
      <c r="H2485" s="3" t="str">
        <f t="shared" si="1"/>
        <v>(n): kỹ năng</v>
      </c>
      <c r="I2485" s="6" t="s">
        <v>13554</v>
      </c>
      <c r="J2485" s="6" t="s">
        <v>13555</v>
      </c>
      <c r="K2485" s="7">
        <f t="shared" si="2"/>
        <v>0.2457073825</v>
      </c>
    </row>
    <row r="2486">
      <c r="A2486" s="4">
        <v>2486.0</v>
      </c>
      <c r="B2486" s="5" t="s">
        <v>13556</v>
      </c>
      <c r="C2486" s="5" t="s">
        <v>13557</v>
      </c>
      <c r="D2486" s="5" t="s">
        <v>13558</v>
      </c>
      <c r="E2486" s="6" t="s">
        <v>74</v>
      </c>
      <c r="F2486" s="6" t="s">
        <v>7874</v>
      </c>
      <c r="G2486" s="3" t="str">
        <f>IFERROR(__xludf.DUMMYFUNCTION("REGEXREPLACE(
D2486,
""([一-龯々]+)\[([^\]]+)\]"",
""&lt;ruby&gt;$1&lt;rt&gt;$2&lt;/rt&gt;&lt;/ruby&gt;""
)&amp;""&lt;br&gt;&lt;div class=""""audio""""&gt;[sound:""&amp;C2486&amp;"".mp3]&lt;/div&gt;"""),"&lt;ruby&gt;方策&lt;rt&gt;ほうさく&lt;/rt&gt;&lt;/ruby&gt;&lt;br&gt;&lt;div class=""audio""&gt;[sound:ほうさく.mp3]&lt;/div&gt;")</f>
        <v>&lt;ruby&gt;方策&lt;rt&gt;ほうさく&lt;/rt&gt;&lt;/ruby&gt;&lt;br&gt;&lt;div class="audio"&gt;[sound:ほうさく.mp3]&lt;/div&gt;</v>
      </c>
      <c r="H2486" s="3" t="str">
        <f t="shared" si="1"/>
        <v>(n): kế sách</v>
      </c>
      <c r="I2486" s="6" t="s">
        <v>13559</v>
      </c>
      <c r="J2486" s="6" t="s">
        <v>13560</v>
      </c>
      <c r="K2486" s="7">
        <f t="shared" si="2"/>
        <v>0.1560319307</v>
      </c>
    </row>
    <row r="2487">
      <c r="A2487" s="4">
        <v>2487.0</v>
      </c>
      <c r="B2487" s="5" t="s">
        <v>13561</v>
      </c>
      <c r="C2487" s="5" t="s">
        <v>13562</v>
      </c>
      <c r="D2487" s="5" t="s">
        <v>13563</v>
      </c>
      <c r="E2487" s="6" t="s">
        <v>74</v>
      </c>
      <c r="F2487" s="6" t="s">
        <v>13564</v>
      </c>
      <c r="G2487" s="3" t="str">
        <f>IFERROR(__xludf.DUMMYFUNCTION("REGEXREPLACE(
D2487,
""([一-龯々]+)\[([^\]]+)\]"",
""&lt;ruby&gt;$1&lt;rt&gt;$2&lt;/rt&gt;&lt;/ruby&gt;""
)&amp;""&lt;br&gt;&lt;div class=""""audio""""&gt;[sound:""&amp;C2487&amp;"".mp3]&lt;/div&gt;"""),"&lt;ruby&gt;小売&lt;rt&gt;こうり&lt;/rt&gt;&lt;/ruby&gt;&lt;br&gt;&lt;div class=""audio""&gt;[sound:こうり.mp3]&lt;/div&gt;")</f>
        <v>&lt;ruby&gt;小売&lt;rt&gt;こうり&lt;/rt&gt;&lt;/ruby&gt;&lt;br&gt;&lt;div class="audio"&gt;[sound:こうり.mp3]&lt;/div&gt;</v>
      </c>
      <c r="H2487" s="3" t="str">
        <f t="shared" si="1"/>
        <v>(n): bán lẻ</v>
      </c>
      <c r="I2487" s="6" t="s">
        <v>13565</v>
      </c>
      <c r="J2487" s="6" t="s">
        <v>13566</v>
      </c>
      <c r="K2487" s="7">
        <f t="shared" si="2"/>
        <v>0.556466073</v>
      </c>
    </row>
    <row r="2488">
      <c r="A2488" s="4">
        <v>2488.0</v>
      </c>
      <c r="B2488" s="5" t="s">
        <v>13567</v>
      </c>
      <c r="C2488" s="5" t="s">
        <v>13568</v>
      </c>
      <c r="D2488" s="5" t="s">
        <v>13569</v>
      </c>
      <c r="E2488" s="6" t="s">
        <v>74</v>
      </c>
      <c r="F2488" s="6" t="s">
        <v>13570</v>
      </c>
      <c r="G2488" s="3" t="str">
        <f>IFERROR(__xludf.DUMMYFUNCTION("REGEXREPLACE(
D2488,
""([一-龯々]+)\[([^\]]+)\]"",
""&lt;ruby&gt;$1&lt;rt&gt;$2&lt;/rt&gt;&lt;/ruby&gt;""
)&amp;""&lt;br&gt;&lt;div class=""""audio""""&gt;[sound:""&amp;C2488&amp;"".mp3]&lt;/div&gt;"""),"&lt;ruby&gt;届&lt;rt&gt;とどけ&lt;/rt&gt;&lt;/ruby&gt;&lt;br&gt;&lt;div class=""audio""&gt;[sound:とどけ.mp3]&lt;/div&gt;")</f>
        <v>&lt;ruby&gt;届&lt;rt&gt;とどけ&lt;/rt&gt;&lt;/ruby&gt;&lt;br&gt;&lt;div class="audio"&gt;[sound:とどけ.mp3]&lt;/div&gt;</v>
      </c>
      <c r="H2488" s="3" t="str">
        <f t="shared" si="1"/>
        <v>(n): đơn từ</v>
      </c>
      <c r="I2488" s="6" t="s">
        <v>13571</v>
      </c>
      <c r="J2488" s="6" t="s">
        <v>13572</v>
      </c>
      <c r="K2488" s="7">
        <f t="shared" si="2"/>
        <v>0.6362054211</v>
      </c>
    </row>
    <row r="2489">
      <c r="A2489" s="4">
        <v>2489.0</v>
      </c>
      <c r="B2489" s="5" t="s">
        <v>13573</v>
      </c>
      <c r="C2489" s="5" t="s">
        <v>943</v>
      </c>
      <c r="D2489" s="5" t="s">
        <v>13574</v>
      </c>
      <c r="E2489" s="6" t="s">
        <v>74</v>
      </c>
      <c r="F2489" s="6" t="s">
        <v>1187</v>
      </c>
      <c r="G2489" s="3" t="str">
        <f>IFERROR(__xludf.DUMMYFUNCTION("REGEXREPLACE(
D2489,
""([一-龯々]+)\[([^\]]+)\]"",
""&lt;ruby&gt;$1&lt;rt&gt;$2&lt;/rt&gt;&lt;/ruby&gt;""
)&amp;""&lt;br&gt;&lt;div class=""""audio""""&gt;[sound:""&amp;C2489&amp;"".mp3]&lt;/div&gt;"""),"&lt;ruby&gt;強&lt;rt&gt;きょう&lt;/rt&gt;&lt;/ruby&gt;&lt;br&gt;&lt;div class=""audio""&gt;[sound:きょう.mp3]&lt;/div&gt;")</f>
        <v>&lt;ruby&gt;強&lt;rt&gt;きょう&lt;/rt&gt;&lt;/ruby&gt;&lt;br&gt;&lt;div class="audio"&gt;[sound:きょう.mp3]&lt;/div&gt;</v>
      </c>
      <c r="H2489" s="3" t="str">
        <f t="shared" si="1"/>
        <v>(n): mạnh</v>
      </c>
      <c r="I2489" s="6" t="s">
        <v>13575</v>
      </c>
      <c r="J2489" s="6" t="s">
        <v>13576</v>
      </c>
      <c r="K2489" s="7">
        <f t="shared" si="2"/>
        <v>0.02562449969</v>
      </c>
    </row>
    <row r="2490">
      <c r="A2490" s="4">
        <v>2490.0</v>
      </c>
      <c r="B2490" s="5" t="s">
        <v>13577</v>
      </c>
      <c r="C2490" s="5" t="s">
        <v>13578</v>
      </c>
      <c r="D2490" s="5" t="s">
        <v>13579</v>
      </c>
      <c r="E2490" s="6" t="s">
        <v>74</v>
      </c>
      <c r="F2490" s="6" t="s">
        <v>13580</v>
      </c>
      <c r="G2490" s="3" t="str">
        <f>IFERROR(__xludf.DUMMYFUNCTION("REGEXREPLACE(
D2490,
""([一-龯々]+)\[([^\]]+)\]"",
""&lt;ruby&gt;$1&lt;rt&gt;$2&lt;/rt&gt;&lt;/ruby&gt;""
)&amp;""&lt;br&gt;&lt;div class=""""audio""""&gt;[sound:""&amp;C2490&amp;"".mp3]&lt;/div&gt;"""),"&lt;ruby&gt;経由&lt;rt&gt;けいゆ&lt;/rt&gt;&lt;/ruby&gt;&lt;br&gt;&lt;div class=""audio""&gt;[sound:けいゆ.mp3]&lt;/div&gt;")</f>
        <v>&lt;ruby&gt;経由&lt;rt&gt;けいゆ&lt;/rt&gt;&lt;/ruby&gt;&lt;br&gt;&lt;div class="audio"&gt;[sound:けいゆ.mp3]&lt;/div&gt;</v>
      </c>
      <c r="H2490" s="3" t="str">
        <f t="shared" si="1"/>
        <v>(n): thông qua</v>
      </c>
      <c r="I2490" s="6" t="s">
        <v>13581</v>
      </c>
      <c r="J2490" s="6" t="s">
        <v>13582</v>
      </c>
      <c r="K2490" s="7">
        <f t="shared" si="2"/>
        <v>0.8737426901</v>
      </c>
    </row>
    <row r="2491">
      <c r="A2491" s="4">
        <v>2491.0</v>
      </c>
      <c r="B2491" s="5" t="s">
        <v>13583</v>
      </c>
      <c r="C2491" s="5" t="s">
        <v>13584</v>
      </c>
      <c r="D2491" s="5" t="s">
        <v>13585</v>
      </c>
      <c r="E2491" s="6" t="s">
        <v>85</v>
      </c>
      <c r="F2491" s="6" t="s">
        <v>533</v>
      </c>
      <c r="G2491" s="3" t="str">
        <f>IFERROR(__xludf.DUMMYFUNCTION("REGEXREPLACE(
D2491,
""([一-龯々]+)\[([^\]]+)\]"",
""&lt;ruby&gt;$1&lt;rt&gt;$2&lt;/rt&gt;&lt;/ruby&gt;""
)&amp;""&lt;br&gt;&lt;div class=""""audio""""&gt;[sound:""&amp;C2491&amp;"".mp3]&lt;/div&gt;"""),"&lt;ruby&gt;大分&lt;rt&gt;だいぶ&lt;/rt&gt;&lt;/ruby&gt;&lt;br&gt;&lt;div class=""audio""&gt;[sound:だいぶ.mp3]&lt;/div&gt;")</f>
        <v>&lt;ruby&gt;大分&lt;rt&gt;だいぶ&lt;/rt&gt;&lt;/ruby&gt;&lt;br&gt;&lt;div class="audio"&gt;[sound:だいぶ.mp3]&lt;/div&gt;</v>
      </c>
      <c r="H2491" s="3" t="str">
        <f t="shared" si="1"/>
        <v>(adv): nhiều</v>
      </c>
      <c r="I2491" s="6" t="s">
        <v>13586</v>
      </c>
      <c r="J2491" s="6" t="s">
        <v>13587</v>
      </c>
      <c r="K2491" s="7">
        <f t="shared" si="2"/>
        <v>0.6548618235</v>
      </c>
    </row>
    <row r="2492">
      <c r="A2492" s="4">
        <v>2492.0</v>
      </c>
      <c r="B2492" s="5" t="s">
        <v>13588</v>
      </c>
      <c r="C2492" s="5" t="s">
        <v>13589</v>
      </c>
      <c r="D2492" s="5" t="s">
        <v>13590</v>
      </c>
      <c r="E2492" s="6" t="s">
        <v>74</v>
      </c>
      <c r="F2492" s="6" t="s">
        <v>13591</v>
      </c>
      <c r="G2492" s="3" t="str">
        <f>IFERROR(__xludf.DUMMYFUNCTION("REGEXREPLACE(
D2492,
""([一-龯々]+)\[([^\]]+)\]"",
""&lt;ruby&gt;$1&lt;rt&gt;$2&lt;/rt&gt;&lt;/ruby&gt;""
)&amp;""&lt;br&gt;&lt;div class=""""audio""""&gt;[sound:""&amp;C2492&amp;"".mp3]&lt;/div&gt;"""),"&lt;ruby&gt;杯&lt;rt&gt;さかずき&lt;/rt&gt;&lt;/ruby&gt;&lt;br&gt;&lt;div class=""audio""&gt;[sound:さかずき.mp3]&lt;/div&gt;")</f>
        <v>&lt;ruby&gt;杯&lt;rt&gt;さかずき&lt;/rt&gt;&lt;/ruby&gt;&lt;br&gt;&lt;div class="audio"&gt;[sound:さかずき.mp3]&lt;/div&gt;</v>
      </c>
      <c r="H2492" s="3" t="str">
        <f t="shared" si="1"/>
        <v>(n): chén rượu</v>
      </c>
      <c r="I2492" s="6" t="s">
        <v>13592</v>
      </c>
      <c r="J2492" s="6" t="s">
        <v>13593</v>
      </c>
      <c r="K2492" s="7">
        <f t="shared" si="2"/>
        <v>0.381562336</v>
      </c>
    </row>
    <row r="2493">
      <c r="A2493" s="4">
        <v>2493.0</v>
      </c>
      <c r="B2493" s="5" t="s">
        <v>13594</v>
      </c>
      <c r="C2493" s="5" t="s">
        <v>13595</v>
      </c>
      <c r="D2493" s="5" t="s">
        <v>13596</v>
      </c>
      <c r="E2493" s="6" t="s">
        <v>24</v>
      </c>
      <c r="F2493" s="6" t="s">
        <v>13597</v>
      </c>
      <c r="G2493" s="3" t="str">
        <f>IFERROR(__xludf.DUMMYFUNCTION("REGEXREPLACE(
D2493,
""([一-龯々]+)\[([^\]]+)\]"",
""&lt;ruby&gt;$1&lt;rt&gt;$2&lt;/rt&gt;&lt;/ruby&gt;""
)&amp;""&lt;br&gt;&lt;div class=""""audio""""&gt;[sound:""&amp;C2493&amp;"".mp3]&lt;/div&gt;"""),"&lt;ruby&gt;見逃&lt;rt&gt;みのが&lt;/rt&gt;&lt;/ruby&gt;す&lt;br&gt;&lt;div class=""audio""&gt;[sound:みのがす.mp3]&lt;/div&gt;")</f>
        <v>&lt;ruby&gt;見逃&lt;rt&gt;みのが&lt;/rt&gt;&lt;/ruby&gt;す&lt;br&gt;&lt;div class="audio"&gt;[sound:みのがす.mp3]&lt;/div&gt;</v>
      </c>
      <c r="H2493" s="3" t="str">
        <f t="shared" si="1"/>
        <v>(v): bỏ lỡ</v>
      </c>
      <c r="I2493" s="6" t="s">
        <v>13598</v>
      </c>
      <c r="J2493" s="6" t="s">
        <v>13599</v>
      </c>
      <c r="K2493" s="7">
        <f t="shared" si="2"/>
        <v>0.6882515252</v>
      </c>
    </row>
    <row r="2494">
      <c r="A2494" s="4">
        <v>2494.0</v>
      </c>
      <c r="B2494" s="5" t="s">
        <v>13600</v>
      </c>
      <c r="C2494" s="5" t="s">
        <v>13601</v>
      </c>
      <c r="D2494" s="5" t="s">
        <v>13602</v>
      </c>
      <c r="E2494" s="6" t="s">
        <v>24</v>
      </c>
      <c r="F2494" s="6" t="s">
        <v>13597</v>
      </c>
      <c r="G2494" s="3" t="str">
        <f>IFERROR(__xludf.DUMMYFUNCTION("REGEXREPLACE(
D2494,
""([一-龯々]+)\[([^\]]+)\]"",
""&lt;ruby&gt;$1&lt;rt&gt;$2&lt;/rt&gt;&lt;/ruby&gt;""
)&amp;""&lt;br&gt;&lt;div class=""""audio""""&gt;[sound:""&amp;C2494&amp;"".mp3]&lt;/div&gt;"""),"&lt;ruby&gt;逃&lt;rt&gt;のが&lt;/rt&gt;&lt;/ruby&gt;す&lt;br&gt;&lt;div class=""audio""&gt;[sound:のがす.mp3]&lt;/div&gt;")</f>
        <v>&lt;ruby&gt;逃&lt;rt&gt;のが&lt;/rt&gt;&lt;/ruby&gt;す&lt;br&gt;&lt;div class="audio"&gt;[sound:のがす.mp3]&lt;/div&gt;</v>
      </c>
      <c r="H2494" s="3" t="str">
        <f t="shared" si="1"/>
        <v>(v): bỏ lỡ</v>
      </c>
      <c r="I2494" s="6" t="s">
        <v>13603</v>
      </c>
      <c r="J2494" s="6" t="s">
        <v>13604</v>
      </c>
      <c r="K2494" s="7">
        <f t="shared" si="2"/>
        <v>0.8419926354</v>
      </c>
    </row>
    <row r="2495">
      <c r="A2495" s="4">
        <v>2495.0</v>
      </c>
      <c r="B2495" s="5" t="s">
        <v>13605</v>
      </c>
      <c r="C2495" s="5" t="s">
        <v>13606</v>
      </c>
      <c r="D2495" s="5" t="s">
        <v>13607</v>
      </c>
      <c r="E2495" s="6" t="s">
        <v>24</v>
      </c>
      <c r="F2495" s="6" t="s">
        <v>13348</v>
      </c>
      <c r="G2495" s="3" t="str">
        <f>IFERROR(__xludf.DUMMYFUNCTION("REGEXREPLACE(
D2495,
""([一-龯々]+)\[([^\]]+)\]"",
""&lt;ruby&gt;$1&lt;rt&gt;$2&lt;/rt&gt;&lt;/ruby&gt;""
)&amp;""&lt;br&gt;&lt;div class=""""audio""""&gt;[sound:""&amp;C2495&amp;"".mp3]&lt;/div&gt;"""),"&lt;ruby&gt;除&lt;rt&gt;のぞ&lt;/rt&gt;&lt;/ruby&gt;く&lt;br&gt;&lt;div class=""audio""&gt;[sound:のぞく.mp3]&lt;/div&gt;")</f>
        <v>&lt;ruby&gt;除&lt;rt&gt;のぞ&lt;/rt&gt;&lt;/ruby&gt;く&lt;br&gt;&lt;div class="audio"&gt;[sound:のぞく.mp3]&lt;/div&gt;</v>
      </c>
      <c r="H2495" s="3" t="str">
        <f t="shared" si="1"/>
        <v>(v): loại trừ</v>
      </c>
      <c r="I2495" s="6" t="s">
        <v>13608</v>
      </c>
      <c r="J2495" s="6" t="s">
        <v>13609</v>
      </c>
      <c r="K2495" s="7">
        <f t="shared" si="2"/>
        <v>0.8114816398</v>
      </c>
    </row>
    <row r="2496">
      <c r="A2496" s="4">
        <v>2496.0</v>
      </c>
      <c r="B2496" s="5" t="s">
        <v>13610</v>
      </c>
      <c r="C2496" s="5" t="s">
        <v>13611</v>
      </c>
      <c r="D2496" s="5" t="s">
        <v>13612</v>
      </c>
      <c r="E2496" s="6" t="s">
        <v>74</v>
      </c>
      <c r="F2496" s="6" t="s">
        <v>13613</v>
      </c>
      <c r="G2496" s="3" t="str">
        <f>IFERROR(__xludf.DUMMYFUNCTION("REGEXREPLACE(
D2496,
""([一-龯々]+)\[([^\]]+)\]"",
""&lt;ruby&gt;$1&lt;rt&gt;$2&lt;/rt&gt;&lt;/ruby&gt;""
)&amp;""&lt;br&gt;&lt;div class=""""audio""""&gt;[sound:""&amp;C2496&amp;"".mp3]&lt;/div&gt;"""),"&lt;ruby&gt;活躍&lt;rt&gt;かつやく&lt;/rt&gt;&lt;/ruby&gt;&lt;br&gt;&lt;div class=""audio""&gt;[sound:かつやく.mp3]&lt;/div&gt;")</f>
        <v>&lt;ruby&gt;活躍&lt;rt&gt;かつやく&lt;/rt&gt;&lt;/ruby&gt;&lt;br&gt;&lt;div class="audio"&gt;[sound:かつやく.mp3]&lt;/div&gt;</v>
      </c>
      <c r="H2496" s="3" t="str">
        <f t="shared" si="1"/>
        <v>(n): đóng góp</v>
      </c>
      <c r="I2496" s="6" t="s">
        <v>13614</v>
      </c>
      <c r="J2496" s="6" t="s">
        <v>13615</v>
      </c>
      <c r="K2496" s="7">
        <f t="shared" si="2"/>
        <v>0.8231494288</v>
      </c>
    </row>
    <row r="2497">
      <c r="A2497" s="4">
        <v>2497.0</v>
      </c>
      <c r="B2497" s="5" t="s">
        <v>13616</v>
      </c>
      <c r="C2497" s="5" t="s">
        <v>13617</v>
      </c>
      <c r="D2497" s="5" t="s">
        <v>13618</v>
      </c>
      <c r="E2497" s="6" t="s">
        <v>74</v>
      </c>
      <c r="F2497" s="6" t="s">
        <v>3144</v>
      </c>
      <c r="G2497" s="3" t="str">
        <f>IFERROR(__xludf.DUMMYFUNCTION("REGEXREPLACE(
D2497,
""([一-龯々]+)\[([^\]]+)\]"",
""&lt;ruby&gt;$1&lt;rt&gt;$2&lt;/rt&gt;&lt;/ruby&gt;""
)&amp;""&lt;br&gt;&lt;div class=""""audio""""&gt;[sound:""&amp;C2497&amp;"".mp3]&lt;/div&gt;"""),"&lt;ruby&gt;限界&lt;rt&gt;げんかい&lt;/rt&gt;&lt;/ruby&gt;&lt;br&gt;&lt;div class=""audio""&gt;[sound:げんかい.mp3]&lt;/div&gt;")</f>
        <v>&lt;ruby&gt;限界&lt;rt&gt;げんかい&lt;/rt&gt;&lt;/ruby&gt;&lt;br&gt;&lt;div class="audio"&gt;[sound:げんかい.mp3]&lt;/div&gt;</v>
      </c>
      <c r="H2497" s="3" t="str">
        <f t="shared" si="1"/>
        <v>(n): giới hạn</v>
      </c>
      <c r="I2497" s="6" t="s">
        <v>13619</v>
      </c>
      <c r="J2497" s="6" t="s">
        <v>13620</v>
      </c>
      <c r="K2497" s="7">
        <f t="shared" si="2"/>
        <v>0.765486851</v>
      </c>
    </row>
    <row r="2498">
      <c r="A2498" s="4">
        <v>2498.0</v>
      </c>
      <c r="B2498" s="5" t="s">
        <v>13621</v>
      </c>
      <c r="C2498" s="5" t="s">
        <v>13622</v>
      </c>
      <c r="D2498" s="5" t="s">
        <v>13623</v>
      </c>
      <c r="E2498" s="6" t="s">
        <v>11</v>
      </c>
      <c r="F2498" s="6" t="s">
        <v>13624</v>
      </c>
      <c r="G2498" s="3" t="str">
        <f>IFERROR(__xludf.DUMMYFUNCTION("REGEXREPLACE(
D2498,
""([一-龯々]+)\[([^\]]+)\]"",
""&lt;ruby&gt;$1&lt;rt&gt;$2&lt;/rt&gt;&lt;/ruby&gt;""
)&amp;""&lt;br&gt;&lt;div class=""""audio""""&gt;[sound:""&amp;C2498&amp;"".mp3]&lt;/div&gt;"""),"&lt;ruby&gt;面倒&lt;rt&gt;めんどう&lt;/rt&gt;&lt;/ruby&gt;&lt;br&gt;&lt;div class=""audio""&gt;[sound:めんどう.mp3]&lt;/div&gt;")</f>
        <v>&lt;ruby&gt;面倒&lt;rt&gt;めんどう&lt;/rt&gt;&lt;/ruby&gt;&lt;br&gt;&lt;div class="audio"&gt;[sound:めんどう.mp3]&lt;/div&gt;</v>
      </c>
      <c r="H2498" s="3" t="str">
        <f t="shared" si="1"/>
        <v>(adj): phiền phức</v>
      </c>
      <c r="I2498" s="6" t="s">
        <v>13625</v>
      </c>
      <c r="J2498" s="6" t="s">
        <v>13626</v>
      </c>
      <c r="K2498" s="7">
        <f t="shared" si="2"/>
        <v>0.1226177861</v>
      </c>
    </row>
    <row r="2499">
      <c r="A2499" s="4">
        <v>2499.0</v>
      </c>
      <c r="B2499" s="5" t="s">
        <v>13627</v>
      </c>
      <c r="C2499" s="5" t="s">
        <v>13627</v>
      </c>
      <c r="D2499" s="5" t="s">
        <v>13627</v>
      </c>
      <c r="E2499" s="6" t="s">
        <v>85</v>
      </c>
      <c r="F2499" s="6" t="s">
        <v>13628</v>
      </c>
      <c r="G2499" s="3" t="str">
        <f>IFERROR(__xludf.DUMMYFUNCTION("REGEXREPLACE(
D2499,
""([一-龯々]+)\[([^\]]+)\]"",
""&lt;ruby&gt;$1&lt;rt&gt;$2&lt;/rt&gt;&lt;/ruby&gt;""
)&amp;""&lt;br&gt;&lt;div class=""""audio""""&gt;[sound:""&amp;C2499&amp;"".mp3]&lt;/div&gt;"""),"あちこち&lt;br&gt;&lt;div class=""audio""&gt;[sound:あちこち.mp3]&lt;/div&gt;")</f>
        <v>あちこち&lt;br&gt;&lt;div class="audio"&gt;[sound:あちこち.mp3]&lt;/div&gt;</v>
      </c>
      <c r="H2499" s="3" t="str">
        <f t="shared" si="1"/>
        <v>(adv): khắp nơi</v>
      </c>
      <c r="I2499" s="6" t="s">
        <v>13629</v>
      </c>
      <c r="J2499" s="6" t="s">
        <v>13630</v>
      </c>
      <c r="K2499" s="7">
        <f t="shared" si="2"/>
        <v>0.693759601</v>
      </c>
    </row>
    <row r="2500">
      <c r="A2500" s="4">
        <v>2500.0</v>
      </c>
      <c r="B2500" s="5" t="s">
        <v>13631</v>
      </c>
      <c r="C2500" s="5" t="s">
        <v>13632</v>
      </c>
      <c r="D2500" s="5" t="s">
        <v>13633</v>
      </c>
      <c r="E2500" s="6" t="s">
        <v>74</v>
      </c>
      <c r="F2500" s="6" t="s">
        <v>13634</v>
      </c>
      <c r="G2500" s="3" t="str">
        <f>IFERROR(__xludf.DUMMYFUNCTION("REGEXREPLACE(
D2500,
""([一-龯々]+)\[([^\]]+)\]"",
""&lt;ruby&gt;$1&lt;rt&gt;$2&lt;/rt&gt;&lt;/ruby&gt;""
)&amp;""&lt;br&gt;&lt;div class=""""audio""""&gt;[sound:""&amp;C2500&amp;"".mp3]&lt;/div&gt;"""),"&lt;ruby&gt;寿命&lt;rt&gt;じゅみょう&lt;/rt&gt;&lt;/ruby&gt;&lt;br&gt;&lt;div class=""audio""&gt;[sound:じゅみょう.mp3]&lt;/div&gt;")</f>
        <v>&lt;ruby&gt;寿命&lt;rt&gt;じゅみょう&lt;/rt&gt;&lt;/ruby&gt;&lt;br&gt;&lt;div class="audio"&gt;[sound:じゅみょう.mp3]&lt;/div&gt;</v>
      </c>
      <c r="H2500" s="3" t="str">
        <f t="shared" si="1"/>
        <v>(n): tuổi thọ</v>
      </c>
      <c r="I2500" s="6" t="s">
        <v>13635</v>
      </c>
      <c r="J2500" s="6" t="s">
        <v>13636</v>
      </c>
      <c r="K2500" s="7">
        <f t="shared" si="2"/>
        <v>0.08381382059</v>
      </c>
    </row>
    <row r="2501">
      <c r="A2501" s="4">
        <v>2501.0</v>
      </c>
      <c r="B2501" s="5" t="s">
        <v>13637</v>
      </c>
      <c r="C2501" s="5" t="s">
        <v>13638</v>
      </c>
      <c r="D2501" s="5" t="s">
        <v>13639</v>
      </c>
      <c r="E2501" s="6" t="s">
        <v>74</v>
      </c>
      <c r="F2501" s="6" t="s">
        <v>13640</v>
      </c>
      <c r="G2501" s="3" t="str">
        <f>IFERROR(__xludf.DUMMYFUNCTION("REGEXREPLACE(
D2501,
""([一-龯々]+)\[([^\]]+)\]"",
""&lt;ruby&gt;$1&lt;rt&gt;$2&lt;/rt&gt;&lt;/ruby&gt;""
)&amp;""&lt;br&gt;&lt;div class=""""audio""""&gt;[sound:""&amp;C2501&amp;"".mp3]&lt;/div&gt;"""),"&lt;ruby&gt;障害&lt;rt&gt;しょうがい&lt;/rt&gt;&lt;/ruby&gt;&lt;br&gt;&lt;div class=""audio""&gt;[sound:しょうがい.mp3]&lt;/div&gt;")</f>
        <v>&lt;ruby&gt;障害&lt;rt&gt;しょうがい&lt;/rt&gt;&lt;/ruby&gt;&lt;br&gt;&lt;div class="audio"&gt;[sound:しょうがい.mp3]&lt;/div&gt;</v>
      </c>
      <c r="H2501" s="3" t="str">
        <f t="shared" si="1"/>
        <v>(n): trở ngại</v>
      </c>
      <c r="I2501" s="6" t="s">
        <v>13641</v>
      </c>
      <c r="J2501" s="6" t="s">
        <v>13642</v>
      </c>
      <c r="K2501" s="7">
        <f t="shared" si="2"/>
        <v>0.1510545772</v>
      </c>
    </row>
    <row r="2502">
      <c r="A2502" s="4">
        <v>2502.0</v>
      </c>
      <c r="B2502" s="5" t="s">
        <v>13643</v>
      </c>
      <c r="C2502" s="5" t="s">
        <v>13644</v>
      </c>
      <c r="D2502" s="5" t="s">
        <v>13645</v>
      </c>
      <c r="E2502" s="6" t="s">
        <v>74</v>
      </c>
      <c r="F2502" s="6" t="s">
        <v>13646</v>
      </c>
      <c r="G2502" s="3" t="str">
        <f>IFERROR(__xludf.DUMMYFUNCTION("REGEXREPLACE(
D2502,
""([一-龯々]+)\[([^\]]+)\]"",
""&lt;ruby&gt;$1&lt;rt&gt;$2&lt;/rt&gt;&lt;/ruby&gt;""
)&amp;""&lt;br&gt;&lt;div class=""""audio""""&gt;[sound:""&amp;C2502&amp;"".mp3]&lt;/div&gt;"""),"&lt;ruby&gt;科目&lt;rt&gt;かもく&lt;/rt&gt;&lt;/ruby&gt;&lt;br&gt;&lt;div class=""audio""&gt;[sound:かもく.mp3]&lt;/div&gt;")</f>
        <v>&lt;ruby&gt;科目&lt;rt&gt;かもく&lt;/rt&gt;&lt;/ruby&gt;&lt;br&gt;&lt;div class="audio"&gt;[sound:かもく.mp3]&lt;/div&gt;</v>
      </c>
      <c r="H2502" s="3" t="str">
        <f t="shared" si="1"/>
        <v>(n): môn học</v>
      </c>
      <c r="I2502" s="6" t="s">
        <v>13647</v>
      </c>
      <c r="J2502" s="6" t="s">
        <v>13648</v>
      </c>
      <c r="K2502" s="7">
        <f t="shared" si="2"/>
        <v>0.7443992368</v>
      </c>
    </row>
    <row r="2503">
      <c r="A2503" s="4">
        <v>2503.0</v>
      </c>
      <c r="B2503" s="5" t="s">
        <v>13649</v>
      </c>
      <c r="C2503" s="5" t="s">
        <v>13650</v>
      </c>
      <c r="D2503" s="5" t="s">
        <v>13651</v>
      </c>
      <c r="E2503" s="6" t="s">
        <v>74</v>
      </c>
      <c r="F2503" s="6" t="s">
        <v>13652</v>
      </c>
      <c r="G2503" s="3" t="str">
        <f>IFERROR(__xludf.DUMMYFUNCTION("REGEXREPLACE(
D2503,
""([一-龯々]+)\[([^\]]+)\]"",
""&lt;ruby&gt;$1&lt;rt&gt;$2&lt;/rt&gt;&lt;/ruby&gt;""
)&amp;""&lt;br&gt;&lt;div class=""""audio""""&gt;[sound:""&amp;C2503&amp;"".mp3]&lt;/div&gt;"""),"&lt;ruby&gt;伝統&lt;rt&gt;でんとう&lt;/rt&gt;&lt;/ruby&gt;&lt;br&gt;&lt;div class=""audio""&gt;[sound:でんとう.mp3]&lt;/div&gt;")</f>
        <v>&lt;ruby&gt;伝統&lt;rt&gt;でんとう&lt;/rt&gt;&lt;/ruby&gt;&lt;br&gt;&lt;div class="audio"&gt;[sound:でんとう.mp3]&lt;/div&gt;</v>
      </c>
      <c r="H2503" s="3" t="str">
        <f t="shared" si="1"/>
        <v>(n): truyền thống</v>
      </c>
      <c r="I2503" s="6" t="s">
        <v>13653</v>
      </c>
      <c r="J2503" s="6" t="s">
        <v>13654</v>
      </c>
      <c r="K2503" s="7">
        <f t="shared" si="2"/>
        <v>0.500872152</v>
      </c>
    </row>
    <row r="2504">
      <c r="A2504" s="4">
        <v>2504.0</v>
      </c>
      <c r="B2504" s="5" t="s">
        <v>13655</v>
      </c>
      <c r="C2504" s="5" t="s">
        <v>13656</v>
      </c>
      <c r="D2504" s="5" t="s">
        <v>13657</v>
      </c>
      <c r="E2504" s="6" t="s">
        <v>74</v>
      </c>
      <c r="F2504" s="6" t="s">
        <v>13658</v>
      </c>
      <c r="G2504" s="3" t="str">
        <f>IFERROR(__xludf.DUMMYFUNCTION("REGEXREPLACE(
D2504,
""([一-龯々]+)\[([^\]]+)\]"",
""&lt;ruby&gt;$1&lt;rt&gt;$2&lt;/rt&gt;&lt;/ruby&gt;""
)&amp;""&lt;br&gt;&lt;div class=""""audio""""&gt;[sound:""&amp;C2504&amp;"".mp3]&lt;/div&gt;"""),"&lt;ruby&gt;航空&lt;rt&gt;こうくう&lt;/rt&gt;&lt;/ruby&gt;&lt;br&gt;&lt;div class=""audio""&gt;[sound:こうくう.mp3]&lt;/div&gt;")</f>
        <v>&lt;ruby&gt;航空&lt;rt&gt;こうくう&lt;/rt&gt;&lt;/ruby&gt;&lt;br&gt;&lt;div class="audio"&gt;[sound:こうくう.mp3]&lt;/div&gt;</v>
      </c>
      <c r="H2504" s="3" t="str">
        <f t="shared" si="1"/>
        <v>(n): hàng không</v>
      </c>
      <c r="I2504" s="6" t="s">
        <v>13659</v>
      </c>
      <c r="J2504" s="6" t="s">
        <v>13660</v>
      </c>
      <c r="K2504" s="7">
        <f t="shared" si="2"/>
        <v>0.7997968961</v>
      </c>
    </row>
    <row r="2505">
      <c r="A2505" s="4">
        <v>2505.0</v>
      </c>
      <c r="B2505" s="5" t="s">
        <v>13661</v>
      </c>
      <c r="C2505" s="5" t="s">
        <v>13662</v>
      </c>
      <c r="D2505" s="5" t="s">
        <v>13663</v>
      </c>
      <c r="E2505" s="6" t="s">
        <v>24</v>
      </c>
      <c r="F2505" s="6" t="s">
        <v>13664</v>
      </c>
      <c r="G2505" s="3" t="str">
        <f>IFERROR(__xludf.DUMMYFUNCTION("REGEXREPLACE(
D2505,
""([一-龯々]+)\[([^\]]+)\]"",
""&lt;ruby&gt;$1&lt;rt&gt;$2&lt;/rt&gt;&lt;/ruby&gt;""
)&amp;""&lt;br&gt;&lt;div class=""""audio""""&gt;[sound:""&amp;C2505&amp;"".mp3]&lt;/div&gt;"""),"&lt;ruby&gt;稼&lt;rt&gt;かせ&lt;/rt&gt;&lt;/ruby&gt;ぐ&lt;br&gt;&lt;div class=""audio""&gt;[sound:かせぐ.mp3]&lt;/div&gt;")</f>
        <v>&lt;ruby&gt;稼&lt;rt&gt;かせ&lt;/rt&gt;&lt;/ruby&gt;ぐ&lt;br&gt;&lt;div class="audio"&gt;[sound:かせぐ.mp3]&lt;/div&gt;</v>
      </c>
      <c r="H2505" s="3" t="str">
        <f t="shared" si="1"/>
        <v>(v): kiếm tiền</v>
      </c>
      <c r="I2505" s="6" t="s">
        <v>13665</v>
      </c>
      <c r="J2505" s="6" t="s">
        <v>13666</v>
      </c>
      <c r="K2505" s="7">
        <f t="shared" si="2"/>
        <v>0.02644639097</v>
      </c>
    </row>
    <row r="2506">
      <c r="A2506" s="4">
        <v>2506.0</v>
      </c>
      <c r="B2506" s="5" t="s">
        <v>13667</v>
      </c>
      <c r="C2506" s="5" t="s">
        <v>13668</v>
      </c>
      <c r="D2506" s="5" t="s">
        <v>13669</v>
      </c>
      <c r="E2506" s="6" t="s">
        <v>74</v>
      </c>
      <c r="F2506" s="6" t="s">
        <v>13670</v>
      </c>
      <c r="G2506" s="3" t="str">
        <f>IFERROR(__xludf.DUMMYFUNCTION("REGEXREPLACE(
D2506,
""([一-龯々]+)\[([^\]]+)\]"",
""&lt;ruby&gt;$1&lt;rt&gt;$2&lt;/rt&gt;&lt;/ruby&gt;""
)&amp;""&lt;br&gt;&lt;div class=""""audio""""&gt;[sound:""&amp;C2506&amp;"".mp3]&lt;/div&gt;"""),"&lt;ruby&gt;魅力&lt;rt&gt;みりょく&lt;/rt&gt;&lt;/ruby&gt;&lt;br&gt;&lt;div class=""audio""&gt;[sound:みりょく.mp3]&lt;/div&gt;")</f>
        <v>&lt;ruby&gt;魅力&lt;rt&gt;みりょく&lt;/rt&gt;&lt;/ruby&gt;&lt;br&gt;&lt;div class="audio"&gt;[sound:みりょく.mp3]&lt;/div&gt;</v>
      </c>
      <c r="H2506" s="3" t="str">
        <f t="shared" si="1"/>
        <v>(n): sức hút</v>
      </c>
      <c r="I2506" s="6" t="s">
        <v>13671</v>
      </c>
      <c r="J2506" s="6" t="s">
        <v>13672</v>
      </c>
      <c r="K2506" s="7">
        <f t="shared" si="2"/>
        <v>0.2749706803</v>
      </c>
    </row>
    <row r="2507">
      <c r="A2507" s="4">
        <v>2507.0</v>
      </c>
      <c r="B2507" s="5" t="s">
        <v>13673</v>
      </c>
      <c r="C2507" s="5" t="s">
        <v>13674</v>
      </c>
      <c r="D2507" s="5" t="s">
        <v>13675</v>
      </c>
      <c r="E2507" s="6" t="s">
        <v>74</v>
      </c>
      <c r="F2507" s="6" t="s">
        <v>13676</v>
      </c>
      <c r="G2507" s="3" t="str">
        <f>IFERROR(__xludf.DUMMYFUNCTION("REGEXREPLACE(
D2507,
""([一-龯々]+)\[([^\]]+)\]"",
""&lt;ruby&gt;$1&lt;rt&gt;$2&lt;/rt&gt;&lt;/ruby&gt;""
)&amp;""&lt;br&gt;&lt;div class=""""audio""""&gt;[sound:""&amp;C2507&amp;"".mp3]&lt;/div&gt;"""),"&lt;ruby&gt;防止&lt;rt&gt;ぼうし&lt;/rt&gt;&lt;/ruby&gt;&lt;br&gt;&lt;div class=""audio""&gt;[sound:ぼうし.mp3]&lt;/div&gt;")</f>
        <v>&lt;ruby&gt;防止&lt;rt&gt;ぼうし&lt;/rt&gt;&lt;/ruby&gt;&lt;br&gt;&lt;div class="audio"&gt;[sound:ぼうし.mp3]&lt;/div&gt;</v>
      </c>
      <c r="H2507" s="3" t="str">
        <f t="shared" si="1"/>
        <v>(n): phòng chống</v>
      </c>
      <c r="I2507" s="6" t="s">
        <v>13677</v>
      </c>
      <c r="J2507" s="6" t="s">
        <v>13678</v>
      </c>
      <c r="K2507" s="7">
        <f t="shared" si="2"/>
        <v>0.5345414522</v>
      </c>
    </row>
    <row r="2508">
      <c r="A2508" s="4">
        <v>2508.0</v>
      </c>
      <c r="B2508" s="5" t="s">
        <v>13679</v>
      </c>
      <c r="C2508" s="5" t="s">
        <v>13680</v>
      </c>
      <c r="D2508" s="5" t="s">
        <v>13681</v>
      </c>
      <c r="E2508" s="6" t="s">
        <v>74</v>
      </c>
      <c r="F2508" s="6" t="s">
        <v>13682</v>
      </c>
      <c r="G2508" s="3" t="str">
        <f>IFERROR(__xludf.DUMMYFUNCTION("REGEXREPLACE(
D2508,
""([一-龯々]+)\[([^\]]+)\]"",
""&lt;ruby&gt;$1&lt;rt&gt;$2&lt;/rt&gt;&lt;/ruby&gt;""
)&amp;""&lt;br&gt;&lt;div class=""""audio""""&gt;[sound:""&amp;C2508&amp;"".mp3]&lt;/div&gt;"""),"&lt;ruby&gt;尊重&lt;rt&gt;そんちょう&lt;/rt&gt;&lt;/ruby&gt;&lt;br&gt;&lt;div class=""audio""&gt;[sound:そんちょう.mp3]&lt;/div&gt;")</f>
        <v>&lt;ruby&gt;尊重&lt;rt&gt;そんちょう&lt;/rt&gt;&lt;/ruby&gt;&lt;br&gt;&lt;div class="audio"&gt;[sound:そんちょう.mp3]&lt;/div&gt;</v>
      </c>
      <c r="H2508" s="3" t="str">
        <f t="shared" si="1"/>
        <v>(n): tôn trọng</v>
      </c>
      <c r="I2508" s="6" t="s">
        <v>13683</v>
      </c>
      <c r="J2508" s="6" t="s">
        <v>13684</v>
      </c>
      <c r="K2508" s="7">
        <f t="shared" si="2"/>
        <v>0.2490674706</v>
      </c>
    </row>
    <row r="2509">
      <c r="A2509" s="4">
        <v>2509.0</v>
      </c>
      <c r="B2509" s="5" t="s">
        <v>13685</v>
      </c>
      <c r="C2509" s="5" t="s">
        <v>13686</v>
      </c>
      <c r="D2509" s="5" t="s">
        <v>13687</v>
      </c>
      <c r="E2509" s="6" t="s">
        <v>24</v>
      </c>
      <c r="F2509" s="6" t="s">
        <v>4106</v>
      </c>
      <c r="G2509" s="3" t="str">
        <f>IFERROR(__xludf.DUMMYFUNCTION("REGEXREPLACE(
D2509,
""([一-龯々]+)\[([^\]]+)\]"",
""&lt;ruby&gt;$1&lt;rt&gt;$2&lt;/rt&gt;&lt;/ruby&gt;""
)&amp;""&lt;br&gt;&lt;div class=""""audio""""&gt;[sound:""&amp;C2509&amp;"".mp3]&lt;/div&gt;"""),"&lt;ruby&gt;降&lt;rt&gt;お&lt;/rt&gt;&lt;/ruby&gt;ろす&lt;br&gt;&lt;div class=""audio""&gt;[sound:おろす.mp3]&lt;/div&gt;")</f>
        <v>&lt;ruby&gt;降&lt;rt&gt;お&lt;/rt&gt;&lt;/ruby&gt;ろす&lt;br&gt;&lt;div class="audio"&gt;[sound:おろす.mp3]&lt;/div&gt;</v>
      </c>
      <c r="H2509" s="3" t="str">
        <f t="shared" si="1"/>
        <v>(v): hạ xuống</v>
      </c>
      <c r="I2509" s="6" t="s">
        <v>13688</v>
      </c>
      <c r="J2509" s="6" t="s">
        <v>13689</v>
      </c>
      <c r="K2509" s="7">
        <f t="shared" si="2"/>
        <v>0.30587248</v>
      </c>
    </row>
    <row r="2510">
      <c r="A2510" s="4">
        <v>2510.0</v>
      </c>
      <c r="B2510" s="5" t="s">
        <v>13690</v>
      </c>
      <c r="C2510" s="5" t="s">
        <v>13691</v>
      </c>
      <c r="D2510" s="5" t="s">
        <v>13692</v>
      </c>
      <c r="E2510" s="6" t="s">
        <v>74</v>
      </c>
      <c r="F2510" s="6" t="s">
        <v>13693</v>
      </c>
      <c r="G2510" s="3" t="str">
        <f>IFERROR(__xludf.DUMMYFUNCTION("REGEXREPLACE(
D2510,
""([一-龯々]+)\[([^\]]+)\]"",
""&lt;ruby&gt;$1&lt;rt&gt;$2&lt;/rt&gt;&lt;/ruby&gt;""
)&amp;""&lt;br&gt;&lt;div class=""""audio""""&gt;[sound:""&amp;C2510&amp;"".mp3]&lt;/div&gt;"""),"&lt;ruby&gt;青&lt;rt&gt;あお&lt;/rt&gt;&lt;/ruby&gt;&lt;br&gt;&lt;div class=""audio""&gt;[sound:あお.mp3]&lt;/div&gt;")</f>
        <v>&lt;ruby&gt;青&lt;rt&gt;あお&lt;/rt&gt;&lt;/ruby&gt;&lt;br&gt;&lt;div class="audio"&gt;[sound:あお.mp3]&lt;/div&gt;</v>
      </c>
      <c r="H2510" s="3" t="str">
        <f t="shared" si="1"/>
        <v>(n): màu xanh dương</v>
      </c>
      <c r="I2510" s="6" t="s">
        <v>13694</v>
      </c>
      <c r="J2510" s="6" t="s">
        <v>13695</v>
      </c>
      <c r="K2510" s="7">
        <f t="shared" si="2"/>
        <v>0.5532834091</v>
      </c>
    </row>
    <row r="2511">
      <c r="A2511" s="4">
        <v>2511.0</v>
      </c>
      <c r="B2511" s="5" t="s">
        <v>13696</v>
      </c>
      <c r="C2511" s="5" t="s">
        <v>13697</v>
      </c>
      <c r="D2511" s="5" t="s">
        <v>13698</v>
      </c>
      <c r="E2511" s="6" t="s">
        <v>74</v>
      </c>
      <c r="F2511" s="6" t="s">
        <v>13699</v>
      </c>
      <c r="G2511" s="3" t="str">
        <f>IFERROR(__xludf.DUMMYFUNCTION("REGEXREPLACE(
D2511,
""([一-龯々]+)\[([^\]]+)\]"",
""&lt;ruby&gt;$1&lt;rt&gt;$2&lt;/rt&gt;&lt;/ruby&gt;""
)&amp;""&lt;br&gt;&lt;div class=""""audio""""&gt;[sound:""&amp;C2511&amp;"".mp3]&lt;/div&gt;"""),"&lt;ruby&gt;哲学&lt;rt&gt;てつがく&lt;/rt&gt;&lt;/ruby&gt;&lt;br&gt;&lt;div class=""audio""&gt;[sound:てつがく.mp3]&lt;/div&gt;")</f>
        <v>&lt;ruby&gt;哲学&lt;rt&gt;てつがく&lt;/rt&gt;&lt;/ruby&gt;&lt;br&gt;&lt;div class="audio"&gt;[sound:てつがく.mp3]&lt;/div&gt;</v>
      </c>
      <c r="H2511" s="3" t="str">
        <f t="shared" si="1"/>
        <v>(n): triết học</v>
      </c>
      <c r="I2511" s="6" t="s">
        <v>13700</v>
      </c>
      <c r="J2511" s="6" t="s">
        <v>13701</v>
      </c>
      <c r="K2511" s="7">
        <f t="shared" si="2"/>
        <v>0.6562341388</v>
      </c>
    </row>
    <row r="2512">
      <c r="A2512" s="4">
        <v>2512.0</v>
      </c>
      <c r="B2512" s="5" t="s">
        <v>13702</v>
      </c>
      <c r="C2512" s="5" t="s">
        <v>13703</v>
      </c>
      <c r="D2512" s="5" t="s">
        <v>13704</v>
      </c>
      <c r="E2512" s="6" t="s">
        <v>74</v>
      </c>
      <c r="F2512" s="6" t="s">
        <v>5208</v>
      </c>
      <c r="G2512" s="3" t="str">
        <f>IFERROR(__xludf.DUMMYFUNCTION("REGEXREPLACE(
D2512,
""([一-龯々]+)\[([^\]]+)\]"",
""&lt;ruby&gt;$1&lt;rt&gt;$2&lt;/rt&gt;&lt;/ruby&gt;""
)&amp;""&lt;br&gt;&lt;div class=""""audio""""&gt;[sound:""&amp;C2512&amp;"".mp3]&lt;/div&gt;"""),"&lt;ruby&gt;祭&lt;rt&gt;まつり&lt;/rt&gt;&lt;/ruby&gt;&lt;br&gt;&lt;div class=""audio""&gt;[sound:まつり.mp3]&lt;/div&gt;")</f>
        <v>&lt;ruby&gt;祭&lt;rt&gt;まつり&lt;/rt&gt;&lt;/ruby&gt;&lt;br&gt;&lt;div class="audio"&gt;[sound:まつり.mp3]&lt;/div&gt;</v>
      </c>
      <c r="H2512" s="3" t="str">
        <f t="shared" si="1"/>
        <v>(n): lễ hội</v>
      </c>
      <c r="I2512" s="6" t="s">
        <v>13705</v>
      </c>
      <c r="J2512" s="6" t="s">
        <v>13706</v>
      </c>
      <c r="K2512" s="7">
        <f t="shared" si="2"/>
        <v>0.7235406893</v>
      </c>
    </row>
    <row r="2513">
      <c r="A2513" s="4">
        <v>2513.0</v>
      </c>
      <c r="B2513" s="5" t="s">
        <v>13707</v>
      </c>
      <c r="C2513" s="5" t="s">
        <v>13708</v>
      </c>
      <c r="D2513" s="5" t="s">
        <v>13709</v>
      </c>
      <c r="E2513" s="6" t="s">
        <v>11</v>
      </c>
      <c r="F2513" s="6" t="s">
        <v>13710</v>
      </c>
      <c r="G2513" s="3" t="str">
        <f>IFERROR(__xludf.DUMMYFUNCTION("REGEXREPLACE(
D2513,
""([一-龯々]+)\[([^\]]+)\]"",
""&lt;ruby&gt;$1&lt;rt&gt;$2&lt;/rt&gt;&lt;/ruby&gt;""
)&amp;""&lt;br&gt;&lt;div class=""""audio""""&gt;[sound:""&amp;C2513&amp;"".mp3]&lt;/div&gt;"""),"&lt;ruby&gt;親&lt;rt&gt;した&lt;/rt&gt;&lt;/ruby&gt;しい&lt;br&gt;&lt;div class=""audio""&gt;[sound:したしい.mp3]&lt;/div&gt;")</f>
        <v>&lt;ruby&gt;親&lt;rt&gt;した&lt;/rt&gt;&lt;/ruby&gt;しい&lt;br&gt;&lt;div class="audio"&gt;[sound:したしい.mp3]&lt;/div&gt;</v>
      </c>
      <c r="H2513" s="3" t="str">
        <f t="shared" si="1"/>
        <v>(adj): thân thiết</v>
      </c>
      <c r="I2513" s="6" t="s">
        <v>13711</v>
      </c>
      <c r="J2513" s="6" t="s">
        <v>13712</v>
      </c>
      <c r="K2513" s="7">
        <f t="shared" si="2"/>
        <v>0.03738679558</v>
      </c>
    </row>
    <row r="2514">
      <c r="A2514" s="4">
        <v>2514.0</v>
      </c>
      <c r="B2514" s="5" t="s">
        <v>13713</v>
      </c>
      <c r="C2514" s="5" t="s">
        <v>9720</v>
      </c>
      <c r="D2514" s="5" t="s">
        <v>13714</v>
      </c>
      <c r="E2514" s="6" t="s">
        <v>74</v>
      </c>
      <c r="F2514" s="6" t="s">
        <v>13715</v>
      </c>
      <c r="G2514" s="3" t="str">
        <f>IFERROR(__xludf.DUMMYFUNCTION("REGEXREPLACE(
D2514,
""([一-龯々]+)\[([^\]]+)\]"",
""&lt;ruby&gt;$1&lt;rt&gt;$2&lt;/rt&gt;&lt;/ruby&gt;""
)&amp;""&lt;br&gt;&lt;div class=""""audio""""&gt;[sound:""&amp;C2514&amp;"".mp3]&lt;/div&gt;"""),"&lt;ruby&gt;階段&lt;rt&gt;かいだん&lt;/rt&gt;&lt;/ruby&gt;&lt;br&gt;&lt;div class=""audio""&gt;[sound:かいだん.mp3]&lt;/div&gt;")</f>
        <v>&lt;ruby&gt;階段&lt;rt&gt;かいだん&lt;/rt&gt;&lt;/ruby&gt;&lt;br&gt;&lt;div class="audio"&gt;[sound:かいだん.mp3]&lt;/div&gt;</v>
      </c>
      <c r="H2514" s="3" t="str">
        <f t="shared" si="1"/>
        <v>(n): cầu thang</v>
      </c>
      <c r="I2514" s="6" t="s">
        <v>13716</v>
      </c>
      <c r="J2514" s="6" t="s">
        <v>13717</v>
      </c>
      <c r="K2514" s="7">
        <f t="shared" si="2"/>
        <v>0.6255066949</v>
      </c>
    </row>
    <row r="2515">
      <c r="A2515" s="4">
        <v>2515.0</v>
      </c>
      <c r="B2515" s="5" t="s">
        <v>13718</v>
      </c>
      <c r="C2515" s="5" t="s">
        <v>13719</v>
      </c>
      <c r="D2515" s="5" t="s">
        <v>13720</v>
      </c>
      <c r="E2515" s="6" t="s">
        <v>74</v>
      </c>
      <c r="F2515" s="6" t="s">
        <v>13721</v>
      </c>
      <c r="G2515" s="3" t="str">
        <f>IFERROR(__xludf.DUMMYFUNCTION("REGEXREPLACE(
D2515,
""([一-龯々]+)\[([^\]]+)\]"",
""&lt;ruby&gt;$1&lt;rt&gt;$2&lt;/rt&gt;&lt;/ruby&gt;""
)&amp;""&lt;br&gt;&lt;div class=""""audio""""&gt;[sound:""&amp;C2515&amp;"".mp3]&lt;/div&gt;"""),"&lt;ruby&gt;徹底&lt;rt&gt;てってい&lt;/rt&gt;&lt;/ruby&gt;&lt;br&gt;&lt;div class=""audio""&gt;[sound:てってい.mp3]&lt;/div&gt;")</f>
        <v>&lt;ruby&gt;徹底&lt;rt&gt;てってい&lt;/rt&gt;&lt;/ruby&gt;&lt;br&gt;&lt;div class="audio"&gt;[sound:てってい.mp3]&lt;/div&gt;</v>
      </c>
      <c r="H2515" s="3" t="str">
        <f t="shared" si="1"/>
        <v>(n): triệt để</v>
      </c>
      <c r="I2515" s="6" t="s">
        <v>13722</v>
      </c>
      <c r="J2515" s="6" t="s">
        <v>13723</v>
      </c>
      <c r="K2515" s="7">
        <f t="shared" si="2"/>
        <v>0.89848625</v>
      </c>
    </row>
    <row r="2516">
      <c r="A2516" s="4">
        <v>2516.0</v>
      </c>
      <c r="B2516" s="5" t="s">
        <v>13724</v>
      </c>
      <c r="C2516" s="5" t="s">
        <v>13725</v>
      </c>
      <c r="D2516" s="5" t="s">
        <v>13726</v>
      </c>
      <c r="E2516" s="6" t="s">
        <v>74</v>
      </c>
      <c r="F2516" s="6" t="s">
        <v>13727</v>
      </c>
      <c r="G2516" s="3" t="str">
        <f>IFERROR(__xludf.DUMMYFUNCTION("REGEXREPLACE(
D2516,
""([一-龯々]+)\[([^\]]+)\]"",
""&lt;ruby&gt;$1&lt;rt&gt;$2&lt;/rt&gt;&lt;/ruby&gt;""
)&amp;""&lt;br&gt;&lt;div class=""""audio""""&gt;[sound:""&amp;C2516&amp;"".mp3]&lt;/div&gt;"""),"&lt;ruby&gt;筆者&lt;rt&gt;ひっしゃ&lt;/rt&gt;&lt;/ruby&gt;&lt;br&gt;&lt;div class=""audio""&gt;[sound:ひっしゃ.mp3]&lt;/div&gt;")</f>
        <v>&lt;ruby&gt;筆者&lt;rt&gt;ひっしゃ&lt;/rt&gt;&lt;/ruby&gt;&lt;br&gt;&lt;div class="audio"&gt;[sound:ひっしゃ.mp3]&lt;/div&gt;</v>
      </c>
      <c r="H2516" s="3" t="str">
        <f t="shared" si="1"/>
        <v>(n): tác giả</v>
      </c>
      <c r="I2516" s="6" t="s">
        <v>13728</v>
      </c>
      <c r="J2516" s="6" t="s">
        <v>13729</v>
      </c>
      <c r="K2516" s="7">
        <f t="shared" si="2"/>
        <v>0.6475328988</v>
      </c>
    </row>
    <row r="2517">
      <c r="A2517" s="4">
        <v>2517.0</v>
      </c>
      <c r="B2517" s="5" t="s">
        <v>13730</v>
      </c>
      <c r="C2517" s="5" t="s">
        <v>13731</v>
      </c>
      <c r="D2517" s="5" t="s">
        <v>13732</v>
      </c>
      <c r="E2517" s="6" t="s">
        <v>24</v>
      </c>
      <c r="F2517" s="6" t="s">
        <v>68</v>
      </c>
      <c r="G2517" s="3" t="str">
        <f>IFERROR(__xludf.DUMMYFUNCTION("REGEXREPLACE(
D2517,
""([一-龯々]+)\[([^\]]+)\]"",
""&lt;ruby&gt;$1&lt;rt&gt;$2&lt;/rt&gt;&lt;/ruby&gt;""
)&amp;""&lt;br&gt;&lt;div class=""""audio""""&gt;[sound:""&amp;C2517&amp;"".mp3]&lt;/div&gt;"""),"&lt;ruby&gt;致&lt;rt&gt;いた&lt;/rt&gt;&lt;/ruby&gt;す&lt;br&gt;&lt;div class=""audio""&gt;[sound:いたす.mp3]&lt;/div&gt;")</f>
        <v>&lt;ruby&gt;致&lt;rt&gt;いた&lt;/rt&gt;&lt;/ruby&gt;す&lt;br&gt;&lt;div class="audio"&gt;[sound:いたす.mp3]&lt;/div&gt;</v>
      </c>
      <c r="H2517" s="3" t="str">
        <f t="shared" si="1"/>
        <v>(v): làm</v>
      </c>
      <c r="I2517" s="6" t="s">
        <v>13733</v>
      </c>
      <c r="J2517" s="6" t="s">
        <v>13734</v>
      </c>
      <c r="K2517" s="7">
        <f t="shared" si="2"/>
        <v>0.5225456886</v>
      </c>
    </row>
    <row r="2518">
      <c r="A2518" s="4">
        <v>2518.0</v>
      </c>
      <c r="B2518" s="5" t="s">
        <v>13735</v>
      </c>
      <c r="C2518" s="5" t="s">
        <v>13736</v>
      </c>
      <c r="D2518" s="5" t="s">
        <v>13737</v>
      </c>
      <c r="E2518" s="6" t="s">
        <v>24</v>
      </c>
      <c r="F2518" s="6" t="s">
        <v>13738</v>
      </c>
      <c r="G2518" s="3" t="str">
        <f>IFERROR(__xludf.DUMMYFUNCTION("REGEXREPLACE(
D2518,
""([一-龯々]+)\[([^\]]+)\]"",
""&lt;ruby&gt;$1&lt;rt&gt;$2&lt;/rt&gt;&lt;/ruby&gt;""
)&amp;""&lt;br&gt;&lt;div class=""""audio""""&gt;[sound:""&amp;C2518&amp;"".mp3]&lt;/div&gt;"""),"&lt;ruby&gt;真似&lt;rt&gt;まね&lt;/rt&gt;&lt;/ruby&gt;る&lt;br&gt;&lt;div class=""audio""&gt;[sound:まねる.mp3]&lt;/div&gt;")</f>
        <v>&lt;ruby&gt;真似&lt;rt&gt;まね&lt;/rt&gt;&lt;/ruby&gt;る&lt;br&gt;&lt;div class="audio"&gt;[sound:まねる.mp3]&lt;/div&gt;</v>
      </c>
      <c r="H2518" s="3" t="str">
        <f t="shared" si="1"/>
        <v>(v): bắt chước</v>
      </c>
      <c r="I2518" s="6" t="s">
        <v>13739</v>
      </c>
      <c r="J2518" s="6" t="s">
        <v>13740</v>
      </c>
      <c r="K2518" s="7">
        <f t="shared" si="2"/>
        <v>0.5727475756</v>
      </c>
    </row>
    <row r="2519">
      <c r="A2519" s="4">
        <v>2519.0</v>
      </c>
      <c r="B2519" s="5" t="s">
        <v>13741</v>
      </c>
      <c r="C2519" s="5" t="s">
        <v>13742</v>
      </c>
      <c r="D2519" s="5" t="s">
        <v>13743</v>
      </c>
      <c r="E2519" s="6" t="s">
        <v>74</v>
      </c>
      <c r="F2519" s="6" t="s">
        <v>13744</v>
      </c>
      <c r="G2519" s="3" t="str">
        <f>IFERROR(__xludf.DUMMYFUNCTION("REGEXREPLACE(
D2519,
""([一-龯々]+)\[([^\]]+)\]"",
""&lt;ruby&gt;$1&lt;rt&gt;$2&lt;/rt&gt;&lt;/ruby&gt;""
)&amp;""&lt;br&gt;&lt;div class=""""audio""""&gt;[sound:""&amp;C2519&amp;"".mp3]&lt;/div&gt;"""),"&lt;ruby&gt;需要&lt;rt&gt;じゅよう&lt;/rt&gt;&lt;/ruby&gt;&lt;br&gt;&lt;div class=""audio""&gt;[sound:じゅよう.mp3]&lt;/div&gt;")</f>
        <v>&lt;ruby&gt;需要&lt;rt&gt;じゅよう&lt;/rt&gt;&lt;/ruby&gt;&lt;br&gt;&lt;div class="audio"&gt;[sound:じゅよう.mp3]&lt;/div&gt;</v>
      </c>
      <c r="H2519" s="3" t="str">
        <f t="shared" si="1"/>
        <v>(n): nhu cầu</v>
      </c>
      <c r="I2519" s="6" t="s">
        <v>13745</v>
      </c>
      <c r="J2519" s="6" t="s">
        <v>13746</v>
      </c>
      <c r="K2519" s="7">
        <f t="shared" si="2"/>
        <v>0.7764053929</v>
      </c>
    </row>
    <row r="2520">
      <c r="A2520" s="4">
        <v>2520.0</v>
      </c>
      <c r="B2520" s="5" t="s">
        <v>13747</v>
      </c>
      <c r="C2520" s="5" t="s">
        <v>13748</v>
      </c>
      <c r="D2520" s="5" t="s">
        <v>13749</v>
      </c>
      <c r="E2520" s="6" t="s">
        <v>24</v>
      </c>
      <c r="F2520" s="6" t="s">
        <v>13750</v>
      </c>
      <c r="G2520" s="3" t="str">
        <f>IFERROR(__xludf.DUMMYFUNCTION("REGEXREPLACE(
D2520,
""([一-龯々]+)\[([^\]]+)\]"",
""&lt;ruby&gt;$1&lt;rt&gt;$2&lt;/rt&gt;&lt;/ruby&gt;""
)&amp;""&lt;br&gt;&lt;div class=""""audio""""&gt;[sound:""&amp;C2520&amp;"".mp3]&lt;/div&gt;"""),"&lt;ruby&gt;叱&lt;rt&gt;しか&lt;/rt&gt;&lt;/ruby&gt;る&lt;br&gt;&lt;div class=""audio""&gt;[sound:しかる.mp3]&lt;/div&gt;")</f>
        <v>&lt;ruby&gt;叱&lt;rt&gt;しか&lt;/rt&gt;&lt;/ruby&gt;る&lt;br&gt;&lt;div class="audio"&gt;[sound:しかる.mp3]&lt;/div&gt;</v>
      </c>
      <c r="H2520" s="3" t="str">
        <f t="shared" si="1"/>
        <v>(v): mắng</v>
      </c>
      <c r="I2520" s="6" t="s">
        <v>13751</v>
      </c>
      <c r="J2520" s="6" t="s">
        <v>13752</v>
      </c>
      <c r="K2520" s="7">
        <f t="shared" si="2"/>
        <v>0.668435017</v>
      </c>
    </row>
    <row r="2521">
      <c r="A2521" s="4">
        <v>2521.0</v>
      </c>
      <c r="B2521" s="5" t="s">
        <v>13753</v>
      </c>
      <c r="C2521" s="5" t="s">
        <v>13754</v>
      </c>
      <c r="D2521" s="5" t="s">
        <v>13755</v>
      </c>
      <c r="E2521" s="6" t="s">
        <v>24</v>
      </c>
      <c r="F2521" s="6" t="s">
        <v>13756</v>
      </c>
      <c r="G2521" s="3" t="str">
        <f>IFERROR(__xludf.DUMMYFUNCTION("REGEXREPLACE(
D2521,
""([一-龯々]+)\[([^\]]+)\]"",
""&lt;ruby&gt;$1&lt;rt&gt;$2&lt;/rt&gt;&lt;/ruby&gt;""
)&amp;""&lt;br&gt;&lt;div class=""""audio""""&gt;[sound:""&amp;C2521&amp;"".mp3]&lt;/div&gt;"""),"&lt;ruby&gt;埋&lt;rt&gt;う&lt;/rt&gt;&lt;/ruby&gt;める&lt;br&gt;&lt;div class=""audio""&gt;[sound:うめる.mp3]&lt;/div&gt;")</f>
        <v>&lt;ruby&gt;埋&lt;rt&gt;う&lt;/rt&gt;&lt;/ruby&gt;める&lt;br&gt;&lt;div class="audio"&gt;[sound:うめる.mp3]&lt;/div&gt;</v>
      </c>
      <c r="H2521" s="3" t="str">
        <f t="shared" si="1"/>
        <v>(v): chôn</v>
      </c>
      <c r="I2521" s="6" t="s">
        <v>13757</v>
      </c>
      <c r="J2521" s="6" t="s">
        <v>13758</v>
      </c>
      <c r="K2521" s="7">
        <f t="shared" si="2"/>
        <v>0.3984048454</v>
      </c>
    </row>
    <row r="2522">
      <c r="A2522" s="4">
        <v>2522.0</v>
      </c>
      <c r="B2522" s="5" t="s">
        <v>13759</v>
      </c>
      <c r="C2522" s="5" t="s">
        <v>13760</v>
      </c>
      <c r="D2522" s="5" t="s">
        <v>13761</v>
      </c>
      <c r="E2522" s="6" t="s">
        <v>74</v>
      </c>
      <c r="F2522" s="6" t="s">
        <v>11504</v>
      </c>
      <c r="G2522" s="3" t="str">
        <f>IFERROR(__xludf.DUMMYFUNCTION("REGEXREPLACE(
D2522,
""([一-龯々]+)\[([^\]]+)\]"",
""&lt;ruby&gt;$1&lt;rt&gt;$2&lt;/rt&gt;&lt;/ruby&gt;""
)&amp;""&lt;br&gt;&lt;div class=""""audio""""&gt;[sound:""&amp;C2522&amp;"".mp3]&lt;/div&gt;"""),"&lt;ruby&gt;高校生&lt;rt&gt;こうこうせい&lt;/rt&gt;&lt;/ruby&gt;&lt;br&gt;&lt;div class=""audio""&gt;[sound:こうこうせい.mp3]&lt;/div&gt;")</f>
        <v>&lt;ruby&gt;高校生&lt;rt&gt;こうこうせい&lt;/rt&gt;&lt;/ruby&gt;&lt;br&gt;&lt;div class="audio"&gt;[sound:こうこうせい.mp3]&lt;/div&gt;</v>
      </c>
      <c r="H2522" s="3" t="str">
        <f t="shared" si="1"/>
        <v>(n): học sinh</v>
      </c>
      <c r="I2522" s="6" t="s">
        <v>13762</v>
      </c>
      <c r="J2522" s="6" t="s">
        <v>13763</v>
      </c>
      <c r="K2522" s="7">
        <f t="shared" si="2"/>
        <v>0.9707339494</v>
      </c>
    </row>
    <row r="2523">
      <c r="A2523" s="4">
        <v>2523.0</v>
      </c>
      <c r="B2523" s="5" t="s">
        <v>13764</v>
      </c>
      <c r="C2523" s="5" t="s">
        <v>13765</v>
      </c>
      <c r="D2523" s="5" t="s">
        <v>13766</v>
      </c>
      <c r="E2523" s="6" t="s">
        <v>74</v>
      </c>
      <c r="F2523" s="6" t="s">
        <v>13767</v>
      </c>
      <c r="G2523" s="3" t="str">
        <f>IFERROR(__xludf.DUMMYFUNCTION("REGEXREPLACE(
D2523,
""([一-龯々]+)\[([^\]]+)\]"",
""&lt;ruby&gt;$1&lt;rt&gt;$2&lt;/rt&gt;&lt;/ruby&gt;""
)&amp;""&lt;br&gt;&lt;div class=""""audio""""&gt;[sound:""&amp;C2523&amp;"".mp3]&lt;/div&gt;"""),"&lt;ruby&gt;流行&lt;rt&gt;りゅうこう&lt;/rt&gt;&lt;/ruby&gt;&lt;br&gt;&lt;div class=""audio""&gt;[sound:りゅうこう.mp3]&lt;/div&gt;")</f>
        <v>&lt;ruby&gt;流行&lt;rt&gt;りゅうこう&lt;/rt&gt;&lt;/ruby&gt;&lt;br&gt;&lt;div class="audio"&gt;[sound:りゅうこう.mp3]&lt;/div&gt;</v>
      </c>
      <c r="H2523" s="3" t="str">
        <f t="shared" si="1"/>
        <v>(n): thịnh hành</v>
      </c>
      <c r="I2523" s="6" t="s">
        <v>13768</v>
      </c>
      <c r="J2523" s="6" t="s">
        <v>13769</v>
      </c>
      <c r="K2523" s="7">
        <f t="shared" si="2"/>
        <v>0.7799712913</v>
      </c>
    </row>
    <row r="2524">
      <c r="A2524" s="4">
        <v>2524.0</v>
      </c>
      <c r="B2524" s="5" t="s">
        <v>13770</v>
      </c>
      <c r="C2524" s="5" t="s">
        <v>13771</v>
      </c>
      <c r="D2524" s="5" t="s">
        <v>13772</v>
      </c>
      <c r="E2524" s="6" t="s">
        <v>74</v>
      </c>
      <c r="F2524" s="6" t="s">
        <v>13773</v>
      </c>
      <c r="G2524" s="3" t="str">
        <f>IFERROR(__xludf.DUMMYFUNCTION("REGEXREPLACE(
D2524,
""([一-龯々]+)\[([^\]]+)\]"",
""&lt;ruby&gt;$1&lt;rt&gt;$2&lt;/rt&gt;&lt;/ruby&gt;""
)&amp;""&lt;br&gt;&lt;div class=""""audio""""&gt;[sound:""&amp;C2524&amp;"".mp3]&lt;/div&gt;"""),"&lt;ruby&gt;資源&lt;rt&gt;しげん&lt;/rt&gt;&lt;/ruby&gt;&lt;br&gt;&lt;div class=""audio""&gt;[sound:しげん.mp3]&lt;/div&gt;")</f>
        <v>&lt;ruby&gt;資源&lt;rt&gt;しげん&lt;/rt&gt;&lt;/ruby&gt;&lt;br&gt;&lt;div class="audio"&gt;[sound:しげん.mp3]&lt;/div&gt;</v>
      </c>
      <c r="H2524" s="3" t="str">
        <f t="shared" si="1"/>
        <v>(n): tài nguyên</v>
      </c>
      <c r="I2524" s="6" t="s">
        <v>13774</v>
      </c>
      <c r="J2524" s="6" t="s">
        <v>13775</v>
      </c>
      <c r="K2524" s="7">
        <f t="shared" si="2"/>
        <v>0.5754698746</v>
      </c>
    </row>
    <row r="2525">
      <c r="A2525" s="4">
        <v>2525.0</v>
      </c>
      <c r="B2525" s="5" t="s">
        <v>13776</v>
      </c>
      <c r="C2525" s="5" t="s">
        <v>13777</v>
      </c>
      <c r="D2525" s="5" t="s">
        <v>13778</v>
      </c>
      <c r="E2525" s="6" t="s">
        <v>74</v>
      </c>
      <c r="F2525" s="6" t="s">
        <v>13779</v>
      </c>
      <c r="G2525" s="3" t="str">
        <f>IFERROR(__xludf.DUMMYFUNCTION("REGEXREPLACE(
D2525,
""([一-龯々]+)\[([^\]]+)\]"",
""&lt;ruby&gt;$1&lt;rt&gt;$2&lt;/rt&gt;&lt;/ruby&gt;""
)&amp;""&lt;br&gt;&lt;div class=""""audio""""&gt;[sound:""&amp;C2525&amp;"".mp3]&lt;/div&gt;"""),"&lt;ruby&gt;審判&lt;rt&gt;しんぱん&lt;/rt&gt;&lt;/ruby&gt;&lt;br&gt;&lt;div class=""audio""&gt;[sound:しんぱん.mp3]&lt;/div&gt;")</f>
        <v>&lt;ruby&gt;審判&lt;rt&gt;しんぱん&lt;/rt&gt;&lt;/ruby&gt;&lt;br&gt;&lt;div class="audio"&gt;[sound:しんぱん.mp3]&lt;/div&gt;</v>
      </c>
      <c r="H2525" s="3" t="str">
        <f t="shared" si="1"/>
        <v>(n): trọng tài</v>
      </c>
      <c r="I2525" s="6" t="s">
        <v>13780</v>
      </c>
      <c r="J2525" s="6" t="s">
        <v>13781</v>
      </c>
      <c r="K2525" s="7">
        <f t="shared" si="2"/>
        <v>0.5633552126</v>
      </c>
    </row>
    <row r="2526">
      <c r="A2526" s="4">
        <v>2526.0</v>
      </c>
      <c r="B2526" s="5" t="s">
        <v>13782</v>
      </c>
      <c r="C2526" s="5" t="s">
        <v>4856</v>
      </c>
      <c r="D2526" s="5" t="s">
        <v>13783</v>
      </c>
      <c r="E2526" s="6" t="s">
        <v>11</v>
      </c>
      <c r="F2526" s="6" t="s">
        <v>13784</v>
      </c>
      <c r="G2526" s="3" t="str">
        <f>IFERROR(__xludf.DUMMYFUNCTION("REGEXREPLACE(
D2526,
""([一-龯々]+)\[([^\]]+)\]"",
""&lt;ruby&gt;$1&lt;rt&gt;$2&lt;/rt&gt;&lt;/ruby&gt;""
)&amp;""&lt;br&gt;&lt;div class=""""audio""""&gt;[sound:""&amp;C2526&amp;"".mp3]&lt;/div&gt;"""),"&lt;ruby&gt;感心&lt;rt&gt;かんしん&lt;/rt&gt;&lt;/ruby&gt;&lt;br&gt;&lt;div class=""audio""&gt;[sound:かんしん.mp3]&lt;/div&gt;")</f>
        <v>&lt;ruby&gt;感心&lt;rt&gt;かんしん&lt;/rt&gt;&lt;/ruby&gt;&lt;br&gt;&lt;div class="audio"&gt;[sound:かんしん.mp3]&lt;/div&gt;</v>
      </c>
      <c r="H2526" s="3" t="str">
        <f t="shared" si="1"/>
        <v>(adj): thán phục</v>
      </c>
      <c r="I2526" s="6" t="s">
        <v>13785</v>
      </c>
      <c r="J2526" s="6" t="s">
        <v>13786</v>
      </c>
      <c r="K2526" s="7">
        <f t="shared" si="2"/>
        <v>0.1796106816</v>
      </c>
    </row>
    <row r="2527">
      <c r="A2527" s="4">
        <v>2527.0</v>
      </c>
      <c r="B2527" s="5" t="s">
        <v>13787</v>
      </c>
      <c r="C2527" s="5" t="s">
        <v>13788</v>
      </c>
      <c r="D2527" s="5" t="s">
        <v>13789</v>
      </c>
      <c r="E2527" s="6" t="s">
        <v>74</v>
      </c>
      <c r="F2527" s="6" t="s">
        <v>13790</v>
      </c>
      <c r="G2527" s="3" t="str">
        <f>IFERROR(__xludf.DUMMYFUNCTION("REGEXREPLACE(
D2527,
""([一-龯々]+)\[([^\]]+)\]"",
""&lt;ruby&gt;$1&lt;rt&gt;$2&lt;/rt&gt;&lt;/ruby&gt;""
)&amp;""&lt;br&gt;&lt;div class=""""audio""""&gt;[sound:""&amp;C2527&amp;"".mp3]&lt;/div&gt;"""),"&lt;ruby&gt;誕生&lt;rt&gt;たんじょう&lt;/rt&gt;&lt;/ruby&gt;&lt;br&gt;&lt;div class=""audio""&gt;[sound:たんじょう.mp3]&lt;/div&gt;")</f>
        <v>&lt;ruby&gt;誕生&lt;rt&gt;たんじょう&lt;/rt&gt;&lt;/ruby&gt;&lt;br&gt;&lt;div class="audio"&gt;[sound:たんじょう.mp3]&lt;/div&gt;</v>
      </c>
      <c r="H2527" s="3" t="str">
        <f t="shared" si="1"/>
        <v>(n): sự ra đời</v>
      </c>
      <c r="I2527" s="6" t="s">
        <v>13791</v>
      </c>
      <c r="J2527" s="6" t="s">
        <v>13792</v>
      </c>
      <c r="K2527" s="7">
        <f t="shared" si="2"/>
        <v>0.1185768294</v>
      </c>
    </row>
    <row r="2528">
      <c r="A2528" s="4">
        <v>2528.0</v>
      </c>
      <c r="B2528" s="5" t="s">
        <v>13793</v>
      </c>
      <c r="C2528" s="5" t="s">
        <v>13794</v>
      </c>
      <c r="D2528" s="5" t="s">
        <v>13795</v>
      </c>
      <c r="E2528" s="6" t="s">
        <v>24</v>
      </c>
      <c r="F2528" s="6" t="s">
        <v>13796</v>
      </c>
      <c r="G2528" s="3" t="str">
        <f>IFERROR(__xludf.DUMMYFUNCTION("REGEXREPLACE(
D2528,
""([一-龯々]+)\[([^\]]+)\]"",
""&lt;ruby&gt;$1&lt;rt&gt;$2&lt;/rt&gt;&lt;/ruby&gt;""
)&amp;""&lt;br&gt;&lt;div class=""""audio""""&gt;[sound:""&amp;C2528&amp;"".mp3]&lt;/div&gt;"""),"&lt;ruby&gt;晴&lt;rt&gt;は&lt;/rt&gt;&lt;/ruby&gt;れる&lt;br&gt;&lt;div class=""audio""&gt;[sound:はれる.mp3]&lt;/div&gt;")</f>
        <v>&lt;ruby&gt;晴&lt;rt&gt;は&lt;/rt&gt;&lt;/ruby&gt;れる&lt;br&gt;&lt;div class="audio"&gt;[sound:はれる.mp3]&lt;/div&gt;</v>
      </c>
      <c r="H2528" s="3" t="str">
        <f t="shared" si="1"/>
        <v>(v): nắng lên</v>
      </c>
      <c r="I2528" s="6" t="s">
        <v>13797</v>
      </c>
      <c r="J2528" s="6" t="s">
        <v>13798</v>
      </c>
      <c r="K2528" s="7">
        <f t="shared" si="2"/>
        <v>0.4385318265</v>
      </c>
    </row>
    <row r="2529">
      <c r="A2529" s="4">
        <v>2529.0</v>
      </c>
      <c r="B2529" s="5" t="s">
        <v>13799</v>
      </c>
      <c r="C2529" s="5" t="s">
        <v>13800</v>
      </c>
      <c r="D2529" s="5" t="s">
        <v>13801</v>
      </c>
      <c r="E2529" s="6" t="s">
        <v>24</v>
      </c>
      <c r="F2529" s="6" t="s">
        <v>13802</v>
      </c>
      <c r="G2529" s="3" t="str">
        <f>IFERROR(__xludf.DUMMYFUNCTION("REGEXREPLACE(
D2529,
""([一-龯々]+)\[([^\]]+)\]"",
""&lt;ruby&gt;$1&lt;rt&gt;$2&lt;/rt&gt;&lt;/ruby&gt;""
)&amp;""&lt;br&gt;&lt;div class=""""audio""""&gt;[sound:""&amp;C2529&amp;"".mp3]&lt;/div&gt;"""),"&lt;ruby&gt;強&lt;rt&gt;つよ&lt;/rt&gt;&lt;/ruby&gt;める&lt;br&gt;&lt;div class=""audio""&gt;[sound:つよめる.mp3]&lt;/div&gt;")</f>
        <v>&lt;ruby&gt;強&lt;rt&gt;つよ&lt;/rt&gt;&lt;/ruby&gt;める&lt;br&gt;&lt;div class="audio"&gt;[sound:つよめる.mp3]&lt;/div&gt;</v>
      </c>
      <c r="H2529" s="3" t="str">
        <f t="shared" si="1"/>
        <v>(v): làm mạnh lên</v>
      </c>
      <c r="I2529" s="6" t="s">
        <v>13803</v>
      </c>
      <c r="J2529" s="6" t="s">
        <v>13804</v>
      </c>
      <c r="K2529" s="7">
        <f t="shared" si="2"/>
        <v>0.6222428553</v>
      </c>
    </row>
    <row r="2530">
      <c r="A2530" s="4">
        <v>2530.0</v>
      </c>
      <c r="B2530" s="5" t="s">
        <v>13805</v>
      </c>
      <c r="C2530" s="5" t="s">
        <v>13806</v>
      </c>
      <c r="D2530" s="5" t="s">
        <v>13807</v>
      </c>
      <c r="E2530" s="6" t="s">
        <v>24</v>
      </c>
      <c r="F2530" s="6" t="s">
        <v>5572</v>
      </c>
      <c r="G2530" s="3" t="str">
        <f>IFERROR(__xludf.DUMMYFUNCTION("REGEXREPLACE(
D2530,
""([一-龯々]+)\[([^\]]+)\]"",
""&lt;ruby&gt;$1&lt;rt&gt;$2&lt;/rt&gt;&lt;/ruby&gt;""
)&amp;""&lt;br&gt;&lt;div class=""""audio""""&gt;[sound:""&amp;C2530&amp;"".mp3]&lt;/div&gt;"""),"&lt;ruby&gt;備&lt;rt&gt;そな&lt;/rt&gt;&lt;/ruby&gt;える&lt;br&gt;&lt;div class=""audio""&gt;[sound:そなえる.mp3]&lt;/div&gt;")</f>
        <v>&lt;ruby&gt;備&lt;rt&gt;そな&lt;/rt&gt;&lt;/ruby&gt;える&lt;br&gt;&lt;div class="audio"&gt;[sound:そなえる.mp3]&lt;/div&gt;</v>
      </c>
      <c r="H2530" s="3" t="str">
        <f t="shared" si="1"/>
        <v>(v): chuẩn bị</v>
      </c>
      <c r="I2530" s="6" t="s">
        <v>13808</v>
      </c>
      <c r="J2530" s="6" t="s">
        <v>13809</v>
      </c>
      <c r="K2530" s="7">
        <f t="shared" si="2"/>
        <v>0.5262577891</v>
      </c>
    </row>
    <row r="2531">
      <c r="A2531" s="4">
        <v>2531.0</v>
      </c>
      <c r="B2531" s="5" t="s">
        <v>13810</v>
      </c>
      <c r="C2531" s="5" t="s">
        <v>13811</v>
      </c>
      <c r="D2531" s="5" t="s">
        <v>13812</v>
      </c>
      <c r="E2531" s="6" t="s">
        <v>74</v>
      </c>
      <c r="F2531" s="6" t="s">
        <v>6899</v>
      </c>
      <c r="G2531" s="3" t="str">
        <f>IFERROR(__xludf.DUMMYFUNCTION("REGEXREPLACE(
D2531,
""([一-龯々]+)\[([^\]]+)\]"",
""&lt;ruby&gt;$1&lt;rt&gt;$2&lt;/rt&gt;&lt;/ruby&gt;""
)&amp;""&lt;br&gt;&lt;div class=""""audio""""&gt;[sound:""&amp;C2531&amp;"".mp3]&lt;/div&gt;"""),"&lt;ruby&gt;気配&lt;rt&gt;けはい&lt;/rt&gt;&lt;/ruby&gt;&lt;br&gt;&lt;div class=""audio""&gt;[sound:けはい.mp3]&lt;/div&gt;")</f>
        <v>&lt;ruby&gt;気配&lt;rt&gt;けはい&lt;/rt&gt;&lt;/ruby&gt;&lt;br&gt;&lt;div class="audio"&gt;[sound:けはい.mp3]&lt;/div&gt;</v>
      </c>
      <c r="H2531" s="3" t="str">
        <f t="shared" si="1"/>
        <v>(n): dấu hiệu</v>
      </c>
      <c r="I2531" s="6" t="s">
        <v>13813</v>
      </c>
      <c r="J2531" s="6" t="s">
        <v>13814</v>
      </c>
      <c r="K2531" s="7">
        <f t="shared" si="2"/>
        <v>0.03632083489</v>
      </c>
    </row>
    <row r="2532">
      <c r="A2532" s="4">
        <v>2532.0</v>
      </c>
      <c r="B2532" s="5" t="s">
        <v>13815</v>
      </c>
      <c r="C2532" s="5" t="s">
        <v>13816</v>
      </c>
      <c r="D2532" s="5" t="s">
        <v>13817</v>
      </c>
      <c r="E2532" s="6" t="s">
        <v>24</v>
      </c>
      <c r="F2532" s="6" t="s">
        <v>7880</v>
      </c>
      <c r="G2532" s="3" t="str">
        <f>IFERROR(__xludf.DUMMYFUNCTION("REGEXREPLACE(
D2532,
""([一-龯々]+)\[([^\]]+)\]"",
""&lt;ruby&gt;$1&lt;rt&gt;$2&lt;/rt&gt;&lt;/ruby&gt;""
)&amp;""&lt;br&gt;&lt;div class=""""audio""""&gt;[sound:""&amp;C2532&amp;"".mp3]&lt;/div&gt;"""),"&lt;ruby&gt;繋&lt;rt&gt;つな&lt;/rt&gt;&lt;/ruby&gt;げる&lt;br&gt;&lt;div class=""audio""&gt;[sound:つなげる.mp3]&lt;/div&gt;")</f>
        <v>&lt;ruby&gt;繋&lt;rt&gt;つな&lt;/rt&gt;&lt;/ruby&gt;げる&lt;br&gt;&lt;div class="audio"&gt;[sound:つなげる.mp3]&lt;/div&gt;</v>
      </c>
      <c r="H2532" s="3" t="str">
        <f t="shared" si="1"/>
        <v>(v): kết nối</v>
      </c>
      <c r="I2532" s="6" t="s">
        <v>13818</v>
      </c>
      <c r="J2532" s="6" t="s">
        <v>13819</v>
      </c>
      <c r="K2532" s="7">
        <f t="shared" si="2"/>
        <v>0.8014897872</v>
      </c>
    </row>
    <row r="2533">
      <c r="A2533" s="4">
        <v>2533.0</v>
      </c>
      <c r="B2533" s="5" t="s">
        <v>13820</v>
      </c>
      <c r="C2533" s="5" t="s">
        <v>13821</v>
      </c>
      <c r="D2533" s="5" t="s">
        <v>13822</v>
      </c>
      <c r="E2533" s="6" t="s">
        <v>24</v>
      </c>
      <c r="F2533" s="6" t="s">
        <v>13823</v>
      </c>
      <c r="G2533" s="3" t="str">
        <f>IFERROR(__xludf.DUMMYFUNCTION("REGEXREPLACE(
D2533,
""([一-龯々]+)\[([^\]]+)\]"",
""&lt;ruby&gt;$1&lt;rt&gt;$2&lt;/rt&gt;&lt;/ruby&gt;""
)&amp;""&lt;br&gt;&lt;div class=""""audio""""&gt;[sound:""&amp;C2533&amp;"".mp3]&lt;/div&gt;"""),"&lt;ruby&gt;補&lt;rt&gt;おぎな&lt;/rt&gt;&lt;/ruby&gt;う&lt;br&gt;&lt;div class=""audio""&gt;[sound:おぎなう.mp3]&lt;/div&gt;")</f>
        <v>&lt;ruby&gt;補&lt;rt&gt;おぎな&lt;/rt&gt;&lt;/ruby&gt;う&lt;br&gt;&lt;div class="audio"&gt;[sound:おぎなう.mp3]&lt;/div&gt;</v>
      </c>
      <c r="H2533" s="3" t="str">
        <f t="shared" si="1"/>
        <v>(v): bổ sung</v>
      </c>
      <c r="I2533" s="6" t="s">
        <v>13824</v>
      </c>
      <c r="J2533" s="6" t="s">
        <v>13825</v>
      </c>
      <c r="K2533" s="7">
        <f t="shared" si="2"/>
        <v>0.4764141957</v>
      </c>
    </row>
    <row r="2534">
      <c r="A2534" s="4">
        <v>2534.0</v>
      </c>
      <c r="B2534" s="5" t="s">
        <v>13826</v>
      </c>
      <c r="C2534" s="5" t="s">
        <v>13827</v>
      </c>
      <c r="D2534" s="5" t="s">
        <v>13828</v>
      </c>
      <c r="E2534" s="6" t="s">
        <v>74</v>
      </c>
      <c r="F2534" s="6" t="s">
        <v>13829</v>
      </c>
      <c r="G2534" s="3" t="str">
        <f>IFERROR(__xludf.DUMMYFUNCTION("REGEXREPLACE(
D2534,
""([一-龯々]+)\[([^\]]+)\]"",
""&lt;ruby&gt;$1&lt;rt&gt;$2&lt;/rt&gt;&lt;/ruby&gt;""
)&amp;""&lt;br&gt;&lt;div class=""""audio""""&gt;[sound:""&amp;C2534&amp;"".mp3]&lt;/div&gt;"""),"&lt;ruby&gt;役所&lt;rt&gt;やくしょ&lt;/rt&gt;&lt;/ruby&gt;&lt;br&gt;&lt;div class=""audio""&gt;[sound:やくしょ.mp3]&lt;/div&gt;")</f>
        <v>&lt;ruby&gt;役所&lt;rt&gt;やくしょ&lt;/rt&gt;&lt;/ruby&gt;&lt;br&gt;&lt;div class="audio"&gt;[sound:やくしょ.mp3]&lt;/div&gt;</v>
      </c>
      <c r="H2534" s="3" t="str">
        <f t="shared" si="1"/>
        <v>(n): cơ quan hành chính</v>
      </c>
      <c r="I2534" s="6" t="s">
        <v>13830</v>
      </c>
      <c r="J2534" s="6" t="s">
        <v>13831</v>
      </c>
      <c r="K2534" s="7">
        <f t="shared" si="2"/>
        <v>0.7120467004</v>
      </c>
    </row>
    <row r="2535">
      <c r="A2535" s="4">
        <v>2535.0</v>
      </c>
      <c r="B2535" s="5" t="s">
        <v>13832</v>
      </c>
      <c r="C2535" s="5" t="s">
        <v>13833</v>
      </c>
      <c r="D2535" s="5" t="s">
        <v>13834</v>
      </c>
      <c r="E2535" s="6" t="s">
        <v>74</v>
      </c>
      <c r="F2535" s="6" t="s">
        <v>13835</v>
      </c>
      <c r="G2535" s="3" t="str">
        <f>IFERROR(__xludf.DUMMYFUNCTION("REGEXREPLACE(
D2535,
""([一-龯々]+)\[([^\]]+)\]"",
""&lt;ruby&gt;$1&lt;rt&gt;$2&lt;/rt&gt;&lt;/ruby&gt;""
)&amp;""&lt;br&gt;&lt;div class=""""audio""""&gt;[sound:""&amp;C2535&amp;"".mp3]&lt;/div&gt;"""),"&lt;ruby&gt;公園&lt;rt&gt;こうえん&lt;/rt&gt;&lt;/ruby&gt;&lt;br&gt;&lt;div class=""audio""&gt;[sound:こうえん.mp3]&lt;/div&gt;")</f>
        <v>&lt;ruby&gt;公園&lt;rt&gt;こうえん&lt;/rt&gt;&lt;/ruby&gt;&lt;br&gt;&lt;div class="audio"&gt;[sound:こうえん.mp3]&lt;/div&gt;</v>
      </c>
      <c r="H2535" s="3" t="str">
        <f t="shared" si="1"/>
        <v>(n): công viên</v>
      </c>
      <c r="I2535" s="6" t="s">
        <v>13836</v>
      </c>
      <c r="J2535" s="6" t="s">
        <v>3323</v>
      </c>
      <c r="K2535" s="7">
        <f t="shared" si="2"/>
        <v>0.9198855572</v>
      </c>
    </row>
    <row r="2536">
      <c r="A2536" s="4">
        <v>2536.0</v>
      </c>
      <c r="B2536" s="5" t="s">
        <v>13837</v>
      </c>
      <c r="C2536" s="5" t="s">
        <v>13838</v>
      </c>
      <c r="D2536" s="5" t="s">
        <v>13839</v>
      </c>
      <c r="E2536" s="6" t="s">
        <v>74</v>
      </c>
      <c r="F2536" s="6" t="s">
        <v>13840</v>
      </c>
      <c r="G2536" s="3" t="str">
        <f>IFERROR(__xludf.DUMMYFUNCTION("REGEXREPLACE(
D2536,
""([一-龯々]+)\[([^\]]+)\]"",
""&lt;ruby&gt;$1&lt;rt&gt;$2&lt;/rt&gt;&lt;/ruby&gt;""
)&amp;""&lt;br&gt;&lt;div class=""""audio""""&gt;[sound:""&amp;C2536&amp;"".mp3]&lt;/div&gt;"""),"&lt;ruby&gt;境&lt;rt&gt;さかい&lt;/rt&gt;&lt;/ruby&gt;&lt;br&gt;&lt;div class=""audio""&gt;[sound:さかい.mp3]&lt;/div&gt;")</f>
        <v>&lt;ruby&gt;境&lt;rt&gt;さかい&lt;/rt&gt;&lt;/ruby&gt;&lt;br&gt;&lt;div class="audio"&gt;[sound:さかい.mp3]&lt;/div&gt;</v>
      </c>
      <c r="H2536" s="3" t="str">
        <f t="shared" si="1"/>
        <v>(n): ranh giới</v>
      </c>
      <c r="I2536" s="6" t="s">
        <v>13841</v>
      </c>
      <c r="J2536" s="6" t="s">
        <v>13842</v>
      </c>
      <c r="K2536" s="7">
        <f t="shared" si="2"/>
        <v>0.1129675886</v>
      </c>
    </row>
    <row r="2537">
      <c r="A2537" s="4">
        <v>2537.0</v>
      </c>
      <c r="B2537" s="5" t="s">
        <v>13843</v>
      </c>
      <c r="C2537" s="5" t="s">
        <v>13844</v>
      </c>
      <c r="D2537" s="5" t="s">
        <v>13845</v>
      </c>
      <c r="E2537" s="6" t="s">
        <v>74</v>
      </c>
      <c r="F2537" s="6" t="s">
        <v>13846</v>
      </c>
      <c r="G2537" s="3" t="str">
        <f>IFERROR(__xludf.DUMMYFUNCTION("REGEXREPLACE(
D2537,
""([一-龯々]+)\[([^\]]+)\]"",
""&lt;ruby&gt;$1&lt;rt&gt;$2&lt;/rt&gt;&lt;/ruby&gt;""
)&amp;""&lt;br&gt;&lt;div class=""""audio""""&gt;[sound:""&amp;C2537&amp;"".mp3]&lt;/div&gt;"""),"&lt;ruby&gt;引用&lt;rt&gt;いんよう&lt;/rt&gt;&lt;/ruby&gt;&lt;br&gt;&lt;div class=""audio""&gt;[sound:いんよう.mp3]&lt;/div&gt;")</f>
        <v>&lt;ruby&gt;引用&lt;rt&gt;いんよう&lt;/rt&gt;&lt;/ruby&gt;&lt;br&gt;&lt;div class="audio"&gt;[sound:いんよう.mp3]&lt;/div&gt;</v>
      </c>
      <c r="H2537" s="3" t="str">
        <f t="shared" si="1"/>
        <v>(n): trích dẫn</v>
      </c>
      <c r="I2537" s="6" t="s">
        <v>13847</v>
      </c>
      <c r="J2537" s="6" t="s">
        <v>13848</v>
      </c>
      <c r="K2537" s="7">
        <f t="shared" si="2"/>
        <v>0.7907723404</v>
      </c>
    </row>
    <row r="2538">
      <c r="A2538" s="4">
        <v>2538.0</v>
      </c>
      <c r="B2538" s="5" t="s">
        <v>13849</v>
      </c>
      <c r="C2538" s="5" t="s">
        <v>13850</v>
      </c>
      <c r="D2538" s="5" t="s">
        <v>13851</v>
      </c>
      <c r="E2538" s="6" t="s">
        <v>24</v>
      </c>
      <c r="F2538" s="6" t="s">
        <v>13852</v>
      </c>
      <c r="G2538" s="3" t="str">
        <f>IFERROR(__xludf.DUMMYFUNCTION("REGEXREPLACE(
D2538,
""([一-龯々]+)\[([^\]]+)\]"",
""&lt;ruby&gt;$1&lt;rt&gt;$2&lt;/rt&gt;&lt;/ruby&gt;""
)&amp;""&lt;br&gt;&lt;div class=""""audio""""&gt;[sound:""&amp;C2538&amp;"".mp3]&lt;/div&gt;"""),"&lt;ruby&gt;憧&lt;rt&gt;あこが&lt;/rt&gt;&lt;/ruby&gt;れる&lt;br&gt;&lt;div class=""audio""&gt;[sound:あこがれる.mp3]&lt;/div&gt;")</f>
        <v>&lt;ruby&gt;憧&lt;rt&gt;あこが&lt;/rt&gt;&lt;/ruby&gt;れる&lt;br&gt;&lt;div class="audio"&gt;[sound:あこがれる.mp3]&lt;/div&gt;</v>
      </c>
      <c r="H2538" s="3" t="str">
        <f t="shared" si="1"/>
        <v>(v): ngưỡng mộ</v>
      </c>
      <c r="I2538" s="6" t="s">
        <v>13853</v>
      </c>
      <c r="J2538" s="6" t="s">
        <v>13854</v>
      </c>
      <c r="K2538" s="7">
        <f t="shared" si="2"/>
        <v>0.4557086573</v>
      </c>
    </row>
    <row r="2539">
      <c r="A2539" s="4">
        <v>2539.0</v>
      </c>
      <c r="B2539" s="5" t="s">
        <v>13855</v>
      </c>
      <c r="C2539" s="5" t="s">
        <v>13856</v>
      </c>
      <c r="D2539" s="5" t="s">
        <v>13857</v>
      </c>
      <c r="E2539" s="6" t="s">
        <v>74</v>
      </c>
      <c r="F2539" s="6" t="s">
        <v>13858</v>
      </c>
      <c r="G2539" s="3" t="str">
        <f>IFERROR(__xludf.DUMMYFUNCTION("REGEXREPLACE(
D2539,
""([一-龯々]+)\[([^\]]+)\]"",
""&lt;ruby&gt;$1&lt;rt&gt;$2&lt;/rt&gt;&lt;/ruby&gt;""
)&amp;""&lt;br&gt;&lt;div class=""""audio""""&gt;[sound:""&amp;C2539&amp;"".mp3]&lt;/div&gt;"""),"&lt;ruby&gt;首相&lt;rt&gt;しゅしょう&lt;/rt&gt;&lt;/ruby&gt;&lt;br&gt;&lt;div class=""audio""&gt;[sound:しゅしょう.mp3]&lt;/div&gt;")</f>
        <v>&lt;ruby&gt;首相&lt;rt&gt;しゅしょう&lt;/rt&gt;&lt;/ruby&gt;&lt;br&gt;&lt;div class="audio"&gt;[sound:しゅしょう.mp3]&lt;/div&gt;</v>
      </c>
      <c r="H2539" s="3" t="str">
        <f t="shared" si="1"/>
        <v>(n): thủ tướng</v>
      </c>
      <c r="I2539" s="6" t="s">
        <v>13859</v>
      </c>
      <c r="J2539" s="6" t="s">
        <v>13860</v>
      </c>
      <c r="K2539" s="7">
        <f t="shared" si="2"/>
        <v>0.9804011177</v>
      </c>
    </row>
    <row r="2540">
      <c r="A2540" s="4">
        <v>2540.0</v>
      </c>
      <c r="B2540" s="5" t="s">
        <v>13861</v>
      </c>
      <c r="C2540" s="5" t="s">
        <v>2406</v>
      </c>
      <c r="D2540" s="5" t="s">
        <v>13862</v>
      </c>
      <c r="E2540" s="6" t="s">
        <v>85</v>
      </c>
      <c r="F2540" s="6" t="s">
        <v>2407</v>
      </c>
      <c r="G2540" s="3" t="str">
        <f>IFERROR(__xludf.DUMMYFUNCTION("REGEXREPLACE(
D2540,
""([一-龯々]+)\[([^\]]+)\]"",
""&lt;ruby&gt;$1&lt;rt&gt;$2&lt;/rt&gt;&lt;/ruby&gt;""
)&amp;""&lt;br&gt;&lt;div class=""""audio""""&gt;[sound:""&amp;C2540&amp;"".mp3]&lt;/div&gt;"""),"&lt;ruby&gt;只&lt;rt&gt;ただ&lt;/rt&gt;&lt;/ruby&gt;&lt;br&gt;&lt;div class=""audio""&gt;[sound:ただ.mp3]&lt;/div&gt;")</f>
        <v>&lt;ruby&gt;只&lt;rt&gt;ただ&lt;/rt&gt;&lt;/ruby&gt;&lt;br&gt;&lt;div class="audio"&gt;[sound:ただ.mp3]&lt;/div&gt;</v>
      </c>
      <c r="H2540" s="3" t="str">
        <f t="shared" si="1"/>
        <v>(adv): miễn phí</v>
      </c>
      <c r="I2540" s="6" t="s">
        <v>13863</v>
      </c>
      <c r="J2540" s="6" t="s">
        <v>13864</v>
      </c>
      <c r="K2540" s="7">
        <f t="shared" si="2"/>
        <v>0.8324982546</v>
      </c>
    </row>
    <row r="2541">
      <c r="A2541" s="4">
        <v>2541.0</v>
      </c>
      <c r="B2541" s="5" t="s">
        <v>13865</v>
      </c>
      <c r="C2541" s="5" t="s">
        <v>13866</v>
      </c>
      <c r="D2541" s="5" t="s">
        <v>13867</v>
      </c>
      <c r="E2541" s="6" t="s">
        <v>74</v>
      </c>
      <c r="F2541" s="6" t="s">
        <v>13868</v>
      </c>
      <c r="G2541" s="3" t="str">
        <f>IFERROR(__xludf.DUMMYFUNCTION("REGEXREPLACE(
D2541,
""([一-龯々]+)\[([^\]]+)\]"",
""&lt;ruby&gt;$1&lt;rt&gt;$2&lt;/rt&gt;&lt;/ruby&gt;""
)&amp;""&lt;br&gt;&lt;div class=""""audio""""&gt;[sound:""&amp;C2541&amp;"".mp3]&lt;/div&gt;"""),"&lt;ruby&gt;封筒&lt;rt&gt;ふうとう&lt;/rt&gt;&lt;/ruby&gt;&lt;br&gt;&lt;div class=""audio""&gt;[sound:ふうとう.mp3]&lt;/div&gt;")</f>
        <v>&lt;ruby&gt;封筒&lt;rt&gt;ふうとう&lt;/rt&gt;&lt;/ruby&gt;&lt;br&gt;&lt;div class="audio"&gt;[sound:ふうとう.mp3]&lt;/div&gt;</v>
      </c>
      <c r="H2541" s="3" t="str">
        <f t="shared" si="1"/>
        <v>(n): phong bì</v>
      </c>
      <c r="I2541" s="6" t="s">
        <v>13869</v>
      </c>
      <c r="J2541" s="6" t="s">
        <v>13870</v>
      </c>
      <c r="K2541" s="7">
        <f t="shared" si="2"/>
        <v>0.3326263776</v>
      </c>
    </row>
    <row r="2542">
      <c r="A2542" s="4">
        <v>2542.0</v>
      </c>
      <c r="B2542" s="5" t="s">
        <v>13871</v>
      </c>
      <c r="C2542" s="5" t="s">
        <v>13872</v>
      </c>
      <c r="D2542" s="5" t="s">
        <v>13873</v>
      </c>
      <c r="E2542" s="6" t="s">
        <v>74</v>
      </c>
      <c r="F2542" s="6" t="s">
        <v>13874</v>
      </c>
      <c r="G2542" s="3" t="str">
        <f>IFERROR(__xludf.DUMMYFUNCTION("REGEXREPLACE(
D2542,
""([一-龯々]+)\[([^\]]+)\]"",
""&lt;ruby&gt;$1&lt;rt&gt;$2&lt;/rt&gt;&lt;/ruby&gt;""
)&amp;""&lt;br&gt;&lt;div class=""""audio""""&gt;[sound:""&amp;C2542&amp;"".mp3]&lt;/div&gt;"""),"&lt;ruby&gt;説&lt;rt&gt;せつ&lt;/rt&gt;&lt;/ruby&gt;&lt;br&gt;&lt;div class=""audio""&gt;[sound:せつ.mp3]&lt;/div&gt;")</f>
        <v>&lt;ruby&gt;説&lt;rt&gt;せつ&lt;/rt&gt;&lt;/ruby&gt;&lt;br&gt;&lt;div class="audio"&gt;[sound:せつ.mp3]&lt;/div&gt;</v>
      </c>
      <c r="H2542" s="3" t="str">
        <f t="shared" si="1"/>
        <v>(n): thuyết</v>
      </c>
      <c r="I2542" s="6" t="s">
        <v>13875</v>
      </c>
      <c r="J2542" s="6" t="s">
        <v>13876</v>
      </c>
      <c r="K2542" s="7">
        <f t="shared" si="2"/>
        <v>0.4639971623</v>
      </c>
    </row>
    <row r="2543">
      <c r="A2543" s="4">
        <v>2543.0</v>
      </c>
      <c r="B2543" s="5" t="s">
        <v>13877</v>
      </c>
      <c r="C2543" s="5" t="s">
        <v>13878</v>
      </c>
      <c r="D2543" s="5" t="s">
        <v>13879</v>
      </c>
      <c r="E2543" s="6" t="s">
        <v>74</v>
      </c>
      <c r="F2543" s="6" t="s">
        <v>13880</v>
      </c>
      <c r="G2543" s="3" t="str">
        <f>IFERROR(__xludf.DUMMYFUNCTION("REGEXREPLACE(
D2543,
""([一-龯々]+)\[([^\]]+)\]"",
""&lt;ruby&gt;$1&lt;rt&gt;$2&lt;/rt&gt;&lt;/ruby&gt;""
)&amp;""&lt;br&gt;&lt;div class=""""audio""""&gt;[sound:""&amp;C2543&amp;"".mp3]&lt;/div&gt;"""),"&lt;ruby&gt;波&lt;rt&gt;なみ&lt;/rt&gt;&lt;/ruby&gt;&lt;br&gt;&lt;div class=""audio""&gt;[sound:なみ.mp3]&lt;/div&gt;")</f>
        <v>&lt;ruby&gt;波&lt;rt&gt;なみ&lt;/rt&gt;&lt;/ruby&gt;&lt;br&gt;&lt;div class="audio"&gt;[sound:なみ.mp3]&lt;/div&gt;</v>
      </c>
      <c r="H2543" s="3" t="str">
        <f t="shared" si="1"/>
        <v>(n): sóng</v>
      </c>
      <c r="I2543" s="6" t="s">
        <v>13881</v>
      </c>
      <c r="J2543" s="6" t="s">
        <v>13882</v>
      </c>
      <c r="K2543" s="7">
        <f t="shared" si="2"/>
        <v>0.5065198066</v>
      </c>
    </row>
    <row r="2544">
      <c r="A2544" s="4">
        <v>2544.0</v>
      </c>
      <c r="B2544" s="5" t="s">
        <v>13883</v>
      </c>
      <c r="C2544" s="5" t="s">
        <v>13884</v>
      </c>
      <c r="D2544" s="5" t="s">
        <v>13885</v>
      </c>
      <c r="E2544" s="6" t="s">
        <v>74</v>
      </c>
      <c r="F2544" s="6" t="s">
        <v>13886</v>
      </c>
      <c r="G2544" s="3" t="str">
        <f>IFERROR(__xludf.DUMMYFUNCTION("REGEXREPLACE(
D2544,
""([一-龯々]+)\[([^\]]+)\]"",
""&lt;ruby&gt;$1&lt;rt&gt;$2&lt;/rt&gt;&lt;/ruby&gt;""
)&amp;""&lt;br&gt;&lt;div class=""""audio""""&gt;[sound:""&amp;C2544&amp;"".mp3]&lt;/div&gt;"""),"&lt;ruby&gt;美術館&lt;rt&gt;びじゅつかん&lt;/rt&gt;&lt;/ruby&gt;&lt;br&gt;&lt;div class=""audio""&gt;[sound:びじゅつかん.mp3]&lt;/div&gt;")</f>
        <v>&lt;ruby&gt;美術館&lt;rt&gt;びじゅつかん&lt;/rt&gt;&lt;/ruby&gt;&lt;br&gt;&lt;div class="audio"&gt;[sound:びじゅつかん.mp3]&lt;/div&gt;</v>
      </c>
      <c r="H2544" s="3" t="str">
        <f t="shared" si="1"/>
        <v>(n): bảo tàng mỹ thuật</v>
      </c>
      <c r="I2544" s="6" t="s">
        <v>13887</v>
      </c>
      <c r="J2544" s="6" t="s">
        <v>13888</v>
      </c>
      <c r="K2544" s="7">
        <f t="shared" si="2"/>
        <v>0.8110819907</v>
      </c>
    </row>
    <row r="2545">
      <c r="A2545" s="4">
        <v>2545.0</v>
      </c>
      <c r="B2545" s="5" t="s">
        <v>13889</v>
      </c>
      <c r="C2545" s="5" t="s">
        <v>13890</v>
      </c>
      <c r="D2545" s="5" t="s">
        <v>13889</v>
      </c>
      <c r="E2545" s="6" t="s">
        <v>74</v>
      </c>
      <c r="F2545" s="6" t="s">
        <v>13891</v>
      </c>
      <c r="G2545" s="3" t="str">
        <f>IFERROR(__xludf.DUMMYFUNCTION("REGEXREPLACE(
D2545,
""([一-龯々]+)\[([^\]]+)\]"",
""&lt;ruby&gt;$1&lt;rt&gt;$2&lt;/rt&gt;&lt;/ruby&gt;""
)&amp;""&lt;br&gt;&lt;div class=""""audio""""&gt;[sound:""&amp;C2545&amp;"".mp3]&lt;/div&gt;"""),"ハンバーグ&lt;br&gt;&lt;div class=""audio""&gt;[sound:はんばーぐ.mp3]&lt;/div&gt;")</f>
        <v>ハンバーグ&lt;br&gt;&lt;div class="audio"&gt;[sound:はんばーぐ.mp3]&lt;/div&gt;</v>
      </c>
      <c r="H2545" s="3" t="str">
        <f t="shared" si="1"/>
        <v>(n): bít tết thịt băm</v>
      </c>
      <c r="I2545" s="6" t="s">
        <v>13892</v>
      </c>
      <c r="J2545" s="6" t="s">
        <v>13893</v>
      </c>
      <c r="K2545" s="7">
        <f t="shared" si="2"/>
        <v>0.5960601446</v>
      </c>
    </row>
    <row r="2546">
      <c r="A2546" s="4">
        <v>2546.0</v>
      </c>
      <c r="B2546" s="5" t="s">
        <v>13894</v>
      </c>
      <c r="C2546" s="5" t="s">
        <v>13895</v>
      </c>
      <c r="D2546" s="5" t="s">
        <v>13896</v>
      </c>
      <c r="E2546" s="6" t="s">
        <v>74</v>
      </c>
      <c r="F2546" s="6" t="s">
        <v>13897</v>
      </c>
      <c r="G2546" s="3" t="str">
        <f>IFERROR(__xludf.DUMMYFUNCTION("REGEXREPLACE(
D2546,
""([一-龯々]+)\[([^\]]+)\]"",
""&lt;ruby&gt;$1&lt;rt&gt;$2&lt;/rt&gt;&lt;/ruby&gt;""
)&amp;""&lt;br&gt;&lt;div class=""""audio""""&gt;[sound:""&amp;C2546&amp;"".mp3]&lt;/div&gt;"""),"&lt;ruby&gt;天気予報&lt;rt&gt;てんきよほう&lt;/rt&gt;&lt;/ruby&gt;&lt;br&gt;&lt;div class=""audio""&gt;[sound:てんきよほう.mp3]&lt;/div&gt;")</f>
        <v>&lt;ruby&gt;天気予報&lt;rt&gt;てんきよほう&lt;/rt&gt;&lt;/ruby&gt;&lt;br&gt;&lt;div class="audio"&gt;[sound:てんきよほう.mp3]&lt;/div&gt;</v>
      </c>
      <c r="H2546" s="3" t="str">
        <f t="shared" si="1"/>
        <v>(n): dự báo thời tiết</v>
      </c>
      <c r="I2546" s="6" t="s">
        <v>13898</v>
      </c>
      <c r="J2546" s="6" t="s">
        <v>13899</v>
      </c>
      <c r="K2546" s="7">
        <f t="shared" si="2"/>
        <v>0.3120843767</v>
      </c>
    </row>
    <row r="2547">
      <c r="A2547" s="4">
        <v>2547.0</v>
      </c>
      <c r="B2547" s="5" t="s">
        <v>13900</v>
      </c>
      <c r="C2547" s="5" t="s">
        <v>13901</v>
      </c>
      <c r="D2547" s="5" t="s">
        <v>13902</v>
      </c>
      <c r="E2547" s="6" t="s">
        <v>11</v>
      </c>
      <c r="F2547" s="6" t="s">
        <v>13903</v>
      </c>
      <c r="G2547" s="3" t="str">
        <f>IFERROR(__xludf.DUMMYFUNCTION("REGEXREPLACE(
D2547,
""([一-龯々]+)\[([^\]]+)\]"",
""&lt;ruby&gt;$1&lt;rt&gt;$2&lt;/rt&gt;&lt;/ruby&gt;""
)&amp;""&lt;br&gt;&lt;div class=""""audio""""&gt;[sound:""&amp;C2547&amp;"".mp3]&lt;/div&gt;"""),"&lt;ruby&gt;悔&lt;rt&gt;くや&lt;/rt&gt;&lt;/ruby&gt;しい&lt;br&gt;&lt;div class=""audio""&gt;[sound:くやしい.mp3]&lt;/div&gt;")</f>
        <v>&lt;ruby&gt;悔&lt;rt&gt;くや&lt;/rt&gt;&lt;/ruby&gt;しい&lt;br&gt;&lt;div class="audio"&gt;[sound:くやしい.mp3]&lt;/div&gt;</v>
      </c>
      <c r="H2547" s="3" t="str">
        <f t="shared" si="1"/>
        <v>(adj): đáng tiếc</v>
      </c>
      <c r="I2547" s="6" t="s">
        <v>13904</v>
      </c>
      <c r="J2547" s="6" t="s">
        <v>13905</v>
      </c>
      <c r="K2547" s="7">
        <f t="shared" si="2"/>
        <v>0.5579934332</v>
      </c>
    </row>
    <row r="2548">
      <c r="A2548" s="4">
        <v>2548.0</v>
      </c>
      <c r="B2548" s="5" t="s">
        <v>13906</v>
      </c>
      <c r="C2548" s="5" t="s">
        <v>13907</v>
      </c>
      <c r="D2548" s="5" t="s">
        <v>13908</v>
      </c>
      <c r="E2548" s="6" t="s">
        <v>85</v>
      </c>
      <c r="F2548" s="6" t="s">
        <v>13909</v>
      </c>
      <c r="G2548" s="3" t="str">
        <f>IFERROR(__xludf.DUMMYFUNCTION("REGEXREPLACE(
D2548,
""([一-龯々]+)\[([^\]]+)\]"",
""&lt;ruby&gt;$1&lt;rt&gt;$2&lt;/rt&gt;&lt;/ruby&gt;""
)&amp;""&lt;br&gt;&lt;div class=""""audio""""&gt;[sound:""&amp;C2548&amp;"".mp3]&lt;/div&gt;"""),"&lt;ruby&gt;寧&lt;rt&gt;むし&lt;/rt&gt;&lt;/ruby&gt;ろ&lt;br&gt;&lt;div class=""audio""&gt;[sound:むしろ.mp3]&lt;/div&gt;")</f>
        <v>&lt;ruby&gt;寧&lt;rt&gt;むし&lt;/rt&gt;&lt;/ruby&gt;ろ&lt;br&gt;&lt;div class="audio"&gt;[sound:むしろ.mp3]&lt;/div&gt;</v>
      </c>
      <c r="H2548" s="3" t="str">
        <f t="shared" si="1"/>
        <v>(adv): thà rằng</v>
      </c>
      <c r="I2548" s="6" t="s">
        <v>13910</v>
      </c>
      <c r="J2548" s="6" t="s">
        <v>13911</v>
      </c>
      <c r="K2548" s="7">
        <f t="shared" si="2"/>
        <v>0.6125600174</v>
      </c>
    </row>
    <row r="2549">
      <c r="A2549" s="4">
        <v>2549.0</v>
      </c>
      <c r="B2549" s="5" t="s">
        <v>13912</v>
      </c>
      <c r="C2549" s="5" t="s">
        <v>13913</v>
      </c>
      <c r="D2549" s="5" t="s">
        <v>13914</v>
      </c>
      <c r="E2549" s="6" t="s">
        <v>74</v>
      </c>
      <c r="F2549" s="6" t="s">
        <v>13915</v>
      </c>
      <c r="G2549" s="3" t="str">
        <f>IFERROR(__xludf.DUMMYFUNCTION("REGEXREPLACE(
D2549,
""([一-龯々]+)\[([^\]]+)\]"",
""&lt;ruby&gt;$1&lt;rt&gt;$2&lt;/rt&gt;&lt;/ruby&gt;""
)&amp;""&lt;br&gt;&lt;div class=""""audio""""&gt;[sound:""&amp;C2549&amp;"".mp3]&lt;/div&gt;"""),"&lt;ruby&gt;短期&lt;rt&gt;たんき&lt;/rt&gt;&lt;/ruby&gt;&lt;br&gt;&lt;div class=""audio""&gt;[sound:たんき.mp3]&lt;/div&gt;")</f>
        <v>&lt;ruby&gt;短期&lt;rt&gt;たんき&lt;/rt&gt;&lt;/ruby&gt;&lt;br&gt;&lt;div class="audio"&gt;[sound:たんき.mp3]&lt;/div&gt;</v>
      </c>
      <c r="H2549" s="3" t="str">
        <f t="shared" si="1"/>
        <v>(n): ngắn hạn</v>
      </c>
      <c r="I2549" s="6" t="s">
        <v>13916</v>
      </c>
      <c r="J2549" s="6" t="s">
        <v>13917</v>
      </c>
      <c r="K2549" s="7">
        <f t="shared" si="2"/>
        <v>0.7007427854</v>
      </c>
    </row>
    <row r="2550">
      <c r="A2550" s="4">
        <v>2550.0</v>
      </c>
      <c r="B2550" s="5" t="s">
        <v>13918</v>
      </c>
      <c r="C2550" s="5" t="s">
        <v>13919</v>
      </c>
      <c r="D2550" s="5" t="s">
        <v>13920</v>
      </c>
      <c r="E2550" s="6" t="s">
        <v>74</v>
      </c>
      <c r="F2550" s="6" t="s">
        <v>13921</v>
      </c>
      <c r="G2550" s="3" t="str">
        <f>IFERROR(__xludf.DUMMYFUNCTION("REGEXREPLACE(
D2550,
""([一-龯々]+)\[([^\]]+)\]"",
""&lt;ruby&gt;$1&lt;rt&gt;$2&lt;/rt&gt;&lt;/ruby&gt;""
)&amp;""&lt;br&gt;&lt;div class=""""audio""""&gt;[sound:""&amp;C2550&amp;"".mp3]&lt;/div&gt;"""),"&lt;ruby&gt;窓口&lt;rt&gt;まどぐち&lt;/rt&gt;&lt;/ruby&gt;&lt;br&gt;&lt;div class=""audio""&gt;[sound:まどぐち.mp3]&lt;/div&gt;")</f>
        <v>&lt;ruby&gt;窓口&lt;rt&gt;まどぐち&lt;/rt&gt;&lt;/ruby&gt;&lt;br&gt;&lt;div class="audio"&gt;[sound:まどぐち.mp3]&lt;/div&gt;</v>
      </c>
      <c r="H2550" s="3" t="str">
        <f t="shared" si="1"/>
        <v>(n): cửa quầy</v>
      </c>
      <c r="I2550" s="6" t="s">
        <v>13922</v>
      </c>
      <c r="J2550" s="6" t="s">
        <v>13923</v>
      </c>
      <c r="K2550" s="7">
        <f t="shared" si="2"/>
        <v>0.7111385666</v>
      </c>
    </row>
    <row r="2551">
      <c r="A2551" s="4">
        <v>2551.0</v>
      </c>
      <c r="B2551" s="5" t="s">
        <v>13924</v>
      </c>
      <c r="C2551" s="5" t="s">
        <v>13925</v>
      </c>
      <c r="D2551" s="5" t="s">
        <v>13926</v>
      </c>
      <c r="E2551" s="6" t="s">
        <v>74</v>
      </c>
      <c r="F2551" s="6" t="s">
        <v>13927</v>
      </c>
      <c r="G2551" s="3" t="str">
        <f>IFERROR(__xludf.DUMMYFUNCTION("REGEXREPLACE(
D2551,
""([一-龯々]+)\[([^\]]+)\]"",
""&lt;ruby&gt;$1&lt;rt&gt;$2&lt;/rt&gt;&lt;/ruby&gt;""
)&amp;""&lt;br&gt;&lt;div class=""""audio""""&gt;[sound:""&amp;C2551&amp;"".mp3]&lt;/div&gt;"""),"&lt;ruby&gt;夜中&lt;rt&gt;よなか&lt;/rt&gt;&lt;/ruby&gt;&lt;br&gt;&lt;div class=""audio""&gt;[sound:よなか.mp3]&lt;/div&gt;")</f>
        <v>&lt;ruby&gt;夜中&lt;rt&gt;よなか&lt;/rt&gt;&lt;/ruby&gt;&lt;br&gt;&lt;div class="audio"&gt;[sound:よなか.mp3]&lt;/div&gt;</v>
      </c>
      <c r="H2551" s="3" t="str">
        <f t="shared" si="1"/>
        <v>(n): nửa đêm</v>
      </c>
      <c r="I2551" s="6" t="s">
        <v>13928</v>
      </c>
      <c r="J2551" s="6" t="s">
        <v>13929</v>
      </c>
      <c r="K2551" s="7">
        <f t="shared" si="2"/>
        <v>0.4973675977</v>
      </c>
    </row>
    <row r="2552">
      <c r="A2552" s="4">
        <v>2552.0</v>
      </c>
      <c r="B2552" s="5" t="s">
        <v>13930</v>
      </c>
      <c r="C2552" s="5" t="s">
        <v>13931</v>
      </c>
      <c r="D2552" s="5" t="s">
        <v>13932</v>
      </c>
      <c r="E2552" s="6" t="s">
        <v>24</v>
      </c>
      <c r="F2552" s="6" t="s">
        <v>13933</v>
      </c>
      <c r="G2552" s="3" t="str">
        <f>IFERROR(__xludf.DUMMYFUNCTION("REGEXREPLACE(
D2552,
""([一-龯々]+)\[([^\]]+)\]"",
""&lt;ruby&gt;$1&lt;rt&gt;$2&lt;/rt&gt;&lt;/ruby&gt;""
)&amp;""&lt;br&gt;&lt;div class=""""audio""""&gt;[sound:""&amp;C2552&amp;"".mp3]&lt;/div&gt;"""),"&lt;ruby&gt;思&lt;rt&gt;おも&lt;/rt&gt;&lt;/ruby&gt;い&lt;ruby&gt;付&lt;rt&gt;つ&lt;/rt&gt;&lt;/ruby&gt;く&lt;br&gt;&lt;div class=""audio""&gt;[sound:おもいつく.mp3]&lt;/div&gt;")</f>
        <v>&lt;ruby&gt;思&lt;rt&gt;おも&lt;/rt&gt;&lt;/ruby&gt;い&lt;ruby&gt;付&lt;rt&gt;つ&lt;/rt&gt;&lt;/ruby&gt;く&lt;br&gt;&lt;div class="audio"&gt;[sound:おもいつく.mp3]&lt;/div&gt;</v>
      </c>
      <c r="H2552" s="3" t="str">
        <f t="shared" si="1"/>
        <v>(v): sực nhớ</v>
      </c>
      <c r="I2552" s="6" t="s">
        <v>13934</v>
      </c>
      <c r="J2552" s="6" t="s">
        <v>13935</v>
      </c>
      <c r="K2552" s="7">
        <f t="shared" si="2"/>
        <v>0.4158494533</v>
      </c>
    </row>
    <row r="2553">
      <c r="A2553" s="4">
        <v>2553.0</v>
      </c>
      <c r="B2553" s="5" t="s">
        <v>13936</v>
      </c>
      <c r="C2553" s="5" t="s">
        <v>13937</v>
      </c>
      <c r="D2553" s="5" t="s">
        <v>13938</v>
      </c>
      <c r="E2553" s="6" t="s">
        <v>24</v>
      </c>
      <c r="F2553" s="6" t="s">
        <v>13939</v>
      </c>
      <c r="G2553" s="3" t="str">
        <f>IFERROR(__xludf.DUMMYFUNCTION("REGEXREPLACE(
D2553,
""([一-龯々]+)\[([^\]]+)\]"",
""&lt;ruby&gt;$1&lt;rt&gt;$2&lt;/rt&gt;&lt;/ruby&gt;""
)&amp;""&lt;br&gt;&lt;div class=""""audio""""&gt;[sound:""&amp;C2553&amp;"".mp3]&lt;/div&gt;"""),"&lt;ruby&gt;無&lt;rt&gt;な&lt;/rt&gt;&lt;/ruby&gt;くす&lt;br&gt;&lt;div class=""audio""&gt;[sound:なくす.mp3]&lt;/div&gt;")</f>
        <v>&lt;ruby&gt;無&lt;rt&gt;な&lt;/rt&gt;&lt;/ruby&gt;くす&lt;br&gt;&lt;div class="audio"&gt;[sound:なくす.mp3]&lt;/div&gt;</v>
      </c>
      <c r="H2553" s="3" t="str">
        <f t="shared" si="1"/>
        <v>(v): làm mất</v>
      </c>
      <c r="I2553" s="6" t="s">
        <v>13940</v>
      </c>
      <c r="J2553" s="6" t="s">
        <v>13941</v>
      </c>
      <c r="K2553" s="7">
        <f t="shared" si="2"/>
        <v>0.2855484084</v>
      </c>
    </row>
    <row r="2554">
      <c r="A2554" s="4">
        <v>2554.0</v>
      </c>
      <c r="B2554" s="5" t="s">
        <v>13942</v>
      </c>
      <c r="C2554" s="5" t="s">
        <v>13943</v>
      </c>
      <c r="D2554" s="5" t="s">
        <v>13944</v>
      </c>
      <c r="E2554" s="6" t="s">
        <v>74</v>
      </c>
      <c r="F2554" s="6" t="s">
        <v>13945</v>
      </c>
      <c r="G2554" s="3" t="str">
        <f>IFERROR(__xludf.DUMMYFUNCTION("REGEXREPLACE(
D2554,
""([一-龯々]+)\[([^\]]+)\]"",
""&lt;ruby&gt;$1&lt;rt&gt;$2&lt;/rt&gt;&lt;/ruby&gt;""
)&amp;""&lt;br&gt;&lt;div class=""""audio""""&gt;[sound:""&amp;C2554&amp;"".mp3]&lt;/div&gt;"""),"&lt;ruby&gt;敵&lt;rt&gt;てき&lt;/rt&gt;&lt;/ruby&gt;&lt;br&gt;&lt;div class=""audio""&gt;[sound:てき.mp3]&lt;/div&gt;")</f>
        <v>&lt;ruby&gt;敵&lt;rt&gt;てき&lt;/rt&gt;&lt;/ruby&gt;&lt;br&gt;&lt;div class="audio"&gt;[sound:てき.mp3]&lt;/div&gt;</v>
      </c>
      <c r="H2554" s="3" t="str">
        <f t="shared" si="1"/>
        <v>(n): kẻ thù</v>
      </c>
      <c r="I2554" s="6" t="s">
        <v>13946</v>
      </c>
      <c r="J2554" s="6" t="s">
        <v>13947</v>
      </c>
      <c r="K2554" s="7">
        <f t="shared" si="2"/>
        <v>0.9422883413</v>
      </c>
    </row>
    <row r="2555">
      <c r="A2555" s="4">
        <v>2555.0</v>
      </c>
      <c r="B2555" s="5" t="s">
        <v>13948</v>
      </c>
      <c r="C2555" s="5" t="s">
        <v>13949</v>
      </c>
      <c r="D2555" s="5" t="s">
        <v>13950</v>
      </c>
      <c r="E2555" s="6" t="s">
        <v>74</v>
      </c>
      <c r="F2555" s="6" t="s">
        <v>13951</v>
      </c>
      <c r="G2555" s="3" t="str">
        <f>IFERROR(__xludf.DUMMYFUNCTION("REGEXREPLACE(
D2555,
""([一-龯々]+)\[([^\]]+)\]"",
""&lt;ruby&gt;$1&lt;rt&gt;$2&lt;/rt&gt;&lt;/ruby&gt;""
)&amp;""&lt;br&gt;&lt;div class=""""audio""""&gt;[sound:""&amp;C2555&amp;"".mp3]&lt;/div&gt;"""),"&lt;ruby&gt;角度&lt;rt&gt;かくど&lt;/rt&gt;&lt;/ruby&gt;&lt;br&gt;&lt;div class=""audio""&gt;[sound:かくど.mp3]&lt;/div&gt;")</f>
        <v>&lt;ruby&gt;角度&lt;rt&gt;かくど&lt;/rt&gt;&lt;/ruby&gt;&lt;br&gt;&lt;div class="audio"&gt;[sound:かくど.mp3]&lt;/div&gt;</v>
      </c>
      <c r="H2555" s="3" t="str">
        <f t="shared" si="1"/>
        <v>(n): góc độ</v>
      </c>
      <c r="I2555" s="6" t="s">
        <v>13952</v>
      </c>
      <c r="J2555" s="6" t="s">
        <v>13953</v>
      </c>
      <c r="K2555" s="7">
        <f t="shared" si="2"/>
        <v>0.9419760261</v>
      </c>
    </row>
    <row r="2556">
      <c r="A2556" s="4">
        <v>2556.0</v>
      </c>
      <c r="B2556" s="5" t="s">
        <v>13954</v>
      </c>
      <c r="C2556" s="5" t="s">
        <v>13955</v>
      </c>
      <c r="D2556" s="5" t="s">
        <v>13956</v>
      </c>
      <c r="E2556" s="6" t="s">
        <v>74</v>
      </c>
      <c r="F2556" s="6" t="s">
        <v>13957</v>
      </c>
      <c r="G2556" s="3" t="str">
        <f>IFERROR(__xludf.DUMMYFUNCTION("REGEXREPLACE(
D2556,
""([一-龯々]+)\[([^\]]+)\]"",
""&lt;ruby&gt;$1&lt;rt&gt;$2&lt;/rt&gt;&lt;/ruby&gt;""
)&amp;""&lt;br&gt;&lt;div class=""""audio""""&gt;[sound:""&amp;C2556&amp;"".mp3]&lt;/div&gt;"""),"&lt;ruby&gt;票&lt;rt&gt;ひょう&lt;/rt&gt;&lt;/ruby&gt;&lt;br&gt;&lt;div class=""audio""&gt;[sound:ひょう.mp3]&lt;/div&gt;")</f>
        <v>&lt;ruby&gt;票&lt;rt&gt;ひょう&lt;/rt&gt;&lt;/ruby&gt;&lt;br&gt;&lt;div class="audio"&gt;[sound:ひょう.mp3]&lt;/div&gt;</v>
      </c>
      <c r="H2556" s="3" t="str">
        <f t="shared" si="1"/>
        <v>(n): phiếu</v>
      </c>
      <c r="I2556" s="6" t="s">
        <v>13958</v>
      </c>
      <c r="J2556" s="6" t="s">
        <v>13959</v>
      </c>
      <c r="K2556" s="7">
        <f t="shared" si="2"/>
        <v>0.01796746457</v>
      </c>
    </row>
    <row r="2557">
      <c r="A2557" s="4">
        <v>2557.0</v>
      </c>
      <c r="B2557" s="5" t="s">
        <v>13960</v>
      </c>
      <c r="C2557" s="5" t="s">
        <v>13961</v>
      </c>
      <c r="D2557" s="5" t="s">
        <v>13962</v>
      </c>
      <c r="E2557" s="6" t="s">
        <v>11</v>
      </c>
      <c r="F2557" s="6" t="s">
        <v>13963</v>
      </c>
      <c r="G2557" s="3" t="str">
        <f>IFERROR(__xludf.DUMMYFUNCTION("REGEXREPLACE(
D2557,
""([一-龯々]+)\[([^\]]+)\]"",
""&lt;ruby&gt;$1&lt;rt&gt;$2&lt;/rt&gt;&lt;/ruby&gt;""
)&amp;""&lt;br&gt;&lt;div class=""""audio""""&gt;[sound:""&amp;C2557&amp;"".mp3]&lt;/div&gt;"""),"&lt;ruby&gt;馬鹿&lt;rt&gt;ばか&lt;/rt&gt;&lt;/ruby&gt;&lt;br&gt;&lt;div class=""audio""&gt;[sound:ばか.mp3]&lt;/div&gt;")</f>
        <v>&lt;ruby&gt;馬鹿&lt;rt&gt;ばか&lt;/rt&gt;&lt;/ruby&gt;&lt;br&gt;&lt;div class="audio"&gt;[sound:ばか.mp3]&lt;/div&gt;</v>
      </c>
      <c r="H2557" s="3" t="str">
        <f t="shared" si="1"/>
        <v>(adj): ngốc</v>
      </c>
      <c r="I2557" s="6" t="s">
        <v>13964</v>
      </c>
      <c r="J2557" s="6" t="s">
        <v>13965</v>
      </c>
      <c r="K2557" s="7">
        <f t="shared" si="2"/>
        <v>0.005047750456</v>
      </c>
    </row>
    <row r="2558">
      <c r="A2558" s="4">
        <v>2558.0</v>
      </c>
      <c r="B2558" s="5" t="s">
        <v>13966</v>
      </c>
      <c r="C2558" s="5" t="s">
        <v>13503</v>
      </c>
      <c r="D2558" s="5" t="s">
        <v>13967</v>
      </c>
      <c r="E2558" s="6" t="s">
        <v>74</v>
      </c>
      <c r="F2558" s="6" t="s">
        <v>1538</v>
      </c>
      <c r="G2558" s="3" t="str">
        <f>IFERROR(__xludf.DUMMYFUNCTION("REGEXREPLACE(
D2558,
""([一-龯々]+)\[([^\]]+)\]"",
""&lt;ruby&gt;$1&lt;rt&gt;$2&lt;/rt&gt;&lt;/ruby&gt;""
)&amp;""&lt;br&gt;&lt;div class=""""audio""""&gt;[sound:""&amp;C2558&amp;"".mp3]&lt;/div&gt;"""),"&lt;ruby&gt;端&lt;rt&gt;はし&lt;/rt&gt;&lt;/ruby&gt;&lt;br&gt;&lt;div class=""audio""&gt;[sound:はし.mp3]&lt;/div&gt;")</f>
        <v>&lt;ruby&gt;端&lt;rt&gt;はし&lt;/rt&gt;&lt;/ruby&gt;&lt;br&gt;&lt;div class="audio"&gt;[sound:はし.mp3]&lt;/div&gt;</v>
      </c>
      <c r="H2558" s="3" t="str">
        <f t="shared" si="1"/>
        <v>(n): đầu</v>
      </c>
      <c r="I2558" s="6" t="s">
        <v>13968</v>
      </c>
      <c r="J2558" s="6" t="s">
        <v>13969</v>
      </c>
      <c r="K2558" s="7">
        <f t="shared" si="2"/>
        <v>0.9441865417</v>
      </c>
    </row>
    <row r="2559">
      <c r="A2559" s="4">
        <v>2559.0</v>
      </c>
      <c r="B2559" s="5" t="s">
        <v>13970</v>
      </c>
      <c r="C2559" s="5" t="s">
        <v>13971</v>
      </c>
      <c r="D2559" s="5" t="s">
        <v>13972</v>
      </c>
      <c r="E2559" s="6" t="s">
        <v>74</v>
      </c>
      <c r="F2559" s="6" t="s">
        <v>13973</v>
      </c>
      <c r="G2559" s="3" t="str">
        <f>IFERROR(__xludf.DUMMYFUNCTION("REGEXREPLACE(
D2559,
""([一-龯々]+)\[([^\]]+)\]"",
""&lt;ruby&gt;$1&lt;rt&gt;$2&lt;/rt&gt;&lt;/ruby&gt;""
)&amp;""&lt;br&gt;&lt;div class=""""audio""""&gt;[sound:""&amp;C2559&amp;"".mp3]&lt;/div&gt;"""),"&lt;ruby&gt;都心&lt;rt&gt;としん&lt;/rt&gt;&lt;/ruby&gt;&lt;br&gt;&lt;div class=""audio""&gt;[sound:としん.mp3]&lt;/div&gt;")</f>
        <v>&lt;ruby&gt;都心&lt;rt&gt;としん&lt;/rt&gt;&lt;/ruby&gt;&lt;br&gt;&lt;div class="audio"&gt;[sound:としん.mp3]&lt;/div&gt;</v>
      </c>
      <c r="H2559" s="3" t="str">
        <f t="shared" si="1"/>
        <v>(n): trung tâm thành phố</v>
      </c>
      <c r="I2559" s="6" t="s">
        <v>13974</v>
      </c>
      <c r="J2559" s="6" t="s">
        <v>13975</v>
      </c>
      <c r="K2559" s="7">
        <f t="shared" si="2"/>
        <v>0.5592400086</v>
      </c>
    </row>
    <row r="2560">
      <c r="A2560" s="4">
        <v>2560.0</v>
      </c>
      <c r="B2560" s="5" t="s">
        <v>13976</v>
      </c>
      <c r="C2560" s="5" t="s">
        <v>13977</v>
      </c>
      <c r="D2560" s="5" t="s">
        <v>13978</v>
      </c>
      <c r="E2560" s="6" t="s">
        <v>74</v>
      </c>
      <c r="F2560" s="6" t="s">
        <v>13979</v>
      </c>
      <c r="G2560" s="3" t="str">
        <f>IFERROR(__xludf.DUMMYFUNCTION("REGEXREPLACE(
D2560,
""([一-龯々]+)\[([^\]]+)\]"",
""&lt;ruby&gt;$1&lt;rt&gt;$2&lt;/rt&gt;&lt;/ruby&gt;""
)&amp;""&lt;br&gt;&lt;div class=""""audio""""&gt;[sound:""&amp;C2560&amp;"".mp3]&lt;/div&gt;"""),"&lt;ruby&gt;高速&lt;rt&gt;こうそく&lt;/rt&gt;&lt;/ruby&gt;&lt;br&gt;&lt;div class=""audio""&gt;[sound:こうそく.mp3]&lt;/div&gt;")</f>
        <v>&lt;ruby&gt;高速&lt;rt&gt;こうそく&lt;/rt&gt;&lt;/ruby&gt;&lt;br&gt;&lt;div class="audio"&gt;[sound:こうそく.mp3]&lt;/div&gt;</v>
      </c>
      <c r="H2560" s="3" t="str">
        <f t="shared" si="1"/>
        <v>(n): tốc độ cao</v>
      </c>
      <c r="I2560" s="6" t="s">
        <v>13980</v>
      </c>
      <c r="J2560" s="6" t="s">
        <v>13981</v>
      </c>
      <c r="K2560" s="7">
        <f t="shared" si="2"/>
        <v>0.2439049841</v>
      </c>
    </row>
    <row r="2561">
      <c r="A2561" s="4">
        <v>2561.0</v>
      </c>
      <c r="B2561" s="5" t="s">
        <v>13982</v>
      </c>
      <c r="C2561" s="5" t="s">
        <v>13983</v>
      </c>
      <c r="D2561" s="5" t="s">
        <v>13984</v>
      </c>
      <c r="E2561" s="6" t="s">
        <v>11</v>
      </c>
      <c r="F2561" s="6" t="s">
        <v>13985</v>
      </c>
      <c r="G2561" s="3" t="str">
        <f>IFERROR(__xludf.DUMMYFUNCTION("REGEXREPLACE(
D2561,
""([一-龯々]+)\[([^\]]+)\]"",
""&lt;ruby&gt;$1&lt;rt&gt;$2&lt;/rt&gt;&lt;/ruby&gt;""
)&amp;""&lt;br&gt;&lt;div class=""""audio""""&gt;[sound:""&amp;C2561&amp;"".mp3]&lt;/div&gt;"""),"&lt;ruby&gt;平気&lt;rt&gt;へいき&lt;/rt&gt;&lt;/ruby&gt;&lt;br&gt;&lt;div class=""audio""&gt;[sound:へいき.mp3]&lt;/div&gt;")</f>
        <v>&lt;ruby&gt;平気&lt;rt&gt;へいき&lt;/rt&gt;&lt;/ruby&gt;&lt;br&gt;&lt;div class="audio"&gt;[sound:へいき.mp3]&lt;/div&gt;</v>
      </c>
      <c r="H2561" s="3" t="str">
        <f t="shared" si="1"/>
        <v>(adj): bình thản</v>
      </c>
      <c r="I2561" s="6" t="s">
        <v>13986</v>
      </c>
      <c r="J2561" s="6" t="s">
        <v>13987</v>
      </c>
      <c r="K2561" s="7">
        <f t="shared" si="2"/>
        <v>0.2808795676</v>
      </c>
    </row>
    <row r="2562">
      <c r="A2562" s="4">
        <v>2562.0</v>
      </c>
      <c r="B2562" s="5" t="s">
        <v>13988</v>
      </c>
      <c r="C2562" s="5" t="s">
        <v>13989</v>
      </c>
      <c r="D2562" s="5" t="s">
        <v>13990</v>
      </c>
      <c r="E2562" s="6" t="s">
        <v>85</v>
      </c>
      <c r="F2562" s="6" t="s">
        <v>13991</v>
      </c>
      <c r="G2562" s="3" t="str">
        <f>IFERROR(__xludf.DUMMYFUNCTION("REGEXREPLACE(
D2562,
""([一-龯々]+)\[([^\]]+)\]"",
""&lt;ruby&gt;$1&lt;rt&gt;$2&lt;/rt&gt;&lt;/ruby&gt;""
)&amp;""&lt;br&gt;&lt;div class=""""audio""""&gt;[sound:""&amp;C2562&amp;"".mp3]&lt;/div&gt;"""),"&lt;ruby&gt;必&lt;rt&gt;かなら&lt;/rt&gt;&lt;/ruby&gt;ずしも&lt;br&gt;&lt;div class=""audio""&gt;[sound:かならずしも.mp3]&lt;/div&gt;")</f>
        <v>&lt;ruby&gt;必&lt;rt&gt;かなら&lt;/rt&gt;&lt;/ruby&gt;ずしも&lt;br&gt;&lt;div class="audio"&gt;[sound:かならずしも.mp3]&lt;/div&gt;</v>
      </c>
      <c r="H2562" s="3" t="str">
        <f t="shared" si="1"/>
        <v>(adv): chưa chắc</v>
      </c>
      <c r="I2562" s="6" t="s">
        <v>13992</v>
      </c>
      <c r="J2562" s="6" t="s">
        <v>13993</v>
      </c>
      <c r="K2562" s="7">
        <f t="shared" si="2"/>
        <v>0.6556447863</v>
      </c>
    </row>
    <row r="2563">
      <c r="A2563" s="4">
        <v>2563.0</v>
      </c>
      <c r="B2563" s="5" t="s">
        <v>13994</v>
      </c>
      <c r="C2563" s="5" t="s">
        <v>13995</v>
      </c>
      <c r="D2563" s="5" t="s">
        <v>13996</v>
      </c>
      <c r="E2563" s="6" t="s">
        <v>11</v>
      </c>
      <c r="F2563" s="6" t="s">
        <v>13903</v>
      </c>
      <c r="G2563" s="3" t="str">
        <f>IFERROR(__xludf.DUMMYFUNCTION("REGEXREPLACE(
D2563,
""([一-龯々]+)\[([^\]]+)\]"",
""&lt;ruby&gt;$1&lt;rt&gt;$2&lt;/rt&gt;&lt;/ruby&gt;""
)&amp;""&lt;br&gt;&lt;div class=""""audio""""&gt;[sound:""&amp;C2563&amp;"".mp3]&lt;/div&gt;"""),"&lt;ruby&gt;残念&lt;rt&gt;ざんねん&lt;/rt&gt;&lt;/ruby&gt;&lt;br&gt;&lt;div class=""audio""&gt;[sound:ざんねん.mp3]&lt;/div&gt;")</f>
        <v>&lt;ruby&gt;残念&lt;rt&gt;ざんねん&lt;/rt&gt;&lt;/ruby&gt;&lt;br&gt;&lt;div class="audio"&gt;[sound:ざんねん.mp3]&lt;/div&gt;</v>
      </c>
      <c r="H2563" s="3" t="str">
        <f t="shared" si="1"/>
        <v>(adj): đáng tiếc</v>
      </c>
      <c r="I2563" s="6" t="s">
        <v>13997</v>
      </c>
      <c r="J2563" s="6" t="s">
        <v>13998</v>
      </c>
      <c r="K2563" s="7">
        <f t="shared" si="2"/>
        <v>0.6253464838</v>
      </c>
    </row>
    <row r="2564">
      <c r="A2564" s="4">
        <v>2564.0</v>
      </c>
      <c r="B2564" s="5" t="s">
        <v>13999</v>
      </c>
      <c r="C2564" s="5" t="s">
        <v>14000</v>
      </c>
      <c r="D2564" s="5" t="s">
        <v>14001</v>
      </c>
      <c r="E2564" s="6" t="s">
        <v>74</v>
      </c>
      <c r="F2564" s="6" t="s">
        <v>3180</v>
      </c>
      <c r="G2564" s="3" t="str">
        <f>IFERROR(__xludf.DUMMYFUNCTION("REGEXREPLACE(
D2564,
""([一-龯々]+)\[([^\]]+)\]"",
""&lt;ruby&gt;$1&lt;rt&gt;$2&lt;/rt&gt;&lt;/ruby&gt;""
)&amp;""&lt;br&gt;&lt;div class=""""audio""""&gt;[sound:""&amp;C2564&amp;"".mp3]&lt;/div&gt;"""),"&lt;ruby&gt;移転&lt;rt&gt;いてん&lt;/rt&gt;&lt;/ruby&gt;&lt;br&gt;&lt;div class=""audio""&gt;[sound:いてん.mp3]&lt;/div&gt;")</f>
        <v>&lt;ruby&gt;移転&lt;rt&gt;いてん&lt;/rt&gt;&lt;/ruby&gt;&lt;br&gt;&lt;div class="audio"&gt;[sound:いてん.mp3]&lt;/div&gt;</v>
      </c>
      <c r="H2564" s="3" t="str">
        <f t="shared" si="1"/>
        <v>(n): di chuyển</v>
      </c>
      <c r="I2564" s="6" t="s">
        <v>14002</v>
      </c>
      <c r="J2564" s="6" t="s">
        <v>14003</v>
      </c>
      <c r="K2564" s="7">
        <f t="shared" si="2"/>
        <v>0.7617941426</v>
      </c>
    </row>
    <row r="2565">
      <c r="A2565" s="4">
        <v>2565.0</v>
      </c>
      <c r="B2565" s="5" t="s">
        <v>14004</v>
      </c>
      <c r="C2565" s="5" t="s">
        <v>14005</v>
      </c>
      <c r="D2565" s="5" t="s">
        <v>14006</v>
      </c>
      <c r="E2565" s="6" t="s">
        <v>74</v>
      </c>
      <c r="F2565" s="6" t="s">
        <v>6884</v>
      </c>
      <c r="G2565" s="3" t="str">
        <f>IFERROR(__xludf.DUMMYFUNCTION("REGEXREPLACE(
D2565,
""([一-龯々]+)\[([^\]]+)\]"",
""&lt;ruby&gt;$1&lt;rt&gt;$2&lt;/rt&gt;&lt;/ruby&gt;""
)&amp;""&lt;br&gt;&lt;div class=""""audio""""&gt;[sound:""&amp;C2565&amp;"".mp3]&lt;/div&gt;"""),"&lt;ruby&gt;見解&lt;rt&gt;けんかい&lt;/rt&gt;&lt;/ruby&gt;&lt;br&gt;&lt;div class=""audio""&gt;[sound:けんかい.mp3]&lt;/div&gt;")</f>
        <v>&lt;ruby&gt;見解&lt;rt&gt;けんかい&lt;/rt&gt;&lt;/ruby&gt;&lt;br&gt;&lt;div class="audio"&gt;[sound:けんかい.mp3]&lt;/div&gt;</v>
      </c>
      <c r="H2565" s="3" t="str">
        <f t="shared" si="1"/>
        <v>(n): quan điểm</v>
      </c>
      <c r="I2565" s="6" t="s">
        <v>14007</v>
      </c>
      <c r="J2565" s="6" t="s">
        <v>14008</v>
      </c>
      <c r="K2565" s="7">
        <f t="shared" si="2"/>
        <v>0.1602056216</v>
      </c>
    </row>
    <row r="2566">
      <c r="A2566" s="4">
        <v>2566.0</v>
      </c>
      <c r="B2566" s="5" t="s">
        <v>14009</v>
      </c>
      <c r="C2566" s="5" t="s">
        <v>14010</v>
      </c>
      <c r="D2566" s="5" t="s">
        <v>14011</v>
      </c>
      <c r="E2566" s="6" t="s">
        <v>74</v>
      </c>
      <c r="F2566" s="6" t="s">
        <v>14012</v>
      </c>
      <c r="G2566" s="3" t="str">
        <f>IFERROR(__xludf.DUMMYFUNCTION("REGEXREPLACE(
D2566,
""([一-龯々]+)\[([^\]]+)\]"",
""&lt;ruby&gt;$1&lt;rt&gt;$2&lt;/rt&gt;&lt;/ruby&gt;""
)&amp;""&lt;br&gt;&lt;div class=""""audio""""&gt;[sound:""&amp;C2566&amp;"".mp3]&lt;/div&gt;"""),"&lt;ruby&gt;国立&lt;rt&gt;こくりつ&lt;/rt&gt;&lt;/ruby&gt;&lt;br&gt;&lt;div class=""audio""&gt;[sound:こくりつ.mp3]&lt;/div&gt;")</f>
        <v>&lt;ruby&gt;国立&lt;rt&gt;こくりつ&lt;/rt&gt;&lt;/ruby&gt;&lt;br&gt;&lt;div class="audio"&gt;[sound:こくりつ.mp3]&lt;/div&gt;</v>
      </c>
      <c r="H2566" s="3" t="str">
        <f t="shared" si="1"/>
        <v>(n): quốc lập</v>
      </c>
      <c r="I2566" s="6" t="s">
        <v>14013</v>
      </c>
      <c r="J2566" s="6" t="s">
        <v>14014</v>
      </c>
      <c r="K2566" s="7">
        <f t="shared" si="2"/>
        <v>0.735317516</v>
      </c>
    </row>
    <row r="2567">
      <c r="A2567" s="4">
        <v>2567.0</v>
      </c>
      <c r="B2567" s="5" t="s">
        <v>14015</v>
      </c>
      <c r="C2567" s="5" t="s">
        <v>14016</v>
      </c>
      <c r="D2567" s="5" t="s">
        <v>14017</v>
      </c>
      <c r="E2567" s="6" t="s">
        <v>74</v>
      </c>
      <c r="F2567" s="6" t="s">
        <v>5366</v>
      </c>
      <c r="G2567" s="3" t="str">
        <f>IFERROR(__xludf.DUMMYFUNCTION("REGEXREPLACE(
D2567,
""([一-龯々]+)\[([^\]]+)\]"",
""&lt;ruby&gt;$1&lt;rt&gt;$2&lt;/rt&gt;&lt;/ruby&gt;""
)&amp;""&lt;br&gt;&lt;div class=""""audio""""&gt;[sound:""&amp;C2567&amp;"".mp3]&lt;/div&gt;"""),"&lt;ruby&gt;外出&lt;rt&gt;がいしゅつ&lt;/rt&gt;&lt;/ruby&gt;&lt;br&gt;&lt;div class=""audio""&gt;[sound:がいしゅつ.mp3]&lt;/div&gt;")</f>
        <v>&lt;ruby&gt;外出&lt;rt&gt;がいしゅつ&lt;/rt&gt;&lt;/ruby&gt;&lt;br&gt;&lt;div class="audio"&gt;[sound:がいしゅつ.mp3]&lt;/div&gt;</v>
      </c>
      <c r="H2567" s="3" t="str">
        <f t="shared" si="1"/>
        <v>(n): ra ngoài</v>
      </c>
      <c r="I2567" s="6" t="s">
        <v>14018</v>
      </c>
      <c r="J2567" s="6" t="s">
        <v>14019</v>
      </c>
      <c r="K2567" s="7">
        <f t="shared" si="2"/>
        <v>0.4207003849</v>
      </c>
    </row>
    <row r="2568">
      <c r="A2568" s="4">
        <v>2568.0</v>
      </c>
      <c r="B2568" s="5" t="s">
        <v>14020</v>
      </c>
      <c r="C2568" s="5" t="s">
        <v>14021</v>
      </c>
      <c r="D2568" s="5" t="s">
        <v>14022</v>
      </c>
      <c r="E2568" s="6" t="s">
        <v>74</v>
      </c>
      <c r="F2568" s="6" t="s">
        <v>14023</v>
      </c>
      <c r="G2568" s="3" t="str">
        <f>IFERROR(__xludf.DUMMYFUNCTION("REGEXREPLACE(
D2568,
""([一-龯々]+)\[([^\]]+)\]"",
""&lt;ruby&gt;$1&lt;rt&gt;$2&lt;/rt&gt;&lt;/ruby&gt;""
)&amp;""&lt;br&gt;&lt;div class=""""audio""""&gt;[sound:""&amp;C2568&amp;"".mp3]&lt;/div&gt;"""),"&lt;ruby&gt;近所&lt;rt&gt;きんじょ&lt;/rt&gt;&lt;/ruby&gt;&lt;br&gt;&lt;div class=""audio""&gt;[sound:きんじょ.mp3]&lt;/div&gt;")</f>
        <v>&lt;ruby&gt;近所&lt;rt&gt;きんじょ&lt;/rt&gt;&lt;/ruby&gt;&lt;br&gt;&lt;div class="audio"&gt;[sound:きんじょ.mp3]&lt;/div&gt;</v>
      </c>
      <c r="H2568" s="3" t="str">
        <f t="shared" si="1"/>
        <v>(n): hàng xóm</v>
      </c>
      <c r="I2568" s="6" t="s">
        <v>14024</v>
      </c>
      <c r="J2568" s="6" t="s">
        <v>14025</v>
      </c>
      <c r="K2568" s="7">
        <f t="shared" si="2"/>
        <v>0.9004454693</v>
      </c>
    </row>
    <row r="2569">
      <c r="A2569" s="4">
        <v>2569.0</v>
      </c>
      <c r="B2569" s="5" t="s">
        <v>14026</v>
      </c>
      <c r="C2569" s="5" t="s">
        <v>14027</v>
      </c>
      <c r="D2569" s="5" t="s">
        <v>14028</v>
      </c>
      <c r="E2569" s="6" t="s">
        <v>85</v>
      </c>
      <c r="F2569" s="6" t="s">
        <v>14029</v>
      </c>
      <c r="G2569" s="3" t="str">
        <f>IFERROR(__xludf.DUMMYFUNCTION("REGEXREPLACE(
D2569,
""([一-龯々]+)\[([^\]]+)\]"",
""&lt;ruby&gt;$1&lt;rt&gt;$2&lt;/rt&gt;&lt;/ruby&gt;""
)&amp;""&lt;br&gt;&lt;div class=""""audio""""&gt;[sound:""&amp;C2569&amp;"".mp3]&lt;/div&gt;"""),"&lt;ruby&gt;徐々&lt;rt&gt;じょじょ&lt;/rt&gt;&lt;/ruby&gt;に&lt;br&gt;&lt;div class=""audio""&gt;[sound:じょじょに.mp3]&lt;/div&gt;")</f>
        <v>&lt;ruby&gt;徐々&lt;rt&gt;じょじょ&lt;/rt&gt;&lt;/ruby&gt;に&lt;br&gt;&lt;div class="audio"&gt;[sound:じょじょに.mp3]&lt;/div&gt;</v>
      </c>
      <c r="H2569" s="3" t="str">
        <f t="shared" si="1"/>
        <v>(adv): dần dần</v>
      </c>
      <c r="I2569" s="6" t="s">
        <v>14030</v>
      </c>
      <c r="J2569" s="6" t="s">
        <v>14031</v>
      </c>
      <c r="K2569" s="7">
        <f t="shared" si="2"/>
        <v>0.4898974674</v>
      </c>
    </row>
    <row r="2570">
      <c r="A2570" s="4">
        <v>2570.0</v>
      </c>
      <c r="B2570" s="5" t="s">
        <v>14032</v>
      </c>
      <c r="C2570" s="5" t="s">
        <v>14033</v>
      </c>
      <c r="D2570" s="5" t="s">
        <v>14034</v>
      </c>
      <c r="E2570" s="6" t="s">
        <v>11</v>
      </c>
      <c r="F2570" s="6" t="s">
        <v>14035</v>
      </c>
      <c r="G2570" s="3" t="str">
        <f>IFERROR(__xludf.DUMMYFUNCTION("REGEXREPLACE(
D2570,
""([一-龯々]+)\[([^\]]+)\]"",
""&lt;ruby&gt;$1&lt;rt&gt;$2&lt;/rt&gt;&lt;/ruby&gt;""
)&amp;""&lt;br&gt;&lt;div class=""""audio""""&gt;[sound:""&amp;C2570&amp;"".mp3]&lt;/div&gt;"""),"&lt;ruby&gt;微妙&lt;rt&gt;びみょう&lt;/rt&gt;&lt;/ruby&gt;&lt;br&gt;&lt;div class=""audio""&gt;[sound:びみょう.mp3]&lt;/div&gt;")</f>
        <v>&lt;ruby&gt;微妙&lt;rt&gt;びみょう&lt;/rt&gt;&lt;/ruby&gt;&lt;br&gt;&lt;div class="audio"&gt;[sound:びみょう.mp3]&lt;/div&gt;</v>
      </c>
      <c r="H2570" s="3" t="str">
        <f t="shared" si="1"/>
        <v>(adj): tinh tế</v>
      </c>
      <c r="I2570" s="6" t="s">
        <v>14036</v>
      </c>
      <c r="J2570" s="6" t="s">
        <v>14037</v>
      </c>
      <c r="K2570" s="7">
        <f t="shared" si="2"/>
        <v>0.7071721385</v>
      </c>
    </row>
    <row r="2571">
      <c r="A2571" s="4">
        <v>2571.0</v>
      </c>
      <c r="B2571" s="5" t="s">
        <v>14038</v>
      </c>
      <c r="C2571" s="5" t="s">
        <v>14039</v>
      </c>
      <c r="D2571" s="5" t="s">
        <v>14040</v>
      </c>
      <c r="E2571" s="6" t="s">
        <v>44</v>
      </c>
      <c r="F2571" s="6" t="s">
        <v>14041</v>
      </c>
      <c r="G2571" s="3" t="str">
        <f>IFERROR(__xludf.DUMMYFUNCTION("REGEXREPLACE(
D2571,
""([一-龯々]+)\[([^\]]+)\]"",
""&lt;ruby&gt;$1&lt;rt&gt;$2&lt;/rt&gt;&lt;/ruby&gt;""
)&amp;""&lt;br&gt;&lt;div class=""""audio""""&gt;[sound:""&amp;C2571&amp;"".mp3]&lt;/div&gt;"""),"&lt;ruby&gt;自&lt;rt&gt;みずか&lt;/rt&gt;&lt;/ruby&gt;ら&lt;br&gt;&lt;div class=""audio""&gt;[sound:みずから.mp3]&lt;/div&gt;")</f>
        <v>&lt;ruby&gt;自&lt;rt&gt;みずか&lt;/rt&gt;&lt;/ruby&gt;ら&lt;br&gt;&lt;div class="audio"&gt;[sound:みずから.mp3]&lt;/div&gt;</v>
      </c>
      <c r="H2571" s="3" t="str">
        <f t="shared" si="1"/>
        <v>(pron): tự mình</v>
      </c>
      <c r="I2571" s="6" t="s">
        <v>14042</v>
      </c>
      <c r="J2571" s="6" t="s">
        <v>14043</v>
      </c>
      <c r="K2571" s="7">
        <f t="shared" si="2"/>
        <v>0.3451156407</v>
      </c>
    </row>
    <row r="2572">
      <c r="A2572" s="4">
        <v>2572.0</v>
      </c>
      <c r="B2572" s="5" t="s">
        <v>14044</v>
      </c>
      <c r="C2572" s="5" t="s">
        <v>14045</v>
      </c>
      <c r="D2572" s="5" t="s">
        <v>14046</v>
      </c>
      <c r="E2572" s="6" t="s">
        <v>74</v>
      </c>
      <c r="F2572" s="6" t="s">
        <v>14047</v>
      </c>
      <c r="G2572" s="3" t="str">
        <f>IFERROR(__xludf.DUMMYFUNCTION("REGEXREPLACE(
D2572,
""([一-龯々]+)\[([^\]]+)\]"",
""&lt;ruby&gt;$1&lt;rt&gt;$2&lt;/rt&gt;&lt;/ruby&gt;""
)&amp;""&lt;br&gt;&lt;div class=""""audio""""&gt;[sound:""&amp;C2572&amp;"".mp3]&lt;/div&gt;"""),"&lt;ruby&gt;塩&lt;rt&gt;しお&lt;/rt&gt;&lt;/ruby&gt;&lt;br&gt;&lt;div class=""audio""&gt;[sound:しお.mp3]&lt;/div&gt;")</f>
        <v>&lt;ruby&gt;塩&lt;rt&gt;しお&lt;/rt&gt;&lt;/ruby&gt;&lt;br&gt;&lt;div class="audio"&gt;[sound:しお.mp3]&lt;/div&gt;</v>
      </c>
      <c r="H2572" s="3" t="str">
        <f t="shared" si="1"/>
        <v>(n): muối</v>
      </c>
      <c r="I2572" s="6" t="s">
        <v>14048</v>
      </c>
      <c r="J2572" s="6" t="s">
        <v>14049</v>
      </c>
      <c r="K2572" s="7">
        <f t="shared" si="2"/>
        <v>0.5712141876</v>
      </c>
    </row>
    <row r="2573">
      <c r="A2573" s="4">
        <v>2573.0</v>
      </c>
      <c r="B2573" s="5" t="s">
        <v>14050</v>
      </c>
      <c r="C2573" s="5" t="s">
        <v>14051</v>
      </c>
      <c r="D2573" s="5" t="s">
        <v>14052</v>
      </c>
      <c r="E2573" s="6" t="s">
        <v>24</v>
      </c>
      <c r="F2573" s="6" t="s">
        <v>14053</v>
      </c>
      <c r="G2573" s="3" t="str">
        <f>IFERROR(__xludf.DUMMYFUNCTION("REGEXREPLACE(
D2573,
""([一-龯々]+)\[([^\]]+)\]"",
""&lt;ruby&gt;$1&lt;rt&gt;$2&lt;/rt&gt;&lt;/ruby&gt;""
)&amp;""&lt;br&gt;&lt;div class=""""audio""""&gt;[sound:""&amp;C2573&amp;"".mp3]&lt;/div&gt;"""),"&lt;ruby&gt;塗&lt;rt&gt;ぬ&lt;/rt&gt;&lt;/ruby&gt;る&lt;br&gt;&lt;div class=""audio""&gt;[sound:ぬる.mp3]&lt;/div&gt;")</f>
        <v>&lt;ruby&gt;塗&lt;rt&gt;ぬ&lt;/rt&gt;&lt;/ruby&gt;る&lt;br&gt;&lt;div class="audio"&gt;[sound:ぬる.mp3]&lt;/div&gt;</v>
      </c>
      <c r="H2573" s="3" t="str">
        <f t="shared" si="1"/>
        <v>(v): bôi</v>
      </c>
      <c r="I2573" s="6" t="s">
        <v>14054</v>
      </c>
      <c r="J2573" s="6" t="s">
        <v>14055</v>
      </c>
      <c r="K2573" s="7">
        <f t="shared" si="2"/>
        <v>0.1277993231</v>
      </c>
    </row>
    <row r="2574">
      <c r="A2574" s="4">
        <v>2574.0</v>
      </c>
      <c r="B2574" s="5" t="s">
        <v>14056</v>
      </c>
      <c r="C2574" s="5" t="s">
        <v>14057</v>
      </c>
      <c r="D2574" s="5" t="s">
        <v>14058</v>
      </c>
      <c r="E2574" s="6" t="s">
        <v>74</v>
      </c>
      <c r="F2574" s="6" t="s">
        <v>3860</v>
      </c>
      <c r="G2574" s="3" t="str">
        <f>IFERROR(__xludf.DUMMYFUNCTION("REGEXREPLACE(
D2574,
""([一-龯々]+)\[([^\]]+)\]"",
""&lt;ruby&gt;$1&lt;rt&gt;$2&lt;/rt&gt;&lt;/ruby&gt;""
)&amp;""&lt;br&gt;&lt;div class=""""audio""""&gt;[sound:""&amp;C2574&amp;"".mp3]&lt;/div&gt;"""),"&lt;ruby&gt;祖父&lt;rt&gt;そふ&lt;/rt&gt;&lt;/ruby&gt;&lt;br&gt;&lt;div class=""audio""&gt;[sound:そふ.mp3]&lt;/div&gt;")</f>
        <v>&lt;ruby&gt;祖父&lt;rt&gt;そふ&lt;/rt&gt;&lt;/ruby&gt;&lt;br&gt;&lt;div class="audio"&gt;[sound:そふ.mp3]&lt;/div&gt;</v>
      </c>
      <c r="H2574" s="3" t="str">
        <f t="shared" si="1"/>
        <v>(n): ông</v>
      </c>
      <c r="I2574" s="6" t="s">
        <v>14059</v>
      </c>
      <c r="J2574" s="6" t="s">
        <v>14060</v>
      </c>
      <c r="K2574" s="7">
        <f t="shared" si="2"/>
        <v>0.9134893245</v>
      </c>
    </row>
    <row r="2575">
      <c r="A2575" s="4">
        <v>2575.0</v>
      </c>
      <c r="B2575" s="5" t="s">
        <v>14061</v>
      </c>
      <c r="C2575" s="5" t="s">
        <v>14062</v>
      </c>
      <c r="D2575" s="5" t="s">
        <v>14063</v>
      </c>
      <c r="E2575" s="6" t="s">
        <v>74</v>
      </c>
      <c r="F2575" s="6" t="s">
        <v>14064</v>
      </c>
      <c r="G2575" s="3" t="str">
        <f>IFERROR(__xludf.DUMMYFUNCTION("REGEXREPLACE(
D2575,
""([一-龯々]+)\[([^\]]+)\]"",
""&lt;ruby&gt;$1&lt;rt&gt;$2&lt;/rt&gt;&lt;/ruby&gt;""
)&amp;""&lt;br&gt;&lt;div class=""""audio""""&gt;[sound:""&amp;C2575&amp;"".mp3]&lt;/div&gt;"""),"&lt;ruby&gt;店員&lt;rt&gt;てんいん&lt;/rt&gt;&lt;/ruby&gt;&lt;br&gt;&lt;div class=""audio""&gt;[sound:てんいん.mp3]&lt;/div&gt;")</f>
        <v>&lt;ruby&gt;店員&lt;rt&gt;てんいん&lt;/rt&gt;&lt;/ruby&gt;&lt;br&gt;&lt;div class="audio"&gt;[sound:てんいん.mp3]&lt;/div&gt;</v>
      </c>
      <c r="H2575" s="3" t="str">
        <f t="shared" si="1"/>
        <v>(n): nhân viên bán hàng</v>
      </c>
      <c r="I2575" s="6" t="s">
        <v>14065</v>
      </c>
      <c r="J2575" s="6" t="s">
        <v>14066</v>
      </c>
      <c r="K2575" s="7">
        <f t="shared" si="2"/>
        <v>0.101530774</v>
      </c>
    </row>
    <row r="2576">
      <c r="A2576" s="4">
        <v>2576.0</v>
      </c>
      <c r="B2576" s="5" t="s">
        <v>14067</v>
      </c>
      <c r="C2576" s="5" t="s">
        <v>14068</v>
      </c>
      <c r="D2576" s="5" t="s">
        <v>14069</v>
      </c>
      <c r="E2576" s="6" t="s">
        <v>74</v>
      </c>
      <c r="F2576" s="6" t="s">
        <v>14070</v>
      </c>
      <c r="G2576" s="3" t="str">
        <f>IFERROR(__xludf.DUMMYFUNCTION("REGEXREPLACE(
D2576,
""([一-龯々]+)\[([^\]]+)\]"",
""&lt;ruby&gt;$1&lt;rt&gt;$2&lt;/rt&gt;&lt;/ruby&gt;""
)&amp;""&lt;br&gt;&lt;div class=""""audio""""&gt;[sound:""&amp;C2576&amp;"".mp3]&lt;/div&gt;"""),"&lt;ruby&gt;教科書&lt;rt&gt;きょうかしょ&lt;/rt&gt;&lt;/ruby&gt;&lt;br&gt;&lt;div class=""audio""&gt;[sound:きょうかしょ.mp3]&lt;/div&gt;")</f>
        <v>&lt;ruby&gt;教科書&lt;rt&gt;きょうかしょ&lt;/rt&gt;&lt;/ruby&gt;&lt;br&gt;&lt;div class="audio"&gt;[sound:きょうかしょ.mp3]&lt;/div&gt;</v>
      </c>
      <c r="H2576" s="3" t="str">
        <f t="shared" si="1"/>
        <v>(n): sách giáo khoa</v>
      </c>
      <c r="I2576" s="6" t="s">
        <v>14071</v>
      </c>
      <c r="J2576" s="6" t="s">
        <v>14072</v>
      </c>
      <c r="K2576" s="7">
        <f t="shared" si="2"/>
        <v>0.8072877616</v>
      </c>
    </row>
    <row r="2577">
      <c r="A2577" s="4">
        <v>2577.0</v>
      </c>
      <c r="B2577" s="5" t="s">
        <v>14073</v>
      </c>
      <c r="C2577" s="5" t="s">
        <v>14074</v>
      </c>
      <c r="D2577" s="5" t="s">
        <v>14075</v>
      </c>
      <c r="E2577" s="6" t="s">
        <v>74</v>
      </c>
      <c r="F2577" s="6" t="s">
        <v>14076</v>
      </c>
      <c r="G2577" s="3" t="str">
        <f>IFERROR(__xludf.DUMMYFUNCTION("REGEXREPLACE(
D2577,
""([一-龯々]+)\[([^\]]+)\]"",
""&lt;ruby&gt;$1&lt;rt&gt;$2&lt;/rt&gt;&lt;/ruby&gt;""
)&amp;""&lt;br&gt;&lt;div class=""""audio""""&gt;[sound:""&amp;C2577&amp;"".mp3]&lt;/div&gt;"""),"&lt;ruby&gt;広場&lt;rt&gt;ひろば&lt;/rt&gt;&lt;/ruby&gt;&lt;br&gt;&lt;div class=""audio""&gt;[sound:ひろば.mp3]&lt;/div&gt;")</f>
        <v>&lt;ruby&gt;広場&lt;rt&gt;ひろば&lt;/rt&gt;&lt;/ruby&gt;&lt;br&gt;&lt;div class="audio"&gt;[sound:ひろば.mp3]&lt;/div&gt;</v>
      </c>
      <c r="H2577" s="3" t="str">
        <f t="shared" si="1"/>
        <v>(n): quảng trường</v>
      </c>
      <c r="I2577" s="6" t="s">
        <v>14077</v>
      </c>
      <c r="J2577" s="6" t="s">
        <v>14078</v>
      </c>
      <c r="K2577" s="7">
        <f t="shared" si="2"/>
        <v>0.5813562381</v>
      </c>
    </row>
    <row r="2578">
      <c r="A2578" s="4">
        <v>2578.0</v>
      </c>
      <c r="B2578" s="5" t="s">
        <v>14079</v>
      </c>
      <c r="C2578" s="5" t="s">
        <v>14080</v>
      </c>
      <c r="D2578" s="5" t="s">
        <v>14081</v>
      </c>
      <c r="E2578" s="6" t="s">
        <v>74</v>
      </c>
      <c r="F2578" s="6" t="s">
        <v>746</v>
      </c>
      <c r="G2578" s="3" t="str">
        <f>IFERROR(__xludf.DUMMYFUNCTION("REGEXREPLACE(
D2578,
""([一-龯々]+)\[([^\]]+)\]"",
""&lt;ruby&gt;$1&lt;rt&gt;$2&lt;/rt&gt;&lt;/ruby&gt;""
)&amp;""&lt;br&gt;&lt;div class=""""audio""""&gt;[sound:""&amp;C2578&amp;"".mp3]&lt;/div&gt;"""),"&lt;ruby&gt;働&lt;rt&gt;はたら&lt;/rt&gt;&lt;/ruby&gt;き&lt;br&gt;&lt;div class=""audio""&gt;[sound:はたらき.mp3]&lt;/div&gt;")</f>
        <v>&lt;ruby&gt;働&lt;rt&gt;はたら&lt;/rt&gt;&lt;/ruby&gt;き&lt;br&gt;&lt;div class="audio"&gt;[sound:はたらき.mp3]&lt;/div&gt;</v>
      </c>
      <c r="H2578" s="3" t="str">
        <f t="shared" si="1"/>
        <v>(n): công việc</v>
      </c>
      <c r="I2578" s="6" t="s">
        <v>14082</v>
      </c>
      <c r="J2578" s="6" t="s">
        <v>14083</v>
      </c>
      <c r="K2578" s="7">
        <f t="shared" si="2"/>
        <v>0.3963962022</v>
      </c>
    </row>
    <row r="2579">
      <c r="A2579" s="4">
        <v>2579.0</v>
      </c>
      <c r="B2579" s="5" t="s">
        <v>14084</v>
      </c>
      <c r="C2579" s="5" t="s">
        <v>14085</v>
      </c>
      <c r="D2579" s="5" t="s">
        <v>14086</v>
      </c>
      <c r="E2579" s="6" t="s">
        <v>74</v>
      </c>
      <c r="F2579" s="6" t="s">
        <v>14087</v>
      </c>
      <c r="G2579" s="3" t="str">
        <f>IFERROR(__xludf.DUMMYFUNCTION("REGEXREPLACE(
D2579,
""([一-龯々]+)\[([^\]]+)\]"",
""&lt;ruby&gt;$1&lt;rt&gt;$2&lt;/rt&gt;&lt;/ruby&gt;""
)&amp;""&lt;br&gt;&lt;div class=""""audio""""&gt;[sound:""&amp;C2579&amp;"".mp3]&lt;/div&gt;"""),"&lt;ruby&gt;像&lt;rt&gt;ぞう&lt;/rt&gt;&lt;/ruby&gt;&lt;br&gt;&lt;div class=""audio""&gt;[sound:ぞう.mp3]&lt;/div&gt;")</f>
        <v>&lt;ruby&gt;像&lt;rt&gt;ぞう&lt;/rt&gt;&lt;/ruby&gt;&lt;br&gt;&lt;div class="audio"&gt;[sound:ぞう.mp3]&lt;/div&gt;</v>
      </c>
      <c r="H2579" s="3" t="str">
        <f t="shared" si="1"/>
        <v>(n): bức tượng</v>
      </c>
      <c r="I2579" s="6" t="s">
        <v>14088</v>
      </c>
      <c r="J2579" s="6" t="s">
        <v>14089</v>
      </c>
      <c r="K2579" s="7">
        <f t="shared" si="2"/>
        <v>0.4191043688</v>
      </c>
    </row>
    <row r="2580">
      <c r="A2580" s="4">
        <v>2580.0</v>
      </c>
      <c r="B2580" s="5" t="s">
        <v>14090</v>
      </c>
      <c r="C2580" s="5" t="s">
        <v>14091</v>
      </c>
      <c r="D2580" s="5" t="s">
        <v>14092</v>
      </c>
      <c r="E2580" s="6" t="s">
        <v>74</v>
      </c>
      <c r="F2580" s="6" t="s">
        <v>14093</v>
      </c>
      <c r="G2580" s="3" t="str">
        <f>IFERROR(__xludf.DUMMYFUNCTION("REGEXREPLACE(
D2580,
""([一-龯々]+)\[([^\]]+)\]"",
""&lt;ruby&gt;$1&lt;rt&gt;$2&lt;/rt&gt;&lt;/ruby&gt;""
)&amp;""&lt;br&gt;&lt;div class=""""audio""""&gt;[sound:""&amp;C2580&amp;"".mp3]&lt;/div&gt;"""),"&lt;ruby&gt;参考&lt;rt&gt;さんこう&lt;/rt&gt;&lt;/ruby&gt;&lt;br&gt;&lt;div class=""audio""&gt;[sound:さんこう.mp3]&lt;/div&gt;")</f>
        <v>&lt;ruby&gt;参考&lt;rt&gt;さんこう&lt;/rt&gt;&lt;/ruby&gt;&lt;br&gt;&lt;div class="audio"&gt;[sound:さんこう.mp3]&lt;/div&gt;</v>
      </c>
      <c r="H2580" s="3" t="str">
        <f t="shared" si="1"/>
        <v>(n): tham khảo</v>
      </c>
      <c r="I2580" s="6" t="s">
        <v>14094</v>
      </c>
      <c r="J2580" s="6" t="s">
        <v>14095</v>
      </c>
      <c r="K2580" s="7">
        <f t="shared" si="2"/>
        <v>0.7508692932</v>
      </c>
    </row>
    <row r="2581">
      <c r="A2581" s="4">
        <v>2581.0</v>
      </c>
      <c r="B2581" s="5" t="s">
        <v>14096</v>
      </c>
      <c r="C2581" s="5" t="s">
        <v>14097</v>
      </c>
      <c r="D2581" s="5" t="s">
        <v>14098</v>
      </c>
      <c r="E2581" s="6" t="s">
        <v>85</v>
      </c>
      <c r="F2581" s="6" t="s">
        <v>1284</v>
      </c>
      <c r="G2581" s="3" t="str">
        <f>IFERROR(__xludf.DUMMYFUNCTION("REGEXREPLACE(
D2581,
""([一-龯々]+)\[([^\]]+)\]"",
""&lt;ruby&gt;$1&lt;rt&gt;$2&lt;/rt&gt;&lt;/ruby&gt;""
)&amp;""&lt;br&gt;&lt;div class=""""audio""""&gt;[sound:""&amp;C2581&amp;"".mp3]&lt;/div&gt;"""),"&lt;ruby&gt;始&lt;rt&gt;はじ&lt;/rt&gt;&lt;/ruby&gt;めに&lt;br&gt;&lt;div class=""audio""&gt;[sound:はじめに.mp3]&lt;/div&gt;")</f>
        <v>&lt;ruby&gt;始&lt;rt&gt;はじ&lt;/rt&gt;&lt;/ruby&gt;めに&lt;br&gt;&lt;div class="audio"&gt;[sound:はじめに.mp3]&lt;/div&gt;</v>
      </c>
      <c r="H2581" s="3" t="str">
        <f t="shared" si="1"/>
        <v>(adv): trước hết</v>
      </c>
      <c r="I2581" s="6" t="s">
        <v>14099</v>
      </c>
      <c r="J2581" s="6" t="s">
        <v>14100</v>
      </c>
      <c r="K2581" s="7">
        <f t="shared" si="2"/>
        <v>0.2890921199</v>
      </c>
    </row>
    <row r="2582">
      <c r="A2582" s="4">
        <v>2582.0</v>
      </c>
      <c r="B2582" s="5" t="s">
        <v>14101</v>
      </c>
      <c r="C2582" s="5" t="s">
        <v>14102</v>
      </c>
      <c r="D2582" s="5" t="s">
        <v>14103</v>
      </c>
      <c r="E2582" s="6" t="s">
        <v>74</v>
      </c>
      <c r="F2582" s="6" t="s">
        <v>14104</v>
      </c>
      <c r="G2582" s="3" t="str">
        <f>IFERROR(__xludf.DUMMYFUNCTION("REGEXREPLACE(
D2582,
""([一-龯々]+)\[([^\]]+)\]"",
""&lt;ruby&gt;$1&lt;rt&gt;$2&lt;/rt&gt;&lt;/ruby&gt;""
)&amp;""&lt;br&gt;&lt;div class=""""audio""""&gt;[sound:""&amp;C2582&amp;"".mp3]&lt;/div&gt;"""),"&lt;ruby&gt;就任&lt;rt&gt;しゅうにん&lt;/rt&gt;&lt;/ruby&gt;&lt;br&gt;&lt;div class=""audio""&gt;[sound:しゅうにん.mp3]&lt;/div&gt;")</f>
        <v>&lt;ruby&gt;就任&lt;rt&gt;しゅうにん&lt;/rt&gt;&lt;/ruby&gt;&lt;br&gt;&lt;div class="audio"&gt;[sound:しゅうにん.mp3]&lt;/div&gt;</v>
      </c>
      <c r="H2582" s="3" t="str">
        <f t="shared" si="1"/>
        <v>(n): nhậm chức</v>
      </c>
      <c r="I2582" s="6" t="s">
        <v>14105</v>
      </c>
      <c r="J2582" s="6" t="s">
        <v>14106</v>
      </c>
      <c r="K2582" s="7">
        <f t="shared" si="2"/>
        <v>0.9744419844</v>
      </c>
    </row>
    <row r="2583">
      <c r="A2583" s="4">
        <v>2583.0</v>
      </c>
      <c r="B2583" s="5" t="s">
        <v>14107</v>
      </c>
      <c r="C2583" s="5" t="s">
        <v>14108</v>
      </c>
      <c r="D2583" s="5" t="s">
        <v>14109</v>
      </c>
      <c r="E2583" s="6" t="s">
        <v>24</v>
      </c>
      <c r="F2583" s="6" t="s">
        <v>14110</v>
      </c>
      <c r="G2583" s="3" t="str">
        <f>IFERROR(__xludf.DUMMYFUNCTION("REGEXREPLACE(
D2583,
""([一-龯々]+)\[([^\]]+)\]"",
""&lt;ruby&gt;$1&lt;rt&gt;$2&lt;/rt&gt;&lt;/ruby&gt;""
)&amp;""&lt;br&gt;&lt;div class=""""audio""""&gt;[sound:""&amp;C2583&amp;"".mp3]&lt;/div&gt;"""),"&lt;ruby&gt;望&lt;rt&gt;のぞ&lt;/rt&gt;&lt;/ruby&gt;む&lt;br&gt;&lt;div class=""audio""&gt;[sound:のぞむ.mp3]&lt;/div&gt;")</f>
        <v>&lt;ruby&gt;望&lt;rt&gt;のぞ&lt;/rt&gt;&lt;/ruby&gt;む&lt;br&gt;&lt;div class="audio"&gt;[sound:のぞむ.mp3]&lt;/div&gt;</v>
      </c>
      <c r="H2583" s="3" t="str">
        <f t="shared" si="1"/>
        <v>(v): mong muốn</v>
      </c>
      <c r="I2583" s="6" t="s">
        <v>14111</v>
      </c>
      <c r="J2583" s="6" t="s">
        <v>14112</v>
      </c>
      <c r="K2583" s="7">
        <f t="shared" si="2"/>
        <v>0.5648668433</v>
      </c>
    </row>
    <row r="2584">
      <c r="A2584" s="4">
        <v>2584.0</v>
      </c>
      <c r="B2584" s="5" t="s">
        <v>14113</v>
      </c>
      <c r="C2584" s="5" t="s">
        <v>14114</v>
      </c>
      <c r="D2584" s="5" t="s">
        <v>14115</v>
      </c>
      <c r="E2584" s="6" t="s">
        <v>74</v>
      </c>
      <c r="F2584" s="6" t="s">
        <v>14116</v>
      </c>
      <c r="G2584" s="3" t="str">
        <f>IFERROR(__xludf.DUMMYFUNCTION("REGEXREPLACE(
D2584,
""([一-龯々]+)\[([^\]]+)\]"",
""&lt;ruby&gt;$1&lt;rt&gt;$2&lt;/rt&gt;&lt;/ruby&gt;""
)&amp;""&lt;br&gt;&lt;div class=""""audio""""&gt;[sound:""&amp;C2584&amp;"".mp3]&lt;/div&gt;"""),"&lt;ruby&gt;翻訳&lt;rt&gt;ほんやく&lt;/rt&gt;&lt;/ruby&gt;&lt;br&gt;&lt;div class=""audio""&gt;[sound:ほんやく.mp3]&lt;/div&gt;")</f>
        <v>&lt;ruby&gt;翻訳&lt;rt&gt;ほんやく&lt;/rt&gt;&lt;/ruby&gt;&lt;br&gt;&lt;div class="audio"&gt;[sound:ほんやく.mp3]&lt;/div&gt;</v>
      </c>
      <c r="H2584" s="3" t="str">
        <f t="shared" si="1"/>
        <v>(n): biên dịch</v>
      </c>
      <c r="I2584" s="6" t="s">
        <v>14117</v>
      </c>
      <c r="J2584" s="6" t="s">
        <v>14118</v>
      </c>
      <c r="K2584" s="7">
        <f t="shared" si="2"/>
        <v>0.1423647002</v>
      </c>
    </row>
    <row r="2585">
      <c r="A2585" s="4">
        <v>2585.0</v>
      </c>
      <c r="B2585" s="5" t="s">
        <v>14119</v>
      </c>
      <c r="C2585" s="5" t="s">
        <v>14120</v>
      </c>
      <c r="D2585" s="5" t="s">
        <v>14121</v>
      </c>
      <c r="E2585" s="6" t="s">
        <v>74</v>
      </c>
      <c r="F2585" s="6" t="s">
        <v>1939</v>
      </c>
      <c r="G2585" s="3" t="str">
        <f>IFERROR(__xludf.DUMMYFUNCTION("REGEXREPLACE(
D2585,
""([一-龯々]+)\[([^\]]+)\]"",
""&lt;ruby&gt;$1&lt;rt&gt;$2&lt;/rt&gt;&lt;/ruby&gt;""
)&amp;""&lt;br&gt;&lt;div class=""""audio""""&gt;[sound:""&amp;C2585&amp;"".mp3]&lt;/div&gt;"""),"&lt;ruby&gt;兄&lt;rt&gt;あに&lt;/rt&gt;&lt;/ruby&gt;&lt;br&gt;&lt;div class=""audio""&gt;[sound:あに.mp3]&lt;/div&gt;")</f>
        <v>&lt;ruby&gt;兄&lt;rt&gt;あに&lt;/rt&gt;&lt;/ruby&gt;&lt;br&gt;&lt;div class="audio"&gt;[sound:あに.mp3]&lt;/div&gt;</v>
      </c>
      <c r="H2585" s="3" t="str">
        <f t="shared" si="1"/>
        <v>(n): anh trai</v>
      </c>
      <c r="I2585" s="6" t="s">
        <v>14122</v>
      </c>
      <c r="J2585" s="6" t="s">
        <v>14123</v>
      </c>
      <c r="K2585" s="7">
        <f t="shared" si="2"/>
        <v>0.741867713</v>
      </c>
    </row>
    <row r="2586">
      <c r="A2586" s="4">
        <v>2586.0</v>
      </c>
      <c r="B2586" s="5" t="s">
        <v>14124</v>
      </c>
      <c r="C2586" s="5" t="s">
        <v>14125</v>
      </c>
      <c r="D2586" s="5" t="s">
        <v>14126</v>
      </c>
      <c r="E2586" s="6" t="s">
        <v>74</v>
      </c>
      <c r="F2586" s="6" t="s">
        <v>14127</v>
      </c>
      <c r="G2586" s="3" t="str">
        <f>IFERROR(__xludf.DUMMYFUNCTION("REGEXREPLACE(
D2586,
""([一-龯々]+)\[([^\]]+)\]"",
""&lt;ruby&gt;$1&lt;rt&gt;$2&lt;/rt&gt;&lt;/ruby&gt;""
)&amp;""&lt;br&gt;&lt;div class=""""audio""""&gt;[sound:""&amp;C2586&amp;"".mp3]&lt;/div&gt;"""),"&lt;ruby&gt;支配&lt;rt&gt;しはい&lt;/rt&gt;&lt;/ruby&gt;&lt;br&gt;&lt;div class=""audio""&gt;[sound:しはい.mp3]&lt;/div&gt;")</f>
        <v>&lt;ruby&gt;支配&lt;rt&gt;しはい&lt;/rt&gt;&lt;/ruby&gt;&lt;br&gt;&lt;div class="audio"&gt;[sound:しはい.mp3]&lt;/div&gt;</v>
      </c>
      <c r="H2586" s="3" t="str">
        <f t="shared" si="1"/>
        <v>(n): chi phối</v>
      </c>
      <c r="I2586" s="6" t="s">
        <v>14128</v>
      </c>
      <c r="J2586" s="6" t="s">
        <v>14129</v>
      </c>
      <c r="K2586" s="7">
        <f t="shared" si="2"/>
        <v>0.3324839977</v>
      </c>
    </row>
    <row r="2587">
      <c r="A2587" s="4">
        <v>2587.0</v>
      </c>
      <c r="B2587" s="5" t="s">
        <v>14130</v>
      </c>
      <c r="C2587" s="5" t="s">
        <v>14131</v>
      </c>
      <c r="D2587" s="5" t="s">
        <v>14132</v>
      </c>
      <c r="E2587" s="6" t="s">
        <v>74</v>
      </c>
      <c r="F2587" s="6" t="s">
        <v>14133</v>
      </c>
      <c r="G2587" s="3" t="str">
        <f>IFERROR(__xludf.DUMMYFUNCTION("REGEXREPLACE(
D2587,
""([一-龯々]+)\[([^\]]+)\]"",
""&lt;ruby&gt;$1&lt;rt&gt;$2&lt;/rt&gt;&lt;/ruby&gt;""
)&amp;""&lt;br&gt;&lt;div class=""""audio""""&gt;[sound:""&amp;C2587&amp;"".mp3]&lt;/div&gt;"""),"&lt;ruby&gt;保証&lt;rt&gt;ほしょう&lt;/rt&gt;&lt;/ruby&gt;&lt;br&gt;&lt;div class=""audio""&gt;[sound:ほしょう.mp3]&lt;/div&gt;")</f>
        <v>&lt;ruby&gt;保証&lt;rt&gt;ほしょう&lt;/rt&gt;&lt;/ruby&gt;&lt;br&gt;&lt;div class="audio"&gt;[sound:ほしょう.mp3]&lt;/div&gt;</v>
      </c>
      <c r="H2587" s="3" t="str">
        <f t="shared" si="1"/>
        <v>(n): bảo đảm</v>
      </c>
      <c r="I2587" s="6" t="s">
        <v>14134</v>
      </c>
      <c r="J2587" s="6" t="s">
        <v>14135</v>
      </c>
      <c r="K2587" s="7">
        <f t="shared" si="2"/>
        <v>0.3276744274</v>
      </c>
    </row>
    <row r="2588">
      <c r="A2588" s="4">
        <v>2588.0</v>
      </c>
      <c r="B2588" s="5" t="s">
        <v>14136</v>
      </c>
      <c r="C2588" s="5" t="s">
        <v>3205</v>
      </c>
      <c r="D2588" s="5" t="s">
        <v>14137</v>
      </c>
      <c r="E2588" s="6" t="s">
        <v>74</v>
      </c>
      <c r="F2588" s="6" t="s">
        <v>14138</v>
      </c>
      <c r="G2588" s="3" t="str">
        <f>IFERROR(__xludf.DUMMYFUNCTION("REGEXREPLACE(
D2588,
""([一-龯々]+)\[([^\]]+)\]"",
""&lt;ruby&gt;$1&lt;rt&gt;$2&lt;/rt&gt;&lt;/ruby&gt;""
)&amp;""&lt;br&gt;&lt;div class=""""audio""""&gt;[sound:""&amp;C2588&amp;"".mp3]&lt;/div&gt;"""),"&lt;ruby&gt;化学&lt;rt&gt;かがく&lt;/rt&gt;&lt;/ruby&gt;&lt;br&gt;&lt;div class=""audio""&gt;[sound:かがく.mp3]&lt;/div&gt;")</f>
        <v>&lt;ruby&gt;化学&lt;rt&gt;かがく&lt;/rt&gt;&lt;/ruby&gt;&lt;br&gt;&lt;div class="audio"&gt;[sound:かがく.mp3]&lt;/div&gt;</v>
      </c>
      <c r="H2588" s="3" t="str">
        <f t="shared" si="1"/>
        <v>(n): hóa học</v>
      </c>
      <c r="I2588" s="6" t="s">
        <v>14139</v>
      </c>
      <c r="J2588" s="6" t="s">
        <v>14140</v>
      </c>
      <c r="K2588" s="7">
        <f t="shared" si="2"/>
        <v>0.4955640991</v>
      </c>
    </row>
    <row r="2589">
      <c r="A2589" s="4">
        <v>2589.0</v>
      </c>
      <c r="B2589" s="5" t="s">
        <v>14141</v>
      </c>
      <c r="C2589" s="5" t="s">
        <v>14142</v>
      </c>
      <c r="D2589" s="5" t="s">
        <v>14143</v>
      </c>
      <c r="E2589" s="6" t="s">
        <v>74</v>
      </c>
      <c r="F2589" s="6" t="s">
        <v>4306</v>
      </c>
      <c r="G2589" s="3" t="str">
        <f>IFERROR(__xludf.DUMMYFUNCTION("REGEXREPLACE(
D2589,
""([一-龯々]+)\[([^\]]+)\]"",
""&lt;ruby&gt;$1&lt;rt&gt;$2&lt;/rt&gt;&lt;/ruby&gt;""
)&amp;""&lt;br&gt;&lt;div class=""""audio""""&gt;[sound:""&amp;C2589&amp;"".mp3]&lt;/div&gt;"""),"&lt;ruby&gt;祖母&lt;rt&gt;そぼ&lt;/rt&gt;&lt;/ruby&gt;&lt;br&gt;&lt;div class=""audio""&gt;[sound:そぼ.mp3]&lt;/div&gt;")</f>
        <v>&lt;ruby&gt;祖母&lt;rt&gt;そぼ&lt;/rt&gt;&lt;/ruby&gt;&lt;br&gt;&lt;div class="audio"&gt;[sound:そぼ.mp3]&lt;/div&gt;</v>
      </c>
      <c r="H2589" s="3" t="str">
        <f t="shared" si="1"/>
        <v>(n): bà</v>
      </c>
      <c r="I2589" s="6" t="s">
        <v>14144</v>
      </c>
      <c r="J2589" s="6" t="s">
        <v>14145</v>
      </c>
      <c r="K2589" s="7">
        <f t="shared" si="2"/>
        <v>0.7785436566</v>
      </c>
    </row>
    <row r="2590">
      <c r="A2590" s="4">
        <v>2590.0</v>
      </c>
      <c r="B2590" s="5" t="s">
        <v>14146</v>
      </c>
      <c r="C2590" s="5" t="s">
        <v>14147</v>
      </c>
      <c r="D2590" s="5" t="s">
        <v>14148</v>
      </c>
      <c r="E2590" s="6" t="s">
        <v>24</v>
      </c>
      <c r="F2590" s="6" t="s">
        <v>14149</v>
      </c>
      <c r="G2590" s="3" t="str">
        <f>IFERROR(__xludf.DUMMYFUNCTION("REGEXREPLACE(
D2590,
""([一-龯々]+)\[([^\]]+)\]"",
""&lt;ruby&gt;$1&lt;rt&gt;$2&lt;/rt&gt;&lt;/ruby&gt;""
)&amp;""&lt;br&gt;&lt;div class=""""audio""""&gt;[sound:""&amp;C2590&amp;"".mp3]&lt;/div&gt;"""),"&lt;ruby&gt;恵&lt;rt&gt;めぐ&lt;/rt&gt;&lt;/ruby&gt;まれる&lt;br&gt;&lt;div class=""audio""&gt;[sound:めぐまれる.mp3]&lt;/div&gt;")</f>
        <v>&lt;ruby&gt;恵&lt;rt&gt;めぐ&lt;/rt&gt;&lt;/ruby&gt;まれる&lt;br&gt;&lt;div class="audio"&gt;[sound:めぐまれる.mp3]&lt;/div&gt;</v>
      </c>
      <c r="H2590" s="3" t="str">
        <f t="shared" si="1"/>
        <v>(v): được ban cho</v>
      </c>
      <c r="I2590" s="6" t="s">
        <v>14150</v>
      </c>
      <c r="J2590" s="6" t="s">
        <v>14151</v>
      </c>
      <c r="K2590" s="7">
        <f t="shared" si="2"/>
        <v>0.9011599815</v>
      </c>
    </row>
    <row r="2591">
      <c r="A2591" s="4">
        <v>2591.0</v>
      </c>
      <c r="B2591" s="5" t="s">
        <v>14152</v>
      </c>
      <c r="C2591" s="5" t="s">
        <v>14153</v>
      </c>
      <c r="D2591" s="5" t="s">
        <v>14154</v>
      </c>
      <c r="E2591" s="6" t="s">
        <v>74</v>
      </c>
      <c r="F2591" s="6" t="s">
        <v>14155</v>
      </c>
      <c r="G2591" s="3" t="str">
        <f>IFERROR(__xludf.DUMMYFUNCTION("REGEXREPLACE(
D2591,
""([一-龯々]+)\[([^\]]+)\]"",
""&lt;ruby&gt;$1&lt;rt&gt;$2&lt;/rt&gt;&lt;/ruby&gt;""
)&amp;""&lt;br&gt;&lt;div class=""""audio""""&gt;[sound:""&amp;C2591&amp;"".mp3]&lt;/div&gt;"""),"&lt;ruby&gt;薬局&lt;rt&gt;やっきょく&lt;/rt&gt;&lt;/ruby&gt;&lt;br&gt;&lt;div class=""audio""&gt;[sound:やっきょく.mp3]&lt;/div&gt;")</f>
        <v>&lt;ruby&gt;薬局&lt;rt&gt;やっきょく&lt;/rt&gt;&lt;/ruby&gt;&lt;br&gt;&lt;div class="audio"&gt;[sound:やっきょく.mp3]&lt;/div&gt;</v>
      </c>
      <c r="H2591" s="3" t="str">
        <f t="shared" si="1"/>
        <v>(n): hiệu thuốc</v>
      </c>
      <c r="I2591" s="6" t="s">
        <v>14156</v>
      </c>
      <c r="J2591" s="6" t="s">
        <v>14157</v>
      </c>
      <c r="K2591" s="7">
        <f t="shared" si="2"/>
        <v>0.2490324701</v>
      </c>
    </row>
    <row r="2592">
      <c r="A2592" s="4">
        <v>2592.0</v>
      </c>
      <c r="B2592" s="5" t="s">
        <v>14158</v>
      </c>
      <c r="C2592" s="5" t="s">
        <v>10580</v>
      </c>
      <c r="D2592" s="5" t="s">
        <v>14159</v>
      </c>
      <c r="E2592" s="6" t="s">
        <v>24</v>
      </c>
      <c r="F2592" s="6" t="s">
        <v>8245</v>
      </c>
      <c r="G2592" s="3" t="str">
        <f>IFERROR(__xludf.DUMMYFUNCTION("REGEXREPLACE(
D2592,
""([一-龯々]+)\[([^\]]+)\]"",
""&lt;ruby&gt;$1&lt;rt&gt;$2&lt;/rt&gt;&lt;/ruby&gt;""
)&amp;""&lt;br&gt;&lt;div class=""""audio""""&gt;[sound:""&amp;C2592&amp;"".mp3]&lt;/div&gt;"""),"&lt;ruby&gt;務&lt;rt&gt;つと&lt;/rt&gt;&lt;/ruby&gt;める&lt;br&gt;&lt;div class=""audio""&gt;[sound:つとめる.mp3]&lt;/div&gt;")</f>
        <v>&lt;ruby&gt;務&lt;rt&gt;つと&lt;/rt&gt;&lt;/ruby&gt;める&lt;br&gt;&lt;div class="audio"&gt;[sound:つとめる.mp3]&lt;/div&gt;</v>
      </c>
      <c r="H2592" s="3" t="str">
        <f t="shared" si="1"/>
        <v>(v): đảm nhiệm</v>
      </c>
      <c r="I2592" s="6" t="s">
        <v>14160</v>
      </c>
      <c r="J2592" s="6" t="s">
        <v>14161</v>
      </c>
      <c r="K2592" s="7">
        <f t="shared" si="2"/>
        <v>0.1789403857</v>
      </c>
    </row>
    <row r="2593">
      <c r="A2593" s="4">
        <v>2593.0</v>
      </c>
      <c r="B2593" s="5" t="s">
        <v>14162</v>
      </c>
      <c r="C2593" s="5" t="s">
        <v>14163</v>
      </c>
      <c r="D2593" s="5" t="s">
        <v>14164</v>
      </c>
      <c r="E2593" s="6" t="s">
        <v>24</v>
      </c>
      <c r="F2593" s="6" t="s">
        <v>14165</v>
      </c>
      <c r="G2593" s="3" t="str">
        <f>IFERROR(__xludf.DUMMYFUNCTION("REGEXREPLACE(
D2593,
""([一-龯々]+)\[([^\]]+)\]"",
""&lt;ruby&gt;$1&lt;rt&gt;$2&lt;/rt&gt;&lt;/ruby&gt;""
)&amp;""&lt;br&gt;&lt;div class=""""audio""""&gt;[sound:""&amp;C2593&amp;"".mp3]&lt;/div&gt;"""),"&lt;ruby&gt;受&lt;rt&gt;う&lt;/rt&gt;&lt;/ruby&gt;け&lt;ruby&gt;持&lt;rt&gt;も&lt;/rt&gt;&lt;/ruby&gt;つ&lt;br&gt;&lt;div class=""audio""&gt;[sound:うけもつ.mp3]&lt;/div&gt;")</f>
        <v>&lt;ruby&gt;受&lt;rt&gt;う&lt;/rt&gt;&lt;/ruby&gt;け&lt;ruby&gt;持&lt;rt&gt;も&lt;/rt&gt;&lt;/ruby&gt;つ&lt;br&gt;&lt;div class="audio"&gt;[sound:うけもつ.mp3]&lt;/div&gt;</v>
      </c>
      <c r="H2593" s="3" t="str">
        <f t="shared" si="1"/>
        <v>(v): phụ trách</v>
      </c>
      <c r="I2593" s="6" t="s">
        <v>14166</v>
      </c>
      <c r="J2593" s="6" t="s">
        <v>14167</v>
      </c>
      <c r="K2593" s="7">
        <f t="shared" si="2"/>
        <v>0.6846190545</v>
      </c>
    </row>
    <row r="2594">
      <c r="A2594" s="4">
        <v>2594.0</v>
      </c>
      <c r="B2594" s="5" t="s">
        <v>14168</v>
      </c>
      <c r="C2594" s="5" t="s">
        <v>4723</v>
      </c>
      <c r="D2594" s="5" t="s">
        <v>14169</v>
      </c>
      <c r="E2594" s="6" t="s">
        <v>74</v>
      </c>
      <c r="F2594" s="6" t="s">
        <v>14170</v>
      </c>
      <c r="G2594" s="3" t="str">
        <f>IFERROR(__xludf.DUMMYFUNCTION("REGEXREPLACE(
D2594,
""([一-龯々]+)\[([^\]]+)\]"",
""&lt;ruby&gt;$1&lt;rt&gt;$2&lt;/rt&gt;&lt;/ruby&gt;""
)&amp;""&lt;br&gt;&lt;div class=""""audio""""&gt;[sound:""&amp;C2594&amp;"".mp3]&lt;/div&gt;"""),"&lt;ruby&gt;形態&lt;rt&gt;けいたい&lt;/rt&gt;&lt;/ruby&gt;&lt;br&gt;&lt;div class=""audio""&gt;[sound:けいたい.mp3]&lt;/div&gt;")</f>
        <v>&lt;ruby&gt;形態&lt;rt&gt;けいたい&lt;/rt&gt;&lt;/ruby&gt;&lt;br&gt;&lt;div class="audio"&gt;[sound:けいたい.mp3]&lt;/div&gt;</v>
      </c>
      <c r="H2594" s="3" t="str">
        <f t="shared" si="1"/>
        <v>(n): hình thái</v>
      </c>
      <c r="I2594" s="6" t="s">
        <v>14171</v>
      </c>
      <c r="J2594" s="6" t="s">
        <v>14172</v>
      </c>
      <c r="K2594" s="7">
        <f t="shared" si="2"/>
        <v>0.6664796421</v>
      </c>
    </row>
    <row r="2595">
      <c r="A2595" s="4">
        <v>2595.0</v>
      </c>
      <c r="B2595" s="5" t="s">
        <v>14173</v>
      </c>
      <c r="C2595" s="5" t="s">
        <v>14174</v>
      </c>
      <c r="D2595" s="5" t="s">
        <v>14175</v>
      </c>
      <c r="E2595" s="6" t="s">
        <v>74</v>
      </c>
      <c r="F2595" s="6" t="s">
        <v>14176</v>
      </c>
      <c r="G2595" s="3" t="str">
        <f>IFERROR(__xludf.DUMMYFUNCTION("REGEXREPLACE(
D2595,
""([一-龯々]+)\[([^\]]+)\]"",
""&lt;ruby&gt;$1&lt;rt&gt;$2&lt;/rt&gt;&lt;/ruby&gt;""
)&amp;""&lt;br&gt;&lt;div class=""""audio""""&gt;[sound:""&amp;C2595&amp;"".mp3]&lt;/div&gt;"""),"&lt;ruby&gt;老人&lt;rt&gt;ろうじん&lt;/rt&gt;&lt;/ruby&gt;&lt;br&gt;&lt;div class=""audio""&gt;[sound:ろうじん.mp3]&lt;/div&gt;")</f>
        <v>&lt;ruby&gt;老人&lt;rt&gt;ろうじん&lt;/rt&gt;&lt;/ruby&gt;&lt;br&gt;&lt;div class="audio"&gt;[sound:ろうじん.mp3]&lt;/div&gt;</v>
      </c>
      <c r="H2595" s="3" t="str">
        <f t="shared" si="1"/>
        <v>(n): người già</v>
      </c>
      <c r="I2595" s="6" t="s">
        <v>14177</v>
      </c>
      <c r="J2595" s="6" t="s">
        <v>14178</v>
      </c>
      <c r="K2595" s="7">
        <f t="shared" si="2"/>
        <v>0.6224245909</v>
      </c>
    </row>
    <row r="2596">
      <c r="A2596" s="4">
        <v>2596.0</v>
      </c>
      <c r="B2596" s="5" t="s">
        <v>14179</v>
      </c>
      <c r="C2596" s="5" t="s">
        <v>14180</v>
      </c>
      <c r="D2596" s="5" t="s">
        <v>14181</v>
      </c>
      <c r="E2596" s="6" t="s">
        <v>24</v>
      </c>
      <c r="F2596" s="6" t="s">
        <v>14182</v>
      </c>
      <c r="G2596" s="3" t="str">
        <f>IFERROR(__xludf.DUMMYFUNCTION("REGEXREPLACE(
D2596,
""([一-龯々]+)\[([^\]]+)\]"",
""&lt;ruby&gt;$1&lt;rt&gt;$2&lt;/rt&gt;&lt;/ruby&gt;""
)&amp;""&lt;br&gt;&lt;div class=""""audio""""&gt;[sound:""&amp;C2596&amp;"".mp3]&lt;/div&gt;"""),"&lt;ruby&gt;褒&lt;rt&gt;ほ&lt;/rt&gt;&lt;/ruby&gt;める&lt;br&gt;&lt;div class=""audio""&gt;[sound:ほめる.mp3]&lt;/div&gt;")</f>
        <v>&lt;ruby&gt;褒&lt;rt&gt;ほ&lt;/rt&gt;&lt;/ruby&gt;める&lt;br&gt;&lt;div class="audio"&gt;[sound:ほめる.mp3]&lt;/div&gt;</v>
      </c>
      <c r="H2596" s="3" t="str">
        <f t="shared" si="1"/>
        <v>(v): khen ngợi</v>
      </c>
      <c r="I2596" s="6" t="s">
        <v>14183</v>
      </c>
      <c r="J2596" s="6" t="s">
        <v>14184</v>
      </c>
      <c r="K2596" s="7">
        <f t="shared" si="2"/>
        <v>0.565571697</v>
      </c>
    </row>
    <row r="2597">
      <c r="A2597" s="4">
        <v>2597.0</v>
      </c>
      <c r="B2597" s="5" t="s">
        <v>14185</v>
      </c>
      <c r="C2597" s="5" t="s">
        <v>14186</v>
      </c>
      <c r="D2597" s="5" t="s">
        <v>14187</v>
      </c>
      <c r="E2597" s="6" t="s">
        <v>74</v>
      </c>
      <c r="F2597" s="6" t="s">
        <v>14110</v>
      </c>
      <c r="G2597" s="3" t="str">
        <f>IFERROR(__xludf.DUMMYFUNCTION("REGEXREPLACE(
D2597,
""([一-龯々]+)\[([^\]]+)\]"",
""&lt;ruby&gt;$1&lt;rt&gt;$2&lt;/rt&gt;&lt;/ruby&gt;""
)&amp;""&lt;br&gt;&lt;div class=""""audio""""&gt;[sound:""&amp;C2597&amp;"".mp3]&lt;/div&gt;"""),"&lt;ruby&gt;願&lt;rt&gt;ねが&lt;/rt&gt;&lt;/ruby&gt;い&lt;br&gt;&lt;div class=""audio""&gt;[sound:ねがい.mp3]&lt;/div&gt;")</f>
        <v>&lt;ruby&gt;願&lt;rt&gt;ねが&lt;/rt&gt;&lt;/ruby&gt;い&lt;br&gt;&lt;div class="audio"&gt;[sound:ねがい.mp3]&lt;/div&gt;</v>
      </c>
      <c r="H2597" s="3" t="str">
        <f t="shared" si="1"/>
        <v>(n): mong muốn</v>
      </c>
      <c r="I2597" s="6" t="s">
        <v>14188</v>
      </c>
      <c r="J2597" s="6" t="s">
        <v>14189</v>
      </c>
      <c r="K2597" s="7">
        <f t="shared" si="2"/>
        <v>0.1726118198</v>
      </c>
    </row>
    <row r="2598">
      <c r="A2598" s="4">
        <v>2598.0</v>
      </c>
      <c r="B2598" s="5" t="s">
        <v>14190</v>
      </c>
      <c r="C2598" s="5" t="s">
        <v>14191</v>
      </c>
      <c r="D2598" s="5" t="s">
        <v>14192</v>
      </c>
      <c r="E2598" s="6" t="s">
        <v>24</v>
      </c>
      <c r="F2598" s="6" t="s">
        <v>14193</v>
      </c>
      <c r="G2598" s="3" t="str">
        <f>IFERROR(__xludf.DUMMYFUNCTION("REGEXREPLACE(
D2598,
""([一-龯々]+)\[([^\]]+)\]"",
""&lt;ruby&gt;$1&lt;rt&gt;$2&lt;/rt&gt;&lt;/ruby&gt;""
)&amp;""&lt;br&gt;&lt;div class=""""audio""""&gt;[sound:""&amp;C2598&amp;"".mp3]&lt;/div&gt;"""),"&lt;ruby&gt;好&lt;rt&gt;この&lt;/rt&gt;&lt;/ruby&gt;む&lt;br&gt;&lt;div class=""audio""&gt;[sound:このむ.mp3]&lt;/div&gt;")</f>
        <v>&lt;ruby&gt;好&lt;rt&gt;この&lt;/rt&gt;&lt;/ruby&gt;む&lt;br&gt;&lt;div class="audio"&gt;[sound:このむ.mp3]&lt;/div&gt;</v>
      </c>
      <c r="H2598" s="3" t="str">
        <f t="shared" si="1"/>
        <v>(v): ưa thích</v>
      </c>
      <c r="I2598" s="6" t="s">
        <v>14194</v>
      </c>
      <c r="J2598" s="6" t="s">
        <v>14195</v>
      </c>
      <c r="K2598" s="7">
        <f t="shared" si="2"/>
        <v>0.8205771745</v>
      </c>
    </row>
    <row r="2599">
      <c r="A2599" s="4">
        <v>2599.0</v>
      </c>
      <c r="B2599" s="5" t="s">
        <v>14196</v>
      </c>
      <c r="C2599" s="5" t="s">
        <v>14197</v>
      </c>
      <c r="D2599" s="5" t="s">
        <v>14198</v>
      </c>
      <c r="E2599" s="6" t="s">
        <v>74</v>
      </c>
      <c r="F2599" s="6" t="s">
        <v>14199</v>
      </c>
      <c r="G2599" s="3" t="str">
        <f>IFERROR(__xludf.DUMMYFUNCTION("REGEXREPLACE(
D2599,
""([一-龯々]+)\[([^\]]+)\]"",
""&lt;ruby&gt;$1&lt;rt&gt;$2&lt;/rt&gt;&lt;/ruby&gt;""
)&amp;""&lt;br&gt;&lt;div class=""""audio""""&gt;[sound:""&amp;C2599&amp;"".mp3]&lt;/div&gt;"""),"&lt;ruby&gt;実力&lt;rt&gt;じつりょく&lt;/rt&gt;&lt;/ruby&gt;&lt;br&gt;&lt;div class=""audio""&gt;[sound:じつりょく.mp3]&lt;/div&gt;")</f>
        <v>&lt;ruby&gt;実力&lt;rt&gt;じつりょく&lt;/rt&gt;&lt;/ruby&gt;&lt;br&gt;&lt;div class="audio"&gt;[sound:じつりょく.mp3]&lt;/div&gt;</v>
      </c>
      <c r="H2599" s="3" t="str">
        <f t="shared" si="1"/>
        <v>(n): thực lực</v>
      </c>
      <c r="I2599" s="6" t="s">
        <v>14200</v>
      </c>
      <c r="J2599" s="6" t="s">
        <v>14201</v>
      </c>
      <c r="K2599" s="7">
        <f t="shared" si="2"/>
        <v>0.1861052977</v>
      </c>
    </row>
    <row r="2600">
      <c r="A2600" s="4">
        <v>2600.0</v>
      </c>
      <c r="B2600" s="5" t="s">
        <v>14202</v>
      </c>
      <c r="C2600" s="5" t="s">
        <v>14203</v>
      </c>
      <c r="D2600" s="5" t="s">
        <v>14204</v>
      </c>
      <c r="E2600" s="6" t="s">
        <v>24</v>
      </c>
      <c r="F2600" s="6" t="s">
        <v>2939</v>
      </c>
      <c r="G2600" s="3" t="str">
        <f>IFERROR(__xludf.DUMMYFUNCTION("REGEXREPLACE(
D2600,
""([一-龯々]+)\[([^\]]+)\]"",
""&lt;ruby&gt;$1&lt;rt&gt;$2&lt;/rt&gt;&lt;/ruby&gt;""
)&amp;""&lt;br&gt;&lt;div class=""""audio""""&gt;[sound:""&amp;C2600&amp;"".mp3]&lt;/div&gt;"""),"&lt;ruby&gt;築&lt;rt&gt;きず&lt;/rt&gt;&lt;/ruby&gt;く&lt;br&gt;&lt;div class=""audio""&gt;[sound:きずく.mp3]&lt;/div&gt;")</f>
        <v>&lt;ruby&gt;築&lt;rt&gt;きず&lt;/rt&gt;&lt;/ruby&gt;く&lt;br&gt;&lt;div class="audio"&gt;[sound:きずく.mp3]&lt;/div&gt;</v>
      </c>
      <c r="H2600" s="3" t="str">
        <f t="shared" si="1"/>
        <v>(v): xây dựng</v>
      </c>
      <c r="I2600" s="6" t="s">
        <v>14205</v>
      </c>
      <c r="J2600" s="6" t="s">
        <v>14206</v>
      </c>
      <c r="K2600" s="7">
        <f t="shared" si="2"/>
        <v>0.2628259728</v>
      </c>
    </row>
    <row r="2601">
      <c r="A2601" s="4">
        <v>2601.0</v>
      </c>
      <c r="B2601" s="5" t="s">
        <v>14207</v>
      </c>
      <c r="C2601" s="5" t="s">
        <v>14208</v>
      </c>
      <c r="D2601" s="5" t="s">
        <v>14209</v>
      </c>
      <c r="E2601" s="6" t="s">
        <v>74</v>
      </c>
      <c r="F2601" s="6" t="s">
        <v>7167</v>
      </c>
      <c r="G2601" s="3" t="str">
        <f>IFERROR(__xludf.DUMMYFUNCTION("REGEXREPLACE(
D2601,
""([一-龯々]+)\[([^\]]+)\]"",
""&lt;ruby&gt;$1&lt;rt&gt;$2&lt;/rt&gt;&lt;/ruby&gt;""
)&amp;""&lt;br&gt;&lt;div class=""""audio""""&gt;[sound:""&amp;C2601&amp;"".mp3]&lt;/div&gt;"""),"&lt;ruby&gt;議会&lt;rt&gt;ぎかい&lt;/rt&gt;&lt;/ruby&gt;&lt;br&gt;&lt;div class=""audio""&gt;[sound:ぎかい.mp3]&lt;/div&gt;")</f>
        <v>&lt;ruby&gt;議会&lt;rt&gt;ぎかい&lt;/rt&gt;&lt;/ruby&gt;&lt;br&gt;&lt;div class="audio"&gt;[sound:ぎかい.mp3]&lt;/div&gt;</v>
      </c>
      <c r="H2601" s="3" t="str">
        <f t="shared" si="1"/>
        <v>(n): quốc hội</v>
      </c>
      <c r="I2601" s="6" t="s">
        <v>14210</v>
      </c>
      <c r="J2601" s="6" t="s">
        <v>14211</v>
      </c>
      <c r="K2601" s="7">
        <f t="shared" si="2"/>
        <v>0.9293914824</v>
      </c>
    </row>
    <row r="2602">
      <c r="A2602" s="4">
        <v>2602.0</v>
      </c>
      <c r="B2602" s="5" t="s">
        <v>14212</v>
      </c>
      <c r="C2602" s="5" t="s">
        <v>14213</v>
      </c>
      <c r="D2602" s="5" t="s">
        <v>14214</v>
      </c>
      <c r="E2602" s="6" t="s">
        <v>24</v>
      </c>
      <c r="F2602" s="6" t="s">
        <v>8547</v>
      </c>
      <c r="G2602" s="3" t="str">
        <f>IFERROR(__xludf.DUMMYFUNCTION("REGEXREPLACE(
D2602,
""([一-龯々]+)\[([^\]]+)\]"",
""&lt;ruby&gt;$1&lt;rt&gt;$2&lt;/rt&gt;&lt;/ruby&gt;""
)&amp;""&lt;br&gt;&lt;div class=""""audio""""&gt;[sound:""&amp;C2602&amp;"".mp3]&lt;/div&gt;"""),"&lt;ruby&gt;超&lt;rt&gt;こ&lt;/rt&gt;&lt;/ruby&gt;す&lt;br&gt;&lt;div class=""audio""&gt;[sound:こす.mp3]&lt;/div&gt;")</f>
        <v>&lt;ruby&gt;超&lt;rt&gt;こ&lt;/rt&gt;&lt;/ruby&gt;す&lt;br&gt;&lt;div class="audio"&gt;[sound:こす.mp3]&lt;/div&gt;</v>
      </c>
      <c r="H2602" s="3" t="str">
        <f t="shared" si="1"/>
        <v>(v): vượt qua</v>
      </c>
      <c r="I2602" s="6" t="s">
        <v>14215</v>
      </c>
      <c r="J2602" s="6" t="s">
        <v>14216</v>
      </c>
      <c r="K2602" s="7">
        <f t="shared" si="2"/>
        <v>0.3414235437</v>
      </c>
    </row>
    <row r="2603">
      <c r="A2603" s="4">
        <v>2603.0</v>
      </c>
      <c r="B2603" s="5" t="s">
        <v>14217</v>
      </c>
      <c r="C2603" s="5" t="s">
        <v>14218</v>
      </c>
      <c r="D2603" s="5" t="s">
        <v>14219</v>
      </c>
      <c r="E2603" s="6" t="s">
        <v>74</v>
      </c>
      <c r="F2603" s="6" t="s">
        <v>14220</v>
      </c>
      <c r="G2603" s="3" t="str">
        <f>IFERROR(__xludf.DUMMYFUNCTION("REGEXREPLACE(
D2603,
""([一-龯々]+)\[([^\]]+)\]"",
""&lt;ruby&gt;$1&lt;rt&gt;$2&lt;/rt&gt;&lt;/ruby&gt;""
)&amp;""&lt;br&gt;&lt;div class=""""audio""""&gt;[sound:""&amp;C2603&amp;"".mp3]&lt;/div&gt;"""),"&lt;ruby&gt;地面&lt;rt&gt;じめん&lt;/rt&gt;&lt;/ruby&gt;&lt;br&gt;&lt;div class=""audio""&gt;[sound:じめん.mp3]&lt;/div&gt;")</f>
        <v>&lt;ruby&gt;地面&lt;rt&gt;じめん&lt;/rt&gt;&lt;/ruby&gt;&lt;br&gt;&lt;div class="audio"&gt;[sound:じめん.mp3]&lt;/div&gt;</v>
      </c>
      <c r="H2603" s="3" t="str">
        <f t="shared" si="1"/>
        <v>(n): mặt đất</v>
      </c>
      <c r="I2603" s="6" t="s">
        <v>14221</v>
      </c>
      <c r="J2603" s="6" t="s">
        <v>14222</v>
      </c>
      <c r="K2603" s="7">
        <f t="shared" si="2"/>
        <v>0.4938834551</v>
      </c>
    </row>
    <row r="2604">
      <c r="A2604" s="4">
        <v>2604.0</v>
      </c>
      <c r="B2604" s="5" t="s">
        <v>14223</v>
      </c>
      <c r="C2604" s="5" t="s">
        <v>11060</v>
      </c>
      <c r="D2604" s="5" t="s">
        <v>14224</v>
      </c>
      <c r="E2604" s="6" t="s">
        <v>74</v>
      </c>
      <c r="F2604" s="6" t="s">
        <v>14225</v>
      </c>
      <c r="G2604" s="3" t="str">
        <f>IFERROR(__xludf.DUMMYFUNCTION("REGEXREPLACE(
D2604,
""([一-龯々]+)\[([^\]]+)\]"",
""&lt;ruby&gt;$1&lt;rt&gt;$2&lt;/rt&gt;&lt;/ruby&gt;""
)&amp;""&lt;br&gt;&lt;div class=""""audio""""&gt;[sound:""&amp;C2604&amp;"".mp3]&lt;/div&gt;"""),"&lt;ruby&gt;城&lt;rt&gt;しろ&lt;/rt&gt;&lt;/ruby&gt;&lt;br&gt;&lt;div class=""audio""&gt;[sound:しろ.mp3]&lt;/div&gt;")</f>
        <v>&lt;ruby&gt;城&lt;rt&gt;しろ&lt;/rt&gt;&lt;/ruby&gt;&lt;br&gt;&lt;div class="audio"&gt;[sound:しろ.mp3]&lt;/div&gt;</v>
      </c>
      <c r="H2604" s="3" t="str">
        <f t="shared" si="1"/>
        <v>(n): lâu đài</v>
      </c>
      <c r="I2604" s="6" t="s">
        <v>14226</v>
      </c>
      <c r="J2604" s="6" t="s">
        <v>14227</v>
      </c>
      <c r="K2604" s="7">
        <f t="shared" si="2"/>
        <v>0.1878300275</v>
      </c>
    </row>
    <row r="2605">
      <c r="A2605" s="4">
        <v>2605.0</v>
      </c>
      <c r="B2605" s="5" t="s">
        <v>14228</v>
      </c>
      <c r="C2605" s="5" t="s">
        <v>14229</v>
      </c>
      <c r="D2605" s="5" t="s">
        <v>14230</v>
      </c>
      <c r="E2605" s="6" t="s">
        <v>24</v>
      </c>
      <c r="F2605" s="6" t="s">
        <v>4596</v>
      </c>
      <c r="G2605" s="3" t="str">
        <f>IFERROR(__xludf.DUMMYFUNCTION("REGEXREPLACE(
D2605,
""([一-龯々]+)\[([^\]]+)\]"",
""&lt;ruby&gt;$1&lt;rt&gt;$2&lt;/rt&gt;&lt;/ruby&gt;""
)&amp;""&lt;br&gt;&lt;div class=""""audio""""&gt;[sound:""&amp;C2605&amp;"".mp3]&lt;/div&gt;"""),"&lt;ruby&gt;悲&lt;rt&gt;かな&lt;/rt&gt;&lt;/ruby&gt;しむ&lt;br&gt;&lt;div class=""audio""&gt;[sound:かなしむ.mp3]&lt;/div&gt;")</f>
        <v>&lt;ruby&gt;悲&lt;rt&gt;かな&lt;/rt&gt;&lt;/ruby&gt;しむ&lt;br&gt;&lt;div class="audio"&gt;[sound:かなしむ.mp3]&lt;/div&gt;</v>
      </c>
      <c r="H2605" s="3" t="str">
        <f t="shared" si="1"/>
        <v>(v): buồn bã</v>
      </c>
      <c r="I2605" s="6" t="s">
        <v>14231</v>
      </c>
      <c r="J2605" s="6" t="s">
        <v>14232</v>
      </c>
      <c r="K2605" s="7">
        <f t="shared" si="2"/>
        <v>0.1783713635</v>
      </c>
    </row>
    <row r="2606">
      <c r="A2606" s="4">
        <v>2606.0</v>
      </c>
      <c r="B2606" s="5" t="s">
        <v>14233</v>
      </c>
      <c r="C2606" s="5" t="s">
        <v>14234</v>
      </c>
      <c r="D2606" s="5" t="s">
        <v>14235</v>
      </c>
      <c r="E2606" s="6" t="s">
        <v>24</v>
      </c>
      <c r="F2606" s="6" t="s">
        <v>14236</v>
      </c>
      <c r="G2606" s="3" t="str">
        <f>IFERROR(__xludf.DUMMYFUNCTION("REGEXREPLACE(
D2606,
""([一-龯々]+)\[([^\]]+)\]"",
""&lt;ruby&gt;$1&lt;rt&gt;$2&lt;/rt&gt;&lt;/ruby&gt;""
)&amp;""&lt;br&gt;&lt;div class=""""audio""""&gt;[sound:""&amp;C2606&amp;"".mp3]&lt;/div&gt;"""),"&lt;ruby&gt;見送&lt;rt&gt;みおく&lt;/rt&gt;&lt;/ruby&gt;る&lt;br&gt;&lt;div class=""audio""&gt;[sound:みおくる.mp3]&lt;/div&gt;")</f>
        <v>&lt;ruby&gt;見送&lt;rt&gt;みおく&lt;/rt&gt;&lt;/ruby&gt;る&lt;br&gt;&lt;div class="audio"&gt;[sound:みおくる.mp3]&lt;/div&gt;</v>
      </c>
      <c r="H2606" s="3" t="str">
        <f t="shared" si="1"/>
        <v>(v): tiễn</v>
      </c>
      <c r="I2606" s="6" t="s">
        <v>14237</v>
      </c>
      <c r="J2606" s="6" t="s">
        <v>14238</v>
      </c>
      <c r="K2606" s="7">
        <f t="shared" si="2"/>
        <v>0.1723055624</v>
      </c>
    </row>
    <row r="2607">
      <c r="A2607" s="4">
        <v>2607.0</v>
      </c>
      <c r="B2607" s="5" t="s">
        <v>14239</v>
      </c>
      <c r="C2607" s="5" t="s">
        <v>732</v>
      </c>
      <c r="D2607" s="5" t="s">
        <v>14240</v>
      </c>
      <c r="E2607" s="6" t="s">
        <v>58</v>
      </c>
      <c r="F2607" s="6" t="s">
        <v>14241</v>
      </c>
      <c r="G2607" s="3" t="str">
        <f>IFERROR(__xludf.DUMMYFUNCTION("REGEXREPLACE(
D2607,
""([一-龯々]+)\[([^\]]+)\]"",
""&lt;ruby&gt;$1&lt;rt&gt;$2&lt;/rt&gt;&lt;/ruby&gt;""
)&amp;""&lt;br&gt;&lt;div class=""""audio""""&gt;[sound:""&amp;C2607&amp;"".mp3]&lt;/div&gt;"""),"&lt;ruby&gt;億&lt;rt&gt;おく&lt;/rt&gt;&lt;/ruby&gt;&lt;br&gt;&lt;div class=""audio""&gt;[sound:おく.mp3]&lt;/div&gt;")</f>
        <v>&lt;ruby&gt;億&lt;rt&gt;おく&lt;/rt&gt;&lt;/ruby&gt;&lt;br&gt;&lt;div class="audio"&gt;[sound:おく.mp3]&lt;/div&gt;</v>
      </c>
      <c r="H2607" s="3" t="str">
        <f t="shared" si="1"/>
        <v>(num): một trăm triệu</v>
      </c>
      <c r="I2607" s="6" t="s">
        <v>14242</v>
      </c>
      <c r="J2607" s="6" t="s">
        <v>14243</v>
      </c>
      <c r="K2607" s="7">
        <f t="shared" si="2"/>
        <v>0.6642445292</v>
      </c>
    </row>
    <row r="2608">
      <c r="A2608" s="4">
        <v>2608.0</v>
      </c>
      <c r="B2608" s="5" t="s">
        <v>14244</v>
      </c>
      <c r="C2608" s="5" t="s">
        <v>14245</v>
      </c>
      <c r="D2608" s="5" t="s">
        <v>14246</v>
      </c>
      <c r="E2608" s="6" t="s">
        <v>74</v>
      </c>
      <c r="F2608" s="6" t="s">
        <v>5146</v>
      </c>
      <c r="G2608" s="3" t="str">
        <f>IFERROR(__xludf.DUMMYFUNCTION("REGEXREPLACE(
D2608,
""([一-龯々]+)\[([^\]]+)\]"",
""&lt;ruby&gt;$1&lt;rt&gt;$2&lt;/rt&gt;&lt;/ruby&gt;""
)&amp;""&lt;br&gt;&lt;div class=""""audio""""&gt;[sound:""&amp;C2608&amp;"".mp3]&lt;/div&gt;"""),"&lt;ruby&gt;土産&lt;rt&gt;みやげ&lt;/rt&gt;&lt;/ruby&gt;&lt;br&gt;&lt;div class=""audio""&gt;[sound:みやげ.mp3]&lt;/div&gt;")</f>
        <v>&lt;ruby&gt;土産&lt;rt&gt;みやげ&lt;/rt&gt;&lt;/ruby&gt;&lt;br&gt;&lt;div class="audio"&gt;[sound:みやげ.mp3]&lt;/div&gt;</v>
      </c>
      <c r="H2608" s="3" t="str">
        <f t="shared" si="1"/>
        <v>(n): quà lưu niệm</v>
      </c>
      <c r="I2608" s="6" t="s">
        <v>14247</v>
      </c>
      <c r="J2608" s="6" t="s">
        <v>14248</v>
      </c>
      <c r="K2608" s="7">
        <f t="shared" si="2"/>
        <v>0.9158771001</v>
      </c>
    </row>
    <row r="2609">
      <c r="A2609" s="4">
        <v>2609.0</v>
      </c>
      <c r="B2609" s="5" t="s">
        <v>14249</v>
      </c>
      <c r="C2609" s="5" t="s">
        <v>14250</v>
      </c>
      <c r="D2609" s="5" t="s">
        <v>14251</v>
      </c>
      <c r="E2609" s="6" t="s">
        <v>74</v>
      </c>
      <c r="F2609" s="6" t="s">
        <v>14252</v>
      </c>
      <c r="G2609" s="3" t="str">
        <f>IFERROR(__xludf.DUMMYFUNCTION("REGEXREPLACE(
D2609,
""([一-龯々]+)\[([^\]]+)\]"",
""&lt;ruby&gt;$1&lt;rt&gt;$2&lt;/rt&gt;&lt;/ruby&gt;""
)&amp;""&lt;br&gt;&lt;div class=""""audio""""&gt;[sound:""&amp;C2609&amp;"".mp3]&lt;/div&gt;"""),"&lt;ruby&gt;天皇&lt;rt&gt;てんのう&lt;/rt&gt;&lt;/ruby&gt;&lt;br&gt;&lt;div class=""audio""&gt;[sound:てんのう.mp3]&lt;/div&gt;")</f>
        <v>&lt;ruby&gt;天皇&lt;rt&gt;てんのう&lt;/rt&gt;&lt;/ruby&gt;&lt;br&gt;&lt;div class="audio"&gt;[sound:てんのう.mp3]&lt;/div&gt;</v>
      </c>
      <c r="H2609" s="3" t="str">
        <f t="shared" si="1"/>
        <v>(n): thiên hoàng</v>
      </c>
      <c r="I2609" s="6" t="s">
        <v>14253</v>
      </c>
      <c r="J2609" s="6" t="s">
        <v>14254</v>
      </c>
      <c r="K2609" s="7">
        <f t="shared" si="2"/>
        <v>0.6234116298</v>
      </c>
    </row>
    <row r="2610">
      <c r="A2610" s="4">
        <v>2610.0</v>
      </c>
      <c r="B2610" s="5" t="s">
        <v>14255</v>
      </c>
      <c r="C2610" s="5" t="s">
        <v>14256</v>
      </c>
      <c r="D2610" s="5" t="s">
        <v>14255</v>
      </c>
      <c r="E2610" s="6" t="s">
        <v>24</v>
      </c>
      <c r="F2610" s="6" t="s">
        <v>14257</v>
      </c>
      <c r="G2610" s="3" t="str">
        <f>IFERROR(__xludf.DUMMYFUNCTION("REGEXREPLACE(
D2610,
""([一-龯々]+)\[([^\]]+)\]"",
""&lt;ruby&gt;$1&lt;rt&gt;$2&lt;/rt&gt;&lt;/ruby&gt;""
)&amp;""&lt;br&gt;&lt;div class=""""audio""""&gt;[sound:""&amp;C2610&amp;"".mp3]&lt;/div&gt;"""),"マスター&lt;br&gt;&lt;div class=""audio""&gt;[sound:ますたー.mp3]&lt;/div&gt;")</f>
        <v>マスター&lt;br&gt;&lt;div class="audio"&gt;[sound:ますたー.mp3]&lt;/div&gt;</v>
      </c>
      <c r="H2610" s="3" t="str">
        <f t="shared" si="1"/>
        <v>(v): thành thạo</v>
      </c>
      <c r="I2610" s="6" t="s">
        <v>14258</v>
      </c>
      <c r="J2610" s="6" t="s">
        <v>14259</v>
      </c>
      <c r="K2610" s="7">
        <f t="shared" si="2"/>
        <v>0.661136233</v>
      </c>
    </row>
    <row r="2611">
      <c r="A2611" s="4">
        <v>2611.0</v>
      </c>
      <c r="B2611" s="5" t="s">
        <v>14260</v>
      </c>
      <c r="C2611" s="5" t="s">
        <v>14261</v>
      </c>
      <c r="D2611" s="5" t="s">
        <v>14262</v>
      </c>
      <c r="E2611" s="6" t="s">
        <v>74</v>
      </c>
      <c r="F2611" s="6" t="s">
        <v>14263</v>
      </c>
      <c r="G2611" s="3" t="str">
        <f>IFERROR(__xludf.DUMMYFUNCTION("REGEXREPLACE(
D2611,
""([一-龯々]+)\[([^\]]+)\]"",
""&lt;ruby&gt;$1&lt;rt&gt;$2&lt;/rt&gt;&lt;/ruby&gt;""
)&amp;""&lt;br&gt;&lt;div class=""""audio""""&gt;[sound:""&amp;C2611&amp;"".mp3]&lt;/div&gt;"""),"&lt;ruby&gt;成分&lt;rt&gt;せいぶん&lt;/rt&gt;&lt;/ruby&gt;&lt;br&gt;&lt;div class=""audio""&gt;[sound:せいぶん.mp3]&lt;/div&gt;")</f>
        <v>&lt;ruby&gt;成分&lt;rt&gt;せいぶん&lt;/rt&gt;&lt;/ruby&gt;&lt;br&gt;&lt;div class="audio"&gt;[sound:せいぶん.mp3]&lt;/div&gt;</v>
      </c>
      <c r="H2611" s="3" t="str">
        <f t="shared" si="1"/>
        <v>(n): thành phần</v>
      </c>
      <c r="I2611" s="6" t="s">
        <v>14264</v>
      </c>
      <c r="J2611" s="6" t="s">
        <v>14265</v>
      </c>
      <c r="K2611" s="7">
        <f t="shared" si="2"/>
        <v>0.5802299722</v>
      </c>
    </row>
    <row r="2612">
      <c r="A2612" s="4">
        <v>2612.0</v>
      </c>
      <c r="B2612" s="5" t="s">
        <v>14266</v>
      </c>
      <c r="C2612" s="5" t="s">
        <v>14267</v>
      </c>
      <c r="D2612" s="5" t="s">
        <v>14268</v>
      </c>
      <c r="E2612" s="6" t="s">
        <v>24</v>
      </c>
      <c r="F2612" s="6" t="s">
        <v>10453</v>
      </c>
      <c r="G2612" s="3" t="str">
        <f>IFERROR(__xludf.DUMMYFUNCTION("REGEXREPLACE(
D2612,
""([一-龯々]+)\[([^\]]+)\]"",
""&lt;ruby&gt;$1&lt;rt&gt;$2&lt;/rt&gt;&lt;/ruby&gt;""
)&amp;""&lt;br&gt;&lt;div class=""""audio""""&gt;[sound:""&amp;C2612&amp;"".mp3]&lt;/div&gt;"""),"&lt;ruby&gt;論&lt;rt&gt;ろん&lt;/rt&gt;&lt;/ruby&gt;じる&lt;br&gt;&lt;div class=""audio""&gt;[sound:ろんじる.mp3]&lt;/div&gt;")</f>
        <v>&lt;ruby&gt;論&lt;rt&gt;ろん&lt;/rt&gt;&lt;/ruby&gt;じる&lt;br&gt;&lt;div class="audio"&gt;[sound:ろんじる.mp3]&lt;/div&gt;</v>
      </c>
      <c r="H2612" s="3" t="str">
        <f t="shared" si="1"/>
        <v>(v): tranh luận</v>
      </c>
      <c r="I2612" s="6" t="s">
        <v>14269</v>
      </c>
      <c r="J2612" s="6" t="s">
        <v>14270</v>
      </c>
      <c r="K2612" s="7">
        <f t="shared" si="2"/>
        <v>0.2963107062</v>
      </c>
    </row>
    <row r="2613">
      <c r="A2613" s="4">
        <v>2613.0</v>
      </c>
      <c r="B2613" s="5" t="s">
        <v>14271</v>
      </c>
      <c r="C2613" s="5" t="s">
        <v>14272</v>
      </c>
      <c r="D2613" s="5" t="s">
        <v>14273</v>
      </c>
      <c r="E2613" s="6" t="s">
        <v>74</v>
      </c>
      <c r="F2613" s="6" t="s">
        <v>14274</v>
      </c>
      <c r="G2613" s="3" t="str">
        <f>IFERROR(__xludf.DUMMYFUNCTION("REGEXREPLACE(
D2613,
""([一-龯々]+)\[([^\]]+)\]"",
""&lt;ruby&gt;$1&lt;rt&gt;$2&lt;/rt&gt;&lt;/ruby&gt;""
)&amp;""&lt;br&gt;&lt;div class=""""audio""""&gt;[sound:""&amp;C2613&amp;"".mp3]&lt;/div&gt;"""),"&lt;ruby&gt;進行&lt;rt&gt;しんこう&lt;/rt&gt;&lt;/ruby&gt;&lt;br&gt;&lt;div class=""audio""&gt;[sound:しんこう.mp3]&lt;/div&gt;")</f>
        <v>&lt;ruby&gt;進行&lt;rt&gt;しんこう&lt;/rt&gt;&lt;/ruby&gt;&lt;br&gt;&lt;div class="audio"&gt;[sound:しんこう.mp3]&lt;/div&gt;</v>
      </c>
      <c r="H2613" s="3" t="str">
        <f t="shared" si="1"/>
        <v>(n): tiến trình</v>
      </c>
      <c r="I2613" s="6" t="s">
        <v>14275</v>
      </c>
      <c r="J2613" s="6" t="s">
        <v>14276</v>
      </c>
      <c r="K2613" s="7">
        <f t="shared" si="2"/>
        <v>0.2164806442</v>
      </c>
    </row>
    <row r="2614">
      <c r="A2614" s="4">
        <v>2614.0</v>
      </c>
      <c r="B2614" s="5" t="s">
        <v>14277</v>
      </c>
      <c r="C2614" s="5" t="s">
        <v>14278</v>
      </c>
      <c r="D2614" s="5" t="s">
        <v>14279</v>
      </c>
      <c r="E2614" s="6" t="s">
        <v>74</v>
      </c>
      <c r="F2614" s="6" t="s">
        <v>14280</v>
      </c>
      <c r="G2614" s="3" t="str">
        <f>IFERROR(__xludf.DUMMYFUNCTION("REGEXREPLACE(
D2614,
""([一-龯々]+)\[([^\]]+)\]"",
""&lt;ruby&gt;$1&lt;rt&gt;$2&lt;/rt&gt;&lt;/ruby&gt;""
)&amp;""&lt;br&gt;&lt;div class=""""audio""""&gt;[sound:""&amp;C2614&amp;"".mp3]&lt;/div&gt;"""),"&lt;ruby&gt;恋人&lt;rt&gt;こいびと&lt;/rt&gt;&lt;/ruby&gt;&lt;br&gt;&lt;div class=""audio""&gt;[sound:こいびと.mp3]&lt;/div&gt;")</f>
        <v>&lt;ruby&gt;恋人&lt;rt&gt;こいびと&lt;/rt&gt;&lt;/ruby&gt;&lt;br&gt;&lt;div class="audio"&gt;[sound:こいびと.mp3]&lt;/div&gt;</v>
      </c>
      <c r="H2614" s="3" t="str">
        <f t="shared" si="1"/>
        <v>(n): người yêu</v>
      </c>
      <c r="I2614" s="6" t="s">
        <v>14281</v>
      </c>
      <c r="J2614" s="6" t="s">
        <v>14282</v>
      </c>
      <c r="K2614" s="7">
        <f t="shared" si="2"/>
        <v>0.3151692973</v>
      </c>
    </row>
    <row r="2615">
      <c r="A2615" s="4">
        <v>2615.0</v>
      </c>
      <c r="B2615" s="5" t="s">
        <v>14283</v>
      </c>
      <c r="C2615" s="5" t="s">
        <v>14284</v>
      </c>
      <c r="D2615" s="5" t="s">
        <v>14285</v>
      </c>
      <c r="E2615" s="6" t="s">
        <v>24</v>
      </c>
      <c r="F2615" s="6" t="s">
        <v>14286</v>
      </c>
      <c r="G2615" s="3" t="str">
        <f>IFERROR(__xludf.DUMMYFUNCTION("REGEXREPLACE(
D2615,
""([一-龯々]+)\[([^\]]+)\]"",
""&lt;ruby&gt;$1&lt;rt&gt;$2&lt;/rt&gt;&lt;/ruby&gt;""
)&amp;""&lt;br&gt;&lt;div class=""""audio""""&gt;[sound:""&amp;C2615&amp;"".mp3]&lt;/div&gt;"""),"&lt;ruby&gt;重視&lt;rt&gt;じゅうし&lt;/rt&gt;&lt;/ruby&gt;&lt;br&gt;&lt;div class=""audio""&gt;[sound:じゅうし.mp3]&lt;/div&gt;")</f>
        <v>&lt;ruby&gt;重視&lt;rt&gt;じゅうし&lt;/rt&gt;&lt;/ruby&gt;&lt;br&gt;&lt;div class="audio"&gt;[sound:じゅうし.mp3]&lt;/div&gt;</v>
      </c>
      <c r="H2615" s="3" t="str">
        <f t="shared" si="1"/>
        <v>(v): coi trọng</v>
      </c>
      <c r="I2615" s="6" t="s">
        <v>14287</v>
      </c>
      <c r="J2615" s="6" t="s">
        <v>14288</v>
      </c>
      <c r="K2615" s="7">
        <f t="shared" si="2"/>
        <v>0.6408120813</v>
      </c>
    </row>
    <row r="2616">
      <c r="A2616" s="4">
        <v>2616.0</v>
      </c>
      <c r="B2616" s="5" t="s">
        <v>14289</v>
      </c>
      <c r="C2616" s="5" t="s">
        <v>14290</v>
      </c>
      <c r="D2616" s="5" t="s">
        <v>14291</v>
      </c>
      <c r="E2616" s="6" t="s">
        <v>74</v>
      </c>
      <c r="F2616" s="6" t="s">
        <v>14292</v>
      </c>
      <c r="G2616" s="3" t="str">
        <f>IFERROR(__xludf.DUMMYFUNCTION("REGEXREPLACE(
D2616,
""([一-龯々]+)\[([^\]]+)\]"",
""&lt;ruby&gt;$1&lt;rt&gt;$2&lt;/rt&gt;&lt;/ruby&gt;""
)&amp;""&lt;br&gt;&lt;div class=""""audio""""&gt;[sound:""&amp;C2616&amp;"".mp3]&lt;/div&gt;"""),"&lt;ruby&gt;修正&lt;rt&gt;しゅうせい&lt;/rt&gt;&lt;/ruby&gt;&lt;br&gt;&lt;div class=""audio""&gt;[sound:しゅうせい.mp3]&lt;/div&gt;")</f>
        <v>&lt;ruby&gt;修正&lt;rt&gt;しゅうせい&lt;/rt&gt;&lt;/ruby&gt;&lt;br&gt;&lt;div class="audio"&gt;[sound:しゅうせい.mp3]&lt;/div&gt;</v>
      </c>
      <c r="H2616" s="3" t="str">
        <f t="shared" si="1"/>
        <v>(n): sửa chữa</v>
      </c>
      <c r="I2616" s="6" t="s">
        <v>14293</v>
      </c>
      <c r="J2616" s="6" t="s">
        <v>14294</v>
      </c>
      <c r="K2616" s="7">
        <f t="shared" si="2"/>
        <v>0.8040544983</v>
      </c>
    </row>
    <row r="2617">
      <c r="A2617" s="4">
        <v>2617.0</v>
      </c>
      <c r="B2617" s="5" t="s">
        <v>14295</v>
      </c>
      <c r="C2617" s="5" t="s">
        <v>14296</v>
      </c>
      <c r="D2617" s="5" t="s">
        <v>14297</v>
      </c>
      <c r="E2617" s="6" t="s">
        <v>74</v>
      </c>
      <c r="F2617" s="6" t="s">
        <v>14298</v>
      </c>
      <c r="G2617" s="3" t="str">
        <f>IFERROR(__xludf.DUMMYFUNCTION("REGEXREPLACE(
D2617,
""([一-龯々]+)\[([^\]]+)\]"",
""&lt;ruby&gt;$1&lt;rt&gt;$2&lt;/rt&gt;&lt;/ruby&gt;""
)&amp;""&lt;br&gt;&lt;div class=""""audio""""&gt;[sound:""&amp;C2617&amp;"".mp3]&lt;/div&gt;"""),"&lt;ruby&gt;宗教&lt;rt&gt;しゅうきょう&lt;/rt&gt;&lt;/ruby&gt;&lt;br&gt;&lt;div class=""audio""&gt;[sound:しゅうきょう.mp3]&lt;/div&gt;")</f>
        <v>&lt;ruby&gt;宗教&lt;rt&gt;しゅうきょう&lt;/rt&gt;&lt;/ruby&gt;&lt;br&gt;&lt;div class="audio"&gt;[sound:しゅうきょう.mp3]&lt;/div&gt;</v>
      </c>
      <c r="H2617" s="3" t="str">
        <f t="shared" si="1"/>
        <v>(n): tôn giáo</v>
      </c>
      <c r="I2617" s="6" t="s">
        <v>14299</v>
      </c>
      <c r="J2617" s="6" t="s">
        <v>14300</v>
      </c>
      <c r="K2617" s="7">
        <f t="shared" si="2"/>
        <v>0.4225666489</v>
      </c>
    </row>
    <row r="2618">
      <c r="A2618" s="4">
        <v>2618.0</v>
      </c>
      <c r="B2618" s="5" t="s">
        <v>14301</v>
      </c>
      <c r="C2618" s="5" t="s">
        <v>14302</v>
      </c>
      <c r="D2618" s="5" t="s">
        <v>14303</v>
      </c>
      <c r="E2618" s="6" t="s">
        <v>74</v>
      </c>
      <c r="F2618" s="6" t="s">
        <v>14304</v>
      </c>
      <c r="G2618" s="3" t="str">
        <f>IFERROR(__xludf.DUMMYFUNCTION("REGEXREPLACE(
D2618,
""([一-龯々]+)\[([^\]]+)\]"",
""&lt;ruby&gt;$1&lt;rt&gt;$2&lt;/rt&gt;&lt;/ruby&gt;""
)&amp;""&lt;br&gt;&lt;div class=""""audio""""&gt;[sound:""&amp;C2618&amp;"".mp3]&lt;/div&gt;"""),"&lt;ruby&gt;将棋&lt;rt&gt;しょうぎ&lt;/rt&gt;&lt;/ruby&gt;&lt;br&gt;&lt;div class=""audio""&gt;[sound:しょうぎ.mp3]&lt;/div&gt;")</f>
        <v>&lt;ruby&gt;将棋&lt;rt&gt;しょうぎ&lt;/rt&gt;&lt;/ruby&gt;&lt;br&gt;&lt;div class="audio"&gt;[sound:しょうぎ.mp3]&lt;/div&gt;</v>
      </c>
      <c r="H2618" s="3" t="str">
        <f t="shared" si="1"/>
        <v>(n): cờ tướng</v>
      </c>
      <c r="I2618" s="6" t="s">
        <v>14305</v>
      </c>
      <c r="J2618" s="6" t="s">
        <v>14306</v>
      </c>
      <c r="K2618" s="7">
        <f t="shared" si="2"/>
        <v>0.7284478112</v>
      </c>
    </row>
    <row r="2619">
      <c r="A2619" s="4">
        <v>2619.0</v>
      </c>
      <c r="B2619" s="5" t="s">
        <v>14307</v>
      </c>
      <c r="C2619" s="5" t="s">
        <v>5877</v>
      </c>
      <c r="D2619" s="5" t="s">
        <v>14308</v>
      </c>
      <c r="E2619" s="6" t="s">
        <v>74</v>
      </c>
      <c r="F2619" s="6" t="s">
        <v>2939</v>
      </c>
      <c r="G2619" s="3" t="str">
        <f>IFERROR(__xludf.DUMMYFUNCTION("REGEXREPLACE(
D2619,
""([一-龯々]+)\[([^\]]+)\]"",
""&lt;ruby&gt;$1&lt;rt&gt;$2&lt;/rt&gt;&lt;/ruby&gt;""
)&amp;""&lt;br&gt;&lt;div class=""""audio""""&gt;[sound:""&amp;C2619&amp;"".mp3]&lt;/div&gt;"""),"&lt;ruby&gt;建&lt;rt&gt;た&lt;/rt&gt;&lt;/ruby&gt;て&lt;br&gt;&lt;div class=""audio""&gt;[sound:たて.mp3]&lt;/div&gt;")</f>
        <v>&lt;ruby&gt;建&lt;rt&gt;た&lt;/rt&gt;&lt;/ruby&gt;て&lt;br&gt;&lt;div class="audio"&gt;[sound:たて.mp3]&lt;/div&gt;</v>
      </c>
      <c r="H2619" s="3" t="str">
        <f t="shared" si="1"/>
        <v>(n): xây dựng</v>
      </c>
      <c r="I2619" s="6" t="s">
        <v>14309</v>
      </c>
      <c r="J2619" s="6" t="s">
        <v>14310</v>
      </c>
      <c r="K2619" s="7">
        <f t="shared" si="2"/>
        <v>0.8490731969</v>
      </c>
    </row>
    <row r="2620">
      <c r="A2620" s="4">
        <v>2620.0</v>
      </c>
      <c r="B2620" s="5" t="s">
        <v>14311</v>
      </c>
      <c r="C2620" s="5" t="s">
        <v>11580</v>
      </c>
      <c r="D2620" s="5" t="s">
        <v>14312</v>
      </c>
      <c r="E2620" s="6" t="s">
        <v>24</v>
      </c>
      <c r="F2620" s="6" t="s">
        <v>13342</v>
      </c>
      <c r="G2620" s="3" t="str">
        <f>IFERROR(__xludf.DUMMYFUNCTION("REGEXREPLACE(
D2620,
""([一-龯々]+)\[([^\]]+)\]"",
""&lt;ruby&gt;$1&lt;rt&gt;$2&lt;/rt&gt;&lt;/ruby&gt;""
)&amp;""&lt;br&gt;&lt;div class=""""audio""""&gt;[sound:""&amp;C2620&amp;"".mp3]&lt;/div&gt;"""),"&lt;ruby&gt;負&lt;rt&gt;お&lt;/rt&gt;&lt;/ruby&gt;う&lt;br&gt;&lt;div class=""audio""&gt;[sound:おう.mp3]&lt;/div&gt;")</f>
        <v>&lt;ruby&gt;負&lt;rt&gt;お&lt;/rt&gt;&lt;/ruby&gt;う&lt;br&gt;&lt;div class="audio"&gt;[sound:おう.mp3]&lt;/div&gt;</v>
      </c>
      <c r="H2620" s="3" t="str">
        <f t="shared" si="1"/>
        <v>(v): gánh vác</v>
      </c>
      <c r="I2620" s="6" t="s">
        <v>14313</v>
      </c>
      <c r="J2620" s="6" t="s">
        <v>13344</v>
      </c>
      <c r="K2620" s="7">
        <f t="shared" si="2"/>
        <v>0.4748415531</v>
      </c>
    </row>
    <row r="2621">
      <c r="A2621" s="4">
        <v>2621.0</v>
      </c>
      <c r="B2621" s="5" t="s">
        <v>14314</v>
      </c>
      <c r="C2621" s="5" t="s">
        <v>14315</v>
      </c>
      <c r="D2621" s="5" t="s">
        <v>14316</v>
      </c>
      <c r="E2621" s="6" t="s">
        <v>74</v>
      </c>
      <c r="F2621" s="6" t="s">
        <v>14317</v>
      </c>
      <c r="G2621" s="3" t="str">
        <f>IFERROR(__xludf.DUMMYFUNCTION("REGEXREPLACE(
D2621,
""([一-龯々]+)\[([^\]]+)\]"",
""&lt;ruby&gt;$1&lt;rt&gt;$2&lt;/rt&gt;&lt;/ruby&gt;""
)&amp;""&lt;br&gt;&lt;div class=""""audio""""&gt;[sound:""&amp;C2621&amp;"".mp3]&lt;/div&gt;"""),"&lt;ruby&gt;住所&lt;rt&gt;じゅうしょ&lt;/rt&gt;&lt;/ruby&gt;&lt;br&gt;&lt;div class=""audio""&gt;[sound:じゅうしょ.mp3]&lt;/div&gt;")</f>
        <v>&lt;ruby&gt;住所&lt;rt&gt;じゅうしょ&lt;/rt&gt;&lt;/ruby&gt;&lt;br&gt;&lt;div class="audio"&gt;[sound:じゅうしょ.mp3]&lt;/div&gt;</v>
      </c>
      <c r="H2621" s="3" t="str">
        <f t="shared" si="1"/>
        <v>(n): địa chỉ</v>
      </c>
      <c r="I2621" s="6" t="s">
        <v>14318</v>
      </c>
      <c r="J2621" s="6" t="s">
        <v>14319</v>
      </c>
      <c r="K2621" s="7">
        <f t="shared" si="2"/>
        <v>0.04302795229</v>
      </c>
    </row>
    <row r="2622">
      <c r="A2622" s="4">
        <v>2622.0</v>
      </c>
      <c r="B2622" s="5" t="s">
        <v>14320</v>
      </c>
      <c r="C2622" s="5" t="s">
        <v>14321</v>
      </c>
      <c r="D2622" s="5" t="s">
        <v>14322</v>
      </c>
      <c r="E2622" s="6" t="s">
        <v>74</v>
      </c>
      <c r="F2622" s="6" t="s">
        <v>1845</v>
      </c>
      <c r="G2622" s="3" t="str">
        <f>IFERROR(__xludf.DUMMYFUNCTION("REGEXREPLACE(
D2622,
""([一-龯々]+)\[([^\]]+)\]"",
""&lt;ruby&gt;$1&lt;rt&gt;$2&lt;/rt&gt;&lt;/ruby&gt;""
)&amp;""&lt;br&gt;&lt;div class=""""audio""""&gt;[sound:""&amp;C2622&amp;"".mp3]&lt;/div&gt;"""),"&lt;ruby&gt;地区&lt;rt&gt;ちく&lt;/rt&gt;&lt;/ruby&gt;&lt;br&gt;&lt;div class=""audio""&gt;[sound:ちく.mp3]&lt;/div&gt;")</f>
        <v>&lt;ruby&gt;地区&lt;rt&gt;ちく&lt;/rt&gt;&lt;/ruby&gt;&lt;br&gt;&lt;div class="audio"&gt;[sound:ちく.mp3]&lt;/div&gt;</v>
      </c>
      <c r="H2622" s="3" t="str">
        <f t="shared" si="1"/>
        <v>(n): khu vực</v>
      </c>
      <c r="I2622" s="6" t="s">
        <v>14323</v>
      </c>
      <c r="J2622" s="6" t="s">
        <v>14324</v>
      </c>
      <c r="K2622" s="7">
        <f t="shared" si="2"/>
        <v>0.7473252102</v>
      </c>
    </row>
    <row r="2623">
      <c r="A2623" s="4">
        <v>2623.0</v>
      </c>
      <c r="B2623" s="5" t="s">
        <v>14325</v>
      </c>
      <c r="C2623" s="5" t="s">
        <v>14326</v>
      </c>
      <c r="D2623" s="5" t="s">
        <v>14327</v>
      </c>
      <c r="E2623" s="6" t="s">
        <v>74</v>
      </c>
      <c r="F2623" s="6" t="s">
        <v>4028</v>
      </c>
      <c r="G2623" s="3" t="str">
        <f>IFERROR(__xludf.DUMMYFUNCTION("REGEXREPLACE(
D2623,
""([一-龯々]+)\[([^\]]+)\]"",
""&lt;ruby&gt;$1&lt;rt&gt;$2&lt;/rt&gt;&lt;/ruby&gt;""
)&amp;""&lt;br&gt;&lt;div class=""""audio""""&gt;[sound:""&amp;C2623&amp;"".mp3]&lt;/div&gt;"""),"&lt;ruby&gt;行事&lt;rt&gt;ぎょうじ&lt;/rt&gt;&lt;/ruby&gt;&lt;br&gt;&lt;div class=""audio""&gt;[sound:ぎょうじ.mp3]&lt;/div&gt;")</f>
        <v>&lt;ruby&gt;行事&lt;rt&gt;ぎょうじ&lt;/rt&gt;&lt;/ruby&gt;&lt;br&gt;&lt;div class="audio"&gt;[sound:ぎょうじ.mp3]&lt;/div&gt;</v>
      </c>
      <c r="H2623" s="3" t="str">
        <f t="shared" si="1"/>
        <v>(n): sự kiện</v>
      </c>
      <c r="I2623" s="6" t="s">
        <v>14328</v>
      </c>
      <c r="J2623" s="6" t="s">
        <v>14329</v>
      </c>
      <c r="K2623" s="7">
        <f t="shared" si="2"/>
        <v>0.3633185856</v>
      </c>
    </row>
    <row r="2624">
      <c r="A2624" s="4">
        <v>2624.0</v>
      </c>
      <c r="B2624" s="5" t="s">
        <v>14330</v>
      </c>
      <c r="C2624" s="5" t="s">
        <v>14331</v>
      </c>
      <c r="D2624" s="5" t="s">
        <v>14332</v>
      </c>
      <c r="E2624" s="6" t="s">
        <v>24</v>
      </c>
      <c r="F2624" s="6" t="s">
        <v>14333</v>
      </c>
      <c r="G2624" s="3" t="str">
        <f>IFERROR(__xludf.DUMMYFUNCTION("REGEXREPLACE(
D2624,
""([一-龯々]+)\[([^\]]+)\]"",
""&lt;ruby&gt;$1&lt;rt&gt;$2&lt;/rt&gt;&lt;/ruby&gt;""
)&amp;""&lt;br&gt;&lt;div class=""""audio""""&gt;[sound:""&amp;C2624&amp;"".mp3]&lt;/div&gt;"""),"&lt;ruby&gt;見直&lt;rt&gt;みなお&lt;/rt&gt;&lt;/ruby&gt;す&lt;br&gt;&lt;div class=""audio""&gt;[sound:みなおす.mp3]&lt;/div&gt;")</f>
        <v>&lt;ruby&gt;見直&lt;rt&gt;みなお&lt;/rt&gt;&lt;/ruby&gt;す&lt;br&gt;&lt;div class="audio"&gt;[sound:みなおす.mp3]&lt;/div&gt;</v>
      </c>
      <c r="H2624" s="3" t="str">
        <f t="shared" si="1"/>
        <v>(v): xem lại</v>
      </c>
      <c r="I2624" s="6" t="s">
        <v>14334</v>
      </c>
      <c r="J2624" s="6" t="s">
        <v>14335</v>
      </c>
      <c r="K2624" s="7">
        <f t="shared" si="2"/>
        <v>0.5583286189</v>
      </c>
    </row>
    <row r="2625">
      <c r="A2625" s="4">
        <v>2625.0</v>
      </c>
      <c r="B2625" s="5" t="s">
        <v>14336</v>
      </c>
      <c r="C2625" s="5" t="s">
        <v>14337</v>
      </c>
      <c r="D2625" s="5" t="s">
        <v>14338</v>
      </c>
      <c r="E2625" s="6" t="s">
        <v>74</v>
      </c>
      <c r="F2625" s="6" t="s">
        <v>14339</v>
      </c>
      <c r="G2625" s="3" t="str">
        <f>IFERROR(__xludf.DUMMYFUNCTION("REGEXREPLACE(
D2625,
""([一-龯々]+)\[([^\]]+)\]"",
""&lt;ruby&gt;$1&lt;rt&gt;$2&lt;/rt&gt;&lt;/ruby&gt;""
)&amp;""&lt;br&gt;&lt;div class=""""audio""""&gt;[sound:""&amp;C2625&amp;"".mp3]&lt;/div&gt;"""),"&lt;ruby&gt;筋肉&lt;rt&gt;きんにく&lt;/rt&gt;&lt;/ruby&gt;&lt;br&gt;&lt;div class=""audio""&gt;[sound:きんにく.mp3]&lt;/div&gt;")</f>
        <v>&lt;ruby&gt;筋肉&lt;rt&gt;きんにく&lt;/rt&gt;&lt;/ruby&gt;&lt;br&gt;&lt;div class="audio"&gt;[sound:きんにく.mp3]&lt;/div&gt;</v>
      </c>
      <c r="H2625" s="3" t="str">
        <f t="shared" si="1"/>
        <v>(n): cơ bắp</v>
      </c>
      <c r="I2625" s="6" t="s">
        <v>14340</v>
      </c>
      <c r="J2625" s="6" t="s">
        <v>14341</v>
      </c>
      <c r="K2625" s="7">
        <f t="shared" si="2"/>
        <v>0.2025143179</v>
      </c>
    </row>
    <row r="2626">
      <c r="A2626" s="4">
        <v>2626.0</v>
      </c>
      <c r="B2626" s="5" t="s">
        <v>14342</v>
      </c>
      <c r="C2626" s="5" t="s">
        <v>14343</v>
      </c>
      <c r="D2626" s="5" t="s">
        <v>14344</v>
      </c>
      <c r="E2626" s="6" t="s">
        <v>74</v>
      </c>
      <c r="F2626" s="6" t="s">
        <v>14345</v>
      </c>
      <c r="G2626" s="3" t="str">
        <f>IFERROR(__xludf.DUMMYFUNCTION("REGEXREPLACE(
D2626,
""([一-龯々]+)\[([^\]]+)\]"",
""&lt;ruby&gt;$1&lt;rt&gt;$2&lt;/rt&gt;&lt;/ruby&gt;""
)&amp;""&lt;br&gt;&lt;div class=""""audio""""&gt;[sound:""&amp;C2626&amp;"".mp3]&lt;/div&gt;"""),"&lt;ruby&gt;自殺&lt;rt&gt;じさつ&lt;/rt&gt;&lt;/ruby&gt;&lt;br&gt;&lt;div class=""audio""&gt;[sound:じさつ.mp3]&lt;/div&gt;")</f>
        <v>&lt;ruby&gt;自殺&lt;rt&gt;じさつ&lt;/rt&gt;&lt;/ruby&gt;&lt;br&gt;&lt;div class="audio"&gt;[sound:じさつ.mp3]&lt;/div&gt;</v>
      </c>
      <c r="H2626" s="3" t="str">
        <f t="shared" si="1"/>
        <v>(n): tự sát</v>
      </c>
      <c r="I2626" s="6" t="s">
        <v>14346</v>
      </c>
      <c r="J2626" s="6" t="s">
        <v>14347</v>
      </c>
      <c r="K2626" s="7">
        <f t="shared" si="2"/>
        <v>0.5536546885</v>
      </c>
    </row>
    <row r="2627">
      <c r="A2627" s="4">
        <v>2627.0</v>
      </c>
      <c r="B2627" s="5" t="s">
        <v>14348</v>
      </c>
      <c r="C2627" s="5" t="s">
        <v>14349</v>
      </c>
      <c r="D2627" s="5" t="s">
        <v>14350</v>
      </c>
      <c r="E2627" s="6" t="s">
        <v>74</v>
      </c>
      <c r="F2627" s="6" t="s">
        <v>14351</v>
      </c>
      <c r="G2627" s="3" t="str">
        <f>IFERROR(__xludf.DUMMYFUNCTION("REGEXREPLACE(
D2627,
""([一-龯々]+)\[([^\]]+)\]"",
""&lt;ruby&gt;$1&lt;rt&gt;$2&lt;/rt&gt;&lt;/ruby&gt;""
)&amp;""&lt;br&gt;&lt;div class=""""audio""""&gt;[sound:""&amp;C2627&amp;"".mp3]&lt;/div&gt;"""),"&lt;ruby&gt;坂&lt;rt&gt;さか&lt;/rt&gt;&lt;/ruby&gt;&lt;br&gt;&lt;div class=""audio""&gt;[sound:さか.mp3]&lt;/div&gt;")</f>
        <v>&lt;ruby&gt;坂&lt;rt&gt;さか&lt;/rt&gt;&lt;/ruby&gt;&lt;br&gt;&lt;div class="audio"&gt;[sound:さか.mp3]&lt;/div&gt;</v>
      </c>
      <c r="H2627" s="3" t="str">
        <f t="shared" si="1"/>
        <v>(n): dốc</v>
      </c>
      <c r="I2627" s="6" t="s">
        <v>14352</v>
      </c>
      <c r="J2627" s="6" t="s">
        <v>14353</v>
      </c>
      <c r="K2627" s="7">
        <f t="shared" si="2"/>
        <v>0.6343221946</v>
      </c>
    </row>
    <row r="2628">
      <c r="A2628" s="4">
        <v>2628.0</v>
      </c>
      <c r="B2628" s="5" t="s">
        <v>14354</v>
      </c>
      <c r="C2628" s="5" t="s">
        <v>14355</v>
      </c>
      <c r="D2628" s="5" t="s">
        <v>14356</v>
      </c>
      <c r="E2628" s="6" t="s">
        <v>74</v>
      </c>
      <c r="F2628" s="6" t="s">
        <v>14357</v>
      </c>
      <c r="G2628" s="3" t="str">
        <f>IFERROR(__xludf.DUMMYFUNCTION("REGEXREPLACE(
D2628,
""([一-龯々]+)\[([^\]]+)\]"",
""&lt;ruby&gt;$1&lt;rt&gt;$2&lt;/rt&gt;&lt;/ruby&gt;""
)&amp;""&lt;br&gt;&lt;div class=""""audio""""&gt;[sound:""&amp;C2628&amp;"".mp3]&lt;/div&gt;"""),"&lt;ruby&gt;脳&lt;rt&gt;のう&lt;/rt&gt;&lt;/ruby&gt;&lt;br&gt;&lt;div class=""audio""&gt;[sound:のう.mp3]&lt;/div&gt;")</f>
        <v>&lt;ruby&gt;脳&lt;rt&gt;のう&lt;/rt&gt;&lt;/ruby&gt;&lt;br&gt;&lt;div class="audio"&gt;[sound:のう.mp3]&lt;/div&gt;</v>
      </c>
      <c r="H2628" s="3" t="str">
        <f t="shared" si="1"/>
        <v>(n): não</v>
      </c>
      <c r="I2628" s="6" t="s">
        <v>14358</v>
      </c>
      <c r="J2628" s="6" t="s">
        <v>14359</v>
      </c>
      <c r="K2628" s="7">
        <f t="shared" si="2"/>
        <v>0.2156638941</v>
      </c>
    </row>
    <row r="2629">
      <c r="A2629" s="4">
        <v>2629.0</v>
      </c>
      <c r="B2629" s="5" t="s">
        <v>14360</v>
      </c>
      <c r="C2629" s="5" t="s">
        <v>14361</v>
      </c>
      <c r="D2629" s="5" t="s">
        <v>14362</v>
      </c>
      <c r="E2629" s="6" t="s">
        <v>74</v>
      </c>
      <c r="F2629" s="6" t="s">
        <v>14363</v>
      </c>
      <c r="G2629" s="3" t="str">
        <f>IFERROR(__xludf.DUMMYFUNCTION("REGEXREPLACE(
D2629,
""([一-龯々]+)\[([^\]]+)\]"",
""&lt;ruby&gt;$1&lt;rt&gt;$2&lt;/rt&gt;&lt;/ruby&gt;""
)&amp;""&lt;br&gt;&lt;div class=""""audio""""&gt;[sound:""&amp;C2629&amp;"".mp3]&lt;/div&gt;"""),"&lt;ruby&gt;全員&lt;rt&gt;ぜんいん&lt;/rt&gt;&lt;/ruby&gt;&lt;br&gt;&lt;div class=""audio""&gt;[sound:ぜんいん.mp3]&lt;/div&gt;")</f>
        <v>&lt;ruby&gt;全員&lt;rt&gt;ぜんいん&lt;/rt&gt;&lt;/ruby&gt;&lt;br&gt;&lt;div class="audio"&gt;[sound:ぜんいん.mp3]&lt;/div&gt;</v>
      </c>
      <c r="H2629" s="3" t="str">
        <f t="shared" si="1"/>
        <v>(n): tất cả mọi người</v>
      </c>
      <c r="I2629" s="6" t="s">
        <v>14364</v>
      </c>
      <c r="J2629" s="6" t="s">
        <v>14365</v>
      </c>
      <c r="K2629" s="7">
        <f t="shared" si="2"/>
        <v>0.8047882255</v>
      </c>
    </row>
    <row r="2630">
      <c r="A2630" s="4">
        <v>2630.0</v>
      </c>
      <c r="B2630" s="5" t="s">
        <v>14366</v>
      </c>
      <c r="C2630" s="5" t="s">
        <v>14367</v>
      </c>
      <c r="D2630" s="5" t="s">
        <v>14368</v>
      </c>
      <c r="E2630" s="6" t="s">
        <v>74</v>
      </c>
      <c r="F2630" s="6" t="s">
        <v>14369</v>
      </c>
      <c r="G2630" s="3" t="str">
        <f>IFERROR(__xludf.DUMMYFUNCTION("REGEXREPLACE(
D2630,
""([一-龯々]+)\[([^\]]+)\]"",
""&lt;ruby&gt;$1&lt;rt&gt;$2&lt;/rt&gt;&lt;/ruby&gt;""
)&amp;""&lt;br&gt;&lt;div class=""""audio""""&gt;[sound:""&amp;C2630&amp;"".mp3]&lt;/div&gt;"""),"&lt;ruby&gt;平日&lt;rt&gt;へいじつ&lt;/rt&gt;&lt;/ruby&gt;&lt;br&gt;&lt;div class=""audio""&gt;[sound:へいじつ.mp3]&lt;/div&gt;")</f>
        <v>&lt;ruby&gt;平日&lt;rt&gt;へいじつ&lt;/rt&gt;&lt;/ruby&gt;&lt;br&gt;&lt;div class="audio"&gt;[sound:へいじつ.mp3]&lt;/div&gt;</v>
      </c>
      <c r="H2630" s="3" t="str">
        <f t="shared" si="1"/>
        <v>(n): ngày thường</v>
      </c>
      <c r="I2630" s="6" t="s">
        <v>14370</v>
      </c>
      <c r="J2630" s="6" t="s">
        <v>14371</v>
      </c>
      <c r="K2630" s="7">
        <f t="shared" si="2"/>
        <v>0.3657507634</v>
      </c>
    </row>
    <row r="2631">
      <c r="A2631" s="4">
        <v>2631.0</v>
      </c>
      <c r="B2631" s="5" t="s">
        <v>14372</v>
      </c>
      <c r="C2631" s="5" t="s">
        <v>14373</v>
      </c>
      <c r="D2631" s="5" t="s">
        <v>14374</v>
      </c>
      <c r="E2631" s="6" t="s">
        <v>85</v>
      </c>
      <c r="F2631" s="6" t="s">
        <v>14375</v>
      </c>
      <c r="G2631" s="3" t="str">
        <f>IFERROR(__xludf.DUMMYFUNCTION("REGEXREPLACE(
D2631,
""([一-龯々]+)\[([^\]]+)\]"",
""&lt;ruby&gt;$1&lt;rt&gt;$2&lt;/rt&gt;&lt;/ruby&gt;""
)&amp;""&lt;br&gt;&lt;div class=""""audio""""&gt;[sound:""&amp;C2631&amp;"".mp3]&lt;/div&gt;"""),"&lt;ruby&gt;相変&lt;rt&gt;あいか&lt;/rt&gt;&lt;/ruby&gt;わらず&lt;br&gt;&lt;div class=""audio""&gt;[sound:あいかわらず.mp3]&lt;/div&gt;")</f>
        <v>&lt;ruby&gt;相変&lt;rt&gt;あいか&lt;/rt&gt;&lt;/ruby&gt;わらず&lt;br&gt;&lt;div class="audio"&gt;[sound:あいかわらず.mp3]&lt;/div&gt;</v>
      </c>
      <c r="H2631" s="3" t="str">
        <f t="shared" si="1"/>
        <v>(adv): như mọi khi</v>
      </c>
      <c r="I2631" s="6" t="s">
        <v>14376</v>
      </c>
      <c r="J2631" s="6" t="s">
        <v>14377</v>
      </c>
      <c r="K2631" s="7">
        <f t="shared" si="2"/>
        <v>0.9052252487</v>
      </c>
    </row>
    <row r="2632">
      <c r="A2632" s="4">
        <v>2632.0</v>
      </c>
      <c r="B2632" s="5" t="s">
        <v>14378</v>
      </c>
      <c r="C2632" s="5" t="s">
        <v>14379</v>
      </c>
      <c r="D2632" s="5" t="s">
        <v>14380</v>
      </c>
      <c r="E2632" s="6" t="s">
        <v>11</v>
      </c>
      <c r="F2632" s="6" t="s">
        <v>14381</v>
      </c>
      <c r="G2632" s="3" t="str">
        <f>IFERROR(__xludf.DUMMYFUNCTION("REGEXREPLACE(
D2632,
""([一-龯々]+)\[([^\]]+)\]"",
""&lt;ruby&gt;$1&lt;rt&gt;$2&lt;/rt&gt;&lt;/ruby&gt;""
)&amp;""&lt;br&gt;&lt;div class=""""audio""""&gt;[sound:""&amp;C2632&amp;"".mp3]&lt;/div&gt;"""),"&lt;ruby&gt;慎重&lt;rt&gt;しんちょう&lt;/rt&gt;&lt;/ruby&gt;&lt;br&gt;&lt;div class=""audio""&gt;[sound:しんちょう.mp3]&lt;/div&gt;")</f>
        <v>&lt;ruby&gt;慎重&lt;rt&gt;しんちょう&lt;/rt&gt;&lt;/ruby&gt;&lt;br&gt;&lt;div class="audio"&gt;[sound:しんちょう.mp3]&lt;/div&gt;</v>
      </c>
      <c r="H2632" s="3" t="str">
        <f t="shared" si="1"/>
        <v>(adj): thận trọng</v>
      </c>
      <c r="I2632" s="6" t="s">
        <v>14382</v>
      </c>
      <c r="J2632" s="6" t="s">
        <v>14383</v>
      </c>
      <c r="K2632" s="7">
        <f t="shared" si="2"/>
        <v>0.686709936</v>
      </c>
    </row>
    <row r="2633">
      <c r="A2633" s="4">
        <v>2633.0</v>
      </c>
      <c r="B2633" s="5" t="s">
        <v>14384</v>
      </c>
      <c r="C2633" s="5" t="s">
        <v>14385</v>
      </c>
      <c r="D2633" s="5" t="s">
        <v>14386</v>
      </c>
      <c r="E2633" s="6" t="s">
        <v>11</v>
      </c>
      <c r="F2633" s="6" t="s">
        <v>12186</v>
      </c>
      <c r="G2633" s="3" t="str">
        <f>IFERROR(__xludf.DUMMYFUNCTION("REGEXREPLACE(
D2633,
""([一-龯々]+)\[([^\]]+)\]"",
""&lt;ruby&gt;$1&lt;rt&gt;$2&lt;/rt&gt;&lt;/ruby&gt;""
)&amp;""&lt;br&gt;&lt;div class=""""audio""""&gt;[sound:""&amp;C2633&amp;"".mp3]&lt;/div&gt;"""),"&lt;ruby&gt;快適&lt;rt&gt;かいてき&lt;/rt&gt;&lt;/ruby&gt;&lt;br&gt;&lt;div class=""audio""&gt;[sound:かいてき.mp3]&lt;/div&gt;")</f>
        <v>&lt;ruby&gt;快適&lt;rt&gt;かいてき&lt;/rt&gt;&lt;/ruby&gt;&lt;br&gt;&lt;div class="audio"&gt;[sound:かいてき.mp3]&lt;/div&gt;</v>
      </c>
      <c r="H2633" s="3" t="str">
        <f t="shared" si="1"/>
        <v>(adj): thoải mái</v>
      </c>
      <c r="I2633" s="6" t="s">
        <v>14387</v>
      </c>
      <c r="J2633" s="6" t="s">
        <v>14388</v>
      </c>
      <c r="K2633" s="7">
        <f t="shared" si="2"/>
        <v>0.619219414</v>
      </c>
    </row>
    <row r="2634">
      <c r="A2634" s="4">
        <v>2634.0</v>
      </c>
      <c r="B2634" s="5" t="s">
        <v>14389</v>
      </c>
      <c r="C2634" s="5" t="s">
        <v>14390</v>
      </c>
      <c r="D2634" s="5" t="s">
        <v>14391</v>
      </c>
      <c r="E2634" s="6" t="s">
        <v>11</v>
      </c>
      <c r="F2634" s="6" t="s">
        <v>14392</v>
      </c>
      <c r="G2634" s="3" t="str">
        <f>IFERROR(__xludf.DUMMYFUNCTION("REGEXREPLACE(
D2634,
""([一-龯々]+)\[([^\]]+)\]"",
""&lt;ruby&gt;$1&lt;rt&gt;$2&lt;/rt&gt;&lt;/ruby&gt;""
)&amp;""&lt;br&gt;&lt;div class=""""audio""""&gt;[sound:""&amp;C2634&amp;"".mp3]&lt;/div&gt;"""),"&lt;ruby&gt;豊富&lt;rt&gt;ほうふ&lt;/rt&gt;&lt;/ruby&gt;&lt;br&gt;&lt;div class=""audio""&gt;[sound:ほうふ.mp3]&lt;/div&gt;")</f>
        <v>&lt;ruby&gt;豊富&lt;rt&gt;ほうふ&lt;/rt&gt;&lt;/ruby&gt;&lt;br&gt;&lt;div class="audio"&gt;[sound:ほうふ.mp3]&lt;/div&gt;</v>
      </c>
      <c r="H2634" s="3" t="str">
        <f t="shared" si="1"/>
        <v>(adj): phong phú</v>
      </c>
      <c r="I2634" s="6" t="s">
        <v>14393</v>
      </c>
      <c r="J2634" s="6" t="s">
        <v>14394</v>
      </c>
      <c r="K2634" s="7">
        <f t="shared" si="2"/>
        <v>0.8839843932</v>
      </c>
    </row>
    <row r="2635">
      <c r="A2635" s="4">
        <v>2635.0</v>
      </c>
      <c r="B2635" s="5" t="s">
        <v>14395</v>
      </c>
      <c r="C2635" s="5" t="s">
        <v>14396</v>
      </c>
      <c r="D2635" s="5" t="s">
        <v>14397</v>
      </c>
      <c r="E2635" s="6" t="s">
        <v>74</v>
      </c>
      <c r="F2635" s="6" t="s">
        <v>14398</v>
      </c>
      <c r="G2635" s="3" t="str">
        <f>IFERROR(__xludf.DUMMYFUNCTION("REGEXREPLACE(
D2635,
""([一-龯々]+)\[([^\]]+)\]"",
""&lt;ruby&gt;$1&lt;rt&gt;$2&lt;/rt&gt;&lt;/ruby&gt;""
)&amp;""&lt;br&gt;&lt;div class=""""audio""""&gt;[sound:""&amp;C2635&amp;"".mp3]&lt;/div&gt;"""),"&lt;ruby&gt;貯金&lt;rt&gt;ちょきん&lt;/rt&gt;&lt;/ruby&gt;&lt;br&gt;&lt;div class=""audio""&gt;[sound:ちょきん.mp3]&lt;/div&gt;")</f>
        <v>&lt;ruby&gt;貯金&lt;rt&gt;ちょきん&lt;/rt&gt;&lt;/ruby&gt;&lt;br&gt;&lt;div class="audio"&gt;[sound:ちょきん.mp3]&lt;/div&gt;</v>
      </c>
      <c r="H2635" s="3" t="str">
        <f t="shared" si="1"/>
        <v>(n): tiết kiệm</v>
      </c>
      <c r="I2635" s="6" t="s">
        <v>14399</v>
      </c>
      <c r="J2635" s="6" t="s">
        <v>14400</v>
      </c>
      <c r="K2635" s="7">
        <f t="shared" si="2"/>
        <v>0.160177708</v>
      </c>
    </row>
    <row r="2636">
      <c r="A2636" s="4">
        <v>2636.0</v>
      </c>
      <c r="B2636" s="5" t="s">
        <v>14401</v>
      </c>
      <c r="C2636" s="5" t="s">
        <v>14402</v>
      </c>
      <c r="D2636" s="5" t="s">
        <v>14403</v>
      </c>
      <c r="E2636" s="6" t="s">
        <v>11</v>
      </c>
      <c r="F2636" s="6" t="s">
        <v>10904</v>
      </c>
      <c r="G2636" s="3" t="str">
        <f>IFERROR(__xludf.DUMMYFUNCTION("REGEXREPLACE(
D2636,
""([一-龯々]+)\[([^\]]+)\]"",
""&lt;ruby&gt;$1&lt;rt&gt;$2&lt;/rt&gt;&lt;/ruby&gt;""
)&amp;""&lt;br&gt;&lt;div class=""""audio""""&gt;[sound:""&amp;C2636&amp;"".mp3]&lt;/div&gt;"""),"&lt;ruby&gt;適切&lt;rt&gt;てきせつ&lt;/rt&gt;&lt;/ruby&gt;&lt;br&gt;&lt;div class=""audio""&gt;[sound:てきせつ.mp3]&lt;/div&gt;")</f>
        <v>&lt;ruby&gt;適切&lt;rt&gt;てきせつ&lt;/rt&gt;&lt;/ruby&gt;&lt;br&gt;&lt;div class="audio"&gt;[sound:てきせつ.mp3]&lt;/div&gt;</v>
      </c>
      <c r="H2636" s="3" t="str">
        <f t="shared" si="1"/>
        <v>(adj): thích hợp</v>
      </c>
      <c r="I2636" s="6" t="s">
        <v>14404</v>
      </c>
      <c r="J2636" s="6" t="s">
        <v>14405</v>
      </c>
      <c r="K2636" s="7">
        <f t="shared" si="2"/>
        <v>0.3570058715</v>
      </c>
    </row>
    <row r="2637">
      <c r="A2637" s="4">
        <v>2637.0</v>
      </c>
      <c r="B2637" s="5" t="s">
        <v>14406</v>
      </c>
      <c r="C2637" s="5" t="s">
        <v>14406</v>
      </c>
      <c r="D2637" s="5" t="s">
        <v>14406</v>
      </c>
      <c r="E2637" s="6" t="s">
        <v>85</v>
      </c>
      <c r="F2637" s="6" t="s">
        <v>14407</v>
      </c>
      <c r="G2637" s="3" t="str">
        <f>IFERROR(__xludf.DUMMYFUNCTION("REGEXREPLACE(
D2637,
""([一-龯々]+)\[([^\]]+)\]"",
""&lt;ruby&gt;$1&lt;rt&gt;$2&lt;/rt&gt;&lt;/ruby&gt;""
)&amp;""&lt;br&gt;&lt;div class=""""audio""""&gt;[sound:""&amp;C2637&amp;"".mp3]&lt;/div&gt;"""),"にこにこ&lt;br&gt;&lt;div class=""audio""&gt;[sound:にこにこ.mp3]&lt;/div&gt;")</f>
        <v>にこにこ&lt;br&gt;&lt;div class="audio"&gt;[sound:にこにこ.mp3]&lt;/div&gt;</v>
      </c>
      <c r="H2637" s="3" t="str">
        <f t="shared" si="1"/>
        <v>(adv): mỉm cười</v>
      </c>
      <c r="I2637" s="6" t="s">
        <v>14408</v>
      </c>
      <c r="J2637" s="6" t="s">
        <v>14409</v>
      </c>
      <c r="K2637" s="7">
        <f t="shared" si="2"/>
        <v>0.1724218914</v>
      </c>
    </row>
    <row r="2638">
      <c r="A2638" s="4">
        <v>2638.0</v>
      </c>
      <c r="B2638" s="5" t="s">
        <v>14410</v>
      </c>
      <c r="C2638" s="5" t="s">
        <v>14411</v>
      </c>
      <c r="D2638" s="5" t="s">
        <v>14412</v>
      </c>
      <c r="E2638" s="6" t="s">
        <v>74</v>
      </c>
      <c r="F2638" s="6" t="s">
        <v>14413</v>
      </c>
      <c r="G2638" s="3" t="str">
        <f>IFERROR(__xludf.DUMMYFUNCTION("REGEXREPLACE(
D2638,
""([一-龯々]+)\[([^\]]+)\]"",
""&lt;ruby&gt;$1&lt;rt&gt;$2&lt;/rt&gt;&lt;/ruby&gt;""
)&amp;""&lt;br&gt;&lt;div class=""""audio""""&gt;[sound:""&amp;C2638&amp;"".mp3]&lt;/div&gt;"""),"&lt;ruby&gt;候補&lt;rt&gt;こうほ&lt;/rt&gt;&lt;/ruby&gt;&lt;br&gt;&lt;div class=""audio""&gt;[sound:こうほ.mp3]&lt;/div&gt;")</f>
        <v>&lt;ruby&gt;候補&lt;rt&gt;こうほ&lt;/rt&gt;&lt;/ruby&gt;&lt;br&gt;&lt;div class="audio"&gt;[sound:こうほ.mp3]&lt;/div&gt;</v>
      </c>
      <c r="H2638" s="3" t="str">
        <f t="shared" si="1"/>
        <v>(n): ứng viên</v>
      </c>
      <c r="I2638" s="6" t="s">
        <v>14414</v>
      </c>
      <c r="J2638" s="6" t="s">
        <v>14415</v>
      </c>
      <c r="K2638" s="7">
        <f t="shared" si="2"/>
        <v>0.4408812253</v>
      </c>
    </row>
    <row r="2639">
      <c r="A2639" s="4">
        <v>2639.0</v>
      </c>
      <c r="B2639" s="5" t="s">
        <v>14416</v>
      </c>
      <c r="C2639" s="5" t="s">
        <v>14417</v>
      </c>
      <c r="D2639" s="5" t="s">
        <v>14418</v>
      </c>
      <c r="E2639" s="6" t="s">
        <v>74</v>
      </c>
      <c r="F2639" s="6" t="s">
        <v>14419</v>
      </c>
      <c r="G2639" s="3" t="str">
        <f>IFERROR(__xludf.DUMMYFUNCTION("REGEXREPLACE(
D2639,
""([一-龯々]+)\[([^\]]+)\]"",
""&lt;ruby&gt;$1&lt;rt&gt;$2&lt;/rt&gt;&lt;/ruby&gt;""
)&amp;""&lt;br&gt;&lt;div class=""""audio""""&gt;[sound:""&amp;C2639&amp;"".mp3]&lt;/div&gt;"""),"&lt;ruby&gt;先輩&lt;rt&gt;せんぱい&lt;/rt&gt;&lt;/ruby&gt;&lt;br&gt;&lt;div class=""audio""&gt;[sound:せんぱい.mp3]&lt;/div&gt;")</f>
        <v>&lt;ruby&gt;先輩&lt;rt&gt;せんぱい&lt;/rt&gt;&lt;/ruby&gt;&lt;br&gt;&lt;div class="audio"&gt;[sound:せんぱい.mp3]&lt;/div&gt;</v>
      </c>
      <c r="H2639" s="3" t="str">
        <f t="shared" si="1"/>
        <v>(n): tiền bối</v>
      </c>
      <c r="I2639" s="6" t="s">
        <v>14420</v>
      </c>
      <c r="J2639" s="6" t="s">
        <v>14421</v>
      </c>
      <c r="K2639" s="7">
        <f t="shared" si="2"/>
        <v>0.5736329602</v>
      </c>
    </row>
    <row r="2640">
      <c r="A2640" s="4">
        <v>2640.0</v>
      </c>
      <c r="B2640" s="5" t="s">
        <v>14422</v>
      </c>
      <c r="C2640" s="5" t="s">
        <v>14423</v>
      </c>
      <c r="D2640" s="5" t="s">
        <v>14424</v>
      </c>
      <c r="E2640" s="6" t="s">
        <v>74</v>
      </c>
      <c r="F2640" s="6" t="s">
        <v>14425</v>
      </c>
      <c r="G2640" s="3" t="str">
        <f>IFERROR(__xludf.DUMMYFUNCTION("REGEXREPLACE(
D2640,
""([一-龯々]+)\[([^\]]+)\]"",
""&lt;ruby&gt;$1&lt;rt&gt;$2&lt;/rt&gt;&lt;/ruby&gt;""
)&amp;""&lt;br&gt;&lt;div class=""""audio""""&gt;[sound:""&amp;C2640&amp;"".mp3]&lt;/div&gt;"""),"&lt;ruby&gt;弾&lt;rt&gt;たま&lt;/rt&gt;&lt;/ruby&gt;&lt;br&gt;&lt;div class=""audio""&gt;[sound:たま.mp3]&lt;/div&gt;")</f>
        <v>&lt;ruby&gt;弾&lt;rt&gt;たま&lt;/rt&gt;&lt;/ruby&gt;&lt;br&gt;&lt;div class="audio"&gt;[sound:たま.mp3]&lt;/div&gt;</v>
      </c>
      <c r="H2640" s="3" t="str">
        <f t="shared" si="1"/>
        <v>(n): viên đạn</v>
      </c>
      <c r="I2640" s="6" t="s">
        <v>14426</v>
      </c>
      <c r="J2640" s="6" t="s">
        <v>14427</v>
      </c>
      <c r="K2640" s="7">
        <f t="shared" si="2"/>
        <v>0.06568583259</v>
      </c>
    </row>
    <row r="2641">
      <c r="A2641" s="4">
        <v>2641.0</v>
      </c>
      <c r="B2641" s="5" t="s">
        <v>14428</v>
      </c>
      <c r="C2641" s="5" t="s">
        <v>14429</v>
      </c>
      <c r="D2641" s="5" t="s">
        <v>14430</v>
      </c>
      <c r="E2641" s="6" t="s">
        <v>74</v>
      </c>
      <c r="F2641" s="6" t="s">
        <v>14431</v>
      </c>
      <c r="G2641" s="3" t="str">
        <f>IFERROR(__xludf.DUMMYFUNCTION("REGEXREPLACE(
D2641,
""([一-龯々]+)\[([^\]]+)\]"",
""&lt;ruby&gt;$1&lt;rt&gt;$2&lt;/rt&gt;&lt;/ruby&gt;""
)&amp;""&lt;br&gt;&lt;div class=""""audio""""&gt;[sound:""&amp;C2641&amp;"".mp3]&lt;/div&gt;"""),"&lt;ruby&gt;役目&lt;rt&gt;やくめ&lt;/rt&gt;&lt;/ruby&gt;&lt;br&gt;&lt;div class=""audio""&gt;[sound:やくめ.mp3]&lt;/div&gt;")</f>
        <v>&lt;ruby&gt;役目&lt;rt&gt;やくめ&lt;/rt&gt;&lt;/ruby&gt;&lt;br&gt;&lt;div class="audio"&gt;[sound:やくめ.mp3]&lt;/div&gt;</v>
      </c>
      <c r="H2641" s="3" t="str">
        <f t="shared" si="1"/>
        <v>(n): nhiệm vụ</v>
      </c>
      <c r="I2641" s="6" t="s">
        <v>14432</v>
      </c>
      <c r="J2641" s="6" t="s">
        <v>14433</v>
      </c>
      <c r="K2641" s="7">
        <f t="shared" si="2"/>
        <v>0.7884476535</v>
      </c>
    </row>
    <row r="2642">
      <c r="A2642" s="4">
        <v>2642.0</v>
      </c>
      <c r="B2642" s="5" t="s">
        <v>14434</v>
      </c>
      <c r="C2642" s="5" t="s">
        <v>14435</v>
      </c>
      <c r="D2642" s="5" t="s">
        <v>14436</v>
      </c>
      <c r="E2642" s="6" t="s">
        <v>24</v>
      </c>
      <c r="F2642" s="6" t="s">
        <v>1718</v>
      </c>
      <c r="G2642" s="3" t="str">
        <f>IFERROR(__xludf.DUMMYFUNCTION("REGEXREPLACE(
D2642,
""([一-龯々]+)\[([^\]]+)\]"",
""&lt;ruby&gt;$1&lt;rt&gt;$2&lt;/rt&gt;&lt;/ruby&gt;""
)&amp;""&lt;br&gt;&lt;div class=""""audio""""&gt;[sound:""&amp;C2642&amp;"".mp3]&lt;/div&gt;"""),"&lt;ruby&gt;感&lt;rt&gt;かん&lt;/rt&gt;&lt;/ruby&gt;ずる&lt;br&gt;&lt;div class=""audio""&gt;[sound:かんずる.mp3]&lt;/div&gt;")</f>
        <v>&lt;ruby&gt;感&lt;rt&gt;かん&lt;/rt&gt;&lt;/ruby&gt;ずる&lt;br&gt;&lt;div class="audio"&gt;[sound:かんずる.mp3]&lt;/div&gt;</v>
      </c>
      <c r="H2642" s="3" t="str">
        <f t="shared" si="1"/>
        <v>(v): cảm thấy</v>
      </c>
      <c r="I2642" s="6" t="s">
        <v>14437</v>
      </c>
      <c r="J2642" s="6" t="s">
        <v>14438</v>
      </c>
      <c r="K2642" s="7">
        <f t="shared" si="2"/>
        <v>0.05485011512</v>
      </c>
    </row>
    <row r="2643">
      <c r="A2643" s="4">
        <v>2643.0</v>
      </c>
      <c r="B2643" s="5" t="s">
        <v>14439</v>
      </c>
      <c r="C2643" s="5" t="s">
        <v>14440</v>
      </c>
      <c r="D2643" s="5" t="s">
        <v>14441</v>
      </c>
      <c r="E2643" s="6" t="s">
        <v>74</v>
      </c>
      <c r="F2643" s="6" t="s">
        <v>14442</v>
      </c>
      <c r="G2643" s="3" t="str">
        <f>IFERROR(__xludf.DUMMYFUNCTION("REGEXREPLACE(
D2643,
""([一-龯々]+)\[([^\]]+)\]"",
""&lt;ruby&gt;$1&lt;rt&gt;$2&lt;/rt&gt;&lt;/ruby&gt;""
)&amp;""&lt;br&gt;&lt;div class=""""audio""""&gt;[sound:""&amp;C2643&amp;"".mp3]&lt;/div&gt;"""),"&lt;ruby&gt;消費&lt;rt&gt;しょうひ&lt;/rt&gt;&lt;/ruby&gt;&lt;br&gt;&lt;div class=""audio""&gt;[sound:しょうひ.mp3]&lt;/div&gt;")</f>
        <v>&lt;ruby&gt;消費&lt;rt&gt;しょうひ&lt;/rt&gt;&lt;/ruby&gt;&lt;br&gt;&lt;div class="audio"&gt;[sound:しょうひ.mp3]&lt;/div&gt;</v>
      </c>
      <c r="H2643" s="3" t="str">
        <f t="shared" si="1"/>
        <v>(n): tiêu thụ</v>
      </c>
      <c r="I2643" s="6" t="s">
        <v>14443</v>
      </c>
      <c r="J2643" s="6" t="s">
        <v>14444</v>
      </c>
      <c r="K2643" s="7">
        <f t="shared" si="2"/>
        <v>0.1342765553</v>
      </c>
    </row>
    <row r="2644">
      <c r="A2644" s="4">
        <v>2644.0</v>
      </c>
      <c r="B2644" s="5" t="s">
        <v>14445</v>
      </c>
      <c r="C2644" s="5" t="s">
        <v>14446</v>
      </c>
      <c r="D2644" s="5" t="s">
        <v>14447</v>
      </c>
      <c r="E2644" s="6" t="s">
        <v>74</v>
      </c>
      <c r="F2644" s="6" t="s">
        <v>14448</v>
      </c>
      <c r="G2644" s="3" t="str">
        <f>IFERROR(__xludf.DUMMYFUNCTION("REGEXREPLACE(
D2644,
""([一-龯々]+)\[([^\]]+)\]"",
""&lt;ruby&gt;$1&lt;rt&gt;$2&lt;/rt&gt;&lt;/ruby&gt;""
)&amp;""&lt;br&gt;&lt;div class=""""audio""""&gt;[sound:""&amp;C2644&amp;"".mp3]&lt;/div&gt;"""),"&lt;ruby&gt;温度&lt;rt&gt;おんど&lt;/rt&gt;&lt;/ruby&gt;&lt;br&gt;&lt;div class=""audio""&gt;[sound:おんど.mp3]&lt;/div&gt;")</f>
        <v>&lt;ruby&gt;温度&lt;rt&gt;おんど&lt;/rt&gt;&lt;/ruby&gt;&lt;br&gt;&lt;div class="audio"&gt;[sound:おんど.mp3]&lt;/div&gt;</v>
      </c>
      <c r="H2644" s="3" t="str">
        <f t="shared" si="1"/>
        <v>(n): nhiệt độ</v>
      </c>
      <c r="I2644" s="6" t="s">
        <v>14449</v>
      </c>
      <c r="J2644" s="6" t="s">
        <v>14450</v>
      </c>
      <c r="K2644" s="7">
        <f t="shared" si="2"/>
        <v>0.81295348</v>
      </c>
    </row>
    <row r="2645">
      <c r="A2645" s="4">
        <v>2645.0</v>
      </c>
      <c r="B2645" s="5" t="s">
        <v>14451</v>
      </c>
      <c r="C2645" s="5" t="s">
        <v>11543</v>
      </c>
      <c r="D2645" s="5" t="s">
        <v>14452</v>
      </c>
      <c r="E2645" s="6" t="s">
        <v>24</v>
      </c>
      <c r="F2645" s="6" t="s">
        <v>11545</v>
      </c>
      <c r="G2645" s="3" t="str">
        <f>IFERROR(__xludf.DUMMYFUNCTION("REGEXREPLACE(
D2645,
""([一-龯々]+)\[([^\]]+)\]"",
""&lt;ruby&gt;$1&lt;rt&gt;$2&lt;/rt&gt;&lt;/ruby&gt;""
)&amp;""&lt;br&gt;&lt;div class=""""audio""""&gt;[sound:""&amp;C2645&amp;"".mp3]&lt;/div&gt;"""),"&lt;ruby&gt;伸&lt;rt&gt;の&lt;/rt&gt;&lt;/ruby&gt;ばす&lt;br&gt;&lt;div class=""audio""&gt;[sound:のばす.mp3]&lt;/div&gt;")</f>
        <v>&lt;ruby&gt;伸&lt;rt&gt;の&lt;/rt&gt;&lt;/ruby&gt;ばす&lt;br&gt;&lt;div class="audio"&gt;[sound:のばす.mp3]&lt;/div&gt;</v>
      </c>
      <c r="H2645" s="3" t="str">
        <f t="shared" si="1"/>
        <v>(v): kéo dài</v>
      </c>
      <c r="I2645" s="6" t="s">
        <v>14453</v>
      </c>
      <c r="J2645" s="6" t="s">
        <v>14454</v>
      </c>
      <c r="K2645" s="7">
        <f t="shared" si="2"/>
        <v>0.4461466943</v>
      </c>
    </row>
    <row r="2646">
      <c r="A2646" s="4">
        <v>2646.0</v>
      </c>
      <c r="B2646" s="5" t="s">
        <v>14455</v>
      </c>
      <c r="C2646" s="5" t="s">
        <v>14456</v>
      </c>
      <c r="D2646" s="5" t="s">
        <v>14457</v>
      </c>
      <c r="E2646" s="6" t="s">
        <v>74</v>
      </c>
      <c r="F2646" s="6" t="s">
        <v>6171</v>
      </c>
      <c r="G2646" s="3" t="str">
        <f>IFERROR(__xludf.DUMMYFUNCTION("REGEXREPLACE(
D2646,
""([一-龯々]+)\[([^\]]+)\]"",
""&lt;ruby&gt;$1&lt;rt&gt;$2&lt;/rt&gt;&lt;/ruby&gt;""
)&amp;""&lt;br&gt;&lt;div class=""""audio""""&gt;[sound:""&amp;C2646&amp;"".mp3]&lt;/div&gt;"""),"&lt;ruby&gt;問&lt;rt&gt;と&lt;/rt&gt;&lt;/ruby&gt;い&lt;br&gt;&lt;div class=""audio""&gt;[sound:とい.mp3]&lt;/div&gt;")</f>
        <v>&lt;ruby&gt;問&lt;rt&gt;と&lt;/rt&gt;&lt;/ruby&gt;い&lt;br&gt;&lt;div class="audio"&gt;[sound:とい.mp3]&lt;/div&gt;</v>
      </c>
      <c r="H2646" s="3" t="str">
        <f t="shared" si="1"/>
        <v>(n): câu hỏi</v>
      </c>
      <c r="I2646" s="6" t="s">
        <v>14458</v>
      </c>
      <c r="J2646" s="6" t="s">
        <v>14459</v>
      </c>
      <c r="K2646" s="7">
        <f t="shared" si="2"/>
        <v>0.2321768097</v>
      </c>
    </row>
    <row r="2647">
      <c r="A2647" s="4">
        <v>2647.0</v>
      </c>
      <c r="B2647" s="5" t="s">
        <v>14460</v>
      </c>
      <c r="C2647" s="5" t="s">
        <v>14461</v>
      </c>
      <c r="D2647" s="5" t="s">
        <v>14462</v>
      </c>
      <c r="E2647" s="6" t="s">
        <v>24</v>
      </c>
      <c r="F2647" s="6" t="s">
        <v>14463</v>
      </c>
      <c r="G2647" s="3" t="str">
        <f>IFERROR(__xludf.DUMMYFUNCTION("REGEXREPLACE(
D2647,
""([一-龯々]+)\[([^\]]+)\]"",
""&lt;ruby&gt;$1&lt;rt&gt;$2&lt;/rt&gt;&lt;/ruby&gt;""
)&amp;""&lt;br&gt;&lt;div class=""""audio""""&gt;[sound:""&amp;C2647&amp;"".mp3]&lt;/div&gt;"""),"&lt;ruby&gt;組&lt;rt&gt;く&lt;/rt&gt;&lt;/ruby&gt;み&lt;ruby&gt;立&lt;rt&gt;た&lt;/rt&gt;&lt;/ruby&gt;てる&lt;br&gt;&lt;div class=""audio""&gt;[sound:くみたてる.mp3]&lt;/div&gt;")</f>
        <v>&lt;ruby&gt;組&lt;rt&gt;く&lt;/rt&gt;&lt;/ruby&gt;み&lt;ruby&gt;立&lt;rt&gt;た&lt;/rt&gt;&lt;/ruby&gt;てる&lt;br&gt;&lt;div class="audio"&gt;[sound:くみたてる.mp3]&lt;/div&gt;</v>
      </c>
      <c r="H2647" s="3" t="str">
        <f t="shared" si="1"/>
        <v>(v): lắp ráp</v>
      </c>
      <c r="I2647" s="6" t="s">
        <v>14464</v>
      </c>
      <c r="J2647" s="6" t="s">
        <v>14465</v>
      </c>
      <c r="K2647" s="7">
        <f t="shared" si="2"/>
        <v>0.3958898337</v>
      </c>
    </row>
    <row r="2648">
      <c r="A2648" s="4">
        <v>2648.0</v>
      </c>
      <c r="B2648" s="5" t="s">
        <v>14466</v>
      </c>
      <c r="C2648" s="5" t="s">
        <v>14467</v>
      </c>
      <c r="D2648" s="5" t="s">
        <v>14468</v>
      </c>
      <c r="E2648" s="6" t="s">
        <v>85</v>
      </c>
      <c r="F2648" s="6" t="s">
        <v>14469</v>
      </c>
      <c r="G2648" s="3" t="str">
        <f>IFERROR(__xludf.DUMMYFUNCTION("REGEXREPLACE(
D2648,
""([一-龯々]+)\[([^\]]+)\]"",
""&lt;ruby&gt;$1&lt;rt&gt;$2&lt;/rt&gt;&lt;/ruby&gt;""
)&amp;""&lt;br&gt;&lt;div class=""""audio""""&gt;[sound:""&amp;C2648&amp;"".mp3]&lt;/div&gt;"""),"&lt;ruby&gt;元々&lt;rt&gt;もともと&lt;/rt&gt;&lt;/ruby&gt;&lt;br&gt;&lt;div class=""audio""&gt;[sound:もともと.mp3]&lt;/div&gt;")</f>
        <v>&lt;ruby&gt;元々&lt;rt&gt;もともと&lt;/rt&gt;&lt;/ruby&gt;&lt;br&gt;&lt;div class="audio"&gt;[sound:もともと.mp3]&lt;/div&gt;</v>
      </c>
      <c r="H2648" s="3" t="str">
        <f t="shared" si="1"/>
        <v>(adv): vốn dĩ</v>
      </c>
      <c r="I2648" s="6" t="s">
        <v>14470</v>
      </c>
      <c r="J2648" s="6" t="s">
        <v>14471</v>
      </c>
      <c r="K2648" s="7">
        <f t="shared" si="2"/>
        <v>0.7493455795</v>
      </c>
    </row>
    <row r="2649">
      <c r="A2649" s="4">
        <v>2649.0</v>
      </c>
      <c r="B2649" s="5" t="s">
        <v>14472</v>
      </c>
      <c r="C2649" s="5" t="s">
        <v>14473</v>
      </c>
      <c r="D2649" s="5" t="s">
        <v>14474</v>
      </c>
      <c r="E2649" s="6" t="s">
        <v>24</v>
      </c>
      <c r="F2649" s="6" t="s">
        <v>14475</v>
      </c>
      <c r="G2649" s="3" t="str">
        <f>IFERROR(__xludf.DUMMYFUNCTION("REGEXREPLACE(
D2649,
""([一-龯々]+)\[([^\]]+)\]"",
""&lt;ruby&gt;$1&lt;rt&gt;$2&lt;/rt&gt;&lt;/ruby&gt;""
)&amp;""&lt;br&gt;&lt;div class=""""audio""""&gt;[sound:""&amp;C2649&amp;"".mp3]&lt;/div&gt;"""),"&lt;ruby&gt;噛&lt;rt&gt;か&lt;/rt&gt;&lt;/ruby&gt;む&lt;br&gt;&lt;div class=""audio""&gt;[sound:かむ.mp3]&lt;/div&gt;")</f>
        <v>&lt;ruby&gt;噛&lt;rt&gt;か&lt;/rt&gt;&lt;/ruby&gt;む&lt;br&gt;&lt;div class="audio"&gt;[sound:かむ.mp3]&lt;/div&gt;</v>
      </c>
      <c r="H2649" s="3" t="str">
        <f t="shared" si="1"/>
        <v>(v): nhai</v>
      </c>
      <c r="I2649" s="6" t="s">
        <v>14476</v>
      </c>
      <c r="J2649" s="6" t="s">
        <v>14477</v>
      </c>
      <c r="K2649" s="7">
        <f t="shared" si="2"/>
        <v>0.6037482946</v>
      </c>
    </row>
    <row r="2650">
      <c r="A2650" s="4">
        <v>2650.0</v>
      </c>
      <c r="B2650" s="5" t="s">
        <v>14478</v>
      </c>
      <c r="C2650" s="5" t="s">
        <v>7228</v>
      </c>
      <c r="D2650" s="5" t="s">
        <v>14479</v>
      </c>
      <c r="E2650" s="6" t="s">
        <v>11</v>
      </c>
      <c r="F2650" s="6" t="s">
        <v>7230</v>
      </c>
      <c r="G2650" s="3" t="str">
        <f>IFERROR(__xludf.DUMMYFUNCTION("REGEXREPLACE(
D2650,
""([一-龯々]+)\[([^\]]+)\]"",
""&lt;ruby&gt;$1&lt;rt&gt;$2&lt;/rt&gt;&lt;/ruby&gt;""
)&amp;""&lt;br&gt;&lt;div class=""""audio""""&gt;[sound:""&amp;C2650&amp;"".mp3]&lt;/div&gt;"""),"&lt;ruby&gt;堅&lt;rt&gt;かた&lt;/rt&gt;&lt;/ruby&gt;い&lt;br&gt;&lt;div class=""audio""&gt;[sound:かたい.mp3]&lt;/div&gt;")</f>
        <v>&lt;ruby&gt;堅&lt;rt&gt;かた&lt;/rt&gt;&lt;/ruby&gt;い&lt;br&gt;&lt;div class="audio"&gt;[sound:かたい.mp3]&lt;/div&gt;</v>
      </c>
      <c r="H2650" s="3" t="str">
        <f t="shared" si="1"/>
        <v>(adj): cứng</v>
      </c>
      <c r="I2650" s="6" t="s">
        <v>14480</v>
      </c>
      <c r="J2650" s="6" t="s">
        <v>14481</v>
      </c>
      <c r="K2650" s="7">
        <f t="shared" si="2"/>
        <v>0.4136758768</v>
      </c>
    </row>
    <row r="2651">
      <c r="A2651" s="4">
        <v>2651.0</v>
      </c>
      <c r="B2651" s="5" t="s">
        <v>14482</v>
      </c>
      <c r="C2651" s="5" t="s">
        <v>14483</v>
      </c>
      <c r="D2651" s="5" t="s">
        <v>14484</v>
      </c>
      <c r="E2651" s="6" t="s">
        <v>11</v>
      </c>
      <c r="F2651" s="6" t="s">
        <v>1657</v>
      </c>
      <c r="G2651" s="3" t="str">
        <f>IFERROR(__xludf.DUMMYFUNCTION("REGEXREPLACE(
D2651,
""([一-龯々]+)\[([^\]]+)\]"",
""&lt;ruby&gt;$1&lt;rt&gt;$2&lt;/rt&gt;&lt;/ruby&gt;""
)&amp;""&lt;br&gt;&lt;div class=""""audio""""&gt;[sound:""&amp;C2651&amp;"".mp3]&lt;/div&gt;"""),"&lt;ruby&gt;嫌&lt;rt&gt;いや&lt;/rt&gt;&lt;/ruby&gt;&lt;br&gt;&lt;div class=""audio""&gt;[sound:いや.mp3]&lt;/div&gt;")</f>
        <v>&lt;ruby&gt;嫌&lt;rt&gt;いや&lt;/rt&gt;&lt;/ruby&gt;&lt;br&gt;&lt;div class="audio"&gt;[sound:いや.mp3]&lt;/div&gt;</v>
      </c>
      <c r="H2651" s="3" t="str">
        <f t="shared" si="1"/>
        <v>(adj): ghét</v>
      </c>
      <c r="I2651" s="6" t="s">
        <v>14485</v>
      </c>
      <c r="J2651" s="6" t="s">
        <v>14486</v>
      </c>
      <c r="K2651" s="7">
        <f t="shared" si="2"/>
        <v>0.2420200948</v>
      </c>
    </row>
    <row r="2652">
      <c r="A2652" s="4">
        <v>2652.0</v>
      </c>
      <c r="B2652" s="5" t="s">
        <v>14487</v>
      </c>
      <c r="C2652" s="5" t="s">
        <v>14488</v>
      </c>
      <c r="D2652" s="5" t="s">
        <v>14489</v>
      </c>
      <c r="E2652" s="6" t="s">
        <v>74</v>
      </c>
      <c r="F2652" s="6" t="s">
        <v>14490</v>
      </c>
      <c r="G2652" s="3" t="str">
        <f>IFERROR(__xludf.DUMMYFUNCTION("REGEXREPLACE(
D2652,
""([一-龯々]+)\[([^\]]+)\]"",
""&lt;ruby&gt;$1&lt;rt&gt;$2&lt;/rt&gt;&lt;/ruby&gt;""
)&amp;""&lt;br&gt;&lt;div class=""""audio""""&gt;[sound:""&amp;C2652&amp;"".mp3]&lt;/div&gt;"""),"&lt;ruby&gt;靴&lt;rt&gt;くつ&lt;/rt&gt;&lt;/ruby&gt;&lt;br&gt;&lt;div class=""audio""&gt;[sound:くつ.mp3]&lt;/div&gt;")</f>
        <v>&lt;ruby&gt;靴&lt;rt&gt;くつ&lt;/rt&gt;&lt;/ruby&gt;&lt;br&gt;&lt;div class="audio"&gt;[sound:くつ.mp3]&lt;/div&gt;</v>
      </c>
      <c r="H2652" s="3" t="str">
        <f t="shared" si="1"/>
        <v>(n): giày</v>
      </c>
      <c r="I2652" s="6" t="s">
        <v>14491</v>
      </c>
      <c r="J2652" s="6" t="s">
        <v>14492</v>
      </c>
      <c r="K2652" s="7">
        <f t="shared" si="2"/>
        <v>0.9588997083</v>
      </c>
    </row>
    <row r="2653">
      <c r="A2653" s="4">
        <v>2653.0</v>
      </c>
      <c r="B2653" s="5" t="s">
        <v>14493</v>
      </c>
      <c r="C2653" s="5" t="s">
        <v>14494</v>
      </c>
      <c r="D2653" s="5" t="s">
        <v>14495</v>
      </c>
      <c r="E2653" s="6" t="s">
        <v>74</v>
      </c>
      <c r="F2653" s="6" t="s">
        <v>14496</v>
      </c>
      <c r="G2653" s="3" t="str">
        <f>IFERROR(__xludf.DUMMYFUNCTION("REGEXREPLACE(
D2653,
""([一-龯々]+)\[([^\]]+)\]"",
""&lt;ruby&gt;$1&lt;rt&gt;$2&lt;/rt&gt;&lt;/ruby&gt;""
)&amp;""&lt;br&gt;&lt;div class=""""audio""""&gt;[sound:""&amp;C2653&amp;"".mp3]&lt;/div&gt;"""),"&lt;ruby&gt;帯&lt;rt&gt;おび&lt;/rt&gt;&lt;/ruby&gt;&lt;br&gt;&lt;div class=""audio""&gt;[sound:おび.mp3]&lt;/div&gt;")</f>
        <v>&lt;ruby&gt;帯&lt;rt&gt;おび&lt;/rt&gt;&lt;/ruby&gt;&lt;br&gt;&lt;div class="audio"&gt;[sound:おび.mp3]&lt;/div&gt;</v>
      </c>
      <c r="H2653" s="3" t="str">
        <f t="shared" si="1"/>
        <v>(n): đai</v>
      </c>
      <c r="I2653" s="6" t="s">
        <v>14497</v>
      </c>
      <c r="J2653" s="6" t="s">
        <v>14498</v>
      </c>
      <c r="K2653" s="7">
        <f t="shared" si="2"/>
        <v>0.7784139301</v>
      </c>
    </row>
    <row r="2654">
      <c r="A2654" s="4">
        <v>2654.0</v>
      </c>
      <c r="B2654" s="5" t="s">
        <v>14499</v>
      </c>
      <c r="C2654" s="5" t="s">
        <v>4073</v>
      </c>
      <c r="D2654" s="5" t="s">
        <v>14500</v>
      </c>
      <c r="E2654" s="6" t="s">
        <v>74</v>
      </c>
      <c r="F2654" s="6" t="s">
        <v>14501</v>
      </c>
      <c r="G2654" s="3" t="str">
        <f>IFERROR(__xludf.DUMMYFUNCTION("REGEXREPLACE(
D2654,
""([一-龯々]+)\[([^\]]+)\]"",
""&lt;ruby&gt;$1&lt;rt&gt;$2&lt;/rt&gt;&lt;/ruby&gt;""
)&amp;""&lt;br&gt;&lt;div class=""""audio""""&gt;[sound:""&amp;C2654&amp;"".mp3]&lt;/div&gt;"""),"&lt;ruby&gt;級&lt;rt&gt;きゅう&lt;/rt&gt;&lt;/ruby&gt;&lt;br&gt;&lt;div class=""audio""&gt;[sound:きゅう.mp3]&lt;/div&gt;")</f>
        <v>&lt;ruby&gt;級&lt;rt&gt;きゅう&lt;/rt&gt;&lt;/ruby&gt;&lt;br&gt;&lt;div class="audio"&gt;[sound:きゅう.mp3]&lt;/div&gt;</v>
      </c>
      <c r="H2654" s="3" t="str">
        <f t="shared" si="1"/>
        <v>(n): cấp</v>
      </c>
      <c r="I2654" s="6" t="s">
        <v>14502</v>
      </c>
      <c r="J2654" s="6" t="s">
        <v>14503</v>
      </c>
      <c r="K2654" s="7">
        <f t="shared" si="2"/>
        <v>0.4204012707</v>
      </c>
    </row>
    <row r="2655">
      <c r="A2655" s="4">
        <v>2655.0</v>
      </c>
      <c r="B2655" s="5" t="s">
        <v>14504</v>
      </c>
      <c r="C2655" s="5" t="s">
        <v>14505</v>
      </c>
      <c r="D2655" s="5" t="s">
        <v>14506</v>
      </c>
      <c r="E2655" s="6" t="s">
        <v>24</v>
      </c>
      <c r="F2655" s="6" t="s">
        <v>769</v>
      </c>
      <c r="G2655" s="3" t="str">
        <f>IFERROR(__xludf.DUMMYFUNCTION("REGEXREPLACE(
D2655,
""([一-龯々]+)\[([^\]]+)\]"",
""&lt;ruby&gt;$1&lt;rt&gt;$2&lt;/rt&gt;&lt;/ruby&gt;""
)&amp;""&lt;br&gt;&lt;div class=""""audio""""&gt;[sound:""&amp;C2655&amp;"".mp3]&lt;/div&gt;"""),"&lt;ruby&gt;至&lt;rt&gt;いた&lt;/rt&gt;&lt;/ruby&gt;る&lt;br&gt;&lt;div class=""audio""&gt;[sound:いたる.mp3]&lt;/div&gt;")</f>
        <v>&lt;ruby&gt;至&lt;rt&gt;いた&lt;/rt&gt;&lt;/ruby&gt;る&lt;br&gt;&lt;div class="audio"&gt;[sound:いたる.mp3]&lt;/div&gt;</v>
      </c>
      <c r="H2655" s="3" t="str">
        <f t="shared" si="1"/>
        <v>(v): đến</v>
      </c>
      <c r="I2655" s="6" t="s">
        <v>14507</v>
      </c>
      <c r="J2655" s="6" t="s">
        <v>14508</v>
      </c>
      <c r="K2655" s="7">
        <f t="shared" si="2"/>
        <v>0.1421484704</v>
      </c>
    </row>
    <row r="2656">
      <c r="A2656" s="4">
        <v>2656.0</v>
      </c>
      <c r="B2656" s="5" t="s">
        <v>14509</v>
      </c>
      <c r="C2656" s="5" t="s">
        <v>14510</v>
      </c>
      <c r="D2656" s="5" t="s">
        <v>14511</v>
      </c>
      <c r="E2656" s="6" t="s">
        <v>74</v>
      </c>
      <c r="F2656" s="6" t="s">
        <v>14512</v>
      </c>
      <c r="G2656" s="3" t="str">
        <f>IFERROR(__xludf.DUMMYFUNCTION("REGEXREPLACE(
D2656,
""([一-龯々]+)\[([^\]]+)\]"",
""&lt;ruby&gt;$1&lt;rt&gt;$2&lt;/rt&gt;&lt;/ruby&gt;""
)&amp;""&lt;br&gt;&lt;div class=""""audio""""&gt;[sound:""&amp;C2656&amp;"".mp3]&lt;/div&gt;"""),"&lt;ruby&gt;関西&lt;rt&gt;かんさい&lt;/rt&gt;&lt;/ruby&gt;&lt;br&gt;&lt;div class=""audio""&gt;[sound:かんさい.mp3]&lt;/div&gt;")</f>
        <v>&lt;ruby&gt;関西&lt;rt&gt;かんさい&lt;/rt&gt;&lt;/ruby&gt;&lt;br&gt;&lt;div class="audio"&gt;[sound:かんさい.mp3]&lt;/div&gt;</v>
      </c>
      <c r="H2656" s="3" t="str">
        <f t="shared" si="1"/>
        <v>(n): vùng kansai</v>
      </c>
      <c r="I2656" s="6" t="s">
        <v>14513</v>
      </c>
      <c r="J2656" s="6" t="s">
        <v>14514</v>
      </c>
      <c r="K2656" s="7">
        <f t="shared" si="2"/>
        <v>0.08447456594</v>
      </c>
    </row>
    <row r="2657">
      <c r="A2657" s="4">
        <v>2657.0</v>
      </c>
      <c r="B2657" s="5" t="s">
        <v>14515</v>
      </c>
      <c r="C2657" s="5" t="s">
        <v>14516</v>
      </c>
      <c r="D2657" s="5" t="s">
        <v>14517</v>
      </c>
      <c r="E2657" s="6" t="s">
        <v>74</v>
      </c>
      <c r="F2657" s="6" t="s">
        <v>11037</v>
      </c>
      <c r="G2657" s="3" t="str">
        <f>IFERROR(__xludf.DUMMYFUNCTION("REGEXREPLACE(
D2657,
""([一-龯々]+)\[([^\]]+)\]"",
""&lt;ruby&gt;$1&lt;rt&gt;$2&lt;/rt&gt;&lt;/ruby&gt;""
)&amp;""&lt;br&gt;&lt;div class=""""audio""""&gt;[sound:""&amp;C2657&amp;"".mp3]&lt;/div&gt;"""),"&lt;ruby&gt;実績&lt;rt&gt;じっせき&lt;/rt&gt;&lt;/ruby&gt;&lt;br&gt;&lt;div class=""audio""&gt;[sound:じっせき.mp3]&lt;/div&gt;")</f>
        <v>&lt;ruby&gt;実績&lt;rt&gt;じっせき&lt;/rt&gt;&lt;/ruby&gt;&lt;br&gt;&lt;div class="audio"&gt;[sound:じっせき.mp3]&lt;/div&gt;</v>
      </c>
      <c r="H2657" s="3" t="str">
        <f t="shared" si="1"/>
        <v>(n): thành tích</v>
      </c>
      <c r="I2657" s="6" t="s">
        <v>14518</v>
      </c>
      <c r="J2657" s="6" t="s">
        <v>14519</v>
      </c>
      <c r="K2657" s="7">
        <f t="shared" si="2"/>
        <v>0.4624569483</v>
      </c>
    </row>
    <row r="2658">
      <c r="A2658" s="4">
        <v>2658.0</v>
      </c>
      <c r="B2658" s="5" t="s">
        <v>14520</v>
      </c>
      <c r="C2658" s="5" t="s">
        <v>14521</v>
      </c>
      <c r="D2658" s="5" t="s">
        <v>14522</v>
      </c>
      <c r="E2658" s="6" t="s">
        <v>24</v>
      </c>
      <c r="F2658" s="6" t="s">
        <v>14523</v>
      </c>
      <c r="G2658" s="3" t="str">
        <f>IFERROR(__xludf.DUMMYFUNCTION("REGEXREPLACE(
D2658,
""([一-龯々]+)\[([^\]]+)\]"",
""&lt;ruby&gt;$1&lt;rt&gt;$2&lt;/rt&gt;&lt;/ruby&gt;""
)&amp;""&lt;br&gt;&lt;div class=""""audio""""&gt;[sound:""&amp;C2658&amp;"".mp3]&lt;/div&gt;"""),"&lt;ruby&gt;引&lt;rt&gt;ひ&lt;/rt&gt;&lt;/ruby&gt;っ&lt;ruby&gt;越&lt;rt&gt;こ&lt;/rt&gt;&lt;/ruby&gt;す&lt;br&gt;&lt;div class=""audio""&gt;[sound:ひっこす.mp3]&lt;/div&gt;")</f>
        <v>&lt;ruby&gt;引&lt;rt&gt;ひ&lt;/rt&gt;&lt;/ruby&gt;っ&lt;ruby&gt;越&lt;rt&gt;こ&lt;/rt&gt;&lt;/ruby&gt;す&lt;br&gt;&lt;div class="audio"&gt;[sound:ひっこす.mp3]&lt;/div&gt;</v>
      </c>
      <c r="H2658" s="3" t="str">
        <f t="shared" si="1"/>
        <v>(v): chuyển nhà</v>
      </c>
      <c r="I2658" s="6" t="s">
        <v>14524</v>
      </c>
      <c r="J2658" s="6" t="s">
        <v>14525</v>
      </c>
      <c r="K2658" s="7">
        <f t="shared" si="2"/>
        <v>0.1170739745</v>
      </c>
    </row>
    <row r="2659">
      <c r="A2659" s="4">
        <v>2659.0</v>
      </c>
      <c r="B2659" s="5" t="s">
        <v>14526</v>
      </c>
      <c r="C2659" s="5" t="s">
        <v>14527</v>
      </c>
      <c r="D2659" s="5" t="s">
        <v>14528</v>
      </c>
      <c r="E2659" s="6" t="s">
        <v>74</v>
      </c>
      <c r="F2659" s="6" t="s">
        <v>14523</v>
      </c>
      <c r="G2659" s="3" t="str">
        <f>IFERROR(__xludf.DUMMYFUNCTION("REGEXREPLACE(
D2659,
""([一-龯々]+)\[([^\]]+)\]"",
""&lt;ruby&gt;$1&lt;rt&gt;$2&lt;/rt&gt;&lt;/ruby&gt;""
)&amp;""&lt;br&gt;&lt;div class=""""audio""""&gt;[sound:""&amp;C2659&amp;"".mp3]&lt;/div&gt;"""),"&lt;ruby&gt;引越&lt;rt&gt;ひっこ&lt;/rt&gt;&lt;/ruby&gt;し&lt;br&gt;&lt;div class=""audio""&gt;[sound:ひっこし.mp3]&lt;/div&gt;")</f>
        <v>&lt;ruby&gt;引越&lt;rt&gt;ひっこ&lt;/rt&gt;&lt;/ruby&gt;し&lt;br&gt;&lt;div class="audio"&gt;[sound:ひっこし.mp3]&lt;/div&gt;</v>
      </c>
      <c r="H2659" s="3" t="str">
        <f t="shared" si="1"/>
        <v>(n): chuyển nhà</v>
      </c>
      <c r="I2659" s="6" t="s">
        <v>14529</v>
      </c>
      <c r="J2659" s="6" t="s">
        <v>14530</v>
      </c>
      <c r="K2659" s="7">
        <f t="shared" si="2"/>
        <v>0.6241180642</v>
      </c>
    </row>
    <row r="2660">
      <c r="A2660" s="4">
        <v>2660.0</v>
      </c>
      <c r="B2660" s="5" t="s">
        <v>14531</v>
      </c>
      <c r="C2660" s="5" t="s">
        <v>14532</v>
      </c>
      <c r="D2660" s="5" t="s">
        <v>14533</v>
      </c>
      <c r="E2660" s="6" t="s">
        <v>24</v>
      </c>
      <c r="F2660" s="6" t="s">
        <v>14534</v>
      </c>
      <c r="G2660" s="3" t="str">
        <f>IFERROR(__xludf.DUMMYFUNCTION("REGEXREPLACE(
D2660,
""([一-龯々]+)\[([^\]]+)\]"",
""&lt;ruby&gt;$1&lt;rt&gt;$2&lt;/rt&gt;&lt;/ruby&gt;""
)&amp;""&lt;br&gt;&lt;div class=""""audio""""&gt;[sound:""&amp;C2660&amp;"".mp3]&lt;/div&gt;"""),"&lt;ruby&gt;慌&lt;rt&gt;あわ&lt;/rt&gt;&lt;/ruby&gt;てる&lt;br&gt;&lt;div class=""audio""&gt;[sound:あわてる.mp3]&lt;/div&gt;")</f>
        <v>&lt;ruby&gt;慌&lt;rt&gt;あわ&lt;/rt&gt;&lt;/ruby&gt;てる&lt;br&gt;&lt;div class="audio"&gt;[sound:あわてる.mp3]&lt;/div&gt;</v>
      </c>
      <c r="H2660" s="3" t="str">
        <f t="shared" si="1"/>
        <v>(v): hoảng loạn</v>
      </c>
      <c r="I2660" s="6" t="s">
        <v>14535</v>
      </c>
      <c r="J2660" s="6" t="s">
        <v>14536</v>
      </c>
      <c r="K2660" s="7">
        <f t="shared" si="2"/>
        <v>0.2858540472</v>
      </c>
    </row>
    <row r="2661">
      <c r="A2661" s="4">
        <v>2661.0</v>
      </c>
      <c r="B2661" s="5" t="s">
        <v>14537</v>
      </c>
      <c r="C2661" s="5" t="s">
        <v>14538</v>
      </c>
      <c r="D2661" s="5" t="s">
        <v>14539</v>
      </c>
      <c r="E2661" s="6" t="s">
        <v>74</v>
      </c>
      <c r="F2661" s="6" t="s">
        <v>3222</v>
      </c>
      <c r="G2661" s="3" t="str">
        <f>IFERROR(__xludf.DUMMYFUNCTION("REGEXREPLACE(
D2661,
""([一-龯々]+)\[([^\]]+)\]"",
""&lt;ruby&gt;$1&lt;rt&gt;$2&lt;/rt&gt;&lt;/ruby&gt;""
)&amp;""&lt;br&gt;&lt;div class=""""audio""""&gt;[sound:""&amp;C2661&amp;"".mp3]&lt;/div&gt;"""),"&lt;ruby&gt;学年&lt;rt&gt;がくねん&lt;/rt&gt;&lt;/ruby&gt;&lt;br&gt;&lt;div class=""audio""&gt;[sound:がくねん.mp3]&lt;/div&gt;")</f>
        <v>&lt;ruby&gt;学年&lt;rt&gt;がくねん&lt;/rt&gt;&lt;/ruby&gt;&lt;br&gt;&lt;div class="audio"&gt;[sound:がくねん.mp3]&lt;/div&gt;</v>
      </c>
      <c r="H2661" s="3" t="str">
        <f t="shared" si="1"/>
        <v>(n): niên khóa</v>
      </c>
      <c r="I2661" s="6" t="s">
        <v>14540</v>
      </c>
      <c r="J2661" s="6" t="s">
        <v>14541</v>
      </c>
      <c r="K2661" s="7">
        <f t="shared" si="2"/>
        <v>0.9081204903</v>
      </c>
    </row>
    <row r="2662">
      <c r="A2662" s="4">
        <v>2662.0</v>
      </c>
      <c r="B2662" s="5" t="s">
        <v>14542</v>
      </c>
      <c r="C2662" s="5" t="s">
        <v>14543</v>
      </c>
      <c r="D2662" s="5" t="s">
        <v>14544</v>
      </c>
      <c r="E2662" s="6" t="s">
        <v>74</v>
      </c>
      <c r="F2662" s="6" t="s">
        <v>14545</v>
      </c>
      <c r="G2662" s="3" t="str">
        <f>IFERROR(__xludf.DUMMYFUNCTION("REGEXREPLACE(
D2662,
""([一-龯々]+)\[([^\]]+)\]"",
""&lt;ruby&gt;$1&lt;rt&gt;$2&lt;/rt&gt;&lt;/ruby&gt;""
)&amp;""&lt;br&gt;&lt;div class=""""audio""""&gt;[sound:""&amp;C2662&amp;"".mp3]&lt;/div&gt;"""),"&lt;ruby&gt;寄付&lt;rt&gt;きふ&lt;/rt&gt;&lt;/ruby&gt;&lt;br&gt;&lt;div class=""audio""&gt;[sound:きふ.mp3]&lt;/div&gt;")</f>
        <v>&lt;ruby&gt;寄付&lt;rt&gt;きふ&lt;/rt&gt;&lt;/ruby&gt;&lt;br&gt;&lt;div class="audio"&gt;[sound:きふ.mp3]&lt;/div&gt;</v>
      </c>
      <c r="H2662" s="3" t="str">
        <f t="shared" si="1"/>
        <v>(n): quyên góp</v>
      </c>
      <c r="I2662" s="6" t="s">
        <v>14546</v>
      </c>
      <c r="J2662" s="6" t="s">
        <v>14547</v>
      </c>
      <c r="K2662" s="7">
        <f t="shared" si="2"/>
        <v>0.7823932986</v>
      </c>
    </row>
    <row r="2663">
      <c r="A2663" s="4">
        <v>2663.0</v>
      </c>
      <c r="B2663" s="5" t="s">
        <v>14548</v>
      </c>
      <c r="C2663" s="5" t="s">
        <v>14549</v>
      </c>
      <c r="D2663" s="5" t="s">
        <v>14550</v>
      </c>
      <c r="E2663" s="6" t="s">
        <v>74</v>
      </c>
      <c r="F2663" s="6" t="s">
        <v>14551</v>
      </c>
      <c r="G2663" s="3" t="str">
        <f>IFERROR(__xludf.DUMMYFUNCTION("REGEXREPLACE(
D2663,
""([一-龯々]+)\[([^\]]+)\]"",
""&lt;ruby&gt;$1&lt;rt&gt;$2&lt;/rt&gt;&lt;/ruby&gt;""
)&amp;""&lt;br&gt;&lt;div class=""""audio""""&gt;[sound:""&amp;C2663&amp;"".mp3]&lt;/div&gt;"""),"&lt;ruby&gt;年月&lt;rt&gt;ねんげつ&lt;/rt&gt;&lt;/ruby&gt;&lt;br&gt;&lt;div class=""audio""&gt;[sound:ねんげつ.mp3]&lt;/div&gt;")</f>
        <v>&lt;ruby&gt;年月&lt;rt&gt;ねんげつ&lt;/rt&gt;&lt;/ruby&gt;&lt;br&gt;&lt;div class="audio"&gt;[sound:ねんげつ.mp3]&lt;/div&gt;</v>
      </c>
      <c r="H2663" s="3" t="str">
        <f t="shared" si="1"/>
        <v>(n): năm tháng</v>
      </c>
      <c r="I2663" s="6" t="s">
        <v>14552</v>
      </c>
      <c r="J2663" s="6" t="s">
        <v>14553</v>
      </c>
      <c r="K2663" s="7">
        <f t="shared" si="2"/>
        <v>0.590904109</v>
      </c>
    </row>
    <row r="2664">
      <c r="A2664" s="4">
        <v>2664.0</v>
      </c>
      <c r="B2664" s="5" t="s">
        <v>14554</v>
      </c>
      <c r="C2664" s="5" t="s">
        <v>14555</v>
      </c>
      <c r="D2664" s="5" t="s">
        <v>14556</v>
      </c>
      <c r="E2664" s="6" t="s">
        <v>74</v>
      </c>
      <c r="F2664" s="6" t="s">
        <v>3168</v>
      </c>
      <c r="G2664" s="3" t="str">
        <f>IFERROR(__xludf.DUMMYFUNCTION("REGEXREPLACE(
D2664,
""([一-龯々]+)\[([^\]]+)\]"",
""&lt;ruby&gt;$1&lt;rt&gt;$2&lt;/rt&gt;&lt;/ruby&gt;""
)&amp;""&lt;br&gt;&lt;div class=""""audio""""&gt;[sound:""&amp;C2664&amp;"".mp3]&lt;/div&gt;"""),"&lt;ruby&gt;性別&lt;rt&gt;せいべつ&lt;/rt&gt;&lt;/ruby&gt;&lt;br&gt;&lt;div class=""audio""&gt;[sound:せいべつ.mp3]&lt;/div&gt;")</f>
        <v>&lt;ruby&gt;性別&lt;rt&gt;せいべつ&lt;/rt&gt;&lt;/ruby&gt;&lt;br&gt;&lt;div class="audio"&gt;[sound:せいべつ.mp3]&lt;/div&gt;</v>
      </c>
      <c r="H2664" s="3" t="str">
        <f t="shared" si="1"/>
        <v>(n): giới tính</v>
      </c>
      <c r="I2664" s="6" t="s">
        <v>14557</v>
      </c>
      <c r="J2664" s="6" t="s">
        <v>14558</v>
      </c>
      <c r="K2664" s="7">
        <f t="shared" si="2"/>
        <v>0.3698988959</v>
      </c>
    </row>
    <row r="2665">
      <c r="A2665" s="4">
        <v>2665.0</v>
      </c>
      <c r="B2665" s="5" t="s">
        <v>14559</v>
      </c>
      <c r="C2665" s="5" t="s">
        <v>14560</v>
      </c>
      <c r="D2665" s="5" t="s">
        <v>14561</v>
      </c>
      <c r="E2665" s="6" t="s">
        <v>24</v>
      </c>
      <c r="F2665" s="6" t="s">
        <v>14562</v>
      </c>
      <c r="G2665" s="3" t="str">
        <f>IFERROR(__xludf.DUMMYFUNCTION("REGEXREPLACE(
D2665,
""([一-龯々]+)\[([^\]]+)\]"",
""&lt;ruby&gt;$1&lt;rt&gt;$2&lt;/rt&gt;&lt;/ruby&gt;""
)&amp;""&lt;br&gt;&lt;div class=""""audio""""&gt;[sound:""&amp;C2665&amp;"".mp3]&lt;/div&gt;"""),"&lt;ruby&gt;申&lt;rt&gt;もう&lt;/rt&gt;&lt;/ruby&gt;し&lt;ruby&gt;上&lt;rt&gt;あ&lt;/rt&gt;&lt;/ruby&gt;げる&lt;br&gt;&lt;div class=""audio""&gt;[sound:もうしあげる.mp3]&lt;/div&gt;")</f>
        <v>&lt;ruby&gt;申&lt;rt&gt;もう&lt;/rt&gt;&lt;/ruby&gt;し&lt;ruby&gt;上&lt;rt&gt;あ&lt;/rt&gt;&lt;/ruby&gt;げる&lt;br&gt;&lt;div class="audio"&gt;[sound:もうしあげる.mp3]&lt;/div&gt;</v>
      </c>
      <c r="H2665" s="3" t="str">
        <f t="shared" si="1"/>
        <v>(v): kính thưa</v>
      </c>
      <c r="I2665" s="6" t="s">
        <v>14563</v>
      </c>
      <c r="J2665" s="6" t="s">
        <v>14564</v>
      </c>
      <c r="K2665" s="7">
        <f t="shared" si="2"/>
        <v>0.4192493885</v>
      </c>
    </row>
    <row r="2666">
      <c r="A2666" s="4">
        <v>2666.0</v>
      </c>
      <c r="B2666" s="5" t="s">
        <v>14565</v>
      </c>
      <c r="C2666" s="5" t="s">
        <v>14566</v>
      </c>
      <c r="D2666" s="5" t="s">
        <v>14567</v>
      </c>
      <c r="E2666" s="6" t="s">
        <v>24</v>
      </c>
      <c r="F2666" s="6" t="s">
        <v>1565</v>
      </c>
      <c r="G2666" s="3" t="str">
        <f>IFERROR(__xludf.DUMMYFUNCTION("REGEXREPLACE(
D2666,
""([一-龯々]+)\[([^\]]+)\]"",
""&lt;ruby&gt;$1&lt;rt&gt;$2&lt;/rt&gt;&lt;/ruby&gt;""
)&amp;""&lt;br&gt;&lt;div class=""""audio""""&gt;[sound:""&amp;C2666&amp;"".mp3]&lt;/div&gt;"""),"&lt;ruby&gt;話&lt;rt&gt;はな&lt;/rt&gt;&lt;/ruby&gt;し&lt;ruby&gt;合&lt;rt&gt;あ&lt;/rt&gt;&lt;/ruby&gt;う&lt;br&gt;&lt;div class=""audio""&gt;[sound:はなしあう.mp3]&lt;/div&gt;")</f>
        <v>&lt;ruby&gt;話&lt;rt&gt;はな&lt;/rt&gt;&lt;/ruby&gt;し&lt;ruby&gt;合&lt;rt&gt;あ&lt;/rt&gt;&lt;/ruby&gt;う&lt;br&gt;&lt;div class="audio"&gt;[sound:はなしあう.mp3]&lt;/div&gt;</v>
      </c>
      <c r="H2666" s="3" t="str">
        <f t="shared" si="1"/>
        <v>(v): thảo luận</v>
      </c>
      <c r="I2666" s="6" t="s">
        <v>14568</v>
      </c>
      <c r="J2666" s="6" t="s">
        <v>14569</v>
      </c>
      <c r="K2666" s="7">
        <f t="shared" si="2"/>
        <v>0.3521554539</v>
      </c>
    </row>
    <row r="2667">
      <c r="A2667" s="4">
        <v>2667.0</v>
      </c>
      <c r="B2667" s="5" t="s">
        <v>14570</v>
      </c>
      <c r="C2667" s="5" t="s">
        <v>1154</v>
      </c>
      <c r="D2667" s="5" t="s">
        <v>14571</v>
      </c>
      <c r="E2667" s="6" t="s">
        <v>24</v>
      </c>
      <c r="F2667" s="6" t="s">
        <v>14572</v>
      </c>
      <c r="G2667" s="3" t="str">
        <f>IFERROR(__xludf.DUMMYFUNCTION("REGEXREPLACE(
D2667,
""([一-龯々]+)\[([^\]]+)\]"",
""&lt;ruby&gt;$1&lt;rt&gt;$2&lt;/rt&gt;&lt;/ruby&gt;""
)&amp;""&lt;br&gt;&lt;div class=""""audio""""&gt;[sound:""&amp;C2667&amp;"".mp3]&lt;/div&gt;"""),"&lt;ruby&gt;載&lt;rt&gt;の&lt;/rt&gt;&lt;/ruby&gt;る&lt;br&gt;&lt;div class=""audio""&gt;[sound:のる.mp3]&lt;/div&gt;")</f>
        <v>&lt;ruby&gt;載&lt;rt&gt;の&lt;/rt&gt;&lt;/ruby&gt;る&lt;br&gt;&lt;div class="audio"&gt;[sound:のる.mp3]&lt;/div&gt;</v>
      </c>
      <c r="H2667" s="3" t="str">
        <f t="shared" si="1"/>
        <v>(v): được đăng</v>
      </c>
      <c r="I2667" s="6" t="s">
        <v>14573</v>
      </c>
      <c r="J2667" s="6" t="s">
        <v>14574</v>
      </c>
      <c r="K2667" s="7">
        <f t="shared" si="2"/>
        <v>0.6693790484</v>
      </c>
    </row>
    <row r="2668">
      <c r="A2668" s="4">
        <v>2668.0</v>
      </c>
      <c r="B2668" s="5" t="s">
        <v>14575</v>
      </c>
      <c r="C2668" s="5" t="s">
        <v>14576</v>
      </c>
      <c r="D2668" s="5" t="s">
        <v>14575</v>
      </c>
      <c r="E2668" s="6" t="s">
        <v>74</v>
      </c>
      <c r="F2668" s="6" t="s">
        <v>14577</v>
      </c>
      <c r="G2668" s="3" t="str">
        <f>IFERROR(__xludf.DUMMYFUNCTION("REGEXREPLACE(
D2668,
""([一-龯々]+)\[([^\]]+)\]"",
""&lt;ruby&gt;$1&lt;rt&gt;$2&lt;/rt&gt;&lt;/ruby&gt;""
)&amp;""&lt;br&gt;&lt;div class=""""audio""""&gt;[sound:""&amp;C2668&amp;"".mp3]&lt;/div&gt;"""),"パイロット&lt;br&gt;&lt;div class=""audio""&gt;[sound:ぱいろっと.mp3]&lt;/div&gt;")</f>
        <v>パイロット&lt;br&gt;&lt;div class="audio"&gt;[sound:ぱいろっと.mp3]&lt;/div&gt;</v>
      </c>
      <c r="H2668" s="3" t="str">
        <f t="shared" si="1"/>
        <v>(n): phi công</v>
      </c>
      <c r="I2668" s="6" t="s">
        <v>14578</v>
      </c>
      <c r="J2668" s="6" t="s">
        <v>14579</v>
      </c>
      <c r="K2668" s="7">
        <f t="shared" si="2"/>
        <v>0.186892692</v>
      </c>
    </row>
    <row r="2669">
      <c r="A2669" s="4">
        <v>2669.0</v>
      </c>
      <c r="B2669" s="5" t="s">
        <v>14580</v>
      </c>
      <c r="C2669" s="5" t="s">
        <v>14581</v>
      </c>
      <c r="D2669" s="5" t="s">
        <v>14582</v>
      </c>
      <c r="E2669" s="6" t="s">
        <v>74</v>
      </c>
      <c r="F2669" s="6" t="s">
        <v>3522</v>
      </c>
      <c r="G2669" s="3" t="str">
        <f>IFERROR(__xludf.DUMMYFUNCTION("REGEXREPLACE(
D2669,
""([一-龯々]+)\[([^\]]+)\]"",
""&lt;ruby&gt;$1&lt;rt&gt;$2&lt;/rt&gt;&lt;/ruby&gt;""
)&amp;""&lt;br&gt;&lt;div class=""""audio""""&gt;[sound:""&amp;C2669&amp;"".mp3]&lt;/div&gt;"""),"&lt;ruby&gt;中身&lt;rt&gt;なかみ&lt;/rt&gt;&lt;/ruby&gt;&lt;br&gt;&lt;div class=""audio""&gt;[sound:なかみ.mp3]&lt;/div&gt;")</f>
        <v>&lt;ruby&gt;中身&lt;rt&gt;なかみ&lt;/rt&gt;&lt;/ruby&gt;&lt;br&gt;&lt;div class="audio"&gt;[sound:なかみ.mp3]&lt;/div&gt;</v>
      </c>
      <c r="H2669" s="3" t="str">
        <f t="shared" si="1"/>
        <v>(n): nội dung</v>
      </c>
      <c r="I2669" s="6" t="s">
        <v>14583</v>
      </c>
      <c r="J2669" s="6" t="s">
        <v>14584</v>
      </c>
      <c r="K2669" s="7">
        <f t="shared" si="2"/>
        <v>0.05088759449</v>
      </c>
    </row>
    <row r="2670">
      <c r="A2670" s="4">
        <v>2670.0</v>
      </c>
      <c r="B2670" s="5" t="s">
        <v>14585</v>
      </c>
      <c r="C2670" s="5" t="s">
        <v>14586</v>
      </c>
      <c r="D2670" s="5" t="s">
        <v>14587</v>
      </c>
      <c r="E2670" s="6" t="s">
        <v>74</v>
      </c>
      <c r="F2670" s="6" t="s">
        <v>14588</v>
      </c>
      <c r="G2670" s="3" t="str">
        <f>IFERROR(__xludf.DUMMYFUNCTION("REGEXREPLACE(
D2670,
""([一-龯々]+)\[([^\]]+)\]"",
""&lt;ruby&gt;$1&lt;rt&gt;$2&lt;/rt&gt;&lt;/ruby&gt;""
)&amp;""&lt;br&gt;&lt;div class=""""audio""""&gt;[sound:""&amp;C2670&amp;"".mp3]&lt;/div&gt;"""),"&lt;ruby&gt;動物&lt;rt&gt;どうぶつ&lt;/rt&gt;&lt;/ruby&gt;&lt;br&gt;&lt;div class=""audio""&gt;[sound:どうぶつ.mp3]&lt;/div&gt;")</f>
        <v>&lt;ruby&gt;動物&lt;rt&gt;どうぶつ&lt;/rt&gt;&lt;/ruby&gt;&lt;br&gt;&lt;div class="audio"&gt;[sound:どうぶつ.mp3]&lt;/div&gt;</v>
      </c>
      <c r="H2670" s="3" t="str">
        <f t="shared" si="1"/>
        <v>(n): động vật</v>
      </c>
      <c r="I2670" s="6" t="s">
        <v>14589</v>
      </c>
      <c r="J2670" s="6" t="s">
        <v>14590</v>
      </c>
      <c r="K2670" s="7">
        <f t="shared" si="2"/>
        <v>0.7841117082</v>
      </c>
    </row>
    <row r="2671">
      <c r="A2671" s="4">
        <v>2671.0</v>
      </c>
      <c r="B2671" s="5" t="s">
        <v>14591</v>
      </c>
      <c r="C2671" s="5" t="s">
        <v>14592</v>
      </c>
      <c r="D2671" s="5" t="s">
        <v>14593</v>
      </c>
      <c r="E2671" s="6" t="s">
        <v>74</v>
      </c>
      <c r="F2671" s="6" t="s">
        <v>4608</v>
      </c>
      <c r="G2671" s="3" t="str">
        <f>IFERROR(__xludf.DUMMYFUNCTION("REGEXREPLACE(
D2671,
""([一-龯々]+)\[([^\]]+)\]"",
""&lt;ruby&gt;$1&lt;rt&gt;$2&lt;/rt&gt;&lt;/ruby&gt;""
)&amp;""&lt;br&gt;&lt;div class=""""audio""""&gt;[sound:""&amp;C2671&amp;"".mp3]&lt;/div&gt;"""),"&lt;ruby&gt;請求&lt;rt&gt;せいきゅう&lt;/rt&gt;&lt;/ruby&gt;&lt;br&gt;&lt;div class=""audio""&gt;[sound:せいきゅう.mp3]&lt;/div&gt;")</f>
        <v>&lt;ruby&gt;請求&lt;rt&gt;せいきゅう&lt;/rt&gt;&lt;/ruby&gt;&lt;br&gt;&lt;div class="audio"&gt;[sound:せいきゅう.mp3]&lt;/div&gt;</v>
      </c>
      <c r="H2671" s="3" t="str">
        <f t="shared" si="1"/>
        <v>(n): yêu cầu</v>
      </c>
      <c r="I2671" s="6" t="s">
        <v>14594</v>
      </c>
      <c r="J2671" s="6" t="s">
        <v>14595</v>
      </c>
      <c r="K2671" s="7">
        <f t="shared" si="2"/>
        <v>0.9945451993</v>
      </c>
    </row>
    <row r="2672">
      <c r="A2672" s="4">
        <v>2672.0</v>
      </c>
      <c r="B2672" s="5" t="s">
        <v>14596</v>
      </c>
      <c r="C2672" s="5" t="s">
        <v>14597</v>
      </c>
      <c r="D2672" s="5" t="s">
        <v>14598</v>
      </c>
      <c r="E2672" s="6" t="s">
        <v>11</v>
      </c>
      <c r="F2672" s="6" t="s">
        <v>14599</v>
      </c>
      <c r="G2672" s="3" t="str">
        <f>IFERROR(__xludf.DUMMYFUNCTION("REGEXREPLACE(
D2672,
""([一-龯々]+)\[([^\]]+)\]"",
""&lt;ruby&gt;$1&lt;rt&gt;$2&lt;/rt&gt;&lt;/ruby&gt;""
)&amp;""&lt;br&gt;&lt;div class=""""audio""""&gt;[sound:""&amp;C2672&amp;"".mp3]&lt;/div&gt;"""),"&lt;ruby&gt;邪魔&lt;rt&gt;じゃま&lt;/rt&gt;&lt;/ruby&gt;&lt;br&gt;&lt;div class=""audio""&gt;[sound:じゃま.mp3]&lt;/div&gt;")</f>
        <v>&lt;ruby&gt;邪魔&lt;rt&gt;じゃま&lt;/rt&gt;&lt;/ruby&gt;&lt;br&gt;&lt;div class="audio"&gt;[sound:じゃま.mp3]&lt;/div&gt;</v>
      </c>
      <c r="H2672" s="3" t="str">
        <f t="shared" si="1"/>
        <v>(adj): cản trở</v>
      </c>
      <c r="I2672" s="6" t="s">
        <v>14600</v>
      </c>
      <c r="J2672" s="6" t="s">
        <v>14601</v>
      </c>
      <c r="K2672" s="7">
        <f t="shared" si="2"/>
        <v>0.5483617968</v>
      </c>
    </row>
    <row r="2673">
      <c r="A2673" s="4">
        <v>2673.0</v>
      </c>
      <c r="B2673" s="5" t="s">
        <v>14602</v>
      </c>
      <c r="C2673" s="5" t="s">
        <v>6605</v>
      </c>
      <c r="D2673" s="5" t="s">
        <v>14603</v>
      </c>
      <c r="E2673" s="6" t="s">
        <v>24</v>
      </c>
      <c r="F2673" s="6" t="s">
        <v>14604</v>
      </c>
      <c r="G2673" s="3" t="str">
        <f>IFERROR(__xludf.DUMMYFUNCTION("REGEXREPLACE(
D2673,
""([一-龯々]+)\[([^\]]+)\]"",
""&lt;ruby&gt;$1&lt;rt&gt;$2&lt;/rt&gt;&lt;/ruby&gt;""
)&amp;""&lt;br&gt;&lt;div class=""""audio""""&gt;[sound:""&amp;C2673&amp;"".mp3]&lt;/div&gt;"""),"&lt;ruby&gt;帰&lt;rt&gt;かえ&lt;/rt&gt;&lt;/ruby&gt;す&lt;br&gt;&lt;div class=""audio""&gt;[sound:かえす.mp3]&lt;/div&gt;")</f>
        <v>&lt;ruby&gt;帰&lt;rt&gt;かえ&lt;/rt&gt;&lt;/ruby&gt;す&lt;br&gt;&lt;div class="audio"&gt;[sound:かえす.mp3]&lt;/div&gt;</v>
      </c>
      <c r="H2673" s="3" t="str">
        <f t="shared" si="1"/>
        <v>(v): cho về</v>
      </c>
      <c r="I2673" s="6" t="s">
        <v>14605</v>
      </c>
      <c r="J2673" s="6" t="s">
        <v>14606</v>
      </c>
      <c r="K2673" s="7">
        <f t="shared" si="2"/>
        <v>0.03677815246</v>
      </c>
    </row>
    <row r="2674">
      <c r="A2674" s="4">
        <v>2674.0</v>
      </c>
      <c r="B2674" s="5" t="s">
        <v>14607</v>
      </c>
      <c r="C2674" s="5" t="s">
        <v>6208</v>
      </c>
      <c r="D2674" s="5" t="s">
        <v>14608</v>
      </c>
      <c r="E2674" s="6" t="s">
        <v>74</v>
      </c>
      <c r="F2674" s="6" t="s">
        <v>14609</v>
      </c>
      <c r="G2674" s="3" t="str">
        <f>IFERROR(__xludf.DUMMYFUNCTION("REGEXREPLACE(
D2674,
""([一-龯々]+)\[([^\]]+)\]"",
""&lt;ruby&gt;$1&lt;rt&gt;$2&lt;/rt&gt;&lt;/ruby&gt;""
)&amp;""&lt;br&gt;&lt;div class=""""audio""""&gt;[sound:""&amp;C2674&amp;"".mp3]&lt;/div&gt;"""),"&lt;ruby&gt;章&lt;rt&gt;しょう&lt;/rt&gt;&lt;/ruby&gt;&lt;br&gt;&lt;div class=""audio""&gt;[sound:しょう.mp3]&lt;/div&gt;")</f>
        <v>&lt;ruby&gt;章&lt;rt&gt;しょう&lt;/rt&gt;&lt;/ruby&gt;&lt;br&gt;&lt;div class="audio"&gt;[sound:しょう.mp3]&lt;/div&gt;</v>
      </c>
      <c r="H2674" s="3" t="str">
        <f t="shared" si="1"/>
        <v>(n): chương</v>
      </c>
      <c r="I2674" s="6" t="s">
        <v>14610</v>
      </c>
      <c r="J2674" s="6" t="s">
        <v>14611</v>
      </c>
      <c r="K2674" s="7">
        <f t="shared" si="2"/>
        <v>0.28275539</v>
      </c>
    </row>
    <row r="2675">
      <c r="A2675" s="4">
        <v>2675.0</v>
      </c>
      <c r="B2675" s="5" t="s">
        <v>14612</v>
      </c>
      <c r="C2675" s="5" t="s">
        <v>14613</v>
      </c>
      <c r="D2675" s="5" t="s">
        <v>14614</v>
      </c>
      <c r="E2675" s="6" t="s">
        <v>74</v>
      </c>
      <c r="F2675" s="6" t="s">
        <v>8867</v>
      </c>
      <c r="G2675" s="3" t="str">
        <f>IFERROR(__xludf.DUMMYFUNCTION("REGEXREPLACE(
D2675,
""([一-龯々]+)\[([^\]]+)\]"",
""&lt;ruby&gt;$1&lt;rt&gt;$2&lt;/rt&gt;&lt;/ruby&gt;""
)&amp;""&lt;br&gt;&lt;div class=""""audio""""&gt;[sound:""&amp;C2675&amp;"".mp3]&lt;/div&gt;"""),"&lt;ruby&gt;共同&lt;rt&gt;きょうどう&lt;/rt&gt;&lt;/ruby&gt;&lt;br&gt;&lt;div class=""audio""&gt;[sound:きょうどう.mp3]&lt;/div&gt;")</f>
        <v>&lt;ruby&gt;共同&lt;rt&gt;きょうどう&lt;/rt&gt;&lt;/ruby&gt;&lt;br&gt;&lt;div class="audio"&gt;[sound:きょうどう.mp3]&lt;/div&gt;</v>
      </c>
      <c r="H2675" s="3" t="str">
        <f t="shared" si="1"/>
        <v>(n): chung</v>
      </c>
      <c r="I2675" s="6" t="s">
        <v>14615</v>
      </c>
      <c r="J2675" s="6" t="s">
        <v>14616</v>
      </c>
      <c r="K2675" s="7">
        <f t="shared" si="2"/>
        <v>0.7047786375</v>
      </c>
    </row>
    <row r="2676">
      <c r="A2676" s="4">
        <v>2676.0</v>
      </c>
      <c r="B2676" s="5" t="s">
        <v>14617</v>
      </c>
      <c r="C2676" s="5" t="s">
        <v>14618</v>
      </c>
      <c r="D2676" s="5" t="s">
        <v>14619</v>
      </c>
      <c r="E2676" s="6" t="s">
        <v>11</v>
      </c>
      <c r="F2676" s="6" t="s">
        <v>14620</v>
      </c>
      <c r="G2676" s="3" t="str">
        <f>IFERROR(__xludf.DUMMYFUNCTION("REGEXREPLACE(
D2676,
""([一-龯々]+)\[([^\]]+)\]"",
""&lt;ruby&gt;$1&lt;rt&gt;$2&lt;/rt&gt;&lt;/ruby&gt;""
)&amp;""&lt;br&gt;&lt;div class=""""audio""""&gt;[sound:""&amp;C2676&amp;"".mp3]&lt;/div&gt;"""),"&lt;ruby&gt;懐&lt;rt&gt;なつ&lt;/rt&gt;&lt;/ruby&gt;かしい&lt;br&gt;&lt;div class=""audio""&gt;[sound:なつかしい.mp3]&lt;/div&gt;")</f>
        <v>&lt;ruby&gt;懐&lt;rt&gt;なつ&lt;/rt&gt;&lt;/ruby&gt;かしい&lt;br&gt;&lt;div class="audio"&gt;[sound:なつかしい.mp3]&lt;/div&gt;</v>
      </c>
      <c r="H2676" s="3" t="str">
        <f t="shared" si="1"/>
        <v>(adj): nhớ</v>
      </c>
      <c r="I2676" s="6" t="s">
        <v>14621</v>
      </c>
      <c r="J2676" s="6" t="s">
        <v>14622</v>
      </c>
      <c r="K2676" s="7">
        <f t="shared" si="2"/>
        <v>0.9890314098</v>
      </c>
    </row>
    <row r="2677">
      <c r="A2677" s="4">
        <v>2677.0</v>
      </c>
      <c r="B2677" s="5" t="s">
        <v>14623</v>
      </c>
      <c r="C2677" s="5" t="s">
        <v>14624</v>
      </c>
      <c r="D2677" s="5" t="s">
        <v>14625</v>
      </c>
      <c r="E2677" s="6" t="s">
        <v>24</v>
      </c>
      <c r="F2677" s="6" t="s">
        <v>140</v>
      </c>
      <c r="G2677" s="3" t="str">
        <f>IFERROR(__xludf.DUMMYFUNCTION("REGEXREPLACE(
D2677,
""([一-龯々]+)\[([^\]]+)\]"",
""&lt;ruby&gt;$1&lt;rt&gt;$2&lt;/rt&gt;&lt;/ruby&gt;""
)&amp;""&lt;br&gt;&lt;div class=""""audio""""&gt;[sound:""&amp;C2677&amp;"".mp3]&lt;/div&gt;"""),"&lt;ruby&gt;参&lt;rt&gt;まい&lt;/rt&gt;&lt;/ruby&gt;る&lt;br&gt;&lt;div class=""audio""&gt;[sound:まいる.mp3]&lt;/div&gt;")</f>
        <v>&lt;ruby&gt;参&lt;rt&gt;まい&lt;/rt&gt;&lt;/ruby&gt;る&lt;br&gt;&lt;div class="audio"&gt;[sound:まいる.mp3]&lt;/div&gt;</v>
      </c>
      <c r="H2677" s="3" t="str">
        <f t="shared" si="1"/>
        <v>(v): đi</v>
      </c>
      <c r="I2677" s="6" t="s">
        <v>14626</v>
      </c>
      <c r="J2677" s="6" t="s">
        <v>14627</v>
      </c>
      <c r="K2677" s="7">
        <f t="shared" si="2"/>
        <v>0.8399377089</v>
      </c>
    </row>
    <row r="2678">
      <c r="A2678" s="4">
        <v>2678.0</v>
      </c>
      <c r="B2678" s="5" t="s">
        <v>14628</v>
      </c>
      <c r="C2678" s="5" t="s">
        <v>661</v>
      </c>
      <c r="D2678" s="5" t="s">
        <v>14629</v>
      </c>
      <c r="E2678" s="6" t="s">
        <v>24</v>
      </c>
      <c r="F2678" s="6" t="s">
        <v>14630</v>
      </c>
      <c r="G2678" s="3" t="str">
        <f>IFERROR(__xludf.DUMMYFUNCTION("REGEXREPLACE(
D2678,
""([一-龯々]+)\[([^\]]+)\]"",
""&lt;ruby&gt;$1&lt;rt&gt;$2&lt;/rt&gt;&lt;/ruby&gt;""
)&amp;""&lt;br&gt;&lt;div class=""""audio""""&gt;[sound:""&amp;C2678&amp;"".mp3]&lt;/div&gt;"""),"&lt;ruby&gt;因&lt;rt&gt;よ&lt;/rt&gt;&lt;/ruby&gt;る&lt;br&gt;&lt;div class=""audio""&gt;[sound:よる.mp3]&lt;/div&gt;")</f>
        <v>&lt;ruby&gt;因&lt;rt&gt;よ&lt;/rt&gt;&lt;/ruby&gt;る&lt;br&gt;&lt;div class="audio"&gt;[sound:よる.mp3]&lt;/div&gt;</v>
      </c>
      <c r="H2678" s="3" t="str">
        <f t="shared" si="1"/>
        <v>(v): do</v>
      </c>
      <c r="I2678" s="6" t="s">
        <v>14631</v>
      </c>
      <c r="J2678" s="6" t="s">
        <v>14632</v>
      </c>
      <c r="K2678" s="7">
        <f t="shared" si="2"/>
        <v>0.01773581799</v>
      </c>
    </row>
    <row r="2679">
      <c r="A2679" s="4">
        <v>2679.0</v>
      </c>
      <c r="B2679" s="5" t="s">
        <v>14633</v>
      </c>
      <c r="C2679" s="5" t="s">
        <v>14634</v>
      </c>
      <c r="D2679" s="5" t="s">
        <v>14635</v>
      </c>
      <c r="E2679" s="6" t="s">
        <v>74</v>
      </c>
      <c r="F2679" s="6" t="s">
        <v>5021</v>
      </c>
      <c r="G2679" s="3" t="str">
        <f>IFERROR(__xludf.DUMMYFUNCTION("REGEXREPLACE(
D2679,
""([一-龯々]+)\[([^\]]+)\]"",
""&lt;ruby&gt;$1&lt;rt&gt;$2&lt;/rt&gt;&lt;/ruby&gt;""
)&amp;""&lt;br&gt;&lt;div class=""""audio""""&gt;[sound:""&amp;C2679&amp;"".mp3]&lt;/div&gt;"""),"&lt;ruby&gt;岩&lt;rt&gt;いわ&lt;/rt&gt;&lt;/ruby&gt;&lt;br&gt;&lt;div class=""audio""&gt;[sound:いわ.mp3]&lt;/div&gt;")</f>
        <v>&lt;ruby&gt;岩&lt;rt&gt;いわ&lt;/rt&gt;&lt;/ruby&gt;&lt;br&gt;&lt;div class="audio"&gt;[sound:いわ.mp3]&lt;/div&gt;</v>
      </c>
      <c r="H2679" s="3" t="str">
        <f t="shared" si="1"/>
        <v>(n): đá</v>
      </c>
      <c r="I2679" s="6" t="s">
        <v>14636</v>
      </c>
      <c r="J2679" s="6" t="s">
        <v>14637</v>
      </c>
      <c r="K2679" s="7">
        <f t="shared" si="2"/>
        <v>0.9519471504</v>
      </c>
    </row>
    <row r="2680">
      <c r="A2680" s="4">
        <v>2680.0</v>
      </c>
      <c r="B2680" s="5" t="s">
        <v>14638</v>
      </c>
      <c r="C2680" s="5" t="s">
        <v>14639</v>
      </c>
      <c r="D2680" s="5" t="s">
        <v>14640</v>
      </c>
      <c r="E2680" s="6" t="s">
        <v>74</v>
      </c>
      <c r="F2680" s="6" t="s">
        <v>14641</v>
      </c>
      <c r="G2680" s="3" t="str">
        <f>IFERROR(__xludf.DUMMYFUNCTION("REGEXREPLACE(
D2680,
""([一-龯々]+)\[([^\]]+)\]"",
""&lt;ruby&gt;$1&lt;rt&gt;$2&lt;/rt&gt;&lt;/ruby&gt;""
)&amp;""&lt;br&gt;&lt;div class=""""audio""""&gt;[sound:""&amp;C2680&amp;"".mp3]&lt;/div&gt;"""),"&lt;ruby&gt;味噌&lt;rt&gt;みそ&lt;/rt&gt;&lt;/ruby&gt;&lt;br&gt;&lt;div class=""audio""&gt;[sound:みそ.mp3]&lt;/div&gt;")</f>
        <v>&lt;ruby&gt;味噌&lt;rt&gt;みそ&lt;/rt&gt;&lt;/ruby&gt;&lt;br&gt;&lt;div class="audio"&gt;[sound:みそ.mp3]&lt;/div&gt;</v>
      </c>
      <c r="H2680" s="3" t="str">
        <f t="shared" si="1"/>
        <v>(n): tương miso</v>
      </c>
      <c r="I2680" s="6" t="s">
        <v>14642</v>
      </c>
      <c r="J2680" s="6" t="s">
        <v>14643</v>
      </c>
      <c r="K2680" s="7">
        <f t="shared" si="2"/>
        <v>0.669213129</v>
      </c>
    </row>
    <row r="2681">
      <c r="A2681" s="4">
        <v>2681.0</v>
      </c>
      <c r="B2681" s="5" t="s">
        <v>14644</v>
      </c>
      <c r="C2681" s="5" t="s">
        <v>14645</v>
      </c>
      <c r="D2681" s="5" t="s">
        <v>14646</v>
      </c>
      <c r="E2681" s="6" t="s">
        <v>74</v>
      </c>
      <c r="F2681" s="6" t="s">
        <v>972</v>
      </c>
      <c r="G2681" s="3" t="str">
        <f>IFERROR(__xludf.DUMMYFUNCTION("REGEXREPLACE(
D2681,
""([一-龯々]+)\[([^\]]+)\]"",
""&lt;ruby&gt;$1&lt;rt&gt;$2&lt;/rt&gt;&lt;/ruby&gt;""
)&amp;""&lt;br&gt;&lt;div class=""""audio""""&gt;[sound:""&amp;C2681&amp;"".mp3]&lt;/div&gt;"""),"&lt;ruby&gt;手前&lt;rt&gt;てまえ&lt;/rt&gt;&lt;/ruby&gt;&lt;br&gt;&lt;div class=""audio""&gt;[sound:てまえ.mp3]&lt;/div&gt;")</f>
        <v>&lt;ruby&gt;手前&lt;rt&gt;てまえ&lt;/rt&gt;&lt;/ruby&gt;&lt;br&gt;&lt;div class="audio"&gt;[sound:てまえ.mp3]&lt;/div&gt;</v>
      </c>
      <c r="H2681" s="3" t="str">
        <f t="shared" si="1"/>
        <v>(n): phía trước</v>
      </c>
      <c r="I2681" s="6" t="s">
        <v>14647</v>
      </c>
      <c r="J2681" s="6" t="s">
        <v>14648</v>
      </c>
      <c r="K2681" s="7">
        <f t="shared" si="2"/>
        <v>0.4529227895</v>
      </c>
    </row>
    <row r="2682">
      <c r="A2682" s="4">
        <v>2682.0</v>
      </c>
      <c r="B2682" s="5" t="s">
        <v>14649</v>
      </c>
      <c r="C2682" s="5" t="s">
        <v>14650</v>
      </c>
      <c r="D2682" s="5" t="s">
        <v>14651</v>
      </c>
      <c r="E2682" s="6" t="s">
        <v>74</v>
      </c>
      <c r="F2682" s="6" t="s">
        <v>14652</v>
      </c>
      <c r="G2682" s="3" t="str">
        <f>IFERROR(__xludf.DUMMYFUNCTION("REGEXREPLACE(
D2682,
""([一-龯々]+)\[([^\]]+)\]"",
""&lt;ruby&gt;$1&lt;rt&gt;$2&lt;/rt&gt;&lt;/ruby&gt;""
)&amp;""&lt;br&gt;&lt;div class=""""audio""""&gt;[sound:""&amp;C2682&amp;"".mp3]&lt;/div&gt;"""),"&lt;ruby&gt;関東&lt;rt&gt;かんとう&lt;/rt&gt;&lt;/ruby&gt;&lt;br&gt;&lt;div class=""audio""&gt;[sound:かんとう.mp3]&lt;/div&gt;")</f>
        <v>&lt;ruby&gt;関東&lt;rt&gt;かんとう&lt;/rt&gt;&lt;/ruby&gt;&lt;br&gt;&lt;div class="audio"&gt;[sound:かんとう.mp3]&lt;/div&gt;</v>
      </c>
      <c r="H2682" s="3" t="str">
        <f t="shared" si="1"/>
        <v>(n): vùng kanto</v>
      </c>
      <c r="I2682" s="6" t="s">
        <v>14653</v>
      </c>
      <c r="J2682" s="6" t="s">
        <v>14654</v>
      </c>
      <c r="K2682" s="7">
        <f t="shared" si="2"/>
        <v>0.2713537897</v>
      </c>
    </row>
    <row r="2683">
      <c r="A2683" s="4">
        <v>2683.0</v>
      </c>
      <c r="B2683" s="5" t="s">
        <v>14655</v>
      </c>
      <c r="C2683" s="5" t="s">
        <v>4143</v>
      </c>
      <c r="D2683" s="5" t="s">
        <v>14656</v>
      </c>
      <c r="E2683" s="6" t="s">
        <v>58</v>
      </c>
      <c r="F2683" s="6" t="s">
        <v>14657</v>
      </c>
      <c r="G2683" s="3" t="str">
        <f>IFERROR(__xludf.DUMMYFUNCTION("REGEXREPLACE(
D2683,
""([一-龯々]+)\[([^\]]+)\]"",
""&lt;ruby&gt;$1&lt;rt&gt;$2&lt;/rt&gt;&lt;/ruby&gt;""
)&amp;""&lt;br&gt;&lt;div class=""""audio""""&gt;[sound:""&amp;C2683&amp;"".mp3]&lt;/div&gt;"""),"&lt;ruby&gt;千&lt;rt&gt;せん&lt;/rt&gt;&lt;/ruby&gt;&lt;br&gt;&lt;div class=""audio""&gt;[sound:せん.mp3]&lt;/div&gt;")</f>
        <v>&lt;ruby&gt;千&lt;rt&gt;せん&lt;/rt&gt;&lt;/ruby&gt;&lt;br&gt;&lt;div class="audio"&gt;[sound:せん.mp3]&lt;/div&gt;</v>
      </c>
      <c r="H2683" s="3" t="str">
        <f t="shared" si="1"/>
        <v>(num): một nghìn</v>
      </c>
      <c r="I2683" s="6" t="s">
        <v>14658</v>
      </c>
      <c r="J2683" s="6" t="s">
        <v>14659</v>
      </c>
      <c r="K2683" s="7">
        <f t="shared" si="2"/>
        <v>0.4148368343</v>
      </c>
    </row>
    <row r="2684">
      <c r="A2684" s="4">
        <v>2684.0</v>
      </c>
      <c r="B2684" s="5" t="s">
        <v>14660</v>
      </c>
      <c r="C2684" s="5" t="s">
        <v>14661</v>
      </c>
      <c r="D2684" s="5" t="s">
        <v>14662</v>
      </c>
      <c r="E2684" s="6" t="s">
        <v>74</v>
      </c>
      <c r="F2684" s="6" t="s">
        <v>14663</v>
      </c>
      <c r="G2684" s="3" t="str">
        <f>IFERROR(__xludf.DUMMYFUNCTION("REGEXREPLACE(
D2684,
""([一-龯々]+)\[([^\]]+)\]"",
""&lt;ruby&gt;$1&lt;rt&gt;$2&lt;/rt&gt;&lt;/ruby&gt;""
)&amp;""&lt;br&gt;&lt;div class=""""audio""""&gt;[sound:""&amp;C2684&amp;"".mp3]&lt;/div&gt;"""),"&lt;ruby&gt;憲法&lt;rt&gt;けんぽう&lt;/rt&gt;&lt;/ruby&gt;&lt;br&gt;&lt;div class=""audio""&gt;[sound:けんぽう.mp3]&lt;/div&gt;")</f>
        <v>&lt;ruby&gt;憲法&lt;rt&gt;けんぽう&lt;/rt&gt;&lt;/ruby&gt;&lt;br&gt;&lt;div class="audio"&gt;[sound:けんぽう.mp3]&lt;/div&gt;</v>
      </c>
      <c r="H2684" s="3" t="str">
        <f t="shared" si="1"/>
        <v>(n): hiến pháp</v>
      </c>
      <c r="I2684" s="6" t="s">
        <v>14664</v>
      </c>
      <c r="J2684" s="6" t="s">
        <v>14665</v>
      </c>
      <c r="K2684" s="7">
        <f t="shared" si="2"/>
        <v>0.5938018524</v>
      </c>
    </row>
    <row r="2685">
      <c r="A2685" s="4">
        <v>2685.0</v>
      </c>
      <c r="B2685" s="5" t="s">
        <v>14666</v>
      </c>
      <c r="C2685" s="5" t="s">
        <v>14667</v>
      </c>
      <c r="D2685" s="5" t="s">
        <v>14668</v>
      </c>
      <c r="E2685" s="6" t="s">
        <v>74</v>
      </c>
      <c r="F2685" s="6" t="s">
        <v>13858</v>
      </c>
      <c r="G2685" s="3" t="str">
        <f>IFERROR(__xludf.DUMMYFUNCTION("REGEXREPLACE(
D2685,
""([一-龯々]+)\[([^\]]+)\]"",
""&lt;ruby&gt;$1&lt;rt&gt;$2&lt;/rt&gt;&lt;/ruby&gt;""
)&amp;""&lt;br&gt;&lt;div class=""""audio""""&gt;[sound:""&amp;C2685&amp;"".mp3]&lt;/div&gt;"""),"&lt;ruby&gt;総理大臣&lt;rt&gt;そうりだいじん&lt;/rt&gt;&lt;/ruby&gt;&lt;br&gt;&lt;div class=""audio""&gt;[sound:そうりだいじん.mp3]&lt;/div&gt;")</f>
        <v>&lt;ruby&gt;総理大臣&lt;rt&gt;そうりだいじん&lt;/rt&gt;&lt;/ruby&gt;&lt;br&gt;&lt;div class="audio"&gt;[sound:そうりだいじん.mp3]&lt;/div&gt;</v>
      </c>
      <c r="H2685" s="3" t="str">
        <f t="shared" si="1"/>
        <v>(n): thủ tướng</v>
      </c>
      <c r="I2685" s="6" t="s">
        <v>14669</v>
      </c>
      <c r="J2685" s="6" t="s">
        <v>14670</v>
      </c>
      <c r="K2685" s="7">
        <f t="shared" si="2"/>
        <v>0.4621010301</v>
      </c>
    </row>
    <row r="2686">
      <c r="A2686" s="4">
        <v>2686.0</v>
      </c>
      <c r="B2686" s="5" t="s">
        <v>14671</v>
      </c>
      <c r="C2686" s="5" t="s">
        <v>14672</v>
      </c>
      <c r="D2686" s="5" t="s">
        <v>14673</v>
      </c>
      <c r="E2686" s="6" t="s">
        <v>74</v>
      </c>
      <c r="F2686" s="6" t="s">
        <v>746</v>
      </c>
      <c r="G2686" s="3" t="str">
        <f>IFERROR(__xludf.DUMMYFUNCTION("REGEXREPLACE(
D2686,
""([一-龯々]+)\[([^\]]+)\]"",
""&lt;ruby&gt;$1&lt;rt&gt;$2&lt;/rt&gt;&lt;/ruby&gt;""
)&amp;""&lt;br&gt;&lt;div class=""""audio""""&gt;[sound:""&amp;C2686&amp;"".mp3]&lt;/div&gt;"""),"&lt;ruby&gt;職&lt;rt&gt;しょく&lt;/rt&gt;&lt;/ruby&gt;&lt;br&gt;&lt;div class=""audio""&gt;[sound:しょく.mp3]&lt;/div&gt;")</f>
        <v>&lt;ruby&gt;職&lt;rt&gt;しょく&lt;/rt&gt;&lt;/ruby&gt;&lt;br&gt;&lt;div class="audio"&gt;[sound:しょく.mp3]&lt;/div&gt;</v>
      </c>
      <c r="H2686" s="3" t="str">
        <f t="shared" si="1"/>
        <v>(n): công việc</v>
      </c>
      <c r="I2686" s="6" t="s">
        <v>14674</v>
      </c>
      <c r="J2686" s="6" t="s">
        <v>14675</v>
      </c>
      <c r="K2686" s="7">
        <f t="shared" si="2"/>
        <v>0.6586023748</v>
      </c>
    </row>
    <row r="2687">
      <c r="A2687" s="4">
        <v>2687.0</v>
      </c>
      <c r="B2687" s="5" t="s">
        <v>14676</v>
      </c>
      <c r="C2687" s="5" t="s">
        <v>14677</v>
      </c>
      <c r="D2687" s="5" t="s">
        <v>14678</v>
      </c>
      <c r="E2687" s="6" t="s">
        <v>24</v>
      </c>
      <c r="F2687" s="6" t="s">
        <v>14679</v>
      </c>
      <c r="G2687" s="3" t="str">
        <f>IFERROR(__xludf.DUMMYFUNCTION("REGEXREPLACE(
D2687,
""([一-龯々]+)\[([^\]]+)\]"",
""&lt;ruby&gt;$1&lt;rt&gt;$2&lt;/rt&gt;&lt;/ruby&gt;""
)&amp;""&lt;br&gt;&lt;div class=""""audio""""&gt;[sound:""&amp;C2687&amp;"".mp3]&lt;/div&gt;"""),"&lt;ruby&gt;落着&lt;rt&gt;おちつ&lt;/rt&gt;&lt;/ruby&gt;く&lt;br&gt;&lt;div class=""audio""&gt;[sound:おちつく.mp3]&lt;/div&gt;")</f>
        <v>&lt;ruby&gt;落着&lt;rt&gt;おちつ&lt;/rt&gt;&lt;/ruby&gt;く&lt;br&gt;&lt;div class="audio"&gt;[sound:おちつく.mp3]&lt;/div&gt;</v>
      </c>
      <c r="H2687" s="3" t="str">
        <f t="shared" si="1"/>
        <v>(v): bình tĩnh</v>
      </c>
      <c r="I2687" s="6" t="s">
        <v>14680</v>
      </c>
      <c r="J2687" s="6" t="s">
        <v>14681</v>
      </c>
      <c r="K2687" s="7">
        <f t="shared" si="2"/>
        <v>0.1451409188</v>
      </c>
    </row>
    <row r="2688">
      <c r="A2688" s="4">
        <v>2688.0</v>
      </c>
      <c r="B2688" s="5" t="s">
        <v>14682</v>
      </c>
      <c r="C2688" s="5" t="s">
        <v>14683</v>
      </c>
      <c r="D2688" s="5" t="s">
        <v>14684</v>
      </c>
      <c r="E2688" s="6" t="s">
        <v>11</v>
      </c>
      <c r="F2688" s="6" t="s">
        <v>14685</v>
      </c>
      <c r="G2688" s="3" t="str">
        <f>IFERROR(__xludf.DUMMYFUNCTION("REGEXREPLACE(
D2688,
""([一-龯々]+)\[([^\]]+)\]"",
""&lt;ruby&gt;$1&lt;rt&gt;$2&lt;/rt&gt;&lt;/ruby&gt;""
)&amp;""&lt;br&gt;&lt;div class=""""audio""""&gt;[sound:""&amp;C2688&amp;"".mp3]&lt;/div&gt;"""),"&lt;ruby&gt;重大&lt;rt&gt;じゅうだい&lt;/rt&gt;&lt;/ruby&gt;&lt;br&gt;&lt;div class=""audio""&gt;[sound:じゅうだい.mp3]&lt;/div&gt;")</f>
        <v>&lt;ruby&gt;重大&lt;rt&gt;じゅうだい&lt;/rt&gt;&lt;/ruby&gt;&lt;br&gt;&lt;div class="audio"&gt;[sound:じゅうだい.mp3]&lt;/div&gt;</v>
      </c>
      <c r="H2688" s="3" t="str">
        <f t="shared" si="1"/>
        <v>(adj): trọng đại</v>
      </c>
      <c r="I2688" s="6" t="s">
        <v>14686</v>
      </c>
      <c r="J2688" s="6" t="s">
        <v>14687</v>
      </c>
      <c r="K2688" s="7">
        <f t="shared" si="2"/>
        <v>0.1101928825</v>
      </c>
    </row>
    <row r="2689">
      <c r="A2689" s="4">
        <v>2689.0</v>
      </c>
      <c r="B2689" s="5" t="s">
        <v>14688</v>
      </c>
      <c r="C2689" s="5" t="s">
        <v>14689</v>
      </c>
      <c r="D2689" s="5" t="s">
        <v>14690</v>
      </c>
      <c r="E2689" s="6" t="s">
        <v>74</v>
      </c>
      <c r="F2689" s="6" t="s">
        <v>10002</v>
      </c>
      <c r="G2689" s="3" t="str">
        <f>IFERROR(__xludf.DUMMYFUNCTION("REGEXREPLACE(
D2689,
""([一-龯々]+)\[([^\]]+)\]"",
""&lt;ruby&gt;$1&lt;rt&gt;$2&lt;/rt&gt;&lt;/ruby&gt;""
)&amp;""&lt;br&gt;&lt;div class=""""audio""""&gt;[sound:""&amp;C2689&amp;"".mp3]&lt;/div&gt;"""),"&lt;ruby&gt;停止&lt;rt&gt;ていし&lt;/rt&gt;&lt;/ruby&gt;&lt;br&gt;&lt;div class=""audio""&gt;[sound:ていし.mp3]&lt;/div&gt;")</f>
        <v>&lt;ruby&gt;停止&lt;rt&gt;ていし&lt;/rt&gt;&lt;/ruby&gt;&lt;br&gt;&lt;div class="audio"&gt;[sound:ていし.mp3]&lt;/div&gt;</v>
      </c>
      <c r="H2689" s="3" t="str">
        <f t="shared" si="1"/>
        <v>(n): dừng lại</v>
      </c>
      <c r="I2689" s="6" t="s">
        <v>14691</v>
      </c>
      <c r="J2689" s="6" t="s">
        <v>14692</v>
      </c>
      <c r="K2689" s="7">
        <f t="shared" si="2"/>
        <v>0.4341850348</v>
      </c>
    </row>
    <row r="2690">
      <c r="A2690" s="4">
        <v>2690.0</v>
      </c>
      <c r="B2690" s="5" t="s">
        <v>14693</v>
      </c>
      <c r="C2690" s="5" t="s">
        <v>14694</v>
      </c>
      <c r="D2690" s="5" t="s">
        <v>14695</v>
      </c>
      <c r="E2690" s="6" t="s">
        <v>85</v>
      </c>
      <c r="F2690" s="6" t="s">
        <v>14696</v>
      </c>
      <c r="G2690" s="3" t="str">
        <f>IFERROR(__xludf.DUMMYFUNCTION("REGEXREPLACE(
D2690,
""([一-龯々]+)\[([^\]]+)\]"",
""&lt;ruby&gt;$1&lt;rt&gt;$2&lt;/rt&gt;&lt;/ruby&gt;""
)&amp;""&lt;br&gt;&lt;div class=""""audio""""&gt;[sound:""&amp;C2690&amp;"".mp3]&lt;/div&gt;"""),"&lt;ruby&gt;思&lt;rt&gt;おも&lt;/rt&gt;&lt;/ruby&gt;い&lt;ruby&gt;切&lt;rt&gt;き&lt;/rt&gt;&lt;/ruby&gt;り&lt;br&gt;&lt;div class=""audio""&gt;[sound:おもいきり.mp3]&lt;/div&gt;")</f>
        <v>&lt;ruby&gt;思&lt;rt&gt;おも&lt;/rt&gt;&lt;/ruby&gt;い&lt;ruby&gt;切&lt;rt&gt;き&lt;/rt&gt;&lt;/ruby&gt;り&lt;br&gt;&lt;div class="audio"&gt;[sound:おもいきり.mp3]&lt;/div&gt;</v>
      </c>
      <c r="H2690" s="3" t="str">
        <f t="shared" si="1"/>
        <v>(adv): hết mình</v>
      </c>
      <c r="I2690" s="6" t="s">
        <v>14697</v>
      </c>
      <c r="J2690" s="6" t="s">
        <v>14698</v>
      </c>
      <c r="K2690" s="7">
        <f t="shared" si="2"/>
        <v>0.1774736237</v>
      </c>
    </row>
    <row r="2691">
      <c r="A2691" s="4">
        <v>2691.0</v>
      </c>
      <c r="B2691" s="5" t="s">
        <v>14699</v>
      </c>
      <c r="C2691" s="5" t="s">
        <v>14700</v>
      </c>
      <c r="D2691" s="5" t="s">
        <v>14701</v>
      </c>
      <c r="E2691" s="6" t="s">
        <v>74</v>
      </c>
      <c r="F2691" s="6" t="s">
        <v>14702</v>
      </c>
      <c r="G2691" s="3" t="str">
        <f>IFERROR(__xludf.DUMMYFUNCTION("REGEXREPLACE(
D2691,
""([一-龯々]+)\[([^\]]+)\]"",
""&lt;ruby&gt;$1&lt;rt&gt;$2&lt;/rt&gt;&lt;/ruby&gt;""
)&amp;""&lt;br&gt;&lt;div class=""""audio""""&gt;[sound:""&amp;C2691&amp;"".mp3]&lt;/div&gt;"""),"&lt;ruby&gt;涙&lt;rt&gt;なみだ&lt;/rt&gt;&lt;/ruby&gt;&lt;br&gt;&lt;div class=""audio""&gt;[sound:なみだ.mp3]&lt;/div&gt;")</f>
        <v>&lt;ruby&gt;涙&lt;rt&gt;なみだ&lt;/rt&gt;&lt;/ruby&gt;&lt;br&gt;&lt;div class="audio"&gt;[sound:なみだ.mp3]&lt;/div&gt;</v>
      </c>
      <c r="H2691" s="3" t="str">
        <f t="shared" si="1"/>
        <v>(n): nước mắt</v>
      </c>
      <c r="I2691" s="6" t="s">
        <v>14703</v>
      </c>
      <c r="J2691" s="6" t="s">
        <v>14704</v>
      </c>
      <c r="K2691" s="7">
        <f t="shared" si="2"/>
        <v>0.07233564725</v>
      </c>
    </row>
    <row r="2692">
      <c r="A2692" s="4">
        <v>2692.0</v>
      </c>
      <c r="B2692" s="5" t="s">
        <v>14705</v>
      </c>
      <c r="C2692" s="5" t="s">
        <v>14706</v>
      </c>
      <c r="D2692" s="5" t="s">
        <v>14707</v>
      </c>
      <c r="E2692" s="6" t="s">
        <v>74</v>
      </c>
      <c r="F2692" s="6" t="s">
        <v>9625</v>
      </c>
      <c r="G2692" s="3" t="str">
        <f>IFERROR(__xludf.DUMMYFUNCTION("REGEXREPLACE(
D2692,
""([一-龯々]+)\[([^\]]+)\]"",
""&lt;ruby&gt;$1&lt;rt&gt;$2&lt;/rt&gt;&lt;/ruby&gt;""
)&amp;""&lt;br&gt;&lt;div class=""""audio""""&gt;[sound:""&amp;C2692&amp;"".mp3]&lt;/div&gt;"""),"&lt;ruby&gt;特定&lt;rt&gt;とくてい&lt;/rt&gt;&lt;/ruby&gt;&lt;br&gt;&lt;div class=""audio""&gt;[sound:とくてい.mp3]&lt;/div&gt;")</f>
        <v>&lt;ruby&gt;特定&lt;rt&gt;とくてい&lt;/rt&gt;&lt;/ruby&gt;&lt;br&gt;&lt;div class="audio"&gt;[sound:とくてい.mp3]&lt;/div&gt;</v>
      </c>
      <c r="H2692" s="3" t="str">
        <f t="shared" si="1"/>
        <v>(n): xác định</v>
      </c>
      <c r="I2692" s="6" t="s">
        <v>14708</v>
      </c>
      <c r="J2692" s="6" t="s">
        <v>14709</v>
      </c>
      <c r="K2692" s="7">
        <f t="shared" si="2"/>
        <v>0.3398127735</v>
      </c>
    </row>
    <row r="2693">
      <c r="A2693" s="4">
        <v>2693.0</v>
      </c>
      <c r="B2693" s="5" t="s">
        <v>14710</v>
      </c>
      <c r="C2693" s="5" t="s">
        <v>14711</v>
      </c>
      <c r="D2693" s="5" t="s">
        <v>14712</v>
      </c>
      <c r="E2693" s="6" t="s">
        <v>74</v>
      </c>
      <c r="F2693" s="6" t="s">
        <v>14713</v>
      </c>
      <c r="G2693" s="3" t="str">
        <f>IFERROR(__xludf.DUMMYFUNCTION("REGEXREPLACE(
D2693,
""([一-龯々]+)\[([^\]]+)\]"",
""&lt;ruby&gt;$1&lt;rt&gt;$2&lt;/rt&gt;&lt;/ruby&gt;""
)&amp;""&lt;br&gt;&lt;div class=""""audio""""&gt;[sound:""&amp;C2693&amp;"".mp3]&lt;/div&gt;"""),"&lt;ruby&gt;観客&lt;rt&gt;かんきゃく&lt;/rt&gt;&lt;/ruby&gt;&lt;br&gt;&lt;div class=""audio""&gt;[sound:かんきゃく.mp3]&lt;/div&gt;")</f>
        <v>&lt;ruby&gt;観客&lt;rt&gt;かんきゃく&lt;/rt&gt;&lt;/ruby&gt;&lt;br&gt;&lt;div class="audio"&gt;[sound:かんきゃく.mp3]&lt;/div&gt;</v>
      </c>
      <c r="H2693" s="3" t="str">
        <f t="shared" si="1"/>
        <v>(n): khán giả</v>
      </c>
      <c r="I2693" s="6" t="s">
        <v>14714</v>
      </c>
      <c r="J2693" s="6" t="s">
        <v>14715</v>
      </c>
      <c r="K2693" s="7">
        <f t="shared" si="2"/>
        <v>0.3834823523</v>
      </c>
    </row>
    <row r="2694">
      <c r="A2694" s="4">
        <v>2694.0</v>
      </c>
      <c r="B2694" s="5" t="s">
        <v>14716</v>
      </c>
      <c r="C2694" s="5" t="s">
        <v>5066</v>
      </c>
      <c r="D2694" s="5" t="s">
        <v>14717</v>
      </c>
      <c r="E2694" s="6" t="s">
        <v>74</v>
      </c>
      <c r="F2694" s="6" t="s">
        <v>14718</v>
      </c>
      <c r="G2694" s="3" t="str">
        <f>IFERROR(__xludf.DUMMYFUNCTION("REGEXREPLACE(
D2694,
""([一-龯々]+)\[([^\]]+)\]"",
""&lt;ruby&gt;$1&lt;rt&gt;$2&lt;/rt&gt;&lt;/ruby&gt;""
)&amp;""&lt;br&gt;&lt;div class=""""audio""""&gt;[sound:""&amp;C2694&amp;"".mp3]&lt;/div&gt;"""),"&lt;ruby&gt;解答&lt;rt&gt;かいとう&lt;/rt&gt;&lt;/ruby&gt;&lt;br&gt;&lt;div class=""audio""&gt;[sound:かいとう.mp3]&lt;/div&gt;")</f>
        <v>&lt;ruby&gt;解答&lt;rt&gt;かいとう&lt;/rt&gt;&lt;/ruby&gt;&lt;br&gt;&lt;div class="audio"&gt;[sound:かいとう.mp3]&lt;/div&gt;</v>
      </c>
      <c r="H2694" s="3" t="str">
        <f t="shared" si="1"/>
        <v>(n): lời giải</v>
      </c>
      <c r="I2694" s="6" t="s">
        <v>14719</v>
      </c>
      <c r="J2694" s="6" t="s">
        <v>14720</v>
      </c>
      <c r="K2694" s="7">
        <f t="shared" si="2"/>
        <v>0.3677600003</v>
      </c>
    </row>
    <row r="2695">
      <c r="A2695" s="4">
        <v>2695.0</v>
      </c>
      <c r="B2695" s="5" t="s">
        <v>14721</v>
      </c>
      <c r="C2695" s="5" t="s">
        <v>14722</v>
      </c>
      <c r="D2695" s="5" t="s">
        <v>14723</v>
      </c>
      <c r="E2695" s="6" t="s">
        <v>24</v>
      </c>
      <c r="F2695" s="6" t="s">
        <v>14724</v>
      </c>
      <c r="G2695" s="3" t="str">
        <f>IFERROR(__xludf.DUMMYFUNCTION("REGEXREPLACE(
D2695,
""([一-龯々]+)\[([^\]]+)\]"",
""&lt;ruby&gt;$1&lt;rt&gt;$2&lt;/rt&gt;&lt;/ruby&gt;""
)&amp;""&lt;br&gt;&lt;div class=""""audio""""&gt;[sound:""&amp;C2695&amp;"".mp3]&lt;/div&gt;"""),"&lt;ruby&gt;込&lt;rt&gt;こ&lt;/rt&gt;&lt;/ruby&gt;む&lt;br&gt;&lt;div class=""audio""&gt;[sound:こむ.mp3]&lt;/div&gt;")</f>
        <v>&lt;ruby&gt;込&lt;rt&gt;こ&lt;/rt&gt;&lt;/ruby&gt;む&lt;br&gt;&lt;div class="audio"&gt;[sound:こむ.mp3]&lt;/div&gt;</v>
      </c>
      <c r="H2695" s="3" t="str">
        <f t="shared" si="1"/>
        <v>(v): đông đúc</v>
      </c>
      <c r="I2695" s="6" t="s">
        <v>14725</v>
      </c>
      <c r="J2695" s="6" t="s">
        <v>14726</v>
      </c>
      <c r="K2695" s="7">
        <f t="shared" si="2"/>
        <v>0.6470876723</v>
      </c>
    </row>
    <row r="2696">
      <c r="A2696" s="4">
        <v>2696.0</v>
      </c>
      <c r="B2696" s="5" t="s">
        <v>14727</v>
      </c>
      <c r="C2696" s="5" t="s">
        <v>14727</v>
      </c>
      <c r="D2696" s="5" t="s">
        <v>14727</v>
      </c>
      <c r="E2696" s="6" t="s">
        <v>74</v>
      </c>
      <c r="F2696" s="6" t="s">
        <v>14728</v>
      </c>
      <c r="G2696" s="3" t="str">
        <f>IFERROR(__xludf.DUMMYFUNCTION("REGEXREPLACE(
D2696,
""([一-龯々]+)\[([^\]]+)\]"",
""&lt;ruby&gt;$1&lt;rt&gt;$2&lt;/rt&gt;&lt;/ruby&gt;""
)&amp;""&lt;br&gt;&lt;div class=""""audio""""&gt;[sound:""&amp;C2696&amp;"".mp3]&lt;/div&gt;"""),"はさみ&lt;br&gt;&lt;div class=""audio""&gt;[sound:はさみ.mp3]&lt;/div&gt;")</f>
        <v>はさみ&lt;br&gt;&lt;div class="audio"&gt;[sound:はさみ.mp3]&lt;/div&gt;</v>
      </c>
      <c r="H2696" s="3" t="str">
        <f t="shared" si="1"/>
        <v>(n): cái kéo</v>
      </c>
      <c r="I2696" s="6" t="s">
        <v>14729</v>
      </c>
      <c r="J2696" s="6" t="s">
        <v>14730</v>
      </c>
      <c r="K2696" s="7">
        <f t="shared" si="2"/>
        <v>0.7965904039</v>
      </c>
    </row>
    <row r="2697">
      <c r="A2697" s="4">
        <v>2697.0</v>
      </c>
      <c r="B2697" s="5" t="s">
        <v>14731</v>
      </c>
      <c r="C2697" s="5" t="s">
        <v>14732</v>
      </c>
      <c r="D2697" s="5" t="s">
        <v>14733</v>
      </c>
      <c r="E2697" s="6" t="s">
        <v>74</v>
      </c>
      <c r="F2697" s="6" t="s">
        <v>14734</v>
      </c>
      <c r="G2697" s="3" t="str">
        <f>IFERROR(__xludf.DUMMYFUNCTION("REGEXREPLACE(
D2697,
""([一-龯々]+)\[([^\]]+)\]"",
""&lt;ruby&gt;$1&lt;rt&gt;$2&lt;/rt&gt;&lt;/ruby&gt;""
)&amp;""&lt;br&gt;&lt;div class=""""audio""""&gt;[sound:""&amp;C2697&amp;"".mp3]&lt;/div&gt;"""),"&lt;ruby&gt;作家&lt;rt&gt;さっか&lt;/rt&gt;&lt;/ruby&gt;&lt;br&gt;&lt;div class=""audio""&gt;[sound:さっか.mp3]&lt;/div&gt;")</f>
        <v>&lt;ruby&gt;作家&lt;rt&gt;さっか&lt;/rt&gt;&lt;/ruby&gt;&lt;br&gt;&lt;div class="audio"&gt;[sound:さっか.mp3]&lt;/div&gt;</v>
      </c>
      <c r="H2697" s="3" t="str">
        <f t="shared" si="1"/>
        <v>(n): nhà văn</v>
      </c>
      <c r="I2697" s="6" t="s">
        <v>14735</v>
      </c>
      <c r="J2697" s="6" t="s">
        <v>14736</v>
      </c>
      <c r="K2697" s="7">
        <f t="shared" si="2"/>
        <v>0.4347604301</v>
      </c>
    </row>
    <row r="2698">
      <c r="A2698" s="4">
        <v>2698.0</v>
      </c>
      <c r="B2698" s="5" t="s">
        <v>14737</v>
      </c>
      <c r="C2698" s="5" t="s">
        <v>14738</v>
      </c>
      <c r="D2698" s="5" t="s">
        <v>14739</v>
      </c>
      <c r="E2698" s="6" t="s">
        <v>85</v>
      </c>
      <c r="F2698" s="6" t="s">
        <v>14740</v>
      </c>
      <c r="G2698" s="3" t="str">
        <f>IFERROR(__xludf.DUMMYFUNCTION("REGEXREPLACE(
D2698,
""([一-龯々]+)\[([^\]]+)\]"",
""&lt;ruby&gt;$1&lt;rt&gt;$2&lt;/rt&gt;&lt;/ruby&gt;""
)&amp;""&lt;br&gt;&lt;div class=""""audio""""&gt;[sound:""&amp;C2698&amp;"".mp3]&lt;/div&gt;"""),"&lt;ruby&gt;実&lt;rt&gt;じつ&lt;/rt&gt;&lt;/ruby&gt;に&lt;br&gt;&lt;div class=""audio""&gt;[sound:じつに.mp3]&lt;/div&gt;")</f>
        <v>&lt;ruby&gt;実&lt;rt&gt;じつ&lt;/rt&gt;&lt;/ruby&gt;に&lt;br&gt;&lt;div class="audio"&gt;[sound:じつに.mp3]&lt;/div&gt;</v>
      </c>
      <c r="H2698" s="3" t="str">
        <f t="shared" si="1"/>
        <v>(adv): thực sự</v>
      </c>
      <c r="I2698" s="6" t="s">
        <v>14741</v>
      </c>
      <c r="J2698" s="6" t="s">
        <v>14742</v>
      </c>
      <c r="K2698" s="7">
        <f t="shared" si="2"/>
        <v>0.7833371867</v>
      </c>
    </row>
    <row r="2699">
      <c r="A2699" s="4">
        <v>2699.0</v>
      </c>
      <c r="B2699" s="5" t="s">
        <v>14743</v>
      </c>
      <c r="C2699" s="5" t="s">
        <v>14744</v>
      </c>
      <c r="D2699" s="5" t="s">
        <v>14745</v>
      </c>
      <c r="E2699" s="6" t="s">
        <v>24</v>
      </c>
      <c r="F2699" s="6" t="s">
        <v>7457</v>
      </c>
      <c r="G2699" s="3" t="str">
        <f>IFERROR(__xludf.DUMMYFUNCTION("REGEXREPLACE(
D2699,
""([一-龯々]+)\[([^\]]+)\]"",
""&lt;ruby&gt;$1&lt;rt&gt;$2&lt;/rt&gt;&lt;/ruby&gt;""
)&amp;""&lt;br&gt;&lt;div class=""""audio""""&gt;[sound:""&amp;C2699&amp;"".mp3]&lt;/div&gt;"""),"&lt;ruby&gt;崩&lt;rt&gt;くず&lt;/rt&gt;&lt;/ruby&gt;す&lt;br&gt;&lt;div class=""audio""&gt;[sound:くずす.mp3]&lt;/div&gt;")</f>
        <v>&lt;ruby&gt;崩&lt;rt&gt;くず&lt;/rt&gt;&lt;/ruby&gt;す&lt;br&gt;&lt;div class="audio"&gt;[sound:くずす.mp3]&lt;/div&gt;</v>
      </c>
      <c r="H2699" s="3" t="str">
        <f t="shared" si="1"/>
        <v>(v): phá hủy</v>
      </c>
      <c r="I2699" s="6" t="s">
        <v>14746</v>
      </c>
      <c r="J2699" s="6" t="s">
        <v>14747</v>
      </c>
      <c r="K2699" s="7">
        <f t="shared" si="2"/>
        <v>0.9124084042</v>
      </c>
    </row>
    <row r="2700">
      <c r="A2700" s="4">
        <v>2700.0</v>
      </c>
      <c r="B2700" s="5" t="s">
        <v>14748</v>
      </c>
      <c r="C2700" s="5" t="s">
        <v>14749</v>
      </c>
      <c r="D2700" s="5" t="s">
        <v>14750</v>
      </c>
      <c r="E2700" s="6" t="s">
        <v>11</v>
      </c>
      <c r="F2700" s="6" t="s">
        <v>14751</v>
      </c>
      <c r="G2700" s="3" t="str">
        <f>IFERROR(__xludf.DUMMYFUNCTION("REGEXREPLACE(
D2700,
""([一-龯々]+)\[([^\]]+)\]"",
""&lt;ruby&gt;$1&lt;rt&gt;$2&lt;/rt&gt;&lt;/ruby&gt;""
)&amp;""&lt;br&gt;&lt;div class=""""audio""""&gt;[sound:""&amp;C2700&amp;"".mp3]&lt;/div&gt;"""),"&lt;ruby&gt;幼&lt;rt&gt;おさな&lt;/rt&gt;&lt;/ruby&gt;い&lt;br&gt;&lt;div class=""audio""&gt;[sound:おさない.mp3]&lt;/div&gt;")</f>
        <v>&lt;ruby&gt;幼&lt;rt&gt;おさな&lt;/rt&gt;&lt;/ruby&gt;い&lt;br&gt;&lt;div class="audio"&gt;[sound:おさない.mp3]&lt;/div&gt;</v>
      </c>
      <c r="H2700" s="3" t="str">
        <f t="shared" si="1"/>
        <v>(adj): non nớt</v>
      </c>
      <c r="I2700" s="6" t="s">
        <v>14752</v>
      </c>
      <c r="J2700" s="6" t="s">
        <v>14753</v>
      </c>
      <c r="K2700" s="7">
        <f t="shared" si="2"/>
        <v>0.9505774438</v>
      </c>
    </row>
    <row r="2701">
      <c r="A2701" s="4">
        <v>2701.0</v>
      </c>
      <c r="B2701" s="5" t="s">
        <v>14754</v>
      </c>
      <c r="C2701" s="5" t="s">
        <v>14755</v>
      </c>
      <c r="D2701" s="5" t="s">
        <v>14756</v>
      </c>
      <c r="E2701" s="6" t="s">
        <v>24</v>
      </c>
      <c r="F2701" s="6" t="s">
        <v>2992</v>
      </c>
      <c r="G2701" s="3" t="str">
        <f>IFERROR(__xludf.DUMMYFUNCTION("REGEXREPLACE(
D2701,
""([一-龯々]+)\[([^\]]+)\]"",
""&lt;ruby&gt;$1&lt;rt&gt;$2&lt;/rt&gt;&lt;/ruby&gt;""
)&amp;""&lt;br&gt;&lt;div class=""""audio""""&gt;[sound:""&amp;C2701&amp;"".mp3]&lt;/div&gt;"""),"&lt;ruby&gt;当&lt;rt&gt;あ&lt;/rt&gt;&lt;/ruby&gt;てはめる&lt;br&gt;&lt;div class=""audio""&gt;[sound:あてはめる.mp3]&lt;/div&gt;")</f>
        <v>&lt;ruby&gt;当&lt;rt&gt;あ&lt;/rt&gt;&lt;/ruby&gt;てはめる&lt;br&gt;&lt;div class="audio"&gt;[sound:あてはめる.mp3]&lt;/div&gt;</v>
      </c>
      <c r="H2701" s="3" t="str">
        <f t="shared" si="1"/>
        <v>(v): áp dụng</v>
      </c>
      <c r="I2701" s="6" t="s">
        <v>14757</v>
      </c>
      <c r="J2701" s="6" t="s">
        <v>14758</v>
      </c>
      <c r="K2701" s="7">
        <f t="shared" si="2"/>
        <v>0.3093200941</v>
      </c>
    </row>
    <row r="2702">
      <c r="A2702" s="4">
        <v>2702.0</v>
      </c>
      <c r="B2702" s="5" t="s">
        <v>14759</v>
      </c>
      <c r="C2702" s="5" t="s">
        <v>14760</v>
      </c>
      <c r="D2702" s="5" t="s">
        <v>14761</v>
      </c>
      <c r="E2702" s="6" t="s">
        <v>74</v>
      </c>
      <c r="F2702" s="6" t="s">
        <v>14762</v>
      </c>
      <c r="G2702" s="3" t="str">
        <f>IFERROR(__xludf.DUMMYFUNCTION("REGEXREPLACE(
D2702,
""([一-龯々]+)\[([^\]]+)\]"",
""&lt;ruby&gt;$1&lt;rt&gt;$2&lt;/rt&gt;&lt;/ruby&gt;""
)&amp;""&lt;br&gt;&lt;div class=""""audio""""&gt;[sound:""&amp;C2702&amp;"".mp3]&lt;/div&gt;"""),"&lt;ruby&gt;男&lt;rt&gt;おとこ&lt;/rt&gt;&lt;/ruby&gt;の&lt;ruby&gt;子&lt;rt&gt;こ&lt;/rt&gt;&lt;/ruby&gt;&lt;br&gt;&lt;div class=""audio""&gt;[sound:おとこのこ.mp3]&lt;/div&gt;")</f>
        <v>&lt;ruby&gt;男&lt;rt&gt;おとこ&lt;/rt&gt;&lt;/ruby&gt;の&lt;ruby&gt;子&lt;rt&gt;こ&lt;/rt&gt;&lt;/ruby&gt;&lt;br&gt;&lt;div class="audio"&gt;[sound:おとこのこ.mp3]&lt;/div&gt;</v>
      </c>
      <c r="H2702" s="3" t="str">
        <f t="shared" si="1"/>
        <v>(n): bé trai</v>
      </c>
      <c r="I2702" s="6" t="s">
        <v>14763</v>
      </c>
      <c r="J2702" s="6" t="s">
        <v>14764</v>
      </c>
      <c r="K2702" s="7">
        <f t="shared" si="2"/>
        <v>0.3159225945</v>
      </c>
    </row>
    <row r="2703">
      <c r="A2703" s="4">
        <v>2703.0</v>
      </c>
      <c r="B2703" s="5" t="s">
        <v>14765</v>
      </c>
      <c r="C2703" s="5" t="s">
        <v>14766</v>
      </c>
      <c r="D2703" s="5" t="s">
        <v>14767</v>
      </c>
      <c r="E2703" s="6" t="s">
        <v>74</v>
      </c>
      <c r="F2703" s="6" t="s">
        <v>14768</v>
      </c>
      <c r="G2703" s="3" t="str">
        <f>IFERROR(__xludf.DUMMYFUNCTION("REGEXREPLACE(
D2703,
""([一-龯々]+)\[([^\]]+)\]"",
""&lt;ruby&gt;$1&lt;rt&gt;$2&lt;/rt&gt;&lt;/ruby&gt;""
)&amp;""&lt;br&gt;&lt;div class=""""audio""""&gt;[sound:""&amp;C2703&amp;"".mp3]&lt;/div&gt;"""),"&lt;ruby&gt;進歩&lt;rt&gt;しんぽ&lt;/rt&gt;&lt;/ruby&gt;&lt;br&gt;&lt;div class=""audio""&gt;[sound:しんぽ.mp3]&lt;/div&gt;")</f>
        <v>&lt;ruby&gt;進歩&lt;rt&gt;しんぽ&lt;/rt&gt;&lt;/ruby&gt;&lt;br&gt;&lt;div class="audio"&gt;[sound:しんぽ.mp3]&lt;/div&gt;</v>
      </c>
      <c r="H2703" s="3" t="str">
        <f t="shared" si="1"/>
        <v>(n): tiến bộ</v>
      </c>
      <c r="I2703" s="6" t="s">
        <v>14769</v>
      </c>
      <c r="J2703" s="6" t="s">
        <v>14770</v>
      </c>
      <c r="K2703" s="7">
        <f t="shared" si="2"/>
        <v>0.7575904119</v>
      </c>
    </row>
    <row r="2704">
      <c r="A2704" s="4">
        <v>2704.0</v>
      </c>
      <c r="B2704" s="5" t="s">
        <v>14771</v>
      </c>
      <c r="C2704" s="5" t="s">
        <v>14772</v>
      </c>
      <c r="D2704" s="5" t="s">
        <v>14773</v>
      </c>
      <c r="E2704" s="6" t="s">
        <v>74</v>
      </c>
      <c r="F2704" s="6" t="s">
        <v>14774</v>
      </c>
      <c r="G2704" s="3" t="str">
        <f>IFERROR(__xludf.DUMMYFUNCTION("REGEXREPLACE(
D2704,
""([一-龯々]+)\[([^\]]+)\]"",
""&lt;ruby&gt;$1&lt;rt&gt;$2&lt;/rt&gt;&lt;/ruby&gt;""
)&amp;""&lt;br&gt;&lt;div class=""""audio""""&gt;[sound:""&amp;C2704&amp;"".mp3]&lt;/div&gt;"""),"&lt;ruby&gt;違反&lt;rt&gt;いはん&lt;/rt&gt;&lt;/ruby&gt;&lt;br&gt;&lt;div class=""audio""&gt;[sound:いはん.mp3]&lt;/div&gt;")</f>
        <v>&lt;ruby&gt;違反&lt;rt&gt;いはん&lt;/rt&gt;&lt;/ruby&gt;&lt;br&gt;&lt;div class="audio"&gt;[sound:いはん.mp3]&lt;/div&gt;</v>
      </c>
      <c r="H2704" s="3" t="str">
        <f t="shared" si="1"/>
        <v>(n): vi phạm</v>
      </c>
      <c r="I2704" s="6" t="s">
        <v>14775</v>
      </c>
      <c r="J2704" s="6" t="s">
        <v>14776</v>
      </c>
      <c r="K2704" s="7">
        <f t="shared" si="2"/>
        <v>0.9060602474</v>
      </c>
    </row>
    <row r="2705">
      <c r="A2705" s="4">
        <v>2705.0</v>
      </c>
      <c r="B2705" s="5" t="s">
        <v>14777</v>
      </c>
      <c r="C2705" s="5" t="s">
        <v>14778</v>
      </c>
      <c r="D2705" s="5" t="s">
        <v>14779</v>
      </c>
      <c r="E2705" s="6" t="s">
        <v>74</v>
      </c>
      <c r="F2705" s="6" t="s">
        <v>1945</v>
      </c>
      <c r="G2705" s="3" t="str">
        <f>IFERROR(__xludf.DUMMYFUNCTION("REGEXREPLACE(
D2705,
""([一-龯々]+)\[([^\]]+)\]"",
""&lt;ruby&gt;$1&lt;rt&gt;$2&lt;/rt&gt;&lt;/ruby&gt;""
)&amp;""&lt;br&gt;&lt;div class=""""audio""""&gt;[sound:""&amp;C2705&amp;"".mp3]&lt;/div&gt;"""),"&lt;ruby&gt;先日&lt;rt&gt;せんじつ&lt;/rt&gt;&lt;/ruby&gt;&lt;br&gt;&lt;div class=""audio""&gt;[sound:せんじつ.mp3]&lt;/div&gt;")</f>
        <v>&lt;ruby&gt;先日&lt;rt&gt;せんじつ&lt;/rt&gt;&lt;/ruby&gt;&lt;br&gt;&lt;div class="audio"&gt;[sound:せんじつ.mp3]&lt;/div&gt;</v>
      </c>
      <c r="H2705" s="3" t="str">
        <f t="shared" si="1"/>
        <v>(n): hôm nọ</v>
      </c>
      <c r="I2705" s="6" t="s">
        <v>14780</v>
      </c>
      <c r="J2705" s="6" t="s">
        <v>14781</v>
      </c>
      <c r="K2705" s="7">
        <f t="shared" si="2"/>
        <v>0.9308174063</v>
      </c>
    </row>
    <row r="2706">
      <c r="A2706" s="4">
        <v>2706.0</v>
      </c>
      <c r="B2706" s="5" t="s">
        <v>14782</v>
      </c>
      <c r="C2706" s="5" t="s">
        <v>14783</v>
      </c>
      <c r="D2706" s="5" t="s">
        <v>14784</v>
      </c>
      <c r="E2706" s="6" t="s">
        <v>74</v>
      </c>
      <c r="F2706" s="6" t="s">
        <v>14785</v>
      </c>
      <c r="G2706" s="3" t="str">
        <f>IFERROR(__xludf.DUMMYFUNCTION("REGEXREPLACE(
D2706,
""([一-龯々]+)\[([^\]]+)\]"",
""&lt;ruby&gt;$1&lt;rt&gt;$2&lt;/rt&gt;&lt;/ruby&gt;""
)&amp;""&lt;br&gt;&lt;div class=""""audio""""&gt;[sound:""&amp;C2706&amp;"".mp3]&lt;/div&gt;"""),"&lt;ruby&gt;医者&lt;rt&gt;いしゃ&lt;/rt&gt;&lt;/ruby&gt;&lt;br&gt;&lt;div class=""audio""&gt;[sound:いしゃ.mp3]&lt;/div&gt;")</f>
        <v>&lt;ruby&gt;医者&lt;rt&gt;いしゃ&lt;/rt&gt;&lt;/ruby&gt;&lt;br&gt;&lt;div class="audio"&gt;[sound:いしゃ.mp3]&lt;/div&gt;</v>
      </c>
      <c r="H2706" s="3" t="str">
        <f t="shared" si="1"/>
        <v>(n): bác sĩ</v>
      </c>
      <c r="I2706" s="6" t="s">
        <v>14786</v>
      </c>
      <c r="J2706" s="6" t="s">
        <v>14787</v>
      </c>
      <c r="K2706" s="7">
        <f t="shared" si="2"/>
        <v>0.6475618537</v>
      </c>
    </row>
    <row r="2707">
      <c r="A2707" s="4">
        <v>2707.0</v>
      </c>
      <c r="B2707" s="5" t="s">
        <v>14788</v>
      </c>
      <c r="C2707" s="5" t="s">
        <v>14789</v>
      </c>
      <c r="D2707" s="5" t="s">
        <v>14790</v>
      </c>
      <c r="E2707" s="6" t="s">
        <v>74</v>
      </c>
      <c r="F2707" s="6" t="s">
        <v>14791</v>
      </c>
      <c r="G2707" s="3" t="str">
        <f>IFERROR(__xludf.DUMMYFUNCTION("REGEXREPLACE(
D2707,
""([一-龯々]+)\[([^\]]+)\]"",
""&lt;ruby&gt;$1&lt;rt&gt;$2&lt;/rt&gt;&lt;/ruby&gt;""
)&amp;""&lt;br&gt;&lt;div class=""""audio""""&gt;[sound:""&amp;C2707&amp;"".mp3]&lt;/div&gt;"""),"&lt;ruby&gt;帰宅&lt;rt&gt;きたく&lt;/rt&gt;&lt;/ruby&gt;&lt;br&gt;&lt;div class=""audio""&gt;[sound:きたく.mp3]&lt;/div&gt;")</f>
        <v>&lt;ruby&gt;帰宅&lt;rt&gt;きたく&lt;/rt&gt;&lt;/ruby&gt;&lt;br&gt;&lt;div class="audio"&gt;[sound:きたく.mp3]&lt;/div&gt;</v>
      </c>
      <c r="H2707" s="3" t="str">
        <f t="shared" si="1"/>
        <v>(n): về nhà</v>
      </c>
      <c r="I2707" s="6" t="s">
        <v>14792</v>
      </c>
      <c r="J2707" s="6" t="s">
        <v>14793</v>
      </c>
      <c r="K2707" s="7">
        <f t="shared" si="2"/>
        <v>0.2320317465</v>
      </c>
    </row>
    <row r="2708">
      <c r="A2708" s="4">
        <v>2708.0</v>
      </c>
      <c r="B2708" s="5" t="s">
        <v>14794</v>
      </c>
      <c r="C2708" s="5" t="s">
        <v>14795</v>
      </c>
      <c r="D2708" s="5" t="s">
        <v>14796</v>
      </c>
      <c r="E2708" s="6" t="s">
        <v>74</v>
      </c>
      <c r="F2708" s="6" t="s">
        <v>14797</v>
      </c>
      <c r="G2708" s="3" t="str">
        <f>IFERROR(__xludf.DUMMYFUNCTION("REGEXREPLACE(
D2708,
""([一-龯々]+)\[([^\]]+)\]"",
""&lt;ruby&gt;$1&lt;rt&gt;$2&lt;/rt&gt;&lt;/ruby&gt;""
)&amp;""&lt;br&gt;&lt;div class=""""audio""""&gt;[sound:""&amp;C2708&amp;"".mp3]&lt;/div&gt;"""),"&lt;ruby&gt;背中&lt;rt&gt;せなか&lt;/rt&gt;&lt;/ruby&gt;&lt;br&gt;&lt;div class=""audio""&gt;[sound:せなか.mp3]&lt;/div&gt;")</f>
        <v>&lt;ruby&gt;背中&lt;rt&gt;せなか&lt;/rt&gt;&lt;/ruby&gt;&lt;br&gt;&lt;div class="audio"&gt;[sound:せなか.mp3]&lt;/div&gt;</v>
      </c>
      <c r="H2708" s="3" t="str">
        <f t="shared" si="1"/>
        <v>(n): lưng</v>
      </c>
      <c r="I2708" s="6" t="s">
        <v>14798</v>
      </c>
      <c r="J2708" s="6" t="s">
        <v>14799</v>
      </c>
      <c r="K2708" s="7">
        <f t="shared" si="2"/>
        <v>0.6808882088</v>
      </c>
    </row>
    <row r="2709">
      <c r="A2709" s="4">
        <v>2709.0</v>
      </c>
      <c r="B2709" s="5" t="s">
        <v>14800</v>
      </c>
      <c r="C2709" s="5" t="s">
        <v>14801</v>
      </c>
      <c r="D2709" s="5" t="s">
        <v>14802</v>
      </c>
      <c r="E2709" s="6" t="s">
        <v>74</v>
      </c>
      <c r="F2709" s="6" t="s">
        <v>14803</v>
      </c>
      <c r="G2709" s="3" t="str">
        <f>IFERROR(__xludf.DUMMYFUNCTION("REGEXREPLACE(
D2709,
""([一-龯々]+)\[([^\]]+)\]"",
""&lt;ruby&gt;$1&lt;rt&gt;$2&lt;/rt&gt;&lt;/ruby&gt;""
)&amp;""&lt;br&gt;&lt;div class=""""audio""""&gt;[sound:""&amp;C2709&amp;"".mp3]&lt;/div&gt;"""),"&lt;ruby&gt;害&lt;rt&gt;がい&lt;/rt&gt;&lt;/ruby&gt;&lt;br&gt;&lt;div class=""audio""&gt;[sound:がい.mp3]&lt;/div&gt;")</f>
        <v>&lt;ruby&gt;害&lt;rt&gt;がい&lt;/rt&gt;&lt;/ruby&gt;&lt;br&gt;&lt;div class="audio"&gt;[sound:がい.mp3]&lt;/div&gt;</v>
      </c>
      <c r="H2709" s="3" t="str">
        <f t="shared" si="1"/>
        <v>(n): hại</v>
      </c>
      <c r="I2709" s="6" t="s">
        <v>14804</v>
      </c>
      <c r="J2709" s="6" t="s">
        <v>14805</v>
      </c>
      <c r="K2709" s="7">
        <f t="shared" si="2"/>
        <v>0.2725681752</v>
      </c>
    </row>
    <row r="2710">
      <c r="A2710" s="4">
        <v>2710.0</v>
      </c>
      <c r="B2710" s="5" t="s">
        <v>14806</v>
      </c>
      <c r="C2710" s="5" t="s">
        <v>14807</v>
      </c>
      <c r="D2710" s="5" t="s">
        <v>14808</v>
      </c>
      <c r="E2710" s="6" t="s">
        <v>74</v>
      </c>
      <c r="F2710" s="6" t="s">
        <v>14809</v>
      </c>
      <c r="G2710" s="3" t="str">
        <f>IFERROR(__xludf.DUMMYFUNCTION("REGEXREPLACE(
D2710,
""([一-龯々]+)\[([^\]]+)\]"",
""&lt;ruby&gt;$1&lt;rt&gt;$2&lt;/rt&gt;&lt;/ruby&gt;""
)&amp;""&lt;br&gt;&lt;div class=""""audio""""&gt;[sound:""&amp;C2710&amp;"".mp3]&lt;/div&gt;"""),"&lt;ruby&gt;打合&lt;rt&gt;うちあわ&lt;/rt&gt;&lt;/ruby&gt;せ&lt;br&gt;&lt;div class=""audio""&gt;[sound:うちあわせ.mp3]&lt;/div&gt;")</f>
        <v>&lt;ruby&gt;打合&lt;rt&gt;うちあわ&lt;/rt&gt;&lt;/ruby&gt;せ&lt;br&gt;&lt;div class="audio"&gt;[sound:うちあわせ.mp3]&lt;/div&gt;</v>
      </c>
      <c r="H2710" s="3" t="str">
        <f t="shared" si="1"/>
        <v>(n): họp</v>
      </c>
      <c r="I2710" s="6" t="s">
        <v>14810</v>
      </c>
      <c r="J2710" s="6" t="s">
        <v>14811</v>
      </c>
      <c r="K2710" s="7">
        <f t="shared" si="2"/>
        <v>0.2546030516</v>
      </c>
    </row>
    <row r="2711">
      <c r="A2711" s="4">
        <v>2711.0</v>
      </c>
      <c r="B2711" s="5" t="s">
        <v>14812</v>
      </c>
      <c r="C2711" s="5" t="s">
        <v>14813</v>
      </c>
      <c r="D2711" s="5" t="s">
        <v>14814</v>
      </c>
      <c r="E2711" s="6" t="s">
        <v>11</v>
      </c>
      <c r="F2711" s="6" t="s">
        <v>14815</v>
      </c>
      <c r="G2711" s="3" t="str">
        <f>IFERROR(__xludf.DUMMYFUNCTION("REGEXREPLACE(
D2711,
""([一-龯々]+)\[([^\]]+)\]"",
""&lt;ruby&gt;$1&lt;rt&gt;$2&lt;/rt&gt;&lt;/ruby&gt;""
)&amp;""&lt;br&gt;&lt;div class=""""audio""""&gt;[sound:""&amp;C2711&amp;"".mp3]&lt;/div&gt;"""),"&lt;ruby&gt;汚&lt;rt&gt;きたな&lt;/rt&gt;&lt;/ruby&gt;い&lt;br&gt;&lt;div class=""audio""&gt;[sound:きたない.mp3]&lt;/div&gt;")</f>
        <v>&lt;ruby&gt;汚&lt;rt&gt;きたな&lt;/rt&gt;&lt;/ruby&gt;い&lt;br&gt;&lt;div class="audio"&gt;[sound:きたない.mp3]&lt;/div&gt;</v>
      </c>
      <c r="H2711" s="3" t="str">
        <f t="shared" si="1"/>
        <v>(adj): bẩn</v>
      </c>
      <c r="I2711" s="6" t="s">
        <v>14816</v>
      </c>
      <c r="J2711" s="6" t="s">
        <v>14817</v>
      </c>
      <c r="K2711" s="7">
        <f t="shared" si="2"/>
        <v>0.5743742125</v>
      </c>
    </row>
    <row r="2712">
      <c r="A2712" s="4">
        <v>2712.0</v>
      </c>
      <c r="B2712" s="5" t="s">
        <v>14818</v>
      </c>
      <c r="C2712" s="5" t="s">
        <v>14819</v>
      </c>
      <c r="D2712" s="5" t="s">
        <v>14820</v>
      </c>
      <c r="E2712" s="6" t="s">
        <v>74</v>
      </c>
      <c r="F2712" s="6" t="s">
        <v>14821</v>
      </c>
      <c r="G2712" s="3" t="str">
        <f>IFERROR(__xludf.DUMMYFUNCTION("REGEXREPLACE(
D2712,
""([一-龯々]+)\[([^\]]+)\]"",
""&lt;ruby&gt;$1&lt;rt&gt;$2&lt;/rt&gt;&lt;/ruby&gt;""
)&amp;""&lt;br&gt;&lt;div class=""""audio""""&gt;[sound:""&amp;C2712&amp;"".mp3]&lt;/div&gt;"""),"&lt;ruby&gt;犬&lt;rt&gt;いぬ&lt;/rt&gt;&lt;/ruby&gt;&lt;br&gt;&lt;div class=""audio""&gt;[sound:いぬ.mp3]&lt;/div&gt;")</f>
        <v>&lt;ruby&gt;犬&lt;rt&gt;いぬ&lt;/rt&gt;&lt;/ruby&gt;&lt;br&gt;&lt;div class="audio"&gt;[sound:いぬ.mp3]&lt;/div&gt;</v>
      </c>
      <c r="H2712" s="3" t="str">
        <f t="shared" si="1"/>
        <v>(n): chó</v>
      </c>
      <c r="I2712" s="6" t="s">
        <v>14822</v>
      </c>
      <c r="J2712" s="6" t="s">
        <v>14823</v>
      </c>
      <c r="K2712" s="7">
        <f t="shared" si="2"/>
        <v>0.7973759393</v>
      </c>
    </row>
    <row r="2713">
      <c r="A2713" s="4">
        <v>2713.0</v>
      </c>
      <c r="B2713" s="5" t="s">
        <v>14824</v>
      </c>
      <c r="C2713" s="5" t="s">
        <v>14825</v>
      </c>
      <c r="D2713" s="5" t="s">
        <v>14826</v>
      </c>
      <c r="E2713" s="6" t="s">
        <v>24</v>
      </c>
      <c r="F2713" s="6" t="s">
        <v>3004</v>
      </c>
      <c r="G2713" s="3" t="str">
        <f>IFERROR(__xludf.DUMMYFUNCTION("REGEXREPLACE(
D2713,
""([一-龯々]+)\[([^\]]+)\]"",
""&lt;ruby&gt;$1&lt;rt&gt;$2&lt;/rt&gt;&lt;/ruby&gt;""
)&amp;""&lt;br&gt;&lt;div class=""""audio""""&gt;[sound:""&amp;C2713&amp;"".mp3]&lt;/div&gt;"""),"&lt;ruby&gt;習&lt;rt&gt;なら&lt;/rt&gt;&lt;/ruby&gt;う&lt;br&gt;&lt;div class=""audio""&gt;[sound:ならう.mp3]&lt;/div&gt;")</f>
        <v>&lt;ruby&gt;習&lt;rt&gt;なら&lt;/rt&gt;&lt;/ruby&gt;う&lt;br&gt;&lt;div class="audio"&gt;[sound:ならう.mp3]&lt;/div&gt;</v>
      </c>
      <c r="H2713" s="3" t="str">
        <f t="shared" si="1"/>
        <v>(v): học</v>
      </c>
      <c r="I2713" s="6" t="s">
        <v>14827</v>
      </c>
      <c r="J2713" s="6" t="s">
        <v>14828</v>
      </c>
      <c r="K2713" s="7">
        <f t="shared" si="2"/>
        <v>0.5495150302</v>
      </c>
    </row>
    <row r="2714">
      <c r="A2714" s="4">
        <v>2714.0</v>
      </c>
      <c r="B2714" s="5" t="s">
        <v>14829</v>
      </c>
      <c r="C2714" s="5" t="s">
        <v>14830</v>
      </c>
      <c r="D2714" s="5" t="s">
        <v>14831</v>
      </c>
      <c r="E2714" s="6" t="s">
        <v>74</v>
      </c>
      <c r="F2714" s="6" t="s">
        <v>14832</v>
      </c>
      <c r="G2714" s="3" t="str">
        <f>IFERROR(__xludf.DUMMYFUNCTION("REGEXREPLACE(
D2714,
""([一-龯々]+)\[([^\]]+)\]"",
""&lt;ruby&gt;$1&lt;rt&gt;$2&lt;/rt&gt;&lt;/ruby&gt;""
)&amp;""&lt;br&gt;&lt;div class=""""audio""""&gt;[sound:""&amp;C2714&amp;"".mp3]&lt;/div&gt;"""),"&lt;ruby&gt;叔母&lt;rt&gt;おば&lt;/rt&gt;&lt;/ruby&gt;&lt;br&gt;&lt;div class=""audio""&gt;[sound:おば.mp3]&lt;/div&gt;")</f>
        <v>&lt;ruby&gt;叔母&lt;rt&gt;おば&lt;/rt&gt;&lt;/ruby&gt;&lt;br&gt;&lt;div class="audio"&gt;[sound:おば.mp3]&lt;/div&gt;</v>
      </c>
      <c r="H2714" s="3" t="str">
        <f t="shared" si="1"/>
        <v>(n): cô</v>
      </c>
      <c r="I2714" s="6" t="s">
        <v>14833</v>
      </c>
      <c r="J2714" s="6" t="s">
        <v>14834</v>
      </c>
      <c r="K2714" s="7">
        <f t="shared" si="2"/>
        <v>0.9376769155</v>
      </c>
    </row>
    <row r="2715">
      <c r="A2715" s="4">
        <v>2715.0</v>
      </c>
      <c r="B2715" s="5" t="s">
        <v>14835</v>
      </c>
      <c r="C2715" s="5" t="s">
        <v>14836</v>
      </c>
      <c r="D2715" s="5" t="s">
        <v>14837</v>
      </c>
      <c r="E2715" s="6" t="s">
        <v>74</v>
      </c>
      <c r="F2715" s="6" t="s">
        <v>14838</v>
      </c>
      <c r="G2715" s="3" t="str">
        <f>IFERROR(__xludf.DUMMYFUNCTION("REGEXREPLACE(
D2715,
""([一-龯々]+)\[([^\]]+)\]"",
""&lt;ruby&gt;$1&lt;rt&gt;$2&lt;/rt&gt;&lt;/ruby&gt;""
)&amp;""&lt;br&gt;&lt;div class=""""audio""""&gt;[sound:""&amp;C2715&amp;"".mp3]&lt;/div&gt;"""),"&lt;ruby&gt;平等&lt;rt&gt;びょうどう&lt;/rt&gt;&lt;/ruby&gt;&lt;br&gt;&lt;div class=""audio""&gt;[sound:びょうどう.mp3]&lt;/div&gt;")</f>
        <v>&lt;ruby&gt;平等&lt;rt&gt;びょうどう&lt;/rt&gt;&lt;/ruby&gt;&lt;br&gt;&lt;div class="audio"&gt;[sound:びょうどう.mp3]&lt;/div&gt;</v>
      </c>
      <c r="H2715" s="3" t="str">
        <f t="shared" si="1"/>
        <v>(n): bình đẳng</v>
      </c>
      <c r="I2715" s="6" t="s">
        <v>14839</v>
      </c>
      <c r="J2715" s="6" t="s">
        <v>14840</v>
      </c>
      <c r="K2715" s="7">
        <f t="shared" si="2"/>
        <v>0.04695180137</v>
      </c>
    </row>
    <row r="2716">
      <c r="A2716" s="4">
        <v>2716.0</v>
      </c>
      <c r="B2716" s="5" t="s">
        <v>14841</v>
      </c>
      <c r="C2716" s="5" t="s">
        <v>14842</v>
      </c>
      <c r="D2716" s="5" t="s">
        <v>14843</v>
      </c>
      <c r="E2716" s="6" t="s">
        <v>74</v>
      </c>
      <c r="F2716" s="6" t="s">
        <v>14844</v>
      </c>
      <c r="G2716" s="3" t="str">
        <f>IFERROR(__xludf.DUMMYFUNCTION("REGEXREPLACE(
D2716,
""([一-龯々]+)\[([^\]]+)\]"",
""&lt;ruby&gt;$1&lt;rt&gt;$2&lt;/rt&gt;&lt;/ruby&gt;""
)&amp;""&lt;br&gt;&lt;div class=""""audio""""&gt;[sound:""&amp;C2716&amp;"".mp3]&lt;/div&gt;"""),"&lt;ruby&gt;診断&lt;rt&gt;しんだん&lt;/rt&gt;&lt;/ruby&gt;&lt;br&gt;&lt;div class=""audio""&gt;[sound:しんだん.mp3]&lt;/div&gt;")</f>
        <v>&lt;ruby&gt;診断&lt;rt&gt;しんだん&lt;/rt&gt;&lt;/ruby&gt;&lt;br&gt;&lt;div class="audio"&gt;[sound:しんだん.mp3]&lt;/div&gt;</v>
      </c>
      <c r="H2716" s="3" t="str">
        <f t="shared" si="1"/>
        <v>(n): chẩn đoán</v>
      </c>
      <c r="I2716" s="6" t="s">
        <v>14845</v>
      </c>
      <c r="J2716" s="6" t="s">
        <v>14846</v>
      </c>
      <c r="K2716" s="7">
        <f t="shared" si="2"/>
        <v>0.02501996716</v>
      </c>
    </row>
    <row r="2717">
      <c r="A2717" s="4">
        <v>2717.0</v>
      </c>
      <c r="B2717" s="5" t="s">
        <v>14847</v>
      </c>
      <c r="C2717" s="5" t="s">
        <v>14848</v>
      </c>
      <c r="D2717" s="5" t="s">
        <v>14849</v>
      </c>
      <c r="E2717" s="6" t="s">
        <v>24</v>
      </c>
      <c r="F2717" s="6" t="s">
        <v>14850</v>
      </c>
      <c r="G2717" s="3" t="str">
        <f>IFERROR(__xludf.DUMMYFUNCTION("REGEXREPLACE(
D2717,
""([一-龯々]+)\[([^\]]+)\]"",
""&lt;ruby&gt;$1&lt;rt&gt;$2&lt;/rt&gt;&lt;/ruby&gt;""
)&amp;""&lt;br&gt;&lt;div class=""""audio""""&gt;[sound:""&amp;C2717&amp;"".mp3]&lt;/div&gt;"""),"&lt;ruby&gt;加&lt;rt&gt;くわ&lt;/rt&gt;&lt;/ruby&gt;わる&lt;br&gt;&lt;div class=""audio""&gt;[sound:くわわる.mp3]&lt;/div&gt;")</f>
        <v>&lt;ruby&gt;加&lt;rt&gt;くわ&lt;/rt&gt;&lt;/ruby&gt;わる&lt;br&gt;&lt;div class="audio"&gt;[sound:くわわる.mp3]&lt;/div&gt;</v>
      </c>
      <c r="H2717" s="3" t="str">
        <f t="shared" si="1"/>
        <v>(v): gia nhập</v>
      </c>
      <c r="I2717" s="6" t="s">
        <v>14851</v>
      </c>
      <c r="J2717" s="6" t="s">
        <v>14852</v>
      </c>
      <c r="K2717" s="7">
        <f t="shared" si="2"/>
        <v>0.9957326002</v>
      </c>
    </row>
    <row r="2718">
      <c r="A2718" s="4">
        <v>2718.0</v>
      </c>
      <c r="B2718" s="5" t="s">
        <v>14853</v>
      </c>
      <c r="C2718" s="5" t="s">
        <v>14854</v>
      </c>
      <c r="D2718" s="5" t="s">
        <v>14855</v>
      </c>
      <c r="E2718" s="6" t="s">
        <v>74</v>
      </c>
      <c r="F2718" s="6" t="s">
        <v>14856</v>
      </c>
      <c r="G2718" s="3" t="str">
        <f>IFERROR(__xludf.DUMMYFUNCTION("REGEXREPLACE(
D2718,
""([一-龯々]+)\[([^\]]+)\]"",
""&lt;ruby&gt;$1&lt;rt&gt;$2&lt;/rt&gt;&lt;/ruby&gt;""
)&amp;""&lt;br&gt;&lt;div class=""""audio""""&gt;[sound:""&amp;C2718&amp;"".mp3]&lt;/div&gt;"""),"&lt;ruby&gt;労働&lt;rt&gt;ろうどう&lt;/rt&gt;&lt;/ruby&gt;&lt;br&gt;&lt;div class=""audio""&gt;[sound:ろうどう.mp3]&lt;/div&gt;")</f>
        <v>&lt;ruby&gt;労働&lt;rt&gt;ろうどう&lt;/rt&gt;&lt;/ruby&gt;&lt;br&gt;&lt;div class="audio"&gt;[sound:ろうどう.mp3]&lt;/div&gt;</v>
      </c>
      <c r="H2718" s="3" t="str">
        <f t="shared" si="1"/>
        <v>(n): lao động</v>
      </c>
      <c r="I2718" s="6" t="s">
        <v>14857</v>
      </c>
      <c r="J2718" s="6" t="s">
        <v>14858</v>
      </c>
      <c r="K2718" s="7">
        <f t="shared" si="2"/>
        <v>0.8102082267</v>
      </c>
    </row>
    <row r="2719">
      <c r="A2719" s="4">
        <v>2719.0</v>
      </c>
      <c r="B2719" s="5" t="s">
        <v>14859</v>
      </c>
      <c r="C2719" s="5" t="s">
        <v>14860</v>
      </c>
      <c r="D2719" s="5" t="s">
        <v>14861</v>
      </c>
      <c r="E2719" s="6" t="s">
        <v>85</v>
      </c>
      <c r="F2719" s="6" t="s">
        <v>2844</v>
      </c>
      <c r="G2719" s="3" t="str">
        <f>IFERROR(__xludf.DUMMYFUNCTION("REGEXREPLACE(
D2719,
""([一-龯々]+)\[([^\]]+)\]"",
""&lt;ruby&gt;$1&lt;rt&gt;$2&lt;/rt&gt;&lt;/ruby&gt;""
)&amp;""&lt;br&gt;&lt;div class=""""audio""""&gt;[sound:""&amp;C2719&amp;"".mp3]&lt;/div&gt;"""),"&lt;ruby&gt;単&lt;rt&gt;たん&lt;/rt&gt;&lt;/ruby&gt;に&lt;br&gt;&lt;div class=""audio""&gt;[sound:たんに.mp3]&lt;/div&gt;")</f>
        <v>&lt;ruby&gt;単&lt;rt&gt;たん&lt;/rt&gt;&lt;/ruby&gt;に&lt;br&gt;&lt;div class="audio"&gt;[sound:たんに.mp3]&lt;/div&gt;</v>
      </c>
      <c r="H2719" s="3" t="str">
        <f t="shared" si="1"/>
        <v>(adv): đơn giản</v>
      </c>
      <c r="I2719" s="6" t="s">
        <v>14862</v>
      </c>
      <c r="J2719" s="6" t="s">
        <v>14863</v>
      </c>
      <c r="K2719" s="7">
        <f t="shared" si="2"/>
        <v>0.7563661803</v>
      </c>
    </row>
    <row r="2720">
      <c r="A2720" s="4">
        <v>2720.0</v>
      </c>
      <c r="B2720" s="5" t="s">
        <v>14864</v>
      </c>
      <c r="C2720" s="5" t="s">
        <v>14865</v>
      </c>
      <c r="D2720" s="5" t="s">
        <v>14866</v>
      </c>
      <c r="E2720" s="6" t="s">
        <v>74</v>
      </c>
      <c r="F2720" s="6" t="s">
        <v>6899</v>
      </c>
      <c r="G2720" s="3" t="str">
        <f>IFERROR(__xludf.DUMMYFUNCTION("REGEXREPLACE(
D2720,
""([一-龯々]+)\[([^\]]+)\]"",
""&lt;ruby&gt;$1&lt;rt&gt;$2&lt;/rt&gt;&lt;/ruby&gt;""
)&amp;""&lt;br&gt;&lt;div class=""""audio""""&gt;[sound:""&amp;C2720&amp;"".mp3]&lt;/div&gt;"""),"&lt;ruby&gt;合図&lt;rt&gt;あいず&lt;/rt&gt;&lt;/ruby&gt;&lt;br&gt;&lt;div class=""audio""&gt;[sound:あいず.mp3]&lt;/div&gt;")</f>
        <v>&lt;ruby&gt;合図&lt;rt&gt;あいず&lt;/rt&gt;&lt;/ruby&gt;&lt;br&gt;&lt;div class="audio"&gt;[sound:あいず.mp3]&lt;/div&gt;</v>
      </c>
      <c r="H2720" s="3" t="str">
        <f t="shared" si="1"/>
        <v>(n): dấu hiệu</v>
      </c>
      <c r="I2720" s="6" t="s">
        <v>14867</v>
      </c>
      <c r="J2720" s="6" t="s">
        <v>14868</v>
      </c>
      <c r="K2720" s="7">
        <f t="shared" si="2"/>
        <v>0.1514031966</v>
      </c>
    </row>
    <row r="2721">
      <c r="A2721" s="4">
        <v>2721.0</v>
      </c>
      <c r="B2721" s="5" t="s">
        <v>14869</v>
      </c>
      <c r="C2721" s="5" t="s">
        <v>14870</v>
      </c>
      <c r="D2721" s="5" t="s">
        <v>14871</v>
      </c>
      <c r="E2721" s="6" t="s">
        <v>74</v>
      </c>
      <c r="F2721" s="6" t="s">
        <v>14872</v>
      </c>
      <c r="G2721" s="3" t="str">
        <f>IFERROR(__xludf.DUMMYFUNCTION("REGEXREPLACE(
D2721,
""([一-龯々]+)\[([^\]]+)\]"",
""&lt;ruby&gt;$1&lt;rt&gt;$2&lt;/rt&gt;&lt;/ruby&gt;""
)&amp;""&lt;br&gt;&lt;div class=""""audio""""&gt;[sound:""&amp;C2721&amp;"".mp3]&lt;/div&gt;"""),"&lt;ruby&gt;国語&lt;rt&gt;こくご&lt;/rt&gt;&lt;/ruby&gt;&lt;br&gt;&lt;div class=""audio""&gt;[sound:こくご.mp3]&lt;/div&gt;")</f>
        <v>&lt;ruby&gt;国語&lt;rt&gt;こくご&lt;/rt&gt;&lt;/ruby&gt;&lt;br&gt;&lt;div class="audio"&gt;[sound:こくご.mp3]&lt;/div&gt;</v>
      </c>
      <c r="H2721" s="3" t="str">
        <f t="shared" si="1"/>
        <v>(n): quốc ngữ</v>
      </c>
      <c r="I2721" s="6" t="s">
        <v>14873</v>
      </c>
      <c r="J2721" s="6" t="s">
        <v>14874</v>
      </c>
      <c r="K2721" s="7">
        <f t="shared" si="2"/>
        <v>0.7622909297</v>
      </c>
    </row>
    <row r="2722">
      <c r="A2722" s="4">
        <v>2722.0</v>
      </c>
      <c r="B2722" s="5" t="s">
        <v>14875</v>
      </c>
      <c r="C2722" s="5" t="s">
        <v>14876</v>
      </c>
      <c r="D2722" s="5" t="s">
        <v>14877</v>
      </c>
      <c r="E2722" s="6" t="s">
        <v>74</v>
      </c>
      <c r="F2722" s="6" t="s">
        <v>10942</v>
      </c>
      <c r="G2722" s="3" t="str">
        <f>IFERROR(__xludf.DUMMYFUNCTION("REGEXREPLACE(
D2722,
""([一-龯々]+)\[([^\]]+)\]"",
""&lt;ruby&gt;$1&lt;rt&gt;$2&lt;/rt&gt;&lt;/ruby&gt;""
)&amp;""&lt;br&gt;&lt;div class=""""audio""""&gt;[sound:""&amp;C2722&amp;"".mp3]&lt;/div&gt;"""),"&lt;ruby&gt;好&lt;rt&gt;この&lt;/rt&gt;&lt;/ruby&gt;み&lt;br&gt;&lt;div class=""audio""&gt;[sound:このみ.mp3]&lt;/div&gt;")</f>
        <v>&lt;ruby&gt;好&lt;rt&gt;この&lt;/rt&gt;&lt;/ruby&gt;み&lt;br&gt;&lt;div class="audio"&gt;[sound:このみ.mp3]&lt;/div&gt;</v>
      </c>
      <c r="H2722" s="3" t="str">
        <f t="shared" si="1"/>
        <v>(n): sở thích</v>
      </c>
      <c r="I2722" s="6" t="s">
        <v>14878</v>
      </c>
      <c r="J2722" s="6" t="s">
        <v>14879</v>
      </c>
      <c r="K2722" s="7">
        <f t="shared" si="2"/>
        <v>0.04224215093</v>
      </c>
    </row>
    <row r="2723">
      <c r="A2723" s="4">
        <v>2723.0</v>
      </c>
      <c r="B2723" s="5" t="s">
        <v>14880</v>
      </c>
      <c r="C2723" s="5" t="s">
        <v>14881</v>
      </c>
      <c r="D2723" s="5" t="s">
        <v>14882</v>
      </c>
      <c r="E2723" s="6" t="s">
        <v>74</v>
      </c>
      <c r="F2723" s="6" t="s">
        <v>14883</v>
      </c>
      <c r="G2723" s="3" t="str">
        <f>IFERROR(__xludf.DUMMYFUNCTION("REGEXREPLACE(
D2723,
""([一-龯々]+)\[([^\]]+)\]"",
""&lt;ruby&gt;$1&lt;rt&gt;$2&lt;/rt&gt;&lt;/ruby&gt;""
)&amp;""&lt;br&gt;&lt;div class=""""audio""""&gt;[sound:""&amp;C2723&amp;"".mp3]&lt;/div&gt;"""),"&lt;ruby&gt;怒&lt;rt&gt;いか&lt;/rt&gt;&lt;/ruby&gt;り&lt;br&gt;&lt;div class=""audio""&gt;[sound:いかり.mp3]&lt;/div&gt;")</f>
        <v>&lt;ruby&gt;怒&lt;rt&gt;いか&lt;/rt&gt;&lt;/ruby&gt;り&lt;br&gt;&lt;div class="audio"&gt;[sound:いかり.mp3]&lt;/div&gt;</v>
      </c>
      <c r="H2723" s="3" t="str">
        <f t="shared" si="1"/>
        <v>(n): cơn giận</v>
      </c>
      <c r="I2723" s="6" t="s">
        <v>14884</v>
      </c>
      <c r="J2723" s="6" t="s">
        <v>14885</v>
      </c>
      <c r="K2723" s="7">
        <f t="shared" si="2"/>
        <v>0.3880757822</v>
      </c>
    </row>
    <row r="2724">
      <c r="A2724" s="4">
        <v>2724.0</v>
      </c>
      <c r="B2724" s="5" t="s">
        <v>14886</v>
      </c>
      <c r="C2724" s="5" t="s">
        <v>14887</v>
      </c>
      <c r="D2724" s="5" t="s">
        <v>14888</v>
      </c>
      <c r="E2724" s="6" t="s">
        <v>74</v>
      </c>
      <c r="F2724" s="6" t="s">
        <v>4510</v>
      </c>
      <c r="G2724" s="3" t="str">
        <f>IFERROR(__xludf.DUMMYFUNCTION("REGEXREPLACE(
D2724,
""([一-龯々]+)\[([^\]]+)\]"",
""&lt;ruby&gt;$1&lt;rt&gt;$2&lt;/rt&gt;&lt;/ruby&gt;""
)&amp;""&lt;br&gt;&lt;div class=""""audio""""&gt;[sound:""&amp;C2724&amp;"".mp3]&lt;/div&gt;"""),"&lt;ruby&gt;才能&lt;rt&gt;さいのう&lt;/rt&gt;&lt;/ruby&gt;&lt;br&gt;&lt;div class=""audio""&gt;[sound:さいのう.mp3]&lt;/div&gt;")</f>
        <v>&lt;ruby&gt;才能&lt;rt&gt;さいのう&lt;/rt&gt;&lt;/ruby&gt;&lt;br&gt;&lt;div class="audio"&gt;[sound:さいのう.mp3]&lt;/div&gt;</v>
      </c>
      <c r="H2724" s="3" t="str">
        <f t="shared" si="1"/>
        <v>(n): tài năng</v>
      </c>
      <c r="I2724" s="6" t="s">
        <v>14889</v>
      </c>
      <c r="J2724" s="6" t="s">
        <v>14890</v>
      </c>
      <c r="K2724" s="7">
        <f t="shared" si="2"/>
        <v>0.6000432237</v>
      </c>
    </row>
    <row r="2725">
      <c r="A2725" s="4">
        <v>2725.0</v>
      </c>
      <c r="B2725" s="5" t="s">
        <v>14891</v>
      </c>
      <c r="C2725" s="5" t="s">
        <v>14892</v>
      </c>
      <c r="D2725" s="5" t="s">
        <v>14893</v>
      </c>
      <c r="E2725" s="6" t="s">
        <v>74</v>
      </c>
      <c r="F2725" s="6" t="s">
        <v>14894</v>
      </c>
      <c r="G2725" s="3" t="str">
        <f>IFERROR(__xludf.DUMMYFUNCTION("REGEXREPLACE(
D2725,
""([一-龯々]+)\[([^\]]+)\]"",
""&lt;ruby&gt;$1&lt;rt&gt;$2&lt;/rt&gt;&lt;/ruby&gt;""
)&amp;""&lt;br&gt;&lt;div class=""""audio""""&gt;[sound:""&amp;C2725&amp;"".mp3]&lt;/div&gt;"""),"&lt;ruby&gt;紅茶&lt;rt&gt;こうちゃ&lt;/rt&gt;&lt;/ruby&gt;&lt;br&gt;&lt;div class=""audio""&gt;[sound:こうちゃ.mp3]&lt;/div&gt;")</f>
        <v>&lt;ruby&gt;紅茶&lt;rt&gt;こうちゃ&lt;/rt&gt;&lt;/ruby&gt;&lt;br&gt;&lt;div class="audio"&gt;[sound:こうちゃ.mp3]&lt;/div&gt;</v>
      </c>
      <c r="H2725" s="3" t="str">
        <f t="shared" si="1"/>
        <v>(n): hồng trà</v>
      </c>
      <c r="I2725" s="6" t="s">
        <v>14895</v>
      </c>
      <c r="J2725" s="6" t="s">
        <v>14896</v>
      </c>
      <c r="K2725" s="7">
        <f t="shared" si="2"/>
        <v>0.9204934496</v>
      </c>
    </row>
    <row r="2726">
      <c r="A2726" s="4">
        <v>2726.0</v>
      </c>
      <c r="B2726" s="5" t="s">
        <v>14897</v>
      </c>
      <c r="C2726" s="5" t="s">
        <v>14898</v>
      </c>
      <c r="D2726" s="5" t="s">
        <v>14899</v>
      </c>
      <c r="E2726" s="6" t="s">
        <v>74</v>
      </c>
      <c r="F2726" s="6" t="s">
        <v>14900</v>
      </c>
      <c r="G2726" s="3" t="str">
        <f>IFERROR(__xludf.DUMMYFUNCTION("REGEXREPLACE(
D2726,
""([一-龯々]+)\[([^\]]+)\]"",
""&lt;ruby&gt;$1&lt;rt&gt;$2&lt;/rt&gt;&lt;/ruby&gt;""
)&amp;""&lt;br&gt;&lt;div class=""""audio""""&gt;[sound:""&amp;C2726&amp;"".mp3]&lt;/div&gt;"""),"&lt;ruby&gt;軍&lt;rt&gt;ぐん&lt;/rt&gt;&lt;/ruby&gt;&lt;br&gt;&lt;div class=""audio""&gt;[sound:ぐん.mp3]&lt;/div&gt;")</f>
        <v>&lt;ruby&gt;軍&lt;rt&gt;ぐん&lt;/rt&gt;&lt;/ruby&gt;&lt;br&gt;&lt;div class="audio"&gt;[sound:ぐん.mp3]&lt;/div&gt;</v>
      </c>
      <c r="H2726" s="3" t="str">
        <f t="shared" si="1"/>
        <v>(n): quân đội</v>
      </c>
      <c r="I2726" s="6" t="s">
        <v>14901</v>
      </c>
      <c r="J2726" s="6" t="s">
        <v>14902</v>
      </c>
      <c r="K2726" s="7">
        <f t="shared" si="2"/>
        <v>0.426876648</v>
      </c>
    </row>
    <row r="2727">
      <c r="A2727" s="4">
        <v>2727.0</v>
      </c>
      <c r="B2727" s="5" t="s">
        <v>14903</v>
      </c>
      <c r="C2727" s="5" t="s">
        <v>14904</v>
      </c>
      <c r="D2727" s="5" t="s">
        <v>14905</v>
      </c>
      <c r="E2727" s="6" t="s">
        <v>24</v>
      </c>
      <c r="F2727" s="6" t="s">
        <v>14906</v>
      </c>
      <c r="G2727" s="3" t="str">
        <f>IFERROR(__xludf.DUMMYFUNCTION("REGEXREPLACE(
D2727,
""([一-龯々]+)\[([^\]]+)\]"",
""&lt;ruby&gt;$1&lt;rt&gt;$2&lt;/rt&gt;&lt;/ruby&gt;""
)&amp;""&lt;br&gt;&lt;div class=""""audio""""&gt;[sound:""&amp;C2727&amp;"".mp3]&lt;/div&gt;"""),"&lt;ruby&gt;優&lt;rt&gt;すぐ&lt;/rt&gt;&lt;/ruby&gt;れる&lt;br&gt;&lt;div class=""audio""&gt;[sound:すぐれる.mp3]&lt;/div&gt;")</f>
        <v>&lt;ruby&gt;優&lt;rt&gt;すぐ&lt;/rt&gt;&lt;/ruby&gt;れる&lt;br&gt;&lt;div class="audio"&gt;[sound:すぐれる.mp3]&lt;/div&gt;</v>
      </c>
      <c r="H2727" s="3" t="str">
        <f t="shared" si="1"/>
        <v>(v): ưu việt</v>
      </c>
      <c r="I2727" s="6" t="s">
        <v>14907</v>
      </c>
      <c r="J2727" s="6" t="s">
        <v>14908</v>
      </c>
      <c r="K2727" s="7">
        <f t="shared" si="2"/>
        <v>0.1862063191</v>
      </c>
    </row>
    <row r="2728">
      <c r="A2728" s="4">
        <v>2728.0</v>
      </c>
      <c r="B2728" s="5" t="s">
        <v>14909</v>
      </c>
      <c r="C2728" s="5" t="s">
        <v>14910</v>
      </c>
      <c r="D2728" s="5" t="s">
        <v>14911</v>
      </c>
      <c r="E2728" s="6" t="s">
        <v>74</v>
      </c>
      <c r="F2728" s="6" t="s">
        <v>14912</v>
      </c>
      <c r="G2728" s="3" t="str">
        <f>IFERROR(__xludf.DUMMYFUNCTION("REGEXREPLACE(
D2728,
""([一-龯々]+)\[([^\]]+)\]"",
""&lt;ruby&gt;$1&lt;rt&gt;$2&lt;/rt&gt;&lt;/ruby&gt;""
)&amp;""&lt;br&gt;&lt;div class=""""audio""""&gt;[sound:""&amp;C2728&amp;"".mp3]&lt;/div&gt;"""),"&lt;ruby&gt;屋根&lt;rt&gt;やね&lt;/rt&gt;&lt;/ruby&gt;&lt;br&gt;&lt;div class=""audio""&gt;[sound:やね.mp3]&lt;/div&gt;")</f>
        <v>&lt;ruby&gt;屋根&lt;rt&gt;やね&lt;/rt&gt;&lt;/ruby&gt;&lt;br&gt;&lt;div class="audio"&gt;[sound:やね.mp3]&lt;/div&gt;</v>
      </c>
      <c r="H2728" s="3" t="str">
        <f t="shared" si="1"/>
        <v>(n): mái nhà</v>
      </c>
      <c r="I2728" s="6" t="s">
        <v>14913</v>
      </c>
      <c r="J2728" s="6" t="s">
        <v>14914</v>
      </c>
      <c r="K2728" s="7">
        <f t="shared" si="2"/>
        <v>0.5625734202</v>
      </c>
    </row>
    <row r="2729">
      <c r="A2729" s="4">
        <v>2729.0</v>
      </c>
      <c r="B2729" s="5" t="s">
        <v>14915</v>
      </c>
      <c r="C2729" s="5" t="s">
        <v>14916</v>
      </c>
      <c r="D2729" s="5" t="s">
        <v>14917</v>
      </c>
      <c r="E2729" s="6" t="s">
        <v>74</v>
      </c>
      <c r="F2729" s="6" t="s">
        <v>14918</v>
      </c>
      <c r="G2729" s="3" t="str">
        <f>IFERROR(__xludf.DUMMYFUNCTION("REGEXREPLACE(
D2729,
""([一-龯々]+)\[([^\]]+)\]"",
""&lt;ruby&gt;$1&lt;rt&gt;$2&lt;/rt&gt;&lt;/ruby&gt;""
)&amp;""&lt;br&gt;&lt;div class=""""audio""""&gt;[sound:""&amp;C2729&amp;"".mp3]&lt;/div&gt;"""),"&lt;ruby&gt;指揮&lt;rt&gt;しき&lt;/rt&gt;&lt;/ruby&gt;&lt;br&gt;&lt;div class=""audio""&gt;[sound:しき.mp3]&lt;/div&gt;")</f>
        <v>&lt;ruby&gt;指揮&lt;rt&gt;しき&lt;/rt&gt;&lt;/ruby&gt;&lt;br&gt;&lt;div class="audio"&gt;[sound:しき.mp3]&lt;/div&gt;</v>
      </c>
      <c r="H2729" s="3" t="str">
        <f t="shared" si="1"/>
        <v>(n): chỉ huy</v>
      </c>
      <c r="I2729" s="6" t="s">
        <v>14919</v>
      </c>
      <c r="J2729" s="6" t="s">
        <v>14920</v>
      </c>
      <c r="K2729" s="7">
        <f t="shared" si="2"/>
        <v>0.1619503378</v>
      </c>
    </row>
    <row r="2730">
      <c r="A2730" s="4">
        <v>2730.0</v>
      </c>
      <c r="B2730" s="5" t="s">
        <v>14921</v>
      </c>
      <c r="C2730" s="5" t="s">
        <v>14922</v>
      </c>
      <c r="D2730" s="5" t="s">
        <v>14923</v>
      </c>
      <c r="E2730" s="6" t="s">
        <v>24</v>
      </c>
      <c r="F2730" s="6" t="s">
        <v>7880</v>
      </c>
      <c r="G2730" s="3" t="str">
        <f>IFERROR(__xludf.DUMMYFUNCTION("REGEXREPLACE(
D2730,
""([一-龯々]+)\[([^\]]+)\]"",
""&lt;ruby&gt;$1&lt;rt&gt;$2&lt;/rt&gt;&lt;/ruby&gt;""
)&amp;""&lt;br&gt;&lt;div class=""""audio""""&gt;[sound:""&amp;C2730&amp;"".mp3]&lt;/div&gt;"""),"&lt;ruby&gt;繋&lt;rt&gt;つな&lt;/rt&gt;&lt;/ruby&gt;ぐ&lt;br&gt;&lt;div class=""audio""&gt;[sound:つなぐ.mp3]&lt;/div&gt;")</f>
        <v>&lt;ruby&gt;繋&lt;rt&gt;つな&lt;/rt&gt;&lt;/ruby&gt;ぐ&lt;br&gt;&lt;div class="audio"&gt;[sound:つなぐ.mp3]&lt;/div&gt;</v>
      </c>
      <c r="H2730" s="3" t="str">
        <f t="shared" si="1"/>
        <v>(v): kết nối</v>
      </c>
      <c r="I2730" s="6" t="s">
        <v>14924</v>
      </c>
      <c r="J2730" s="6" t="s">
        <v>14925</v>
      </c>
      <c r="K2730" s="7">
        <f t="shared" si="2"/>
        <v>0.01334994559</v>
      </c>
    </row>
    <row r="2731">
      <c r="A2731" s="4">
        <v>2731.0</v>
      </c>
      <c r="B2731" s="5" t="s">
        <v>14926</v>
      </c>
      <c r="C2731" s="5" t="s">
        <v>2960</v>
      </c>
      <c r="D2731" s="5" t="s">
        <v>14927</v>
      </c>
      <c r="E2731" s="6" t="s">
        <v>74</v>
      </c>
      <c r="F2731" s="6" t="s">
        <v>14928</v>
      </c>
      <c r="G2731" s="3" t="str">
        <f>IFERROR(__xludf.DUMMYFUNCTION("REGEXREPLACE(
D2731,
""([一-龯々]+)\[([^\]]+)\]"",
""&lt;ruby&gt;$1&lt;rt&gt;$2&lt;/rt&gt;&lt;/ruby&gt;""
)&amp;""&lt;br&gt;&lt;div class=""""audio""""&gt;[sound:""&amp;C2731&amp;"".mp3]&lt;/div&gt;"""),"&lt;ruby&gt;製作&lt;rt&gt;せいさく&lt;/rt&gt;&lt;/ruby&gt;&lt;br&gt;&lt;div class=""audio""&gt;[sound:せいさく.mp3]&lt;/div&gt;")</f>
        <v>&lt;ruby&gt;製作&lt;rt&gt;せいさく&lt;/rt&gt;&lt;/ruby&gt;&lt;br&gt;&lt;div class="audio"&gt;[sound:せいさく.mp3]&lt;/div&gt;</v>
      </c>
      <c r="H2731" s="3" t="str">
        <f t="shared" si="1"/>
        <v>(n): chế tác</v>
      </c>
      <c r="I2731" s="6" t="s">
        <v>14929</v>
      </c>
      <c r="J2731" s="6" t="s">
        <v>14930</v>
      </c>
      <c r="K2731" s="7">
        <f t="shared" si="2"/>
        <v>0.569359867</v>
      </c>
    </row>
    <row r="2732">
      <c r="A2732" s="4">
        <v>2732.0</v>
      </c>
      <c r="B2732" s="5" t="s">
        <v>14931</v>
      </c>
      <c r="C2732" s="5" t="s">
        <v>14932</v>
      </c>
      <c r="D2732" s="5" t="s">
        <v>14933</v>
      </c>
      <c r="E2732" s="6" t="s">
        <v>24</v>
      </c>
      <c r="F2732" s="6" t="s">
        <v>14934</v>
      </c>
      <c r="G2732" s="3" t="str">
        <f>IFERROR(__xludf.DUMMYFUNCTION("REGEXREPLACE(
D2732,
""([一-龯々]+)\[([^\]]+)\]"",
""&lt;ruby&gt;$1&lt;rt&gt;$2&lt;/rt&gt;&lt;/ruby&gt;""
)&amp;""&lt;br&gt;&lt;div class=""""audio""""&gt;[sound:""&amp;C2732&amp;"".mp3]&lt;/div&gt;"""),"&lt;ruby&gt;迫&lt;rt&gt;せま&lt;/rt&gt;&lt;/ruby&gt;る&lt;br&gt;&lt;div class=""audio""&gt;[sound:せまる.mp3]&lt;/div&gt;")</f>
        <v>&lt;ruby&gt;迫&lt;rt&gt;せま&lt;/rt&gt;&lt;/ruby&gt;る&lt;br&gt;&lt;div class="audio"&gt;[sound:せまる.mp3]&lt;/div&gt;</v>
      </c>
      <c r="H2732" s="3" t="str">
        <f t="shared" si="1"/>
        <v>(v): đến gần</v>
      </c>
      <c r="I2732" s="6" t="s">
        <v>14935</v>
      </c>
      <c r="J2732" s="6" t="s">
        <v>14936</v>
      </c>
      <c r="K2732" s="7">
        <f t="shared" si="2"/>
        <v>0.06752847321</v>
      </c>
    </row>
    <row r="2733">
      <c r="A2733" s="4">
        <v>2733.0</v>
      </c>
      <c r="B2733" s="5" t="s">
        <v>14937</v>
      </c>
      <c r="C2733" s="5" t="s">
        <v>14938</v>
      </c>
      <c r="D2733" s="5" t="s">
        <v>14939</v>
      </c>
      <c r="E2733" s="6" t="s">
        <v>24</v>
      </c>
      <c r="F2733" s="6" t="s">
        <v>9733</v>
      </c>
      <c r="G2733" s="3" t="str">
        <f>IFERROR(__xludf.DUMMYFUNCTION("REGEXREPLACE(
D2733,
""([一-龯々]+)\[([^\]]+)\]"",
""&lt;ruby&gt;$1&lt;rt&gt;$2&lt;/rt&gt;&lt;/ruby&gt;""
)&amp;""&lt;br&gt;&lt;div class=""""audio""""&gt;[sound:""&amp;C2733&amp;"".mp3]&lt;/div&gt;"""),"&lt;ruby&gt;達&lt;rt&gt;たっ&lt;/rt&gt;&lt;/ruby&gt;する&lt;br&gt;&lt;div class=""audio""&gt;[sound:たっする.mp3]&lt;/div&gt;")</f>
        <v>&lt;ruby&gt;達&lt;rt&gt;たっ&lt;/rt&gt;&lt;/ruby&gt;する&lt;br&gt;&lt;div class="audio"&gt;[sound:たっする.mp3]&lt;/div&gt;</v>
      </c>
      <c r="H2733" s="3" t="str">
        <f t="shared" si="1"/>
        <v>(v): đạt tới</v>
      </c>
      <c r="I2733" s="6" t="s">
        <v>14940</v>
      </c>
      <c r="J2733" s="6" t="s">
        <v>14941</v>
      </c>
      <c r="K2733" s="7">
        <f t="shared" si="2"/>
        <v>0.5496439022</v>
      </c>
    </row>
    <row r="2734">
      <c r="A2734" s="4">
        <v>2734.0</v>
      </c>
      <c r="B2734" s="5" t="s">
        <v>14942</v>
      </c>
      <c r="C2734" s="5" t="s">
        <v>2199</v>
      </c>
      <c r="D2734" s="5" t="s">
        <v>14943</v>
      </c>
      <c r="E2734" s="6" t="s">
        <v>74</v>
      </c>
      <c r="F2734" s="6" t="s">
        <v>2201</v>
      </c>
      <c r="G2734" s="3" t="str">
        <f>IFERROR(__xludf.DUMMYFUNCTION("REGEXREPLACE(
D2734,
""([一-龯々]+)\[([^\]]+)\]"",
""&lt;ruby&gt;$1&lt;rt&gt;$2&lt;/rt&gt;&lt;/ruby&gt;""
)&amp;""&lt;br&gt;&lt;div class=""""audio""""&gt;[sound:""&amp;C2734&amp;"".mp3]&lt;/div&gt;"""),"&lt;ruby&gt;身体&lt;rt&gt;からだ&lt;/rt&gt;&lt;/ruby&gt;&lt;br&gt;&lt;div class=""audio""&gt;[sound:からだ.mp3]&lt;/div&gt;")</f>
        <v>&lt;ruby&gt;身体&lt;rt&gt;からだ&lt;/rt&gt;&lt;/ruby&gt;&lt;br&gt;&lt;div class="audio"&gt;[sound:からだ.mp3]&lt;/div&gt;</v>
      </c>
      <c r="H2734" s="3" t="str">
        <f t="shared" si="1"/>
        <v>(n): cơ thể</v>
      </c>
      <c r="I2734" s="6" t="s">
        <v>14944</v>
      </c>
      <c r="J2734" s="6" t="s">
        <v>7048</v>
      </c>
      <c r="K2734" s="7">
        <f t="shared" si="2"/>
        <v>0.63384019</v>
      </c>
    </row>
    <row r="2735">
      <c r="A2735" s="4">
        <v>2735.0</v>
      </c>
      <c r="B2735" s="5" t="s">
        <v>14945</v>
      </c>
      <c r="C2735" s="5" t="s">
        <v>6486</v>
      </c>
      <c r="D2735" s="5" t="s">
        <v>14946</v>
      </c>
      <c r="E2735" s="6" t="s">
        <v>24</v>
      </c>
      <c r="F2735" s="6" t="s">
        <v>14947</v>
      </c>
      <c r="G2735" s="3" t="str">
        <f>IFERROR(__xludf.DUMMYFUNCTION("REGEXREPLACE(
D2735,
""([一-龯々]+)\[([^\]]+)\]"",
""&lt;ruby&gt;$1&lt;rt&gt;$2&lt;/rt&gt;&lt;/ruby&gt;""
)&amp;""&lt;br&gt;&lt;div class=""""audio""""&gt;[sound:""&amp;C2735&amp;"".mp3]&lt;/div&gt;"""),"&lt;ruby&gt;占&lt;rt&gt;し&lt;/rt&gt;&lt;/ruby&gt;める&lt;br&gt;&lt;div class=""audio""&gt;[sound:しめる.mp3]&lt;/div&gt;")</f>
        <v>&lt;ruby&gt;占&lt;rt&gt;し&lt;/rt&gt;&lt;/ruby&gt;める&lt;br&gt;&lt;div class="audio"&gt;[sound:しめる.mp3]&lt;/div&gt;</v>
      </c>
      <c r="H2735" s="3" t="str">
        <f t="shared" si="1"/>
        <v>(v): chiếm</v>
      </c>
      <c r="I2735" s="6" t="s">
        <v>14948</v>
      </c>
      <c r="J2735" s="6" t="s">
        <v>14949</v>
      </c>
      <c r="K2735" s="7">
        <f t="shared" si="2"/>
        <v>0.4890205442</v>
      </c>
    </row>
    <row r="2736">
      <c r="A2736" s="4">
        <v>2736.0</v>
      </c>
      <c r="B2736" s="5" t="s">
        <v>14950</v>
      </c>
      <c r="C2736" s="5" t="s">
        <v>14951</v>
      </c>
      <c r="D2736" s="5" t="s">
        <v>14952</v>
      </c>
      <c r="E2736" s="6" t="s">
        <v>24</v>
      </c>
      <c r="F2736" s="6" t="s">
        <v>1657</v>
      </c>
      <c r="G2736" s="3" t="str">
        <f>IFERROR(__xludf.DUMMYFUNCTION("REGEXREPLACE(
D2736,
""([一-龯々]+)\[([^\]]+)\]"",
""&lt;ruby&gt;$1&lt;rt&gt;$2&lt;/rt&gt;&lt;/ruby&gt;""
)&amp;""&lt;br&gt;&lt;div class=""""audio""""&gt;[sound:""&amp;C2736&amp;"".mp3]&lt;/div&gt;"""),"&lt;ruby&gt;嫌&lt;rt&gt;きら&lt;/rt&gt;&lt;/ruby&gt;う&lt;br&gt;&lt;div class=""audio""&gt;[sound:きらう.mp3]&lt;/div&gt;")</f>
        <v>&lt;ruby&gt;嫌&lt;rt&gt;きら&lt;/rt&gt;&lt;/ruby&gt;う&lt;br&gt;&lt;div class="audio"&gt;[sound:きらう.mp3]&lt;/div&gt;</v>
      </c>
      <c r="H2736" s="3" t="str">
        <f t="shared" si="1"/>
        <v>(v): ghét</v>
      </c>
      <c r="I2736" s="6" t="s">
        <v>14953</v>
      </c>
      <c r="J2736" s="6" t="s">
        <v>14954</v>
      </c>
      <c r="K2736" s="7">
        <f t="shared" si="2"/>
        <v>0.06913905696</v>
      </c>
    </row>
    <row r="2737">
      <c r="A2737" s="4">
        <v>2737.0</v>
      </c>
      <c r="B2737" s="5" t="s">
        <v>14955</v>
      </c>
      <c r="C2737" s="5" t="s">
        <v>14956</v>
      </c>
      <c r="D2737" s="5" t="s">
        <v>14957</v>
      </c>
      <c r="E2737" s="6" t="s">
        <v>74</v>
      </c>
      <c r="F2737" s="6" t="s">
        <v>14958</v>
      </c>
      <c r="G2737" s="3" t="str">
        <f>IFERROR(__xludf.DUMMYFUNCTION("REGEXREPLACE(
D2737,
""([一-龯々]+)\[([^\]]+)\]"",
""&lt;ruby&gt;$1&lt;rt&gt;$2&lt;/rt&gt;&lt;/ruby&gt;""
)&amp;""&lt;br&gt;&lt;div class=""""audio""""&gt;[sound:""&amp;C2737&amp;"".mp3]&lt;/div&gt;"""),"&lt;ruby&gt;尻&lt;rt&gt;しり&lt;/rt&gt;&lt;/ruby&gt;&lt;br&gt;&lt;div class=""audio""&gt;[sound:しり.mp3]&lt;/div&gt;")</f>
        <v>&lt;ruby&gt;尻&lt;rt&gt;しり&lt;/rt&gt;&lt;/ruby&gt;&lt;br&gt;&lt;div class="audio"&gt;[sound:しり.mp3]&lt;/div&gt;</v>
      </c>
      <c r="H2737" s="3" t="str">
        <f t="shared" si="1"/>
        <v>(n): mông</v>
      </c>
      <c r="I2737" s="6" t="s">
        <v>14959</v>
      </c>
      <c r="J2737" s="6" t="s">
        <v>14960</v>
      </c>
      <c r="K2737" s="7">
        <f t="shared" si="2"/>
        <v>0.5930878084</v>
      </c>
    </row>
    <row r="2738">
      <c r="A2738" s="4">
        <v>2738.0</v>
      </c>
      <c r="B2738" s="5" t="s">
        <v>14961</v>
      </c>
      <c r="C2738" s="5" t="s">
        <v>14962</v>
      </c>
      <c r="D2738" s="5" t="s">
        <v>14963</v>
      </c>
      <c r="E2738" s="6" t="s">
        <v>11</v>
      </c>
      <c r="F2738" s="6" t="s">
        <v>6638</v>
      </c>
      <c r="G2738" s="3" t="str">
        <f>IFERROR(__xludf.DUMMYFUNCTION("REGEXREPLACE(
D2738,
""([一-龯々]+)\[([^\]]+)\]"",
""&lt;ruby&gt;$1&lt;rt&gt;$2&lt;/rt&gt;&lt;/ruby&gt;""
)&amp;""&lt;br&gt;&lt;div class=""""audio""""&gt;[sound:""&amp;C2738&amp;"".mp3]&lt;/div&gt;"""),"&lt;ruby&gt;苦手&lt;rt&gt;にがて&lt;/rt&gt;&lt;/ruby&gt;&lt;br&gt;&lt;div class=""audio""&gt;[sound:にがて.mp3]&lt;/div&gt;")</f>
        <v>&lt;ruby&gt;苦手&lt;rt&gt;にがて&lt;/rt&gt;&lt;/ruby&gt;&lt;br&gt;&lt;div class="audio"&gt;[sound:にがて.mp3]&lt;/div&gt;</v>
      </c>
      <c r="H2738" s="3" t="str">
        <f t="shared" si="1"/>
        <v>(adj): kém</v>
      </c>
      <c r="I2738" s="6" t="s">
        <v>14964</v>
      </c>
      <c r="J2738" s="6" t="s">
        <v>14965</v>
      </c>
      <c r="K2738" s="7">
        <f t="shared" si="2"/>
        <v>0.1402918012</v>
      </c>
    </row>
    <row r="2739">
      <c r="A2739" s="4">
        <v>2739.0</v>
      </c>
      <c r="B2739" s="5" t="s">
        <v>14966</v>
      </c>
      <c r="C2739" s="5" t="s">
        <v>14967</v>
      </c>
      <c r="D2739" s="5" t="s">
        <v>14966</v>
      </c>
      <c r="E2739" s="6" t="s">
        <v>74</v>
      </c>
      <c r="F2739" s="6" t="s">
        <v>14968</v>
      </c>
      <c r="G2739" s="3" t="str">
        <f>IFERROR(__xludf.DUMMYFUNCTION("REGEXREPLACE(
D2739,
""([一-龯々]+)\[([^\]]+)\]"",
""&lt;ruby&gt;$1&lt;rt&gt;$2&lt;/rt&gt;&lt;/ruby&gt;""
)&amp;""&lt;br&gt;&lt;div class=""""audio""""&gt;[sound:""&amp;C2739&amp;"".mp3]&lt;/div&gt;"""),"マラソン&lt;br&gt;&lt;div class=""audio""&gt;[sound:まらそん.mp3]&lt;/div&gt;")</f>
        <v>マラソン&lt;br&gt;&lt;div class="audio"&gt;[sound:まらそん.mp3]&lt;/div&gt;</v>
      </c>
      <c r="H2739" s="3" t="str">
        <f t="shared" si="1"/>
        <v>(n): ma-ra-tông</v>
      </c>
      <c r="I2739" s="6" t="s">
        <v>14969</v>
      </c>
      <c r="J2739" s="6" t="s">
        <v>14970</v>
      </c>
      <c r="K2739" s="7">
        <f t="shared" si="2"/>
        <v>0.00922522209</v>
      </c>
    </row>
    <row r="2740">
      <c r="A2740" s="4">
        <v>2740.0</v>
      </c>
      <c r="B2740" s="5" t="s">
        <v>14971</v>
      </c>
      <c r="C2740" s="5" t="s">
        <v>14972</v>
      </c>
      <c r="D2740" s="5" t="s">
        <v>14973</v>
      </c>
      <c r="E2740" s="6" t="s">
        <v>74</v>
      </c>
      <c r="F2740" s="6" t="s">
        <v>1348</v>
      </c>
      <c r="G2740" s="3" t="str">
        <f>IFERROR(__xludf.DUMMYFUNCTION("REGEXREPLACE(
D2740,
""([一-龯々]+)\[([^\]]+)\]"",
""&lt;ruby&gt;$1&lt;rt&gt;$2&lt;/rt&gt;&lt;/ruby&gt;""
)&amp;""&lt;br&gt;&lt;div class=""""audio""""&gt;[sound:""&amp;C2740&amp;"".mp3]&lt;/div&gt;"""),"&lt;ruby&gt;当&lt;rt&gt;あた&lt;/rt&gt;&lt;/ruby&gt;り&lt;br&gt;&lt;div class=""audio""&gt;[sound:あたり.mp3]&lt;/div&gt;")</f>
        <v>&lt;ruby&gt;当&lt;rt&gt;あた&lt;/rt&gt;&lt;/ruby&gt;り&lt;br&gt;&lt;div class="audio"&gt;[sound:あたり.mp3]&lt;/div&gt;</v>
      </c>
      <c r="H2740" s="3" t="str">
        <f t="shared" si="1"/>
        <v>(n): xung quanh</v>
      </c>
      <c r="I2740" s="6" t="s">
        <v>14974</v>
      </c>
      <c r="J2740" s="6" t="s">
        <v>14975</v>
      </c>
      <c r="K2740" s="7">
        <f t="shared" si="2"/>
        <v>0.2069227992</v>
      </c>
    </row>
    <row r="2741">
      <c r="A2741" s="4">
        <v>2741.0</v>
      </c>
      <c r="B2741" s="5" t="s">
        <v>14976</v>
      </c>
      <c r="C2741" s="5" t="s">
        <v>14977</v>
      </c>
      <c r="D2741" s="5" t="s">
        <v>14978</v>
      </c>
      <c r="E2741" s="6" t="s">
        <v>24</v>
      </c>
      <c r="F2741" s="6" t="s">
        <v>14979</v>
      </c>
      <c r="G2741" s="3" t="str">
        <f>IFERROR(__xludf.DUMMYFUNCTION("REGEXREPLACE(
D2741,
""([一-龯々]+)\[([^\]]+)\]"",
""&lt;ruby&gt;$1&lt;rt&gt;$2&lt;/rt&gt;&lt;/ruby&gt;""
)&amp;""&lt;br&gt;&lt;div class=""""audio""""&gt;[sound:""&amp;C2741&amp;"".mp3]&lt;/div&gt;"""),"&lt;ruby&gt;積&lt;rt&gt;つ&lt;/rt&gt;&lt;/ruby&gt;もる&lt;br&gt;&lt;div class=""audio""&gt;[sound:つもる.mp3]&lt;/div&gt;")</f>
        <v>&lt;ruby&gt;積&lt;rt&gt;つ&lt;/rt&gt;&lt;/ruby&gt;もる&lt;br&gt;&lt;div class="audio"&gt;[sound:つもる.mp3]&lt;/div&gt;</v>
      </c>
      <c r="H2741" s="3" t="str">
        <f t="shared" si="1"/>
        <v>(v): chất đống</v>
      </c>
      <c r="I2741" s="6" t="s">
        <v>14980</v>
      </c>
      <c r="J2741" s="6" t="s">
        <v>14981</v>
      </c>
      <c r="K2741" s="7">
        <f t="shared" si="2"/>
        <v>0.9958773102</v>
      </c>
    </row>
    <row r="2742">
      <c r="A2742" s="4">
        <v>2742.0</v>
      </c>
      <c r="B2742" s="5" t="s">
        <v>14982</v>
      </c>
      <c r="C2742" s="5" t="s">
        <v>14983</v>
      </c>
      <c r="D2742" s="5" t="s">
        <v>14984</v>
      </c>
      <c r="E2742" s="6" t="s">
        <v>74</v>
      </c>
      <c r="F2742" s="6" t="s">
        <v>14985</v>
      </c>
      <c r="G2742" s="3" t="str">
        <f>IFERROR(__xludf.DUMMYFUNCTION("REGEXREPLACE(
D2742,
""([一-龯々]+)\[([^\]]+)\]"",
""&lt;ruby&gt;$1&lt;rt&gt;$2&lt;/rt&gt;&lt;/ruby&gt;""
)&amp;""&lt;br&gt;&lt;div class=""""audio""""&gt;[sound:""&amp;C2742&amp;"".mp3]&lt;/div&gt;"""),"&lt;ruby&gt;南&lt;rt&gt;みなみ&lt;/rt&gt;&lt;/ruby&gt;&lt;br&gt;&lt;div class=""audio""&gt;[sound:みなみ.mp3]&lt;/div&gt;")</f>
        <v>&lt;ruby&gt;南&lt;rt&gt;みなみ&lt;/rt&gt;&lt;/ruby&gt;&lt;br&gt;&lt;div class="audio"&gt;[sound:みなみ.mp3]&lt;/div&gt;</v>
      </c>
      <c r="H2742" s="3" t="str">
        <f t="shared" si="1"/>
        <v>(n): phía nam</v>
      </c>
      <c r="I2742" s="6" t="s">
        <v>14986</v>
      </c>
      <c r="J2742" s="6" t="s">
        <v>14987</v>
      </c>
      <c r="K2742" s="7">
        <f t="shared" si="2"/>
        <v>0.5630909252</v>
      </c>
    </row>
    <row r="2743">
      <c r="A2743" s="4">
        <v>2743.0</v>
      </c>
      <c r="B2743" s="5" t="s">
        <v>14988</v>
      </c>
      <c r="C2743" s="5" t="s">
        <v>14989</v>
      </c>
      <c r="D2743" s="5" t="s">
        <v>14990</v>
      </c>
      <c r="E2743" s="6" t="s">
        <v>74</v>
      </c>
      <c r="F2743" s="6" t="s">
        <v>14991</v>
      </c>
      <c r="G2743" s="3" t="str">
        <f>IFERROR(__xludf.DUMMYFUNCTION("REGEXREPLACE(
D2743,
""([一-龯々]+)\[([^\]]+)\]"",
""&lt;ruby&gt;$1&lt;rt&gt;$2&lt;/rt&gt;&lt;/ruby&gt;""
)&amp;""&lt;br&gt;&lt;div class=""""audio""""&gt;[sound:""&amp;C2743&amp;"".mp3]&lt;/div&gt;"""),"&lt;ruby&gt;生&lt;rt&gt;う&lt;/rt&gt;&lt;/ruby&gt;まれ&lt;br&gt;&lt;div class=""audio""&gt;[sound:うまれ.mp3]&lt;/div&gt;")</f>
        <v>&lt;ruby&gt;生&lt;rt&gt;う&lt;/rt&gt;&lt;/ruby&gt;まれ&lt;br&gt;&lt;div class="audio"&gt;[sound:うまれ.mp3]&lt;/div&gt;</v>
      </c>
      <c r="H2743" s="3" t="str">
        <f t="shared" si="1"/>
        <v>(n): nơi sinh</v>
      </c>
      <c r="I2743" s="6" t="s">
        <v>14992</v>
      </c>
      <c r="J2743" s="6" t="s">
        <v>14993</v>
      </c>
      <c r="K2743" s="7">
        <f t="shared" si="2"/>
        <v>0.6144873118</v>
      </c>
    </row>
    <row r="2744">
      <c r="A2744" s="4">
        <v>2744.0</v>
      </c>
      <c r="B2744" s="5" t="s">
        <v>14994</v>
      </c>
      <c r="C2744" s="5" t="s">
        <v>3465</v>
      </c>
      <c r="D2744" s="5" t="s">
        <v>14995</v>
      </c>
      <c r="E2744" s="6" t="s">
        <v>74</v>
      </c>
      <c r="F2744" s="6" t="s">
        <v>5572</v>
      </c>
      <c r="G2744" s="3" t="str">
        <f>IFERROR(__xludf.DUMMYFUNCTION("REGEXREPLACE(
D2744,
""([一-龯々]+)\[([^\]]+)\]"",
""&lt;ruby&gt;$1&lt;rt&gt;$2&lt;/rt&gt;&lt;/ruby&gt;""
)&amp;""&lt;br&gt;&lt;div class=""""audio""""&gt;[sound:""&amp;C2744&amp;"".mp3]&lt;/div&gt;"""),"&lt;ruby&gt;用意&lt;rt&gt;ようい&lt;/rt&gt;&lt;/ruby&gt;&lt;br&gt;&lt;div class=""audio""&gt;[sound:ようい.mp3]&lt;/div&gt;")</f>
        <v>&lt;ruby&gt;用意&lt;rt&gt;ようい&lt;/rt&gt;&lt;/ruby&gt;&lt;br&gt;&lt;div class="audio"&gt;[sound:ようい.mp3]&lt;/div&gt;</v>
      </c>
      <c r="H2744" s="3" t="str">
        <f t="shared" si="1"/>
        <v>(n): chuẩn bị</v>
      </c>
      <c r="I2744" s="6" t="s">
        <v>14996</v>
      </c>
      <c r="J2744" s="6" t="s">
        <v>14997</v>
      </c>
      <c r="K2744" s="7">
        <f t="shared" si="2"/>
        <v>0.3604918647</v>
      </c>
    </row>
    <row r="2745">
      <c r="A2745" s="4">
        <v>2745.0</v>
      </c>
      <c r="B2745" s="5" t="s">
        <v>14998</v>
      </c>
      <c r="C2745" s="5" t="s">
        <v>14999</v>
      </c>
      <c r="D2745" s="5" t="s">
        <v>15000</v>
      </c>
      <c r="E2745" s="6" t="s">
        <v>74</v>
      </c>
      <c r="F2745" s="6" t="s">
        <v>15001</v>
      </c>
      <c r="G2745" s="3" t="str">
        <f>IFERROR(__xludf.DUMMYFUNCTION("REGEXREPLACE(
D2745,
""([一-龯々]+)\[([^\]]+)\]"",
""&lt;ruby&gt;$1&lt;rt&gt;$2&lt;/rt&gt;&lt;/ruby&gt;""
)&amp;""&lt;br&gt;&lt;div class=""""audio""""&gt;[sound:""&amp;C2745&amp;"".mp3]&lt;/div&gt;"""),"&lt;ruby&gt;余&lt;rt&gt;あま&lt;/rt&gt;&lt;/ruby&gt;り&lt;br&gt;&lt;div class=""audio""&gt;[sound:あまり.mp3]&lt;/div&gt;")</f>
        <v>&lt;ruby&gt;余&lt;rt&gt;あま&lt;/rt&gt;&lt;/ruby&gt;り&lt;br&gt;&lt;div class="audio"&gt;[sound:あまり.mp3]&lt;/div&gt;</v>
      </c>
      <c r="H2745" s="3" t="str">
        <f t="shared" si="1"/>
        <v>(n): dư thừa</v>
      </c>
      <c r="I2745" s="6" t="s">
        <v>15002</v>
      </c>
      <c r="J2745" s="6" t="s">
        <v>15003</v>
      </c>
      <c r="K2745" s="7">
        <f t="shared" si="2"/>
        <v>0.6553726102</v>
      </c>
    </row>
    <row r="2746">
      <c r="A2746" s="4">
        <v>2746.0</v>
      </c>
      <c r="B2746" s="5" t="s">
        <v>15004</v>
      </c>
      <c r="C2746" s="5" t="s">
        <v>15005</v>
      </c>
      <c r="D2746" s="5" t="s">
        <v>15006</v>
      </c>
      <c r="E2746" s="6" t="s">
        <v>74</v>
      </c>
      <c r="F2746" s="6" t="s">
        <v>15007</v>
      </c>
      <c r="G2746" s="3" t="str">
        <f>IFERROR(__xludf.DUMMYFUNCTION("REGEXREPLACE(
D2746,
""([一-龯々]+)\[([^\]]+)\]"",
""&lt;ruby&gt;$1&lt;rt&gt;$2&lt;/rt&gt;&lt;/ruby&gt;""
)&amp;""&lt;br&gt;&lt;div class=""""audio""""&gt;[sound:""&amp;C2746&amp;"".mp3]&lt;/div&gt;"""),"&lt;ruby&gt;倍&lt;rt&gt;ばい&lt;/rt&gt;&lt;/ruby&gt;&lt;br&gt;&lt;div class=""audio""&gt;[sound:ばい.mp3]&lt;/div&gt;")</f>
        <v>&lt;ruby&gt;倍&lt;rt&gt;ばい&lt;/rt&gt;&lt;/ruby&gt;&lt;br&gt;&lt;div class="audio"&gt;[sound:ばい.mp3]&lt;/div&gt;</v>
      </c>
      <c r="H2746" s="3" t="str">
        <f t="shared" si="1"/>
        <v>(n): gấp đôi</v>
      </c>
      <c r="I2746" s="6" t="s">
        <v>15008</v>
      </c>
      <c r="J2746" s="6" t="s">
        <v>15009</v>
      </c>
      <c r="K2746" s="7">
        <f t="shared" si="2"/>
        <v>0.2051707398</v>
      </c>
    </row>
    <row r="2747">
      <c r="A2747" s="4">
        <v>2747.0</v>
      </c>
      <c r="B2747" s="5" t="s">
        <v>15010</v>
      </c>
      <c r="C2747" s="5" t="s">
        <v>15011</v>
      </c>
      <c r="D2747" s="5" t="s">
        <v>15012</v>
      </c>
      <c r="E2747" s="6" t="s">
        <v>85</v>
      </c>
      <c r="F2747" s="6" t="s">
        <v>15013</v>
      </c>
      <c r="G2747" s="3" t="str">
        <f>IFERROR(__xludf.DUMMYFUNCTION("REGEXREPLACE(
D2747,
""([一-龯々]+)\[([^\]]+)\]"",
""&lt;ruby&gt;$1&lt;rt&gt;$2&lt;/rt&gt;&lt;/ruby&gt;""
)&amp;""&lt;br&gt;&lt;div class=""""audio""""&gt;[sound:""&amp;C2747&amp;"".mp3]&lt;/div&gt;"""),"&lt;ruby&gt;再&lt;rt&gt;ふたた&lt;/rt&gt;&lt;/ruby&gt;び&lt;br&gt;&lt;div class=""audio""&gt;[sound:ふたたび.mp3]&lt;/div&gt;")</f>
        <v>&lt;ruby&gt;再&lt;rt&gt;ふたた&lt;/rt&gt;&lt;/ruby&gt;び&lt;br&gt;&lt;div class="audio"&gt;[sound:ふたたび.mp3]&lt;/div&gt;</v>
      </c>
      <c r="H2747" s="3" t="str">
        <f t="shared" si="1"/>
        <v>(adv): lần nữa</v>
      </c>
      <c r="I2747" s="6" t="s">
        <v>15014</v>
      </c>
      <c r="J2747" s="6" t="s">
        <v>15015</v>
      </c>
      <c r="K2747" s="7">
        <f t="shared" si="2"/>
        <v>0.4375330009</v>
      </c>
    </row>
    <row r="2748">
      <c r="A2748" s="4">
        <v>2748.0</v>
      </c>
      <c r="B2748" s="5" t="s">
        <v>15016</v>
      </c>
      <c r="C2748" s="5" t="s">
        <v>15017</v>
      </c>
      <c r="D2748" s="5" t="s">
        <v>15018</v>
      </c>
      <c r="E2748" s="6" t="s">
        <v>24</v>
      </c>
      <c r="F2748" s="6" t="s">
        <v>11556</v>
      </c>
      <c r="G2748" s="3" t="str">
        <f>IFERROR(__xludf.DUMMYFUNCTION("REGEXREPLACE(
D2748,
""([一-龯々]+)\[([^\]]+)\]"",
""&lt;ruby&gt;$1&lt;rt&gt;$2&lt;/rt&gt;&lt;/ruby&gt;""
)&amp;""&lt;br&gt;&lt;div class=""""audio""""&gt;[sound:""&amp;C2748&amp;"".mp3]&lt;/div&gt;"""),"&lt;ruby&gt;助&lt;rt&gt;たす&lt;/rt&gt;&lt;/ruby&gt;ける&lt;br&gt;&lt;div class=""audio""&gt;[sound:たすける.mp3]&lt;/div&gt;")</f>
        <v>&lt;ruby&gt;助&lt;rt&gt;たす&lt;/rt&gt;&lt;/ruby&gt;ける&lt;br&gt;&lt;div class="audio"&gt;[sound:たすける.mp3]&lt;/div&gt;</v>
      </c>
      <c r="H2748" s="3" t="str">
        <f t="shared" si="1"/>
        <v>(v): giúp đỡ</v>
      </c>
      <c r="I2748" s="6" t="s">
        <v>15019</v>
      </c>
      <c r="J2748" s="6" t="s">
        <v>15020</v>
      </c>
      <c r="K2748" s="7">
        <f t="shared" si="2"/>
        <v>0.5038801091</v>
      </c>
    </row>
    <row r="2749">
      <c r="A2749" s="4">
        <v>2749.0</v>
      </c>
      <c r="B2749" s="5" t="s">
        <v>15021</v>
      </c>
      <c r="C2749" s="5" t="s">
        <v>15022</v>
      </c>
      <c r="D2749" s="5" t="s">
        <v>15023</v>
      </c>
      <c r="E2749" s="6" t="s">
        <v>74</v>
      </c>
      <c r="F2749" s="6" t="s">
        <v>6965</v>
      </c>
      <c r="G2749" s="3" t="str">
        <f>IFERROR(__xludf.DUMMYFUNCTION("REGEXREPLACE(
D2749,
""([一-龯々]+)\[([^\]]+)\]"",
""&lt;ruby&gt;$1&lt;rt&gt;$2&lt;/rt&gt;&lt;/ruby&gt;""
)&amp;""&lt;br&gt;&lt;div class=""""audio""""&gt;[sound:""&amp;C2749&amp;"".mp3]&lt;/div&gt;"""),"&lt;ruby&gt;構成&lt;rt&gt;こうせい&lt;/rt&gt;&lt;/ruby&gt;&lt;br&gt;&lt;div class=""audio""&gt;[sound:こうせい.mp3]&lt;/div&gt;")</f>
        <v>&lt;ruby&gt;構成&lt;rt&gt;こうせい&lt;/rt&gt;&lt;/ruby&gt;&lt;br&gt;&lt;div class="audio"&gt;[sound:こうせい.mp3]&lt;/div&gt;</v>
      </c>
      <c r="H2749" s="3" t="str">
        <f t="shared" si="1"/>
        <v>(n): cấu tạo</v>
      </c>
      <c r="I2749" s="6" t="s">
        <v>15024</v>
      </c>
      <c r="J2749" s="6" t="s">
        <v>15025</v>
      </c>
      <c r="K2749" s="7">
        <f t="shared" si="2"/>
        <v>0.8819537204</v>
      </c>
    </row>
    <row r="2750">
      <c r="A2750" s="4">
        <v>2750.0</v>
      </c>
      <c r="B2750" s="5" t="s">
        <v>15026</v>
      </c>
      <c r="C2750" s="5" t="s">
        <v>15027</v>
      </c>
      <c r="D2750" s="5" t="s">
        <v>15028</v>
      </c>
      <c r="E2750" s="6" t="s">
        <v>24</v>
      </c>
      <c r="F2750" s="6" t="s">
        <v>15029</v>
      </c>
      <c r="G2750" s="3" t="str">
        <f>IFERROR(__xludf.DUMMYFUNCTION("REGEXREPLACE(
D2750,
""([一-龯々]+)\[([^\]]+)\]"",
""&lt;ruby&gt;$1&lt;rt&gt;$2&lt;/rt&gt;&lt;/ruby&gt;""
)&amp;""&lt;br&gt;&lt;div class=""""audio""""&gt;[sound:""&amp;C2750&amp;"".mp3]&lt;/div&gt;"""),"&lt;ruby&gt;破&lt;rt&gt;やぶ&lt;/rt&gt;&lt;/ruby&gt;れる&lt;br&gt;&lt;div class=""audio""&gt;[sound:やぶれる.mp3]&lt;/div&gt;")</f>
        <v>&lt;ruby&gt;破&lt;rt&gt;やぶ&lt;/rt&gt;&lt;/ruby&gt;れる&lt;br&gt;&lt;div class="audio"&gt;[sound:やぶれる.mp3]&lt;/div&gt;</v>
      </c>
      <c r="H2750" s="3" t="str">
        <f t="shared" si="1"/>
        <v>(v): bị rách</v>
      </c>
      <c r="I2750" s="6" t="s">
        <v>15030</v>
      </c>
      <c r="J2750" s="6" t="s">
        <v>15031</v>
      </c>
      <c r="K2750" s="7">
        <f t="shared" si="2"/>
        <v>0.8931342305</v>
      </c>
    </row>
    <row r="2751">
      <c r="A2751" s="4">
        <v>2751.0</v>
      </c>
      <c r="B2751" s="5" t="s">
        <v>15032</v>
      </c>
      <c r="C2751" s="5" t="s">
        <v>15033</v>
      </c>
      <c r="D2751" s="5" t="s">
        <v>15034</v>
      </c>
      <c r="E2751" s="6" t="s">
        <v>58</v>
      </c>
      <c r="F2751" s="6" t="s">
        <v>15035</v>
      </c>
      <c r="G2751" s="3" t="str">
        <f>IFERROR(__xludf.DUMMYFUNCTION("REGEXREPLACE(
D2751,
""([一-龯々]+)\[([^\]]+)\]"",
""&lt;ruby&gt;$1&lt;rt&gt;$2&lt;/rt&gt;&lt;/ruby&gt;""
)&amp;""&lt;br&gt;&lt;div class=""""audio""""&gt;[sound:""&amp;C2751&amp;"".mp3]&lt;/div&gt;"""),"&lt;ruby&gt;六&lt;rt&gt;ろく&lt;/rt&gt;&lt;/ruby&gt;&lt;br&gt;&lt;div class=""audio""&gt;[sound:ろく.mp3]&lt;/div&gt;")</f>
        <v>&lt;ruby&gt;六&lt;rt&gt;ろく&lt;/rt&gt;&lt;/ruby&gt;&lt;br&gt;&lt;div class="audio"&gt;[sound:ろく.mp3]&lt;/div&gt;</v>
      </c>
      <c r="H2751" s="3" t="str">
        <f t="shared" si="1"/>
        <v>(num): số sáu</v>
      </c>
      <c r="I2751" s="6" t="s">
        <v>15036</v>
      </c>
      <c r="J2751" s="6" t="s">
        <v>15037</v>
      </c>
      <c r="K2751" s="7">
        <f t="shared" si="2"/>
        <v>0.9392287387</v>
      </c>
    </row>
    <row r="2752">
      <c r="A2752" s="4">
        <v>2752.0</v>
      </c>
      <c r="B2752" s="5" t="s">
        <v>15038</v>
      </c>
      <c r="C2752" s="5" t="s">
        <v>15039</v>
      </c>
      <c r="D2752" s="5" t="s">
        <v>15040</v>
      </c>
      <c r="E2752" s="6" t="s">
        <v>74</v>
      </c>
      <c r="F2752" s="6" t="s">
        <v>7416</v>
      </c>
      <c r="G2752" s="3" t="str">
        <f>IFERROR(__xludf.DUMMYFUNCTION("REGEXREPLACE(
D2752,
""([一-龯々]+)\[([^\]]+)\]"",
""&lt;ruby&gt;$1&lt;rt&gt;$2&lt;/rt&gt;&lt;/ruby&gt;""
)&amp;""&lt;br&gt;&lt;div class=""""audio""""&gt;[sound:""&amp;C2752&amp;"".mp3]&lt;/div&gt;"""),"&lt;ruby&gt;恐怖&lt;rt&gt;きょうふ&lt;/rt&gt;&lt;/ruby&gt;&lt;br&gt;&lt;div class=""audio""&gt;[sound:きょうふ.mp3]&lt;/div&gt;")</f>
        <v>&lt;ruby&gt;恐怖&lt;rt&gt;きょうふ&lt;/rt&gt;&lt;/ruby&gt;&lt;br&gt;&lt;div class="audio"&gt;[sound:きょうふ.mp3]&lt;/div&gt;</v>
      </c>
      <c r="H2752" s="3" t="str">
        <f t="shared" si="1"/>
        <v>(n): nỗi sợ</v>
      </c>
      <c r="I2752" s="6" t="s">
        <v>15041</v>
      </c>
      <c r="J2752" s="6" t="s">
        <v>15042</v>
      </c>
      <c r="K2752" s="7">
        <f t="shared" si="2"/>
        <v>0.6498254897</v>
      </c>
    </row>
    <row r="2753">
      <c r="A2753" s="4">
        <v>2753.0</v>
      </c>
      <c r="B2753" s="5" t="s">
        <v>15043</v>
      </c>
      <c r="C2753" s="5" t="s">
        <v>15044</v>
      </c>
      <c r="D2753" s="5" t="s">
        <v>15045</v>
      </c>
      <c r="E2753" s="6" t="s">
        <v>24</v>
      </c>
      <c r="F2753" s="6" t="s">
        <v>15046</v>
      </c>
      <c r="G2753" s="3" t="str">
        <f>IFERROR(__xludf.DUMMYFUNCTION("REGEXREPLACE(
D2753,
""([一-龯々]+)\[([^\]]+)\]"",
""&lt;ruby&gt;$1&lt;rt&gt;$2&lt;/rt&gt;&lt;/ruby&gt;""
)&amp;""&lt;br&gt;&lt;div class=""""audio""""&gt;[sound:""&amp;C2753&amp;"".mp3]&lt;/div&gt;"""),"&lt;ruby&gt;捕&lt;rt&gt;つか&lt;/rt&gt;&lt;/ruby&gt;まる&lt;br&gt;&lt;div class=""audio""&gt;[sound:つかまる.mp3]&lt;/div&gt;")</f>
        <v>&lt;ruby&gt;捕&lt;rt&gt;つか&lt;/rt&gt;&lt;/ruby&gt;まる&lt;br&gt;&lt;div class="audio"&gt;[sound:つかまる.mp3]&lt;/div&gt;</v>
      </c>
      <c r="H2753" s="3" t="str">
        <f t="shared" si="1"/>
        <v>(v): bị bắt</v>
      </c>
      <c r="I2753" s="6" t="s">
        <v>15047</v>
      </c>
      <c r="J2753" s="6" t="s">
        <v>15048</v>
      </c>
      <c r="K2753" s="7">
        <f t="shared" si="2"/>
        <v>0.3492290917</v>
      </c>
    </row>
    <row r="2754">
      <c r="A2754" s="4">
        <v>2754.0</v>
      </c>
      <c r="B2754" s="5" t="s">
        <v>15049</v>
      </c>
      <c r="C2754" s="5" t="s">
        <v>15050</v>
      </c>
      <c r="D2754" s="5" t="s">
        <v>15051</v>
      </c>
      <c r="E2754" s="6" t="s">
        <v>24</v>
      </c>
      <c r="F2754" s="6" t="s">
        <v>15052</v>
      </c>
      <c r="G2754" s="3" t="str">
        <f>IFERROR(__xludf.DUMMYFUNCTION("REGEXREPLACE(
D2754,
""([一-龯々]+)\[([^\]]+)\]"",
""&lt;ruby&gt;$1&lt;rt&gt;$2&lt;/rt&gt;&lt;/ruby&gt;""
)&amp;""&lt;br&gt;&lt;div class=""""audio""""&gt;[sound:""&amp;C2754&amp;"".mp3]&lt;/div&gt;"""),"&lt;ruby&gt;汚&lt;rt&gt;よご&lt;/rt&gt;&lt;/ruby&gt;れる&lt;br&gt;&lt;div class=""audio""&gt;[sound:よごれる.mp3]&lt;/div&gt;")</f>
        <v>&lt;ruby&gt;汚&lt;rt&gt;よご&lt;/rt&gt;&lt;/ruby&gt;れる&lt;br&gt;&lt;div class="audio"&gt;[sound:よごれる.mp3]&lt;/div&gt;</v>
      </c>
      <c r="H2754" s="3" t="str">
        <f t="shared" si="1"/>
        <v>(v): bị bẩn</v>
      </c>
      <c r="I2754" s="6" t="s">
        <v>15053</v>
      </c>
      <c r="J2754" s="6" t="s">
        <v>15054</v>
      </c>
      <c r="K2754" s="7">
        <f t="shared" si="2"/>
        <v>0.2212407378</v>
      </c>
    </row>
    <row r="2755">
      <c r="A2755" s="4">
        <v>2755.0</v>
      </c>
      <c r="B2755" s="5" t="s">
        <v>15055</v>
      </c>
      <c r="C2755" s="5" t="s">
        <v>1117</v>
      </c>
      <c r="D2755" s="5" t="s">
        <v>15056</v>
      </c>
      <c r="E2755" s="6" t="s">
        <v>24</v>
      </c>
      <c r="F2755" s="6" t="s">
        <v>15057</v>
      </c>
      <c r="G2755" s="3" t="str">
        <f>IFERROR(__xludf.DUMMYFUNCTION("REGEXREPLACE(
D2755,
""([一-龯々]+)\[([^\]]+)\]"",
""&lt;ruby&gt;$1&lt;rt&gt;$2&lt;/rt&gt;&lt;/ruby&gt;""
)&amp;""&lt;br&gt;&lt;div class=""""audio""""&gt;[sound:""&amp;C2755&amp;"".mp3]&lt;/div&gt;"""),"&lt;ruby&gt;離&lt;rt&gt;はな&lt;/rt&gt;&lt;/ruby&gt;す&lt;br&gt;&lt;div class=""audio""&gt;[sound:はなす.mp3]&lt;/div&gt;")</f>
        <v>&lt;ruby&gt;離&lt;rt&gt;はな&lt;/rt&gt;&lt;/ruby&gt;す&lt;br&gt;&lt;div class="audio"&gt;[sound:はなす.mp3]&lt;/div&gt;</v>
      </c>
      <c r="H2755" s="3" t="str">
        <f t="shared" si="1"/>
        <v>(v): rời xa</v>
      </c>
      <c r="I2755" s="6" t="s">
        <v>15058</v>
      </c>
      <c r="J2755" s="6" t="s">
        <v>15059</v>
      </c>
      <c r="K2755" s="7">
        <f t="shared" si="2"/>
        <v>0.5701495496</v>
      </c>
    </row>
    <row r="2756">
      <c r="A2756" s="4">
        <v>2756.0</v>
      </c>
      <c r="B2756" s="5" t="s">
        <v>15060</v>
      </c>
      <c r="C2756" s="5" t="s">
        <v>15061</v>
      </c>
      <c r="D2756" s="5" t="s">
        <v>15062</v>
      </c>
      <c r="E2756" s="6" t="s">
        <v>74</v>
      </c>
      <c r="F2756" s="6" t="s">
        <v>15063</v>
      </c>
      <c r="G2756" s="3" t="str">
        <f>IFERROR(__xludf.DUMMYFUNCTION("REGEXREPLACE(
D2756,
""([一-龯々]+)\[([^\]]+)\]"",
""&lt;ruby&gt;$1&lt;rt&gt;$2&lt;/rt&gt;&lt;/ruby&gt;""
)&amp;""&lt;br&gt;&lt;div class=""""audio""""&gt;[sound:""&amp;C2756&amp;"".mp3]&lt;/div&gt;"""),"&lt;ruby&gt;熱&lt;rt&gt;ねつ&lt;/rt&gt;&lt;/ruby&gt;&lt;br&gt;&lt;div class=""audio""&gt;[sound:ねつ.mp3]&lt;/div&gt;")</f>
        <v>&lt;ruby&gt;熱&lt;rt&gt;ねつ&lt;/rt&gt;&lt;/ruby&gt;&lt;br&gt;&lt;div class="audio"&gt;[sound:ねつ.mp3]&lt;/div&gt;</v>
      </c>
      <c r="H2756" s="3" t="str">
        <f t="shared" si="1"/>
        <v>(n): nhiệt</v>
      </c>
      <c r="I2756" s="6" t="s">
        <v>15064</v>
      </c>
      <c r="J2756" s="6" t="s">
        <v>15065</v>
      </c>
      <c r="K2756" s="7">
        <f t="shared" si="2"/>
        <v>0.8668263891</v>
      </c>
    </row>
    <row r="2757">
      <c r="A2757" s="4">
        <v>2757.0</v>
      </c>
      <c r="B2757" s="5" t="s">
        <v>15066</v>
      </c>
      <c r="C2757" s="5" t="s">
        <v>15067</v>
      </c>
      <c r="D2757" s="5" t="s">
        <v>15068</v>
      </c>
      <c r="E2757" s="6" t="s">
        <v>11</v>
      </c>
      <c r="F2757" s="6" t="s">
        <v>15069</v>
      </c>
      <c r="G2757" s="3" t="str">
        <f>IFERROR(__xludf.DUMMYFUNCTION("REGEXREPLACE(
D2757,
""([一-龯々]+)\[([^\]]+)\]"",
""&lt;ruby&gt;$1&lt;rt&gt;$2&lt;/rt&gt;&lt;/ruby&gt;""
)&amp;""&lt;br&gt;&lt;div class=""""audio""""&gt;[sound:""&amp;C2757&amp;"".mp3]&lt;/div&gt;"""),"&lt;ruby&gt;甘&lt;rt&gt;あま&lt;/rt&gt;&lt;/ruby&gt;い&lt;br&gt;&lt;div class=""audio""&gt;[sound:あまい.mp3]&lt;/div&gt;")</f>
        <v>&lt;ruby&gt;甘&lt;rt&gt;あま&lt;/rt&gt;&lt;/ruby&gt;い&lt;br&gt;&lt;div class="audio"&gt;[sound:あまい.mp3]&lt;/div&gt;</v>
      </c>
      <c r="H2757" s="3" t="str">
        <f t="shared" si="1"/>
        <v>(adj): ngọt</v>
      </c>
      <c r="I2757" s="6" t="s">
        <v>15070</v>
      </c>
      <c r="J2757" s="6" t="s">
        <v>15071</v>
      </c>
      <c r="K2757" s="7">
        <f t="shared" si="2"/>
        <v>0.9867770629</v>
      </c>
    </row>
    <row r="2758">
      <c r="A2758" s="4">
        <v>2758.0</v>
      </c>
      <c r="B2758" s="5" t="s">
        <v>15072</v>
      </c>
      <c r="C2758" s="5" t="s">
        <v>15073</v>
      </c>
      <c r="D2758" s="5" t="s">
        <v>15074</v>
      </c>
      <c r="E2758" s="6" t="s">
        <v>74</v>
      </c>
      <c r="F2758" s="6" t="s">
        <v>769</v>
      </c>
      <c r="G2758" s="3" t="str">
        <f>IFERROR(__xludf.DUMMYFUNCTION("REGEXREPLACE(
D2758,
""([一-龯々]+)\[([^\]]+)\]"",
""&lt;ruby&gt;$1&lt;rt&gt;$2&lt;/rt&gt;&lt;/ruby&gt;""
)&amp;""&lt;br&gt;&lt;div class=""""audio""""&gt;[sound:""&amp;C2758&amp;"".mp3]&lt;/div&gt;"""),"&lt;ruby&gt;到着&lt;rt&gt;とうちゃく&lt;/rt&gt;&lt;/ruby&gt;&lt;br&gt;&lt;div class=""audio""&gt;[sound:とうちゃく.mp3]&lt;/div&gt;")</f>
        <v>&lt;ruby&gt;到着&lt;rt&gt;とうちゃく&lt;/rt&gt;&lt;/ruby&gt;&lt;br&gt;&lt;div class="audio"&gt;[sound:とうちゃく.mp3]&lt;/div&gt;</v>
      </c>
      <c r="H2758" s="3" t="str">
        <f t="shared" si="1"/>
        <v>(n): đến</v>
      </c>
      <c r="I2758" s="6" t="s">
        <v>15075</v>
      </c>
      <c r="J2758" s="6" t="s">
        <v>15076</v>
      </c>
      <c r="K2758" s="7">
        <f t="shared" si="2"/>
        <v>0.6446098633</v>
      </c>
    </row>
    <row r="2759">
      <c r="A2759" s="4">
        <v>2759.0</v>
      </c>
      <c r="B2759" s="5" t="s">
        <v>15077</v>
      </c>
      <c r="C2759" s="5" t="s">
        <v>15078</v>
      </c>
      <c r="D2759" s="5" t="s">
        <v>15079</v>
      </c>
      <c r="E2759" s="6" t="s">
        <v>74</v>
      </c>
      <c r="F2759" s="6" t="s">
        <v>15080</v>
      </c>
      <c r="G2759" s="3" t="str">
        <f>IFERROR(__xludf.DUMMYFUNCTION("REGEXREPLACE(
D2759,
""([一-龯々]+)\[([^\]]+)\]"",
""&lt;ruby&gt;$1&lt;rt&gt;$2&lt;/rt&gt;&lt;/ruby&gt;""
)&amp;""&lt;br&gt;&lt;div class=""""audio""""&gt;[sound:""&amp;C2759&amp;"".mp3]&lt;/div&gt;"""),"&lt;ruby&gt;布団&lt;rt&gt;ふとん&lt;/rt&gt;&lt;/ruby&gt;&lt;br&gt;&lt;div class=""audio""&gt;[sound:ふとん.mp3]&lt;/div&gt;")</f>
        <v>&lt;ruby&gt;布団&lt;rt&gt;ふとん&lt;/rt&gt;&lt;/ruby&gt;&lt;br&gt;&lt;div class="audio"&gt;[sound:ふとん.mp3]&lt;/div&gt;</v>
      </c>
      <c r="H2759" s="3" t="str">
        <f t="shared" si="1"/>
        <v>(n): nệm</v>
      </c>
      <c r="I2759" s="6" t="s">
        <v>15081</v>
      </c>
      <c r="J2759" s="6" t="s">
        <v>15082</v>
      </c>
      <c r="K2759" s="7">
        <f t="shared" si="2"/>
        <v>0.5965579392</v>
      </c>
    </row>
    <row r="2760">
      <c r="A2760" s="4">
        <v>2760.0</v>
      </c>
      <c r="B2760" s="5" t="s">
        <v>15083</v>
      </c>
      <c r="C2760" s="5" t="s">
        <v>326</v>
      </c>
      <c r="D2760" s="5" t="s">
        <v>15084</v>
      </c>
      <c r="E2760" s="6" t="s">
        <v>74</v>
      </c>
      <c r="F2760" s="6" t="s">
        <v>15085</v>
      </c>
      <c r="G2760" s="3" t="str">
        <f>IFERROR(__xludf.DUMMYFUNCTION("REGEXREPLACE(
D2760,
""([一-龯々]+)\[([^\]]+)\]"",
""&lt;ruby&gt;$1&lt;rt&gt;$2&lt;/rt&gt;&lt;/ruby&gt;""
)&amp;""&lt;br&gt;&lt;div class=""""audio""""&gt;[sound:""&amp;C2760&amp;"".mp3]&lt;/div&gt;"""),"&lt;ruby&gt;底&lt;rt&gt;そこ&lt;/rt&gt;&lt;/ruby&gt;&lt;br&gt;&lt;div class=""audio""&gt;[sound:そこ.mp3]&lt;/div&gt;")</f>
        <v>&lt;ruby&gt;底&lt;rt&gt;そこ&lt;/rt&gt;&lt;/ruby&gt;&lt;br&gt;&lt;div class="audio"&gt;[sound:そこ.mp3]&lt;/div&gt;</v>
      </c>
      <c r="H2760" s="3" t="str">
        <f t="shared" si="1"/>
        <v>(n): đáy</v>
      </c>
      <c r="I2760" s="6" t="s">
        <v>15086</v>
      </c>
      <c r="J2760" s="6" t="s">
        <v>15087</v>
      </c>
      <c r="K2760" s="7">
        <f t="shared" si="2"/>
        <v>0.4504234874</v>
      </c>
    </row>
    <row r="2761">
      <c r="A2761" s="4">
        <v>2761.0</v>
      </c>
      <c r="B2761" s="5" t="s">
        <v>15088</v>
      </c>
      <c r="C2761" s="5" t="s">
        <v>15089</v>
      </c>
      <c r="D2761" s="5" t="s">
        <v>15090</v>
      </c>
      <c r="E2761" s="6" t="s">
        <v>24</v>
      </c>
      <c r="F2761" s="6" t="s">
        <v>15091</v>
      </c>
      <c r="G2761" s="3" t="str">
        <f>IFERROR(__xludf.DUMMYFUNCTION("REGEXREPLACE(
D2761,
""([一-龯々]+)\[([^\]]+)\]"",
""&lt;ruby&gt;$1&lt;rt&gt;$2&lt;/rt&gt;&lt;/ruby&gt;""
)&amp;""&lt;br&gt;&lt;div class=""""audio""""&gt;[sound:""&amp;C2761&amp;"".mp3]&lt;/div&gt;"""),"&lt;ruby&gt;足&lt;rt&gt;た&lt;/rt&gt;&lt;/ruby&gt;りる&lt;br&gt;&lt;div class=""audio""&gt;[sound:たりる.mp3]&lt;/div&gt;")</f>
        <v>&lt;ruby&gt;足&lt;rt&gt;た&lt;/rt&gt;&lt;/ruby&gt;りる&lt;br&gt;&lt;div class="audio"&gt;[sound:たりる.mp3]&lt;/div&gt;</v>
      </c>
      <c r="H2761" s="3" t="str">
        <f t="shared" si="1"/>
        <v>(v): đủ</v>
      </c>
      <c r="I2761" s="6" t="s">
        <v>15092</v>
      </c>
      <c r="J2761" s="6" t="s">
        <v>15093</v>
      </c>
      <c r="K2761" s="7">
        <f t="shared" si="2"/>
        <v>0.8834434178</v>
      </c>
    </row>
    <row r="2762">
      <c r="A2762" s="4">
        <v>2762.0</v>
      </c>
      <c r="B2762" s="5" t="s">
        <v>15094</v>
      </c>
      <c r="C2762" s="5" t="s">
        <v>15095</v>
      </c>
      <c r="D2762" s="5" t="s">
        <v>15096</v>
      </c>
      <c r="E2762" s="6" t="s">
        <v>74</v>
      </c>
      <c r="F2762" s="6" t="s">
        <v>6240</v>
      </c>
      <c r="G2762" s="3" t="str">
        <f>IFERROR(__xludf.DUMMYFUNCTION("REGEXREPLACE(
D2762,
""([一-龯々]+)\[([^\]]+)\]"",
""&lt;ruby&gt;$1&lt;rt&gt;$2&lt;/rt&gt;&lt;/ruby&gt;""
)&amp;""&lt;br&gt;&lt;div class=""""audio""""&gt;[sound:""&amp;C2762&amp;"".mp3]&lt;/div&gt;"""),"&lt;ruby&gt;具合&lt;rt&gt;ぐあい&lt;/rt&gt;&lt;/ruby&gt;&lt;br&gt;&lt;div class=""audio""&gt;[sound:ぐあい.mp3]&lt;/div&gt;")</f>
        <v>&lt;ruby&gt;具合&lt;rt&gt;ぐあい&lt;/rt&gt;&lt;/ruby&gt;&lt;br&gt;&lt;div class="audio"&gt;[sound:ぐあい.mp3]&lt;/div&gt;</v>
      </c>
      <c r="H2762" s="3" t="str">
        <f t="shared" si="1"/>
        <v>(n): tình trạng</v>
      </c>
      <c r="I2762" s="6" t="s">
        <v>15097</v>
      </c>
      <c r="J2762" s="6" t="s">
        <v>6242</v>
      </c>
      <c r="K2762" s="7">
        <f t="shared" si="2"/>
        <v>0.7047544176</v>
      </c>
    </row>
    <row r="2763">
      <c r="A2763" s="4">
        <v>2763.0</v>
      </c>
      <c r="B2763" s="5" t="s">
        <v>15098</v>
      </c>
      <c r="C2763" s="5" t="s">
        <v>15099</v>
      </c>
      <c r="D2763" s="5" t="s">
        <v>15100</v>
      </c>
      <c r="E2763" s="6" t="s">
        <v>11</v>
      </c>
      <c r="F2763" s="6" t="s">
        <v>13624</v>
      </c>
      <c r="G2763" s="3" t="str">
        <f>IFERROR(__xludf.DUMMYFUNCTION("REGEXREPLACE(
D2763,
""([一-龯々]+)\[([^\]]+)\]"",
""&lt;ruby&gt;$1&lt;rt&gt;$2&lt;/rt&gt;&lt;/ruby&gt;""
)&amp;""&lt;br&gt;&lt;div class=""""audio""""&gt;[sound:""&amp;C2763&amp;"".mp3]&lt;/div&gt;"""),"&lt;ruby&gt;迷惑&lt;rt&gt;めいわく&lt;/rt&gt;&lt;/ruby&gt;&lt;br&gt;&lt;div class=""audio""&gt;[sound:めいわく.mp3]&lt;/div&gt;")</f>
        <v>&lt;ruby&gt;迷惑&lt;rt&gt;めいわく&lt;/rt&gt;&lt;/ruby&gt;&lt;br&gt;&lt;div class="audio"&gt;[sound:めいわく.mp3]&lt;/div&gt;</v>
      </c>
      <c r="H2763" s="3" t="str">
        <f t="shared" si="1"/>
        <v>(adj): phiền phức</v>
      </c>
      <c r="I2763" s="6" t="s">
        <v>15101</v>
      </c>
      <c r="J2763" s="6" t="s">
        <v>15102</v>
      </c>
      <c r="K2763" s="7">
        <f t="shared" si="2"/>
        <v>0.5831334473</v>
      </c>
    </row>
    <row r="2764">
      <c r="A2764" s="4">
        <v>2764.0</v>
      </c>
      <c r="B2764" s="5" t="s">
        <v>15103</v>
      </c>
      <c r="C2764" s="5" t="s">
        <v>15104</v>
      </c>
      <c r="D2764" s="5" t="s">
        <v>15105</v>
      </c>
      <c r="E2764" s="6" t="s">
        <v>74</v>
      </c>
      <c r="F2764" s="6" t="s">
        <v>15106</v>
      </c>
      <c r="G2764" s="3" t="str">
        <f>IFERROR(__xludf.DUMMYFUNCTION("REGEXREPLACE(
D2764,
""([一-龯々]+)\[([^\]]+)\]"",
""&lt;ruby&gt;$1&lt;rt&gt;$2&lt;/rt&gt;&lt;/ruby&gt;""
)&amp;""&lt;br&gt;&lt;div class=""""audio""""&gt;[sound:""&amp;C2764&amp;"".mp3]&lt;/div&gt;"""),"&lt;ruby&gt;年中&lt;rt&gt;ねんじゅう&lt;/rt&gt;&lt;/ruby&gt;&lt;br&gt;&lt;div class=""audio""&gt;[sound:ねんじゅう.mp3]&lt;/div&gt;")</f>
        <v>&lt;ruby&gt;年中&lt;rt&gt;ねんじゅう&lt;/rt&gt;&lt;/ruby&gt;&lt;br&gt;&lt;div class="audio"&gt;[sound:ねんじゅう.mp3]&lt;/div&gt;</v>
      </c>
      <c r="H2764" s="3" t="str">
        <f t="shared" si="1"/>
        <v>(n): quanh năm</v>
      </c>
      <c r="I2764" s="6" t="s">
        <v>15107</v>
      </c>
      <c r="J2764" s="6" t="s">
        <v>15108</v>
      </c>
      <c r="K2764" s="7">
        <f t="shared" si="2"/>
        <v>0.3350408562</v>
      </c>
    </row>
    <row r="2765">
      <c r="A2765" s="4">
        <v>2765.0</v>
      </c>
      <c r="B2765" s="5" t="s">
        <v>15109</v>
      </c>
      <c r="C2765" s="5" t="s">
        <v>15110</v>
      </c>
      <c r="D2765" s="5" t="s">
        <v>15111</v>
      </c>
      <c r="E2765" s="6" t="s">
        <v>74</v>
      </c>
      <c r="F2765" s="6" t="s">
        <v>15112</v>
      </c>
      <c r="G2765" s="3" t="str">
        <f>IFERROR(__xludf.DUMMYFUNCTION("REGEXREPLACE(
D2765,
""([一-龯々]+)\[([^\]]+)\]"",
""&lt;ruby&gt;$1&lt;rt&gt;$2&lt;/rt&gt;&lt;/ruby&gt;""
)&amp;""&lt;br&gt;&lt;div class=""""audio""""&gt;[sound:""&amp;C2765&amp;"".mp3]&lt;/div&gt;"""),"&lt;ruby&gt;看板&lt;rt&gt;かんばん&lt;/rt&gt;&lt;/ruby&gt;&lt;br&gt;&lt;div class=""audio""&gt;[sound:かんばん.mp3]&lt;/div&gt;")</f>
        <v>&lt;ruby&gt;看板&lt;rt&gt;かんばん&lt;/rt&gt;&lt;/ruby&gt;&lt;br&gt;&lt;div class="audio"&gt;[sound:かんばん.mp3]&lt;/div&gt;</v>
      </c>
      <c r="H2765" s="3" t="str">
        <f t="shared" si="1"/>
        <v>(n): bảng hiệu</v>
      </c>
      <c r="I2765" s="6" t="s">
        <v>15113</v>
      </c>
      <c r="J2765" s="6" t="s">
        <v>15114</v>
      </c>
      <c r="K2765" s="7">
        <f t="shared" si="2"/>
        <v>0.2819141572</v>
      </c>
    </row>
    <row r="2766">
      <c r="A2766" s="4">
        <v>2766.0</v>
      </c>
      <c r="B2766" s="5" t="s">
        <v>15115</v>
      </c>
      <c r="C2766" s="5" t="s">
        <v>8274</v>
      </c>
      <c r="D2766" s="5" t="s">
        <v>15116</v>
      </c>
      <c r="E2766" s="6" t="s">
        <v>24</v>
      </c>
      <c r="F2766" s="6" t="s">
        <v>15117</v>
      </c>
      <c r="G2766" s="3" t="str">
        <f>IFERROR(__xludf.DUMMYFUNCTION("REGEXREPLACE(
D2766,
""([一-龯々]+)\[([^\]]+)\]"",
""&lt;ruby&gt;$1&lt;rt&gt;$2&lt;/rt&gt;&lt;/ruby&gt;""
)&amp;""&lt;br&gt;&lt;div class=""""audio""""&gt;[sound:""&amp;C2766&amp;"".mp3]&lt;/div&gt;"""),"&lt;ruby&gt;分&lt;rt&gt;わ&lt;/rt&gt;&lt;/ruby&gt;かれる&lt;br&gt;&lt;div class=""audio""&gt;[sound:わかれる.mp3]&lt;/div&gt;")</f>
        <v>&lt;ruby&gt;分&lt;rt&gt;わ&lt;/rt&gt;&lt;/ruby&gt;かれる&lt;br&gt;&lt;div class="audio"&gt;[sound:わかれる.mp3]&lt;/div&gt;</v>
      </c>
      <c r="H2766" s="3" t="str">
        <f t="shared" si="1"/>
        <v>(v): chia ra</v>
      </c>
      <c r="I2766" s="6" t="s">
        <v>15118</v>
      </c>
      <c r="J2766" s="6" t="s">
        <v>15119</v>
      </c>
      <c r="K2766" s="7">
        <f t="shared" si="2"/>
        <v>0.5035617181</v>
      </c>
    </row>
    <row r="2767">
      <c r="A2767" s="4">
        <v>2767.0</v>
      </c>
      <c r="B2767" s="5" t="s">
        <v>15120</v>
      </c>
      <c r="C2767" s="5" t="s">
        <v>15121</v>
      </c>
      <c r="D2767" s="5" t="s">
        <v>15122</v>
      </c>
      <c r="E2767" s="6" t="s">
        <v>11</v>
      </c>
      <c r="F2767" s="6" t="s">
        <v>15123</v>
      </c>
      <c r="G2767" s="3" t="str">
        <f>IFERROR(__xludf.DUMMYFUNCTION("REGEXREPLACE(
D2767,
""([一-龯々]+)\[([^\]]+)\]"",
""&lt;ruby&gt;$1&lt;rt&gt;$2&lt;/rt&gt;&lt;/ruby&gt;""
)&amp;""&lt;br&gt;&lt;div class=""""audio""""&gt;[sound:""&amp;C2767&amp;"".mp3]&lt;/div&gt;"""),"&lt;ruby&gt;具体&lt;rt&gt;ぐたい&lt;/rt&gt;&lt;/ruby&gt;&lt;br&gt;&lt;div class=""audio""&gt;[sound:ぐたい.mp3]&lt;/div&gt;")</f>
        <v>&lt;ruby&gt;具体&lt;rt&gt;ぐたい&lt;/rt&gt;&lt;/ruby&gt;&lt;br&gt;&lt;div class="audio"&gt;[sound:ぐたい.mp3]&lt;/div&gt;</v>
      </c>
      <c r="H2767" s="3" t="str">
        <f t="shared" si="1"/>
        <v>(adj): cụ thể</v>
      </c>
      <c r="I2767" s="6" t="s">
        <v>15124</v>
      </c>
      <c r="J2767" s="6" t="s">
        <v>15125</v>
      </c>
      <c r="K2767" s="7">
        <f t="shared" si="2"/>
        <v>0.9906133433</v>
      </c>
    </row>
    <row r="2768">
      <c r="A2768" s="4">
        <v>2768.0</v>
      </c>
      <c r="B2768" s="5" t="s">
        <v>15126</v>
      </c>
      <c r="C2768" s="5" t="s">
        <v>15127</v>
      </c>
      <c r="D2768" s="5" t="s">
        <v>15128</v>
      </c>
      <c r="E2768" s="6" t="s">
        <v>11</v>
      </c>
      <c r="F2768" s="6" t="s">
        <v>15129</v>
      </c>
      <c r="G2768" s="3" t="str">
        <f>IFERROR(__xludf.DUMMYFUNCTION("REGEXREPLACE(
D2768,
""([一-龯々]+)\[([^\]]+)\]"",
""&lt;ruby&gt;$1&lt;rt&gt;$2&lt;/rt&gt;&lt;/ruby&gt;""
)&amp;""&lt;br&gt;&lt;div class=""""audio""""&gt;[sound:""&amp;C2768&amp;"".mp3]&lt;/div&gt;"""),"&lt;ruby&gt;激&lt;rt&gt;はげ&lt;/rt&gt;&lt;/ruby&gt;しい&lt;br&gt;&lt;div class=""audio""&gt;[sound:はげしい.mp3]&lt;/div&gt;")</f>
        <v>&lt;ruby&gt;激&lt;rt&gt;はげ&lt;/rt&gt;&lt;/ruby&gt;しい&lt;br&gt;&lt;div class="audio"&gt;[sound:はげしい.mp3]&lt;/div&gt;</v>
      </c>
      <c r="H2768" s="3" t="str">
        <f t="shared" si="1"/>
        <v>(adj): dữ dội</v>
      </c>
      <c r="I2768" s="6" t="s">
        <v>15130</v>
      </c>
      <c r="J2768" s="6" t="s">
        <v>15131</v>
      </c>
      <c r="K2768" s="7">
        <f t="shared" si="2"/>
        <v>0.7438540993</v>
      </c>
    </row>
    <row r="2769">
      <c r="A2769" s="4">
        <v>2769.0</v>
      </c>
      <c r="B2769" s="5" t="s">
        <v>15132</v>
      </c>
      <c r="C2769" s="5" t="s">
        <v>15133</v>
      </c>
      <c r="D2769" s="5" t="s">
        <v>15134</v>
      </c>
      <c r="E2769" s="6" t="s">
        <v>74</v>
      </c>
      <c r="F2769" s="6" t="s">
        <v>15135</v>
      </c>
      <c r="G2769" s="3" t="str">
        <f>IFERROR(__xludf.DUMMYFUNCTION("REGEXREPLACE(
D2769,
""([一-龯々]+)\[([^\]]+)\]"",
""&lt;ruby&gt;$1&lt;rt&gt;$2&lt;/rt&gt;&lt;/ruby&gt;""
)&amp;""&lt;br&gt;&lt;div class=""""audio""""&gt;[sound:""&amp;C2769&amp;"".mp3]&lt;/div&gt;"""),"&lt;ruby&gt;答&lt;rt&gt;こたえ&lt;/rt&gt;&lt;/ruby&gt;&lt;br&gt;&lt;div class=""audio""&gt;[sound:こたえ.mp3]&lt;/div&gt;")</f>
        <v>&lt;ruby&gt;答&lt;rt&gt;こたえ&lt;/rt&gt;&lt;/ruby&gt;&lt;br&gt;&lt;div class="audio"&gt;[sound:こたえ.mp3]&lt;/div&gt;</v>
      </c>
      <c r="H2769" s="3" t="str">
        <f t="shared" si="1"/>
        <v>(n): đáp án</v>
      </c>
      <c r="I2769" s="6" t="s">
        <v>15136</v>
      </c>
      <c r="J2769" s="6" t="s">
        <v>15137</v>
      </c>
      <c r="K2769" s="7">
        <f t="shared" si="2"/>
        <v>0.9142278147</v>
      </c>
    </row>
    <row r="2770">
      <c r="A2770" s="4">
        <v>2770.0</v>
      </c>
      <c r="B2770" s="5" t="s">
        <v>15138</v>
      </c>
      <c r="C2770" s="5" t="s">
        <v>15139</v>
      </c>
      <c r="D2770" s="5" t="s">
        <v>15140</v>
      </c>
      <c r="E2770" s="6" t="s">
        <v>74</v>
      </c>
      <c r="F2770" s="6" t="s">
        <v>1250</v>
      </c>
      <c r="G2770" s="3" t="str">
        <f>IFERROR(__xludf.DUMMYFUNCTION("REGEXREPLACE(
D2770,
""([一-龯々]+)\[([^\]]+)\]"",
""&lt;ruby&gt;$1&lt;rt&gt;$2&lt;/rt&gt;&lt;/ruby&gt;""
)&amp;""&lt;br&gt;&lt;div class=""""audio""""&gt;[sound:""&amp;C2770&amp;"".mp3]&lt;/div&gt;"""),"&lt;ruby&gt;地点&lt;rt&gt;ちてん&lt;/rt&gt;&lt;/ruby&gt;&lt;br&gt;&lt;div class=""audio""&gt;[sound:ちてん.mp3]&lt;/div&gt;")</f>
        <v>&lt;ruby&gt;地点&lt;rt&gt;ちてん&lt;/rt&gt;&lt;/ruby&gt;&lt;br&gt;&lt;div class="audio"&gt;[sound:ちてん.mp3]&lt;/div&gt;</v>
      </c>
      <c r="H2770" s="3" t="str">
        <f t="shared" si="1"/>
        <v>(n): điểm</v>
      </c>
      <c r="I2770" s="6" t="s">
        <v>15141</v>
      </c>
      <c r="J2770" s="6" t="s">
        <v>15142</v>
      </c>
      <c r="K2770" s="7">
        <f t="shared" si="2"/>
        <v>0.7811003632</v>
      </c>
    </row>
    <row r="2771">
      <c r="A2771" s="4">
        <v>2771.0</v>
      </c>
      <c r="B2771" s="5" t="s">
        <v>15143</v>
      </c>
      <c r="C2771" s="5" t="s">
        <v>15144</v>
      </c>
      <c r="D2771" s="5" t="s">
        <v>15145</v>
      </c>
      <c r="E2771" s="6" t="s">
        <v>24</v>
      </c>
      <c r="F2771" s="6" t="s">
        <v>178</v>
      </c>
      <c r="G2771" s="3" t="str">
        <f>IFERROR(__xludf.DUMMYFUNCTION("REGEXREPLACE(
D2771,
""([一-龯々]+)\[([^\]]+)\]"",
""&lt;ruby&gt;$1&lt;rt&gt;$2&lt;/rt&gt;&lt;/ruby&gt;""
)&amp;""&lt;br&gt;&lt;div class=""""audio""""&gt;[sound:""&amp;C2771&amp;"".mp3]&lt;/div&gt;"""),"&lt;ruby&gt;存&lt;rt&gt;ぞん&lt;/rt&gt;&lt;/ruby&gt;じる&lt;br&gt;&lt;div class=""audio""&gt;[sound:ぞんじる.mp3]&lt;/div&gt;")</f>
        <v>&lt;ruby&gt;存&lt;rt&gt;ぞん&lt;/rt&gt;&lt;/ruby&gt;じる&lt;br&gt;&lt;div class="audio"&gt;[sound:ぞんじる.mp3]&lt;/div&gt;</v>
      </c>
      <c r="H2771" s="3" t="str">
        <f t="shared" si="1"/>
        <v>(v): biết</v>
      </c>
      <c r="I2771" s="6" t="s">
        <v>15146</v>
      </c>
      <c r="J2771" s="6" t="s">
        <v>15147</v>
      </c>
      <c r="K2771" s="7">
        <f t="shared" si="2"/>
        <v>0.9685751138</v>
      </c>
    </row>
    <row r="2772">
      <c r="A2772" s="4">
        <v>2772.0</v>
      </c>
      <c r="B2772" s="5" t="s">
        <v>15148</v>
      </c>
      <c r="C2772" s="5" t="s">
        <v>9177</v>
      </c>
      <c r="D2772" s="5" t="s">
        <v>15149</v>
      </c>
      <c r="E2772" s="6" t="s">
        <v>24</v>
      </c>
      <c r="F2772" s="6" t="s">
        <v>15150</v>
      </c>
      <c r="G2772" s="3" t="str">
        <f>IFERROR(__xludf.DUMMYFUNCTION("REGEXREPLACE(
D2772,
""([一-龯々]+)\[([^\]]+)\]"",
""&lt;ruby&gt;$1&lt;rt&gt;$2&lt;/rt&gt;&lt;/ruby&gt;""
)&amp;""&lt;br&gt;&lt;div class=""""audio""""&gt;[sound:""&amp;C2772&amp;"".mp3]&lt;/div&gt;"""),"&lt;ruby&gt;訪&lt;rt&gt;たず&lt;/rt&gt;&lt;/ruby&gt;ねる&lt;br&gt;&lt;div class=""audio""&gt;[sound:たずねる.mp3]&lt;/div&gt;")</f>
        <v>&lt;ruby&gt;訪&lt;rt&gt;たず&lt;/rt&gt;&lt;/ruby&gt;ねる&lt;br&gt;&lt;div class="audio"&gt;[sound:たずねる.mp3]&lt;/div&gt;</v>
      </c>
      <c r="H2772" s="3" t="str">
        <f t="shared" si="1"/>
        <v>(v): thăm</v>
      </c>
      <c r="I2772" s="6" t="s">
        <v>15151</v>
      </c>
      <c r="J2772" s="6" t="s">
        <v>15152</v>
      </c>
      <c r="K2772" s="7">
        <f t="shared" si="2"/>
        <v>0.8915345767</v>
      </c>
    </row>
    <row r="2773">
      <c r="A2773" s="4">
        <v>2773.0</v>
      </c>
      <c r="B2773" s="5" t="s">
        <v>15153</v>
      </c>
      <c r="C2773" s="5" t="s">
        <v>15154</v>
      </c>
      <c r="D2773" s="5" t="s">
        <v>15155</v>
      </c>
      <c r="E2773" s="6" t="s">
        <v>24</v>
      </c>
      <c r="F2773" s="6" t="s">
        <v>7056</v>
      </c>
      <c r="G2773" s="3" t="str">
        <f>IFERROR(__xludf.DUMMYFUNCTION("REGEXREPLACE(
D2773,
""([一-龯々]+)\[([^\]]+)\]"",
""&lt;ruby&gt;$1&lt;rt&gt;$2&lt;/rt&gt;&lt;/ruby&gt;""
)&amp;""&lt;br&gt;&lt;div class=""""audio""""&gt;[sound:""&amp;C2773&amp;"".mp3]&lt;/div&gt;"""),"&lt;ruby&gt;踊&lt;rt&gt;おど&lt;/rt&gt;&lt;/ruby&gt;る&lt;br&gt;&lt;div class=""audio""&gt;[sound:おどる.mp3]&lt;/div&gt;")</f>
        <v>&lt;ruby&gt;踊&lt;rt&gt;おど&lt;/rt&gt;&lt;/ruby&gt;る&lt;br&gt;&lt;div class="audio"&gt;[sound:おどる.mp3]&lt;/div&gt;</v>
      </c>
      <c r="H2773" s="3" t="str">
        <f t="shared" si="1"/>
        <v>(v): nhảy</v>
      </c>
      <c r="I2773" s="6" t="s">
        <v>15156</v>
      </c>
      <c r="J2773" s="6" t="s">
        <v>15157</v>
      </c>
      <c r="K2773" s="7">
        <f t="shared" si="2"/>
        <v>0.25308694</v>
      </c>
    </row>
    <row r="2774">
      <c r="A2774" s="4">
        <v>2774.0</v>
      </c>
      <c r="B2774" s="5" t="s">
        <v>15158</v>
      </c>
      <c r="C2774" s="5" t="s">
        <v>15159</v>
      </c>
      <c r="D2774" s="5" t="s">
        <v>15160</v>
      </c>
      <c r="E2774" s="6" t="s">
        <v>74</v>
      </c>
      <c r="F2774" s="6" t="s">
        <v>12078</v>
      </c>
      <c r="G2774" s="3" t="str">
        <f>IFERROR(__xludf.DUMMYFUNCTION("REGEXREPLACE(
D2774,
""([一-龯々]+)\[([^\]]+)\]"",
""&lt;ruby&gt;$1&lt;rt&gt;$2&lt;/rt&gt;&lt;/ruby&gt;""
)&amp;""&lt;br&gt;&lt;div class=""""audio""""&gt;[sound:""&amp;C2774&amp;"".mp3]&lt;/div&gt;"""),"&lt;ruby&gt;招待&lt;rt&gt;しょうたい&lt;/rt&gt;&lt;/ruby&gt;&lt;br&gt;&lt;div class=""audio""&gt;[sound:しょうたい.mp3]&lt;/div&gt;")</f>
        <v>&lt;ruby&gt;招待&lt;rt&gt;しょうたい&lt;/rt&gt;&lt;/ruby&gt;&lt;br&gt;&lt;div class="audio"&gt;[sound:しょうたい.mp3]&lt;/div&gt;</v>
      </c>
      <c r="H2774" s="3" t="str">
        <f t="shared" si="1"/>
        <v>(n): mời</v>
      </c>
      <c r="I2774" s="6" t="s">
        <v>15161</v>
      </c>
      <c r="J2774" s="6" t="s">
        <v>15162</v>
      </c>
      <c r="K2774" s="7">
        <f t="shared" si="2"/>
        <v>0.5981378392</v>
      </c>
    </row>
    <row r="2775">
      <c r="A2775" s="4">
        <v>2775.0</v>
      </c>
      <c r="B2775" s="5" t="s">
        <v>15163</v>
      </c>
      <c r="C2775" s="5" t="s">
        <v>15164</v>
      </c>
      <c r="D2775" s="5" t="s">
        <v>15165</v>
      </c>
      <c r="E2775" s="6" t="s">
        <v>74</v>
      </c>
      <c r="F2775" s="6" t="s">
        <v>15166</v>
      </c>
      <c r="G2775" s="3" t="str">
        <f>IFERROR(__xludf.DUMMYFUNCTION("REGEXREPLACE(
D2775,
""([一-龯々]+)\[([^\]]+)\]"",
""&lt;ruby&gt;$1&lt;rt&gt;$2&lt;/rt&gt;&lt;/ruby&gt;""
)&amp;""&lt;br&gt;&lt;div class=""""audio""""&gt;[sound:""&amp;C2775&amp;"".mp3]&lt;/div&gt;"""),"&lt;ruby&gt;油&lt;rt&gt;あぶら&lt;/rt&gt;&lt;/ruby&gt;&lt;br&gt;&lt;div class=""audio""&gt;[sound:あぶら.mp3]&lt;/div&gt;")</f>
        <v>&lt;ruby&gt;油&lt;rt&gt;あぶら&lt;/rt&gt;&lt;/ruby&gt;&lt;br&gt;&lt;div class="audio"&gt;[sound:あぶら.mp3]&lt;/div&gt;</v>
      </c>
      <c r="H2775" s="3" t="str">
        <f t="shared" si="1"/>
        <v>(n): dầu</v>
      </c>
      <c r="I2775" s="6" t="s">
        <v>15167</v>
      </c>
      <c r="J2775" s="6" t="s">
        <v>15168</v>
      </c>
      <c r="K2775" s="7">
        <f t="shared" si="2"/>
        <v>0.7019116263</v>
      </c>
    </row>
    <row r="2776">
      <c r="A2776" s="4">
        <v>2776.0</v>
      </c>
      <c r="B2776" s="5" t="s">
        <v>15169</v>
      </c>
      <c r="C2776" s="5" t="s">
        <v>15170</v>
      </c>
      <c r="D2776" s="5" t="s">
        <v>15171</v>
      </c>
      <c r="E2776" s="6" t="s">
        <v>74</v>
      </c>
      <c r="F2776" s="6" t="s">
        <v>15172</v>
      </c>
      <c r="G2776" s="3" t="str">
        <f>IFERROR(__xludf.DUMMYFUNCTION("REGEXREPLACE(
D2776,
""([一-龯々]+)\[([^\]]+)\]"",
""&lt;ruby&gt;$1&lt;rt&gt;$2&lt;/rt&gt;&lt;/ruby&gt;""
)&amp;""&lt;br&gt;&lt;div class=""""audio""""&gt;[sound:""&amp;C2776&amp;"".mp3]&lt;/div&gt;"""),"&lt;ruby&gt;銀&lt;rt&gt;ぎん&lt;/rt&gt;&lt;/ruby&gt;&lt;br&gt;&lt;div class=""audio""&gt;[sound:ぎん.mp3]&lt;/div&gt;")</f>
        <v>&lt;ruby&gt;銀&lt;rt&gt;ぎん&lt;/rt&gt;&lt;/ruby&gt;&lt;br&gt;&lt;div class="audio"&gt;[sound:ぎん.mp3]&lt;/div&gt;</v>
      </c>
      <c r="H2776" s="3" t="str">
        <f t="shared" si="1"/>
        <v>(n): bạc</v>
      </c>
      <c r="I2776" s="6" t="s">
        <v>15173</v>
      </c>
      <c r="J2776" s="6" t="s">
        <v>15174</v>
      </c>
      <c r="K2776" s="7">
        <f t="shared" si="2"/>
        <v>0.2783530124</v>
      </c>
    </row>
    <row r="2777">
      <c r="A2777" s="4">
        <v>2777.0</v>
      </c>
      <c r="B2777" s="5" t="s">
        <v>15175</v>
      </c>
      <c r="C2777" s="5" t="s">
        <v>15176</v>
      </c>
      <c r="D2777" s="5" t="s">
        <v>15177</v>
      </c>
      <c r="E2777" s="6" t="s">
        <v>74</v>
      </c>
      <c r="F2777" s="6" t="s">
        <v>15178</v>
      </c>
      <c r="G2777" s="3" t="str">
        <f>IFERROR(__xludf.DUMMYFUNCTION("REGEXREPLACE(
D2777,
""([一-龯々]+)\[([^\]]+)\]"",
""&lt;ruby&gt;$1&lt;rt&gt;$2&lt;/rt&gt;&lt;/ruby&gt;""
)&amp;""&lt;br&gt;&lt;div class=""""audio""""&gt;[sound:""&amp;C2777&amp;"".mp3]&lt;/div&gt;"""),"&lt;ruby&gt;腰&lt;rt&gt;こし&lt;/rt&gt;&lt;/ruby&gt;&lt;br&gt;&lt;div class=""audio""&gt;[sound:こし.mp3]&lt;/div&gt;")</f>
        <v>&lt;ruby&gt;腰&lt;rt&gt;こし&lt;/rt&gt;&lt;/ruby&gt;&lt;br&gt;&lt;div class="audio"&gt;[sound:こし.mp3]&lt;/div&gt;</v>
      </c>
      <c r="H2777" s="3" t="str">
        <f t="shared" si="1"/>
        <v>(n): eo</v>
      </c>
      <c r="I2777" s="6" t="s">
        <v>15179</v>
      </c>
      <c r="J2777" s="6" t="s">
        <v>15180</v>
      </c>
      <c r="K2777" s="7">
        <f t="shared" si="2"/>
        <v>0.7352735533</v>
      </c>
    </row>
    <row r="2778">
      <c r="A2778" s="4">
        <v>2778.0</v>
      </c>
      <c r="B2778" s="5" t="s">
        <v>15181</v>
      </c>
      <c r="C2778" s="5" t="s">
        <v>15182</v>
      </c>
      <c r="D2778" s="5" t="s">
        <v>15183</v>
      </c>
      <c r="E2778" s="6" t="s">
        <v>74</v>
      </c>
      <c r="F2778" s="6" t="s">
        <v>15184</v>
      </c>
      <c r="G2778" s="3" t="str">
        <f>IFERROR(__xludf.DUMMYFUNCTION("REGEXREPLACE(
D2778,
""([一-龯々]+)\[([^\]]+)\]"",
""&lt;ruby&gt;$1&lt;rt&gt;$2&lt;/rt&gt;&lt;/ruby&gt;""
)&amp;""&lt;br&gt;&lt;div class=""""audio""""&gt;[sound:""&amp;C2778&amp;"".mp3]&lt;/div&gt;"""),"&lt;ruby&gt;知合&lt;rt&gt;しりあ&lt;/rt&gt;&lt;/ruby&gt;い&lt;br&gt;&lt;div class=""audio""&gt;[sound:しりあい.mp3]&lt;/div&gt;")</f>
        <v>&lt;ruby&gt;知合&lt;rt&gt;しりあ&lt;/rt&gt;&lt;/ruby&gt;い&lt;br&gt;&lt;div class="audio"&gt;[sound:しりあい.mp3]&lt;/div&gt;</v>
      </c>
      <c r="H2778" s="3" t="str">
        <f t="shared" si="1"/>
        <v>(n): người quen</v>
      </c>
      <c r="I2778" s="6" t="s">
        <v>15185</v>
      </c>
      <c r="J2778" s="6" t="s">
        <v>15186</v>
      </c>
      <c r="K2778" s="7">
        <f t="shared" si="2"/>
        <v>0.6760111615</v>
      </c>
    </row>
    <row r="2779">
      <c r="A2779" s="4">
        <v>2779.0</v>
      </c>
      <c r="B2779" s="5" t="s">
        <v>15187</v>
      </c>
      <c r="C2779" s="5" t="s">
        <v>15188</v>
      </c>
      <c r="D2779" s="5" t="s">
        <v>15189</v>
      </c>
      <c r="E2779" s="6" t="s">
        <v>74</v>
      </c>
      <c r="F2779" s="6" t="s">
        <v>807</v>
      </c>
      <c r="G2779" s="3" t="str">
        <f>IFERROR(__xludf.DUMMYFUNCTION("REGEXREPLACE(
D2779,
""([一-龯々]+)\[([^\]]+)\]"",
""&lt;ruby&gt;$1&lt;rt&gt;$2&lt;/rt&gt;&lt;/ruby&gt;""
)&amp;""&lt;br&gt;&lt;div class=""""audio""""&gt;[sound:""&amp;C2779&amp;"".mp3]&lt;/div&gt;"""),"&lt;ruby&gt;外部&lt;rt&gt;がいぶ&lt;/rt&gt;&lt;/ruby&gt;&lt;br&gt;&lt;div class=""audio""&gt;[sound:がいぶ.mp3]&lt;/div&gt;")</f>
        <v>&lt;ruby&gt;外部&lt;rt&gt;がいぶ&lt;/rt&gt;&lt;/ruby&gt;&lt;br&gt;&lt;div class="audio"&gt;[sound:がいぶ.mp3]&lt;/div&gt;</v>
      </c>
      <c r="H2779" s="3" t="str">
        <f t="shared" si="1"/>
        <v>(n): bên ngoài</v>
      </c>
      <c r="I2779" s="6" t="s">
        <v>15190</v>
      </c>
      <c r="J2779" s="6" t="s">
        <v>15191</v>
      </c>
      <c r="K2779" s="7">
        <f t="shared" si="2"/>
        <v>0.6041206646</v>
      </c>
    </row>
    <row r="2780">
      <c r="A2780" s="4">
        <v>2780.0</v>
      </c>
      <c r="B2780" s="5" t="s">
        <v>15192</v>
      </c>
      <c r="C2780" s="5" t="s">
        <v>15193</v>
      </c>
      <c r="D2780" s="5" t="s">
        <v>15194</v>
      </c>
      <c r="E2780" s="6" t="s">
        <v>74</v>
      </c>
      <c r="F2780" s="6" t="s">
        <v>4216</v>
      </c>
      <c r="G2780" s="3" t="str">
        <f>IFERROR(__xludf.DUMMYFUNCTION("REGEXREPLACE(
D2780,
""([一-龯々]+)\[([^\]]+)\]"",
""&lt;ruby&gt;$1&lt;rt&gt;$2&lt;/rt&gt;&lt;/ruby&gt;""
)&amp;""&lt;br&gt;&lt;div class=""""audio""""&gt;[sound:""&amp;C2780&amp;"".mp3]&lt;/div&gt;"""),"&lt;ruby&gt;衝突&lt;rt&gt;しょうとつ&lt;/rt&gt;&lt;/ruby&gt;&lt;br&gt;&lt;div class=""audio""&gt;[sound:しょうとつ.mp3]&lt;/div&gt;")</f>
        <v>&lt;ruby&gt;衝突&lt;rt&gt;しょうとつ&lt;/rt&gt;&lt;/ruby&gt;&lt;br&gt;&lt;div class="audio"&gt;[sound:しょうとつ.mp3]&lt;/div&gt;</v>
      </c>
      <c r="H2780" s="3" t="str">
        <f t="shared" si="1"/>
        <v>(n): va chạm</v>
      </c>
      <c r="I2780" s="6" t="s">
        <v>15195</v>
      </c>
      <c r="J2780" s="6" t="s">
        <v>15196</v>
      </c>
      <c r="K2780" s="7">
        <f t="shared" si="2"/>
        <v>0.7440076755</v>
      </c>
    </row>
    <row r="2781">
      <c r="A2781" s="4">
        <v>2781.0</v>
      </c>
      <c r="B2781" s="5" t="s">
        <v>15197</v>
      </c>
      <c r="C2781" s="5" t="s">
        <v>15198</v>
      </c>
      <c r="D2781" s="5" t="s">
        <v>15199</v>
      </c>
      <c r="E2781" s="6" t="s">
        <v>24</v>
      </c>
      <c r="F2781" s="6" t="s">
        <v>15200</v>
      </c>
      <c r="G2781" s="3" t="str">
        <f>IFERROR(__xludf.DUMMYFUNCTION("REGEXREPLACE(
D2781,
""([一-龯々]+)\[([^\]]+)\]"",
""&lt;ruby&gt;$1&lt;rt&gt;$2&lt;/rt&gt;&lt;/ruby&gt;""
)&amp;""&lt;br&gt;&lt;div class=""""audio""""&gt;[sound:""&amp;C2781&amp;"".mp3]&lt;/div&gt;"""),"&lt;ruby&gt;詰&lt;rt&gt;つ&lt;/rt&gt;&lt;/ruby&gt;める&lt;br&gt;&lt;div class=""audio""&gt;[sound:つめる.mp3]&lt;/div&gt;")</f>
        <v>&lt;ruby&gt;詰&lt;rt&gt;つ&lt;/rt&gt;&lt;/ruby&gt;める&lt;br&gt;&lt;div class="audio"&gt;[sound:つめる.mp3]&lt;/div&gt;</v>
      </c>
      <c r="H2781" s="3" t="str">
        <f t="shared" si="1"/>
        <v>(v): nhồi nhét</v>
      </c>
      <c r="I2781" s="6" t="s">
        <v>15201</v>
      </c>
      <c r="J2781" s="6" t="s">
        <v>15202</v>
      </c>
      <c r="K2781" s="7">
        <f t="shared" si="2"/>
        <v>0.651169045</v>
      </c>
    </row>
    <row r="2782">
      <c r="A2782" s="4">
        <v>2782.0</v>
      </c>
      <c r="B2782" s="5" t="s">
        <v>15203</v>
      </c>
      <c r="C2782" s="5" t="s">
        <v>15204</v>
      </c>
      <c r="D2782" s="5" t="s">
        <v>15203</v>
      </c>
      <c r="E2782" s="6" t="s">
        <v>74</v>
      </c>
      <c r="F2782" s="6" t="s">
        <v>15205</v>
      </c>
      <c r="G2782" s="3" t="str">
        <f>IFERROR(__xludf.DUMMYFUNCTION("REGEXREPLACE(
D2782,
""([一-龯々]+)\[([^\]]+)\]"",
""&lt;ruby&gt;$1&lt;rt&gt;$2&lt;/rt&gt;&lt;/ruby&gt;""
)&amp;""&lt;br&gt;&lt;div class=""""audio""""&gt;[sound:""&amp;C2782&amp;"".mp3]&lt;/div&gt;"""),"ポスター&lt;br&gt;&lt;div class=""audio""&gt;[sound:ぽすたー.mp3]&lt;/div&gt;")</f>
        <v>ポスター&lt;br&gt;&lt;div class="audio"&gt;[sound:ぽすたー.mp3]&lt;/div&gt;</v>
      </c>
      <c r="H2782" s="3" t="str">
        <f t="shared" si="1"/>
        <v>(n): áp phích</v>
      </c>
      <c r="I2782" s="6" t="s">
        <v>15206</v>
      </c>
      <c r="J2782" s="6" t="s">
        <v>15207</v>
      </c>
      <c r="K2782" s="7">
        <f t="shared" si="2"/>
        <v>0.9045019412</v>
      </c>
    </row>
    <row r="2783">
      <c r="A2783" s="4">
        <v>2783.0</v>
      </c>
      <c r="B2783" s="5" t="s">
        <v>15208</v>
      </c>
      <c r="C2783" s="5" t="s">
        <v>15209</v>
      </c>
      <c r="D2783" s="5" t="s">
        <v>15210</v>
      </c>
      <c r="E2783" s="6" t="s">
        <v>74</v>
      </c>
      <c r="F2783" s="6" t="s">
        <v>15211</v>
      </c>
      <c r="G2783" s="3" t="str">
        <f>IFERROR(__xludf.DUMMYFUNCTION("REGEXREPLACE(
D2783,
""([一-龯々]+)\[([^\]]+)\]"",
""&lt;ruby&gt;$1&lt;rt&gt;$2&lt;/rt&gt;&lt;/ruby&gt;""
)&amp;""&lt;br&gt;&lt;div class=""""audio""""&gt;[sound:""&amp;C2783&amp;"".mp3]&lt;/div&gt;"""),"&lt;ruby&gt;冬&lt;rt&gt;ふゆ&lt;/rt&gt;&lt;/ruby&gt;&lt;br&gt;&lt;div class=""audio""&gt;[sound:ふゆ.mp3]&lt;/div&gt;")</f>
        <v>&lt;ruby&gt;冬&lt;rt&gt;ふゆ&lt;/rt&gt;&lt;/ruby&gt;&lt;br&gt;&lt;div class="audio"&gt;[sound:ふゆ.mp3]&lt;/div&gt;</v>
      </c>
      <c r="H2783" s="3" t="str">
        <f t="shared" si="1"/>
        <v>(n): mùa đông</v>
      </c>
      <c r="I2783" s="6" t="s">
        <v>15212</v>
      </c>
      <c r="J2783" s="6" t="s">
        <v>15213</v>
      </c>
      <c r="K2783" s="7">
        <f t="shared" si="2"/>
        <v>0.2413501551</v>
      </c>
    </row>
    <row r="2784">
      <c r="A2784" s="4">
        <v>2784.0</v>
      </c>
      <c r="B2784" s="5" t="s">
        <v>15214</v>
      </c>
      <c r="C2784" s="5" t="s">
        <v>15215</v>
      </c>
      <c r="D2784" s="5" t="s">
        <v>15216</v>
      </c>
      <c r="E2784" s="6" t="s">
        <v>74</v>
      </c>
      <c r="F2784" s="6" t="s">
        <v>3711</v>
      </c>
      <c r="G2784" s="3" t="str">
        <f>IFERROR(__xludf.DUMMYFUNCTION("REGEXREPLACE(
D2784,
""([一-龯々]+)\[([^\]]+)\]"",
""&lt;ruby&gt;$1&lt;rt&gt;$2&lt;/rt&gt;&lt;/ruby&gt;""
)&amp;""&lt;br&gt;&lt;div class=""""audio""""&gt;[sound:""&amp;C2784&amp;"".mp3]&lt;/div&gt;"""),"&lt;ruby&gt;座席&lt;rt&gt;ざせき&lt;/rt&gt;&lt;/ruby&gt;&lt;br&gt;&lt;div class=""audio""&gt;[sound:ざせき.mp3]&lt;/div&gt;")</f>
        <v>&lt;ruby&gt;座席&lt;rt&gt;ざせき&lt;/rt&gt;&lt;/ruby&gt;&lt;br&gt;&lt;div class="audio"&gt;[sound:ざせき.mp3]&lt;/div&gt;</v>
      </c>
      <c r="H2784" s="3" t="str">
        <f t="shared" si="1"/>
        <v>(n): chỗ ngồi</v>
      </c>
      <c r="I2784" s="6" t="s">
        <v>15217</v>
      </c>
      <c r="J2784" s="6" t="s">
        <v>15218</v>
      </c>
      <c r="K2784" s="7">
        <f t="shared" si="2"/>
        <v>0.9856753336</v>
      </c>
    </row>
    <row r="2785">
      <c r="A2785" s="4">
        <v>2785.0</v>
      </c>
      <c r="B2785" s="5" t="s">
        <v>15219</v>
      </c>
      <c r="C2785" s="5" t="s">
        <v>15220</v>
      </c>
      <c r="D2785" s="5" t="s">
        <v>15221</v>
      </c>
      <c r="E2785" s="6" t="s">
        <v>24</v>
      </c>
      <c r="F2785" s="6" t="s">
        <v>15222</v>
      </c>
      <c r="G2785" s="3" t="str">
        <f>IFERROR(__xludf.DUMMYFUNCTION("REGEXREPLACE(
D2785,
""([一-龯々]+)\[([^\]]+)\]"",
""&lt;ruby&gt;$1&lt;rt&gt;$2&lt;/rt&gt;&lt;/ruby&gt;""
)&amp;""&lt;br&gt;&lt;div class=""""audio""""&gt;[sound:""&amp;C2785&amp;"".mp3]&lt;/div&gt;"""),"&lt;ruby&gt;強&lt;rt&gt;つよ&lt;/rt&gt;&lt;/ruby&gt;まる&lt;br&gt;&lt;div class=""audio""&gt;[sound:つよまる.mp3]&lt;/div&gt;")</f>
        <v>&lt;ruby&gt;強&lt;rt&gt;つよ&lt;/rt&gt;&lt;/ruby&gt;まる&lt;br&gt;&lt;div class="audio"&gt;[sound:つよまる.mp3]&lt;/div&gt;</v>
      </c>
      <c r="H2785" s="3" t="str">
        <f t="shared" si="1"/>
        <v>(v): mạnh lên</v>
      </c>
      <c r="I2785" s="6" t="s">
        <v>15223</v>
      </c>
      <c r="J2785" s="6" t="s">
        <v>15224</v>
      </c>
      <c r="K2785" s="7">
        <f t="shared" si="2"/>
        <v>0.1883238582</v>
      </c>
    </row>
    <row r="2786">
      <c r="A2786" s="4">
        <v>2786.0</v>
      </c>
      <c r="B2786" s="5" t="s">
        <v>15225</v>
      </c>
      <c r="C2786" s="5" t="s">
        <v>15226</v>
      </c>
      <c r="D2786" s="5" t="s">
        <v>15227</v>
      </c>
      <c r="E2786" s="6" t="s">
        <v>74</v>
      </c>
      <c r="F2786" s="6" t="s">
        <v>15228</v>
      </c>
      <c r="G2786" s="3" t="str">
        <f>IFERROR(__xludf.DUMMYFUNCTION("REGEXREPLACE(
D2786,
""([一-龯々]+)\[([^\]]+)\]"",
""&lt;ruby&gt;$1&lt;rt&gt;$2&lt;/rt&gt;&lt;/ruby&gt;""
)&amp;""&lt;br&gt;&lt;div class=""""audio""""&gt;[sound:""&amp;C2786&amp;"".mp3]&lt;/div&gt;"""),"&lt;ruby&gt;手間&lt;rt&gt;てま&lt;/rt&gt;&lt;/ruby&gt;&lt;br&gt;&lt;div class=""audio""&gt;[sound:てま.mp3]&lt;/div&gt;")</f>
        <v>&lt;ruby&gt;手間&lt;rt&gt;てま&lt;/rt&gt;&lt;/ruby&gt;&lt;br&gt;&lt;div class="audio"&gt;[sound:てま.mp3]&lt;/div&gt;</v>
      </c>
      <c r="H2786" s="3" t="str">
        <f t="shared" si="1"/>
        <v>(n): công sức</v>
      </c>
      <c r="I2786" s="6" t="s">
        <v>15229</v>
      </c>
      <c r="J2786" s="6" t="s">
        <v>15230</v>
      </c>
      <c r="K2786" s="7">
        <f t="shared" si="2"/>
        <v>0.3926235568</v>
      </c>
    </row>
    <row r="2787">
      <c r="A2787" s="4">
        <v>2787.0</v>
      </c>
      <c r="B2787" s="5" t="s">
        <v>15231</v>
      </c>
      <c r="C2787" s="5" t="s">
        <v>15232</v>
      </c>
      <c r="D2787" s="5" t="s">
        <v>15233</v>
      </c>
      <c r="E2787" s="6" t="s">
        <v>74</v>
      </c>
      <c r="F2787" s="6" t="s">
        <v>15234</v>
      </c>
      <c r="G2787" s="3" t="str">
        <f>IFERROR(__xludf.DUMMYFUNCTION("REGEXREPLACE(
D2787,
""([一-龯々]+)\[([^\]]+)\]"",
""&lt;ruby&gt;$1&lt;rt&gt;$2&lt;/rt&gt;&lt;/ruby&gt;""
)&amp;""&lt;br&gt;&lt;div class=""""audio""""&gt;[sound:""&amp;C2787&amp;"".mp3]&lt;/div&gt;"""),"&lt;ruby&gt;行列&lt;rt&gt;ぎょうれつ&lt;/rt&gt;&lt;/ruby&gt;&lt;br&gt;&lt;div class=""audio""&gt;[sound:ぎょうれつ.mp3]&lt;/div&gt;")</f>
        <v>&lt;ruby&gt;行列&lt;rt&gt;ぎょうれつ&lt;/rt&gt;&lt;/ruby&gt;&lt;br&gt;&lt;div class="audio"&gt;[sound:ぎょうれつ.mp3]&lt;/div&gt;</v>
      </c>
      <c r="H2787" s="3" t="str">
        <f t="shared" si="1"/>
        <v>(n): hàng đợi</v>
      </c>
      <c r="I2787" s="6" t="s">
        <v>15235</v>
      </c>
      <c r="J2787" s="6" t="s">
        <v>15236</v>
      </c>
      <c r="K2787" s="7">
        <f t="shared" si="2"/>
        <v>0.1182110813</v>
      </c>
    </row>
    <row r="2788">
      <c r="A2788" s="4">
        <v>2788.0</v>
      </c>
      <c r="B2788" s="5" t="s">
        <v>15237</v>
      </c>
      <c r="C2788" s="5" t="s">
        <v>15238</v>
      </c>
      <c r="D2788" s="5" t="s">
        <v>15239</v>
      </c>
      <c r="E2788" s="6" t="s">
        <v>24</v>
      </c>
      <c r="F2788" s="6" t="s">
        <v>15240</v>
      </c>
      <c r="G2788" s="3" t="str">
        <f>IFERROR(__xludf.DUMMYFUNCTION("REGEXREPLACE(
D2788,
""([一-龯々]+)\[([^\]]+)\]"",
""&lt;ruby&gt;$1&lt;rt&gt;$2&lt;/rt&gt;&lt;/ruby&gt;""
)&amp;""&lt;br&gt;&lt;div class=""""audio""""&gt;[sound:""&amp;C2788&amp;"".mp3]&lt;/div&gt;"""),"&lt;ruby&gt;貸&lt;rt&gt;か&lt;/rt&gt;&lt;/ruby&gt;す&lt;br&gt;&lt;div class=""audio""&gt;[sound:かす.mp3]&lt;/div&gt;")</f>
        <v>&lt;ruby&gt;貸&lt;rt&gt;か&lt;/rt&gt;&lt;/ruby&gt;す&lt;br&gt;&lt;div class="audio"&gt;[sound:かす.mp3]&lt;/div&gt;</v>
      </c>
      <c r="H2788" s="3" t="str">
        <f t="shared" si="1"/>
        <v>(v): cho mượn</v>
      </c>
      <c r="I2788" s="6" t="s">
        <v>15241</v>
      </c>
      <c r="J2788" s="6" t="s">
        <v>15242</v>
      </c>
      <c r="K2788" s="7">
        <f t="shared" si="2"/>
        <v>0.6871664577</v>
      </c>
    </row>
    <row r="2789">
      <c r="A2789" s="4">
        <v>2789.0</v>
      </c>
      <c r="B2789" s="5" t="s">
        <v>15243</v>
      </c>
      <c r="C2789" s="5" t="s">
        <v>15244</v>
      </c>
      <c r="D2789" s="5" t="s">
        <v>15245</v>
      </c>
      <c r="E2789" s="6" t="s">
        <v>74</v>
      </c>
      <c r="F2789" s="6" t="s">
        <v>15246</v>
      </c>
      <c r="G2789" s="3" t="str">
        <f>IFERROR(__xludf.DUMMYFUNCTION("REGEXREPLACE(
D2789,
""([一-龯々]+)\[([^\]]+)\]"",
""&lt;ruby&gt;$1&lt;rt&gt;$2&lt;/rt&gt;&lt;/ruby&gt;""
)&amp;""&lt;br&gt;&lt;div class=""""audio""""&gt;[sound:""&amp;C2789&amp;"".mp3]&lt;/div&gt;"""),"&lt;ruby&gt;資格&lt;rt&gt;しかく&lt;/rt&gt;&lt;/ruby&gt;&lt;br&gt;&lt;div class=""audio""&gt;[sound:しかく.mp3]&lt;/div&gt;")</f>
        <v>&lt;ruby&gt;資格&lt;rt&gt;しかく&lt;/rt&gt;&lt;/ruby&gt;&lt;br&gt;&lt;div class="audio"&gt;[sound:しかく.mp3]&lt;/div&gt;</v>
      </c>
      <c r="H2789" s="3" t="str">
        <f t="shared" si="1"/>
        <v>(n): bằng cấp</v>
      </c>
      <c r="I2789" s="6" t="s">
        <v>15247</v>
      </c>
      <c r="J2789" s="6" t="s">
        <v>15248</v>
      </c>
      <c r="K2789" s="7">
        <f t="shared" si="2"/>
        <v>0.06721801175</v>
      </c>
    </row>
    <row r="2790">
      <c r="A2790" s="4">
        <v>2790.0</v>
      </c>
      <c r="B2790" s="5" t="s">
        <v>15249</v>
      </c>
      <c r="C2790" s="5" t="s">
        <v>15250</v>
      </c>
      <c r="D2790" s="5" t="s">
        <v>15251</v>
      </c>
      <c r="E2790" s="6" t="s">
        <v>74</v>
      </c>
      <c r="F2790" s="6" t="s">
        <v>13025</v>
      </c>
      <c r="G2790" s="3" t="str">
        <f>IFERROR(__xludf.DUMMYFUNCTION("REGEXREPLACE(
D2790,
""([一-龯々]+)\[([^\]]+)\]"",
""&lt;ruby&gt;$1&lt;rt&gt;$2&lt;/rt&gt;&lt;/ruby&gt;""
)&amp;""&lt;br&gt;&lt;div class=""""audio""""&gt;[sound:""&amp;C2790&amp;"".mp3]&lt;/div&gt;"""),"&lt;ruby&gt;率&lt;rt&gt;りつ&lt;/rt&gt;&lt;/ruby&gt;&lt;br&gt;&lt;div class=""audio""&gt;[sound:りつ.mp3]&lt;/div&gt;")</f>
        <v>&lt;ruby&gt;率&lt;rt&gt;りつ&lt;/rt&gt;&lt;/ruby&gt;&lt;br&gt;&lt;div class="audio"&gt;[sound:りつ.mp3]&lt;/div&gt;</v>
      </c>
      <c r="H2790" s="3" t="str">
        <f t="shared" si="1"/>
        <v>(n): tỷ lệ</v>
      </c>
      <c r="I2790" s="6" t="s">
        <v>15252</v>
      </c>
      <c r="J2790" s="6" t="s">
        <v>15253</v>
      </c>
      <c r="K2790" s="7">
        <f t="shared" si="2"/>
        <v>0.707737427</v>
      </c>
    </row>
    <row r="2791">
      <c r="A2791" s="4">
        <v>2791.0</v>
      </c>
      <c r="B2791" s="5" t="s">
        <v>15254</v>
      </c>
      <c r="C2791" s="5" t="s">
        <v>15255</v>
      </c>
      <c r="D2791" s="5" t="s">
        <v>15256</v>
      </c>
      <c r="E2791" s="6" t="s">
        <v>24</v>
      </c>
      <c r="F2791" s="6" t="s">
        <v>15257</v>
      </c>
      <c r="G2791" s="3" t="str">
        <f>IFERROR(__xludf.DUMMYFUNCTION("REGEXREPLACE(
D2791,
""([一-龯々]+)\[([^\]]+)\]"",
""&lt;ruby&gt;$1&lt;rt&gt;$2&lt;/rt&gt;&lt;/ruby&gt;""
)&amp;""&lt;br&gt;&lt;div class=""""audio""""&gt;[sound:""&amp;C2791&amp;"".mp3]&lt;/div&gt;"""),"&lt;ruby&gt;諦&lt;rt&gt;あきら&lt;/rt&gt;&lt;/ruby&gt;める&lt;br&gt;&lt;div class=""audio""&gt;[sound:あきらめる.mp3]&lt;/div&gt;")</f>
        <v>&lt;ruby&gt;諦&lt;rt&gt;あきら&lt;/rt&gt;&lt;/ruby&gt;める&lt;br&gt;&lt;div class="audio"&gt;[sound:あきらめる.mp3]&lt;/div&gt;</v>
      </c>
      <c r="H2791" s="3" t="str">
        <f t="shared" si="1"/>
        <v>(v): từ bỏ</v>
      </c>
      <c r="I2791" s="6" t="s">
        <v>15258</v>
      </c>
      <c r="J2791" s="6" t="s">
        <v>15259</v>
      </c>
      <c r="K2791" s="7">
        <f t="shared" si="2"/>
        <v>0.359690678</v>
      </c>
    </row>
    <row r="2792">
      <c r="A2792" s="4">
        <v>2792.0</v>
      </c>
      <c r="B2792" s="5" t="s">
        <v>15260</v>
      </c>
      <c r="C2792" s="5" t="s">
        <v>15261</v>
      </c>
      <c r="D2792" s="5" t="s">
        <v>15262</v>
      </c>
      <c r="E2792" s="6" t="s">
        <v>85</v>
      </c>
      <c r="F2792" s="6" t="s">
        <v>15263</v>
      </c>
      <c r="G2792" s="3" t="str">
        <f>IFERROR(__xludf.DUMMYFUNCTION("REGEXREPLACE(
D2792,
""([一-龯々]+)\[([^\]]+)\]"",
""&lt;ruby&gt;$1&lt;rt&gt;$2&lt;/rt&gt;&lt;/ruby&gt;""
)&amp;""&lt;br&gt;&lt;div class=""""audio""""&gt;[sound:""&amp;C2792&amp;"".mp3]&lt;/div&gt;"""),"&lt;ruby&gt;勝手&lt;rt&gt;かって&lt;/rt&gt;&lt;/ruby&gt;に&lt;br&gt;&lt;div class=""audio""&gt;[sound:かってに.mp3]&lt;/div&gt;")</f>
        <v>&lt;ruby&gt;勝手&lt;rt&gt;かって&lt;/rt&gt;&lt;/ruby&gt;に&lt;br&gt;&lt;div class="audio"&gt;[sound:かってに.mp3]&lt;/div&gt;</v>
      </c>
      <c r="H2792" s="3" t="str">
        <f t="shared" si="1"/>
        <v>(adv): tự ý</v>
      </c>
      <c r="I2792" s="6" t="s">
        <v>15264</v>
      </c>
      <c r="J2792" s="6" t="s">
        <v>15265</v>
      </c>
      <c r="K2792" s="7">
        <f t="shared" si="2"/>
        <v>0.7546981019</v>
      </c>
    </row>
    <row r="2793">
      <c r="A2793" s="4">
        <v>2793.0</v>
      </c>
      <c r="B2793" s="5" t="s">
        <v>15266</v>
      </c>
      <c r="C2793" s="5" t="s">
        <v>15267</v>
      </c>
      <c r="D2793" s="5" t="s">
        <v>15268</v>
      </c>
      <c r="E2793" s="6" t="s">
        <v>74</v>
      </c>
      <c r="F2793" s="6" t="s">
        <v>15269</v>
      </c>
      <c r="G2793" s="3" t="str">
        <f>IFERROR(__xludf.DUMMYFUNCTION("REGEXREPLACE(
D2793,
""([一-龯々]+)\[([^\]]+)\]"",
""&lt;ruby&gt;$1&lt;rt&gt;$2&lt;/rt&gt;&lt;/ruby&gt;""
)&amp;""&lt;br&gt;&lt;div class=""""audio""""&gt;[sound:""&amp;C2793&amp;"".mp3]&lt;/div&gt;"""),"&lt;ruby&gt;港&lt;rt&gt;みなと&lt;/rt&gt;&lt;/ruby&gt;&lt;br&gt;&lt;div class=""audio""&gt;[sound:みなと.mp3]&lt;/div&gt;")</f>
        <v>&lt;ruby&gt;港&lt;rt&gt;みなと&lt;/rt&gt;&lt;/ruby&gt;&lt;br&gt;&lt;div class="audio"&gt;[sound:みなと.mp3]&lt;/div&gt;</v>
      </c>
      <c r="H2793" s="3" t="str">
        <f t="shared" si="1"/>
        <v>(n): cảng</v>
      </c>
      <c r="I2793" s="6" t="s">
        <v>15270</v>
      </c>
      <c r="J2793" s="6" t="s">
        <v>15271</v>
      </c>
      <c r="K2793" s="7">
        <f t="shared" si="2"/>
        <v>0.3137983386</v>
      </c>
    </row>
    <row r="2794">
      <c r="A2794" s="4">
        <v>2794.0</v>
      </c>
      <c r="B2794" s="5" t="s">
        <v>15272</v>
      </c>
      <c r="C2794" s="5" t="s">
        <v>15273</v>
      </c>
      <c r="D2794" s="5" t="s">
        <v>15274</v>
      </c>
      <c r="E2794" s="6" t="s">
        <v>74</v>
      </c>
      <c r="F2794" s="6" t="s">
        <v>1951</v>
      </c>
      <c r="G2794" s="3" t="str">
        <f>IFERROR(__xludf.DUMMYFUNCTION("REGEXREPLACE(
D2794,
""([一-龯々]+)\[([^\]]+)\]"",
""&lt;ruby&gt;$1&lt;rt&gt;$2&lt;/rt&gt;&lt;/ruby&gt;""
)&amp;""&lt;br&gt;&lt;div class=""""audio""""&gt;[sound:""&amp;C2794&amp;"".mp3]&lt;/div&gt;"""),"&lt;ruby&gt;腹&lt;rt&gt;はら&lt;/rt&gt;&lt;/ruby&gt;&lt;br&gt;&lt;div class=""audio""&gt;[sound:はら.mp3]&lt;/div&gt;")</f>
        <v>&lt;ruby&gt;腹&lt;rt&gt;はら&lt;/rt&gt;&lt;/ruby&gt;&lt;br&gt;&lt;div class="audio"&gt;[sound:はら.mp3]&lt;/div&gt;</v>
      </c>
      <c r="H2794" s="3" t="str">
        <f t="shared" si="1"/>
        <v>(n): bụng</v>
      </c>
      <c r="I2794" s="6" t="s">
        <v>15275</v>
      </c>
      <c r="J2794" s="6" t="s">
        <v>15276</v>
      </c>
      <c r="K2794" s="7">
        <f t="shared" si="2"/>
        <v>0.6251718286</v>
      </c>
    </row>
    <row r="2795">
      <c r="A2795" s="4">
        <v>2795.0</v>
      </c>
      <c r="B2795" s="5" t="s">
        <v>15277</v>
      </c>
      <c r="C2795" s="5" t="s">
        <v>15278</v>
      </c>
      <c r="D2795" s="5" t="s">
        <v>15279</v>
      </c>
      <c r="E2795" s="6" t="s">
        <v>11</v>
      </c>
      <c r="F2795" s="6" t="s">
        <v>15280</v>
      </c>
      <c r="G2795" s="3" t="str">
        <f>IFERROR(__xludf.DUMMYFUNCTION("REGEXREPLACE(
D2795,
""([一-龯々]+)\[([^\]]+)\]"",
""&lt;ruby&gt;$1&lt;rt&gt;$2&lt;/rt&gt;&lt;/ruby&gt;""
)&amp;""&lt;br&gt;&lt;div class=""""audio""""&gt;[sound:""&amp;C2795&amp;"".mp3]&lt;/div&gt;"""),"&lt;ruby&gt;丈夫&lt;rt&gt;じょうぶ&lt;/rt&gt;&lt;/ruby&gt;&lt;br&gt;&lt;div class=""audio""&gt;[sound:じょうぶ.mp3]&lt;/div&gt;")</f>
        <v>&lt;ruby&gt;丈夫&lt;rt&gt;じょうぶ&lt;/rt&gt;&lt;/ruby&gt;&lt;br&gt;&lt;div class="audio"&gt;[sound:じょうぶ.mp3]&lt;/div&gt;</v>
      </c>
      <c r="H2795" s="3" t="str">
        <f t="shared" si="1"/>
        <v>(adj): bền</v>
      </c>
      <c r="I2795" s="6" t="s">
        <v>15281</v>
      </c>
      <c r="J2795" s="6" t="s">
        <v>15282</v>
      </c>
      <c r="K2795" s="7">
        <f t="shared" si="2"/>
        <v>0.8830679222</v>
      </c>
    </row>
    <row r="2796">
      <c r="A2796" s="4">
        <v>2796.0</v>
      </c>
      <c r="B2796" s="5" t="s">
        <v>15283</v>
      </c>
      <c r="C2796" s="5" t="s">
        <v>15284</v>
      </c>
      <c r="D2796" s="5" t="s">
        <v>15285</v>
      </c>
      <c r="E2796" s="6" t="s">
        <v>74</v>
      </c>
      <c r="F2796" s="6" t="s">
        <v>15286</v>
      </c>
      <c r="G2796" s="3" t="str">
        <f>IFERROR(__xludf.DUMMYFUNCTION("REGEXREPLACE(
D2796,
""([一-龯々]+)\[([^\]]+)\]"",
""&lt;ruby&gt;$1&lt;rt&gt;$2&lt;/rt&gt;&lt;/ruby&gt;""
)&amp;""&lt;br&gt;&lt;div class=""""audio""""&gt;[sound:""&amp;C2796&amp;"".mp3]&lt;/div&gt;"""),"&lt;ruby&gt;砂&lt;rt&gt;すな&lt;/rt&gt;&lt;/ruby&gt;&lt;br&gt;&lt;div class=""audio""&gt;[sound:すな.mp3]&lt;/div&gt;")</f>
        <v>&lt;ruby&gt;砂&lt;rt&gt;すな&lt;/rt&gt;&lt;/ruby&gt;&lt;br&gt;&lt;div class="audio"&gt;[sound:すな.mp3]&lt;/div&gt;</v>
      </c>
      <c r="H2796" s="3" t="str">
        <f t="shared" si="1"/>
        <v>(n): cát</v>
      </c>
      <c r="I2796" s="6" t="s">
        <v>15287</v>
      </c>
      <c r="J2796" s="6" t="s">
        <v>15288</v>
      </c>
      <c r="K2796" s="7">
        <f t="shared" si="2"/>
        <v>0.409681636</v>
      </c>
    </row>
    <row r="2797">
      <c r="A2797" s="4">
        <v>2797.0</v>
      </c>
      <c r="B2797" s="5" t="s">
        <v>15289</v>
      </c>
      <c r="C2797" s="5" t="s">
        <v>1883</v>
      </c>
      <c r="D2797" s="5" t="s">
        <v>15290</v>
      </c>
      <c r="E2797" s="6" t="s">
        <v>24</v>
      </c>
      <c r="F2797" s="6" t="s">
        <v>10008</v>
      </c>
      <c r="G2797" s="3" t="str">
        <f>IFERROR(__xludf.DUMMYFUNCTION("REGEXREPLACE(
D2797,
""([一-龯々]+)\[([^\]]+)\]"",
""&lt;ruby&gt;$1&lt;rt&gt;$2&lt;/rt&gt;&lt;/ruby&gt;""
)&amp;""&lt;br&gt;&lt;div class=""""audio""""&gt;[sound:""&amp;C2797&amp;"".mp3]&lt;/div&gt;"""),"&lt;ruby&gt;納&lt;rt&gt;おさ&lt;/rt&gt;&lt;/ruby&gt;める&lt;br&gt;&lt;div class=""audio""&gt;[sound:おさめる.mp3]&lt;/div&gt;")</f>
        <v>&lt;ruby&gt;納&lt;rt&gt;おさ&lt;/rt&gt;&lt;/ruby&gt;める&lt;br&gt;&lt;div class="audio"&gt;[sound:おさめる.mp3]&lt;/div&gt;</v>
      </c>
      <c r="H2797" s="3" t="str">
        <f t="shared" si="1"/>
        <v>(v): nộp</v>
      </c>
      <c r="I2797" s="6" t="s">
        <v>15291</v>
      </c>
      <c r="J2797" s="6" t="s">
        <v>15292</v>
      </c>
      <c r="K2797" s="7">
        <f t="shared" si="2"/>
        <v>0.9760744536</v>
      </c>
    </row>
    <row r="2798">
      <c r="A2798" s="4">
        <v>2798.0</v>
      </c>
      <c r="B2798" s="5" t="s">
        <v>15293</v>
      </c>
      <c r="C2798" s="5" t="s">
        <v>15294</v>
      </c>
      <c r="D2798" s="5" t="s">
        <v>15295</v>
      </c>
      <c r="E2798" s="6" t="s">
        <v>74</v>
      </c>
      <c r="F2798" s="6" t="s">
        <v>15296</v>
      </c>
      <c r="G2798" s="3" t="str">
        <f>IFERROR(__xludf.DUMMYFUNCTION("REGEXREPLACE(
D2798,
""([一-龯々]+)\[([^\]]+)\]"",
""&lt;ruby&gt;$1&lt;rt&gt;$2&lt;/rt&gt;&lt;/ruby&gt;""
)&amp;""&lt;br&gt;&lt;div class=""""audio""""&gt;[sound:""&amp;C2798&amp;"".mp3]&lt;/div&gt;"""),"&lt;ruby&gt;罪&lt;rt&gt;つみ&lt;/rt&gt;&lt;/ruby&gt;&lt;br&gt;&lt;div class=""audio""&gt;[sound:つみ.mp3]&lt;/div&gt;")</f>
        <v>&lt;ruby&gt;罪&lt;rt&gt;つみ&lt;/rt&gt;&lt;/ruby&gt;&lt;br&gt;&lt;div class="audio"&gt;[sound:つみ.mp3]&lt;/div&gt;</v>
      </c>
      <c r="H2798" s="3" t="str">
        <f t="shared" si="1"/>
        <v>(n): tội lỗi</v>
      </c>
      <c r="I2798" s="6" t="s">
        <v>15297</v>
      </c>
      <c r="J2798" s="6" t="s">
        <v>15298</v>
      </c>
      <c r="K2798" s="7">
        <f t="shared" si="2"/>
        <v>0.7935255485</v>
      </c>
    </row>
    <row r="2799">
      <c r="A2799" s="4">
        <v>2799.0</v>
      </c>
      <c r="B2799" s="5" t="s">
        <v>15299</v>
      </c>
      <c r="C2799" s="5" t="s">
        <v>15300</v>
      </c>
      <c r="D2799" s="5" t="s">
        <v>15301</v>
      </c>
      <c r="E2799" s="6" t="s">
        <v>74</v>
      </c>
      <c r="F2799" s="6" t="s">
        <v>15302</v>
      </c>
      <c r="G2799" s="3" t="str">
        <f>IFERROR(__xludf.DUMMYFUNCTION("REGEXREPLACE(
D2799,
""([一-龯々]+)\[([^\]]+)\]"",
""&lt;ruby&gt;$1&lt;rt&gt;$2&lt;/rt&gt;&lt;/ruby&gt;""
)&amp;""&lt;br&gt;&lt;div class=""""audio""""&gt;[sound:""&amp;C2799&amp;"".mp3]&lt;/div&gt;"""),"&lt;ruby&gt;投票&lt;rt&gt;とうひょう&lt;/rt&gt;&lt;/ruby&gt;&lt;br&gt;&lt;div class=""audio""&gt;[sound:とうひょう.mp3]&lt;/div&gt;")</f>
        <v>&lt;ruby&gt;投票&lt;rt&gt;とうひょう&lt;/rt&gt;&lt;/ruby&gt;&lt;br&gt;&lt;div class="audio"&gt;[sound:とうひょう.mp3]&lt;/div&gt;</v>
      </c>
      <c r="H2799" s="3" t="str">
        <f t="shared" si="1"/>
        <v>(n): bỏ phiếu</v>
      </c>
      <c r="I2799" s="6" t="s">
        <v>15303</v>
      </c>
      <c r="J2799" s="6" t="s">
        <v>15304</v>
      </c>
      <c r="K2799" s="7">
        <f t="shared" si="2"/>
        <v>0.869554948</v>
      </c>
    </row>
    <row r="2800">
      <c r="A2800" s="4">
        <v>2800.0</v>
      </c>
      <c r="B2800" s="5" t="s">
        <v>15305</v>
      </c>
      <c r="C2800" s="5" t="s">
        <v>15306</v>
      </c>
      <c r="D2800" s="5" t="s">
        <v>15305</v>
      </c>
      <c r="E2800" s="6" t="s">
        <v>74</v>
      </c>
      <c r="F2800" s="6" t="s">
        <v>15307</v>
      </c>
      <c r="G2800" s="3" t="str">
        <f>IFERROR(__xludf.DUMMYFUNCTION("REGEXREPLACE(
D2800,
""([一-龯々]+)\[([^\]]+)\]"",
""&lt;ruby&gt;$1&lt;rt&gt;$2&lt;/rt&gt;&lt;/ruby&gt;""
)&amp;""&lt;br&gt;&lt;div class=""""audio""""&gt;[sound:""&amp;C2800&amp;"".mp3]&lt;/div&gt;"""),"フォーク&lt;br&gt;&lt;div class=""audio""&gt;[sound:ふぉーく.mp3]&lt;/div&gt;")</f>
        <v>フォーク&lt;br&gt;&lt;div class="audio"&gt;[sound:ふぉーく.mp3]&lt;/div&gt;</v>
      </c>
      <c r="H2800" s="3" t="str">
        <f t="shared" si="1"/>
        <v>(n): cái dĩa</v>
      </c>
      <c r="I2800" s="6" t="s">
        <v>15308</v>
      </c>
      <c r="J2800" s="6" t="s">
        <v>15309</v>
      </c>
      <c r="K2800" s="7">
        <f t="shared" si="2"/>
        <v>0.05005453224</v>
      </c>
    </row>
    <row r="2801">
      <c r="A2801" s="4">
        <v>2801.0</v>
      </c>
      <c r="B2801" s="5" t="s">
        <v>15310</v>
      </c>
      <c r="C2801" s="5" t="s">
        <v>11455</v>
      </c>
      <c r="D2801" s="5" t="s">
        <v>15311</v>
      </c>
      <c r="E2801" s="6" t="s">
        <v>24</v>
      </c>
      <c r="F2801" s="6" t="s">
        <v>15312</v>
      </c>
      <c r="G2801" s="3" t="str">
        <f>IFERROR(__xludf.DUMMYFUNCTION("REGEXREPLACE(
D2801,
""([一-龯々]+)\[([^\]]+)\]"",
""&lt;ruby&gt;$1&lt;rt&gt;$2&lt;/rt&gt;&lt;/ruby&gt;""
)&amp;""&lt;br&gt;&lt;div class=""""audio""""&gt;[sound:""&amp;C2801&amp;"".mp3]&lt;/div&gt;"""),"&lt;ruby&gt;乾燥&lt;rt&gt;かんそう&lt;/rt&gt;&lt;/ruby&gt;&lt;br&gt;&lt;div class=""audio""&gt;[sound:かんそう.mp3]&lt;/div&gt;")</f>
        <v>&lt;ruby&gt;乾燥&lt;rt&gt;かんそう&lt;/rt&gt;&lt;/ruby&gt;&lt;br&gt;&lt;div class="audio"&gt;[sound:かんそう.mp3]&lt;/div&gt;</v>
      </c>
      <c r="H2801" s="3" t="str">
        <f t="shared" si="1"/>
        <v>(v): sấy khô</v>
      </c>
      <c r="I2801" s="6" t="s">
        <v>15313</v>
      </c>
      <c r="J2801" s="6" t="s">
        <v>15314</v>
      </c>
      <c r="K2801" s="7">
        <f t="shared" si="2"/>
        <v>0.01099965871</v>
      </c>
    </row>
    <row r="2802">
      <c r="A2802" s="4">
        <v>2802.0</v>
      </c>
      <c r="B2802" s="5" t="s">
        <v>15315</v>
      </c>
      <c r="C2802" s="5" t="s">
        <v>48</v>
      </c>
      <c r="D2802" s="5" t="s">
        <v>15316</v>
      </c>
      <c r="E2802" s="6" t="s">
        <v>74</v>
      </c>
      <c r="F2802" s="6" t="s">
        <v>15317</v>
      </c>
      <c r="G2802" s="3" t="str">
        <f>IFERROR(__xludf.DUMMYFUNCTION("REGEXREPLACE(
D2802,
""([一-龯々]+)\[([^\]]+)\]"",
""&lt;ruby&gt;$1&lt;rt&gt;$2&lt;/rt&gt;&lt;/ruby&gt;""
)&amp;""&lt;br&gt;&lt;div class=""""audio""""&gt;[sound:""&amp;C2802&amp;"".mp3]&lt;/div&gt;"""),"&lt;ruby&gt;運&lt;rt&gt;うん&lt;/rt&gt;&lt;/ruby&gt;&lt;br&gt;&lt;div class=""audio""&gt;[sound:うん.mp3]&lt;/div&gt;")</f>
        <v>&lt;ruby&gt;運&lt;rt&gt;うん&lt;/rt&gt;&lt;/ruby&gt;&lt;br&gt;&lt;div class="audio"&gt;[sound:うん.mp3]&lt;/div&gt;</v>
      </c>
      <c r="H2802" s="3" t="str">
        <f t="shared" si="1"/>
        <v>(n): vận may</v>
      </c>
      <c r="I2802" s="6" t="s">
        <v>15318</v>
      </c>
      <c r="J2802" s="6" t="s">
        <v>15319</v>
      </c>
      <c r="K2802" s="7">
        <f t="shared" si="2"/>
        <v>0.210095877</v>
      </c>
    </row>
    <row r="2803">
      <c r="A2803" s="4">
        <v>2803.0</v>
      </c>
      <c r="B2803" s="5" t="s">
        <v>15320</v>
      </c>
      <c r="C2803" s="5" t="s">
        <v>15321</v>
      </c>
      <c r="D2803" s="5" t="s">
        <v>15322</v>
      </c>
      <c r="E2803" s="6" t="s">
        <v>11</v>
      </c>
      <c r="F2803" s="6" t="s">
        <v>7035</v>
      </c>
      <c r="G2803" s="3" t="str">
        <f>IFERROR(__xludf.DUMMYFUNCTION("REGEXREPLACE(
D2803,
""([一-龯々]+)\[([^\]]+)\]"",
""&lt;ruby&gt;$1&lt;rt&gt;$2&lt;/rt&gt;&lt;/ruby&gt;""
)&amp;""&lt;br&gt;&lt;div class=""""audio""""&gt;[sound:""&amp;C2803&amp;"".mp3]&lt;/div&gt;"""),"&lt;ruby&gt;懸命&lt;rt&gt;けんめい&lt;/rt&gt;&lt;/ruby&gt;&lt;br&gt;&lt;div class=""audio""&gt;[sound:けんめい.mp3]&lt;/div&gt;")</f>
        <v>&lt;ruby&gt;懸命&lt;rt&gt;けんめい&lt;/rt&gt;&lt;/ruby&gt;&lt;br&gt;&lt;div class="audio"&gt;[sound:けんめい.mp3]&lt;/div&gt;</v>
      </c>
      <c r="H2803" s="3" t="str">
        <f t="shared" si="1"/>
        <v>(adj): nỗ lực</v>
      </c>
      <c r="I2803" s="6" t="s">
        <v>15323</v>
      </c>
      <c r="J2803" s="6" t="s">
        <v>15324</v>
      </c>
      <c r="K2803" s="7">
        <f t="shared" si="2"/>
        <v>0.2174568431</v>
      </c>
    </row>
    <row r="2804">
      <c r="A2804" s="4">
        <v>2804.0</v>
      </c>
      <c r="B2804" s="5" t="s">
        <v>15325</v>
      </c>
      <c r="C2804" s="5" t="s">
        <v>15326</v>
      </c>
      <c r="D2804" s="5" t="s">
        <v>15327</v>
      </c>
      <c r="E2804" s="6" t="s">
        <v>24</v>
      </c>
      <c r="F2804" s="6" t="s">
        <v>8453</v>
      </c>
      <c r="G2804" s="3" t="str">
        <f>IFERROR(__xludf.DUMMYFUNCTION("REGEXREPLACE(
D2804,
""([一-龯々]+)\[([^\]]+)\]"",
""&lt;ruby&gt;$1&lt;rt&gt;$2&lt;/rt&gt;&lt;/ruby&gt;""
)&amp;""&lt;br&gt;&lt;div class=""""audio""""&gt;[sound:""&amp;C2804&amp;"".mp3]&lt;/div&gt;"""),"&lt;ruby&gt;割&lt;rt&gt;わ&lt;/rt&gt;&lt;/ruby&gt;る&lt;br&gt;&lt;div class=""audio""&gt;[sound:わる.mp3]&lt;/div&gt;")</f>
        <v>&lt;ruby&gt;割&lt;rt&gt;わ&lt;/rt&gt;&lt;/ruby&gt;る&lt;br&gt;&lt;div class="audio"&gt;[sound:わる.mp3]&lt;/div&gt;</v>
      </c>
      <c r="H2804" s="3" t="str">
        <f t="shared" si="1"/>
        <v>(v): chia</v>
      </c>
      <c r="I2804" s="6" t="s">
        <v>15328</v>
      </c>
      <c r="J2804" s="6" t="s">
        <v>15329</v>
      </c>
      <c r="K2804" s="7">
        <f t="shared" si="2"/>
        <v>0.8590687984</v>
      </c>
    </row>
    <row r="2805">
      <c r="A2805" s="4">
        <v>2805.0</v>
      </c>
      <c r="B2805" s="5" t="s">
        <v>15330</v>
      </c>
      <c r="C2805" s="5" t="s">
        <v>10382</v>
      </c>
      <c r="D2805" s="5" t="s">
        <v>15331</v>
      </c>
      <c r="E2805" s="6" t="s">
        <v>24</v>
      </c>
      <c r="F2805" s="6" t="s">
        <v>11766</v>
      </c>
      <c r="G2805" s="3" t="str">
        <f>IFERROR(__xludf.DUMMYFUNCTION("REGEXREPLACE(
D2805,
""([一-龯々]+)\[([^\]]+)\]"",
""&lt;ruby&gt;$1&lt;rt&gt;$2&lt;/rt&gt;&lt;/ruby&gt;""
)&amp;""&lt;br&gt;&lt;div class=""""audio""""&gt;[sound:""&amp;C2805&amp;"".mp3]&lt;/div&gt;"""),"&lt;ruby&gt;減&lt;rt&gt;へ&lt;/rt&gt;&lt;/ruby&gt;る&lt;br&gt;&lt;div class=""audio""&gt;[sound:へる.mp3]&lt;/div&gt;")</f>
        <v>&lt;ruby&gt;減&lt;rt&gt;へ&lt;/rt&gt;&lt;/ruby&gt;る&lt;br&gt;&lt;div class="audio"&gt;[sound:へる.mp3]&lt;/div&gt;</v>
      </c>
      <c r="H2805" s="3" t="str">
        <f t="shared" si="1"/>
        <v>(v): giảm</v>
      </c>
      <c r="I2805" s="6" t="s">
        <v>15332</v>
      </c>
      <c r="J2805" s="6" t="s">
        <v>15333</v>
      </c>
      <c r="K2805" s="7">
        <f t="shared" si="2"/>
        <v>0.1430593371</v>
      </c>
    </row>
    <row r="2806">
      <c r="A2806" s="4">
        <v>2806.0</v>
      </c>
      <c r="B2806" s="5" t="s">
        <v>15334</v>
      </c>
      <c r="C2806" s="5" t="s">
        <v>15335</v>
      </c>
      <c r="D2806" s="5" t="s">
        <v>15336</v>
      </c>
      <c r="E2806" s="6" t="s">
        <v>74</v>
      </c>
      <c r="F2806" s="6" t="s">
        <v>15337</v>
      </c>
      <c r="G2806" s="3" t="str">
        <f>IFERROR(__xludf.DUMMYFUNCTION("REGEXREPLACE(
D2806,
""([一-龯々]+)\[([^\]]+)\]"",
""&lt;ruby&gt;$1&lt;rt&gt;$2&lt;/rt&gt;&lt;/ruby&gt;""
)&amp;""&lt;br&gt;&lt;div class=""""audio""""&gt;[sound:""&amp;C2806&amp;"".mp3]&lt;/div&gt;"""),"&lt;ruby&gt;節&lt;rt&gt;ふし&lt;/rt&gt;&lt;/ruby&gt;&lt;br&gt;&lt;div class=""audio""&gt;[sound:ふし.mp3]&lt;/div&gt;")</f>
        <v>&lt;ruby&gt;節&lt;rt&gt;ふし&lt;/rt&gt;&lt;/ruby&gt;&lt;br&gt;&lt;div class="audio"&gt;[sound:ふし.mp3]&lt;/div&gt;</v>
      </c>
      <c r="H2806" s="3" t="str">
        <f t="shared" si="1"/>
        <v>(n): khớp</v>
      </c>
      <c r="I2806" s="6" t="s">
        <v>15338</v>
      </c>
      <c r="J2806" s="6" t="s">
        <v>15339</v>
      </c>
      <c r="K2806" s="7">
        <f t="shared" si="2"/>
        <v>0.2963785281</v>
      </c>
    </row>
    <row r="2807">
      <c r="A2807" s="4">
        <v>2807.0</v>
      </c>
      <c r="B2807" s="5" t="s">
        <v>15340</v>
      </c>
      <c r="C2807" s="5" t="s">
        <v>15341</v>
      </c>
      <c r="D2807" s="5" t="s">
        <v>15340</v>
      </c>
      <c r="E2807" s="6" t="s">
        <v>74</v>
      </c>
      <c r="F2807" s="6" t="s">
        <v>15342</v>
      </c>
      <c r="G2807" s="3" t="str">
        <f>IFERROR(__xludf.DUMMYFUNCTION("REGEXREPLACE(
D2807,
""([一-龯々]+)\[([^\]]+)\]"",
""&lt;ruby&gt;$1&lt;rt&gt;$2&lt;/rt&gt;&lt;/ruby&gt;""
)&amp;""&lt;br&gt;&lt;div class=""""audio""""&gt;[sound:""&amp;C2807&amp;"".mp3]&lt;/div&gt;"""),"ミルク&lt;br&gt;&lt;div class=""audio""&gt;[sound:みるく.mp3]&lt;/div&gt;")</f>
        <v>ミルク&lt;br&gt;&lt;div class="audio"&gt;[sound:みるく.mp3]&lt;/div&gt;</v>
      </c>
      <c r="H2807" s="3" t="str">
        <f t="shared" si="1"/>
        <v>(n): sữa</v>
      </c>
      <c r="I2807" s="6" t="s">
        <v>15343</v>
      </c>
      <c r="J2807" s="6" t="s">
        <v>15344</v>
      </c>
      <c r="K2807" s="7">
        <f t="shared" si="2"/>
        <v>0.186963968</v>
      </c>
    </row>
    <row r="2808">
      <c r="A2808" s="4">
        <v>2808.0</v>
      </c>
      <c r="B2808" s="5" t="s">
        <v>15345</v>
      </c>
      <c r="C2808" s="5" t="s">
        <v>15346</v>
      </c>
      <c r="D2808" s="5" t="s">
        <v>15347</v>
      </c>
      <c r="E2808" s="6" t="s">
        <v>74</v>
      </c>
      <c r="F2808" s="6" t="s">
        <v>15348</v>
      </c>
      <c r="G2808" s="3" t="str">
        <f>IFERROR(__xludf.DUMMYFUNCTION("REGEXREPLACE(
D2808,
""([一-龯々]+)\[([^\]]+)\]"",
""&lt;ruby&gt;$1&lt;rt&gt;$2&lt;/rt&gt;&lt;/ruby&gt;""
)&amp;""&lt;br&gt;&lt;div class=""""audio""""&gt;[sound:""&amp;C2808&amp;"".mp3]&lt;/div&gt;"""),"&lt;ruby&gt;猫&lt;rt&gt;ねこ&lt;/rt&gt;&lt;/ruby&gt;&lt;br&gt;&lt;div class=""audio""&gt;[sound:ねこ.mp3]&lt;/div&gt;")</f>
        <v>&lt;ruby&gt;猫&lt;rt&gt;ねこ&lt;/rt&gt;&lt;/ruby&gt;&lt;br&gt;&lt;div class="audio"&gt;[sound:ねこ.mp3]&lt;/div&gt;</v>
      </c>
      <c r="H2808" s="3" t="str">
        <f t="shared" si="1"/>
        <v>(n): mèo</v>
      </c>
      <c r="I2808" s="6" t="s">
        <v>15349</v>
      </c>
      <c r="J2808" s="6" t="s">
        <v>15350</v>
      </c>
      <c r="K2808" s="7">
        <f t="shared" si="2"/>
        <v>0.1140811303</v>
      </c>
    </row>
    <row r="2809">
      <c r="A2809" s="4">
        <v>2809.0</v>
      </c>
      <c r="B2809" s="5" t="s">
        <v>15351</v>
      </c>
      <c r="C2809" s="5" t="s">
        <v>15352</v>
      </c>
      <c r="D2809" s="5" t="s">
        <v>15353</v>
      </c>
      <c r="E2809" s="6" t="s">
        <v>74</v>
      </c>
      <c r="F2809" s="6" t="s">
        <v>1963</v>
      </c>
      <c r="G2809" s="3" t="str">
        <f>IFERROR(__xludf.DUMMYFUNCTION("REGEXREPLACE(
D2809,
""([一-龯々]+)\[([^\]]+)\]"",
""&lt;ruby&gt;$1&lt;rt&gt;$2&lt;/rt&gt;&lt;/ruby&gt;""
)&amp;""&lt;br&gt;&lt;div class=""""audio""""&gt;[sound:""&amp;C2809&amp;"".mp3]&lt;/div&gt;"""),"&lt;ruby&gt;弁当&lt;rt&gt;べんとう&lt;/rt&gt;&lt;/ruby&gt;&lt;br&gt;&lt;div class=""audio""&gt;[sound:べんとう.mp3]&lt;/div&gt;")</f>
        <v>&lt;ruby&gt;弁当&lt;rt&gt;べんとう&lt;/rt&gt;&lt;/ruby&gt;&lt;br&gt;&lt;div class="audio"&gt;[sound:べんとう.mp3]&lt;/div&gt;</v>
      </c>
      <c r="H2809" s="3" t="str">
        <f t="shared" si="1"/>
        <v>(n): cơm hộp</v>
      </c>
      <c r="I2809" s="6" t="s">
        <v>15354</v>
      </c>
      <c r="J2809" s="6" t="s">
        <v>1965</v>
      </c>
      <c r="K2809" s="7">
        <f t="shared" si="2"/>
        <v>0.2274341262</v>
      </c>
    </row>
    <row r="2810">
      <c r="A2810" s="4">
        <v>2810.0</v>
      </c>
      <c r="B2810" s="5" t="s">
        <v>15355</v>
      </c>
      <c r="C2810" s="5" t="s">
        <v>15355</v>
      </c>
      <c r="D2810" s="5" t="s">
        <v>15355</v>
      </c>
      <c r="E2810" s="6" t="s">
        <v>74</v>
      </c>
      <c r="F2810" s="6" t="s">
        <v>15356</v>
      </c>
      <c r="G2810" s="3" t="str">
        <f>IFERROR(__xludf.DUMMYFUNCTION("REGEXREPLACE(
D2810,
""([一-龯々]+)\[([^\]]+)\]"",
""&lt;ruby&gt;$1&lt;rt&gt;$2&lt;/rt&gt;&lt;/ruby&gt;""
)&amp;""&lt;br&gt;&lt;div class=""""audio""""&gt;[sound:""&amp;C2810&amp;"".mp3]&lt;/div&gt;"""),"ねじ&lt;br&gt;&lt;div class=""audio""&gt;[sound:ねじ.mp3]&lt;/div&gt;")</f>
        <v>ねじ&lt;br&gt;&lt;div class="audio"&gt;[sound:ねじ.mp3]&lt;/div&gt;</v>
      </c>
      <c r="H2810" s="3" t="str">
        <f t="shared" si="1"/>
        <v>(n): ốc vít</v>
      </c>
      <c r="I2810" s="6" t="s">
        <v>15357</v>
      </c>
      <c r="J2810" s="6" t="s">
        <v>15358</v>
      </c>
      <c r="K2810" s="7">
        <f t="shared" si="2"/>
        <v>0.6653448344</v>
      </c>
    </row>
    <row r="2811">
      <c r="A2811" s="4">
        <v>2811.0</v>
      </c>
      <c r="B2811" s="5" t="s">
        <v>15359</v>
      </c>
      <c r="C2811" s="5" t="s">
        <v>15360</v>
      </c>
      <c r="D2811" s="5" t="s">
        <v>15361</v>
      </c>
      <c r="E2811" s="6" t="s">
        <v>74</v>
      </c>
      <c r="F2811" s="6" t="s">
        <v>15362</v>
      </c>
      <c r="G2811" s="3" t="str">
        <f>IFERROR(__xludf.DUMMYFUNCTION("REGEXREPLACE(
D2811,
""([一-龯々]+)\[([^\]]+)\]"",
""&lt;ruby&gt;$1&lt;rt&gt;$2&lt;/rt&gt;&lt;/ruby&gt;""
)&amp;""&lt;br&gt;&lt;div class=""""audio""""&gt;[sound:""&amp;C2811&amp;"".mp3]&lt;/div&gt;"""),"&lt;ruby&gt;赤&lt;rt&gt;あか&lt;/rt&gt;&lt;/ruby&gt;ちゃん&lt;br&gt;&lt;div class=""audio""&gt;[sound:あかちゃん.mp3]&lt;/div&gt;")</f>
        <v>&lt;ruby&gt;赤&lt;rt&gt;あか&lt;/rt&gt;&lt;/ruby&gt;ちゃん&lt;br&gt;&lt;div class="audio"&gt;[sound:あかちゃん.mp3]&lt;/div&gt;</v>
      </c>
      <c r="H2811" s="3" t="str">
        <f t="shared" si="1"/>
        <v>(n): em bé</v>
      </c>
      <c r="I2811" s="6" t="s">
        <v>15363</v>
      </c>
      <c r="J2811" s="6" t="s">
        <v>15364</v>
      </c>
      <c r="K2811" s="7">
        <f t="shared" si="2"/>
        <v>0.6312602646</v>
      </c>
    </row>
    <row r="2812">
      <c r="A2812" s="4">
        <v>2812.0</v>
      </c>
      <c r="B2812" s="5" t="s">
        <v>15365</v>
      </c>
      <c r="C2812" s="5" t="s">
        <v>15366</v>
      </c>
      <c r="D2812" s="5" t="s">
        <v>15365</v>
      </c>
      <c r="E2812" s="6" t="s">
        <v>74</v>
      </c>
      <c r="F2812" s="6" t="s">
        <v>15367</v>
      </c>
      <c r="G2812" s="3" t="str">
        <f>IFERROR(__xludf.DUMMYFUNCTION("REGEXREPLACE(
D2812,
""([一-龯々]+)\[([^\]]+)\]"",
""&lt;ruby&gt;$1&lt;rt&gt;$2&lt;/rt&gt;&lt;/ruby&gt;""
)&amp;""&lt;br&gt;&lt;div class=""""audio""""&gt;[sound:""&amp;C2812&amp;"".mp3]&lt;/div&gt;"""),"ロビー&lt;br&gt;&lt;div class=""audio""&gt;[sound:ろびー.mp3]&lt;/div&gt;")</f>
        <v>ロビー&lt;br&gt;&lt;div class="audio"&gt;[sound:ろびー.mp3]&lt;/div&gt;</v>
      </c>
      <c r="H2812" s="3" t="str">
        <f t="shared" si="1"/>
        <v>(n): sảnh</v>
      </c>
      <c r="I2812" s="6" t="s">
        <v>15368</v>
      </c>
      <c r="J2812" s="6" t="s">
        <v>15369</v>
      </c>
      <c r="K2812" s="7">
        <f t="shared" si="2"/>
        <v>0.02777267359</v>
      </c>
    </row>
    <row r="2813">
      <c r="A2813" s="4">
        <v>2813.0</v>
      </c>
      <c r="B2813" s="5" t="s">
        <v>15370</v>
      </c>
      <c r="C2813" s="5" t="s">
        <v>15371</v>
      </c>
      <c r="D2813" s="5" t="s">
        <v>15372</v>
      </c>
      <c r="E2813" s="6" t="s">
        <v>24</v>
      </c>
      <c r="F2813" s="6" t="s">
        <v>12078</v>
      </c>
      <c r="G2813" s="3" t="str">
        <f>IFERROR(__xludf.DUMMYFUNCTION("REGEXREPLACE(
D2813,
""([一-龯々]+)\[([^\]]+)\]"",
""&lt;ruby&gt;$1&lt;rt&gt;$2&lt;/rt&gt;&lt;/ruby&gt;""
)&amp;""&lt;br&gt;&lt;div class=""""audio""""&gt;[sound:""&amp;C2813&amp;"".mp3]&lt;/div&gt;"""),"&lt;ruby&gt;誘&lt;rt&gt;さそ&lt;/rt&gt;&lt;/ruby&gt;う&lt;br&gt;&lt;div class=""audio""&gt;[sound:さそう.mp3]&lt;/div&gt;")</f>
        <v>&lt;ruby&gt;誘&lt;rt&gt;さそ&lt;/rt&gt;&lt;/ruby&gt;う&lt;br&gt;&lt;div class="audio"&gt;[sound:さそう.mp3]&lt;/div&gt;</v>
      </c>
      <c r="H2813" s="3" t="str">
        <f t="shared" si="1"/>
        <v>(v): mời</v>
      </c>
      <c r="I2813" s="6" t="s">
        <v>15373</v>
      </c>
      <c r="J2813" s="6" t="s">
        <v>12080</v>
      </c>
      <c r="K2813" s="7">
        <f t="shared" si="2"/>
        <v>0.5383005597</v>
      </c>
    </row>
    <row r="2814">
      <c r="A2814" s="4">
        <v>2814.0</v>
      </c>
      <c r="B2814" s="5" t="s">
        <v>15374</v>
      </c>
      <c r="C2814" s="5" t="s">
        <v>15375</v>
      </c>
      <c r="D2814" s="5" t="s">
        <v>15376</v>
      </c>
      <c r="E2814" s="6" t="s">
        <v>74</v>
      </c>
      <c r="F2814" s="6" t="s">
        <v>9226</v>
      </c>
      <c r="G2814" s="3" t="str">
        <f>IFERROR(__xludf.DUMMYFUNCTION("REGEXREPLACE(
D2814,
""([一-龯々]+)\[([^\]]+)\]"",
""&lt;ruby&gt;$1&lt;rt&gt;$2&lt;/rt&gt;&lt;/ruby&gt;""
)&amp;""&lt;br&gt;&lt;div class=""""audio""""&gt;[sound:""&amp;C2814&amp;"".mp3]&lt;/div&gt;"""),"&lt;ruby&gt;飯&lt;rt&gt;めし&lt;/rt&gt;&lt;/ruby&gt;&lt;br&gt;&lt;div class=""audio""&gt;[sound:めし.mp3]&lt;/div&gt;")</f>
        <v>&lt;ruby&gt;飯&lt;rt&gt;めし&lt;/rt&gt;&lt;/ruby&gt;&lt;br&gt;&lt;div class="audio"&gt;[sound:めし.mp3]&lt;/div&gt;</v>
      </c>
      <c r="H2814" s="3" t="str">
        <f t="shared" si="1"/>
        <v>(n): cơm</v>
      </c>
      <c r="I2814" s="6" t="s">
        <v>15377</v>
      </c>
      <c r="J2814" s="6" t="s">
        <v>15378</v>
      </c>
      <c r="K2814" s="7">
        <f t="shared" si="2"/>
        <v>0.3802092503</v>
      </c>
    </row>
    <row r="2815">
      <c r="A2815" s="4">
        <v>2815.0</v>
      </c>
      <c r="B2815" s="5" t="s">
        <v>15379</v>
      </c>
      <c r="C2815" s="5" t="s">
        <v>15380</v>
      </c>
      <c r="D2815" s="5" t="s">
        <v>15381</v>
      </c>
      <c r="E2815" s="6" t="s">
        <v>24</v>
      </c>
      <c r="F2815" s="6" t="s">
        <v>15382</v>
      </c>
      <c r="G2815" s="3" t="str">
        <f>IFERROR(__xludf.DUMMYFUNCTION("REGEXREPLACE(
D2815,
""([一-龯々]+)\[([^\]]+)\]"",
""&lt;ruby&gt;$1&lt;rt&gt;$2&lt;/rt&gt;&lt;/ruby&gt;""
)&amp;""&lt;br&gt;&lt;div class=""""audio""""&gt;[sound:""&amp;C2815&amp;"".mp3]&lt;/div&gt;"""),"&lt;ruby&gt;迷&lt;rt&gt;まよ&lt;/rt&gt;&lt;/ruby&gt;う&lt;br&gt;&lt;div class=""audio""&gt;[sound:まよう.mp3]&lt;/div&gt;")</f>
        <v>&lt;ruby&gt;迷&lt;rt&gt;まよ&lt;/rt&gt;&lt;/ruby&gt;う&lt;br&gt;&lt;div class="audio"&gt;[sound:まよう.mp3]&lt;/div&gt;</v>
      </c>
      <c r="H2815" s="3" t="str">
        <f t="shared" si="1"/>
        <v>(v): phân vân</v>
      </c>
      <c r="I2815" s="6" t="s">
        <v>15383</v>
      </c>
      <c r="J2815" s="6" t="s">
        <v>15384</v>
      </c>
      <c r="K2815" s="7">
        <f t="shared" si="2"/>
        <v>0.04945186944</v>
      </c>
    </row>
    <row r="2816">
      <c r="A2816" s="4">
        <v>2816.0</v>
      </c>
      <c r="B2816" s="5" t="s">
        <v>15385</v>
      </c>
      <c r="C2816" s="5" t="s">
        <v>15386</v>
      </c>
      <c r="D2816" s="5" t="s">
        <v>15385</v>
      </c>
      <c r="E2816" s="6" t="s">
        <v>74</v>
      </c>
      <c r="F2816" s="6" t="s">
        <v>15387</v>
      </c>
      <c r="G2816" s="3" t="str">
        <f>IFERROR(__xludf.DUMMYFUNCTION("REGEXREPLACE(
D2816,
""([一-龯々]+)\[([^\]]+)\]"",
""&lt;ruby&gt;$1&lt;rt&gt;$2&lt;/rt&gt;&lt;/ruby&gt;""
)&amp;""&lt;br&gt;&lt;div class=""""audio""""&gt;[sound:""&amp;C2816&amp;"".mp3]&lt;/div&gt;"""),"マッサージ&lt;br&gt;&lt;div class=""audio""&gt;[sound:まっさーじ.mp3]&lt;/div&gt;")</f>
        <v>マッサージ&lt;br&gt;&lt;div class="audio"&gt;[sound:まっさーじ.mp3]&lt;/div&gt;</v>
      </c>
      <c r="H2816" s="3" t="str">
        <f t="shared" si="1"/>
        <v>(n): mát-xa</v>
      </c>
      <c r="I2816" s="6" t="s">
        <v>15388</v>
      </c>
      <c r="J2816" s="6" t="s">
        <v>15389</v>
      </c>
      <c r="K2816" s="7">
        <f t="shared" si="2"/>
        <v>0.7403592942</v>
      </c>
    </row>
    <row r="2817">
      <c r="A2817" s="4">
        <v>2817.0</v>
      </c>
      <c r="B2817" s="5" t="s">
        <v>15390</v>
      </c>
      <c r="C2817" s="5" t="s">
        <v>15391</v>
      </c>
      <c r="D2817" s="5" t="s">
        <v>15392</v>
      </c>
      <c r="E2817" s="6" t="s">
        <v>74</v>
      </c>
      <c r="F2817" s="6" t="s">
        <v>15393</v>
      </c>
      <c r="G2817" s="3" t="str">
        <f>IFERROR(__xludf.DUMMYFUNCTION("REGEXREPLACE(
D2817,
""([一-龯々]+)\[([^\]]+)\]"",
""&lt;ruby&gt;$1&lt;rt&gt;$2&lt;/rt&gt;&lt;/ruby&gt;""
)&amp;""&lt;br&gt;&lt;div class=""""audio""""&gt;[sound:""&amp;C2817&amp;"".mp3]&lt;/div&gt;"""),"&lt;ruby&gt;速度&lt;rt&gt;そくど&lt;/rt&gt;&lt;/ruby&gt;&lt;br&gt;&lt;div class=""audio""&gt;[sound:そくど.mp3]&lt;/div&gt;")</f>
        <v>&lt;ruby&gt;速度&lt;rt&gt;そくど&lt;/rt&gt;&lt;/ruby&gt;&lt;br&gt;&lt;div class="audio"&gt;[sound:そくど.mp3]&lt;/div&gt;</v>
      </c>
      <c r="H2817" s="3" t="str">
        <f t="shared" si="1"/>
        <v>(n): tốc độ</v>
      </c>
      <c r="I2817" s="6" t="s">
        <v>15394</v>
      </c>
      <c r="J2817" s="6" t="s">
        <v>15395</v>
      </c>
      <c r="K2817" s="7">
        <f t="shared" si="2"/>
        <v>0.4467773404</v>
      </c>
    </row>
    <row r="2818">
      <c r="A2818" s="4">
        <v>2818.0</v>
      </c>
      <c r="B2818" s="5" t="s">
        <v>15396</v>
      </c>
      <c r="C2818" s="5" t="s">
        <v>15397</v>
      </c>
      <c r="D2818" s="5" t="s">
        <v>15398</v>
      </c>
      <c r="E2818" s="6" t="s">
        <v>74</v>
      </c>
      <c r="F2818" s="6" t="s">
        <v>13025</v>
      </c>
      <c r="G2818" s="3" t="str">
        <f>IFERROR(__xludf.DUMMYFUNCTION("REGEXREPLACE(
D2818,
""([一-龯々]+)\[([^\]]+)\]"",
""&lt;ruby&gt;$1&lt;rt&gt;$2&lt;/rt&gt;&lt;/ruby&gt;""
)&amp;""&lt;br&gt;&lt;div class=""""audio""""&gt;[sound:""&amp;C2818&amp;"".mp3]&lt;/div&gt;"""),"&lt;ruby&gt;割合&lt;rt&gt;わりあい&lt;/rt&gt;&lt;/ruby&gt;&lt;br&gt;&lt;div class=""audio""&gt;[sound:わりあい.mp3]&lt;/div&gt;")</f>
        <v>&lt;ruby&gt;割合&lt;rt&gt;わりあい&lt;/rt&gt;&lt;/ruby&gt;&lt;br&gt;&lt;div class="audio"&gt;[sound:わりあい.mp3]&lt;/div&gt;</v>
      </c>
      <c r="H2818" s="3" t="str">
        <f t="shared" si="1"/>
        <v>(n): tỷ lệ</v>
      </c>
      <c r="I2818" s="6" t="s">
        <v>15399</v>
      </c>
      <c r="J2818" s="6" t="s">
        <v>15400</v>
      </c>
      <c r="K2818" s="7">
        <f t="shared" si="2"/>
        <v>0.618658114</v>
      </c>
    </row>
    <row r="2819">
      <c r="A2819" s="4">
        <v>2819.0</v>
      </c>
      <c r="B2819" s="5" t="s">
        <v>15401</v>
      </c>
      <c r="C2819" s="5" t="s">
        <v>8725</v>
      </c>
      <c r="D2819" s="5" t="s">
        <v>15402</v>
      </c>
      <c r="E2819" s="6" t="s">
        <v>24</v>
      </c>
      <c r="F2819" s="6" t="s">
        <v>15403</v>
      </c>
      <c r="G2819" s="3" t="str">
        <f>IFERROR(__xludf.DUMMYFUNCTION("REGEXREPLACE(
D2819,
""([一-龯々]+)\[([^\]]+)\]"",
""&lt;ruby&gt;$1&lt;rt&gt;$2&lt;/rt&gt;&lt;/ruby&gt;""
)&amp;""&lt;br&gt;&lt;div class=""""audio""""&gt;[sound:""&amp;C2819&amp;"".mp3]&lt;/div&gt;"""),"&lt;ruby&gt;空&lt;rt&gt;あ&lt;/rt&gt;&lt;/ruby&gt;く&lt;br&gt;&lt;div class=""audio""&gt;[sound:あく.mp3]&lt;/div&gt;")</f>
        <v>&lt;ruby&gt;空&lt;rt&gt;あ&lt;/rt&gt;&lt;/ruby&gt;く&lt;br&gt;&lt;div class="audio"&gt;[sound:あく.mp3]&lt;/div&gt;</v>
      </c>
      <c r="H2819" s="3" t="str">
        <f t="shared" si="1"/>
        <v>(v): trống</v>
      </c>
      <c r="I2819" s="6" t="s">
        <v>15404</v>
      </c>
      <c r="J2819" s="6" t="s">
        <v>15405</v>
      </c>
      <c r="K2819" s="7">
        <f t="shared" si="2"/>
        <v>0.1938903743</v>
      </c>
    </row>
    <row r="2820">
      <c r="A2820" s="4">
        <v>2820.0</v>
      </c>
      <c r="B2820" s="5" t="s">
        <v>15406</v>
      </c>
      <c r="C2820" s="5" t="s">
        <v>15407</v>
      </c>
      <c r="D2820" s="5" t="s">
        <v>15408</v>
      </c>
      <c r="E2820" s="6" t="s">
        <v>11</v>
      </c>
      <c r="F2820" s="6" t="s">
        <v>1724</v>
      </c>
      <c r="G2820" s="3" t="str">
        <f>IFERROR(__xludf.DUMMYFUNCTION("REGEXREPLACE(
D2820,
""([一-龯々]+)\[([^\]]+)\]"",
""&lt;ruby&gt;$1&lt;rt&gt;$2&lt;/rt&gt;&lt;/ruby&gt;""
)&amp;""&lt;br&gt;&lt;div class=""""audio""""&gt;[sound:""&amp;C2820&amp;"".mp3]&lt;/div&gt;"""),"&lt;ruby&gt;冷&lt;rt&gt;つめ&lt;/rt&gt;&lt;/ruby&gt;たい&lt;br&gt;&lt;div class=""audio""&gt;[sound:つめたい.mp3]&lt;/div&gt;")</f>
        <v>&lt;ruby&gt;冷&lt;rt&gt;つめ&lt;/rt&gt;&lt;/ruby&gt;たい&lt;br&gt;&lt;div class="audio"&gt;[sound:つめたい.mp3]&lt;/div&gt;</v>
      </c>
      <c r="H2820" s="3" t="str">
        <f t="shared" si="1"/>
        <v>(adj): lạnh</v>
      </c>
      <c r="I2820" s="6" t="s">
        <v>15409</v>
      </c>
      <c r="J2820" s="6" t="s">
        <v>15410</v>
      </c>
      <c r="K2820" s="7">
        <f t="shared" si="2"/>
        <v>0.7737360846</v>
      </c>
    </row>
    <row r="2821">
      <c r="A2821" s="4">
        <v>2821.0</v>
      </c>
      <c r="B2821" s="5" t="s">
        <v>15411</v>
      </c>
      <c r="C2821" s="5" t="s">
        <v>15412</v>
      </c>
      <c r="D2821" s="5" t="s">
        <v>15413</v>
      </c>
      <c r="E2821" s="6" t="s">
        <v>24</v>
      </c>
      <c r="F2821" s="6" t="s">
        <v>4264</v>
      </c>
      <c r="G2821" s="3" t="str">
        <f>IFERROR(__xludf.DUMMYFUNCTION("REGEXREPLACE(
D2821,
""([一-龯々]+)\[([^\]]+)\]"",
""&lt;ruby&gt;$1&lt;rt&gt;$2&lt;/rt&gt;&lt;/ruby&gt;""
)&amp;""&lt;br&gt;&lt;div class=""""audio""""&gt;[sound:""&amp;C2821&amp;"".mp3]&lt;/div&gt;"""),"&lt;ruby&gt;磨&lt;rt&gt;みが&lt;/rt&gt;&lt;/ruby&gt;く&lt;br&gt;&lt;div class=""audio""&gt;[sound:みがく.mp3]&lt;/div&gt;")</f>
        <v>&lt;ruby&gt;磨&lt;rt&gt;みが&lt;/rt&gt;&lt;/ruby&gt;く&lt;br&gt;&lt;div class="audio"&gt;[sound:みがく.mp3]&lt;/div&gt;</v>
      </c>
      <c r="H2821" s="3" t="str">
        <f t="shared" si="1"/>
        <v>(v): đánh</v>
      </c>
      <c r="I2821" s="6" t="s">
        <v>15414</v>
      </c>
      <c r="J2821" s="6" t="s">
        <v>15415</v>
      </c>
      <c r="K2821" s="7">
        <f t="shared" si="2"/>
        <v>0.1532204191</v>
      </c>
    </row>
    <row r="2822">
      <c r="A2822" s="4">
        <v>2822.0</v>
      </c>
      <c r="B2822" s="5" t="s">
        <v>15416</v>
      </c>
      <c r="C2822" s="5" t="s">
        <v>15417</v>
      </c>
      <c r="D2822" s="5" t="s">
        <v>15418</v>
      </c>
      <c r="E2822" s="6" t="s">
        <v>74</v>
      </c>
      <c r="F2822" s="6" t="s">
        <v>15419</v>
      </c>
      <c r="G2822" s="3" t="str">
        <f>IFERROR(__xludf.DUMMYFUNCTION("REGEXREPLACE(
D2822,
""([一-龯々]+)\[([^\]]+)\]"",
""&lt;ruby&gt;$1&lt;rt&gt;$2&lt;/rt&gt;&lt;/ruby&gt;""
)&amp;""&lt;br&gt;&lt;div class=""""audio""""&gt;[sound:""&amp;C2822&amp;"".mp3]&lt;/div&gt;"""),"&lt;ruby&gt;鍵&lt;rt&gt;かぎ&lt;/rt&gt;&lt;/ruby&gt;&lt;br&gt;&lt;div class=""audio""&gt;[sound:かぎ.mp3]&lt;/div&gt;")</f>
        <v>&lt;ruby&gt;鍵&lt;rt&gt;かぎ&lt;/rt&gt;&lt;/ruby&gt;&lt;br&gt;&lt;div class="audio"&gt;[sound:かぎ.mp3]&lt;/div&gt;</v>
      </c>
      <c r="H2822" s="3" t="str">
        <f t="shared" si="1"/>
        <v>(n): chìa khóa</v>
      </c>
      <c r="I2822" s="6" t="s">
        <v>15420</v>
      </c>
      <c r="J2822" s="6" t="s">
        <v>15421</v>
      </c>
      <c r="K2822" s="7">
        <f t="shared" si="2"/>
        <v>0.1770186006</v>
      </c>
    </row>
    <row r="2823">
      <c r="A2823" s="4">
        <v>2823.0</v>
      </c>
      <c r="B2823" s="5" t="s">
        <v>15422</v>
      </c>
      <c r="C2823" s="5" t="s">
        <v>62</v>
      </c>
      <c r="D2823" s="5" t="s">
        <v>15423</v>
      </c>
      <c r="E2823" s="6" t="s">
        <v>74</v>
      </c>
      <c r="F2823" s="6" t="s">
        <v>6632</v>
      </c>
      <c r="G2823" s="3" t="str">
        <f>IFERROR(__xludf.DUMMYFUNCTION("REGEXREPLACE(
D2823,
""([一-龯々]+)\[([^\]]+)\]"",
""&lt;ruby&gt;$1&lt;rt&gt;$2&lt;/rt&gt;&lt;/ruby&gt;""
)&amp;""&lt;br&gt;&lt;div class=""""audio""""&gt;[sound:""&amp;C2823&amp;"".mp3]&lt;/div&gt;"""),"&lt;ruby&gt;戸&lt;rt&gt;と&lt;/rt&gt;&lt;/ruby&gt;&lt;br&gt;&lt;div class=""audio""&gt;[sound:と.mp3]&lt;/div&gt;")</f>
        <v>&lt;ruby&gt;戸&lt;rt&gt;と&lt;/rt&gt;&lt;/ruby&gt;&lt;br&gt;&lt;div class="audio"&gt;[sound:と.mp3]&lt;/div&gt;</v>
      </c>
      <c r="H2823" s="3" t="str">
        <f t="shared" si="1"/>
        <v>(n): cửa</v>
      </c>
      <c r="I2823" s="6" t="s">
        <v>15424</v>
      </c>
      <c r="J2823" s="6" t="s">
        <v>15425</v>
      </c>
      <c r="K2823" s="7">
        <f t="shared" si="2"/>
        <v>0.1177857473</v>
      </c>
    </row>
    <row r="2824">
      <c r="A2824" s="4">
        <v>2824.0</v>
      </c>
      <c r="B2824" s="5" t="s">
        <v>15426</v>
      </c>
      <c r="C2824" s="5" t="s">
        <v>15427</v>
      </c>
      <c r="D2824" s="5" t="s">
        <v>15428</v>
      </c>
      <c r="E2824" s="6" t="s">
        <v>24</v>
      </c>
      <c r="F2824" s="6" t="s">
        <v>15429</v>
      </c>
      <c r="G2824" s="3" t="str">
        <f>IFERROR(__xludf.DUMMYFUNCTION("REGEXREPLACE(
D2824,
""([一-龯々]+)\[([^\]]+)\]"",
""&lt;ruby&gt;$1&lt;rt&gt;$2&lt;/rt&gt;&lt;/ruby&gt;""
)&amp;""&lt;br&gt;&lt;div class=""""audio""""&gt;[sound:""&amp;C2824&amp;"".mp3]&lt;/div&gt;"""),"&lt;ruby&gt;乗車&lt;rt&gt;じょうしゃ&lt;/rt&gt;&lt;/ruby&gt;&lt;br&gt;&lt;div class=""audio""&gt;[sound:じょうしゃ.mp3]&lt;/div&gt;")</f>
        <v>&lt;ruby&gt;乗車&lt;rt&gt;じょうしゃ&lt;/rt&gt;&lt;/ruby&gt;&lt;br&gt;&lt;div class="audio"&gt;[sound:じょうしゃ.mp3]&lt;/div&gt;</v>
      </c>
      <c r="H2824" s="3" t="str">
        <f t="shared" si="1"/>
        <v>(v): lên tàu</v>
      </c>
      <c r="I2824" s="6" t="s">
        <v>15430</v>
      </c>
      <c r="J2824" s="6" t="s">
        <v>15431</v>
      </c>
      <c r="K2824" s="7">
        <f t="shared" si="2"/>
        <v>0.8571321185</v>
      </c>
    </row>
    <row r="2825">
      <c r="A2825" s="4">
        <v>2825.0</v>
      </c>
      <c r="B2825" s="5" t="s">
        <v>15432</v>
      </c>
      <c r="C2825" s="5" t="s">
        <v>15433</v>
      </c>
      <c r="D2825" s="5" t="s">
        <v>15434</v>
      </c>
      <c r="E2825" s="6" t="s">
        <v>74</v>
      </c>
      <c r="F2825" s="6" t="s">
        <v>15435</v>
      </c>
      <c r="G2825" s="3" t="str">
        <f>IFERROR(__xludf.DUMMYFUNCTION("REGEXREPLACE(
D2825,
""([一-龯々]+)\[([^\]]+)\]"",
""&lt;ruby&gt;$1&lt;rt&gt;$2&lt;/rt&gt;&lt;/ruby&gt;""
)&amp;""&lt;br&gt;&lt;div class=""""audio""""&gt;[sound:""&amp;C2825&amp;"".mp3]&lt;/div&gt;"""),"&lt;ruby&gt;門&lt;rt&gt;もん&lt;/rt&gt;&lt;/ruby&gt;&lt;br&gt;&lt;div class=""audio""&gt;[sound:もん.mp3]&lt;/div&gt;")</f>
        <v>&lt;ruby&gt;門&lt;rt&gt;もん&lt;/rt&gt;&lt;/ruby&gt;&lt;br&gt;&lt;div class="audio"&gt;[sound:もん.mp3]&lt;/div&gt;</v>
      </c>
      <c r="H2825" s="3" t="str">
        <f t="shared" si="1"/>
        <v>(n): cổng</v>
      </c>
      <c r="I2825" s="6" t="s">
        <v>15436</v>
      </c>
      <c r="J2825" s="6" t="s">
        <v>15437</v>
      </c>
      <c r="K2825" s="7">
        <f t="shared" si="2"/>
        <v>0.4950159749</v>
      </c>
    </row>
    <row r="2826">
      <c r="A2826" s="4">
        <v>2826.0</v>
      </c>
      <c r="B2826" s="5" t="s">
        <v>15438</v>
      </c>
      <c r="C2826" s="5" t="s">
        <v>15439</v>
      </c>
      <c r="D2826" s="5" t="s">
        <v>15440</v>
      </c>
      <c r="E2826" s="6" t="s">
        <v>74</v>
      </c>
      <c r="F2826" s="6" t="s">
        <v>15441</v>
      </c>
      <c r="G2826" s="3" t="str">
        <f>IFERROR(__xludf.DUMMYFUNCTION("REGEXREPLACE(
D2826,
""([一-龯々]+)\[([^\]]+)\]"",
""&lt;ruby&gt;$1&lt;rt&gt;$2&lt;/rt&gt;&lt;/ruby&gt;""
)&amp;""&lt;br&gt;&lt;div class=""""audio""""&gt;[sound:""&amp;C2826&amp;"".mp3]&lt;/div&gt;"""),"&lt;ruby&gt;心臓&lt;rt&gt;しんぞう&lt;/rt&gt;&lt;/ruby&gt;&lt;br&gt;&lt;div class=""audio""&gt;[sound:しんぞう.mp3]&lt;/div&gt;")</f>
        <v>&lt;ruby&gt;心臓&lt;rt&gt;しんぞう&lt;/rt&gt;&lt;/ruby&gt;&lt;br&gt;&lt;div class="audio"&gt;[sound:しんぞう.mp3]&lt;/div&gt;</v>
      </c>
      <c r="H2826" s="3" t="str">
        <f t="shared" si="1"/>
        <v>(n): tim</v>
      </c>
      <c r="I2826" s="6" t="s">
        <v>15442</v>
      </c>
      <c r="J2826" s="6" t="s">
        <v>15443</v>
      </c>
      <c r="K2826" s="7">
        <f t="shared" si="2"/>
        <v>0.1756043169</v>
      </c>
    </row>
    <row r="2827">
      <c r="A2827" s="4">
        <v>2827.0</v>
      </c>
      <c r="B2827" s="5" t="s">
        <v>15444</v>
      </c>
      <c r="C2827" s="5" t="s">
        <v>6620</v>
      </c>
      <c r="D2827" s="5" t="s">
        <v>15445</v>
      </c>
      <c r="E2827" s="6" t="s">
        <v>24</v>
      </c>
      <c r="F2827" s="6" t="s">
        <v>6622</v>
      </c>
      <c r="G2827" s="3" t="str">
        <f>IFERROR(__xludf.DUMMYFUNCTION("REGEXREPLACE(
D2827,
""([一-龯々]+)\[([^\]]+)\]"",
""&lt;ruby&gt;$1&lt;rt&gt;$2&lt;/rt&gt;&lt;/ruby&gt;""
)&amp;""&lt;br&gt;&lt;div class=""""audio""""&gt;[sound:""&amp;C2827&amp;"".mp3]&lt;/div&gt;"""),"&lt;ruby&gt;登&lt;rt&gt;のぼ&lt;/rt&gt;&lt;/ruby&gt;る&lt;br&gt;&lt;div class=""audio""&gt;[sound:のぼる.mp3]&lt;/div&gt;")</f>
        <v>&lt;ruby&gt;登&lt;rt&gt;のぼ&lt;/rt&gt;&lt;/ruby&gt;る&lt;br&gt;&lt;div class="audio"&gt;[sound:のぼる.mp3]&lt;/div&gt;</v>
      </c>
      <c r="H2827" s="3" t="str">
        <f t="shared" si="1"/>
        <v>(v): leo</v>
      </c>
      <c r="I2827" s="6" t="s">
        <v>15446</v>
      </c>
      <c r="J2827" s="6" t="s">
        <v>15447</v>
      </c>
      <c r="K2827" s="7">
        <f t="shared" si="2"/>
        <v>0.3585736276</v>
      </c>
    </row>
    <row r="2828">
      <c r="A2828" s="4">
        <v>2828.0</v>
      </c>
      <c r="B2828" s="5" t="s">
        <v>15448</v>
      </c>
      <c r="C2828" s="5" t="s">
        <v>7251</v>
      </c>
      <c r="D2828" s="5" t="s">
        <v>15449</v>
      </c>
      <c r="E2828" s="6" t="s">
        <v>24</v>
      </c>
      <c r="F2828" s="6" t="s">
        <v>15450</v>
      </c>
      <c r="G2828" s="3" t="str">
        <f>IFERROR(__xludf.DUMMYFUNCTION("REGEXREPLACE(
D2828,
""([一-龯々]+)\[([^\]]+)\]"",
""&lt;ruby&gt;$1&lt;rt&gt;$2&lt;/rt&gt;&lt;/ruby&gt;""
)&amp;""&lt;br&gt;&lt;div class=""""audio""""&gt;[sound:""&amp;C2828&amp;"".mp3]&lt;/div&gt;"""),"&lt;ruby&gt;貼&lt;rt&gt;は&lt;/rt&gt;&lt;/ruby&gt;る&lt;br&gt;&lt;div class=""audio""&gt;[sound:はる.mp3]&lt;/div&gt;")</f>
        <v>&lt;ruby&gt;貼&lt;rt&gt;は&lt;/rt&gt;&lt;/ruby&gt;る&lt;br&gt;&lt;div class="audio"&gt;[sound:はる.mp3]&lt;/div&gt;</v>
      </c>
      <c r="H2828" s="3" t="str">
        <f t="shared" si="1"/>
        <v>(v): dán</v>
      </c>
      <c r="I2828" s="6" t="s">
        <v>15451</v>
      </c>
      <c r="J2828" s="6" t="s">
        <v>15452</v>
      </c>
      <c r="K2828" s="7">
        <f t="shared" si="2"/>
        <v>0.5387351691</v>
      </c>
    </row>
    <row r="2829">
      <c r="A2829" s="4">
        <v>2829.0</v>
      </c>
      <c r="B2829" s="5" t="s">
        <v>15453</v>
      </c>
      <c r="C2829" s="5" t="s">
        <v>15454</v>
      </c>
      <c r="D2829" s="5" t="s">
        <v>15455</v>
      </c>
      <c r="E2829" s="6" t="s">
        <v>74</v>
      </c>
      <c r="F2829" s="6" t="s">
        <v>2599</v>
      </c>
      <c r="G2829" s="3" t="str">
        <f>IFERROR(__xludf.DUMMYFUNCTION("REGEXREPLACE(
D2829,
""([一-龯々]+)\[([^\]]+)\]"",
""&lt;ruby&gt;$1&lt;rt&gt;$2&lt;/rt&gt;&lt;/ruby&gt;""
)&amp;""&lt;br&gt;&lt;div class=""""audio""""&gt;[sound:""&amp;C2829&amp;"".mp3]&lt;/div&gt;"""),"&lt;ruby&gt;資本&lt;rt&gt;しほん&lt;/rt&gt;&lt;/ruby&gt;&lt;br&gt;&lt;div class=""audio""&gt;[sound:しほん.mp3]&lt;/div&gt;")</f>
        <v>&lt;ruby&gt;資本&lt;rt&gt;しほん&lt;/rt&gt;&lt;/ruby&gt;&lt;br&gt;&lt;div class="audio"&gt;[sound:しほん.mp3]&lt;/div&gt;</v>
      </c>
      <c r="H2829" s="3" t="str">
        <f t="shared" si="1"/>
        <v>(n): vốn</v>
      </c>
      <c r="I2829" s="6" t="s">
        <v>15456</v>
      </c>
      <c r="J2829" s="6" t="s">
        <v>15457</v>
      </c>
      <c r="K2829" s="7">
        <f t="shared" si="2"/>
        <v>0.3637146757</v>
      </c>
    </row>
    <row r="2830">
      <c r="A2830" s="4">
        <v>2830.0</v>
      </c>
      <c r="B2830" s="5" t="s">
        <v>15458</v>
      </c>
      <c r="C2830" s="5" t="s">
        <v>13674</v>
      </c>
      <c r="D2830" s="5" t="s">
        <v>15459</v>
      </c>
      <c r="E2830" s="6" t="s">
        <v>74</v>
      </c>
      <c r="F2830" s="6" t="s">
        <v>15460</v>
      </c>
      <c r="G2830" s="3" t="str">
        <f>IFERROR(__xludf.DUMMYFUNCTION("REGEXREPLACE(
D2830,
""([一-龯々]+)\[([^\]]+)\]"",
""&lt;ruby&gt;$1&lt;rt&gt;$2&lt;/rt&gt;&lt;/ruby&gt;""
)&amp;""&lt;br&gt;&lt;div class=""""audio""""&gt;[sound:""&amp;C2830&amp;"".mp3]&lt;/div&gt;"""),"&lt;ruby&gt;帽子&lt;rt&gt;ぼうし&lt;/rt&gt;&lt;/ruby&gt;&lt;br&gt;&lt;div class=""audio""&gt;[sound:ぼうし.mp3]&lt;/div&gt;")</f>
        <v>&lt;ruby&gt;帽子&lt;rt&gt;ぼうし&lt;/rt&gt;&lt;/ruby&gt;&lt;br&gt;&lt;div class="audio"&gt;[sound:ぼうし.mp3]&lt;/div&gt;</v>
      </c>
      <c r="H2830" s="3" t="str">
        <f t="shared" si="1"/>
        <v>(n): mũ</v>
      </c>
      <c r="I2830" s="6" t="s">
        <v>15461</v>
      </c>
      <c r="J2830" s="6" t="s">
        <v>15462</v>
      </c>
      <c r="K2830" s="7">
        <f t="shared" si="2"/>
        <v>0.6594817272</v>
      </c>
    </row>
    <row r="2831">
      <c r="A2831" s="4">
        <v>2831.0</v>
      </c>
      <c r="B2831" s="5" t="s">
        <v>15463</v>
      </c>
      <c r="C2831" s="5" t="s">
        <v>6096</v>
      </c>
      <c r="D2831" s="5" t="s">
        <v>15464</v>
      </c>
      <c r="E2831" s="6" t="s">
        <v>74</v>
      </c>
      <c r="F2831" s="6" t="s">
        <v>15465</v>
      </c>
      <c r="G2831" s="3" t="str">
        <f>IFERROR(__xludf.DUMMYFUNCTION("REGEXREPLACE(
D2831,
""([一-龯々]+)\[([^\]]+)\]"",
""&lt;ruby&gt;$1&lt;rt&gt;$2&lt;/rt&gt;&lt;/ruby&gt;""
)&amp;""&lt;br&gt;&lt;div class=""""audio""""&gt;[sound:""&amp;C2831&amp;"".mp3]&lt;/div&gt;"""),"&lt;ruby&gt;礼&lt;rt&gt;れい&lt;/rt&gt;&lt;/ruby&gt;&lt;br&gt;&lt;div class=""audio""&gt;[sound:れい.mp3]&lt;/div&gt;")</f>
        <v>&lt;ruby&gt;礼&lt;rt&gt;れい&lt;/rt&gt;&lt;/ruby&gt;&lt;br&gt;&lt;div class="audio"&gt;[sound:れい.mp3]&lt;/div&gt;</v>
      </c>
      <c r="H2831" s="3" t="str">
        <f t="shared" si="1"/>
        <v>(n): lễ</v>
      </c>
      <c r="I2831" s="6" t="s">
        <v>15466</v>
      </c>
      <c r="J2831" s="6" t="s">
        <v>15467</v>
      </c>
      <c r="K2831" s="7">
        <f t="shared" si="2"/>
        <v>0.4183227823</v>
      </c>
    </row>
    <row r="2832">
      <c r="A2832" s="4">
        <v>2832.0</v>
      </c>
      <c r="B2832" s="5" t="s">
        <v>15468</v>
      </c>
      <c r="C2832" s="5" t="s">
        <v>15469</v>
      </c>
      <c r="D2832" s="5" t="s">
        <v>15470</v>
      </c>
      <c r="E2832" s="6" t="s">
        <v>74</v>
      </c>
      <c r="F2832" s="6" t="s">
        <v>15471</v>
      </c>
      <c r="G2832" s="3" t="str">
        <f>IFERROR(__xludf.DUMMYFUNCTION("REGEXREPLACE(
D2832,
""([一-龯々]+)\[([^\]]+)\]"",
""&lt;ruby&gt;$1&lt;rt&gt;$2&lt;/rt&gt;&lt;/ruby&gt;""
)&amp;""&lt;br&gt;&lt;div class=""""audio""""&gt;[sound:""&amp;C2832&amp;"".mp3]&lt;/div&gt;"""),"&lt;ruby&gt;国産&lt;rt&gt;こくさん&lt;/rt&gt;&lt;/ruby&gt;&lt;br&gt;&lt;div class=""audio""&gt;[sound:こくさん.mp3]&lt;/div&gt;")</f>
        <v>&lt;ruby&gt;国産&lt;rt&gt;こくさん&lt;/rt&gt;&lt;/ruby&gt;&lt;br&gt;&lt;div class="audio"&gt;[sound:こくさん.mp3]&lt;/div&gt;</v>
      </c>
      <c r="H2832" s="3" t="str">
        <f t="shared" si="1"/>
        <v>(n): sản phẩm trong nước</v>
      </c>
      <c r="I2832" s="6" t="s">
        <v>15472</v>
      </c>
      <c r="J2832" s="6" t="s">
        <v>15473</v>
      </c>
      <c r="K2832" s="7">
        <f t="shared" si="2"/>
        <v>0.4088781292</v>
      </c>
    </row>
    <row r="2833">
      <c r="A2833" s="4">
        <v>2833.0</v>
      </c>
      <c r="B2833" s="5" t="s">
        <v>15474</v>
      </c>
      <c r="C2833" s="5" t="s">
        <v>709</v>
      </c>
      <c r="D2833" s="5" t="s">
        <v>15475</v>
      </c>
      <c r="E2833" s="6" t="s">
        <v>24</v>
      </c>
      <c r="F2833" s="6" t="s">
        <v>15476</v>
      </c>
      <c r="G2833" s="3" t="str">
        <f>IFERROR(__xludf.DUMMYFUNCTION("REGEXREPLACE(
D2833,
""([一-龯々]+)\[([^\]]+)\]"",
""&lt;ruby&gt;$1&lt;rt&gt;$2&lt;/rt&gt;&lt;/ruby&gt;""
)&amp;""&lt;br&gt;&lt;div class=""""audio""""&gt;[sound:""&amp;C2833&amp;"".mp3]&lt;/div&gt;"""),"&lt;ruby&gt;練&lt;rt&gt;ね&lt;/rt&gt;&lt;/ruby&gt;る&lt;br&gt;&lt;div class=""audio""&gt;[sound:ねる.mp3]&lt;/div&gt;")</f>
        <v>&lt;ruby&gt;練&lt;rt&gt;ね&lt;/rt&gt;&lt;/ruby&gt;る&lt;br&gt;&lt;div class="audio"&gt;[sound:ねる.mp3]&lt;/div&gt;</v>
      </c>
      <c r="H2833" s="3" t="str">
        <f t="shared" si="1"/>
        <v>(v): trau chuốt</v>
      </c>
      <c r="I2833" s="6" t="s">
        <v>15477</v>
      </c>
      <c r="J2833" s="6" t="s">
        <v>15478</v>
      </c>
      <c r="K2833" s="7">
        <f t="shared" si="2"/>
        <v>0.9342971736</v>
      </c>
    </row>
    <row r="2834">
      <c r="A2834" s="4">
        <v>2834.0</v>
      </c>
      <c r="B2834" s="5" t="s">
        <v>15479</v>
      </c>
      <c r="C2834" s="5" t="s">
        <v>15480</v>
      </c>
      <c r="D2834" s="5" t="s">
        <v>15479</v>
      </c>
      <c r="E2834" s="6" t="s">
        <v>74</v>
      </c>
      <c r="F2834" s="6" t="s">
        <v>15481</v>
      </c>
      <c r="G2834" s="3" t="str">
        <f>IFERROR(__xludf.DUMMYFUNCTION("REGEXREPLACE(
D2834,
""([一-龯々]+)\[([^\]]+)\]"",
""&lt;ruby&gt;$1&lt;rt&gt;$2&lt;/rt&gt;&lt;/ruby&gt;""
)&amp;""&lt;br&gt;&lt;div class=""""audio""""&gt;[sound:""&amp;C2834&amp;"".mp3]&lt;/div&gt;"""),"パチンコ&lt;br&gt;&lt;div class=""audio""&gt;[sound:ぱちんこ.mp3]&lt;/div&gt;")</f>
        <v>パチンコ&lt;br&gt;&lt;div class="audio"&gt;[sound:ぱちんこ.mp3]&lt;/div&gt;</v>
      </c>
      <c r="H2834" s="3" t="str">
        <f t="shared" si="1"/>
        <v>(n): trò chơi pachinko</v>
      </c>
      <c r="I2834" s="6" t="s">
        <v>15482</v>
      </c>
      <c r="J2834" s="6" t="s">
        <v>15483</v>
      </c>
      <c r="K2834" s="7">
        <f t="shared" si="2"/>
        <v>0.5281600667</v>
      </c>
    </row>
    <row r="2835">
      <c r="A2835" s="4">
        <v>2835.0</v>
      </c>
      <c r="B2835" s="5" t="s">
        <v>15484</v>
      </c>
      <c r="C2835" s="5" t="s">
        <v>15485</v>
      </c>
      <c r="D2835" s="5" t="s">
        <v>15486</v>
      </c>
      <c r="E2835" s="6" t="s">
        <v>74</v>
      </c>
      <c r="F2835" s="6" t="s">
        <v>15487</v>
      </c>
      <c r="G2835" s="3" t="str">
        <f>IFERROR(__xludf.DUMMYFUNCTION("REGEXREPLACE(
D2835,
""([一-龯々]+)\[([^\]]+)\]"",
""&lt;ruby&gt;$1&lt;rt&gt;$2&lt;/rt&gt;&lt;/ruby&gt;""
)&amp;""&lt;br&gt;&lt;div class=""""audio""""&gt;[sound:""&amp;C2835&amp;"".mp3]&lt;/div&gt;"""),"&lt;ruby&gt;構想&lt;rt&gt;こうそう&lt;/rt&gt;&lt;/ruby&gt;&lt;br&gt;&lt;div class=""audio""&gt;[sound:こうそう.mp3]&lt;/div&gt;")</f>
        <v>&lt;ruby&gt;構想&lt;rt&gt;こうそう&lt;/rt&gt;&lt;/ruby&gt;&lt;br&gt;&lt;div class="audio"&gt;[sound:こうそう.mp3]&lt;/div&gt;</v>
      </c>
      <c r="H2835" s="3" t="str">
        <f t="shared" si="1"/>
        <v>(n): ý tưởng</v>
      </c>
      <c r="I2835" s="6" t="s">
        <v>15488</v>
      </c>
      <c r="J2835" s="6" t="s">
        <v>15489</v>
      </c>
      <c r="K2835" s="7">
        <f t="shared" si="2"/>
        <v>0.824538153</v>
      </c>
    </row>
    <row r="2836">
      <c r="A2836" s="4">
        <v>2836.0</v>
      </c>
      <c r="B2836" s="5" t="s">
        <v>15490</v>
      </c>
      <c r="C2836" s="5" t="s">
        <v>15491</v>
      </c>
      <c r="D2836" s="5" t="s">
        <v>15492</v>
      </c>
      <c r="E2836" s="6" t="s">
        <v>74</v>
      </c>
      <c r="F2836" s="6" t="s">
        <v>15493</v>
      </c>
      <c r="G2836" s="3" t="str">
        <f>IFERROR(__xludf.DUMMYFUNCTION("REGEXREPLACE(
D2836,
""([一-龯々]+)\[([^\]]+)\]"",
""&lt;ruby&gt;$1&lt;rt&gt;$2&lt;/rt&gt;&lt;/ruby&gt;""
)&amp;""&lt;br&gt;&lt;div class=""""audio""""&gt;[sound:""&amp;C2836&amp;"".mp3]&lt;/div&gt;"""),"&lt;ruby&gt;議題&lt;rt&gt;ぎだい&lt;/rt&gt;&lt;/ruby&gt;&lt;br&gt;&lt;div class=""audio""&gt;[sound:ぎだい.mp3]&lt;/div&gt;")</f>
        <v>&lt;ruby&gt;議題&lt;rt&gt;ぎだい&lt;/rt&gt;&lt;/ruby&gt;&lt;br&gt;&lt;div class="audio"&gt;[sound:ぎだい.mp3]&lt;/div&gt;</v>
      </c>
      <c r="H2836" s="3" t="str">
        <f t="shared" si="1"/>
        <v>(n): chủ đề thảo luận</v>
      </c>
      <c r="I2836" s="6" t="s">
        <v>15494</v>
      </c>
      <c r="J2836" s="6" t="s">
        <v>15495</v>
      </c>
      <c r="K2836" s="7">
        <f t="shared" si="2"/>
        <v>0.07776191395</v>
      </c>
    </row>
    <row r="2837">
      <c r="A2837" s="4">
        <v>2837.0</v>
      </c>
      <c r="B2837" s="5" t="s">
        <v>15496</v>
      </c>
      <c r="C2837" s="5" t="s">
        <v>15497</v>
      </c>
      <c r="D2837" s="5" t="s">
        <v>15498</v>
      </c>
      <c r="E2837" s="6" t="s">
        <v>24</v>
      </c>
      <c r="F2837" s="6" t="s">
        <v>15499</v>
      </c>
      <c r="G2837" s="3" t="str">
        <f>IFERROR(__xludf.DUMMYFUNCTION("REGEXREPLACE(
D2837,
""([一-龯々]+)\[([^\]]+)\]"",
""&lt;ruby&gt;$1&lt;rt&gt;$2&lt;/rt&gt;&lt;/ruby&gt;""
)&amp;""&lt;br&gt;&lt;div class=""""audio""""&gt;[sound:""&amp;C2837&amp;"".mp3]&lt;/div&gt;"""),"&lt;ruby&gt;叶&lt;rt&gt;かな&lt;/rt&gt;&lt;/ruby&gt;う&lt;br&gt;&lt;div class=""audio""&gt;[sound:かなう.mp3]&lt;/div&gt;")</f>
        <v>&lt;ruby&gt;叶&lt;rt&gt;かな&lt;/rt&gt;&lt;/ruby&gt;う&lt;br&gt;&lt;div class="audio"&gt;[sound:かなう.mp3]&lt;/div&gt;</v>
      </c>
      <c r="H2837" s="3" t="str">
        <f t="shared" si="1"/>
        <v>(v): thành hiện thực</v>
      </c>
      <c r="I2837" s="6" t="s">
        <v>15500</v>
      </c>
      <c r="J2837" s="6" t="s">
        <v>15501</v>
      </c>
      <c r="K2837" s="7">
        <f t="shared" si="2"/>
        <v>0.7345549435</v>
      </c>
    </row>
    <row r="2838">
      <c r="A2838" s="4">
        <v>2838.0</v>
      </c>
      <c r="B2838" s="5" t="s">
        <v>15502</v>
      </c>
      <c r="C2838" s="5" t="s">
        <v>15502</v>
      </c>
      <c r="D2838" s="5" t="s">
        <v>15502</v>
      </c>
      <c r="E2838" s="6" t="s">
        <v>11</v>
      </c>
      <c r="F2838" s="6" t="s">
        <v>11011</v>
      </c>
      <c r="G2838" s="3" t="str">
        <f>IFERROR(__xludf.DUMMYFUNCTION("REGEXREPLACE(
D2838,
""([一-龯々]+)\[([^\]]+)\]"",
""&lt;ruby&gt;$1&lt;rt&gt;$2&lt;/rt&gt;&lt;/ruby&gt;""
)&amp;""&lt;br&gt;&lt;div class=""""audio""""&gt;[sound:""&amp;C2838&amp;"".mp3]&lt;/div&gt;"""),"かなわない&lt;br&gt;&lt;div class=""audio""&gt;[sound:かなわない.mp3]&lt;/div&gt;")</f>
        <v>かなわない&lt;br&gt;&lt;div class="audio"&gt;[sound:かなわない.mp3]&lt;/div&gt;</v>
      </c>
      <c r="H2838" s="3" t="str">
        <f t="shared" si="1"/>
        <v>(adj): không chịu nổi</v>
      </c>
      <c r="I2838" s="6" t="s">
        <v>15503</v>
      </c>
      <c r="J2838" s="6" t="s">
        <v>11013</v>
      </c>
      <c r="K2838" s="7">
        <f t="shared" si="2"/>
        <v>0.3732143535</v>
      </c>
    </row>
    <row r="2839">
      <c r="A2839" s="4">
        <v>2839.0</v>
      </c>
      <c r="B2839" s="5" t="s">
        <v>15504</v>
      </c>
      <c r="C2839" s="5" t="s">
        <v>15505</v>
      </c>
      <c r="D2839" s="5" t="s">
        <v>15506</v>
      </c>
      <c r="E2839" s="6" t="s">
        <v>85</v>
      </c>
      <c r="F2839" s="6" t="s">
        <v>10632</v>
      </c>
      <c r="G2839" s="3" t="str">
        <f>IFERROR(__xludf.DUMMYFUNCTION("REGEXREPLACE(
D2839,
""([一-龯々]+)\[([^\]]+)\]"",
""&lt;ruby&gt;$1&lt;rt&gt;$2&lt;/rt&gt;&lt;/ruby&gt;""
)&amp;""&lt;br&gt;&lt;div class=""""audio""""&gt;[sound:""&amp;C2839&amp;"".mp3]&lt;/div&gt;"""),"&lt;ruby&gt;何&lt;rt&gt;なん&lt;/rt&gt;&lt;/ruby&gt;だか&lt;br&gt;&lt;div class=""audio""&gt;[sound:なんだか.mp3]&lt;/div&gt;")</f>
        <v>&lt;ruby&gt;何&lt;rt&gt;なん&lt;/rt&gt;&lt;/ruby&gt;だか&lt;br&gt;&lt;div class="audio"&gt;[sound:なんだか.mp3]&lt;/div&gt;</v>
      </c>
      <c r="H2839" s="3" t="str">
        <f t="shared" si="1"/>
        <v>(adv): không hiểu sao</v>
      </c>
      <c r="I2839" s="6" t="s">
        <v>15507</v>
      </c>
      <c r="J2839" s="6" t="s">
        <v>15508</v>
      </c>
      <c r="K2839" s="7">
        <f t="shared" si="2"/>
        <v>0.8330357</v>
      </c>
    </row>
    <row r="2840">
      <c r="A2840" s="4">
        <v>2840.0</v>
      </c>
      <c r="B2840" s="5" t="s">
        <v>15509</v>
      </c>
      <c r="C2840" s="5" t="s">
        <v>15510</v>
      </c>
      <c r="D2840" s="5" t="s">
        <v>15511</v>
      </c>
      <c r="E2840" s="6" t="s">
        <v>74</v>
      </c>
      <c r="F2840" s="6" t="s">
        <v>15512</v>
      </c>
      <c r="G2840" s="3" t="str">
        <f>IFERROR(__xludf.DUMMYFUNCTION("REGEXREPLACE(
D2840,
""([一-龯々]+)\[([^\]]+)\]"",
""&lt;ruby&gt;$1&lt;rt&gt;$2&lt;/rt&gt;&lt;/ruby&gt;""
)&amp;""&lt;br&gt;&lt;div class=""""audio""""&gt;[sound:""&amp;C2840&amp;"".mp3]&lt;/div&gt;"""),"&lt;ruby&gt;原点&lt;rt&gt;げんてん&lt;/rt&gt;&lt;/ruby&gt;&lt;br&gt;&lt;div class=""audio""&gt;[sound:げんてん.mp3]&lt;/div&gt;")</f>
        <v>&lt;ruby&gt;原点&lt;rt&gt;げんてん&lt;/rt&gt;&lt;/ruby&gt;&lt;br&gt;&lt;div class="audio"&gt;[sound:げんてん.mp3]&lt;/div&gt;</v>
      </c>
      <c r="H2840" s="3" t="str">
        <f t="shared" si="1"/>
        <v>(n): điểm xuất phát</v>
      </c>
      <c r="I2840" s="6" t="s">
        <v>15513</v>
      </c>
      <c r="J2840" s="6" t="s">
        <v>15514</v>
      </c>
      <c r="K2840" s="7">
        <f t="shared" si="2"/>
        <v>0.2743229393</v>
      </c>
    </row>
    <row r="2841">
      <c r="A2841" s="4">
        <v>2841.0</v>
      </c>
      <c r="B2841" s="5" t="s">
        <v>15515</v>
      </c>
      <c r="C2841" s="5" t="s">
        <v>15516</v>
      </c>
      <c r="D2841" s="5" t="s">
        <v>15515</v>
      </c>
      <c r="E2841" s="6" t="s">
        <v>74</v>
      </c>
      <c r="F2841" s="6" t="s">
        <v>15517</v>
      </c>
      <c r="G2841" s="3" t="str">
        <f>IFERROR(__xludf.DUMMYFUNCTION("REGEXREPLACE(
D2841,
""([一-龯々]+)\[([^\]]+)\]"",
""&lt;ruby&gt;$1&lt;rt&gt;$2&lt;/rt&gt;&lt;/ruby&gt;""
)&amp;""&lt;br&gt;&lt;div class=""""audio""""&gt;[sound:""&amp;C2841&amp;"".mp3]&lt;/div&gt;"""),"バット&lt;br&gt;&lt;div class=""audio""&gt;[sound:ばっと.mp3]&lt;/div&gt;")</f>
        <v>バット&lt;br&gt;&lt;div class="audio"&gt;[sound:ばっと.mp3]&lt;/div&gt;</v>
      </c>
      <c r="H2841" s="3" t="str">
        <f t="shared" si="1"/>
        <v>(n): gậy bóng chày</v>
      </c>
      <c r="I2841" s="6" t="s">
        <v>15518</v>
      </c>
      <c r="J2841" s="6" t="s">
        <v>15519</v>
      </c>
      <c r="K2841" s="7">
        <f t="shared" si="2"/>
        <v>0.5640166991</v>
      </c>
    </row>
    <row r="2842">
      <c r="A2842" s="4">
        <v>2842.0</v>
      </c>
      <c r="B2842" s="5" t="s">
        <v>15520</v>
      </c>
      <c r="C2842" s="5" t="s">
        <v>15521</v>
      </c>
      <c r="D2842" s="5" t="s">
        <v>15522</v>
      </c>
      <c r="E2842" s="6" t="s">
        <v>24</v>
      </c>
      <c r="F2842" s="6" t="s">
        <v>15523</v>
      </c>
      <c r="G2842" s="3" t="str">
        <f>IFERROR(__xludf.DUMMYFUNCTION("REGEXREPLACE(
D2842,
""([一-龯々]+)\[([^\]]+)\]"",
""&lt;ruby&gt;$1&lt;rt&gt;$2&lt;/rt&gt;&lt;/ruby&gt;""
)&amp;""&lt;br&gt;&lt;div class=""""audio""""&gt;[sound:""&amp;C2842&amp;"".mp3]&lt;/div&gt;"""),"&lt;ruby&gt;備&lt;rt&gt;そな&lt;/rt&gt;&lt;/ruby&gt;わる&lt;br&gt;&lt;div class=""audio""&gt;[sound:そなわる.mp3]&lt;/div&gt;")</f>
        <v>&lt;ruby&gt;備&lt;rt&gt;そな&lt;/rt&gt;&lt;/ruby&gt;わる&lt;br&gt;&lt;div class="audio"&gt;[sound:そなわる.mp3]&lt;/div&gt;</v>
      </c>
      <c r="H2842" s="3" t="str">
        <f t="shared" si="1"/>
        <v>(v): được trang bị</v>
      </c>
      <c r="I2842" s="6" t="s">
        <v>15524</v>
      </c>
      <c r="J2842" s="6" t="s">
        <v>15525</v>
      </c>
      <c r="K2842" s="7">
        <f t="shared" si="2"/>
        <v>0.3546094533</v>
      </c>
    </row>
    <row r="2843">
      <c r="A2843" s="4">
        <v>2843.0</v>
      </c>
      <c r="B2843" s="5" t="s">
        <v>15526</v>
      </c>
      <c r="C2843" s="5" t="s">
        <v>15527</v>
      </c>
      <c r="D2843" s="5" t="s">
        <v>15528</v>
      </c>
      <c r="E2843" s="6" t="s">
        <v>74</v>
      </c>
      <c r="F2843" s="6" t="s">
        <v>15529</v>
      </c>
      <c r="G2843" s="3" t="str">
        <f>IFERROR(__xludf.DUMMYFUNCTION("REGEXREPLACE(
D2843,
""([一-龯々]+)\[([^\]]+)\]"",
""&lt;ruby&gt;$1&lt;rt&gt;$2&lt;/rt&gt;&lt;/ruby&gt;""
)&amp;""&lt;br&gt;&lt;div class=""""audio""""&gt;[sound:""&amp;C2843&amp;"".mp3]&lt;/div&gt;"""),"&lt;ruby&gt;特許&lt;rt&gt;とっきょ&lt;/rt&gt;&lt;/ruby&gt;&lt;br&gt;&lt;div class=""audio""&gt;[sound:とっきょ.mp3]&lt;/div&gt;")</f>
        <v>&lt;ruby&gt;特許&lt;rt&gt;とっきょ&lt;/rt&gt;&lt;/ruby&gt;&lt;br&gt;&lt;div class="audio"&gt;[sound:とっきょ.mp3]&lt;/div&gt;</v>
      </c>
      <c r="H2843" s="3" t="str">
        <f t="shared" si="1"/>
        <v>(n): bằng sáng chế</v>
      </c>
      <c r="I2843" s="6" t="s">
        <v>15530</v>
      </c>
      <c r="J2843" s="6" t="s">
        <v>15531</v>
      </c>
      <c r="K2843" s="7">
        <f t="shared" si="2"/>
        <v>0.2691352329</v>
      </c>
    </row>
    <row r="2844">
      <c r="A2844" s="4">
        <v>2844.0</v>
      </c>
      <c r="B2844" s="5" t="s">
        <v>15532</v>
      </c>
      <c r="C2844" s="5" t="s">
        <v>15533</v>
      </c>
      <c r="D2844" s="5" t="s">
        <v>15534</v>
      </c>
      <c r="E2844" s="6" t="s">
        <v>74</v>
      </c>
      <c r="F2844" s="6" t="s">
        <v>15535</v>
      </c>
      <c r="G2844" s="3" t="str">
        <f>IFERROR(__xludf.DUMMYFUNCTION("REGEXREPLACE(
D2844,
""([一-龯々]+)\[([^\]]+)\]"",
""&lt;ruby&gt;$1&lt;rt&gt;$2&lt;/rt&gt;&lt;/ruby&gt;""
)&amp;""&lt;br&gt;&lt;div class=""""audio""""&gt;[sound:""&amp;C2844&amp;"".mp3]&lt;/div&gt;"""),"&lt;ruby&gt;獲得&lt;rt&gt;かくとく&lt;/rt&gt;&lt;/ruby&gt;&lt;br&gt;&lt;div class=""audio""&gt;[sound:かくとく.mp3]&lt;/div&gt;")</f>
        <v>&lt;ruby&gt;獲得&lt;rt&gt;かくとく&lt;/rt&gt;&lt;/ruby&gt;&lt;br&gt;&lt;div class="audio"&gt;[sound:かくとく.mp3]&lt;/div&gt;</v>
      </c>
      <c r="H2844" s="3" t="str">
        <f t="shared" si="1"/>
        <v>(n): sự giành được</v>
      </c>
      <c r="I2844" s="6" t="s">
        <v>15536</v>
      </c>
      <c r="J2844" s="6" t="s">
        <v>15537</v>
      </c>
      <c r="K2844" s="7">
        <f t="shared" si="2"/>
        <v>0.5627351425</v>
      </c>
    </row>
    <row r="2845">
      <c r="A2845" s="4">
        <v>2845.0</v>
      </c>
      <c r="B2845" s="5" t="s">
        <v>15538</v>
      </c>
      <c r="C2845" s="5" t="s">
        <v>10218</v>
      </c>
      <c r="D2845" s="5" t="s">
        <v>15539</v>
      </c>
      <c r="E2845" s="6" t="s">
        <v>74</v>
      </c>
      <c r="F2845" s="6" t="s">
        <v>6680</v>
      </c>
      <c r="G2845" s="3" t="str">
        <f>IFERROR(__xludf.DUMMYFUNCTION("REGEXREPLACE(
D2845,
""([一-龯々]+)\[([^\]]+)\]"",
""&lt;ruby&gt;$1&lt;rt&gt;$2&lt;/rt&gt;&lt;/ruby&gt;""
)&amp;""&lt;br&gt;&lt;div class=""""audio""""&gt;[sound:""&amp;C2845&amp;"".mp3]&lt;/div&gt;"""),"&lt;ruby&gt;移行&lt;rt&gt;いこう&lt;/rt&gt;&lt;/ruby&gt;&lt;br&gt;&lt;div class=""audio""&gt;[sound:いこう.mp3]&lt;/div&gt;")</f>
        <v>&lt;ruby&gt;移行&lt;rt&gt;いこう&lt;/rt&gt;&lt;/ruby&gt;&lt;br&gt;&lt;div class="audio"&gt;[sound:いこう.mp3]&lt;/div&gt;</v>
      </c>
      <c r="H2845" s="3" t="str">
        <f t="shared" si="1"/>
        <v>(n): sự chuyển đổi</v>
      </c>
      <c r="I2845" s="6" t="s">
        <v>15540</v>
      </c>
      <c r="J2845" s="6" t="s">
        <v>15541</v>
      </c>
      <c r="K2845" s="7">
        <f t="shared" si="2"/>
        <v>0.4095454914</v>
      </c>
    </row>
    <row r="2846">
      <c r="A2846" s="4">
        <v>2846.0</v>
      </c>
      <c r="B2846" s="5" t="s">
        <v>15542</v>
      </c>
      <c r="C2846" s="5" t="s">
        <v>15543</v>
      </c>
      <c r="D2846" s="5" t="s">
        <v>15544</v>
      </c>
      <c r="E2846" s="6" t="s">
        <v>74</v>
      </c>
      <c r="F2846" s="6" t="s">
        <v>15545</v>
      </c>
      <c r="G2846" s="3" t="str">
        <f>IFERROR(__xludf.DUMMYFUNCTION("REGEXREPLACE(
D2846,
""([一-龯々]+)\[([^\]]+)\]"",
""&lt;ruby&gt;$1&lt;rt&gt;$2&lt;/rt&gt;&lt;/ruby&gt;""
)&amp;""&lt;br&gt;&lt;div class=""""audio""""&gt;[sound:""&amp;C2846&amp;"".mp3]&lt;/div&gt;"""),"&lt;ruby&gt;運送&lt;rt&gt;うんそう&lt;/rt&gt;&lt;/ruby&gt;&lt;br&gt;&lt;div class=""audio""&gt;[sound:うんそう.mp3]&lt;/div&gt;")</f>
        <v>&lt;ruby&gt;運送&lt;rt&gt;うんそう&lt;/rt&gt;&lt;/ruby&gt;&lt;br&gt;&lt;div class="audio"&gt;[sound:うんそう.mp3]&lt;/div&gt;</v>
      </c>
      <c r="H2846" s="3" t="str">
        <f t="shared" si="1"/>
        <v>(n): sự vận chuyển</v>
      </c>
      <c r="I2846" s="6" t="s">
        <v>15546</v>
      </c>
      <c r="J2846" s="6" t="s">
        <v>15547</v>
      </c>
      <c r="K2846" s="7">
        <f t="shared" si="2"/>
        <v>0.2045008279</v>
      </c>
    </row>
    <row r="2847">
      <c r="A2847" s="4">
        <v>2847.0</v>
      </c>
      <c r="B2847" s="5" t="s">
        <v>15548</v>
      </c>
      <c r="C2847" s="5" t="s">
        <v>15548</v>
      </c>
      <c r="D2847" s="5" t="s">
        <v>15548</v>
      </c>
      <c r="E2847" s="6" t="s">
        <v>74</v>
      </c>
      <c r="F2847" s="6" t="s">
        <v>15549</v>
      </c>
      <c r="G2847" s="3" t="str">
        <f>IFERROR(__xludf.DUMMYFUNCTION("REGEXREPLACE(
D2847,
""([一-龯々]+)\[([^\]]+)\]"",
""&lt;ruby&gt;$1&lt;rt&gt;$2&lt;/rt&gt;&lt;/ruby&gt;""
)&amp;""&lt;br&gt;&lt;div class=""""audio""""&gt;[sound:""&amp;C2847&amp;"".mp3]&lt;/div&gt;"""),"おまけ&lt;br&gt;&lt;div class=""audio""&gt;[sound:おまけ.mp3]&lt;/div&gt;")</f>
        <v>おまけ&lt;br&gt;&lt;div class="audio"&gt;[sound:おまけ.mp3]&lt;/div&gt;</v>
      </c>
      <c r="H2847" s="3" t="str">
        <f t="shared" si="1"/>
        <v>(n): quà tặng kèm</v>
      </c>
      <c r="I2847" s="6" t="s">
        <v>15550</v>
      </c>
      <c r="J2847" s="6" t="s">
        <v>15551</v>
      </c>
      <c r="K2847" s="7">
        <f t="shared" si="2"/>
        <v>0.09423802129</v>
      </c>
    </row>
    <row r="2848">
      <c r="A2848" s="4">
        <v>2848.0</v>
      </c>
      <c r="B2848" s="5" t="s">
        <v>15552</v>
      </c>
      <c r="C2848" s="5" t="s">
        <v>15553</v>
      </c>
      <c r="D2848" s="5" t="s">
        <v>15554</v>
      </c>
      <c r="E2848" s="6" t="s">
        <v>74</v>
      </c>
      <c r="F2848" s="6" t="s">
        <v>15555</v>
      </c>
      <c r="G2848" s="3" t="str">
        <f>IFERROR(__xludf.DUMMYFUNCTION("REGEXREPLACE(
D2848,
""([一-龯々]+)\[([^\]]+)\]"",
""&lt;ruby&gt;$1&lt;rt&gt;$2&lt;/rt&gt;&lt;/ruby&gt;""
)&amp;""&lt;br&gt;&lt;div class=""""audio""""&gt;[sound:""&amp;C2848&amp;"".mp3]&lt;/div&gt;"""),"&lt;ruby&gt;保育&lt;rt&gt;ほいく&lt;/rt&gt;&lt;/ruby&gt;&lt;br&gt;&lt;div class=""audio""&gt;[sound:ほいく.mp3]&lt;/div&gt;")</f>
        <v>&lt;ruby&gt;保育&lt;rt&gt;ほいく&lt;/rt&gt;&lt;/ruby&gt;&lt;br&gt;&lt;div class="audio"&gt;[sound:ほいく.mp3]&lt;/div&gt;</v>
      </c>
      <c r="H2848" s="3" t="str">
        <f t="shared" si="1"/>
        <v>(n): sự trông trẻ</v>
      </c>
      <c r="I2848" s="6" t="s">
        <v>15556</v>
      </c>
      <c r="J2848" s="6" t="s">
        <v>15557</v>
      </c>
      <c r="K2848" s="7">
        <f t="shared" si="2"/>
        <v>0.2091701898</v>
      </c>
    </row>
    <row r="2849">
      <c r="A2849" s="4">
        <v>2849.0</v>
      </c>
      <c r="B2849" s="5" t="s">
        <v>15558</v>
      </c>
      <c r="C2849" s="5" t="s">
        <v>15559</v>
      </c>
      <c r="D2849" s="5" t="s">
        <v>15560</v>
      </c>
      <c r="E2849" s="6" t="s">
        <v>74</v>
      </c>
      <c r="F2849" s="6" t="s">
        <v>15561</v>
      </c>
      <c r="G2849" s="3" t="str">
        <f>IFERROR(__xludf.DUMMYFUNCTION("REGEXREPLACE(
D2849,
""([一-龯々]+)\[([^\]]+)\]"",
""&lt;ruby&gt;$1&lt;rt&gt;$2&lt;/rt&gt;&lt;/ruby&gt;""
)&amp;""&lt;br&gt;&lt;div class=""""audio""""&gt;[sound:""&amp;C2849&amp;"".mp3]&lt;/div&gt;"""),"&lt;ruby&gt;分裂&lt;rt&gt;ぶんれつ&lt;/rt&gt;&lt;/ruby&gt;&lt;br&gt;&lt;div class=""audio""&gt;[sound:ぶんれつ.mp3]&lt;/div&gt;")</f>
        <v>&lt;ruby&gt;分裂&lt;rt&gt;ぶんれつ&lt;/rt&gt;&lt;/ruby&gt;&lt;br&gt;&lt;div class="audio"&gt;[sound:ぶんれつ.mp3]&lt;/div&gt;</v>
      </c>
      <c r="H2849" s="3" t="str">
        <f t="shared" si="1"/>
        <v>(n): sự phân liệt</v>
      </c>
      <c r="I2849" s="6" t="s">
        <v>15562</v>
      </c>
      <c r="J2849" s="6" t="s">
        <v>15563</v>
      </c>
      <c r="K2849" s="7">
        <f t="shared" si="2"/>
        <v>0.7986770984</v>
      </c>
    </row>
    <row r="2850">
      <c r="A2850" s="4">
        <v>2850.0</v>
      </c>
      <c r="B2850" s="5" t="s">
        <v>15564</v>
      </c>
      <c r="C2850" s="5" t="s">
        <v>15565</v>
      </c>
      <c r="D2850" s="5" t="s">
        <v>15566</v>
      </c>
      <c r="E2850" s="6" t="s">
        <v>74</v>
      </c>
      <c r="F2850" s="6" t="s">
        <v>15567</v>
      </c>
      <c r="G2850" s="3" t="str">
        <f>IFERROR(__xludf.DUMMYFUNCTION("REGEXREPLACE(
D2850,
""([一-龯々]+)\[([^\]]+)\]"",
""&lt;ruby&gt;$1&lt;rt&gt;$2&lt;/rt&gt;&lt;/ruby&gt;""
)&amp;""&lt;br&gt;&lt;div class=""""audio""""&gt;[sound:""&amp;C2850&amp;"".mp3]&lt;/div&gt;"""),"&lt;ruby&gt;取締&lt;rt&gt;と&lt;/rt&gt;&lt;/ruby&gt;り&lt;br&gt;&lt;div class=""audio""&gt;[sound:とりしまり.mp3]&lt;/div&gt;")</f>
        <v>&lt;ruby&gt;取締&lt;rt&gt;と&lt;/rt&gt;&lt;/ruby&gt;り&lt;br&gt;&lt;div class="audio"&gt;[sound:とりしまり.mp3]&lt;/div&gt;</v>
      </c>
      <c r="H2850" s="3" t="str">
        <f t="shared" si="1"/>
        <v>(n): sự kiểm soát</v>
      </c>
      <c r="I2850" s="6" t="s">
        <v>15568</v>
      </c>
      <c r="J2850" s="6" t="s">
        <v>15569</v>
      </c>
      <c r="K2850" s="7">
        <f t="shared" si="2"/>
        <v>0.8115455357</v>
      </c>
    </row>
    <row r="2851">
      <c r="A2851" s="4">
        <v>2851.0</v>
      </c>
      <c r="B2851" s="5" t="s">
        <v>15570</v>
      </c>
      <c r="C2851" s="5" t="s">
        <v>15571</v>
      </c>
      <c r="D2851" s="5" t="s">
        <v>15572</v>
      </c>
      <c r="E2851" s="6" t="s">
        <v>74</v>
      </c>
      <c r="F2851" s="6" t="s">
        <v>15573</v>
      </c>
      <c r="G2851" s="3" t="str">
        <f>IFERROR(__xludf.DUMMYFUNCTION("REGEXREPLACE(
D2851,
""([一-龯々]+)\[([^\]]+)\]"",
""&lt;ruby&gt;$1&lt;rt&gt;$2&lt;/rt&gt;&lt;/ruby&gt;""
)&amp;""&lt;br&gt;&lt;div class=""""audio""""&gt;[sound:""&amp;C2851&amp;"".mp3]&lt;/div&gt;"""),"&lt;ruby&gt;妥協&lt;rt&gt;だきょう&lt;/rt&gt;&lt;/ruby&gt;&lt;br&gt;&lt;div class=""audio""&gt;[sound:だきょう.mp3]&lt;/div&gt;")</f>
        <v>&lt;ruby&gt;妥協&lt;rt&gt;だきょう&lt;/rt&gt;&lt;/ruby&gt;&lt;br&gt;&lt;div class="audio"&gt;[sound:だきょう.mp3]&lt;/div&gt;</v>
      </c>
      <c r="H2851" s="3" t="str">
        <f t="shared" si="1"/>
        <v>(n): sự thỏa hiệp</v>
      </c>
      <c r="I2851" s="6" t="s">
        <v>15574</v>
      </c>
      <c r="J2851" s="6" t="s">
        <v>15575</v>
      </c>
      <c r="K2851" s="7">
        <f t="shared" si="2"/>
        <v>0.03192609263</v>
      </c>
    </row>
    <row r="2852">
      <c r="A2852" s="4">
        <v>2852.0</v>
      </c>
      <c r="B2852" s="5" t="s">
        <v>15576</v>
      </c>
      <c r="C2852" s="5" t="s">
        <v>15577</v>
      </c>
      <c r="D2852" s="5" t="s">
        <v>15578</v>
      </c>
      <c r="E2852" s="6" t="s">
        <v>74</v>
      </c>
      <c r="F2852" s="6" t="s">
        <v>15579</v>
      </c>
      <c r="G2852" s="3" t="str">
        <f>IFERROR(__xludf.DUMMYFUNCTION("REGEXREPLACE(
D2852,
""([一-龯々]+)\[([^\]]+)\]"",
""&lt;ruby&gt;$1&lt;rt&gt;$2&lt;/rt&gt;&lt;/ruby&gt;""
)&amp;""&lt;br&gt;&lt;div class=""""audio""""&gt;[sound:""&amp;C2852&amp;"".mp3]&lt;/div&gt;"""),"&lt;ruby&gt;守備&lt;rt&gt;しゅび&lt;/rt&gt;&lt;/ruby&gt;&lt;br&gt;&lt;div class=""audio""&gt;[sound:しゅび.mp3]&lt;/div&gt;")</f>
        <v>&lt;ruby&gt;守備&lt;rt&gt;しゅび&lt;/rt&gt;&lt;/ruby&gt;&lt;br&gt;&lt;div class="audio"&gt;[sound:しゅび.mp3]&lt;/div&gt;</v>
      </c>
      <c r="H2852" s="3" t="str">
        <f t="shared" si="1"/>
        <v>(n): sự phòng thủ</v>
      </c>
      <c r="I2852" s="6" t="s">
        <v>15580</v>
      </c>
      <c r="J2852" s="6" t="s">
        <v>15581</v>
      </c>
      <c r="K2852" s="7">
        <f t="shared" si="2"/>
        <v>0.6738217253</v>
      </c>
    </row>
    <row r="2853">
      <c r="A2853" s="4">
        <v>2853.0</v>
      </c>
      <c r="B2853" s="5" t="s">
        <v>15582</v>
      </c>
      <c r="C2853" s="5" t="s">
        <v>11909</v>
      </c>
      <c r="D2853" s="5" t="s">
        <v>15583</v>
      </c>
      <c r="E2853" s="6" t="s">
        <v>74</v>
      </c>
      <c r="F2853" s="6" t="s">
        <v>15584</v>
      </c>
      <c r="G2853" s="3" t="str">
        <f>IFERROR(__xludf.DUMMYFUNCTION("REGEXREPLACE(
D2853,
""([一-龯々]+)\[([^\]]+)\]"",
""&lt;ruby&gt;$1&lt;rt&gt;$2&lt;/rt&gt;&lt;/ruby&gt;""
)&amp;""&lt;br&gt;&lt;div class=""""audio""""&gt;[sound:""&amp;C2853&amp;"".mp3]&lt;/div&gt;"""),"&lt;ruby&gt;確立&lt;rt&gt;かくりつ&lt;/rt&gt;&lt;/ruby&gt;&lt;br&gt;&lt;div class=""audio""&gt;[sound:かくりつ.mp3]&lt;/div&gt;")</f>
        <v>&lt;ruby&gt;確立&lt;rt&gt;かくりつ&lt;/rt&gt;&lt;/ruby&gt;&lt;br&gt;&lt;div class="audio"&gt;[sound:かくりつ.mp3]&lt;/div&gt;</v>
      </c>
      <c r="H2853" s="3" t="str">
        <f t="shared" si="1"/>
        <v>(n): sự thiết lập</v>
      </c>
      <c r="I2853" s="6" t="s">
        <v>15585</v>
      </c>
      <c r="J2853" s="6" t="s">
        <v>15586</v>
      </c>
      <c r="K2853" s="7">
        <f t="shared" si="2"/>
        <v>0.4819655702</v>
      </c>
    </row>
    <row r="2854">
      <c r="A2854" s="4">
        <v>2854.0</v>
      </c>
      <c r="B2854" s="5" t="s">
        <v>15587</v>
      </c>
      <c r="C2854" s="5" t="s">
        <v>1820</v>
      </c>
      <c r="D2854" s="5" t="s">
        <v>15588</v>
      </c>
      <c r="E2854" s="6" t="s">
        <v>74</v>
      </c>
      <c r="F2854" s="6" t="s">
        <v>15589</v>
      </c>
      <c r="G2854" s="3" t="str">
        <f>IFERROR(__xludf.DUMMYFUNCTION("REGEXREPLACE(
D2854,
""([一-龯々]+)\[([^\]]+)\]"",
""&lt;ruby&gt;$1&lt;rt&gt;$2&lt;/rt&gt;&lt;/ruby&gt;""
)&amp;""&lt;br&gt;&lt;div class=""""audio""""&gt;[sound:""&amp;C2854&amp;"".mp3]&lt;/div&gt;"""),"&lt;ruby&gt;繁栄&lt;rt&gt;はんえい&lt;/rt&gt;&lt;/ruby&gt;&lt;br&gt;&lt;div class=""audio""&gt;[sound:はんえい.mp3]&lt;/div&gt;")</f>
        <v>&lt;ruby&gt;繁栄&lt;rt&gt;はんえい&lt;/rt&gt;&lt;/ruby&gt;&lt;br&gt;&lt;div class="audio"&gt;[sound:はんえい.mp3]&lt;/div&gt;</v>
      </c>
      <c r="H2854" s="3" t="str">
        <f t="shared" si="1"/>
        <v>(n): sự phồn vinh</v>
      </c>
      <c r="I2854" s="6" t="s">
        <v>15590</v>
      </c>
      <c r="J2854" s="6" t="s">
        <v>15591</v>
      </c>
      <c r="K2854" s="7">
        <f t="shared" si="2"/>
        <v>0.60926445</v>
      </c>
    </row>
    <row r="2855">
      <c r="A2855" s="4">
        <v>2855.0</v>
      </c>
      <c r="B2855" s="5" t="s">
        <v>15592</v>
      </c>
      <c r="C2855" s="5" t="s">
        <v>15593</v>
      </c>
      <c r="D2855" s="5" t="s">
        <v>15594</v>
      </c>
      <c r="E2855" s="6" t="s">
        <v>74</v>
      </c>
      <c r="F2855" s="6" t="s">
        <v>15595</v>
      </c>
      <c r="G2855" s="3" t="str">
        <f>IFERROR(__xludf.DUMMYFUNCTION("REGEXREPLACE(
D2855,
""([一-龯々]+)\[([^\]]+)\]"",
""&lt;ruby&gt;$1&lt;rt&gt;$2&lt;/rt&gt;&lt;/ruby&gt;""
)&amp;""&lt;br&gt;&lt;div class=""""audio""""&gt;[sound:""&amp;C2855&amp;"".mp3]&lt;/div&gt;"""),"&lt;ruby&gt;該当&lt;rt&gt;がいとう&lt;/rt&gt;&lt;/ruby&gt;&lt;br&gt;&lt;div class=""audio""&gt;[sound:がいとう.mp3]&lt;/div&gt;")</f>
        <v>&lt;ruby&gt;該当&lt;rt&gt;がいとう&lt;/rt&gt;&lt;/ruby&gt;&lt;br&gt;&lt;div class="audio"&gt;[sound:がいとう.mp3]&lt;/div&gt;</v>
      </c>
      <c r="H2855" s="3" t="str">
        <f t="shared" si="1"/>
        <v>(n): sự tương ứng</v>
      </c>
      <c r="I2855" s="6" t="s">
        <v>15596</v>
      </c>
      <c r="J2855" s="6" t="s">
        <v>15597</v>
      </c>
      <c r="K2855" s="7">
        <f t="shared" si="2"/>
        <v>0.991040298</v>
      </c>
    </row>
    <row r="2856">
      <c r="A2856" s="4">
        <v>2856.0</v>
      </c>
      <c r="B2856" s="5" t="s">
        <v>15598</v>
      </c>
      <c r="C2856" s="5" t="s">
        <v>15599</v>
      </c>
      <c r="D2856" s="5" t="s">
        <v>15600</v>
      </c>
      <c r="E2856" s="6" t="s">
        <v>74</v>
      </c>
      <c r="F2856" s="6" t="s">
        <v>15601</v>
      </c>
      <c r="G2856" s="3" t="str">
        <f>IFERROR(__xludf.DUMMYFUNCTION("REGEXREPLACE(
D2856,
""([一-龯々]+)\[([^\]]+)\]"",
""&lt;ruby&gt;$1&lt;rt&gt;$2&lt;/rt&gt;&lt;/ruby&gt;""
)&amp;""&lt;br&gt;&lt;div class=""""audio""""&gt;[sound:""&amp;C2856&amp;"".mp3]&lt;/div&gt;"""),"&lt;ruby&gt;貯蓄&lt;rt&gt;ちょちく&lt;/rt&gt;&lt;/ruby&gt;&lt;br&gt;&lt;div class=""audio""&gt;[sound:ちょちく.mp3]&lt;/div&gt;")</f>
        <v>&lt;ruby&gt;貯蓄&lt;rt&gt;ちょちく&lt;/rt&gt;&lt;/ruby&gt;&lt;br&gt;&lt;div class="audio"&gt;[sound:ちょちく.mp3]&lt;/div&gt;</v>
      </c>
      <c r="H2856" s="3" t="str">
        <f t="shared" si="1"/>
        <v>(n): sự tiết kiệm</v>
      </c>
      <c r="I2856" s="6" t="s">
        <v>15602</v>
      </c>
      <c r="J2856" s="6" t="s">
        <v>15603</v>
      </c>
      <c r="K2856" s="7">
        <f t="shared" si="2"/>
        <v>0.05183289123</v>
      </c>
    </row>
    <row r="2857">
      <c r="A2857" s="4">
        <v>2857.0</v>
      </c>
      <c r="B2857" s="5" t="s">
        <v>15604</v>
      </c>
      <c r="C2857" s="5" t="s">
        <v>15605</v>
      </c>
      <c r="D2857" s="5" t="s">
        <v>15606</v>
      </c>
      <c r="E2857" s="6" t="s">
        <v>74</v>
      </c>
      <c r="F2857" s="6" t="s">
        <v>15607</v>
      </c>
      <c r="G2857" s="3" t="str">
        <f>IFERROR(__xludf.DUMMYFUNCTION("REGEXREPLACE(
D2857,
""([一-龯々]+)\[([^\]]+)\]"",
""&lt;ruby&gt;$1&lt;rt&gt;$2&lt;/rt&gt;&lt;/ruby&gt;""
)&amp;""&lt;br&gt;&lt;div class=""""audio""""&gt;[sound:""&amp;C2857&amp;"".mp3]&lt;/div&gt;"""),"&lt;ruby&gt;配分&lt;rt&gt;はいぶん&lt;/rt&gt;&lt;/ruby&gt;&lt;br&gt;&lt;div class=""audio""&gt;[sound:はいぶん.mp3]&lt;/div&gt;")</f>
        <v>&lt;ruby&gt;配分&lt;rt&gt;はいぶん&lt;/rt&gt;&lt;/ruby&gt;&lt;br&gt;&lt;div class="audio"&gt;[sound:はいぶん.mp3]&lt;/div&gt;</v>
      </c>
      <c r="H2857" s="3" t="str">
        <f t="shared" si="1"/>
        <v>(n): sự phân chia</v>
      </c>
      <c r="I2857" s="6" t="s">
        <v>15608</v>
      </c>
      <c r="J2857" s="6" t="s">
        <v>15609</v>
      </c>
      <c r="K2857" s="7">
        <f t="shared" si="2"/>
        <v>0.9420471064</v>
      </c>
    </row>
    <row r="2858">
      <c r="A2858" s="4">
        <v>2858.0</v>
      </c>
      <c r="B2858" s="5" t="s">
        <v>15610</v>
      </c>
      <c r="C2858" s="5" t="s">
        <v>15611</v>
      </c>
      <c r="D2858" s="5" t="s">
        <v>15612</v>
      </c>
      <c r="E2858" s="6" t="s">
        <v>74</v>
      </c>
      <c r="F2858" s="6" t="s">
        <v>15613</v>
      </c>
      <c r="G2858" s="3" t="str">
        <f>IFERROR(__xludf.DUMMYFUNCTION("REGEXREPLACE(
D2858,
""([一-龯々]+)\[([^\]]+)\]"",
""&lt;ruby&gt;$1&lt;rt&gt;$2&lt;/rt&gt;&lt;/ruby&gt;""
)&amp;""&lt;br&gt;&lt;div class=""""audio""""&gt;[sound:""&amp;C2858&amp;"".mp3]&lt;/div&gt;"""),"&lt;ruby&gt;阻止&lt;rt&gt;そし&lt;/rt&gt;&lt;/ruby&gt;&lt;br&gt;&lt;div class=""audio""&gt;[sound:そし.mp3]&lt;/div&gt;")</f>
        <v>&lt;ruby&gt;阻止&lt;rt&gt;そし&lt;/rt&gt;&lt;/ruby&gt;&lt;br&gt;&lt;div class="audio"&gt;[sound:そし.mp3]&lt;/div&gt;</v>
      </c>
      <c r="H2858" s="3" t="str">
        <f t="shared" si="1"/>
        <v>(n): sự ngăn chặn</v>
      </c>
      <c r="I2858" s="6" t="s">
        <v>15614</v>
      </c>
      <c r="J2858" s="6" t="s">
        <v>15615</v>
      </c>
      <c r="K2858" s="7">
        <f t="shared" si="2"/>
        <v>0.1687551761</v>
      </c>
    </row>
    <row r="2859">
      <c r="A2859" s="4">
        <v>2859.0</v>
      </c>
      <c r="B2859" s="5" t="s">
        <v>15616</v>
      </c>
      <c r="C2859" s="5" t="s">
        <v>12694</v>
      </c>
      <c r="D2859" s="5" t="s">
        <v>15617</v>
      </c>
      <c r="E2859" s="6" t="s">
        <v>74</v>
      </c>
      <c r="F2859" s="6" t="s">
        <v>15618</v>
      </c>
      <c r="G2859" s="3" t="str">
        <f>IFERROR(__xludf.DUMMYFUNCTION("REGEXREPLACE(
D2859,
""([一-龯々]+)\[([^\]]+)\]"",
""&lt;ruby&gt;$1&lt;rt&gt;$2&lt;/rt&gt;&lt;/ruby&gt;""
)&amp;""&lt;br&gt;&lt;div class=""""audio""""&gt;[sound:""&amp;C2859&amp;"".mp3]&lt;/div&gt;"""),"&lt;ruby&gt;非難&lt;rt&gt;ひなん&lt;/rt&gt;&lt;/ruby&gt;&lt;br&gt;&lt;div class=""audio""&gt;[sound:ひなん.mp3]&lt;/div&gt;")</f>
        <v>&lt;ruby&gt;非難&lt;rt&gt;ひなん&lt;/rt&gt;&lt;/ruby&gt;&lt;br&gt;&lt;div class="audio"&gt;[sound:ひなん.mp3]&lt;/div&gt;</v>
      </c>
      <c r="H2859" s="3" t="str">
        <f t="shared" si="1"/>
        <v>(n): sự chỉ trích</v>
      </c>
      <c r="I2859" s="6" t="s">
        <v>15619</v>
      </c>
      <c r="J2859" s="6" t="s">
        <v>15620</v>
      </c>
      <c r="K2859" s="7">
        <f t="shared" si="2"/>
        <v>0.08276525364</v>
      </c>
    </row>
    <row r="2860">
      <c r="A2860" s="4">
        <v>2860.0</v>
      </c>
      <c r="B2860" s="5" t="s">
        <v>15621</v>
      </c>
      <c r="C2860" s="5" t="s">
        <v>15622</v>
      </c>
      <c r="D2860" s="5" t="s">
        <v>15623</v>
      </c>
      <c r="E2860" s="6" t="s">
        <v>74</v>
      </c>
      <c r="F2860" s="6" t="s">
        <v>6728</v>
      </c>
      <c r="G2860" s="3" t="str">
        <f>IFERROR(__xludf.DUMMYFUNCTION("REGEXREPLACE(
D2860,
""([一-龯々]+)\[([^\]]+)\]"",
""&lt;ruby&gt;$1&lt;rt&gt;$2&lt;/rt&gt;&lt;/ruby&gt;""
)&amp;""&lt;br&gt;&lt;div class=""""audio""""&gt;[sound:""&amp;C2860&amp;"".mp3]&lt;/div&gt;"""),"&lt;ruby&gt;不況&lt;rt&gt;ふきょう&lt;/rt&gt;&lt;/ruby&gt;&lt;br&gt;&lt;div class=""audio""&gt;[sound:ふきょう.mp3]&lt;/div&gt;")</f>
        <v>&lt;ruby&gt;不況&lt;rt&gt;ふきょう&lt;/rt&gt;&lt;/ruby&gt;&lt;br&gt;&lt;div class="audio"&gt;[sound:ふきょう.mp3]&lt;/div&gt;</v>
      </c>
      <c r="H2860" s="3" t="str">
        <f t="shared" si="1"/>
        <v>(n): khủng hoảng</v>
      </c>
      <c r="I2860" s="6" t="s">
        <v>15624</v>
      </c>
      <c r="J2860" s="6" t="s">
        <v>15625</v>
      </c>
      <c r="K2860" s="7">
        <f t="shared" si="2"/>
        <v>0.5416484743</v>
      </c>
    </row>
    <row r="2861">
      <c r="A2861" s="4">
        <v>2861.0</v>
      </c>
      <c r="B2861" s="5" t="s">
        <v>15626</v>
      </c>
      <c r="C2861" s="5" t="s">
        <v>15627</v>
      </c>
      <c r="D2861" s="5" t="s">
        <v>15628</v>
      </c>
      <c r="E2861" s="6" t="s">
        <v>74</v>
      </c>
      <c r="F2861" s="6" t="s">
        <v>15629</v>
      </c>
      <c r="G2861" s="3" t="str">
        <f>IFERROR(__xludf.DUMMYFUNCTION("REGEXREPLACE(
D2861,
""([一-龯々]+)\[([^\]]+)\]"",
""&lt;ruby&gt;$1&lt;rt&gt;$2&lt;/rt&gt;&lt;/ruby&gt;""
)&amp;""&lt;br&gt;&lt;div class=""""audio""""&gt;[sound:""&amp;C2861&amp;"".mp3]&lt;/div&gt;"""),"&lt;ruby&gt;出血&lt;rt&gt;しゅっけつ&lt;/rt&gt;&lt;/ruby&gt;&lt;br&gt;&lt;div class=""audio""&gt;[sound:しゅっけつ.mp3]&lt;/div&gt;")</f>
        <v>&lt;ruby&gt;出血&lt;rt&gt;しゅっけつ&lt;/rt&gt;&lt;/ruby&gt;&lt;br&gt;&lt;div class="audio"&gt;[sound:しゅっけつ.mp3]&lt;/div&gt;</v>
      </c>
      <c r="H2861" s="3" t="str">
        <f t="shared" si="1"/>
        <v>(n): sự chảy máu</v>
      </c>
      <c r="I2861" s="6" t="s">
        <v>15630</v>
      </c>
      <c r="J2861" s="6" t="s">
        <v>15631</v>
      </c>
      <c r="K2861" s="7">
        <f t="shared" si="2"/>
        <v>0.9898287443</v>
      </c>
    </row>
    <row r="2862">
      <c r="A2862" s="4">
        <v>2862.0</v>
      </c>
      <c r="B2862" s="5" t="s">
        <v>15632</v>
      </c>
      <c r="C2862" s="5" t="s">
        <v>15633</v>
      </c>
      <c r="D2862" s="5" t="s">
        <v>15634</v>
      </c>
      <c r="E2862" s="6" t="s">
        <v>74</v>
      </c>
      <c r="F2862" s="6" t="s">
        <v>15635</v>
      </c>
      <c r="G2862" s="3" t="str">
        <f>IFERROR(__xludf.DUMMYFUNCTION("REGEXREPLACE(
D2862,
""([一-龯々]+)\[([^\]]+)\]"",
""&lt;ruby&gt;$1&lt;rt&gt;$2&lt;/rt&gt;&lt;/ruby&gt;""
)&amp;""&lt;br&gt;&lt;div class=""""audio""""&gt;[sound:""&amp;C2862&amp;"".mp3]&lt;/div&gt;"""),"&lt;ruby&gt;分散&lt;rt&gt;ぶんさん&lt;/rt&gt;&lt;/ruby&gt;&lt;br&gt;&lt;div class=""audio""&gt;[sound:ぶんさん.mp3]&lt;/div&gt;")</f>
        <v>&lt;ruby&gt;分散&lt;rt&gt;ぶんさん&lt;/rt&gt;&lt;/ruby&gt;&lt;br&gt;&lt;div class="audio"&gt;[sound:ぶんさん.mp3]&lt;/div&gt;</v>
      </c>
      <c r="H2862" s="3" t="str">
        <f t="shared" si="1"/>
        <v>(n): sự phân tán</v>
      </c>
      <c r="I2862" s="6" t="s">
        <v>15636</v>
      </c>
      <c r="J2862" s="6" t="s">
        <v>15637</v>
      </c>
      <c r="K2862" s="7">
        <f t="shared" si="2"/>
        <v>0.9790620935</v>
      </c>
    </row>
    <row r="2863">
      <c r="A2863" s="4">
        <v>2863.0</v>
      </c>
      <c r="B2863" s="5" t="s">
        <v>15638</v>
      </c>
      <c r="C2863" s="5" t="s">
        <v>15639</v>
      </c>
      <c r="D2863" s="5" t="s">
        <v>15640</v>
      </c>
      <c r="E2863" s="6" t="s">
        <v>11</v>
      </c>
      <c r="F2863" s="6" t="s">
        <v>15641</v>
      </c>
      <c r="G2863" s="3" t="str">
        <f>IFERROR(__xludf.DUMMYFUNCTION("REGEXREPLACE(
D2863,
""([一-龯々]+)\[([^\]]+)\]"",
""&lt;ruby&gt;$1&lt;rt&gt;$2&lt;/rt&gt;&lt;/ruby&gt;""
)&amp;""&lt;br&gt;&lt;div class=""""audio""""&gt;[sound:""&amp;C2863&amp;"".mp3]&lt;/div&gt;"""),"&lt;ruby&gt;厳密&lt;rt&gt;げんみつ&lt;/rt&gt;&lt;/ruby&gt;&lt;br&gt;&lt;div class=""audio""&gt;[sound:げんみつ.mp3]&lt;/div&gt;")</f>
        <v>&lt;ruby&gt;厳密&lt;rt&gt;げんみつ&lt;/rt&gt;&lt;/ruby&gt;&lt;br&gt;&lt;div class="audio"&gt;[sound:げんみつ.mp3]&lt;/div&gt;</v>
      </c>
      <c r="H2863" s="3" t="str">
        <f t="shared" si="1"/>
        <v>(adj): nghiêm ngặt</v>
      </c>
      <c r="I2863" s="6" t="s">
        <v>15642</v>
      </c>
      <c r="J2863" s="6" t="s">
        <v>15643</v>
      </c>
      <c r="K2863" s="7">
        <f t="shared" si="2"/>
        <v>0.7445683924</v>
      </c>
    </row>
    <row r="2864">
      <c r="A2864" s="4">
        <v>2864.0</v>
      </c>
      <c r="B2864" s="5" t="s">
        <v>15644</v>
      </c>
      <c r="C2864" s="5" t="s">
        <v>15645</v>
      </c>
      <c r="D2864" s="5" t="s">
        <v>15646</v>
      </c>
      <c r="E2864" s="6" t="s">
        <v>74</v>
      </c>
      <c r="F2864" s="6" t="s">
        <v>15647</v>
      </c>
      <c r="G2864" s="3" t="str">
        <f>IFERROR(__xludf.DUMMYFUNCTION("REGEXREPLACE(
D2864,
""([一-龯々]+)\[([^\]]+)\]"",
""&lt;ruby&gt;$1&lt;rt&gt;$2&lt;/rt&gt;&lt;/ruby&gt;""
)&amp;""&lt;br&gt;&lt;div class=""""audio""""&gt;[sound:""&amp;C2864&amp;"".mp3]&lt;/div&gt;"""),"&lt;ruby&gt;合併&lt;rt&gt;がっぺい&lt;/rt&gt;&lt;/ruby&gt;&lt;br&gt;&lt;div class=""audio""&gt;[sound:がっぺい.mp3]&lt;/div&gt;")</f>
        <v>&lt;ruby&gt;合併&lt;rt&gt;がっぺい&lt;/rt&gt;&lt;/ruby&gt;&lt;br&gt;&lt;div class="audio"&gt;[sound:がっぺい.mp3]&lt;/div&gt;</v>
      </c>
      <c r="H2864" s="3" t="str">
        <f t="shared" si="1"/>
        <v>(n): sự sáp nhập</v>
      </c>
      <c r="I2864" s="6" t="s">
        <v>15648</v>
      </c>
      <c r="J2864" s="6" t="s">
        <v>15649</v>
      </c>
      <c r="K2864" s="7">
        <f t="shared" si="2"/>
        <v>0.6804465394</v>
      </c>
    </row>
    <row r="2865">
      <c r="A2865" s="4">
        <v>2865.0</v>
      </c>
      <c r="B2865" s="5" t="s">
        <v>15650</v>
      </c>
      <c r="C2865" s="5" t="s">
        <v>15651</v>
      </c>
      <c r="D2865" s="5" t="s">
        <v>15652</v>
      </c>
      <c r="E2865" s="6" t="s">
        <v>74</v>
      </c>
      <c r="F2865" s="6" t="s">
        <v>15653</v>
      </c>
      <c r="G2865" s="3" t="str">
        <f>IFERROR(__xludf.DUMMYFUNCTION("REGEXREPLACE(
D2865,
""([一-龯々]+)\[([^\]]+)\]"",
""&lt;ruby&gt;$1&lt;rt&gt;$2&lt;/rt&gt;&lt;/ruby&gt;""
)&amp;""&lt;br&gt;&lt;div class=""""audio""""&gt;[sound:""&amp;C2865&amp;"".mp3]&lt;/div&gt;"""),"&lt;ruby&gt;合成&lt;rt&gt;ごうせい&lt;/rt&gt;&lt;/ruby&gt;&lt;br&gt;&lt;div class=""audio""&gt;[sound:ごうせい.mp3]&lt;/div&gt;")</f>
        <v>&lt;ruby&gt;合成&lt;rt&gt;ごうせい&lt;/rt&gt;&lt;/ruby&gt;&lt;br&gt;&lt;div class="audio"&gt;[sound:ごうせい.mp3]&lt;/div&gt;</v>
      </c>
      <c r="H2865" s="3" t="str">
        <f t="shared" si="1"/>
        <v>(n): sự tổng hợp</v>
      </c>
      <c r="I2865" s="6" t="s">
        <v>15654</v>
      </c>
      <c r="J2865" s="6" t="s">
        <v>15655</v>
      </c>
      <c r="K2865" s="7">
        <f t="shared" si="2"/>
        <v>0.6271536633</v>
      </c>
    </row>
    <row r="2866">
      <c r="A2866" s="4">
        <v>2866.0</v>
      </c>
      <c r="B2866" s="5" t="s">
        <v>15656</v>
      </c>
      <c r="C2866" s="5" t="s">
        <v>15657</v>
      </c>
      <c r="D2866" s="5" t="s">
        <v>15658</v>
      </c>
      <c r="E2866" s="6" t="s">
        <v>74</v>
      </c>
      <c r="F2866" s="6" t="s">
        <v>15659</v>
      </c>
      <c r="G2866" s="3" t="str">
        <f>IFERROR(__xludf.DUMMYFUNCTION("REGEXREPLACE(
D2866,
""([一-龯々]+)\[([^\]]+)\]"",
""&lt;ruby&gt;$1&lt;rt&gt;$2&lt;/rt&gt;&lt;/ruby&gt;""
)&amp;""&lt;br&gt;&lt;div class=""""audio""""&gt;[sound:""&amp;C2866&amp;"".mp3]&lt;/div&gt;"""),"&lt;ruby&gt;天国&lt;rt&gt;てんごく&lt;/rt&gt;&lt;/ruby&gt;&lt;br&gt;&lt;div class=""audio""&gt;[sound:てんごく.mp3]&lt;/div&gt;")</f>
        <v>&lt;ruby&gt;天国&lt;rt&gt;てんごく&lt;/rt&gt;&lt;/ruby&gt;&lt;br&gt;&lt;div class="audio"&gt;[sound:てんごく.mp3]&lt;/div&gt;</v>
      </c>
      <c r="H2866" s="3" t="str">
        <f t="shared" si="1"/>
        <v>(n): thiên đường</v>
      </c>
      <c r="I2866" s="6" t="s">
        <v>15660</v>
      </c>
      <c r="J2866" s="6" t="s">
        <v>15661</v>
      </c>
      <c r="K2866" s="7">
        <f t="shared" si="2"/>
        <v>0.387768526</v>
      </c>
    </row>
    <row r="2867">
      <c r="A2867" s="4">
        <v>2867.0</v>
      </c>
      <c r="B2867" s="5" t="s">
        <v>15662</v>
      </c>
      <c r="C2867" s="5" t="s">
        <v>15663</v>
      </c>
      <c r="D2867" s="5" t="s">
        <v>15664</v>
      </c>
      <c r="E2867" s="6" t="s">
        <v>74</v>
      </c>
      <c r="F2867" s="6" t="s">
        <v>15665</v>
      </c>
      <c r="G2867" s="3" t="str">
        <f>IFERROR(__xludf.DUMMYFUNCTION("REGEXREPLACE(
D2867,
""([一-龯々]+)\[([^\]]+)\]"",
""&lt;ruby&gt;$1&lt;rt&gt;$2&lt;/rt&gt;&lt;/ruby&gt;""
)&amp;""&lt;br&gt;&lt;div class=""""audio""""&gt;[sound:""&amp;C2867&amp;"".mp3]&lt;/div&gt;"""),"&lt;ruby&gt;演出&lt;rt&gt;えんしゅつ&lt;/rt&gt;&lt;/ruby&gt;&lt;br&gt;&lt;div class=""audio""&gt;[sound:えんしゅつ.mp3]&lt;/div&gt;")</f>
        <v>&lt;ruby&gt;演出&lt;rt&gt;えんしゅつ&lt;/rt&gt;&lt;/ruby&gt;&lt;br&gt;&lt;div class="audio"&gt;[sound:えんしゅつ.mp3]&lt;/div&gt;</v>
      </c>
      <c r="H2867" s="3" t="str">
        <f t="shared" si="1"/>
        <v>(n): sự đạo diễn</v>
      </c>
      <c r="I2867" s="6" t="s">
        <v>15666</v>
      </c>
      <c r="J2867" s="6" t="s">
        <v>15667</v>
      </c>
      <c r="K2867" s="7">
        <f t="shared" si="2"/>
        <v>0.8559118379</v>
      </c>
    </row>
    <row r="2868">
      <c r="A2868" s="4">
        <v>2868.0</v>
      </c>
      <c r="B2868" s="5" t="s">
        <v>15668</v>
      </c>
      <c r="C2868" s="5" t="s">
        <v>15669</v>
      </c>
      <c r="D2868" s="5" t="s">
        <v>15670</v>
      </c>
      <c r="E2868" s="6" t="s">
        <v>74</v>
      </c>
      <c r="F2868" s="6" t="s">
        <v>15671</v>
      </c>
      <c r="G2868" s="3" t="str">
        <f>IFERROR(__xludf.DUMMYFUNCTION("REGEXREPLACE(
D2868,
""([一-龯々]+)\[([^\]]+)\]"",
""&lt;ruby&gt;$1&lt;rt&gt;$2&lt;/rt&gt;&lt;/ruby&gt;""
)&amp;""&lt;br&gt;&lt;div class=""""audio""""&gt;[sound:""&amp;C2868&amp;"".mp3]&lt;/div&gt;"""),"&lt;ruby&gt;統合&lt;rt&gt;とうごう&lt;/rt&gt;&lt;/ruby&gt;&lt;br&gt;&lt;div class=""audio""&gt;[sound:とうごう.mp3]&lt;/div&gt;")</f>
        <v>&lt;ruby&gt;統合&lt;rt&gt;とうごう&lt;/rt&gt;&lt;/ruby&gt;&lt;br&gt;&lt;div class="audio"&gt;[sound:とうごう.mp3]&lt;/div&gt;</v>
      </c>
      <c r="H2868" s="3" t="str">
        <f t="shared" si="1"/>
        <v>(n): sự hợp nhất</v>
      </c>
      <c r="I2868" s="6" t="s">
        <v>15672</v>
      </c>
      <c r="J2868" s="6" t="s">
        <v>15673</v>
      </c>
      <c r="K2868" s="7">
        <f t="shared" si="2"/>
        <v>0.6536867228</v>
      </c>
    </row>
    <row r="2869">
      <c r="A2869" s="4">
        <v>2869.0</v>
      </c>
      <c r="B2869" s="5" t="s">
        <v>15674</v>
      </c>
      <c r="C2869" s="5" t="s">
        <v>15675</v>
      </c>
      <c r="D2869" s="5" t="s">
        <v>15676</v>
      </c>
      <c r="E2869" s="6" t="s">
        <v>74</v>
      </c>
      <c r="F2869" s="6" t="s">
        <v>15677</v>
      </c>
      <c r="G2869" s="3" t="str">
        <f>IFERROR(__xludf.DUMMYFUNCTION("REGEXREPLACE(
D2869,
""([一-龯々]+)\[([^\]]+)\]"",
""&lt;ruby&gt;$1&lt;rt&gt;$2&lt;/rt&gt;&lt;/ruby&gt;""
)&amp;""&lt;br&gt;&lt;div class=""""audio""""&gt;[sound:""&amp;C2869&amp;"".mp3]&lt;/div&gt;"""),"&lt;ruby&gt;補給&lt;rt&gt;ほきゅう&lt;/rt&gt;&lt;/ruby&gt;&lt;br&gt;&lt;div class=""audio""&gt;[sound:ほきゅう.mp3]&lt;/div&gt;")</f>
        <v>&lt;ruby&gt;補給&lt;rt&gt;ほきゅう&lt;/rt&gt;&lt;/ruby&gt;&lt;br&gt;&lt;div class="audio"&gt;[sound:ほきゅう.mp3]&lt;/div&gt;</v>
      </c>
      <c r="H2869" s="3" t="str">
        <f t="shared" si="1"/>
        <v>(n): sự cung cấp</v>
      </c>
      <c r="I2869" s="6" t="s">
        <v>15678</v>
      </c>
      <c r="J2869" s="6" t="s">
        <v>15679</v>
      </c>
      <c r="K2869" s="7">
        <f t="shared" si="2"/>
        <v>0.4304902602</v>
      </c>
    </row>
    <row r="2870">
      <c r="A2870" s="4">
        <v>2870.0</v>
      </c>
      <c r="B2870" s="5" t="s">
        <v>15680</v>
      </c>
      <c r="C2870" s="5" t="s">
        <v>15681</v>
      </c>
      <c r="D2870" s="5" t="s">
        <v>15682</v>
      </c>
      <c r="E2870" s="6" t="s">
        <v>74</v>
      </c>
      <c r="F2870" s="6" t="s">
        <v>15683</v>
      </c>
      <c r="G2870" s="3" t="str">
        <f>IFERROR(__xludf.DUMMYFUNCTION("REGEXREPLACE(
D2870,
""([一-龯々]+)\[([^\]]+)\]"",
""&lt;ruby&gt;$1&lt;rt&gt;$2&lt;/rt&gt;&lt;/ruby&gt;""
)&amp;""&lt;br&gt;&lt;div class=""""audio""""&gt;[sound:""&amp;C2870&amp;"".mp3]&lt;/div&gt;"""),"&lt;ruby&gt;返還&lt;rt&gt;へんかん&lt;/rt&gt;&lt;/ruby&gt;&lt;br&gt;&lt;div class=""audio""&gt;[sound:へんかん.mp3]&lt;/div&gt;")</f>
        <v>&lt;ruby&gt;返還&lt;rt&gt;へんかん&lt;/rt&gt;&lt;/ruby&gt;&lt;br&gt;&lt;div class="audio"&gt;[sound:へんかん.mp3]&lt;/div&gt;</v>
      </c>
      <c r="H2870" s="3" t="str">
        <f t="shared" si="1"/>
        <v>(n): sự hoàn trả</v>
      </c>
      <c r="I2870" s="6" t="s">
        <v>15684</v>
      </c>
      <c r="J2870" s="6" t="s">
        <v>15685</v>
      </c>
      <c r="K2870" s="7">
        <f t="shared" si="2"/>
        <v>0.06988364541</v>
      </c>
    </row>
    <row r="2871">
      <c r="A2871" s="4">
        <v>2871.0</v>
      </c>
      <c r="B2871" s="5" t="s">
        <v>15686</v>
      </c>
      <c r="C2871" s="5" t="s">
        <v>15687</v>
      </c>
      <c r="D2871" s="5" t="s">
        <v>15688</v>
      </c>
      <c r="E2871" s="6" t="s">
        <v>74</v>
      </c>
      <c r="F2871" s="6" t="s">
        <v>15689</v>
      </c>
      <c r="G2871" s="3" t="str">
        <f>IFERROR(__xludf.DUMMYFUNCTION("REGEXREPLACE(
D2871,
""([一-龯々]+)\[([^\]]+)\]"",
""&lt;ruby&gt;$1&lt;rt&gt;$2&lt;/rt&gt;&lt;/ruby&gt;""
)&amp;""&lt;br&gt;&lt;div class=""""audio""""&gt;[sound:""&amp;C2871&amp;"".mp3]&lt;/div&gt;"""),"&lt;ruby&gt;追跡&lt;rt&gt;ついせき&lt;/rt&gt;&lt;/ruby&gt;&lt;br&gt;&lt;div class=""audio""&gt;[sound:ついせき.mp3]&lt;/div&gt;")</f>
        <v>&lt;ruby&gt;追跡&lt;rt&gt;ついせき&lt;/rt&gt;&lt;/ruby&gt;&lt;br&gt;&lt;div class="audio"&gt;[sound:ついせき.mp3]&lt;/div&gt;</v>
      </c>
      <c r="H2871" s="3" t="str">
        <f t="shared" si="1"/>
        <v>(n): sự theo dấu</v>
      </c>
      <c r="I2871" s="6" t="s">
        <v>15690</v>
      </c>
      <c r="J2871" s="6" t="s">
        <v>15691</v>
      </c>
      <c r="K2871" s="7">
        <f t="shared" si="2"/>
        <v>0.7589754175</v>
      </c>
    </row>
    <row r="2872">
      <c r="A2872" s="4">
        <v>2872.0</v>
      </c>
      <c r="B2872" s="5" t="s">
        <v>15692</v>
      </c>
      <c r="C2872" s="5" t="s">
        <v>15693</v>
      </c>
      <c r="D2872" s="5" t="s">
        <v>15694</v>
      </c>
      <c r="E2872" s="6" t="s">
        <v>74</v>
      </c>
      <c r="F2872" s="6" t="s">
        <v>15695</v>
      </c>
      <c r="G2872" s="3" t="str">
        <f>IFERROR(__xludf.DUMMYFUNCTION("REGEXREPLACE(
D2872,
""([一-龯々]+)\[([^\]]+)\]"",
""&lt;ruby&gt;$1&lt;rt&gt;$2&lt;/rt&gt;&lt;/ruby&gt;""
)&amp;""&lt;br&gt;&lt;div class=""""audio""""&gt;[sound:""&amp;C2872&amp;"".mp3]&lt;/div&gt;"""),"&lt;ruby&gt;除外&lt;rt&gt;じょがい&lt;/rt&gt;&lt;/ruby&gt;&lt;br&gt;&lt;div class=""audio""&gt;[sound:じょがい.mp3]&lt;/div&gt;")</f>
        <v>&lt;ruby&gt;除外&lt;rt&gt;じょがい&lt;/rt&gt;&lt;/ruby&gt;&lt;br&gt;&lt;div class="audio"&gt;[sound:じょがい.mp3]&lt;/div&gt;</v>
      </c>
      <c r="H2872" s="3" t="str">
        <f t="shared" si="1"/>
        <v>(n): sự loại trừ</v>
      </c>
      <c r="I2872" s="6" t="s">
        <v>15696</v>
      </c>
      <c r="J2872" s="6" t="s">
        <v>15697</v>
      </c>
      <c r="K2872" s="7">
        <f t="shared" si="2"/>
        <v>0.4594453352</v>
      </c>
    </row>
    <row r="2873">
      <c r="A2873" s="4">
        <v>2873.0</v>
      </c>
      <c r="B2873" s="5" t="s">
        <v>15698</v>
      </c>
      <c r="C2873" s="5" t="s">
        <v>15699</v>
      </c>
      <c r="D2873" s="5" t="s">
        <v>15700</v>
      </c>
      <c r="E2873" s="6" t="s">
        <v>74</v>
      </c>
      <c r="F2873" s="6" t="s">
        <v>15701</v>
      </c>
      <c r="G2873" s="3" t="str">
        <f>IFERROR(__xludf.DUMMYFUNCTION("REGEXREPLACE(
D2873,
""([一-龯々]+)\[([^\]]+)\]"",
""&lt;ruby&gt;$1&lt;rt&gt;$2&lt;/rt&gt;&lt;/ruby&gt;""
)&amp;""&lt;br&gt;&lt;div class=""""audio""""&gt;[sound:""&amp;C2873&amp;"".mp3]&lt;/div&gt;"""),"&lt;ruby&gt;革新&lt;rt&gt;かくしん&lt;/rt&gt;&lt;/ruby&gt;&lt;br&gt;&lt;div class=""audio""&gt;[sound:かくしん.mp3]&lt;/div&gt;")</f>
        <v>&lt;ruby&gt;革新&lt;rt&gt;かくしん&lt;/rt&gt;&lt;/ruby&gt;&lt;br&gt;&lt;div class="audio"&gt;[sound:かくしん.mp3]&lt;/div&gt;</v>
      </c>
      <c r="H2873" s="3" t="str">
        <f t="shared" si="1"/>
        <v>(n): sự cải cách</v>
      </c>
      <c r="I2873" s="6" t="s">
        <v>15702</v>
      </c>
      <c r="J2873" s="6" t="s">
        <v>15703</v>
      </c>
      <c r="K2873" s="7">
        <f t="shared" si="2"/>
        <v>0.9416375058</v>
      </c>
    </row>
    <row r="2874">
      <c r="A2874" s="4">
        <v>2874.0</v>
      </c>
      <c r="B2874" s="5" t="s">
        <v>15704</v>
      </c>
      <c r="C2874" s="5" t="s">
        <v>15705</v>
      </c>
      <c r="D2874" s="5" t="s">
        <v>15706</v>
      </c>
      <c r="E2874" s="6" t="s">
        <v>74</v>
      </c>
      <c r="F2874" s="6" t="s">
        <v>15707</v>
      </c>
      <c r="G2874" s="3" t="str">
        <f>IFERROR(__xludf.DUMMYFUNCTION("REGEXREPLACE(
D2874,
""([一-龯々]+)\[([^\]]+)\]"",
""&lt;ruby&gt;$1&lt;rt&gt;$2&lt;/rt&gt;&lt;/ruby&gt;""
)&amp;""&lt;br&gt;&lt;div class=""""audio""""&gt;[sound:""&amp;C2874&amp;"".mp3]&lt;/div&gt;"""),"&lt;ruby&gt;騒動&lt;rt&gt;そうどう&lt;/rt&gt;&lt;/ruby&gt;&lt;br&gt;&lt;div class=""audio""&gt;[sound:そうどう.mp3]&lt;/div&gt;")</f>
        <v>&lt;ruby&gt;騒動&lt;rt&gt;そうどう&lt;/rt&gt;&lt;/ruby&gt;&lt;br&gt;&lt;div class="audio"&gt;[sound:そうどう.mp3]&lt;/div&gt;</v>
      </c>
      <c r="H2874" s="3" t="str">
        <f t="shared" si="1"/>
        <v>(n): sự náo động</v>
      </c>
      <c r="I2874" s="6" t="s">
        <v>15708</v>
      </c>
      <c r="J2874" s="6" t="s">
        <v>15709</v>
      </c>
      <c r="K2874" s="7">
        <f t="shared" si="2"/>
        <v>0.1948540429</v>
      </c>
    </row>
    <row r="2875">
      <c r="A2875" s="4">
        <v>2875.0</v>
      </c>
      <c r="B2875" s="5" t="s">
        <v>15710</v>
      </c>
      <c r="C2875" s="5" t="s">
        <v>15711</v>
      </c>
      <c r="D2875" s="5" t="s">
        <v>15710</v>
      </c>
      <c r="E2875" s="6" t="s">
        <v>74</v>
      </c>
      <c r="F2875" s="6" t="s">
        <v>15712</v>
      </c>
      <c r="G2875" s="3" t="str">
        <f>IFERROR(__xludf.DUMMYFUNCTION("REGEXREPLACE(
D2875,
""([一-龯々]+)\[([^\]]+)\]"",
""&lt;ruby&gt;$1&lt;rt&gt;$2&lt;/rt&gt;&lt;/ruby&gt;""
)&amp;""&lt;br&gt;&lt;div class=""""audio""""&gt;[sound:""&amp;C2875&amp;"".mp3]&lt;/div&gt;"""),"アクセル&lt;br&gt;&lt;div class=""audio""&gt;[sound:あくせる.mp3]&lt;/div&gt;")</f>
        <v>アクセル&lt;br&gt;&lt;div class="audio"&gt;[sound:あくせる.mp3]&lt;/div&gt;</v>
      </c>
      <c r="H2875" s="3" t="str">
        <f t="shared" si="1"/>
        <v>(n): bàn đạp ga</v>
      </c>
      <c r="I2875" s="6" t="s">
        <v>15713</v>
      </c>
      <c r="J2875" s="6" t="s">
        <v>15714</v>
      </c>
      <c r="K2875" s="7">
        <f t="shared" si="2"/>
        <v>0.7821997438</v>
      </c>
    </row>
    <row r="2876">
      <c r="A2876" s="4">
        <v>2876.0</v>
      </c>
      <c r="B2876" s="5" t="s">
        <v>15715</v>
      </c>
      <c r="C2876" s="5" t="s">
        <v>15716</v>
      </c>
      <c r="D2876" s="5" t="s">
        <v>15717</v>
      </c>
      <c r="E2876" s="6" t="s">
        <v>24</v>
      </c>
      <c r="F2876" s="6" t="s">
        <v>15718</v>
      </c>
      <c r="G2876" s="3" t="str">
        <f>IFERROR(__xludf.DUMMYFUNCTION("REGEXREPLACE(
D2876,
""([一-龯々]+)\[([^\]]+)\]"",
""&lt;ruby&gt;$1&lt;rt&gt;$2&lt;/rt&gt;&lt;/ruby&gt;""
)&amp;""&lt;br&gt;&lt;div class=""""audio""""&gt;[sound:""&amp;C2876&amp;"".mp3]&lt;/div&gt;"""),"&lt;ruby&gt;乱&lt;rt&gt;みだ&lt;/rt&gt;&lt;/ruby&gt;れる&lt;br&gt;&lt;div class=""audio""&gt;[sound:みだれる.mp3]&lt;/div&gt;")</f>
        <v>&lt;ruby&gt;乱&lt;rt&gt;みだ&lt;/rt&gt;&lt;/ruby&gt;れる&lt;br&gt;&lt;div class="audio"&gt;[sound:みだれる.mp3]&lt;/div&gt;</v>
      </c>
      <c r="H2876" s="3" t="str">
        <f t="shared" si="1"/>
        <v>(v): bị lộn xộn</v>
      </c>
      <c r="I2876" s="6" t="s">
        <v>15719</v>
      </c>
      <c r="J2876" s="6" t="s">
        <v>15720</v>
      </c>
      <c r="K2876" s="7">
        <f t="shared" si="2"/>
        <v>0.08809041536</v>
      </c>
    </row>
    <row r="2877">
      <c r="A2877" s="4">
        <v>2877.0</v>
      </c>
      <c r="B2877" s="5" t="s">
        <v>15721</v>
      </c>
      <c r="C2877" s="5" t="s">
        <v>15722</v>
      </c>
      <c r="D2877" s="5" t="s">
        <v>15723</v>
      </c>
      <c r="E2877" s="6" t="s">
        <v>74</v>
      </c>
      <c r="F2877" s="6" t="s">
        <v>15724</v>
      </c>
      <c r="G2877" s="3" t="str">
        <f>IFERROR(__xludf.DUMMYFUNCTION("REGEXREPLACE(
D2877,
""([一-龯々]+)\[([^\]]+)\]"",
""&lt;ruby&gt;$1&lt;rt&gt;$2&lt;/rt&gt;&lt;/ruby&gt;""
)&amp;""&lt;br&gt;&lt;div class=""""audio""""&gt;[sound:""&amp;C2877&amp;"".mp3]&lt;/div&gt;"""),"&lt;ruby&gt;争&lt;rt&gt;あらそ&lt;/rt&gt;&lt;/ruby&gt;い&lt;br&gt;&lt;div class=""audio""&gt;[sound:あらそい.mp3]&lt;/div&gt;")</f>
        <v>&lt;ruby&gt;争&lt;rt&gt;あらそ&lt;/rt&gt;&lt;/ruby&gt;い&lt;br&gt;&lt;div class="audio"&gt;[sound:あらそい.mp3]&lt;/div&gt;</v>
      </c>
      <c r="H2877" s="3" t="str">
        <f t="shared" si="1"/>
        <v>(n): tranh chấp</v>
      </c>
      <c r="I2877" s="6" t="s">
        <v>15725</v>
      </c>
      <c r="J2877" s="6" t="s">
        <v>15726</v>
      </c>
      <c r="K2877" s="7">
        <f t="shared" si="2"/>
        <v>0.9391339676</v>
      </c>
    </row>
    <row r="2878">
      <c r="A2878" s="4">
        <v>2878.0</v>
      </c>
      <c r="B2878" s="5" t="s">
        <v>15727</v>
      </c>
      <c r="C2878" s="5" t="s">
        <v>15728</v>
      </c>
      <c r="D2878" s="5" t="s">
        <v>15729</v>
      </c>
      <c r="E2878" s="6" t="s">
        <v>24</v>
      </c>
      <c r="F2878" s="6" t="s">
        <v>3074</v>
      </c>
      <c r="G2878" s="3" t="str">
        <f>IFERROR(__xludf.DUMMYFUNCTION("REGEXREPLACE(
D2878,
""([一-龯々]+)\[([^\]]+)\]"",
""&lt;ruby&gt;$1&lt;rt&gt;$2&lt;/rt&gt;&lt;/ruby&gt;""
)&amp;""&lt;br&gt;&lt;div class=""""audio""""&gt;[sound:""&amp;C2878&amp;"".mp3]&lt;/div&gt;"""),"&lt;ruby&gt;仕上&lt;rt&gt;しあ&lt;/rt&gt;&lt;/ruby&gt;げる&lt;br&gt;&lt;div class=""audio""&gt;[sound:しあげる.mp3]&lt;/div&gt;")</f>
        <v>&lt;ruby&gt;仕上&lt;rt&gt;しあ&lt;/rt&gt;&lt;/ruby&gt;げる&lt;br&gt;&lt;div class="audio"&gt;[sound:しあげる.mp3]&lt;/div&gt;</v>
      </c>
      <c r="H2878" s="3" t="str">
        <f t="shared" si="1"/>
        <v>(v): hoàn thành</v>
      </c>
      <c r="I2878" s="6" t="s">
        <v>15730</v>
      </c>
      <c r="J2878" s="6" t="s">
        <v>15731</v>
      </c>
      <c r="K2878" s="7">
        <f t="shared" si="2"/>
        <v>0.6695383169</v>
      </c>
    </row>
    <row r="2879">
      <c r="A2879" s="4">
        <v>2879.0</v>
      </c>
      <c r="B2879" s="5" t="s">
        <v>15732</v>
      </c>
      <c r="C2879" s="5" t="s">
        <v>15733</v>
      </c>
      <c r="D2879" s="5" t="s">
        <v>15734</v>
      </c>
      <c r="E2879" s="6" t="s">
        <v>74</v>
      </c>
      <c r="F2879" s="6" t="s">
        <v>15735</v>
      </c>
      <c r="G2879" s="3" t="str">
        <f>IFERROR(__xludf.DUMMYFUNCTION("REGEXREPLACE(
D2879,
""([一-龯々]+)\[([^\]]+)\]"",
""&lt;ruby&gt;$1&lt;rt&gt;$2&lt;/rt&gt;&lt;/ruby&gt;""
)&amp;""&lt;br&gt;&lt;div class=""""audio""""&gt;[sound:""&amp;C2879&amp;"".mp3]&lt;/div&gt;"""),"&lt;ruby&gt;偏見&lt;rt&gt;へんけん&lt;/rt&gt;&lt;/ruby&gt;&lt;br&gt;&lt;div class=""audio""&gt;[sound:へんけん.mp3]&lt;/div&gt;")</f>
        <v>&lt;ruby&gt;偏見&lt;rt&gt;へんけん&lt;/rt&gt;&lt;/ruby&gt;&lt;br&gt;&lt;div class="audio"&gt;[sound:へんけん.mp3]&lt;/div&gt;</v>
      </c>
      <c r="H2879" s="3" t="str">
        <f t="shared" si="1"/>
        <v>(n): thành kiến</v>
      </c>
      <c r="I2879" s="6" t="s">
        <v>15736</v>
      </c>
      <c r="J2879" s="6" t="s">
        <v>15737</v>
      </c>
      <c r="K2879" s="7">
        <f t="shared" si="2"/>
        <v>0.2052782886</v>
      </c>
    </row>
    <row r="2880">
      <c r="A2880" s="4">
        <v>2880.0</v>
      </c>
      <c r="B2880" s="5" t="s">
        <v>15738</v>
      </c>
      <c r="C2880" s="5" t="s">
        <v>15739</v>
      </c>
      <c r="D2880" s="5" t="s">
        <v>15740</v>
      </c>
      <c r="E2880" s="6" t="s">
        <v>74</v>
      </c>
      <c r="F2880" s="6" t="s">
        <v>15741</v>
      </c>
      <c r="G2880" s="3" t="str">
        <f>IFERROR(__xludf.DUMMYFUNCTION("REGEXREPLACE(
D2880,
""([一-龯々]+)\[([^\]]+)\]"",
""&lt;ruby&gt;$1&lt;rt&gt;$2&lt;/rt&gt;&lt;/ruby&gt;""
)&amp;""&lt;br&gt;&lt;div class=""""audio""""&gt;[sound:""&amp;C2880&amp;"".mp3]&lt;/div&gt;"""),"&lt;ruby&gt;区間&lt;rt&gt;くかん&lt;/rt&gt;&lt;/ruby&gt;&lt;br&gt;&lt;div class=""audio""&gt;[sound:くかん.mp3]&lt;/div&gt;")</f>
        <v>&lt;ruby&gt;区間&lt;rt&gt;くかん&lt;/rt&gt;&lt;/ruby&gt;&lt;br&gt;&lt;div class="audio"&gt;[sound:くかん.mp3]&lt;/div&gt;</v>
      </c>
      <c r="H2880" s="3" t="str">
        <f t="shared" si="1"/>
        <v>(n): đoạn đường</v>
      </c>
      <c r="I2880" s="6" t="s">
        <v>15742</v>
      </c>
      <c r="J2880" s="6" t="s">
        <v>15743</v>
      </c>
      <c r="K2880" s="7">
        <f t="shared" si="2"/>
        <v>0.1639823982</v>
      </c>
    </row>
    <row r="2881">
      <c r="A2881" s="4">
        <v>2881.0</v>
      </c>
      <c r="B2881" s="5" t="s">
        <v>15744</v>
      </c>
      <c r="C2881" s="5" t="s">
        <v>15745</v>
      </c>
      <c r="D2881" s="5" t="s">
        <v>15746</v>
      </c>
      <c r="E2881" s="6" t="s">
        <v>74</v>
      </c>
      <c r="F2881" s="6" t="s">
        <v>15747</v>
      </c>
      <c r="G2881" s="3" t="str">
        <f>IFERROR(__xludf.DUMMYFUNCTION("REGEXREPLACE(
D2881,
""([一-龯々]+)\[([^\]]+)\]"",
""&lt;ruby&gt;$1&lt;rt&gt;$2&lt;/rt&gt;&lt;/ruby&gt;""
)&amp;""&lt;br&gt;&lt;div class=""""audio""""&gt;[sound:""&amp;C2881&amp;"".mp3]&lt;/div&gt;"""),"&lt;ruby&gt;反射&lt;rt&gt;はんしゃ&lt;/rt&gt;&lt;/ruby&gt;&lt;br&gt;&lt;div class=""audio""&gt;[sound:はんしゃ.mp3]&lt;/div&gt;")</f>
        <v>&lt;ruby&gt;反射&lt;rt&gt;はんしゃ&lt;/rt&gt;&lt;/ruby&gt;&lt;br&gt;&lt;div class="audio"&gt;[sound:はんしゃ.mp3]&lt;/div&gt;</v>
      </c>
      <c r="H2881" s="3" t="str">
        <f t="shared" si="1"/>
        <v>(n): sự phản xạ</v>
      </c>
      <c r="I2881" s="6" t="s">
        <v>15748</v>
      </c>
      <c r="J2881" s="6" t="s">
        <v>15749</v>
      </c>
      <c r="K2881" s="7">
        <f t="shared" si="2"/>
        <v>0.008004074051</v>
      </c>
    </row>
    <row r="2882">
      <c r="A2882" s="4">
        <v>2882.0</v>
      </c>
      <c r="B2882" s="5" t="s">
        <v>15750</v>
      </c>
      <c r="C2882" s="5" t="s">
        <v>15751</v>
      </c>
      <c r="D2882" s="5" t="s">
        <v>15752</v>
      </c>
      <c r="E2882" s="6" t="s">
        <v>11</v>
      </c>
      <c r="F2882" s="6" t="s">
        <v>15753</v>
      </c>
      <c r="G2882" s="3" t="str">
        <f>IFERROR(__xludf.DUMMYFUNCTION("REGEXREPLACE(
D2882,
""([一-龯々]+)\[([^\]]+)\]"",
""&lt;ruby&gt;$1&lt;rt&gt;$2&lt;/rt&gt;&lt;/ruby&gt;""
)&amp;""&lt;br&gt;&lt;div class=""""audio""""&gt;[sound:""&amp;C2882&amp;"".mp3]&lt;/div&gt;"""),"&lt;ruby&gt;同等&lt;rt&gt;どうとう&lt;/rt&gt;&lt;/ruby&gt;&lt;br&gt;&lt;div class=""audio""&gt;[sound:どうとう.mp3]&lt;/div&gt;")</f>
        <v>&lt;ruby&gt;同等&lt;rt&gt;どうとう&lt;/rt&gt;&lt;/ruby&gt;&lt;br&gt;&lt;div class="audio"&gt;[sound:どうとう.mp3]&lt;/div&gt;</v>
      </c>
      <c r="H2882" s="3" t="str">
        <f t="shared" si="1"/>
        <v>(adj): ngang hàng</v>
      </c>
      <c r="I2882" s="6" t="s">
        <v>15754</v>
      </c>
      <c r="J2882" s="6" t="s">
        <v>15755</v>
      </c>
      <c r="K2882" s="7">
        <f t="shared" si="2"/>
        <v>0.4492408591</v>
      </c>
    </row>
    <row r="2883">
      <c r="A2883" s="4">
        <v>2883.0</v>
      </c>
      <c r="B2883" s="5" t="s">
        <v>15756</v>
      </c>
      <c r="C2883" s="5" t="s">
        <v>15757</v>
      </c>
      <c r="D2883" s="5" t="s">
        <v>15758</v>
      </c>
      <c r="E2883" s="6" t="s">
        <v>74</v>
      </c>
      <c r="F2883" s="6" t="s">
        <v>15759</v>
      </c>
      <c r="G2883" s="3" t="str">
        <f>IFERROR(__xludf.DUMMYFUNCTION("REGEXREPLACE(
D2883,
""([一-龯々]+)\[([^\]]+)\]"",
""&lt;ruby&gt;$1&lt;rt&gt;$2&lt;/rt&gt;&lt;/ruby&gt;""
)&amp;""&lt;br&gt;&lt;div class=""""audio""""&gt;[sound:""&amp;C2883&amp;"".mp3]&lt;/div&gt;"""),"&lt;ruby&gt;国防&lt;rt&gt;こくぼう&lt;/rt&gt;&lt;/ruby&gt;&lt;br&gt;&lt;div class=""audio""&gt;[sound:こくぼう.mp3]&lt;/div&gt;")</f>
        <v>&lt;ruby&gt;国防&lt;rt&gt;こくぼう&lt;/rt&gt;&lt;/ruby&gt;&lt;br&gt;&lt;div class="audio"&gt;[sound:こくぼう.mp3]&lt;/div&gt;</v>
      </c>
      <c r="H2883" s="3" t="str">
        <f t="shared" si="1"/>
        <v>(n): quốc phòng</v>
      </c>
      <c r="I2883" s="6" t="s">
        <v>15760</v>
      </c>
      <c r="J2883" s="6" t="s">
        <v>15761</v>
      </c>
      <c r="K2883" s="7">
        <f t="shared" si="2"/>
        <v>0.6012983589</v>
      </c>
    </row>
    <row r="2884">
      <c r="A2884" s="4">
        <v>2884.0</v>
      </c>
      <c r="B2884" s="5" t="s">
        <v>15762</v>
      </c>
      <c r="C2884" s="5" t="s">
        <v>15763</v>
      </c>
      <c r="D2884" s="5" t="s">
        <v>15764</v>
      </c>
      <c r="E2884" s="6" t="s">
        <v>74</v>
      </c>
      <c r="F2884" s="6" t="s">
        <v>15765</v>
      </c>
      <c r="G2884" s="3" t="str">
        <f>IFERROR(__xludf.DUMMYFUNCTION("REGEXREPLACE(
D2884,
""([一-龯々]+)\[([^\]]+)\]"",
""&lt;ruby&gt;$1&lt;rt&gt;$2&lt;/rt&gt;&lt;/ruby&gt;""
)&amp;""&lt;br&gt;&lt;div class=""""audio""""&gt;[sound:""&amp;C2884&amp;"".mp3]&lt;/div&gt;"""),"&lt;ruby&gt;委託&lt;rt&gt;いたく&lt;/rt&gt;&lt;/ruby&gt;&lt;br&gt;&lt;div class=""audio""&gt;[sound:いたく.mp3]&lt;/div&gt;")</f>
        <v>&lt;ruby&gt;委託&lt;rt&gt;いたく&lt;/rt&gt;&lt;/ruby&gt;&lt;br&gt;&lt;div class="audio"&gt;[sound:いたく.mp3]&lt;/div&gt;</v>
      </c>
      <c r="H2884" s="3" t="str">
        <f t="shared" si="1"/>
        <v>(n): sự ủy thác</v>
      </c>
      <c r="I2884" s="6" t="s">
        <v>15766</v>
      </c>
      <c r="J2884" s="6" t="s">
        <v>15767</v>
      </c>
      <c r="K2884" s="7">
        <f t="shared" si="2"/>
        <v>0.6882689881</v>
      </c>
    </row>
    <row r="2885">
      <c r="A2885" s="4">
        <v>2885.0</v>
      </c>
      <c r="B2885" s="5" t="s">
        <v>15768</v>
      </c>
      <c r="C2885" s="5" t="s">
        <v>15769</v>
      </c>
      <c r="D2885" s="5" t="s">
        <v>15770</v>
      </c>
      <c r="E2885" s="6" t="s">
        <v>11</v>
      </c>
      <c r="F2885" s="6" t="s">
        <v>15771</v>
      </c>
      <c r="G2885" s="3" t="str">
        <f>IFERROR(__xludf.DUMMYFUNCTION("REGEXREPLACE(
D2885,
""([一-龯々]+)\[([^\]]+)\]"",
""&lt;ruby&gt;$1&lt;rt&gt;$2&lt;/rt&gt;&lt;/ruby&gt;""
)&amp;""&lt;br&gt;&lt;div class=""""audio""""&gt;[sound:""&amp;C2885&amp;"".mp3]&lt;/div&gt;"""),"&lt;ruby&gt;正当&lt;rt&gt;せいとう&lt;/rt&gt;&lt;/ruby&gt;&lt;br&gt;&lt;div class=""audio""&gt;[sound:せいとう.mp3]&lt;/div&gt;")</f>
        <v>&lt;ruby&gt;正当&lt;rt&gt;せいとう&lt;/rt&gt;&lt;/ruby&gt;&lt;br&gt;&lt;div class="audio"&gt;[sound:せいとう.mp3]&lt;/div&gt;</v>
      </c>
      <c r="H2885" s="3" t="str">
        <f t="shared" si="1"/>
        <v>(adj): chính đáng</v>
      </c>
      <c r="I2885" s="6" t="s">
        <v>15772</v>
      </c>
      <c r="J2885" s="6" t="s">
        <v>15773</v>
      </c>
      <c r="K2885" s="7">
        <f t="shared" si="2"/>
        <v>0.5256696553</v>
      </c>
    </row>
    <row r="2886">
      <c r="A2886" s="4">
        <v>2886.0</v>
      </c>
      <c r="B2886" s="5" t="s">
        <v>15774</v>
      </c>
      <c r="C2886" s="5" t="s">
        <v>15775</v>
      </c>
      <c r="D2886" s="5" t="s">
        <v>15776</v>
      </c>
      <c r="E2886" s="6" t="s">
        <v>74</v>
      </c>
      <c r="F2886" s="6" t="s">
        <v>15777</v>
      </c>
      <c r="G2886" s="3" t="str">
        <f>IFERROR(__xludf.DUMMYFUNCTION("REGEXREPLACE(
D2886,
""([一-龯々]+)\[([^\]]+)\]"",
""&lt;ruby&gt;$1&lt;rt&gt;$2&lt;/rt&gt;&lt;/ruby&gt;""
)&amp;""&lt;br&gt;&lt;div class=""""audio""""&gt;[sound:""&amp;C2886&amp;"".mp3]&lt;/div&gt;"""),"&lt;ruby&gt;犠牲&lt;rt&gt;ぎせい&lt;/rt&gt;&lt;/ruby&gt;&lt;br&gt;&lt;div class=""audio""&gt;[sound:ぎせい.mp3]&lt;/div&gt;")</f>
        <v>&lt;ruby&gt;犠牲&lt;rt&gt;ぎせい&lt;/rt&gt;&lt;/ruby&gt;&lt;br&gt;&lt;div class="audio"&gt;[sound:ぎせい.mp3]&lt;/div&gt;</v>
      </c>
      <c r="H2886" s="3" t="str">
        <f t="shared" si="1"/>
        <v>(n): sự hy sinh</v>
      </c>
      <c r="I2886" s="6" t="s">
        <v>15778</v>
      </c>
      <c r="J2886" s="6" t="s">
        <v>15779</v>
      </c>
      <c r="K2886" s="7">
        <f t="shared" si="2"/>
        <v>0.9294081143</v>
      </c>
    </row>
    <row r="2887">
      <c r="A2887" s="4">
        <v>2887.0</v>
      </c>
      <c r="B2887" s="5" t="s">
        <v>15780</v>
      </c>
      <c r="C2887" s="5" t="s">
        <v>15781</v>
      </c>
      <c r="D2887" s="5" t="s">
        <v>15782</v>
      </c>
      <c r="E2887" s="6" t="s">
        <v>74</v>
      </c>
      <c r="F2887" s="6" t="s">
        <v>15783</v>
      </c>
      <c r="G2887" s="3" t="str">
        <f>IFERROR(__xludf.DUMMYFUNCTION("REGEXREPLACE(
D2887,
""([一-龯々]+)\[([^\]]+)\]"",
""&lt;ruby&gt;$1&lt;rt&gt;$2&lt;/rt&gt;&lt;/ruby&gt;""
)&amp;""&lt;br&gt;&lt;div class=""""audio""""&gt;[sound:""&amp;C2887&amp;"".mp3]&lt;/div&gt;"""),"&lt;ruby&gt;直面&lt;rt&gt;ちょくめん&lt;/rt&gt;&lt;/ruby&gt;&lt;br&gt;&lt;div class=""audio""&gt;[sound:ちょくめん.mp3]&lt;/div&gt;")</f>
        <v>&lt;ruby&gt;直面&lt;rt&gt;ちょくめん&lt;/rt&gt;&lt;/ruby&gt;&lt;br&gt;&lt;div class="audio"&gt;[sound:ちょくめん.mp3]&lt;/div&gt;</v>
      </c>
      <c r="H2887" s="3" t="str">
        <f t="shared" si="1"/>
        <v>(n): sự đối mặt</v>
      </c>
      <c r="I2887" s="6" t="s">
        <v>15784</v>
      </c>
      <c r="J2887" s="6" t="s">
        <v>15785</v>
      </c>
      <c r="K2887" s="7">
        <f t="shared" si="2"/>
        <v>0.1450501792</v>
      </c>
    </row>
    <row r="2888">
      <c r="A2888" s="4">
        <v>2888.0</v>
      </c>
      <c r="B2888" s="5" t="s">
        <v>15786</v>
      </c>
      <c r="C2888" s="5" t="s">
        <v>15787</v>
      </c>
      <c r="D2888" s="5" t="s">
        <v>15788</v>
      </c>
      <c r="E2888" s="6" t="s">
        <v>11</v>
      </c>
      <c r="F2888" s="6" t="s">
        <v>15789</v>
      </c>
      <c r="G2888" s="3" t="str">
        <f>IFERROR(__xludf.DUMMYFUNCTION("REGEXREPLACE(
D2888,
""([一-龯々]+)\[([^\]]+)\]"",
""&lt;ruby&gt;$1&lt;rt&gt;$2&lt;/rt&gt;&lt;/ruby&gt;""
)&amp;""&lt;br&gt;&lt;div class=""""audio""""&gt;[sound:""&amp;C2888&amp;"".mp3]&lt;/div&gt;"""),"&lt;ruby&gt;知的&lt;rt&gt;ちてき&lt;/rt&gt;&lt;/ruby&gt;&lt;br&gt;&lt;div class=""audio""&gt;[sound:ちてき.mp3]&lt;/div&gt;")</f>
        <v>&lt;ruby&gt;知的&lt;rt&gt;ちてき&lt;/rt&gt;&lt;/ruby&gt;&lt;br&gt;&lt;div class="audio"&gt;[sound:ちてき.mp3]&lt;/div&gt;</v>
      </c>
      <c r="H2888" s="3" t="str">
        <f t="shared" si="1"/>
        <v>(adj): có trí tuệ</v>
      </c>
      <c r="I2888" s="6" t="s">
        <v>15790</v>
      </c>
      <c r="J2888" s="6" t="s">
        <v>15791</v>
      </c>
      <c r="K2888" s="7">
        <f t="shared" si="2"/>
        <v>0.6204757148</v>
      </c>
    </row>
    <row r="2889">
      <c r="A2889" s="4">
        <v>2889.0</v>
      </c>
      <c r="B2889" s="5" t="s">
        <v>15792</v>
      </c>
      <c r="C2889" s="5" t="s">
        <v>15793</v>
      </c>
      <c r="D2889" s="5" t="s">
        <v>15794</v>
      </c>
      <c r="E2889" s="6" t="s">
        <v>74</v>
      </c>
      <c r="F2889" s="6" t="s">
        <v>15795</v>
      </c>
      <c r="G2889" s="3" t="str">
        <f>IFERROR(__xludf.DUMMYFUNCTION("REGEXREPLACE(
D2889,
""([一-龯々]+)\[([^\]]+)\]"",
""&lt;ruby&gt;$1&lt;rt&gt;$2&lt;/rt&gt;&lt;/ruby&gt;""
)&amp;""&lt;br&gt;&lt;div class=""""audio""""&gt;[sound:""&amp;C2889&amp;"".mp3]&lt;/div&gt;"""),"&lt;ruby&gt;破壊&lt;rt&gt;はかい&lt;/rt&gt;&lt;/ruby&gt;&lt;br&gt;&lt;div class=""audio""&gt;[sound:はかい.mp3]&lt;/div&gt;")</f>
        <v>&lt;ruby&gt;破壊&lt;rt&gt;はかい&lt;/rt&gt;&lt;/ruby&gt;&lt;br&gt;&lt;div class="audio"&gt;[sound:はかい.mp3]&lt;/div&gt;</v>
      </c>
      <c r="H2889" s="3" t="str">
        <f t="shared" si="1"/>
        <v>(n): sự phá hủy</v>
      </c>
      <c r="I2889" s="6" t="s">
        <v>15796</v>
      </c>
      <c r="J2889" s="6" t="s">
        <v>15797</v>
      </c>
      <c r="K2889" s="7">
        <f t="shared" si="2"/>
        <v>0.03830040309</v>
      </c>
    </row>
    <row r="2890">
      <c r="A2890" s="4">
        <v>2890.0</v>
      </c>
      <c r="B2890" s="5" t="s">
        <v>15798</v>
      </c>
      <c r="C2890" s="5" t="s">
        <v>15799</v>
      </c>
      <c r="D2890" s="5" t="s">
        <v>15800</v>
      </c>
      <c r="E2890" s="6" t="s">
        <v>11</v>
      </c>
      <c r="F2890" s="6" t="s">
        <v>1438</v>
      </c>
      <c r="G2890" s="3" t="str">
        <f>IFERROR(__xludf.DUMMYFUNCTION("REGEXREPLACE(
D2890,
""([一-龯々]+)\[([^\]]+)\]"",
""&lt;ruby&gt;$1&lt;rt&gt;$2&lt;/rt&gt;&lt;/ruby&gt;""
)&amp;""&lt;br&gt;&lt;div class=""""audio""""&gt;[sound:""&amp;C2890&amp;"".mp3]&lt;/div&gt;"""),"&lt;ruby&gt;肝心&lt;rt&gt;かんじん&lt;/rt&gt;&lt;/ruby&gt;&lt;br&gt;&lt;div class=""audio""&gt;[sound:かんじん.mp3]&lt;/div&gt;")</f>
        <v>&lt;ruby&gt;肝心&lt;rt&gt;かんじん&lt;/rt&gt;&lt;/ruby&gt;&lt;br&gt;&lt;div class="audio"&gt;[sound:かんじん.mp3]&lt;/div&gt;</v>
      </c>
      <c r="H2890" s="3" t="str">
        <f t="shared" si="1"/>
        <v>(adj): quan trọng</v>
      </c>
      <c r="I2890" s="6" t="s">
        <v>15801</v>
      </c>
      <c r="J2890" s="6" t="s">
        <v>15802</v>
      </c>
      <c r="K2890" s="7">
        <f t="shared" si="2"/>
        <v>0.8573492807</v>
      </c>
    </row>
    <row r="2891">
      <c r="A2891" s="4">
        <v>2891.0</v>
      </c>
      <c r="B2891" s="5" t="s">
        <v>15803</v>
      </c>
      <c r="C2891" s="5" t="s">
        <v>15804</v>
      </c>
      <c r="D2891" s="5" t="s">
        <v>15805</v>
      </c>
      <c r="E2891" s="6" t="s">
        <v>74</v>
      </c>
      <c r="F2891" s="6" t="s">
        <v>15806</v>
      </c>
      <c r="G2891" s="3" t="str">
        <f>IFERROR(__xludf.DUMMYFUNCTION("REGEXREPLACE(
D2891,
""([一-龯々]+)\[([^\]]+)\]"",
""&lt;ruby&gt;$1&lt;rt&gt;$2&lt;/rt&gt;&lt;/ruby&gt;""
)&amp;""&lt;br&gt;&lt;div class=""""audio""""&gt;[sound:""&amp;C2891&amp;"".mp3]&lt;/div&gt;"""),"&lt;ruby&gt;自覚&lt;rt&gt;じかく&lt;/rt&gt;&lt;/ruby&gt;&lt;br&gt;&lt;div class=""audio""&gt;[sound:じかく.mp3]&lt;/div&gt;")</f>
        <v>&lt;ruby&gt;自覚&lt;rt&gt;じかく&lt;/rt&gt;&lt;/ruby&gt;&lt;br&gt;&lt;div class="audio"&gt;[sound:じかく.mp3]&lt;/div&gt;</v>
      </c>
      <c r="H2891" s="3" t="str">
        <f t="shared" si="1"/>
        <v>(n): sự tự giác</v>
      </c>
      <c r="I2891" s="6" t="s">
        <v>15807</v>
      </c>
      <c r="J2891" s="6" t="s">
        <v>15808</v>
      </c>
      <c r="K2891" s="7">
        <f t="shared" si="2"/>
        <v>0.786094719</v>
      </c>
    </row>
    <row r="2892">
      <c r="A2892" s="4">
        <v>2892.0</v>
      </c>
      <c r="B2892" s="5" t="s">
        <v>15809</v>
      </c>
      <c r="C2892" s="5" t="s">
        <v>15810</v>
      </c>
      <c r="D2892" s="5" t="s">
        <v>15811</v>
      </c>
      <c r="E2892" s="6" t="s">
        <v>74</v>
      </c>
      <c r="F2892" s="6" t="s">
        <v>15812</v>
      </c>
      <c r="G2892" s="3" t="str">
        <f>IFERROR(__xludf.DUMMYFUNCTION("REGEXREPLACE(
D2892,
""([一-龯々]+)\[([^\]]+)\]"",
""&lt;ruby&gt;$1&lt;rt&gt;$2&lt;/rt&gt;&lt;/ruby&gt;""
)&amp;""&lt;br&gt;&lt;div class=""""audio""""&gt;[sound:""&amp;C2892&amp;"".mp3]&lt;/div&gt;"""),"&lt;ruby&gt;返答&lt;rt&gt;へんとう&lt;/rt&gt;&lt;/ruby&gt;&lt;br&gt;&lt;div class=""audio""&gt;[sound:へんとう.mp3]&lt;/div&gt;")</f>
        <v>&lt;ruby&gt;返答&lt;rt&gt;へんとう&lt;/rt&gt;&lt;/ruby&gt;&lt;br&gt;&lt;div class="audio"&gt;[sound:へんとう.mp3]&lt;/div&gt;</v>
      </c>
      <c r="H2892" s="3" t="str">
        <f t="shared" si="1"/>
        <v>(n): sự trả lời</v>
      </c>
      <c r="I2892" s="6" t="s">
        <v>15813</v>
      </c>
      <c r="J2892" s="6" t="s">
        <v>1629</v>
      </c>
      <c r="K2892" s="7">
        <f t="shared" si="2"/>
        <v>0.04147645195</v>
      </c>
    </row>
    <row r="2893">
      <c r="A2893" s="4">
        <v>2893.0</v>
      </c>
      <c r="B2893" s="5" t="s">
        <v>15814</v>
      </c>
      <c r="C2893" s="5" t="s">
        <v>15815</v>
      </c>
      <c r="D2893" s="5" t="s">
        <v>15816</v>
      </c>
      <c r="E2893" s="6" t="s">
        <v>74</v>
      </c>
      <c r="F2893" s="6" t="s">
        <v>492</v>
      </c>
      <c r="G2893" s="3" t="str">
        <f>IFERROR(__xludf.DUMMYFUNCTION("REGEXREPLACE(
D2893,
""([一-龯々]+)\[([^\]]+)\]"",
""&lt;ruby&gt;$1&lt;rt&gt;$2&lt;/rt&gt;&lt;/ruby&gt;""
)&amp;""&lt;br&gt;&lt;div class=""""audio""""&gt;[sound:""&amp;C2893&amp;"".mp3]&lt;/div&gt;"""),"&lt;ruby&gt;一同&lt;rt&gt;いちどう&lt;/rt&gt;&lt;/ruby&gt;&lt;br&gt;&lt;div class=""audio""&gt;[sound:いちどう.mp3]&lt;/div&gt;")</f>
        <v>&lt;ruby&gt;一同&lt;rt&gt;いちどう&lt;/rt&gt;&lt;/ruby&gt;&lt;br&gt;&lt;div class="audio"&gt;[sound:いちどう.mp3]&lt;/div&gt;</v>
      </c>
      <c r="H2893" s="3" t="str">
        <f t="shared" si="1"/>
        <v>(n): mọi người</v>
      </c>
      <c r="I2893" s="6" t="s">
        <v>15817</v>
      </c>
      <c r="J2893" s="6" t="s">
        <v>15818</v>
      </c>
      <c r="K2893" s="7">
        <f t="shared" si="2"/>
        <v>0.01457251774</v>
      </c>
    </row>
    <row r="2894">
      <c r="A2894" s="4">
        <v>2894.0</v>
      </c>
      <c r="B2894" s="5" t="s">
        <v>15819</v>
      </c>
      <c r="C2894" s="5" t="s">
        <v>15820</v>
      </c>
      <c r="D2894" s="5" t="s">
        <v>15821</v>
      </c>
      <c r="E2894" s="6" t="s">
        <v>24</v>
      </c>
      <c r="F2894" s="6" t="s">
        <v>15822</v>
      </c>
      <c r="G2894" s="3" t="str">
        <f>IFERROR(__xludf.DUMMYFUNCTION("REGEXREPLACE(
D2894,
""([一-龯々]+)\[([^\]]+)\]"",
""&lt;ruby&gt;$1&lt;rt&gt;$2&lt;/rt&gt;&lt;/ruby&gt;""
)&amp;""&lt;br&gt;&lt;div class=""""audio""""&gt;[sound:""&amp;C2894&amp;"".mp3]&lt;/div&gt;"""),"&lt;ruby&gt;中断&lt;rt&gt;ちゅうだん&lt;/rt&gt;&lt;/ruby&gt;&lt;br&gt;&lt;div class=""audio""&gt;[sound:ちゅうだん.mp3]&lt;/div&gt;")</f>
        <v>&lt;ruby&gt;中断&lt;rt&gt;ちゅうだん&lt;/rt&gt;&lt;/ruby&gt;&lt;br&gt;&lt;div class="audio"&gt;[sound:ちゅうだん.mp3]&lt;/div&gt;</v>
      </c>
      <c r="H2894" s="3" t="str">
        <f t="shared" si="1"/>
        <v>(v): gián đoạn</v>
      </c>
      <c r="I2894" s="6" t="s">
        <v>15823</v>
      </c>
      <c r="J2894" s="6" t="s">
        <v>15824</v>
      </c>
      <c r="K2894" s="7">
        <f t="shared" si="2"/>
        <v>0.03635065378</v>
      </c>
    </row>
    <row r="2895">
      <c r="A2895" s="4">
        <v>2895.0</v>
      </c>
      <c r="B2895" s="5" t="s">
        <v>15825</v>
      </c>
      <c r="C2895" s="5" t="s">
        <v>15826</v>
      </c>
      <c r="D2895" s="5" t="s">
        <v>15827</v>
      </c>
      <c r="E2895" s="6" t="s">
        <v>24</v>
      </c>
      <c r="F2895" s="6" t="s">
        <v>15828</v>
      </c>
      <c r="G2895" s="3" t="str">
        <f>IFERROR(__xludf.DUMMYFUNCTION("REGEXREPLACE(
D2895,
""([一-龯々]+)\[([^\]]+)\]"",
""&lt;ruby&gt;$1&lt;rt&gt;$2&lt;/rt&gt;&lt;/ruby&gt;""
)&amp;""&lt;br&gt;&lt;div class=""""audio""""&gt;[sound:""&amp;C2895&amp;"".mp3]&lt;/div&gt;"""),"&lt;ruby&gt;了承&lt;rt&gt;りょうしょう&lt;/rt&gt;&lt;/ruby&gt;&lt;br&gt;&lt;div class=""audio""&gt;[sound:りょうしょう.mp3]&lt;/div&gt;")</f>
        <v>&lt;ruby&gt;了承&lt;rt&gt;りょうしょう&lt;/rt&gt;&lt;/ruby&gt;&lt;br&gt;&lt;div class="audio"&gt;[sound:りょうしょう.mp3]&lt;/div&gt;</v>
      </c>
      <c r="H2895" s="3" t="str">
        <f t="shared" si="1"/>
        <v>(v): thông cảm</v>
      </c>
      <c r="I2895" s="6" t="s">
        <v>15829</v>
      </c>
      <c r="J2895" s="6" t="s">
        <v>15830</v>
      </c>
      <c r="K2895" s="7">
        <f t="shared" si="2"/>
        <v>0.1510002578</v>
      </c>
    </row>
    <row r="2896">
      <c r="A2896" s="4">
        <v>2896.0</v>
      </c>
      <c r="B2896" s="5" t="s">
        <v>15831</v>
      </c>
      <c r="C2896" s="5" t="s">
        <v>15832</v>
      </c>
      <c r="D2896" s="5" t="s">
        <v>15833</v>
      </c>
      <c r="E2896" s="6" t="s">
        <v>24</v>
      </c>
      <c r="F2896" s="6" t="s">
        <v>13531</v>
      </c>
      <c r="G2896" s="3" t="str">
        <f>IFERROR(__xludf.DUMMYFUNCTION("REGEXREPLACE(
D2896,
""([一-龯々]+)\[([^\]]+)\]"",
""&lt;ruby&gt;$1&lt;rt&gt;$2&lt;/rt&gt;&lt;/ruby&gt;""
)&amp;""&lt;br&gt;&lt;div class=""""audio""""&gt;[sound:""&amp;C2896&amp;"".mp3]&lt;/div&gt;"""),"&lt;ruby&gt;介入&lt;rt&gt;かいにゅう&lt;/rt&gt;&lt;/ruby&gt;&lt;br&gt;&lt;div class=""audio""&gt;[sound:かいにゅう.mp3]&lt;/div&gt;")</f>
        <v>&lt;ruby&gt;介入&lt;rt&gt;かいにゅう&lt;/rt&gt;&lt;/ruby&gt;&lt;br&gt;&lt;div class="audio"&gt;[sound:かいにゅう.mp3]&lt;/div&gt;</v>
      </c>
      <c r="H2896" s="3" t="str">
        <f t="shared" si="1"/>
        <v>(v): can thiệp</v>
      </c>
      <c r="I2896" s="6" t="s">
        <v>15834</v>
      </c>
      <c r="J2896" s="6" t="s">
        <v>15835</v>
      </c>
      <c r="K2896" s="7">
        <f t="shared" si="2"/>
        <v>0.5515607158</v>
      </c>
    </row>
    <row r="2897">
      <c r="A2897" s="4">
        <v>2897.0</v>
      </c>
      <c r="B2897" s="5" t="s">
        <v>15836</v>
      </c>
      <c r="C2897" s="5" t="s">
        <v>15837</v>
      </c>
      <c r="D2897" s="5" t="s">
        <v>15838</v>
      </c>
      <c r="E2897" s="6" t="s">
        <v>24</v>
      </c>
      <c r="F2897" s="6" t="s">
        <v>15839</v>
      </c>
      <c r="G2897" s="3" t="str">
        <f>IFERROR(__xludf.DUMMYFUNCTION("REGEXREPLACE(
D2897,
""([一-龯々]+)\[([^\]]+)\]"",
""&lt;ruby&gt;$1&lt;rt&gt;$2&lt;/rt&gt;&lt;/ruby&gt;""
)&amp;""&lt;br&gt;&lt;div class=""""audio""""&gt;[sound:""&amp;C2897&amp;"".mp3]&lt;/div&gt;"""),"&lt;ruby&gt;値&lt;rt&gt;あたい&lt;/rt&gt;&lt;/ruby&gt;する&lt;br&gt;&lt;div class=""audio""&gt;[sound:あたいする.mp3]&lt;/div&gt;")</f>
        <v>&lt;ruby&gt;値&lt;rt&gt;あたい&lt;/rt&gt;&lt;/ruby&gt;する&lt;br&gt;&lt;div class="audio"&gt;[sound:あたいする.mp3]&lt;/div&gt;</v>
      </c>
      <c r="H2897" s="3" t="str">
        <f t="shared" si="1"/>
        <v>(v): xứng đáng</v>
      </c>
      <c r="I2897" s="6" t="s">
        <v>15840</v>
      </c>
      <c r="J2897" s="6" t="s">
        <v>15841</v>
      </c>
      <c r="K2897" s="7">
        <f t="shared" si="2"/>
        <v>0.132749658</v>
      </c>
    </row>
    <row r="2898">
      <c r="A2898" s="4">
        <v>2898.0</v>
      </c>
      <c r="B2898" s="5" t="s">
        <v>15842</v>
      </c>
      <c r="C2898" s="5" t="s">
        <v>15843</v>
      </c>
      <c r="D2898" s="5" t="s">
        <v>15844</v>
      </c>
      <c r="E2898" s="6" t="s">
        <v>24</v>
      </c>
      <c r="F2898" s="6" t="s">
        <v>15845</v>
      </c>
      <c r="G2898" s="3" t="str">
        <f>IFERROR(__xludf.DUMMYFUNCTION("REGEXREPLACE(
D2898,
""([一-龯々]+)\[([^\]]+)\]"",
""&lt;ruby&gt;$1&lt;rt&gt;$2&lt;/rt&gt;&lt;/ruby&gt;""
)&amp;""&lt;br&gt;&lt;div class=""""audio""""&gt;[sound:""&amp;C2898&amp;"".mp3]&lt;/div&gt;"""),"&lt;ruby&gt;制&lt;rt&gt;せい&lt;/rt&gt;&lt;/ruby&gt;する&lt;br&gt;&lt;div class=""audio""&gt;[sound:せいする.mp3]&lt;/div&gt;")</f>
        <v>&lt;ruby&gt;制&lt;rt&gt;せい&lt;/rt&gt;&lt;/ruby&gt;する&lt;br&gt;&lt;div class="audio"&gt;[sound:せいする.mp3]&lt;/div&gt;</v>
      </c>
      <c r="H2898" s="3" t="str">
        <f t="shared" si="1"/>
        <v>(v): kiểm soát</v>
      </c>
      <c r="I2898" s="6" t="s">
        <v>15846</v>
      </c>
      <c r="J2898" s="6" t="s">
        <v>15847</v>
      </c>
      <c r="K2898" s="7">
        <f t="shared" si="2"/>
        <v>0.3338108761</v>
      </c>
    </row>
    <row r="2899">
      <c r="A2899" s="4">
        <v>2899.0</v>
      </c>
      <c r="B2899" s="5" t="s">
        <v>15848</v>
      </c>
      <c r="C2899" s="5" t="s">
        <v>15849</v>
      </c>
      <c r="D2899" s="5" t="s">
        <v>15850</v>
      </c>
      <c r="E2899" s="6" t="s">
        <v>24</v>
      </c>
      <c r="F2899" s="6" t="s">
        <v>15851</v>
      </c>
      <c r="G2899" s="3" t="str">
        <f>IFERROR(__xludf.DUMMYFUNCTION("REGEXREPLACE(
D2899,
""([一-龯々]+)\[([^\]]+)\]"",
""&lt;ruby&gt;$1&lt;rt&gt;$2&lt;/rt&gt;&lt;/ruby&gt;""
)&amp;""&lt;br&gt;&lt;div class=""""audio""""&gt;[sound:""&amp;C2899&amp;"".mp3]&lt;/div&gt;"""),"&lt;ruby&gt;勝&lt;rt&gt;まさ&lt;/rt&gt;&lt;/ruby&gt;る&lt;br&gt;&lt;div class=""audio""&gt;[sound:まさる.mp3]&lt;/div&gt;")</f>
        <v>&lt;ruby&gt;勝&lt;rt&gt;まさ&lt;/rt&gt;&lt;/ruby&gt;る&lt;br&gt;&lt;div class="audio"&gt;[sound:まさる.mp3]&lt;/div&gt;</v>
      </c>
      <c r="H2899" s="3" t="str">
        <f t="shared" si="1"/>
        <v>(v): vượt trội</v>
      </c>
      <c r="I2899" s="6" t="s">
        <v>15852</v>
      </c>
      <c r="J2899" s="6" t="s">
        <v>15853</v>
      </c>
      <c r="K2899" s="7">
        <f t="shared" si="2"/>
        <v>0.6612286105</v>
      </c>
    </row>
    <row r="2900">
      <c r="A2900" s="4">
        <v>2900.0</v>
      </c>
      <c r="B2900" s="5" t="s">
        <v>15854</v>
      </c>
      <c r="C2900" s="5" t="s">
        <v>15855</v>
      </c>
      <c r="D2900" s="5" t="s">
        <v>15856</v>
      </c>
      <c r="E2900" s="6" t="s">
        <v>74</v>
      </c>
      <c r="F2900" s="6" t="s">
        <v>15857</v>
      </c>
      <c r="G2900" s="3" t="str">
        <f>IFERROR(__xludf.DUMMYFUNCTION("REGEXREPLACE(
D2900,
""([一-龯々]+)\[([^\]]+)\]"",
""&lt;ruby&gt;$1&lt;rt&gt;$2&lt;/rt&gt;&lt;/ruby&gt;""
)&amp;""&lt;br&gt;&lt;div class=""""audio""""&gt;[sound:""&amp;C2900&amp;"".mp3]&lt;/div&gt;"""),"&lt;ruby&gt;原子&lt;rt&gt;げんし&lt;/rt&gt;&lt;/ruby&gt;&lt;br&gt;&lt;div class=""audio""&gt;[sound:げんし.mp3]&lt;/div&gt;")</f>
        <v>&lt;ruby&gt;原子&lt;rt&gt;げんし&lt;/rt&gt;&lt;/ruby&gt;&lt;br&gt;&lt;div class="audio"&gt;[sound:げんし.mp3]&lt;/div&gt;</v>
      </c>
      <c r="H2900" s="3" t="str">
        <f t="shared" si="1"/>
        <v>(n): nguyên tử</v>
      </c>
      <c r="I2900" s="6" t="s">
        <v>15858</v>
      </c>
      <c r="J2900" s="6" t="s">
        <v>15859</v>
      </c>
      <c r="K2900" s="7">
        <f t="shared" si="2"/>
        <v>0.3746978917</v>
      </c>
    </row>
    <row r="2901">
      <c r="A2901" s="4">
        <v>2901.0</v>
      </c>
      <c r="B2901" s="5" t="s">
        <v>15860</v>
      </c>
      <c r="C2901" s="5" t="s">
        <v>15861</v>
      </c>
      <c r="D2901" s="5" t="s">
        <v>15862</v>
      </c>
      <c r="E2901" s="6" t="s">
        <v>24</v>
      </c>
      <c r="F2901" s="6" t="s">
        <v>9899</v>
      </c>
      <c r="G2901" s="3" t="str">
        <f>IFERROR(__xludf.DUMMYFUNCTION("REGEXREPLACE(
D2901,
""([一-龯々]+)\[([^\]]+)\]"",
""&lt;ruby&gt;$1&lt;rt&gt;$2&lt;/rt&gt;&lt;/ruby&gt;""
)&amp;""&lt;br&gt;&lt;div class=""""audio""""&gt;[sound:""&amp;C2901&amp;"".mp3]&lt;/div&gt;"""),"&lt;ruby&gt;取&lt;rt&gt;と&lt;/rt&gt;&lt;/ruby&gt;り&lt;ruby&gt;巻&lt;rt&gt;ま&lt;/rt&gt;&lt;/ruby&gt;く&lt;br&gt;&lt;div class=""audio""&gt;[sound:とりまく.mp3]&lt;/div&gt;")</f>
        <v>&lt;ruby&gt;取&lt;rt&gt;と&lt;/rt&gt;&lt;/ruby&gt;り&lt;ruby&gt;巻&lt;rt&gt;ま&lt;/rt&gt;&lt;/ruby&gt;く&lt;br&gt;&lt;div class="audio"&gt;[sound:とりまく.mp3]&lt;/div&gt;</v>
      </c>
      <c r="H2901" s="3" t="str">
        <f t="shared" si="1"/>
        <v>(v): bao quanh</v>
      </c>
      <c r="I2901" s="6" t="s">
        <v>15863</v>
      </c>
      <c r="J2901" s="6" t="s">
        <v>15864</v>
      </c>
      <c r="K2901" s="7">
        <f t="shared" si="2"/>
        <v>0.5821956814</v>
      </c>
    </row>
    <row r="2902">
      <c r="A2902" s="4">
        <v>2902.0</v>
      </c>
      <c r="B2902" s="5" t="s">
        <v>15865</v>
      </c>
      <c r="C2902" s="5" t="s">
        <v>15866</v>
      </c>
      <c r="D2902" s="5" t="s">
        <v>15867</v>
      </c>
      <c r="E2902" s="6" t="s">
        <v>74</v>
      </c>
      <c r="F2902" s="6" t="s">
        <v>15868</v>
      </c>
      <c r="G2902" s="3" t="str">
        <f>IFERROR(__xludf.DUMMYFUNCTION("REGEXREPLACE(
D2902,
""([一-龯々]+)\[([^\]]+)\]"",
""&lt;ruby&gt;$1&lt;rt&gt;$2&lt;/rt&gt;&lt;/ruby&gt;""
)&amp;""&lt;br&gt;&lt;div class=""""audio""""&gt;[sound:""&amp;C2902&amp;"".mp3]&lt;/div&gt;"""),"&lt;ruby&gt;叫&lt;rt&gt;さけ&lt;/rt&gt;&lt;/ruby&gt;び&lt;br&gt;&lt;div class=""audio""&gt;[sound:さけび.mp3]&lt;/div&gt;")</f>
        <v>&lt;ruby&gt;叫&lt;rt&gt;さけ&lt;/rt&gt;&lt;/ruby&gt;び&lt;br&gt;&lt;div class="audio"&gt;[sound:さけび.mp3]&lt;/div&gt;</v>
      </c>
      <c r="H2902" s="3" t="str">
        <f t="shared" si="1"/>
        <v>(n): tiếng kêu</v>
      </c>
      <c r="I2902" s="6" t="s">
        <v>15869</v>
      </c>
      <c r="J2902" s="6" t="s">
        <v>15870</v>
      </c>
      <c r="K2902" s="7">
        <f t="shared" si="2"/>
        <v>0.1505319726</v>
      </c>
    </row>
    <row r="2903">
      <c r="A2903" s="4">
        <v>2903.0</v>
      </c>
      <c r="B2903" s="5" t="s">
        <v>15871</v>
      </c>
      <c r="C2903" s="5" t="s">
        <v>15872</v>
      </c>
      <c r="D2903" s="5" t="s">
        <v>15873</v>
      </c>
      <c r="E2903" s="6" t="s">
        <v>74</v>
      </c>
      <c r="F2903" s="6" t="s">
        <v>15874</v>
      </c>
      <c r="G2903" s="3" t="str">
        <f>IFERROR(__xludf.DUMMYFUNCTION("REGEXREPLACE(
D2903,
""([一-龯々]+)\[([^\]]+)\]"",
""&lt;ruby&gt;$1&lt;rt&gt;$2&lt;/rt&gt;&lt;/ruby&gt;""
)&amp;""&lt;br&gt;&lt;div class=""""audio""""&gt;[sound:""&amp;C2903&amp;"".mp3]&lt;/div&gt;"""),"&lt;ruby&gt;告白&lt;rt&gt;こくはく&lt;/rt&gt;&lt;/ruby&gt;&lt;br&gt;&lt;div class=""audio""&gt;[sound:こくはく.mp3]&lt;/div&gt;")</f>
        <v>&lt;ruby&gt;告白&lt;rt&gt;こくはく&lt;/rt&gt;&lt;/ruby&gt;&lt;br&gt;&lt;div class="audio"&gt;[sound:こくはく.mp3]&lt;/div&gt;</v>
      </c>
      <c r="H2903" s="3" t="str">
        <f t="shared" si="1"/>
        <v>(n): sự thổ lộ</v>
      </c>
      <c r="I2903" s="6" t="s">
        <v>15875</v>
      </c>
      <c r="J2903" s="6" t="s">
        <v>15876</v>
      </c>
      <c r="K2903" s="7">
        <f t="shared" si="2"/>
        <v>0.6314719172</v>
      </c>
    </row>
    <row r="2904">
      <c r="A2904" s="4">
        <v>2904.0</v>
      </c>
      <c r="B2904" s="5" t="s">
        <v>15877</v>
      </c>
      <c r="C2904" s="5" t="s">
        <v>15878</v>
      </c>
      <c r="D2904" s="5" t="s">
        <v>15879</v>
      </c>
      <c r="E2904" s="6" t="s">
        <v>74</v>
      </c>
      <c r="F2904" s="6" t="s">
        <v>15880</v>
      </c>
      <c r="G2904" s="3" t="str">
        <f>IFERROR(__xludf.DUMMYFUNCTION("REGEXREPLACE(
D2904,
""([一-龯々]+)\[([^\]]+)\]"",
""&lt;ruby&gt;$1&lt;rt&gt;$2&lt;/rt&gt;&lt;/ruby&gt;""
)&amp;""&lt;br&gt;&lt;div class=""""audio""""&gt;[sound:""&amp;C2904&amp;"".mp3]&lt;/div&gt;"""),"&lt;ruby&gt;天才&lt;rt&gt;てんさい&lt;/rt&gt;&lt;/ruby&gt;&lt;br&gt;&lt;div class=""audio""&gt;[sound:てんさい.mp3]&lt;/div&gt;")</f>
        <v>&lt;ruby&gt;天才&lt;rt&gt;てんさい&lt;/rt&gt;&lt;/ruby&gt;&lt;br&gt;&lt;div class="audio"&gt;[sound:てんさい.mp3]&lt;/div&gt;</v>
      </c>
      <c r="H2904" s="3" t="str">
        <f t="shared" si="1"/>
        <v>(n): thiên tài</v>
      </c>
      <c r="I2904" s="6" t="s">
        <v>15881</v>
      </c>
      <c r="J2904" s="6" t="s">
        <v>15882</v>
      </c>
      <c r="K2904" s="7">
        <f t="shared" si="2"/>
        <v>0.3637308174</v>
      </c>
    </row>
    <row r="2905">
      <c r="A2905" s="4">
        <v>2905.0</v>
      </c>
      <c r="B2905" s="5" t="s">
        <v>15883</v>
      </c>
      <c r="C2905" s="5" t="s">
        <v>1797</v>
      </c>
      <c r="D2905" s="5" t="s">
        <v>15884</v>
      </c>
      <c r="E2905" s="6" t="s">
        <v>74</v>
      </c>
      <c r="F2905" s="6" t="s">
        <v>15885</v>
      </c>
      <c r="G2905" s="3" t="str">
        <f>IFERROR(__xludf.DUMMYFUNCTION("REGEXREPLACE(
D2905,
""([一-龯々]+)\[([^\]]+)\]"",
""&lt;ruby&gt;$1&lt;rt&gt;$2&lt;/rt&gt;&lt;/ruby&gt;""
)&amp;""&lt;br&gt;&lt;div class=""""audio""""&gt;[sound:""&amp;C2905&amp;"".mp3]&lt;/div&gt;"""),"&lt;ruby&gt;好意&lt;rt&gt;こうい&lt;/rt&gt;&lt;/ruby&gt;&lt;br&gt;&lt;div class=""audio""&gt;[sound:こうい.mp3]&lt;/div&gt;")</f>
        <v>&lt;ruby&gt;好意&lt;rt&gt;こうい&lt;/rt&gt;&lt;/ruby&gt;&lt;br&gt;&lt;div class="audio"&gt;[sound:こうい.mp3]&lt;/div&gt;</v>
      </c>
      <c r="H2905" s="3" t="str">
        <f t="shared" si="1"/>
        <v>(n): thiện chí</v>
      </c>
      <c r="I2905" s="6" t="s">
        <v>15886</v>
      </c>
      <c r="J2905" s="6" t="s">
        <v>15887</v>
      </c>
      <c r="K2905" s="7">
        <f t="shared" si="2"/>
        <v>0.341874512</v>
      </c>
    </row>
    <row r="2906">
      <c r="A2906" s="4">
        <v>2906.0</v>
      </c>
      <c r="B2906" s="5" t="s">
        <v>15888</v>
      </c>
      <c r="C2906" s="5" t="s">
        <v>15889</v>
      </c>
      <c r="D2906" s="5" t="s">
        <v>15890</v>
      </c>
      <c r="E2906" s="6" t="s">
        <v>74</v>
      </c>
      <c r="F2906" s="6" t="s">
        <v>15891</v>
      </c>
      <c r="G2906" s="3" t="str">
        <f>IFERROR(__xludf.DUMMYFUNCTION("REGEXREPLACE(
D2906,
""([一-龯々]+)\[([^\]]+)\]"",
""&lt;ruby&gt;$1&lt;rt&gt;$2&lt;/rt&gt;&lt;/ruby&gt;""
)&amp;""&lt;br&gt;&lt;div class=""""audio""""&gt;[sound:""&amp;C2906&amp;"".mp3]&lt;/div&gt;"""),"&lt;ruby&gt;調理&lt;rt&gt;ちょうり&lt;/rt&gt;&lt;/ruby&gt;&lt;br&gt;&lt;div class=""audio""&gt;[sound:ちょうり.mp3]&lt;/div&gt;")</f>
        <v>&lt;ruby&gt;調理&lt;rt&gt;ちょうり&lt;/rt&gt;&lt;/ruby&gt;&lt;br&gt;&lt;div class="audio"&gt;[sound:ちょうり.mp3]&lt;/div&gt;</v>
      </c>
      <c r="H2906" s="3" t="str">
        <f t="shared" si="1"/>
        <v>(n): sự nấu ăn</v>
      </c>
      <c r="I2906" s="6" t="s">
        <v>15892</v>
      </c>
      <c r="J2906" s="6" t="s">
        <v>15893</v>
      </c>
      <c r="K2906" s="7">
        <f t="shared" si="2"/>
        <v>0.5600593119</v>
      </c>
    </row>
    <row r="2907">
      <c r="A2907" s="4">
        <v>2907.0</v>
      </c>
      <c r="B2907" s="5" t="s">
        <v>15894</v>
      </c>
      <c r="C2907" s="5" t="s">
        <v>15895</v>
      </c>
      <c r="D2907" s="5" t="s">
        <v>15896</v>
      </c>
      <c r="E2907" s="6" t="s">
        <v>24</v>
      </c>
      <c r="F2907" s="6" t="s">
        <v>11739</v>
      </c>
      <c r="G2907" s="3" t="str">
        <f>IFERROR(__xludf.DUMMYFUNCTION("REGEXREPLACE(
D2907,
""([一-龯々]+)\[([^\]]+)\]"",
""&lt;ruby&gt;$1&lt;rt&gt;$2&lt;/rt&gt;&lt;/ruby&gt;""
)&amp;""&lt;br&gt;&lt;div class=""""audio""""&gt;[sound:""&amp;C2907&amp;"".mp3]&lt;/div&gt;"""),"&lt;ruby&gt;貫&lt;rt&gt;つらぬ&lt;/rt&gt;&lt;/ruby&gt;く&lt;br&gt;&lt;div class=""audio""&gt;[sound:つらぬく.mp3]&lt;/div&gt;")</f>
        <v>&lt;ruby&gt;貫&lt;rt&gt;つらぬ&lt;/rt&gt;&lt;/ruby&gt;く&lt;br&gt;&lt;div class="audio"&gt;[sound:つらぬく.mp3]&lt;/div&gt;</v>
      </c>
      <c r="H2907" s="3" t="str">
        <f t="shared" si="1"/>
        <v>(v): xuyên qua</v>
      </c>
      <c r="I2907" s="6" t="s">
        <v>15897</v>
      </c>
      <c r="J2907" s="6" t="s">
        <v>15898</v>
      </c>
      <c r="K2907" s="7">
        <f t="shared" si="2"/>
        <v>0.0478116053</v>
      </c>
    </row>
    <row r="2908">
      <c r="A2908" s="4">
        <v>2908.0</v>
      </c>
      <c r="B2908" s="5" t="s">
        <v>15899</v>
      </c>
      <c r="C2908" s="5" t="s">
        <v>15899</v>
      </c>
      <c r="D2908" s="5" t="s">
        <v>15899</v>
      </c>
      <c r="E2908" s="6" t="s">
        <v>74</v>
      </c>
      <c r="F2908" s="6" t="s">
        <v>15900</v>
      </c>
      <c r="G2908" s="3" t="str">
        <f>IFERROR(__xludf.DUMMYFUNCTION("REGEXREPLACE(
D2908,
""([一-龯々]+)\[([^\]]+)\]"",
""&lt;ruby&gt;$1&lt;rt&gt;$2&lt;/rt&gt;&lt;/ruby&gt;""
)&amp;""&lt;br&gt;&lt;div class=""""audio""""&gt;[sound:""&amp;C2908&amp;"".mp3]&lt;/div&gt;"""),"かかと&lt;br&gt;&lt;div class=""audio""&gt;[sound:かかと.mp3]&lt;/div&gt;")</f>
        <v>かかと&lt;br&gt;&lt;div class="audio"&gt;[sound:かかと.mp3]&lt;/div&gt;</v>
      </c>
      <c r="H2908" s="3" t="str">
        <f t="shared" si="1"/>
        <v>(n): gót chân</v>
      </c>
      <c r="I2908" s="6" t="s">
        <v>15901</v>
      </c>
      <c r="J2908" s="6" t="s">
        <v>15902</v>
      </c>
      <c r="K2908" s="7">
        <f t="shared" si="2"/>
        <v>0.7311143399</v>
      </c>
    </row>
    <row r="2909">
      <c r="A2909" s="4">
        <v>2909.0</v>
      </c>
      <c r="B2909" s="5" t="s">
        <v>15903</v>
      </c>
      <c r="C2909" s="5" t="s">
        <v>15904</v>
      </c>
      <c r="D2909" s="5" t="s">
        <v>15903</v>
      </c>
      <c r="E2909" s="6" t="s">
        <v>24</v>
      </c>
      <c r="F2909" s="6" t="s">
        <v>15905</v>
      </c>
      <c r="G2909" s="3" t="str">
        <f>IFERROR(__xludf.DUMMYFUNCTION("REGEXREPLACE(
D2909,
""([一-龯々]+)\[([^\]]+)\]"",
""&lt;ruby&gt;$1&lt;rt&gt;$2&lt;/rt&gt;&lt;/ruby&gt;""
)&amp;""&lt;br&gt;&lt;div class=""""audio""""&gt;[sound:""&amp;C2909&amp;"".mp3]&lt;/div&gt;"""),"サボる&lt;br&gt;&lt;div class=""audio""&gt;[sound:さぼる.mp3]&lt;/div&gt;")</f>
        <v>サボる&lt;br&gt;&lt;div class="audio"&gt;[sound:さぼる.mp3]&lt;/div&gt;</v>
      </c>
      <c r="H2909" s="3" t="str">
        <f t="shared" si="1"/>
        <v>(v): trốn học</v>
      </c>
      <c r="I2909" s="6" t="s">
        <v>15906</v>
      </c>
      <c r="J2909" s="6" t="s">
        <v>15907</v>
      </c>
      <c r="K2909" s="7">
        <f t="shared" si="2"/>
        <v>0.03608697862</v>
      </c>
    </row>
    <row r="2910">
      <c r="A2910" s="4">
        <v>2910.0</v>
      </c>
      <c r="B2910" s="5" t="s">
        <v>15908</v>
      </c>
      <c r="C2910" s="5" t="s">
        <v>15909</v>
      </c>
      <c r="D2910" s="5" t="s">
        <v>15908</v>
      </c>
      <c r="E2910" s="6" t="s">
        <v>74</v>
      </c>
      <c r="F2910" s="6" t="s">
        <v>15910</v>
      </c>
      <c r="G2910" s="3" t="str">
        <f>IFERROR(__xludf.DUMMYFUNCTION("REGEXREPLACE(
D2910,
""([一-龯々]+)\[([^\]]+)\]"",
""&lt;ruby&gt;$1&lt;rt&gt;$2&lt;/rt&gt;&lt;/ruby&gt;""
)&amp;""&lt;br&gt;&lt;div class=""""audio""""&gt;[sound:""&amp;C2910&amp;"".mp3]&lt;/div&gt;"""),"トーン&lt;br&gt;&lt;div class=""audio""&gt;[sound:とーん.mp3]&lt;/div&gt;")</f>
        <v>トーン&lt;br&gt;&lt;div class="audio"&gt;[sound:とーん.mp3]&lt;/div&gt;</v>
      </c>
      <c r="H2910" s="3" t="str">
        <f t="shared" si="1"/>
        <v>(n): tông màu</v>
      </c>
      <c r="I2910" s="6" t="s">
        <v>15911</v>
      </c>
      <c r="J2910" s="6" t="s">
        <v>15912</v>
      </c>
      <c r="K2910" s="7">
        <f t="shared" si="2"/>
        <v>0.7849707228</v>
      </c>
    </row>
    <row r="2911">
      <c r="A2911" s="4">
        <v>2911.0</v>
      </c>
      <c r="B2911" s="5" t="s">
        <v>15913</v>
      </c>
      <c r="C2911" s="5" t="s">
        <v>15913</v>
      </c>
      <c r="D2911" s="5" t="s">
        <v>15913</v>
      </c>
      <c r="E2911" s="6" t="s">
        <v>85</v>
      </c>
      <c r="F2911" s="6" t="s">
        <v>15914</v>
      </c>
      <c r="G2911" s="3" t="str">
        <f>IFERROR(__xludf.DUMMYFUNCTION("REGEXREPLACE(
D2911,
""([一-龯々]+)\[([^\]]+)\]"",
""&lt;ruby&gt;$1&lt;rt&gt;$2&lt;/rt&gt;&lt;/ruby&gt;""
)&amp;""&lt;br&gt;&lt;div class=""""audio""""&gt;[sound:""&amp;C2911&amp;"".mp3]&lt;/div&gt;"""),"どうやら&lt;br&gt;&lt;div class=""audio""&gt;[sound:どうやら.mp3]&lt;/div&gt;")</f>
        <v>どうやら&lt;br&gt;&lt;div class="audio"&gt;[sound:どうやら.mp3]&lt;/div&gt;</v>
      </c>
      <c r="H2911" s="3" t="str">
        <f t="shared" si="1"/>
        <v>(adv): hình như</v>
      </c>
      <c r="I2911" s="6" t="s">
        <v>15915</v>
      </c>
      <c r="J2911" s="6" t="s">
        <v>15916</v>
      </c>
      <c r="K2911" s="7">
        <f t="shared" si="2"/>
        <v>0.3158906264</v>
      </c>
    </row>
    <row r="2912">
      <c r="A2912" s="4">
        <v>2912.0</v>
      </c>
      <c r="B2912" s="5" t="s">
        <v>15917</v>
      </c>
      <c r="C2912" s="5" t="s">
        <v>15918</v>
      </c>
      <c r="D2912" s="5" t="s">
        <v>15917</v>
      </c>
      <c r="E2912" s="6" t="s">
        <v>74</v>
      </c>
      <c r="F2912" s="6" t="s">
        <v>15919</v>
      </c>
      <c r="G2912" s="3" t="str">
        <f>IFERROR(__xludf.DUMMYFUNCTION("REGEXREPLACE(
D2912,
""([一-龯々]+)\[([^\]]+)\]"",
""&lt;ruby&gt;$1&lt;rt&gt;$2&lt;/rt&gt;&lt;/ruby&gt;""
)&amp;""&lt;br&gt;&lt;div class=""""audio""""&gt;[sound:""&amp;C2912&amp;"".mp3]&lt;/div&gt;"""),"ニュアンス&lt;br&gt;&lt;div class=""audio""&gt;[sound:にゅあんす.mp3]&lt;/div&gt;")</f>
        <v>ニュアンス&lt;br&gt;&lt;div class="audio"&gt;[sound:にゅあんす.mp3]&lt;/div&gt;</v>
      </c>
      <c r="H2912" s="3" t="str">
        <f t="shared" si="1"/>
        <v>(n): sắc thái</v>
      </c>
      <c r="I2912" s="6" t="s">
        <v>15920</v>
      </c>
      <c r="J2912" s="6" t="s">
        <v>15921</v>
      </c>
      <c r="K2912" s="7">
        <f t="shared" si="2"/>
        <v>0.865947168</v>
      </c>
    </row>
    <row r="2913">
      <c r="A2913" s="4">
        <v>2913.0</v>
      </c>
      <c r="B2913" s="5" t="s">
        <v>15922</v>
      </c>
      <c r="C2913" s="5" t="s">
        <v>15922</v>
      </c>
      <c r="D2913" s="5" t="s">
        <v>15922</v>
      </c>
      <c r="E2913" s="6" t="s">
        <v>85</v>
      </c>
      <c r="F2913" s="6" t="s">
        <v>11244</v>
      </c>
      <c r="G2913" s="3" t="str">
        <f>IFERROR(__xludf.DUMMYFUNCTION("REGEXREPLACE(
D2913,
""([一-龯々]+)\[([^\]]+)\]"",
""&lt;ruby&gt;$1&lt;rt&gt;$2&lt;/rt&gt;&lt;/ruby&gt;""
)&amp;""&lt;br&gt;&lt;div class=""""audio""""&gt;[sound:""&amp;C2913&amp;"".mp3]&lt;/div&gt;"""),"わざわざ&lt;br&gt;&lt;div class=""audio""&gt;[sound:わざわざ.mp3]&lt;/div&gt;")</f>
        <v>わざわざ&lt;br&gt;&lt;div class="audio"&gt;[sound:わざわざ.mp3]&lt;/div&gt;</v>
      </c>
      <c r="H2913" s="3" t="str">
        <f t="shared" si="1"/>
        <v>(adv): cất công</v>
      </c>
      <c r="I2913" s="6" t="s">
        <v>15923</v>
      </c>
      <c r="J2913" s="6" t="s">
        <v>15924</v>
      </c>
      <c r="K2913" s="7">
        <f t="shared" si="2"/>
        <v>0.761640378</v>
      </c>
    </row>
    <row r="2914">
      <c r="A2914" s="4">
        <v>2914.0</v>
      </c>
      <c r="B2914" s="5" t="s">
        <v>15925</v>
      </c>
      <c r="C2914" s="5" t="s">
        <v>15926</v>
      </c>
      <c r="D2914" s="5" t="s">
        <v>15927</v>
      </c>
      <c r="E2914" s="6" t="s">
        <v>74</v>
      </c>
      <c r="F2914" s="6" t="s">
        <v>15928</v>
      </c>
      <c r="G2914" s="3" t="str">
        <f>IFERROR(__xludf.DUMMYFUNCTION("REGEXREPLACE(
D2914,
""([一-龯々]+)\[([^\]]+)\]"",
""&lt;ruby&gt;$1&lt;rt&gt;$2&lt;/rt&gt;&lt;/ruby&gt;""
)&amp;""&lt;br&gt;&lt;div class=""""audio""""&gt;[sound:""&amp;C2914&amp;"".mp3]&lt;/div&gt;"""),"&lt;ruby&gt;一連&lt;rt&gt;いちれん&lt;/rt&gt;&lt;/ruby&gt;&lt;br&gt;&lt;div class=""audio""&gt;[sound:いちれん.mp3]&lt;/div&gt;")</f>
        <v>&lt;ruby&gt;一連&lt;rt&gt;いちれん&lt;/rt&gt;&lt;/ruby&gt;&lt;br&gt;&lt;div class="audio"&gt;[sound:いちれん.mp3]&lt;/div&gt;</v>
      </c>
      <c r="H2914" s="3" t="str">
        <f t="shared" si="1"/>
        <v>(n): một loạt</v>
      </c>
      <c r="I2914" s="6" t="s">
        <v>15929</v>
      </c>
      <c r="J2914" s="6" t="s">
        <v>15930</v>
      </c>
      <c r="K2914" s="7">
        <f t="shared" si="2"/>
        <v>0.5412734158</v>
      </c>
    </row>
    <row r="2915">
      <c r="A2915" s="4">
        <v>2915.0</v>
      </c>
      <c r="B2915" s="5" t="s">
        <v>15931</v>
      </c>
      <c r="C2915" s="5" t="s">
        <v>15932</v>
      </c>
      <c r="D2915" s="5" t="s">
        <v>15933</v>
      </c>
      <c r="E2915" s="6" t="s">
        <v>11</v>
      </c>
      <c r="F2915" s="6" t="s">
        <v>15934</v>
      </c>
      <c r="G2915" s="3" t="str">
        <f>IFERROR(__xludf.DUMMYFUNCTION("REGEXREPLACE(
D2915,
""([一-龯々]+)\[([^\]]+)\]"",
""&lt;ruby&gt;$1&lt;rt&gt;$2&lt;/rt&gt;&lt;/ruby&gt;""
)&amp;""&lt;br&gt;&lt;div class=""""audio""""&gt;[sound:""&amp;C2915&amp;"".mp3]&lt;/div&gt;"""),"&lt;ruby&gt;不明&lt;rt&gt;ふめい&lt;/rt&gt;&lt;/ruby&gt;&lt;br&gt;&lt;div class=""audio""&gt;[sound:ふめい.mp3]&lt;/div&gt;")</f>
        <v>&lt;ruby&gt;不明&lt;rt&gt;ふめい&lt;/rt&gt;&lt;/ruby&gt;&lt;br&gt;&lt;div class="audio"&gt;[sound:ふめい.mp3]&lt;/div&gt;</v>
      </c>
      <c r="H2915" s="3" t="str">
        <f t="shared" si="1"/>
        <v>(adj): không rõ</v>
      </c>
      <c r="I2915" s="6" t="s">
        <v>15935</v>
      </c>
      <c r="J2915" s="6" t="s">
        <v>15936</v>
      </c>
      <c r="K2915" s="7">
        <f t="shared" si="2"/>
        <v>0.5163616381</v>
      </c>
    </row>
    <row r="2916">
      <c r="A2916" s="4">
        <v>2916.0</v>
      </c>
      <c r="B2916" s="5" t="s">
        <v>15937</v>
      </c>
      <c r="C2916" s="5" t="s">
        <v>15938</v>
      </c>
      <c r="D2916" s="5" t="s">
        <v>15939</v>
      </c>
      <c r="E2916" s="6" t="s">
        <v>24</v>
      </c>
      <c r="F2916" s="6" t="s">
        <v>8414</v>
      </c>
      <c r="G2916" s="3" t="str">
        <f>IFERROR(__xludf.DUMMYFUNCTION("REGEXREPLACE(
D2916,
""([一-龯々]+)\[([^\]]+)\]"",
""&lt;ruby&gt;$1&lt;rt&gt;$2&lt;/rt&gt;&lt;/ruby&gt;""
)&amp;""&lt;br&gt;&lt;div class=""""audio""""&gt;[sound:""&amp;C2916&amp;"".mp3]&lt;/div&gt;"""),"&lt;ruby&gt;付&lt;rt&gt;つ&lt;/rt&gt;&lt;/ruby&gt;け&lt;ruby&gt;加&lt;rt&gt;くわ&lt;/rt&gt;&lt;/ruby&gt;える&lt;br&gt;&lt;div class=""audio""&gt;[sound:つけくわえる.mp3]&lt;/div&gt;")</f>
        <v>&lt;ruby&gt;付&lt;rt&gt;つ&lt;/rt&gt;&lt;/ruby&gt;け&lt;ruby&gt;加&lt;rt&gt;くわ&lt;/rt&gt;&lt;/ruby&gt;える&lt;br&gt;&lt;div class="audio"&gt;[sound:つけくわえる.mp3]&lt;/div&gt;</v>
      </c>
      <c r="H2916" s="3" t="str">
        <f t="shared" si="1"/>
        <v>(v): thêm vào</v>
      </c>
      <c r="I2916" s="6" t="s">
        <v>15940</v>
      </c>
      <c r="J2916" s="6" t="s">
        <v>15941</v>
      </c>
      <c r="K2916" s="7">
        <f t="shared" si="2"/>
        <v>0.04042784101</v>
      </c>
    </row>
    <row r="2917">
      <c r="A2917" s="4">
        <v>2917.0</v>
      </c>
      <c r="B2917" s="5" t="s">
        <v>15942</v>
      </c>
      <c r="C2917" s="5" t="s">
        <v>15943</v>
      </c>
      <c r="D2917" s="5" t="s">
        <v>15944</v>
      </c>
      <c r="E2917" s="6" t="s">
        <v>74</v>
      </c>
      <c r="F2917" s="6" t="s">
        <v>14431</v>
      </c>
      <c r="G2917" s="3" t="str">
        <f>IFERROR(__xludf.DUMMYFUNCTION("REGEXREPLACE(
D2917,
""([一-龯々]+)\[([^\]]+)\]"",
""&lt;ruby&gt;$1&lt;rt&gt;$2&lt;/rt&gt;&lt;/ruby&gt;""
)&amp;""&lt;br&gt;&lt;div class=""""audio""""&gt;[sound:""&amp;C2917&amp;"".mp3]&lt;/div&gt;"""),"&lt;ruby&gt;任務&lt;rt&gt;にんむ&lt;/rt&gt;&lt;/ruby&gt;&lt;br&gt;&lt;div class=""audio""&gt;[sound:にんむ.mp3]&lt;/div&gt;")</f>
        <v>&lt;ruby&gt;任務&lt;rt&gt;にんむ&lt;/rt&gt;&lt;/ruby&gt;&lt;br&gt;&lt;div class="audio"&gt;[sound:にんむ.mp3]&lt;/div&gt;</v>
      </c>
      <c r="H2917" s="3" t="str">
        <f t="shared" si="1"/>
        <v>(n): nhiệm vụ</v>
      </c>
      <c r="I2917" s="6" t="s">
        <v>15945</v>
      </c>
      <c r="J2917" s="6" t="s">
        <v>15946</v>
      </c>
      <c r="K2917" s="7">
        <f t="shared" si="2"/>
        <v>0.2308416355</v>
      </c>
    </row>
    <row r="2918">
      <c r="A2918" s="4">
        <v>2918.0</v>
      </c>
      <c r="B2918" s="5" t="s">
        <v>15947</v>
      </c>
      <c r="C2918" s="5" t="s">
        <v>15948</v>
      </c>
      <c r="D2918" s="5" t="s">
        <v>15949</v>
      </c>
      <c r="E2918" s="6" t="s">
        <v>24</v>
      </c>
      <c r="F2918" s="6" t="s">
        <v>15950</v>
      </c>
      <c r="G2918" s="3" t="str">
        <f>IFERROR(__xludf.DUMMYFUNCTION("REGEXREPLACE(
D2918,
""([一-龯々]+)\[([^\]]+)\]"",
""&lt;ruby&gt;$1&lt;rt&gt;$2&lt;/rt&gt;&lt;/ruby&gt;""
)&amp;""&lt;br&gt;&lt;div class=""""audio""""&gt;[sound:""&amp;C2918&amp;"".mp3]&lt;/div&gt;"""),"&lt;ruby&gt;侵&lt;rt&gt;おか&lt;/rt&gt;&lt;/ruby&gt;す&lt;br&gt;&lt;div class=""audio""&gt;[sound:おかす.mp3]&lt;/div&gt;")</f>
        <v>&lt;ruby&gt;侵&lt;rt&gt;おか&lt;/rt&gt;&lt;/ruby&gt;す&lt;br&gt;&lt;div class="audio"&gt;[sound:おかす.mp3]&lt;/div&gt;</v>
      </c>
      <c r="H2918" s="3" t="str">
        <f t="shared" si="1"/>
        <v>(v): xâm phạm</v>
      </c>
      <c r="I2918" s="6" t="s">
        <v>15951</v>
      </c>
      <c r="J2918" s="6" t="s">
        <v>15952</v>
      </c>
      <c r="K2918" s="7">
        <f t="shared" si="2"/>
        <v>0.05257515313</v>
      </c>
    </row>
    <row r="2919">
      <c r="A2919" s="4">
        <v>2919.0</v>
      </c>
      <c r="B2919" s="5" t="s">
        <v>15953</v>
      </c>
      <c r="C2919" s="5" t="s">
        <v>15954</v>
      </c>
      <c r="D2919" s="5" t="s">
        <v>15955</v>
      </c>
      <c r="E2919" s="6" t="s">
        <v>24</v>
      </c>
      <c r="F2919" s="6" t="s">
        <v>8547</v>
      </c>
      <c r="G2919" s="3" t="str">
        <f>IFERROR(__xludf.DUMMYFUNCTION("REGEXREPLACE(
D2919,
""([一-龯々]+)\[([^\]]+)\]"",
""&lt;ruby&gt;$1&lt;rt&gt;$2&lt;/rt&gt;&lt;/ruby&gt;""
)&amp;""&lt;br&gt;&lt;div class=""""audio""""&gt;[sound:""&amp;C2919&amp;"".mp3]&lt;/div&gt;"""),"&lt;ruby&gt;凌&lt;rt&gt;しの&lt;/rt&gt;&lt;/ruby&gt;ぐ&lt;br&gt;&lt;div class=""audio""&gt;[sound:しのぐ.mp3]&lt;/div&gt;")</f>
        <v>&lt;ruby&gt;凌&lt;rt&gt;しの&lt;/rt&gt;&lt;/ruby&gt;ぐ&lt;br&gt;&lt;div class="audio"&gt;[sound:しのぐ.mp3]&lt;/div&gt;</v>
      </c>
      <c r="H2919" s="3" t="str">
        <f t="shared" si="1"/>
        <v>(v): vượt qua</v>
      </c>
      <c r="I2919" s="6" t="s">
        <v>15956</v>
      </c>
      <c r="J2919" s="6" t="s">
        <v>15957</v>
      </c>
      <c r="K2919" s="7">
        <f t="shared" si="2"/>
        <v>0.6081927289</v>
      </c>
    </row>
    <row r="2920">
      <c r="A2920" s="4">
        <v>2920.0</v>
      </c>
      <c r="B2920" s="5" t="s">
        <v>15958</v>
      </c>
      <c r="C2920" s="5" t="s">
        <v>15959</v>
      </c>
      <c r="D2920" s="5" t="s">
        <v>15960</v>
      </c>
      <c r="E2920" s="6" t="s">
        <v>74</v>
      </c>
      <c r="F2920" s="6" t="s">
        <v>15961</v>
      </c>
      <c r="G2920" s="3" t="str">
        <f>IFERROR(__xludf.DUMMYFUNCTION("REGEXREPLACE(
D2920,
""([一-龯々]+)\[([^\]]+)\]"",
""&lt;ruby&gt;$1&lt;rt&gt;$2&lt;/rt&gt;&lt;/ruby&gt;""
)&amp;""&lt;br&gt;&lt;div class=""""audio""""&gt;[sound:""&amp;C2920&amp;"".mp3]&lt;/div&gt;"""),"&lt;ruby&gt;利子&lt;rt&gt;りし&lt;/rt&gt;&lt;/ruby&gt;&lt;br&gt;&lt;div class=""audio""&gt;[sound:りし.mp3]&lt;/div&gt;")</f>
        <v>&lt;ruby&gt;利子&lt;rt&gt;りし&lt;/rt&gt;&lt;/ruby&gt;&lt;br&gt;&lt;div class="audio"&gt;[sound:りし.mp3]&lt;/div&gt;</v>
      </c>
      <c r="H2920" s="3" t="str">
        <f t="shared" si="1"/>
        <v>(n): tiền lãi</v>
      </c>
      <c r="I2920" s="6" t="s">
        <v>15962</v>
      </c>
      <c r="J2920" s="6" t="s">
        <v>15963</v>
      </c>
      <c r="K2920" s="7">
        <f t="shared" si="2"/>
        <v>0.1574991217</v>
      </c>
    </row>
    <row r="2921">
      <c r="A2921" s="4">
        <v>2921.0</v>
      </c>
      <c r="B2921" s="5" t="s">
        <v>15964</v>
      </c>
      <c r="C2921" s="5" t="s">
        <v>15965</v>
      </c>
      <c r="D2921" s="5" t="s">
        <v>15966</v>
      </c>
      <c r="E2921" s="6" t="s">
        <v>74</v>
      </c>
      <c r="F2921" s="6" t="s">
        <v>15961</v>
      </c>
      <c r="G2921" s="3" t="str">
        <f>IFERROR(__xludf.DUMMYFUNCTION("REGEXREPLACE(
D2921,
""([一-龯々]+)\[([^\]]+)\]"",
""&lt;ruby&gt;$1&lt;rt&gt;$2&lt;/rt&gt;&lt;/ruby&gt;""
)&amp;""&lt;br&gt;&lt;div class=""""audio""""&gt;[sound:""&amp;C2921&amp;"".mp3]&lt;/div&gt;"""),"&lt;ruby&gt;利息&lt;rt&gt;りそく&lt;/rt&gt;&lt;/ruby&gt;&lt;br&gt;&lt;div class=""audio""&gt;[sound:りそく.mp3]&lt;/div&gt;")</f>
        <v>&lt;ruby&gt;利息&lt;rt&gt;りそく&lt;/rt&gt;&lt;/ruby&gt;&lt;br&gt;&lt;div class="audio"&gt;[sound:りそく.mp3]&lt;/div&gt;</v>
      </c>
      <c r="H2921" s="3" t="str">
        <f t="shared" si="1"/>
        <v>(n): tiền lãi</v>
      </c>
      <c r="I2921" s="6" t="s">
        <v>15967</v>
      </c>
      <c r="J2921" s="6" t="s">
        <v>15968</v>
      </c>
      <c r="K2921" s="7">
        <f t="shared" si="2"/>
        <v>0.681150057</v>
      </c>
    </row>
    <row r="2922">
      <c r="A2922" s="4">
        <v>2922.0</v>
      </c>
      <c r="B2922" s="5" t="s">
        <v>15969</v>
      </c>
      <c r="C2922" s="5" t="s">
        <v>15970</v>
      </c>
      <c r="D2922" s="5" t="s">
        <v>15971</v>
      </c>
      <c r="E2922" s="6" t="s">
        <v>74</v>
      </c>
      <c r="F2922" s="6" t="s">
        <v>15228</v>
      </c>
      <c r="G2922" s="3" t="str">
        <f>IFERROR(__xludf.DUMMYFUNCTION("REGEXREPLACE(
D2922,
""([一-龯々]+)\[([^\]]+)\]"",
""&lt;ruby&gt;$1&lt;rt&gt;$2&lt;/rt&gt;&lt;/ruby&gt;""
)&amp;""&lt;br&gt;&lt;div class=""""audio""""&gt;[sound:""&amp;C2922&amp;"".mp3]&lt;/div&gt;"""),"&lt;ruby&gt;労力&lt;rt&gt;ろうりょく&lt;/rt&gt;&lt;/ruby&gt;&lt;br&gt;&lt;div class=""audio""&gt;[sound:ろうりょく.mp3]&lt;/div&gt;")</f>
        <v>&lt;ruby&gt;労力&lt;rt&gt;ろうりょく&lt;/rt&gt;&lt;/ruby&gt;&lt;br&gt;&lt;div class="audio"&gt;[sound:ろうりょく.mp3]&lt;/div&gt;</v>
      </c>
      <c r="H2922" s="3" t="str">
        <f t="shared" si="1"/>
        <v>(n): công sức</v>
      </c>
      <c r="I2922" s="6" t="s">
        <v>15972</v>
      </c>
      <c r="J2922" s="6" t="s">
        <v>15973</v>
      </c>
      <c r="K2922" s="7">
        <f t="shared" si="2"/>
        <v>0.2124532769</v>
      </c>
    </row>
    <row r="2923">
      <c r="A2923" s="4">
        <v>2923.0</v>
      </c>
      <c r="B2923" s="5" t="s">
        <v>15974</v>
      </c>
      <c r="C2923" s="5" t="s">
        <v>15975</v>
      </c>
      <c r="D2923" s="5" t="s">
        <v>15976</v>
      </c>
      <c r="E2923" s="6" t="s">
        <v>74</v>
      </c>
      <c r="F2923" s="6" t="s">
        <v>15977</v>
      </c>
      <c r="G2923" s="3" t="str">
        <f>IFERROR(__xludf.DUMMYFUNCTION("REGEXREPLACE(
D2923,
""([一-龯々]+)\[([^\]]+)\]"",
""&lt;ruby&gt;$1&lt;rt&gt;$2&lt;/rt&gt;&lt;/ruby&gt;""
)&amp;""&lt;br&gt;&lt;div class=""""audio""""&gt;[sound:""&amp;C2923&amp;"".mp3]&lt;/div&gt;"""),"&lt;ruby&gt;味&lt;rt&gt;あじ&lt;/rt&gt;&lt;/ruby&gt;わい&lt;br&gt;&lt;div class=""audio""&gt;[sound:あじわい.mp3]&lt;/div&gt;")</f>
        <v>&lt;ruby&gt;味&lt;rt&gt;あじ&lt;/rt&gt;&lt;/ruby&gt;わい&lt;br&gt;&lt;div class="audio"&gt;[sound:あじわい.mp3]&lt;/div&gt;</v>
      </c>
      <c r="H2923" s="3" t="str">
        <f t="shared" si="1"/>
        <v>(n): hương vị</v>
      </c>
      <c r="I2923" s="6" t="s">
        <v>15978</v>
      </c>
      <c r="J2923" s="6" t="s">
        <v>15979</v>
      </c>
      <c r="K2923" s="7">
        <f t="shared" si="2"/>
        <v>0.5799838995</v>
      </c>
    </row>
    <row r="2924">
      <c r="A2924" s="4">
        <v>2924.0</v>
      </c>
      <c r="B2924" s="5" t="s">
        <v>15980</v>
      </c>
      <c r="C2924" s="5" t="s">
        <v>15981</v>
      </c>
      <c r="D2924" s="5" t="s">
        <v>15982</v>
      </c>
      <c r="E2924" s="6" t="s">
        <v>11</v>
      </c>
      <c r="F2924" s="6" t="s">
        <v>1256</v>
      </c>
      <c r="G2924" s="3" t="str">
        <f>IFERROR(__xludf.DUMMYFUNCTION("REGEXREPLACE(
D2924,
""([一-龯々]+)\[([^\]]+)\]"",
""&lt;ruby&gt;$1&lt;rt&gt;$2&lt;/rt&gt;&lt;/ruby&gt;""
)&amp;""&lt;br&gt;&lt;div class=""""audio""""&gt;[sound:""&amp;C2924&amp;"".mp3]&lt;/div&gt;"""),"&lt;ruby&gt;好&lt;rt&gt;この&lt;/rt&gt;&lt;/ruby&gt;ましい&lt;br&gt;&lt;div class=""audio""&gt;[sound:このましい.mp3]&lt;/div&gt;")</f>
        <v>&lt;ruby&gt;好&lt;rt&gt;この&lt;/rt&gt;&lt;/ruby&gt;ましい&lt;br&gt;&lt;div class="audio"&gt;[sound:このましい.mp3]&lt;/div&gt;</v>
      </c>
      <c r="H2924" s="3" t="str">
        <f t="shared" si="1"/>
        <v>(adj): đáng yêu</v>
      </c>
      <c r="I2924" s="6" t="s">
        <v>15983</v>
      </c>
      <c r="J2924" s="6" t="s">
        <v>15984</v>
      </c>
      <c r="K2924" s="7">
        <f t="shared" si="2"/>
        <v>0.9463273152</v>
      </c>
    </row>
    <row r="2925">
      <c r="A2925" s="4">
        <v>2925.0</v>
      </c>
      <c r="B2925" s="5" t="s">
        <v>15985</v>
      </c>
      <c r="C2925" s="5" t="s">
        <v>15986</v>
      </c>
      <c r="D2925" s="5" t="s">
        <v>15987</v>
      </c>
      <c r="E2925" s="6" t="s">
        <v>11</v>
      </c>
      <c r="F2925" s="6" t="s">
        <v>15988</v>
      </c>
      <c r="G2925" s="3" t="str">
        <f>IFERROR(__xludf.DUMMYFUNCTION("REGEXREPLACE(
D2925,
""([一-龯々]+)\[([^\]]+)\]"",
""&lt;ruby&gt;$1&lt;rt&gt;$2&lt;/rt&gt;&lt;/ruby&gt;""
)&amp;""&lt;br&gt;&lt;div class=""""audio""""&gt;[sound:""&amp;C2925&amp;"".mp3]&lt;/div&gt;"""),"&lt;ruby&gt;極端&lt;rt&gt;きょくたん&lt;/rt&gt;&lt;/ruby&gt;&lt;br&gt;&lt;div class=""audio""&gt;[sound:きょくたん.mp3]&lt;/div&gt;")</f>
        <v>&lt;ruby&gt;極端&lt;rt&gt;きょくたん&lt;/rt&gt;&lt;/ruby&gt;&lt;br&gt;&lt;div class="audio"&gt;[sound:きょくたん.mp3]&lt;/div&gt;</v>
      </c>
      <c r="H2925" s="3" t="str">
        <f t="shared" si="1"/>
        <v>(adj): cực đoan</v>
      </c>
      <c r="I2925" s="6" t="s">
        <v>15989</v>
      </c>
      <c r="J2925" s="6" t="s">
        <v>15990</v>
      </c>
      <c r="K2925" s="7">
        <f t="shared" si="2"/>
        <v>0.2650215912</v>
      </c>
    </row>
    <row r="2926">
      <c r="A2926" s="4">
        <v>2926.0</v>
      </c>
      <c r="B2926" s="5" t="s">
        <v>15991</v>
      </c>
      <c r="C2926" s="5" t="s">
        <v>15992</v>
      </c>
      <c r="D2926" s="5" t="s">
        <v>15993</v>
      </c>
      <c r="E2926" s="6" t="s">
        <v>74</v>
      </c>
      <c r="F2926" s="6" t="s">
        <v>15994</v>
      </c>
      <c r="G2926" s="3" t="str">
        <f>IFERROR(__xludf.DUMMYFUNCTION("REGEXREPLACE(
D2926,
""([一-龯々]+)\[([^\]]+)\]"",
""&lt;ruby&gt;$1&lt;rt&gt;$2&lt;/rt&gt;&lt;/ruby&gt;""
)&amp;""&lt;br&gt;&lt;div class=""""audio""""&gt;[sound:""&amp;C2926&amp;"".mp3]&lt;/div&gt;"""),"&lt;ruby&gt;権威&lt;rt&gt;けんい&lt;/rt&gt;&lt;/ruby&gt;&lt;br&gt;&lt;div class=""audio""&gt;[sound:けんい.mp3]&lt;/div&gt;")</f>
        <v>&lt;ruby&gt;権威&lt;rt&gt;けんい&lt;/rt&gt;&lt;/ruby&gt;&lt;br&gt;&lt;div class="audio"&gt;[sound:けんい.mp3]&lt;/div&gt;</v>
      </c>
      <c r="H2926" s="3" t="str">
        <f t="shared" si="1"/>
        <v>(n): quyền uy</v>
      </c>
      <c r="I2926" s="6" t="s">
        <v>15995</v>
      </c>
      <c r="J2926" s="6" t="s">
        <v>15996</v>
      </c>
      <c r="K2926" s="7">
        <f t="shared" si="2"/>
        <v>0.4564540041</v>
      </c>
    </row>
    <row r="2927">
      <c r="A2927" s="4">
        <v>2927.0</v>
      </c>
      <c r="B2927" s="5" t="s">
        <v>15997</v>
      </c>
      <c r="C2927" s="5" t="s">
        <v>15998</v>
      </c>
      <c r="D2927" s="5" t="s">
        <v>15999</v>
      </c>
      <c r="E2927" s="6" t="s">
        <v>74</v>
      </c>
      <c r="F2927" s="6" t="s">
        <v>16000</v>
      </c>
      <c r="G2927" s="3" t="str">
        <f>IFERROR(__xludf.DUMMYFUNCTION("REGEXREPLACE(
D2927,
""([一-龯々]+)\[([^\]]+)\]"",
""&lt;ruby&gt;$1&lt;rt&gt;$2&lt;/rt&gt;&lt;/ruby&gt;""
)&amp;""&lt;br&gt;&lt;div class=""""audio""""&gt;[sound:""&amp;C2927&amp;"".mp3]&lt;/div&gt;"""),"&lt;ruby&gt;福祉&lt;rt&gt;ふくし&lt;/rt&gt;&lt;/ruby&gt;&lt;br&gt;&lt;div class=""audio""&gt;[sound:ふくし.mp3]&lt;/div&gt;")</f>
        <v>&lt;ruby&gt;福祉&lt;rt&gt;ふくし&lt;/rt&gt;&lt;/ruby&gt;&lt;br&gt;&lt;div class="audio"&gt;[sound:ふくし.mp3]&lt;/div&gt;</v>
      </c>
      <c r="H2927" s="3" t="str">
        <f t="shared" si="1"/>
        <v>(n): phúc lợi</v>
      </c>
      <c r="I2927" s="6" t="s">
        <v>16001</v>
      </c>
      <c r="J2927" s="6" t="s">
        <v>16002</v>
      </c>
      <c r="K2927" s="7">
        <f t="shared" si="2"/>
        <v>0.7652665614</v>
      </c>
    </row>
    <row r="2928">
      <c r="A2928" s="4">
        <v>2928.0</v>
      </c>
      <c r="B2928" s="5" t="s">
        <v>16003</v>
      </c>
      <c r="C2928" s="5" t="s">
        <v>16004</v>
      </c>
      <c r="D2928" s="5" t="s">
        <v>16005</v>
      </c>
      <c r="E2928" s="6" t="s">
        <v>11</v>
      </c>
      <c r="F2928" s="6" t="s">
        <v>10342</v>
      </c>
      <c r="G2928" s="3" t="str">
        <f>IFERROR(__xludf.DUMMYFUNCTION("REGEXREPLACE(
D2928,
""([一-龯々]+)\[([^\]]+)\]"",
""&lt;ruby&gt;$1&lt;rt&gt;$2&lt;/rt&gt;&lt;/ruby&gt;""
)&amp;""&lt;br&gt;&lt;div class=""""audio""""&gt;[sound:""&amp;C2928&amp;"".mp3]&lt;/div&gt;"""),"&lt;ruby&gt;緊急&lt;rt&gt;きんきゅう&lt;/rt&gt;&lt;/ruby&gt;&lt;br&gt;&lt;div class=""audio""&gt;[sound:きんきゅう.mp3]&lt;/div&gt;")</f>
        <v>&lt;ruby&gt;緊急&lt;rt&gt;きんきゅう&lt;/rt&gt;&lt;/ruby&gt;&lt;br&gt;&lt;div class="audio"&gt;[sound:きんきゅう.mp3]&lt;/div&gt;</v>
      </c>
      <c r="H2928" s="3" t="str">
        <f t="shared" si="1"/>
        <v>(adj): khẩn cấp</v>
      </c>
      <c r="I2928" s="6" t="s">
        <v>16006</v>
      </c>
      <c r="J2928" s="6" t="s">
        <v>16007</v>
      </c>
      <c r="K2928" s="7">
        <f t="shared" si="2"/>
        <v>0.173396109</v>
      </c>
    </row>
    <row r="2929">
      <c r="A2929" s="4">
        <v>2929.0</v>
      </c>
      <c r="B2929" s="5" t="s">
        <v>16008</v>
      </c>
      <c r="C2929" s="5" t="s">
        <v>16009</v>
      </c>
      <c r="D2929" s="5" t="s">
        <v>16010</v>
      </c>
      <c r="E2929" s="6" t="s">
        <v>74</v>
      </c>
      <c r="F2929" s="6" t="s">
        <v>12706</v>
      </c>
      <c r="G2929" s="3" t="str">
        <f>IFERROR(__xludf.DUMMYFUNCTION("REGEXREPLACE(
D2929,
""([一-龯々]+)\[([^\]]+)\]"",
""&lt;ruby&gt;$1&lt;rt&gt;$2&lt;/rt&gt;&lt;/ruby&gt;""
)&amp;""&lt;br&gt;&lt;div class=""""audio""""&gt;[sound:""&amp;C2929&amp;"".mp3]&lt;/div&gt;"""),"&lt;ruby&gt;脚本&lt;rt&gt;きゃくほん&lt;/rt&gt;&lt;/ruby&gt;&lt;br&gt;&lt;div class=""audio""&gt;[sound:きゃくほん.mp3]&lt;/div&gt;")</f>
        <v>&lt;ruby&gt;脚本&lt;rt&gt;きゃくほん&lt;/rt&gt;&lt;/ruby&gt;&lt;br&gt;&lt;div class="audio"&gt;[sound:きゃくほん.mp3]&lt;/div&gt;</v>
      </c>
      <c r="H2929" s="3" t="str">
        <f t="shared" si="1"/>
        <v>(n): kịch bản</v>
      </c>
      <c r="I2929" s="6" t="s">
        <v>16011</v>
      </c>
      <c r="J2929" s="6" t="s">
        <v>16012</v>
      </c>
      <c r="K2929" s="7">
        <f t="shared" si="2"/>
        <v>0.05242079255</v>
      </c>
    </row>
    <row r="2930">
      <c r="A2930" s="4">
        <v>2930.0</v>
      </c>
      <c r="B2930" s="5" t="s">
        <v>16013</v>
      </c>
      <c r="C2930" s="5" t="s">
        <v>16014</v>
      </c>
      <c r="D2930" s="5" t="s">
        <v>16015</v>
      </c>
      <c r="E2930" s="6" t="s">
        <v>24</v>
      </c>
      <c r="F2930" s="6" t="s">
        <v>16016</v>
      </c>
      <c r="G2930" s="3" t="str">
        <f>IFERROR(__xludf.DUMMYFUNCTION("REGEXREPLACE(
D2930,
""([一-龯々]+)\[([^\]]+)\]"",
""&lt;ruby&gt;$1&lt;rt&gt;$2&lt;/rt&gt;&lt;/ruby&gt;""
)&amp;""&lt;br&gt;&lt;div class=""""audio""""&gt;[sound:""&amp;C2930&amp;"".mp3]&lt;/div&gt;"""),"&lt;ruby&gt;舞&lt;rt&gt;ま&lt;/rt&gt;&lt;/ruby&gt;う&lt;br&gt;&lt;div class=""audio""&gt;[sound:まう.mp3]&lt;/div&gt;")</f>
        <v>&lt;ruby&gt;舞&lt;rt&gt;ま&lt;/rt&gt;&lt;/ruby&gt;う&lt;br&gt;&lt;div class="audio"&gt;[sound:まう.mp3]&lt;/div&gt;</v>
      </c>
      <c r="H2930" s="3" t="str">
        <f t="shared" si="1"/>
        <v>(v): nhảy múa</v>
      </c>
      <c r="I2930" s="6" t="s">
        <v>16017</v>
      </c>
      <c r="J2930" s="6" t="s">
        <v>16018</v>
      </c>
      <c r="K2930" s="7">
        <f t="shared" si="2"/>
        <v>0.3944111665</v>
      </c>
    </row>
    <row r="2931">
      <c r="A2931" s="4">
        <v>2931.0</v>
      </c>
      <c r="B2931" s="5" t="s">
        <v>16019</v>
      </c>
      <c r="C2931" s="5" t="s">
        <v>16020</v>
      </c>
      <c r="D2931" s="5" t="s">
        <v>16021</v>
      </c>
      <c r="E2931" s="6" t="s">
        <v>74</v>
      </c>
      <c r="F2931" s="6" t="s">
        <v>5498</v>
      </c>
      <c r="G2931" s="3" t="str">
        <f>IFERROR(__xludf.DUMMYFUNCTION("REGEXREPLACE(
D2931,
""([一-龯々]+)\[([^\]]+)\]"",
""&lt;ruby&gt;$1&lt;rt&gt;$2&lt;/rt&gt;&lt;/ruby&gt;""
)&amp;""&lt;br&gt;&lt;div class=""""audio""""&gt;[sound:""&amp;C2931&amp;"".mp3]&lt;/div&gt;"""),"&lt;ruby&gt;著書&lt;rt&gt;ちょしょ&lt;/rt&gt;&lt;/ruby&gt;&lt;br&gt;&lt;div class=""audio""&gt;[sound:ちょしょ.mp3]&lt;/div&gt;")</f>
        <v>&lt;ruby&gt;著書&lt;rt&gt;ちょしょ&lt;/rt&gt;&lt;/ruby&gt;&lt;br&gt;&lt;div class="audio"&gt;[sound:ちょしょ.mp3]&lt;/div&gt;</v>
      </c>
      <c r="H2931" s="3" t="str">
        <f t="shared" si="1"/>
        <v>(n): tác phẩm</v>
      </c>
      <c r="I2931" s="6" t="s">
        <v>16022</v>
      </c>
      <c r="J2931" s="6" t="s">
        <v>16023</v>
      </c>
      <c r="K2931" s="7">
        <f t="shared" si="2"/>
        <v>0.4098298393</v>
      </c>
    </row>
    <row r="2932">
      <c r="A2932" s="4">
        <v>2932.0</v>
      </c>
      <c r="B2932" s="5" t="s">
        <v>16024</v>
      </c>
      <c r="C2932" s="5" t="s">
        <v>16025</v>
      </c>
      <c r="D2932" s="5" t="s">
        <v>16026</v>
      </c>
      <c r="E2932" s="6" t="s">
        <v>74</v>
      </c>
      <c r="F2932" s="6" t="s">
        <v>16027</v>
      </c>
      <c r="G2932" s="3" t="str">
        <f>IFERROR(__xludf.DUMMYFUNCTION("REGEXREPLACE(
D2932,
""([一-龯々]+)\[([^\]]+)\]"",
""&lt;ruby&gt;$1&lt;rt&gt;$2&lt;/rt&gt;&lt;/ruby&gt;""
)&amp;""&lt;br&gt;&lt;div class=""""audio""""&gt;[sound:""&amp;C2932&amp;"".mp3]&lt;/div&gt;"""),"&lt;ruby&gt;証言&lt;rt&gt;しょうげん&lt;/rt&gt;&lt;/ruby&gt;&lt;br&gt;&lt;div class=""audio""&gt;[sound:しょうげん.mp3]&lt;/div&gt;")</f>
        <v>&lt;ruby&gt;証言&lt;rt&gt;しょうげん&lt;/rt&gt;&lt;/ruby&gt;&lt;br&gt;&lt;div class="audio"&gt;[sound:しょうげん.mp3]&lt;/div&gt;</v>
      </c>
      <c r="H2932" s="3" t="str">
        <f t="shared" si="1"/>
        <v>(n): lời khai</v>
      </c>
      <c r="I2932" s="6" t="s">
        <v>16028</v>
      </c>
      <c r="J2932" s="6" t="s">
        <v>16029</v>
      </c>
      <c r="K2932" s="7">
        <f t="shared" si="2"/>
        <v>0.5043771043</v>
      </c>
    </row>
    <row r="2933">
      <c r="A2933" s="4">
        <v>2933.0</v>
      </c>
      <c r="B2933" s="5" t="s">
        <v>16030</v>
      </c>
      <c r="C2933" s="5" t="s">
        <v>16031</v>
      </c>
      <c r="D2933" s="5" t="s">
        <v>16032</v>
      </c>
      <c r="E2933" s="6" t="s">
        <v>74</v>
      </c>
      <c r="F2933" s="6" t="s">
        <v>16033</v>
      </c>
      <c r="G2933" s="3" t="str">
        <f>IFERROR(__xludf.DUMMYFUNCTION("REGEXREPLACE(
D2933,
""([一-龯々]+)\[([^\]]+)\]"",
""&lt;ruby&gt;$1&lt;rt&gt;$2&lt;/rt&gt;&lt;/ruby&gt;""
)&amp;""&lt;br&gt;&lt;div class=""""audio""""&gt;[sound:""&amp;C2933&amp;"".mp3]&lt;/div&gt;"""),"&lt;ruby&gt;階級&lt;rt&gt;かいきゅう&lt;/rt&gt;&lt;/ruby&gt;&lt;br&gt;&lt;div class=""audio""&gt;[sound:かいきゅう.mp3]&lt;/div&gt;")</f>
        <v>&lt;ruby&gt;階級&lt;rt&gt;かいきゅう&lt;/rt&gt;&lt;/ruby&gt;&lt;br&gt;&lt;div class="audio"&gt;[sound:かいきゅう.mp3]&lt;/div&gt;</v>
      </c>
      <c r="H2933" s="3" t="str">
        <f t="shared" si="1"/>
        <v>(n): giai cấp</v>
      </c>
      <c r="I2933" s="6" t="s">
        <v>16034</v>
      </c>
      <c r="J2933" s="6" t="s">
        <v>16035</v>
      </c>
      <c r="K2933" s="7">
        <f t="shared" si="2"/>
        <v>0.3536731987</v>
      </c>
    </row>
    <row r="2934">
      <c r="A2934" s="4">
        <v>2934.0</v>
      </c>
      <c r="B2934" s="5" t="s">
        <v>16036</v>
      </c>
      <c r="C2934" s="5" t="s">
        <v>16037</v>
      </c>
      <c r="D2934" s="5" t="s">
        <v>16038</v>
      </c>
      <c r="E2934" s="6" t="s">
        <v>74</v>
      </c>
      <c r="F2934" s="6" t="s">
        <v>16039</v>
      </c>
      <c r="G2934" s="3" t="str">
        <f>IFERROR(__xludf.DUMMYFUNCTION("REGEXREPLACE(
D2934,
""([一-龯々]+)\[([^\]]+)\]"",
""&lt;ruby&gt;$1&lt;rt&gt;$2&lt;/rt&gt;&lt;/ruby&gt;""
)&amp;""&lt;br&gt;&lt;div class=""""audio""""&gt;[sound:""&amp;C2934&amp;"".mp3]&lt;/div&gt;"""),"&lt;ruby&gt;領土&lt;rt&gt;りょうど&lt;/rt&gt;&lt;/ruby&gt;&lt;br&gt;&lt;div class=""audio""&gt;[sound:りょうど.mp3]&lt;/div&gt;")</f>
        <v>&lt;ruby&gt;領土&lt;rt&gt;りょうど&lt;/rt&gt;&lt;/ruby&gt;&lt;br&gt;&lt;div class="audio"&gt;[sound:りょうど.mp3]&lt;/div&gt;</v>
      </c>
      <c r="H2934" s="3" t="str">
        <f t="shared" si="1"/>
        <v>(n): lãnh thổ</v>
      </c>
      <c r="I2934" s="6" t="s">
        <v>16040</v>
      </c>
      <c r="J2934" s="6" t="s">
        <v>16041</v>
      </c>
      <c r="K2934" s="7">
        <f t="shared" si="2"/>
        <v>0.1492824468</v>
      </c>
    </row>
    <row r="2935">
      <c r="A2935" s="4">
        <v>2935.0</v>
      </c>
      <c r="B2935" s="5" t="s">
        <v>16042</v>
      </c>
      <c r="C2935" s="5" t="s">
        <v>16042</v>
      </c>
      <c r="D2935" s="5" t="s">
        <v>16042</v>
      </c>
      <c r="E2935" s="6" t="s">
        <v>85</v>
      </c>
      <c r="F2935" s="6" t="s">
        <v>3467</v>
      </c>
      <c r="G2935" s="3" t="str">
        <f>IFERROR(__xludf.DUMMYFUNCTION("REGEXREPLACE(
D2935,
""([一-龯々]+)\[([^\]]+)\]"",
""&lt;ruby&gt;$1&lt;rt&gt;$2&lt;/rt&gt;&lt;/ruby&gt;""
)&amp;""&lt;br&gt;&lt;div class=""""audio""""&gt;[sound:""&amp;C2935&amp;"".mp3]&lt;/div&gt;"""),"あっさり&lt;br&gt;&lt;div class=""audio""&gt;[sound:あっさり.mp3]&lt;/div&gt;")</f>
        <v>あっさり&lt;br&gt;&lt;div class="audio"&gt;[sound:あっさり.mp3]&lt;/div&gt;</v>
      </c>
      <c r="H2935" s="3" t="str">
        <f t="shared" si="1"/>
        <v>(adv): dễ dàng</v>
      </c>
      <c r="I2935" s="6" t="s">
        <v>16043</v>
      </c>
      <c r="J2935" s="6" t="s">
        <v>16044</v>
      </c>
      <c r="K2935" s="7">
        <f t="shared" si="2"/>
        <v>0.1074368704</v>
      </c>
    </row>
    <row r="2936">
      <c r="A2936" s="4">
        <v>2936.0</v>
      </c>
      <c r="B2936" s="5" t="s">
        <v>16045</v>
      </c>
      <c r="C2936" s="5" t="s">
        <v>16045</v>
      </c>
      <c r="D2936" s="5" t="s">
        <v>16045</v>
      </c>
      <c r="E2936" s="6" t="s">
        <v>24</v>
      </c>
      <c r="F2936" s="6" t="s">
        <v>16046</v>
      </c>
      <c r="G2936" s="3" t="str">
        <f>IFERROR(__xludf.DUMMYFUNCTION("REGEXREPLACE(
D2936,
""([一-龯々]+)\[([^\]]+)\]"",
""&lt;ruby&gt;$1&lt;rt&gt;$2&lt;/rt&gt;&lt;/ruby&gt;""
)&amp;""&lt;br&gt;&lt;div class=""""audio""""&gt;[sound:""&amp;C2936&amp;"".mp3]&lt;/div&gt;"""),"ごまかす&lt;br&gt;&lt;div class=""audio""&gt;[sound:ごまかす.mp3]&lt;/div&gt;")</f>
        <v>ごまかす&lt;br&gt;&lt;div class="audio"&gt;[sound:ごまかす.mp3]&lt;/div&gt;</v>
      </c>
      <c r="H2936" s="3" t="str">
        <f t="shared" si="1"/>
        <v>(v): lừa dối</v>
      </c>
      <c r="I2936" s="6" t="s">
        <v>16047</v>
      </c>
      <c r="J2936" s="6" t="s">
        <v>16048</v>
      </c>
      <c r="K2936" s="7">
        <f t="shared" si="2"/>
        <v>0.6255727135</v>
      </c>
    </row>
    <row r="2937">
      <c r="A2937" s="4">
        <v>2937.0</v>
      </c>
      <c r="B2937" s="5" t="s">
        <v>16049</v>
      </c>
      <c r="C2937" s="5" t="s">
        <v>16049</v>
      </c>
      <c r="D2937" s="5" t="s">
        <v>16049</v>
      </c>
      <c r="E2937" s="6" t="s">
        <v>11</v>
      </c>
      <c r="F2937" s="6" t="s">
        <v>16050</v>
      </c>
      <c r="G2937" s="3" t="str">
        <f>IFERROR(__xludf.DUMMYFUNCTION("REGEXREPLACE(
D2937,
""([一-龯々]+)\[([^\]]+)\]"",
""&lt;ruby&gt;$1&lt;rt&gt;$2&lt;/rt&gt;&lt;/ruby&gt;""
)&amp;""&lt;br&gt;&lt;div class=""""audio""""&gt;[sound:""&amp;C2937&amp;"".mp3]&lt;/div&gt;"""),"ふさわしい&lt;br&gt;&lt;div class=""audio""&gt;[sound:ふさわしい.mp3]&lt;/div&gt;")</f>
        <v>ふさわしい&lt;br&gt;&lt;div class="audio"&gt;[sound:ふさわしい.mp3]&lt;/div&gt;</v>
      </c>
      <c r="H2937" s="3" t="str">
        <f t="shared" si="1"/>
        <v>(adj): phù hợp</v>
      </c>
      <c r="I2937" s="6" t="s">
        <v>16051</v>
      </c>
      <c r="J2937" s="6" t="s">
        <v>16052</v>
      </c>
      <c r="K2937" s="7">
        <f t="shared" si="2"/>
        <v>0.8017751828</v>
      </c>
    </row>
    <row r="2938">
      <c r="A2938" s="4">
        <v>2938.0</v>
      </c>
      <c r="B2938" s="5" t="s">
        <v>16053</v>
      </c>
      <c r="C2938" s="5" t="s">
        <v>16054</v>
      </c>
      <c r="D2938" s="5" t="s">
        <v>16055</v>
      </c>
      <c r="E2938" s="6" t="s">
        <v>74</v>
      </c>
      <c r="F2938" s="6" t="s">
        <v>16056</v>
      </c>
      <c r="G2938" s="3" t="str">
        <f>IFERROR(__xludf.DUMMYFUNCTION("REGEXREPLACE(
D2938,
""([一-龯々]+)\[([^\]]+)\]"",
""&lt;ruby&gt;$1&lt;rt&gt;$2&lt;/rt&gt;&lt;/ruby&gt;""
)&amp;""&lt;br&gt;&lt;div class=""""audio""""&gt;[sound:""&amp;C2938&amp;"".mp3]&lt;/div&gt;"""),"&lt;ruby&gt;一気&lt;rt&gt;いっき&lt;/rt&gt;&lt;/ruby&gt;&lt;br&gt;&lt;div class=""audio""&gt;[sound:いっき.mp3]&lt;/div&gt;")</f>
        <v>&lt;ruby&gt;一気&lt;rt&gt;いっき&lt;/rt&gt;&lt;/ruby&gt;&lt;br&gt;&lt;div class="audio"&gt;[sound:いっき.mp3]&lt;/div&gt;</v>
      </c>
      <c r="H2938" s="3" t="str">
        <f t="shared" si="1"/>
        <v>(n): một hơi</v>
      </c>
      <c r="I2938" s="6" t="s">
        <v>16057</v>
      </c>
      <c r="J2938" s="6" t="s">
        <v>16058</v>
      </c>
      <c r="K2938" s="7">
        <f t="shared" si="2"/>
        <v>0.6504579785</v>
      </c>
    </row>
    <row r="2939">
      <c r="A2939" s="4">
        <v>2939.0</v>
      </c>
      <c r="B2939" s="5" t="s">
        <v>16059</v>
      </c>
      <c r="C2939" s="5" t="s">
        <v>16060</v>
      </c>
      <c r="D2939" s="5" t="s">
        <v>16061</v>
      </c>
      <c r="E2939" s="6" t="s">
        <v>24</v>
      </c>
      <c r="F2939" s="6" t="s">
        <v>3657</v>
      </c>
      <c r="G2939" s="3" t="str">
        <f>IFERROR(__xludf.DUMMYFUNCTION("REGEXREPLACE(
D2939,
""([一-龯々]+)\[([^\]]+)\]"",
""&lt;ruby&gt;$1&lt;rt&gt;$2&lt;/rt&gt;&lt;/ruby&gt;""
)&amp;""&lt;br&gt;&lt;div class=""""audio""""&gt;[sound:""&amp;C2939&amp;"".mp3]&lt;/div&gt;"""),"&lt;ruby&gt;主催&lt;rt&gt;しゅさい&lt;/rt&gt;&lt;/ruby&gt;&lt;br&gt;&lt;div class=""audio""&gt;[sound:しゅさい.mp3]&lt;/div&gt;")</f>
        <v>&lt;ruby&gt;主催&lt;rt&gt;しゅさい&lt;/rt&gt;&lt;/ruby&gt;&lt;br&gt;&lt;div class="audio"&gt;[sound:しゅさい.mp3]&lt;/div&gt;</v>
      </c>
      <c r="H2939" s="3" t="str">
        <f t="shared" si="1"/>
        <v>(v): tổ chức</v>
      </c>
      <c r="I2939" s="6" t="s">
        <v>16062</v>
      </c>
      <c r="J2939" s="6" t="s">
        <v>16063</v>
      </c>
      <c r="K2939" s="7">
        <f t="shared" si="2"/>
        <v>0.9048650186</v>
      </c>
    </row>
    <row r="2940">
      <c r="A2940" s="4">
        <v>2940.0</v>
      </c>
      <c r="B2940" s="5" t="s">
        <v>16064</v>
      </c>
      <c r="C2940" s="5" t="s">
        <v>16065</v>
      </c>
      <c r="D2940" s="5" t="s">
        <v>16066</v>
      </c>
      <c r="E2940" s="6" t="s">
        <v>74</v>
      </c>
      <c r="F2940" s="6" t="s">
        <v>16067</v>
      </c>
      <c r="G2940" s="3" t="str">
        <f>IFERROR(__xludf.DUMMYFUNCTION("REGEXREPLACE(
D2940,
""([一-龯々]+)\[([^\]]+)\]"",
""&lt;ruby&gt;$1&lt;rt&gt;$2&lt;/rt&gt;&lt;/ruby&gt;""
)&amp;""&lt;br&gt;&lt;div class=""""audio""""&gt;[sound:""&amp;C2940&amp;"".mp3]&lt;/div&gt;"""),"&lt;ruby&gt;主導&lt;rt&gt;しゅどう&lt;/rt&gt;&lt;/ruby&gt;&lt;br&gt;&lt;div class=""audio""&gt;[sound:しゅどう.mp3]&lt;/div&gt;")</f>
        <v>&lt;ruby&gt;主導&lt;rt&gt;しゅどう&lt;/rt&gt;&lt;/ruby&gt;&lt;br&gt;&lt;div class="audio"&gt;[sound:しゅどう.mp3]&lt;/div&gt;</v>
      </c>
      <c r="H2940" s="3" t="str">
        <f t="shared" si="1"/>
        <v>(n): chủ đạo</v>
      </c>
      <c r="I2940" s="6" t="s">
        <v>16068</v>
      </c>
      <c r="J2940" s="6" t="s">
        <v>16069</v>
      </c>
      <c r="K2940" s="7">
        <f t="shared" si="2"/>
        <v>0.1136087567</v>
      </c>
    </row>
    <row r="2941">
      <c r="A2941" s="4">
        <v>2941.0</v>
      </c>
      <c r="B2941" s="5" t="s">
        <v>16070</v>
      </c>
      <c r="C2941" s="5" t="s">
        <v>16071</v>
      </c>
      <c r="D2941" s="5" t="s">
        <v>16072</v>
      </c>
      <c r="E2941" s="6" t="s">
        <v>74</v>
      </c>
      <c r="F2941" s="6" t="s">
        <v>16073</v>
      </c>
      <c r="G2941" s="3" t="str">
        <f>IFERROR(__xludf.DUMMYFUNCTION("REGEXREPLACE(
D2941,
""([一-龯々]+)\[([^\]]+)\]"",
""&lt;ruby&gt;$1&lt;rt&gt;$2&lt;/rt&gt;&lt;/ruby&gt;""
)&amp;""&lt;br&gt;&lt;div class=""""audio""""&gt;[sound:""&amp;C2941&amp;"".mp3]&lt;/div&gt;"""),"&lt;ruby&gt;内心&lt;rt&gt;ないしん&lt;/rt&gt;&lt;/ruby&gt;&lt;br&gt;&lt;div class=""audio""&gt;[sound:ないしん.mp3]&lt;/div&gt;")</f>
        <v>&lt;ruby&gt;内心&lt;rt&gt;ないしん&lt;/rt&gt;&lt;/ruby&gt;&lt;br&gt;&lt;div class="audio"&gt;[sound:ないしん.mp3]&lt;/div&gt;</v>
      </c>
      <c r="H2941" s="3" t="str">
        <f t="shared" si="1"/>
        <v>(n): nội tâm</v>
      </c>
      <c r="I2941" s="6" t="s">
        <v>16074</v>
      </c>
      <c r="J2941" s="6" t="s">
        <v>16075</v>
      </c>
      <c r="K2941" s="7">
        <f t="shared" si="2"/>
        <v>0.5209741196</v>
      </c>
    </row>
    <row r="2942">
      <c r="A2942" s="4">
        <v>2942.0</v>
      </c>
      <c r="B2942" s="5" t="s">
        <v>16076</v>
      </c>
      <c r="C2942" s="5" t="s">
        <v>16077</v>
      </c>
      <c r="D2942" s="5" t="s">
        <v>16078</v>
      </c>
      <c r="E2942" s="6" t="s">
        <v>74</v>
      </c>
      <c r="F2942" s="6" t="s">
        <v>8715</v>
      </c>
      <c r="G2942" s="3" t="str">
        <f>IFERROR(__xludf.DUMMYFUNCTION("REGEXREPLACE(
D2942,
""([一-龯々]+)\[([^\]]+)\]"",
""&lt;ruby&gt;$1&lt;rt&gt;$2&lt;/rt&gt;&lt;/ruby&gt;""
)&amp;""&lt;br&gt;&lt;div class=""""audio""""&gt;[sound:""&amp;C2942&amp;"".mp3]&lt;/div&gt;"""),"&lt;ruby&gt;出費&lt;rt&gt;しゅっぴ&lt;/rt&gt;&lt;/ruby&gt;&lt;br&gt;&lt;div class=""audio""&gt;[sound:しゅっぴ.mp3]&lt;/div&gt;")</f>
        <v>&lt;ruby&gt;出費&lt;rt&gt;しゅっぴ&lt;/rt&gt;&lt;/ruby&gt;&lt;br&gt;&lt;div class="audio"&gt;[sound:しゅっぴ.mp3]&lt;/div&gt;</v>
      </c>
      <c r="H2942" s="3" t="str">
        <f t="shared" si="1"/>
        <v>(n): chi phí</v>
      </c>
      <c r="I2942" s="6" t="s">
        <v>16079</v>
      </c>
      <c r="J2942" s="6" t="s">
        <v>16080</v>
      </c>
      <c r="K2942" s="7">
        <f t="shared" si="2"/>
        <v>0.8375046596</v>
      </c>
    </row>
    <row r="2943">
      <c r="A2943" s="4">
        <v>2943.0</v>
      </c>
      <c r="B2943" s="5" t="s">
        <v>16081</v>
      </c>
      <c r="C2943" s="5" t="s">
        <v>16082</v>
      </c>
      <c r="D2943" s="5" t="s">
        <v>16083</v>
      </c>
      <c r="E2943" s="6" t="s">
        <v>24</v>
      </c>
      <c r="F2943" s="6" t="s">
        <v>2803</v>
      </c>
      <c r="G2943" s="3" t="str">
        <f>IFERROR(__xludf.DUMMYFUNCTION("REGEXREPLACE(
D2943,
""([一-龯々]+)\[([^\]]+)\]"",
""&lt;ruby&gt;$1&lt;rt&gt;$2&lt;/rt&gt;&lt;/ruby&gt;""
)&amp;""&lt;br&gt;&lt;div class=""""audio""""&gt;[sound:""&amp;C2943&amp;"".mp3]&lt;/div&gt;"""),"&lt;ruby&gt;励&lt;rt&gt;はげ&lt;/rt&gt;&lt;/ruby&gt;む&lt;br&gt;&lt;div class=""audio""&gt;[sound:はげむ.mp3]&lt;/div&gt;")</f>
        <v>&lt;ruby&gt;励&lt;rt&gt;はげ&lt;/rt&gt;&lt;/ruby&gt;む&lt;br&gt;&lt;div class="audio"&gt;[sound:はげむ.mp3]&lt;/div&gt;</v>
      </c>
      <c r="H2943" s="3" t="str">
        <f t="shared" si="1"/>
        <v>(v): cố gắng</v>
      </c>
      <c r="I2943" s="6" t="s">
        <v>16084</v>
      </c>
      <c r="J2943" s="6" t="s">
        <v>16085</v>
      </c>
      <c r="K2943" s="7">
        <f t="shared" si="2"/>
        <v>0.7180241578</v>
      </c>
    </row>
    <row r="2944">
      <c r="A2944" s="4">
        <v>2944.0</v>
      </c>
      <c r="B2944" s="5" t="s">
        <v>16086</v>
      </c>
      <c r="C2944" s="5" t="s">
        <v>16087</v>
      </c>
      <c r="D2944" s="5" t="s">
        <v>16088</v>
      </c>
      <c r="E2944" s="6" t="s">
        <v>11</v>
      </c>
      <c r="F2944" s="6" t="s">
        <v>16089</v>
      </c>
      <c r="G2944" s="3" t="str">
        <f>IFERROR(__xludf.DUMMYFUNCTION("REGEXREPLACE(
D2944,
""([一-龯々]+)\[([^\]]+)\]"",
""&lt;ruby&gt;$1&lt;rt&gt;$2&lt;/rt&gt;&lt;/ruby&gt;""
)&amp;""&lt;br&gt;&lt;div class=""""audio""""&gt;[sound:""&amp;C2944&amp;"".mp3]&lt;/div&gt;"""),"&lt;ruby&gt;単独&lt;rt&gt;たんどく&lt;/rt&gt;&lt;/ruby&gt;&lt;br&gt;&lt;div class=""audio""&gt;[sound:たんどく.mp3]&lt;/div&gt;")</f>
        <v>&lt;ruby&gt;単独&lt;rt&gt;たんどく&lt;/rt&gt;&lt;/ruby&gt;&lt;br&gt;&lt;div class="audio"&gt;[sound:たんどく.mp3]&lt;/div&gt;</v>
      </c>
      <c r="H2944" s="3" t="str">
        <f t="shared" si="1"/>
        <v>(adj): độc lập</v>
      </c>
      <c r="I2944" s="6" t="s">
        <v>16090</v>
      </c>
      <c r="J2944" s="6" t="s">
        <v>16091</v>
      </c>
      <c r="K2944" s="7">
        <f t="shared" si="2"/>
        <v>0.328187992</v>
      </c>
    </row>
    <row r="2945">
      <c r="A2945" s="4">
        <v>2945.0</v>
      </c>
      <c r="B2945" s="5" t="s">
        <v>16092</v>
      </c>
      <c r="C2945" s="5" t="s">
        <v>16093</v>
      </c>
      <c r="D2945" s="5" t="s">
        <v>16094</v>
      </c>
      <c r="E2945" s="6" t="s">
        <v>74</v>
      </c>
      <c r="F2945" s="6" t="s">
        <v>16095</v>
      </c>
      <c r="G2945" s="3" t="str">
        <f>IFERROR(__xludf.DUMMYFUNCTION("REGEXREPLACE(
D2945,
""([一-龯々]+)\[([^\]]+)\]"",
""&lt;ruby&gt;$1&lt;rt&gt;$2&lt;/rt&gt;&lt;/ruby&gt;""
)&amp;""&lt;br&gt;&lt;div class=""""audio""""&gt;[sound:""&amp;C2945&amp;"".mp3]&lt;/div&gt;"""),"&lt;ruby&gt;原油&lt;rt&gt;げんゆ&lt;/rt&gt;&lt;/ruby&gt;&lt;br&gt;&lt;div class=""audio""&gt;[sound:げんゆ.mp3]&lt;/div&gt;")</f>
        <v>&lt;ruby&gt;原油&lt;rt&gt;げんゆ&lt;/rt&gt;&lt;/ruby&gt;&lt;br&gt;&lt;div class="audio"&gt;[sound:げんゆ.mp3]&lt;/div&gt;</v>
      </c>
      <c r="H2945" s="3" t="str">
        <f t="shared" si="1"/>
        <v>(n): dầu thô</v>
      </c>
      <c r="I2945" s="6" t="s">
        <v>16096</v>
      </c>
      <c r="J2945" s="6" t="s">
        <v>16097</v>
      </c>
      <c r="K2945" s="7">
        <f t="shared" si="2"/>
        <v>0.7523770654</v>
      </c>
    </row>
    <row r="2946">
      <c r="A2946" s="4">
        <v>2946.0</v>
      </c>
      <c r="B2946" s="5" t="s">
        <v>16098</v>
      </c>
      <c r="C2946" s="5" t="s">
        <v>16099</v>
      </c>
      <c r="D2946" s="5" t="s">
        <v>16100</v>
      </c>
      <c r="E2946" s="6" t="s">
        <v>74</v>
      </c>
      <c r="F2946" s="6" t="s">
        <v>16101</v>
      </c>
      <c r="G2946" s="3" t="str">
        <f>IFERROR(__xludf.DUMMYFUNCTION("REGEXREPLACE(
D2946,
""([一-龯々]+)\[([^\]]+)\]"",
""&lt;ruby&gt;$1&lt;rt&gt;$2&lt;/rt&gt;&lt;/ruby&gt;""
)&amp;""&lt;br&gt;&lt;div class=""""audio""""&gt;[sound:""&amp;C2946&amp;"".mp3]&lt;/div&gt;"""),"&lt;ruby&gt;収容&lt;rt&gt;しゅうよう&lt;/rt&gt;&lt;/ruby&gt;&lt;br&gt;&lt;div class=""audio""&gt;[sound:しゅうよう.mp3]&lt;/div&gt;")</f>
        <v>&lt;ruby&gt;収容&lt;rt&gt;しゅうよう&lt;/rt&gt;&lt;/ruby&gt;&lt;br&gt;&lt;div class="audio"&gt;[sound:しゅうよう.mp3]&lt;/div&gt;</v>
      </c>
      <c r="H2946" s="3" t="str">
        <f t="shared" si="1"/>
        <v>(n): sự chứa</v>
      </c>
      <c r="I2946" s="6" t="s">
        <v>16102</v>
      </c>
      <c r="J2946" s="6" t="s">
        <v>16103</v>
      </c>
      <c r="K2946" s="7">
        <f t="shared" si="2"/>
        <v>0.8445670703</v>
      </c>
    </row>
    <row r="2947">
      <c r="A2947" s="4">
        <v>2947.0</v>
      </c>
      <c r="B2947" s="5" t="s">
        <v>16104</v>
      </c>
      <c r="C2947" s="5" t="s">
        <v>16105</v>
      </c>
      <c r="D2947" s="5" t="s">
        <v>16106</v>
      </c>
      <c r="E2947" s="6" t="s">
        <v>24</v>
      </c>
      <c r="F2947" s="6" t="s">
        <v>1591</v>
      </c>
      <c r="G2947" s="3" t="str">
        <f>IFERROR(__xludf.DUMMYFUNCTION("REGEXREPLACE(
D2947,
""([一-龯々]+)\[([^\]]+)\]"",
""&lt;ruby&gt;$1&lt;rt&gt;$2&lt;/rt&gt;&lt;/ruby&gt;""
)&amp;""&lt;br&gt;&lt;div class=""""audio""""&gt;[sound:""&amp;C2947&amp;"".mp3]&lt;/div&gt;"""),"&lt;ruby&gt;取&lt;rt&gt;と&lt;/rt&gt;&lt;/ruby&gt;り&lt;ruby&gt;締&lt;rt&gt;し&lt;/rt&gt;&lt;/ruby&gt;まる&lt;br&gt;&lt;div class=""audio""&gt;[sound:とりしまる.mp3]&lt;/div&gt;")</f>
        <v>&lt;ruby&gt;取&lt;rt&gt;と&lt;/rt&gt;&lt;/ruby&gt;り&lt;ruby&gt;締&lt;rt&gt;し&lt;/rt&gt;&lt;/ruby&gt;まる&lt;br&gt;&lt;div class="audio"&gt;[sound:とりしまる.mp3]&lt;/div&gt;</v>
      </c>
      <c r="H2947" s="3" t="str">
        <f t="shared" si="1"/>
        <v>(v): quản lý</v>
      </c>
      <c r="I2947" s="6" t="s">
        <v>16107</v>
      </c>
      <c r="J2947" s="6" t="s">
        <v>16108</v>
      </c>
      <c r="K2947" s="7">
        <f t="shared" si="2"/>
        <v>0.1979774769</v>
      </c>
    </row>
    <row r="2948">
      <c r="A2948" s="4">
        <v>2948.0</v>
      </c>
      <c r="B2948" s="5" t="s">
        <v>16109</v>
      </c>
      <c r="C2948" s="5" t="s">
        <v>16110</v>
      </c>
      <c r="D2948" s="5" t="s">
        <v>16111</v>
      </c>
      <c r="E2948" s="6" t="s">
        <v>24</v>
      </c>
      <c r="F2948" s="6" t="s">
        <v>3928</v>
      </c>
      <c r="G2948" s="3" t="str">
        <f>IFERROR(__xludf.DUMMYFUNCTION("REGEXREPLACE(
D2948,
""([一-龯々]+)\[([^\]]+)\]"",
""&lt;ruby&gt;$1&lt;rt&gt;$2&lt;/rt&gt;&lt;/ruby&gt;""
)&amp;""&lt;br&gt;&lt;div class=""""audio""""&gt;[sound:""&amp;C2948&amp;"".mp3]&lt;/div&gt;"""),"&lt;ruby&gt;叶&lt;rt&gt;かな&lt;/rt&gt;&lt;/ruby&gt;える&lt;br&gt;&lt;div class=""audio""&gt;[sound:かなえる.mp3]&lt;/div&gt;")</f>
        <v>&lt;ruby&gt;叶&lt;rt&gt;かな&lt;/rt&gt;&lt;/ruby&gt;える&lt;br&gt;&lt;div class="audio"&gt;[sound:かなえる.mp3]&lt;/div&gt;</v>
      </c>
      <c r="H2948" s="3" t="str">
        <f t="shared" si="1"/>
        <v>(v): đáp ứng</v>
      </c>
      <c r="I2948" s="6" t="s">
        <v>16112</v>
      </c>
      <c r="J2948" s="6" t="s">
        <v>16113</v>
      </c>
      <c r="K2948" s="7">
        <f t="shared" si="2"/>
        <v>0.2950980459</v>
      </c>
    </row>
    <row r="2949">
      <c r="A2949" s="4">
        <v>2949.0</v>
      </c>
      <c r="B2949" s="5" t="s">
        <v>16114</v>
      </c>
      <c r="C2949" s="5" t="s">
        <v>16115</v>
      </c>
      <c r="D2949" s="5" t="s">
        <v>16116</v>
      </c>
      <c r="E2949" s="6" t="s">
        <v>24</v>
      </c>
      <c r="F2949" s="6" t="s">
        <v>16117</v>
      </c>
      <c r="G2949" s="3" t="str">
        <f>IFERROR(__xludf.DUMMYFUNCTION("REGEXREPLACE(
D2949,
""([一-龯々]+)\[([^\]]+)\]"",
""&lt;ruby&gt;$1&lt;rt&gt;$2&lt;/rt&gt;&lt;/ruby&gt;""
)&amp;""&lt;br&gt;&lt;div class=""""audio""""&gt;[sound:""&amp;C2949&amp;"".mp3]&lt;/div&gt;"""),"&lt;ruby&gt;名付&lt;rt&gt;なづ&lt;/rt&gt;&lt;/ruby&gt;ける&lt;br&gt;&lt;div class=""audio""&gt;[sound:なづける.mp3]&lt;/div&gt;")</f>
        <v>&lt;ruby&gt;名付&lt;rt&gt;なづ&lt;/rt&gt;&lt;/ruby&gt;ける&lt;br&gt;&lt;div class="audio"&gt;[sound:なづける.mp3]&lt;/div&gt;</v>
      </c>
      <c r="H2949" s="3" t="str">
        <f t="shared" si="1"/>
        <v>(v): đặt tên</v>
      </c>
      <c r="I2949" s="6" t="s">
        <v>16118</v>
      </c>
      <c r="J2949" s="6" t="s">
        <v>16119</v>
      </c>
      <c r="K2949" s="7">
        <f t="shared" si="2"/>
        <v>0.5075410228</v>
      </c>
    </row>
    <row r="2950">
      <c r="A2950" s="4">
        <v>2950.0</v>
      </c>
      <c r="B2950" s="5" t="s">
        <v>16120</v>
      </c>
      <c r="C2950" s="5" t="s">
        <v>16121</v>
      </c>
      <c r="D2950" s="5" t="s">
        <v>16122</v>
      </c>
      <c r="E2950" s="6" t="s">
        <v>24</v>
      </c>
      <c r="F2950" s="6" t="s">
        <v>16123</v>
      </c>
      <c r="G2950" s="3" t="str">
        <f>IFERROR(__xludf.DUMMYFUNCTION("REGEXREPLACE(
D2950,
""([一-龯々]+)\[([^\]]+)\]"",
""&lt;ruby&gt;$1&lt;rt&gt;$2&lt;/rt&gt;&lt;/ruby&gt;""
)&amp;""&lt;br&gt;&lt;div class=""""audio""""&gt;[sound:""&amp;C2950&amp;"".mp3]&lt;/div&gt;"""),"&lt;ruby&gt;和&lt;rt&gt;やわ&lt;/rt&gt;&lt;/ruby&gt;らげる&lt;br&gt;&lt;div class=""audio""&gt;[sound:やわらげる.mp3]&lt;/div&gt;")</f>
        <v>&lt;ruby&gt;和&lt;rt&gt;やわ&lt;/rt&gt;&lt;/ruby&gt;らげる&lt;br&gt;&lt;div class="audio"&gt;[sound:やわらげる.mp3]&lt;/div&gt;</v>
      </c>
      <c r="H2950" s="3" t="str">
        <f t="shared" si="1"/>
        <v>(v): làm dịu</v>
      </c>
      <c r="I2950" s="6" t="s">
        <v>16124</v>
      </c>
      <c r="J2950" s="6" t="s">
        <v>16125</v>
      </c>
      <c r="K2950" s="7">
        <f t="shared" si="2"/>
        <v>0.756153852</v>
      </c>
    </row>
    <row r="2951">
      <c r="A2951" s="4">
        <v>2951.0</v>
      </c>
      <c r="B2951" s="5" t="s">
        <v>16126</v>
      </c>
      <c r="C2951" s="5" t="s">
        <v>16127</v>
      </c>
      <c r="D2951" s="5" t="s">
        <v>16128</v>
      </c>
      <c r="E2951" s="6" t="s">
        <v>74</v>
      </c>
      <c r="F2951" s="6" t="s">
        <v>16129</v>
      </c>
      <c r="G2951" s="3" t="str">
        <f>IFERROR(__xludf.DUMMYFUNCTION("REGEXREPLACE(
D2951,
""([一-龯々]+)\[([^\]]+)\]"",
""&lt;ruby&gt;$1&lt;rt&gt;$2&lt;/rt&gt;&lt;/ruby&gt;""
)&amp;""&lt;br&gt;&lt;div class=""""audio""""&gt;[sound:""&amp;C2951&amp;"".mp3]&lt;/div&gt;"""),"&lt;ruby&gt;器&lt;rt&gt;うつわ&lt;/rt&gt;&lt;/ruby&gt;&lt;br&gt;&lt;div class=""audio""&gt;[sound:うつわ.mp3]&lt;/div&gt;")</f>
        <v>&lt;ruby&gt;器&lt;rt&gt;うつわ&lt;/rt&gt;&lt;/ruby&gt;&lt;br&gt;&lt;div class="audio"&gt;[sound:うつわ.mp3]&lt;/div&gt;</v>
      </c>
      <c r="H2951" s="3" t="str">
        <f t="shared" si="1"/>
        <v>(n): đồ đựng</v>
      </c>
      <c r="I2951" s="6" t="s">
        <v>16130</v>
      </c>
      <c r="J2951" s="6" t="s">
        <v>16131</v>
      </c>
      <c r="K2951" s="7">
        <f t="shared" si="2"/>
        <v>0.3390096886</v>
      </c>
    </row>
    <row r="2952">
      <c r="A2952" s="4">
        <v>2952.0</v>
      </c>
      <c r="B2952" s="5" t="s">
        <v>16132</v>
      </c>
      <c r="C2952" s="5" t="s">
        <v>16133</v>
      </c>
      <c r="D2952" s="5" t="s">
        <v>16134</v>
      </c>
      <c r="E2952" s="6" t="s">
        <v>11</v>
      </c>
      <c r="F2952" s="6" t="s">
        <v>16135</v>
      </c>
      <c r="G2952" s="3" t="str">
        <f>IFERROR(__xludf.DUMMYFUNCTION("REGEXREPLACE(
D2952,
""([一-龯々]+)\[([^\]]+)\]"",
""&lt;ruby&gt;$1&lt;rt&gt;$2&lt;/rt&gt;&lt;/ruby&gt;""
)&amp;""&lt;br&gt;&lt;div class=""""audio""""&gt;[sound:""&amp;C2952&amp;"".mp3]&lt;/div&gt;"""),"&lt;ruby&gt;固有&lt;rt&gt;こゆう&lt;/rt&gt;&lt;/ruby&gt;&lt;br&gt;&lt;div class=""audio""&gt;[sound:こゆう.mp3]&lt;/div&gt;")</f>
        <v>&lt;ruby&gt;固有&lt;rt&gt;こゆう&lt;/rt&gt;&lt;/ruby&gt;&lt;br&gt;&lt;div class="audio"&gt;[sound:こゆう.mp3]&lt;/div&gt;</v>
      </c>
      <c r="H2952" s="3" t="str">
        <f t="shared" si="1"/>
        <v>(adj): đặc hữu</v>
      </c>
      <c r="I2952" s="6" t="s">
        <v>16136</v>
      </c>
      <c r="J2952" s="6" t="s">
        <v>16137</v>
      </c>
      <c r="K2952" s="7">
        <f t="shared" si="2"/>
        <v>0.1453001235</v>
      </c>
    </row>
    <row r="2953">
      <c r="A2953" s="4">
        <v>2953.0</v>
      </c>
      <c r="B2953" s="5" t="s">
        <v>16138</v>
      </c>
      <c r="C2953" s="5" t="s">
        <v>16139</v>
      </c>
      <c r="D2953" s="5" t="s">
        <v>16140</v>
      </c>
      <c r="E2953" s="6" t="s">
        <v>74</v>
      </c>
      <c r="F2953" s="6" t="s">
        <v>16141</v>
      </c>
      <c r="G2953" s="3" t="str">
        <f>IFERROR(__xludf.DUMMYFUNCTION("REGEXREPLACE(
D2953,
""([一-龯々]+)\[([^\]]+)\]"",
""&lt;ruby&gt;$1&lt;rt&gt;$2&lt;/rt&gt;&lt;/ruby&gt;""
)&amp;""&lt;br&gt;&lt;div class=""""audio""""&gt;[sound:""&amp;C2953&amp;"".mp3]&lt;/div&gt;"""),"&lt;ruby&gt;報酬&lt;rt&gt;ほうしゅう&lt;/rt&gt;&lt;/ruby&gt;&lt;br&gt;&lt;div class=""audio""&gt;[sound:ほうしゅう.mp3]&lt;/div&gt;")</f>
        <v>&lt;ruby&gt;報酬&lt;rt&gt;ほうしゅう&lt;/rt&gt;&lt;/ruby&gt;&lt;br&gt;&lt;div class="audio"&gt;[sound:ほうしゅう.mp3]&lt;/div&gt;</v>
      </c>
      <c r="H2953" s="3" t="str">
        <f t="shared" si="1"/>
        <v>(n): thù lao</v>
      </c>
      <c r="I2953" s="6" t="s">
        <v>16142</v>
      </c>
      <c r="J2953" s="6" t="s">
        <v>16143</v>
      </c>
      <c r="K2953" s="7">
        <f t="shared" si="2"/>
        <v>0.1774437305</v>
      </c>
    </row>
    <row r="2954">
      <c r="A2954" s="4">
        <v>2954.0</v>
      </c>
      <c r="B2954" s="5" t="s">
        <v>16144</v>
      </c>
      <c r="C2954" s="5" t="s">
        <v>16145</v>
      </c>
      <c r="D2954" s="5" t="s">
        <v>16146</v>
      </c>
      <c r="E2954" s="6" t="s">
        <v>11</v>
      </c>
      <c r="F2954" s="6" t="s">
        <v>16147</v>
      </c>
      <c r="G2954" s="3" t="str">
        <f>IFERROR(__xludf.DUMMYFUNCTION("REGEXREPLACE(
D2954,
""([一-龯々]+)\[([^\]]+)\]"",
""&lt;ruby&gt;$1&lt;rt&gt;$2&lt;/rt&gt;&lt;/ruby&gt;""
)&amp;""&lt;br&gt;&lt;div class=""""audio""""&gt;[sound:""&amp;C2954&amp;"".mp3]&lt;/div&gt;"""),"&lt;ruby&gt;柔軟&lt;rt&gt;じゅうなん&lt;/rt&gt;&lt;/ruby&gt;&lt;br&gt;&lt;div class=""audio""&gt;[sound:じゅうなん.mp3]&lt;/div&gt;")</f>
        <v>&lt;ruby&gt;柔軟&lt;rt&gt;じゅうなん&lt;/rt&gt;&lt;/ruby&gt;&lt;br&gt;&lt;div class="audio"&gt;[sound:じゅうなん.mp3]&lt;/div&gt;</v>
      </c>
      <c r="H2954" s="3" t="str">
        <f t="shared" si="1"/>
        <v>(adj): mềm dẻo</v>
      </c>
      <c r="I2954" s="6" t="s">
        <v>16148</v>
      </c>
      <c r="J2954" s="6" t="s">
        <v>16149</v>
      </c>
      <c r="K2954" s="7">
        <f t="shared" si="2"/>
        <v>0.4517960009</v>
      </c>
    </row>
    <row r="2955">
      <c r="A2955" s="4">
        <v>2955.0</v>
      </c>
      <c r="B2955" s="5" t="s">
        <v>16150</v>
      </c>
      <c r="C2955" s="5" t="s">
        <v>16151</v>
      </c>
      <c r="D2955" s="5" t="s">
        <v>16152</v>
      </c>
      <c r="E2955" s="6" t="s">
        <v>24</v>
      </c>
      <c r="F2955" s="6" t="s">
        <v>16153</v>
      </c>
      <c r="G2955" s="3" t="str">
        <f>IFERROR(__xludf.DUMMYFUNCTION("REGEXREPLACE(
D2955,
""([一-龯々]+)\[([^\]]+)\]"",
""&lt;ruby&gt;$1&lt;rt&gt;$2&lt;/rt&gt;&lt;/ruby&gt;""
)&amp;""&lt;br&gt;&lt;div class=""""audio""""&gt;[sound:""&amp;C2955&amp;"".mp3]&lt;/div&gt;"""),"&lt;ruby&gt;歩&lt;rt&gt;あゆ&lt;/rt&gt;&lt;/ruby&gt;む&lt;br&gt;&lt;div class=""audio""&gt;[sound:あゆむ.mp3]&lt;/div&gt;")</f>
        <v>&lt;ruby&gt;歩&lt;rt&gt;あゆ&lt;/rt&gt;&lt;/ruby&gt;む&lt;br&gt;&lt;div class="audio"&gt;[sound:あゆむ.mp3]&lt;/div&gt;</v>
      </c>
      <c r="H2955" s="3" t="str">
        <f t="shared" si="1"/>
        <v>(v): bước đi</v>
      </c>
      <c r="I2955" s="6" t="s">
        <v>16154</v>
      </c>
      <c r="J2955" s="6" t="s">
        <v>16155</v>
      </c>
      <c r="K2955" s="7">
        <f t="shared" si="2"/>
        <v>0.9304575093</v>
      </c>
    </row>
    <row r="2956">
      <c r="A2956" s="4">
        <v>2956.0</v>
      </c>
      <c r="B2956" s="5" t="s">
        <v>16156</v>
      </c>
      <c r="C2956" s="5" t="s">
        <v>16157</v>
      </c>
      <c r="D2956" s="5" t="s">
        <v>16158</v>
      </c>
      <c r="E2956" s="6" t="s">
        <v>24</v>
      </c>
      <c r="F2956" s="6" t="s">
        <v>7386</v>
      </c>
      <c r="G2956" s="3" t="str">
        <f>IFERROR(__xludf.DUMMYFUNCTION("REGEXREPLACE(
D2956,
""([一-龯々]+)\[([^\]]+)\]"",
""&lt;ruby&gt;$1&lt;rt&gt;$2&lt;/rt&gt;&lt;/ruby&gt;""
)&amp;""&lt;br&gt;&lt;div class=""""audio""""&gt;[sound:""&amp;C2956&amp;"".mp3]&lt;/div&gt;"""),"&lt;ruby&gt;率&lt;rt&gt;ひき&lt;/rt&gt;&lt;/ruby&gt;いる&lt;br&gt;&lt;div class=""audio""&gt;[sound:ひきいる.mp3]&lt;/div&gt;")</f>
        <v>&lt;ruby&gt;率&lt;rt&gt;ひき&lt;/rt&gt;&lt;/ruby&gt;いる&lt;br&gt;&lt;div class="audio"&gt;[sound:ひきいる.mp3]&lt;/div&gt;</v>
      </c>
      <c r="H2956" s="3" t="str">
        <f t="shared" si="1"/>
        <v>(v): dẫn dắt</v>
      </c>
      <c r="I2956" s="6" t="s">
        <v>16159</v>
      </c>
      <c r="J2956" s="6" t="s">
        <v>16160</v>
      </c>
      <c r="K2956" s="7">
        <f t="shared" si="2"/>
        <v>0.1808078316</v>
      </c>
    </row>
    <row r="2957">
      <c r="A2957" s="4">
        <v>2957.0</v>
      </c>
      <c r="B2957" s="5" t="s">
        <v>16161</v>
      </c>
      <c r="C2957" s="5" t="s">
        <v>16162</v>
      </c>
      <c r="D2957" s="5" t="s">
        <v>16163</v>
      </c>
      <c r="E2957" s="6" t="s">
        <v>74</v>
      </c>
      <c r="F2957" s="6" t="s">
        <v>4222</v>
      </c>
      <c r="G2957" s="3" t="str">
        <f>IFERROR(__xludf.DUMMYFUNCTION("REGEXREPLACE(
D2957,
""([一-龯々]+)\[([^\]]+)\]"",
""&lt;ruby&gt;$1&lt;rt&gt;$2&lt;/rt&gt;&lt;/ruby&gt;""
)&amp;""&lt;br&gt;&lt;div class=""""audio""""&gt;[sound:""&amp;C2957&amp;"".mp3]&lt;/div&gt;"""),"&lt;ruby&gt;真実&lt;rt&gt;しんじつ&lt;/rt&gt;&lt;/ruby&gt;&lt;br&gt;&lt;div class=""audio""&gt;[sound:しんじつ.mp3]&lt;/div&gt;")</f>
        <v>&lt;ruby&gt;真実&lt;rt&gt;しんじつ&lt;/rt&gt;&lt;/ruby&gt;&lt;br&gt;&lt;div class="audio"&gt;[sound:しんじつ.mp3]&lt;/div&gt;</v>
      </c>
      <c r="H2957" s="3" t="str">
        <f t="shared" si="1"/>
        <v>(n): sự thật</v>
      </c>
      <c r="I2957" s="6" t="s">
        <v>16164</v>
      </c>
      <c r="J2957" s="6" t="s">
        <v>16165</v>
      </c>
      <c r="K2957" s="7">
        <f t="shared" si="2"/>
        <v>0.5369289961</v>
      </c>
    </row>
    <row r="2958">
      <c r="A2958" s="4">
        <v>2958.0</v>
      </c>
      <c r="B2958" s="5" t="s">
        <v>16166</v>
      </c>
      <c r="C2958" s="5" t="s">
        <v>16167</v>
      </c>
      <c r="D2958" s="5" t="s">
        <v>16168</v>
      </c>
      <c r="E2958" s="6" t="s">
        <v>74</v>
      </c>
      <c r="F2958" s="6" t="s">
        <v>8715</v>
      </c>
      <c r="G2958" s="3" t="str">
        <f>IFERROR(__xludf.DUMMYFUNCTION("REGEXREPLACE(
D2958,
""([一-龯々]+)\[([^\]]+)\]"",
""&lt;ruby&gt;$1&lt;rt&gt;$2&lt;/rt&gt;&lt;/ruby&gt;""
)&amp;""&lt;br&gt;&lt;div class=""""audio""""&gt;[sound:""&amp;C2958&amp;"".mp3]&lt;/div&gt;"""),"&lt;ruby&gt;経費&lt;rt&gt;けいひ&lt;/rt&gt;&lt;/ruby&gt;&lt;br&gt;&lt;div class=""audio""&gt;[sound:けいひ.mp3]&lt;/div&gt;")</f>
        <v>&lt;ruby&gt;経費&lt;rt&gt;けいひ&lt;/rt&gt;&lt;/ruby&gt;&lt;br&gt;&lt;div class="audio"&gt;[sound:けいひ.mp3]&lt;/div&gt;</v>
      </c>
      <c r="H2958" s="3" t="str">
        <f t="shared" si="1"/>
        <v>(n): chi phí</v>
      </c>
      <c r="I2958" s="6" t="s">
        <v>16169</v>
      </c>
      <c r="J2958" s="6" t="s">
        <v>9350</v>
      </c>
      <c r="K2958" s="7">
        <f t="shared" si="2"/>
        <v>0.390071413</v>
      </c>
    </row>
    <row r="2959">
      <c r="A2959" s="4">
        <v>2959.0</v>
      </c>
      <c r="B2959" s="5" t="s">
        <v>16170</v>
      </c>
      <c r="C2959" s="5" t="s">
        <v>16171</v>
      </c>
      <c r="D2959" s="5" t="s">
        <v>16172</v>
      </c>
      <c r="E2959" s="6" t="s">
        <v>85</v>
      </c>
      <c r="F2959" s="6" t="s">
        <v>14740</v>
      </c>
      <c r="G2959" s="3" t="str">
        <f>IFERROR(__xludf.DUMMYFUNCTION("REGEXREPLACE(
D2959,
""([一-龯々]+)\[([^\]]+)\]"",
""&lt;ruby&gt;$1&lt;rt&gt;$2&lt;/rt&gt;&lt;/ruby&gt;""
)&amp;""&lt;br&gt;&lt;div class=""""audio""""&gt;[sound:""&amp;C2959&amp;"".mp3]&lt;/div&gt;"""),"&lt;ruby&gt;誠&lt;rt&gt;まこと&lt;/rt&gt;&lt;/ruby&gt;に&lt;br&gt;&lt;div class=""audio""&gt;[sound:まことに.mp3]&lt;/div&gt;")</f>
        <v>&lt;ruby&gt;誠&lt;rt&gt;まこと&lt;/rt&gt;&lt;/ruby&gt;に&lt;br&gt;&lt;div class="audio"&gt;[sound:まことに.mp3]&lt;/div&gt;</v>
      </c>
      <c r="H2959" s="3" t="str">
        <f t="shared" si="1"/>
        <v>(adv): thực sự</v>
      </c>
      <c r="I2959" s="6" t="s">
        <v>16173</v>
      </c>
      <c r="J2959" s="6" t="s">
        <v>16174</v>
      </c>
      <c r="K2959" s="7">
        <f t="shared" si="2"/>
        <v>0.4198380234</v>
      </c>
    </row>
    <row r="2960">
      <c r="A2960" s="4">
        <v>2960.0</v>
      </c>
      <c r="B2960" s="5" t="s">
        <v>16175</v>
      </c>
      <c r="C2960" s="5" t="s">
        <v>16176</v>
      </c>
      <c r="D2960" s="5" t="s">
        <v>16177</v>
      </c>
      <c r="E2960" s="6" t="s">
        <v>11</v>
      </c>
      <c r="F2960" s="6" t="s">
        <v>16178</v>
      </c>
      <c r="G2960" s="3" t="str">
        <f>IFERROR(__xludf.DUMMYFUNCTION("REGEXREPLACE(
D2960,
""([一-龯々]+)\[([^\]]+)\]"",
""&lt;ruby&gt;$1&lt;rt&gt;$2&lt;/rt&gt;&lt;/ruby&gt;""
)&amp;""&lt;br&gt;&lt;div class=""""audio""""&gt;[sound:""&amp;C2960&amp;"".mp3]&lt;/div&gt;"""),"&lt;ruby&gt;身近&lt;rt&gt;みぢか&lt;/rt&gt;&lt;/ruby&gt;&lt;br&gt;&lt;div class=""audio""&gt;[sound:みぢか.mp3]&lt;/div&gt;")</f>
        <v>&lt;ruby&gt;身近&lt;rt&gt;みぢか&lt;/rt&gt;&lt;/ruby&gt;&lt;br&gt;&lt;div class="audio"&gt;[sound:みぢか.mp3]&lt;/div&gt;</v>
      </c>
      <c r="H2960" s="3" t="str">
        <f t="shared" si="1"/>
        <v>(adj): gần gũi</v>
      </c>
      <c r="I2960" s="6" t="s">
        <v>16179</v>
      </c>
      <c r="J2960" s="6" t="s">
        <v>16180</v>
      </c>
      <c r="K2960" s="7">
        <f t="shared" si="2"/>
        <v>0.04919799813</v>
      </c>
    </row>
    <row r="2961">
      <c r="A2961" s="4">
        <v>2961.0</v>
      </c>
      <c r="B2961" s="5" t="s">
        <v>16181</v>
      </c>
      <c r="C2961" s="5" t="s">
        <v>16182</v>
      </c>
      <c r="D2961" s="5" t="s">
        <v>16183</v>
      </c>
      <c r="E2961" s="6" t="s">
        <v>24</v>
      </c>
      <c r="F2961" s="6" t="s">
        <v>16184</v>
      </c>
      <c r="G2961" s="3" t="str">
        <f>IFERROR(__xludf.DUMMYFUNCTION("REGEXREPLACE(
D2961,
""([一-龯々]+)\[([^\]]+)\]"",
""&lt;ruby&gt;$1&lt;rt&gt;$2&lt;/rt&gt;&lt;/ruby&gt;""
)&amp;""&lt;br&gt;&lt;div class=""""audio""""&gt;[sound:""&amp;C2961&amp;"".mp3]&lt;/div&gt;"""),"&lt;ruby&gt;辿&lt;rt&gt;たど&lt;/rt&gt;&lt;/ruby&gt;り&lt;ruby&gt;着&lt;rt&gt;つ&lt;/rt&gt;&lt;/ruby&gt;く&lt;br&gt;&lt;div class=""audio""&gt;[sound:たどりつく.mp3]&lt;/div&gt;")</f>
        <v>&lt;ruby&gt;辿&lt;rt&gt;たど&lt;/rt&gt;&lt;/ruby&gt;り&lt;ruby&gt;着&lt;rt&gt;つ&lt;/rt&gt;&lt;/ruby&gt;く&lt;br&gt;&lt;div class="audio"&gt;[sound:たどりつく.mp3]&lt;/div&gt;</v>
      </c>
      <c r="H2961" s="3" t="str">
        <f t="shared" si="1"/>
        <v>(v): đến nơi</v>
      </c>
      <c r="I2961" s="6" t="s">
        <v>16185</v>
      </c>
      <c r="J2961" s="6" t="s">
        <v>16186</v>
      </c>
      <c r="K2961" s="7">
        <f t="shared" si="2"/>
        <v>0.253665495</v>
      </c>
    </row>
    <row r="2962">
      <c r="A2962" s="4">
        <v>2962.0</v>
      </c>
      <c r="B2962" s="5" t="s">
        <v>16187</v>
      </c>
      <c r="C2962" s="5" t="s">
        <v>16187</v>
      </c>
      <c r="D2962" s="5" t="s">
        <v>16187</v>
      </c>
      <c r="E2962" s="6" t="s">
        <v>24</v>
      </c>
      <c r="F2962" s="6" t="s">
        <v>16188</v>
      </c>
      <c r="G2962" s="3" t="str">
        <f>IFERROR(__xludf.DUMMYFUNCTION("REGEXREPLACE(
D2962,
""([一-龯々]+)\[([^\]]+)\]"",
""&lt;ruby&gt;$1&lt;rt&gt;$2&lt;/rt&gt;&lt;/ruby&gt;""
)&amp;""&lt;br&gt;&lt;div class=""""audio""""&gt;[sound:""&amp;C2962&amp;"".mp3]&lt;/div&gt;"""),"いじる&lt;br&gt;&lt;div class=""audio""&gt;[sound:いじる.mp3]&lt;/div&gt;")</f>
        <v>いじる&lt;br&gt;&lt;div class="audio"&gt;[sound:いじる.mp3]&lt;/div&gt;</v>
      </c>
      <c r="H2962" s="3" t="str">
        <f t="shared" si="1"/>
        <v>(v): nghịch</v>
      </c>
      <c r="I2962" s="6" t="s">
        <v>16189</v>
      </c>
      <c r="J2962" s="6" t="s">
        <v>16190</v>
      </c>
      <c r="K2962" s="7">
        <f t="shared" si="2"/>
        <v>0.9217481745</v>
      </c>
    </row>
    <row r="2963">
      <c r="A2963" s="4">
        <v>2963.0</v>
      </c>
      <c r="B2963" s="5" t="s">
        <v>16191</v>
      </c>
      <c r="C2963" s="5" t="s">
        <v>16191</v>
      </c>
      <c r="D2963" s="5" t="s">
        <v>16191</v>
      </c>
      <c r="E2963" s="6" t="s">
        <v>44</v>
      </c>
      <c r="F2963" s="6" t="s">
        <v>4032</v>
      </c>
      <c r="G2963" s="3" t="str">
        <f>IFERROR(__xludf.DUMMYFUNCTION("REGEXREPLACE(
D2963,
""([一-龯々]+)\[([^\]]+)\]"",
""&lt;ruby&gt;$1&lt;rt&gt;$2&lt;/rt&gt;&lt;/ruby&gt;""
)&amp;""&lt;br&gt;&lt;div class=""""audio""""&gt;[sound:""&amp;C2963&amp;"".mp3]&lt;/div&gt;"""),"そこら&lt;br&gt;&lt;div class=""audio""&gt;[sound:そこら.mp3]&lt;/div&gt;")</f>
        <v>そこら&lt;br&gt;&lt;div class="audio"&gt;[sound:そこら.mp3]&lt;/div&gt;</v>
      </c>
      <c r="H2963" s="3" t="str">
        <f t="shared" si="1"/>
        <v>(pron): đâu đó</v>
      </c>
      <c r="I2963" s="6" t="s">
        <v>16192</v>
      </c>
      <c r="J2963" s="6" t="s">
        <v>16193</v>
      </c>
      <c r="K2963" s="7">
        <f t="shared" si="2"/>
        <v>0.8768804532</v>
      </c>
    </row>
    <row r="2964">
      <c r="A2964" s="4">
        <v>2964.0</v>
      </c>
      <c r="B2964" s="5" t="s">
        <v>16194</v>
      </c>
      <c r="C2964" s="5" t="s">
        <v>16195</v>
      </c>
      <c r="D2964" s="5" t="s">
        <v>16196</v>
      </c>
      <c r="E2964" s="6" t="s">
        <v>74</v>
      </c>
      <c r="F2964" s="6" t="s">
        <v>3796</v>
      </c>
      <c r="G2964" s="3" t="str">
        <f>IFERROR(__xludf.DUMMYFUNCTION("REGEXREPLACE(
D2964,
""([一-龯々]+)\[([^\]]+)\]"",
""&lt;ruby&gt;$1&lt;rt&gt;$2&lt;/rt&gt;&lt;/ruby&gt;""
)&amp;""&lt;br&gt;&lt;div class=""""audio""""&gt;[sound:""&amp;C2964&amp;"".mp3]&lt;/div&gt;"""),"&lt;ruby&gt;主題&lt;rt&gt;しゅだい&lt;/rt&gt;&lt;/ruby&gt;&lt;br&gt;&lt;div class=""audio""&gt;[sound:しゅだい.mp3]&lt;/div&gt;")</f>
        <v>&lt;ruby&gt;主題&lt;rt&gt;しゅだい&lt;/rt&gt;&lt;/ruby&gt;&lt;br&gt;&lt;div class="audio"&gt;[sound:しゅだい.mp3]&lt;/div&gt;</v>
      </c>
      <c r="H2964" s="3" t="str">
        <f t="shared" si="1"/>
        <v>(n): chủ đề</v>
      </c>
      <c r="I2964" s="6" t="s">
        <v>16197</v>
      </c>
      <c r="J2964" s="6" t="s">
        <v>16198</v>
      </c>
      <c r="K2964" s="7">
        <f t="shared" si="2"/>
        <v>0.825978482</v>
      </c>
    </row>
    <row r="2965">
      <c r="A2965" s="4">
        <v>2965.0</v>
      </c>
      <c r="B2965" s="5" t="s">
        <v>16199</v>
      </c>
      <c r="C2965" s="5" t="s">
        <v>16200</v>
      </c>
      <c r="D2965" s="5" t="s">
        <v>16201</v>
      </c>
      <c r="E2965" s="6" t="s">
        <v>74</v>
      </c>
      <c r="F2965" s="6" t="s">
        <v>16202</v>
      </c>
      <c r="G2965" s="3" t="str">
        <f>IFERROR(__xludf.DUMMYFUNCTION("REGEXREPLACE(
D2965,
""([一-龯々]+)\[([^\]]+)\]"",
""&lt;ruby&gt;$1&lt;rt&gt;$2&lt;/rt&gt;&lt;/ruby&gt;""
)&amp;""&lt;br&gt;&lt;div class=""""audio""""&gt;[sound:""&amp;C2965&amp;"".mp3]&lt;/div&gt;"""),"&lt;ruby&gt;優位&lt;rt&gt;ゆうい&lt;/rt&gt;&lt;/ruby&gt;&lt;br&gt;&lt;div class=""audio""&gt;[sound:ゆうい.mp3]&lt;/div&gt;")</f>
        <v>&lt;ruby&gt;優位&lt;rt&gt;ゆうい&lt;/rt&gt;&lt;/ruby&gt;&lt;br&gt;&lt;div class="audio"&gt;[sound:ゆうい.mp3]&lt;/div&gt;</v>
      </c>
      <c r="H2965" s="3" t="str">
        <f t="shared" si="1"/>
        <v>(n): ưu thế</v>
      </c>
      <c r="I2965" s="6" t="s">
        <v>16203</v>
      </c>
      <c r="J2965" s="6" t="s">
        <v>16204</v>
      </c>
      <c r="K2965" s="7">
        <f t="shared" si="2"/>
        <v>0.8358543019</v>
      </c>
    </row>
    <row r="2966">
      <c r="A2966" s="4">
        <v>2966.0</v>
      </c>
      <c r="B2966" s="5" t="s">
        <v>16205</v>
      </c>
      <c r="C2966" s="5" t="s">
        <v>13983</v>
      </c>
      <c r="D2966" s="5" t="s">
        <v>16206</v>
      </c>
      <c r="E2966" s="6" t="s">
        <v>74</v>
      </c>
      <c r="F2966" s="6" t="s">
        <v>16207</v>
      </c>
      <c r="G2966" s="3" t="str">
        <f>IFERROR(__xludf.DUMMYFUNCTION("REGEXREPLACE(
D2966,
""([一-龯々]+)\[([^\]]+)\]"",
""&lt;ruby&gt;$1&lt;rt&gt;$2&lt;/rt&gt;&lt;/ruby&gt;""
)&amp;""&lt;br&gt;&lt;div class=""""audio""""&gt;[sound:""&amp;C2966&amp;"".mp3]&lt;/div&gt;"""),"&lt;ruby&gt;兵器&lt;rt&gt;へいき&lt;/rt&gt;&lt;/ruby&gt;&lt;br&gt;&lt;div class=""audio""&gt;[sound:へいき.mp3]&lt;/div&gt;")</f>
        <v>&lt;ruby&gt;兵器&lt;rt&gt;へいき&lt;/rt&gt;&lt;/ruby&gt;&lt;br&gt;&lt;div class="audio"&gt;[sound:へいき.mp3]&lt;/div&gt;</v>
      </c>
      <c r="H2966" s="3" t="str">
        <f t="shared" si="1"/>
        <v>(n): vũ khí</v>
      </c>
      <c r="I2966" s="6" t="s">
        <v>16208</v>
      </c>
      <c r="J2966" s="6" t="s">
        <v>16209</v>
      </c>
      <c r="K2966" s="7">
        <f t="shared" si="2"/>
        <v>0.8673061197</v>
      </c>
    </row>
    <row r="2967">
      <c r="A2967" s="4">
        <v>2967.0</v>
      </c>
      <c r="B2967" s="5" t="s">
        <v>16210</v>
      </c>
      <c r="C2967" s="5" t="s">
        <v>16211</v>
      </c>
      <c r="D2967" s="5" t="s">
        <v>16212</v>
      </c>
      <c r="E2967" s="6" t="s">
        <v>74</v>
      </c>
      <c r="F2967" s="6" t="s">
        <v>16213</v>
      </c>
      <c r="G2967" s="3" t="str">
        <f>IFERROR(__xludf.DUMMYFUNCTION("REGEXREPLACE(
D2967,
""([一-龯々]+)\[([^\]]+)\]"",
""&lt;ruby&gt;$1&lt;rt&gt;$2&lt;/rt&gt;&lt;/ruby&gt;""
)&amp;""&lt;br&gt;&lt;div class=""""audio""""&gt;[sound:""&amp;C2967&amp;"".mp3]&lt;/div&gt;"""),"&lt;ruby&gt;古代&lt;rt&gt;こだい&lt;/rt&gt;&lt;/ruby&gt;&lt;br&gt;&lt;div class=""audio""&gt;[sound:こだい.mp3]&lt;/div&gt;")</f>
        <v>&lt;ruby&gt;古代&lt;rt&gt;こだい&lt;/rt&gt;&lt;/ruby&gt;&lt;br&gt;&lt;div class="audio"&gt;[sound:こだい.mp3]&lt;/div&gt;</v>
      </c>
      <c r="H2967" s="3" t="str">
        <f t="shared" si="1"/>
        <v>(n): cổ đại</v>
      </c>
      <c r="I2967" s="6" t="s">
        <v>16214</v>
      </c>
      <c r="J2967" s="6" t="s">
        <v>16215</v>
      </c>
      <c r="K2967" s="7">
        <f t="shared" si="2"/>
        <v>0.5263876957</v>
      </c>
    </row>
    <row r="2968">
      <c r="A2968" s="4">
        <v>2968.0</v>
      </c>
      <c r="B2968" s="5" t="s">
        <v>16216</v>
      </c>
      <c r="C2968" s="5" t="s">
        <v>16217</v>
      </c>
      <c r="D2968" s="5" t="s">
        <v>16218</v>
      </c>
      <c r="E2968" s="6" t="s">
        <v>74</v>
      </c>
      <c r="F2968" s="6" t="s">
        <v>16219</v>
      </c>
      <c r="G2968" s="3" t="str">
        <f>IFERROR(__xludf.DUMMYFUNCTION("REGEXREPLACE(
D2968,
""([一-龯々]+)\[([^\]]+)\]"",
""&lt;ruby&gt;$1&lt;rt&gt;$2&lt;/rt&gt;&lt;/ruby&gt;""
)&amp;""&lt;br&gt;&lt;div class=""""audio""""&gt;[sound:""&amp;C2968&amp;"".mp3]&lt;/div&gt;"""),"&lt;ruby&gt;威力&lt;rt&gt;いりょく&lt;/rt&gt;&lt;/ruby&gt;&lt;br&gt;&lt;div class=""audio""&gt;[sound:いりょく.mp3]&lt;/div&gt;")</f>
        <v>&lt;ruby&gt;威力&lt;rt&gt;いりょく&lt;/rt&gt;&lt;/ruby&gt;&lt;br&gt;&lt;div class="audio"&gt;[sound:いりょく.mp3]&lt;/div&gt;</v>
      </c>
      <c r="H2968" s="3" t="str">
        <f t="shared" si="1"/>
        <v>(n): uy lực</v>
      </c>
      <c r="I2968" s="6" t="s">
        <v>16220</v>
      </c>
      <c r="J2968" s="6" t="s">
        <v>16221</v>
      </c>
      <c r="K2968" s="7">
        <f t="shared" si="2"/>
        <v>0.02767061545</v>
      </c>
    </row>
    <row r="2969">
      <c r="A2969" s="4">
        <v>2969.0</v>
      </c>
      <c r="B2969" s="5" t="s">
        <v>16222</v>
      </c>
      <c r="C2969" s="5" t="s">
        <v>16223</v>
      </c>
      <c r="D2969" s="5" t="s">
        <v>16224</v>
      </c>
      <c r="E2969" s="6" t="s">
        <v>74</v>
      </c>
      <c r="F2969" s="6" t="s">
        <v>16225</v>
      </c>
      <c r="G2969" s="3" t="str">
        <f>IFERROR(__xludf.DUMMYFUNCTION("REGEXREPLACE(
D2969,
""([一-龯々]+)\[([^\]]+)\]"",
""&lt;ruby&gt;$1&lt;rt&gt;$2&lt;/rt&gt;&lt;/ruby&gt;""
)&amp;""&lt;br&gt;&lt;div class=""""audio""""&gt;[sound:""&amp;C2969&amp;"".mp3]&lt;/div&gt;"""),"&lt;ruby&gt;治安&lt;rt&gt;ちあん&lt;/rt&gt;&lt;/ruby&gt;&lt;br&gt;&lt;div class=""audio""&gt;[sound:ちあん.mp3]&lt;/div&gt;")</f>
        <v>&lt;ruby&gt;治安&lt;rt&gt;ちあん&lt;/rt&gt;&lt;/ruby&gt;&lt;br&gt;&lt;div class="audio"&gt;[sound:ちあん.mp3]&lt;/div&gt;</v>
      </c>
      <c r="H2969" s="3" t="str">
        <f t="shared" si="1"/>
        <v>(n): trị an</v>
      </c>
      <c r="I2969" s="6" t="s">
        <v>16226</v>
      </c>
      <c r="J2969" s="6" t="s">
        <v>16227</v>
      </c>
      <c r="K2969" s="7">
        <f t="shared" si="2"/>
        <v>0.9343642838</v>
      </c>
    </row>
    <row r="2970">
      <c r="A2970" s="4">
        <v>2970.0</v>
      </c>
      <c r="B2970" s="5" t="s">
        <v>16228</v>
      </c>
      <c r="C2970" s="5" t="s">
        <v>16229</v>
      </c>
      <c r="D2970" s="5" t="s">
        <v>16230</v>
      </c>
      <c r="E2970" s="6" t="s">
        <v>24</v>
      </c>
      <c r="F2970" s="6" t="s">
        <v>16231</v>
      </c>
      <c r="G2970" s="3" t="str">
        <f>IFERROR(__xludf.DUMMYFUNCTION("REGEXREPLACE(
D2970,
""([一-龯々]+)\[([^\]]+)\]"",
""&lt;ruby&gt;$1&lt;rt&gt;$2&lt;/rt&gt;&lt;/ruby&gt;""
)&amp;""&lt;br&gt;&lt;div class=""""audio""""&gt;[sound:""&amp;C2970&amp;"".mp3]&lt;/div&gt;"""),"&lt;ruby&gt;覆&lt;rt&gt;くつがえ&lt;/rt&gt;&lt;/ruby&gt;す&lt;br&gt;&lt;div class=""audio""&gt;[sound:くつがえす.mp3]&lt;/div&gt;")</f>
        <v>&lt;ruby&gt;覆&lt;rt&gt;くつがえ&lt;/rt&gt;&lt;/ruby&gt;す&lt;br&gt;&lt;div class="audio"&gt;[sound:くつがえす.mp3]&lt;/div&gt;</v>
      </c>
      <c r="H2970" s="3" t="str">
        <f t="shared" si="1"/>
        <v>(v): lật đổ</v>
      </c>
      <c r="I2970" s="6" t="s">
        <v>16232</v>
      </c>
      <c r="J2970" s="6" t="s">
        <v>16233</v>
      </c>
      <c r="K2970" s="7">
        <f t="shared" si="2"/>
        <v>0.6458550424</v>
      </c>
    </row>
    <row r="2971">
      <c r="A2971" s="4">
        <v>2971.0</v>
      </c>
      <c r="B2971" s="5" t="s">
        <v>16234</v>
      </c>
      <c r="C2971" s="5" t="s">
        <v>16235</v>
      </c>
      <c r="D2971" s="5" t="s">
        <v>16236</v>
      </c>
      <c r="E2971" s="6" t="s">
        <v>74</v>
      </c>
      <c r="F2971" s="6" t="s">
        <v>16237</v>
      </c>
      <c r="G2971" s="3" t="str">
        <f>IFERROR(__xludf.DUMMYFUNCTION("REGEXREPLACE(
D2971,
""([一-龯々]+)\[([^\]]+)\]"",
""&lt;ruby&gt;$1&lt;rt&gt;$2&lt;/rt&gt;&lt;/ruby&gt;""
)&amp;""&lt;br&gt;&lt;div class=""""audio""""&gt;[sound:""&amp;C2971&amp;"".mp3]&lt;/div&gt;"""),"&lt;ruby&gt;誤差&lt;rt&gt;ごさ&lt;/rt&gt;&lt;/ruby&gt;&lt;br&gt;&lt;div class=""audio""&gt;[sound:ごさ.mp3]&lt;/div&gt;")</f>
        <v>&lt;ruby&gt;誤差&lt;rt&gt;ごさ&lt;/rt&gt;&lt;/ruby&gt;&lt;br&gt;&lt;div class="audio"&gt;[sound:ごさ.mp3]&lt;/div&gt;</v>
      </c>
      <c r="H2971" s="3" t="str">
        <f t="shared" si="1"/>
        <v>(n): sai số</v>
      </c>
      <c r="I2971" s="6" t="s">
        <v>16238</v>
      </c>
      <c r="J2971" s="6" t="s">
        <v>16239</v>
      </c>
      <c r="K2971" s="7">
        <f t="shared" si="2"/>
        <v>0.7524234173</v>
      </c>
    </row>
    <row r="2972">
      <c r="A2972" s="4">
        <v>2972.0</v>
      </c>
      <c r="B2972" s="5" t="s">
        <v>16240</v>
      </c>
      <c r="C2972" s="5" t="s">
        <v>16241</v>
      </c>
      <c r="D2972" s="5" t="s">
        <v>16242</v>
      </c>
      <c r="E2972" s="6" t="s">
        <v>11</v>
      </c>
      <c r="F2972" s="6" t="s">
        <v>16243</v>
      </c>
      <c r="G2972" s="3" t="str">
        <f>IFERROR(__xludf.DUMMYFUNCTION("REGEXREPLACE(
D2972,
""([一-龯々]+)\[([^\]]+)\]"",
""&lt;ruby&gt;$1&lt;rt&gt;$2&lt;/rt&gt;&lt;/ruby&gt;""
)&amp;""&lt;br&gt;&lt;div class=""""audio""""&gt;[sound:""&amp;C2972&amp;"".mp3]&lt;/div&gt;"""),"&lt;ruby&gt;鮮&lt;rt&gt;あざ&lt;/rt&gt;&lt;/ruby&gt;やか&lt;br&gt;&lt;div class=""audio""&gt;[sound:あざやか.mp3]&lt;/div&gt;")</f>
        <v>&lt;ruby&gt;鮮&lt;rt&gt;あざ&lt;/rt&gt;&lt;/ruby&gt;やか&lt;br&gt;&lt;div class="audio"&gt;[sound:あざやか.mp3]&lt;/div&gt;</v>
      </c>
      <c r="H2972" s="3" t="str">
        <f t="shared" si="1"/>
        <v>(adj): rực rỡ</v>
      </c>
      <c r="I2972" s="6" t="s">
        <v>16244</v>
      </c>
      <c r="J2972" s="6" t="s">
        <v>16245</v>
      </c>
      <c r="K2972" s="7">
        <f t="shared" si="2"/>
        <v>0.7083466826</v>
      </c>
    </row>
    <row r="2973">
      <c r="A2973" s="4">
        <v>2973.0</v>
      </c>
      <c r="B2973" s="5" t="s">
        <v>16246</v>
      </c>
      <c r="C2973" s="5" t="s">
        <v>16247</v>
      </c>
      <c r="D2973" s="5" t="s">
        <v>16248</v>
      </c>
      <c r="E2973" s="6" t="s">
        <v>24</v>
      </c>
      <c r="F2973" s="6" t="s">
        <v>16249</v>
      </c>
      <c r="G2973" s="3" t="str">
        <f>IFERROR(__xludf.DUMMYFUNCTION("REGEXREPLACE(
D2973,
""([一-龯々]+)\[([^\]]+)\]"",
""&lt;ruby&gt;$1&lt;rt&gt;$2&lt;/rt&gt;&lt;/ruby&gt;""
)&amp;""&lt;br&gt;&lt;div class=""""audio""""&gt;[sound:""&amp;C2973&amp;"".mp3]&lt;/div&gt;"""),"&lt;ruby&gt;唱&lt;rt&gt;とな&lt;/rt&gt;&lt;/ruby&gt;える&lt;br&gt;&lt;div class=""audio""&gt;[sound:となえる.mp3]&lt;/div&gt;")</f>
        <v>&lt;ruby&gt;唱&lt;rt&gt;とな&lt;/rt&gt;&lt;/ruby&gt;える&lt;br&gt;&lt;div class="audio"&gt;[sound:となえる.mp3]&lt;/div&gt;</v>
      </c>
      <c r="H2973" s="3" t="str">
        <f t="shared" si="1"/>
        <v>(v): xướng lên</v>
      </c>
      <c r="I2973" s="6" t="s">
        <v>16250</v>
      </c>
      <c r="J2973" s="6" t="s">
        <v>16251</v>
      </c>
      <c r="K2973" s="7">
        <f t="shared" si="2"/>
        <v>0.05267141047</v>
      </c>
    </row>
    <row r="2974">
      <c r="A2974" s="4">
        <v>2974.0</v>
      </c>
      <c r="B2974" s="5" t="s">
        <v>16252</v>
      </c>
      <c r="C2974" s="5" t="s">
        <v>16253</v>
      </c>
      <c r="D2974" s="5" t="s">
        <v>16254</v>
      </c>
      <c r="E2974" s="6" t="s">
        <v>74</v>
      </c>
      <c r="F2974" s="6" t="s">
        <v>16255</v>
      </c>
      <c r="G2974" s="3" t="str">
        <f>IFERROR(__xludf.DUMMYFUNCTION("REGEXREPLACE(
D2974,
""([一-龯々]+)\[([^\]]+)\]"",
""&lt;ruby&gt;$1&lt;rt&gt;$2&lt;/rt&gt;&lt;/ruby&gt;""
)&amp;""&lt;br&gt;&lt;div class=""""audio""""&gt;[sound:""&amp;C2974&amp;"".mp3]&lt;/div&gt;"""),"&lt;ruby&gt;残高&lt;rt&gt;ざんだか&lt;/rt&gt;&lt;/ruby&gt;&lt;br&gt;&lt;div class=""audio""&gt;[sound:ざんだか.mp3]&lt;/div&gt;")</f>
        <v>&lt;ruby&gt;残高&lt;rt&gt;ざんだか&lt;/rt&gt;&lt;/ruby&gt;&lt;br&gt;&lt;div class="audio"&gt;[sound:ざんだか.mp3]&lt;/div&gt;</v>
      </c>
      <c r="H2974" s="3" t="str">
        <f t="shared" si="1"/>
        <v>(n): số dư</v>
      </c>
      <c r="I2974" s="6" t="s">
        <v>16256</v>
      </c>
      <c r="J2974" s="6" t="s">
        <v>16257</v>
      </c>
      <c r="K2974" s="7">
        <f t="shared" si="2"/>
        <v>0.2004747623</v>
      </c>
    </row>
    <row r="2975">
      <c r="A2975" s="4">
        <v>2975.0</v>
      </c>
      <c r="B2975" s="5" t="s">
        <v>16258</v>
      </c>
      <c r="C2975" s="5" t="s">
        <v>16259</v>
      </c>
      <c r="D2975" s="5" t="s">
        <v>16258</v>
      </c>
      <c r="E2975" s="6" t="s">
        <v>74</v>
      </c>
      <c r="F2975" s="6" t="s">
        <v>16260</v>
      </c>
      <c r="G2975" s="3" t="str">
        <f>IFERROR(__xludf.DUMMYFUNCTION("REGEXREPLACE(
D2975,
""([一-龯々]+)\[([^\]]+)\]"",
""&lt;ruby&gt;$1&lt;rt&gt;$2&lt;/rt&gt;&lt;/ruby&gt;""
)&amp;""&lt;br&gt;&lt;div class=""""audio""""&gt;[sound:""&amp;C2975&amp;"".mp3]&lt;/div&gt;"""),"カーペット&lt;br&gt;&lt;div class=""audio""&gt;[sound:かーぺっと.mp3]&lt;/div&gt;")</f>
        <v>カーペット&lt;br&gt;&lt;div class="audio"&gt;[sound:かーぺっと.mp3]&lt;/div&gt;</v>
      </c>
      <c r="H2975" s="3" t="str">
        <f t="shared" si="1"/>
        <v>(n): thảm</v>
      </c>
      <c r="I2975" s="6" t="s">
        <v>16261</v>
      </c>
      <c r="J2975" s="6" t="s">
        <v>16262</v>
      </c>
      <c r="K2975" s="7">
        <f t="shared" si="2"/>
        <v>0.5671419201</v>
      </c>
    </row>
    <row r="2976">
      <c r="A2976" s="4">
        <v>2976.0</v>
      </c>
      <c r="B2976" s="5" t="s">
        <v>16263</v>
      </c>
      <c r="C2976" s="5" t="s">
        <v>16264</v>
      </c>
      <c r="D2976" s="5" t="s">
        <v>16265</v>
      </c>
      <c r="E2976" s="6" t="s">
        <v>74</v>
      </c>
      <c r="F2976" s="6" t="s">
        <v>16266</v>
      </c>
      <c r="G2976" s="3" t="str">
        <f>IFERROR(__xludf.DUMMYFUNCTION("REGEXREPLACE(
D2976,
""([一-龯々]+)\[([^\]]+)\]"",
""&lt;ruby&gt;$1&lt;rt&gt;$2&lt;/rt&gt;&lt;/ruby&gt;""
)&amp;""&lt;br&gt;&lt;div class=""""audio""""&gt;[sound:""&amp;C2976&amp;"".mp3]&lt;/div&gt;"""),"&lt;ruby&gt;軸&lt;rt&gt;じく&lt;/rt&gt;&lt;/ruby&gt;&lt;br&gt;&lt;div class=""audio""&gt;[sound:じく.mp3]&lt;/div&gt;")</f>
        <v>&lt;ruby&gt;軸&lt;rt&gt;じく&lt;/rt&gt;&lt;/ruby&gt;&lt;br&gt;&lt;div class="audio"&gt;[sound:じく.mp3]&lt;/div&gt;</v>
      </c>
      <c r="H2976" s="3" t="str">
        <f t="shared" si="1"/>
        <v>(n): trục</v>
      </c>
      <c r="I2976" s="6" t="s">
        <v>16267</v>
      </c>
      <c r="J2976" s="6" t="s">
        <v>16268</v>
      </c>
      <c r="K2976" s="7">
        <f t="shared" si="2"/>
        <v>0.8284958364</v>
      </c>
    </row>
    <row r="2977">
      <c r="A2977" s="4">
        <v>2977.0</v>
      </c>
      <c r="B2977" s="5" t="s">
        <v>16269</v>
      </c>
      <c r="C2977" s="5" t="s">
        <v>16270</v>
      </c>
      <c r="D2977" s="5" t="s">
        <v>16271</v>
      </c>
      <c r="E2977" s="6" t="s">
        <v>24</v>
      </c>
      <c r="F2977" s="6" t="s">
        <v>16272</v>
      </c>
      <c r="G2977" s="3" t="str">
        <f>IFERROR(__xludf.DUMMYFUNCTION("REGEXREPLACE(
D2977,
""([一-龯々]+)\[([^\]]+)\]"",
""&lt;ruby&gt;$1&lt;rt&gt;$2&lt;/rt&gt;&lt;/ruby&gt;""
)&amp;""&lt;br&gt;&lt;div class=""""audio""""&gt;[sound:""&amp;C2977&amp;"".mp3]&lt;/div&gt;"""),"&lt;ruby&gt;辿&lt;rt&gt;たど&lt;/rt&gt;&lt;/ruby&gt;る&lt;br&gt;&lt;div class=""audio""&gt;[sound:たどる.mp3]&lt;/div&gt;")</f>
        <v>&lt;ruby&gt;辿&lt;rt&gt;たど&lt;/rt&gt;&lt;/ruby&gt;る&lt;br&gt;&lt;div class="audio"&gt;[sound:たどる.mp3]&lt;/div&gt;</v>
      </c>
      <c r="H2977" s="3" t="str">
        <f t="shared" si="1"/>
        <v>(v): theo</v>
      </c>
      <c r="I2977" s="6" t="s">
        <v>16273</v>
      </c>
      <c r="J2977" s="6" t="s">
        <v>16274</v>
      </c>
      <c r="K2977" s="7">
        <f t="shared" si="2"/>
        <v>0.01192197534</v>
      </c>
    </row>
    <row r="2978">
      <c r="A2978" s="4">
        <v>2978.0</v>
      </c>
      <c r="B2978" s="5" t="s">
        <v>16275</v>
      </c>
      <c r="C2978" s="5" t="s">
        <v>582</v>
      </c>
      <c r="D2978" s="5" t="s">
        <v>16276</v>
      </c>
      <c r="E2978" s="6" t="s">
        <v>74</v>
      </c>
      <c r="F2978" s="6" t="s">
        <v>16277</v>
      </c>
      <c r="G2978" s="3" t="str">
        <f>IFERROR(__xludf.DUMMYFUNCTION("REGEXREPLACE(
D2978,
""([一-龯々]+)\[([^\]]+)\]"",
""&lt;ruby&gt;$1&lt;rt&gt;$2&lt;/rt&gt;&lt;/ruby&gt;""
)&amp;""&lt;br&gt;&lt;div class=""""audio""""&gt;[sound:""&amp;C2978&amp;"".mp3]&lt;/div&gt;"""),"&lt;ruby&gt;酸&lt;rt&gt;さん&lt;/rt&gt;&lt;/ruby&gt;&lt;br&gt;&lt;div class=""audio""&gt;[sound:さん.mp3]&lt;/div&gt;")</f>
        <v>&lt;ruby&gt;酸&lt;rt&gt;さん&lt;/rt&gt;&lt;/ruby&gt;&lt;br&gt;&lt;div class="audio"&gt;[sound:さん.mp3]&lt;/div&gt;</v>
      </c>
      <c r="H2978" s="3" t="str">
        <f t="shared" si="1"/>
        <v>(n): axit</v>
      </c>
      <c r="I2978" s="6" t="s">
        <v>16278</v>
      </c>
      <c r="J2978" s="6" t="s">
        <v>16279</v>
      </c>
      <c r="K2978" s="7">
        <f t="shared" si="2"/>
        <v>0.3292605662</v>
      </c>
    </row>
    <row r="2979">
      <c r="A2979" s="4">
        <v>2979.0</v>
      </c>
      <c r="B2979" s="5" t="s">
        <v>16280</v>
      </c>
      <c r="C2979" s="5" t="s">
        <v>16281</v>
      </c>
      <c r="D2979" s="5" t="s">
        <v>16282</v>
      </c>
      <c r="E2979" s="6" t="s">
        <v>24</v>
      </c>
      <c r="F2979" s="6" t="s">
        <v>16283</v>
      </c>
      <c r="G2979" s="3" t="str">
        <f>IFERROR(__xludf.DUMMYFUNCTION("REGEXREPLACE(
D2979,
""([一-龯々]+)\[([^\]]+)\]"",
""&lt;ruby&gt;$1&lt;rt&gt;$2&lt;/rt&gt;&lt;/ruby&gt;""
)&amp;""&lt;br&gt;&lt;div class=""""audio""""&gt;[sound:""&amp;C2979&amp;"".mp3]&lt;/div&gt;"""),"&lt;ruby&gt;飲&lt;rt&gt;の&lt;/rt&gt;&lt;/ruby&gt;み&lt;ruby&gt;込&lt;rt&gt;こ&lt;/rt&gt;&lt;/ruby&gt;む&lt;br&gt;&lt;div class=""audio""&gt;[sound:のみこむ.mp3]&lt;/div&gt;")</f>
        <v>&lt;ruby&gt;飲&lt;rt&gt;の&lt;/rt&gt;&lt;/ruby&gt;み&lt;ruby&gt;込&lt;rt&gt;こ&lt;/rt&gt;&lt;/ruby&gt;む&lt;br&gt;&lt;div class="audio"&gt;[sound:のみこむ.mp3]&lt;/div&gt;</v>
      </c>
      <c r="H2979" s="3" t="str">
        <f t="shared" si="1"/>
        <v>(v): nuốt</v>
      </c>
      <c r="I2979" s="6" t="s">
        <v>16284</v>
      </c>
      <c r="J2979" s="6" t="s">
        <v>16285</v>
      </c>
      <c r="K2979" s="7">
        <f t="shared" si="2"/>
        <v>0.2846473652</v>
      </c>
    </row>
    <row r="2980">
      <c r="A2980" s="4">
        <v>2980.0</v>
      </c>
      <c r="B2980" s="5" t="s">
        <v>16286</v>
      </c>
      <c r="C2980" s="5" t="s">
        <v>16287</v>
      </c>
      <c r="D2980" s="5" t="s">
        <v>16288</v>
      </c>
      <c r="E2980" s="6" t="s">
        <v>74</v>
      </c>
      <c r="F2980" s="6" t="s">
        <v>16289</v>
      </c>
      <c r="G2980" s="3" t="str">
        <f>IFERROR(__xludf.DUMMYFUNCTION("REGEXREPLACE(
D2980,
""([一-龯々]+)\[([^\]]+)\]"",
""&lt;ruby&gt;$1&lt;rt&gt;$2&lt;/rt&gt;&lt;/ruby&gt;""
)&amp;""&lt;br&gt;&lt;div class=""""audio""""&gt;[sound:""&amp;C2980&amp;"".mp3]&lt;/div&gt;"""),"&lt;ruby&gt;黄金&lt;rt&gt;おうごん&lt;/rt&gt;&lt;/ruby&gt;&lt;br&gt;&lt;div class=""audio""&gt;[sound:おうごん.mp3]&lt;/div&gt;")</f>
        <v>&lt;ruby&gt;黄金&lt;rt&gt;おうごん&lt;/rt&gt;&lt;/ruby&gt;&lt;br&gt;&lt;div class="audio"&gt;[sound:おうごん.mp3]&lt;/div&gt;</v>
      </c>
      <c r="H2980" s="3" t="str">
        <f t="shared" si="1"/>
        <v>(n): vàng</v>
      </c>
      <c r="I2980" s="6" t="s">
        <v>16290</v>
      </c>
      <c r="J2980" s="6" t="s">
        <v>16291</v>
      </c>
      <c r="K2980" s="7">
        <f t="shared" si="2"/>
        <v>0.02747438778</v>
      </c>
    </row>
    <row r="2981">
      <c r="A2981" s="4">
        <v>2981.0</v>
      </c>
      <c r="B2981" s="5" t="s">
        <v>16292</v>
      </c>
      <c r="C2981" s="5" t="s">
        <v>16293</v>
      </c>
      <c r="D2981" s="5" t="s">
        <v>16294</v>
      </c>
      <c r="E2981" s="6" t="s">
        <v>74</v>
      </c>
      <c r="F2981" s="6" t="s">
        <v>1138</v>
      </c>
      <c r="G2981" s="3" t="str">
        <f>IFERROR(__xludf.DUMMYFUNCTION("REGEXREPLACE(
D2981,
""([一-龯々]+)\[([^\]]+)\]"",
""&lt;ruby&gt;$1&lt;rt&gt;$2&lt;/rt&gt;&lt;/ruby&gt;""
)&amp;""&lt;br&gt;&lt;div class=""""audio""""&gt;[sound:""&amp;C2981&amp;"".mp3]&lt;/div&gt;"""),"&lt;ruby&gt;不良&lt;rt&gt;ふりょう&lt;/rt&gt;&lt;/ruby&gt;&lt;br&gt;&lt;div class=""audio""&gt;[sound:ふりょう.mp3]&lt;/div&gt;")</f>
        <v>&lt;ruby&gt;不良&lt;rt&gt;ふりょう&lt;/rt&gt;&lt;/ruby&gt;&lt;br&gt;&lt;div class="audio"&gt;[sound:ふりょう.mp3]&lt;/div&gt;</v>
      </c>
      <c r="H2981" s="3" t="str">
        <f t="shared" si="1"/>
        <v>(n): xấu</v>
      </c>
      <c r="I2981" s="6" t="s">
        <v>16295</v>
      </c>
      <c r="J2981" s="6" t="s">
        <v>16296</v>
      </c>
      <c r="K2981" s="7">
        <f t="shared" si="2"/>
        <v>0.9686357239</v>
      </c>
    </row>
    <row r="2982">
      <c r="A2982" s="4">
        <v>2982.0</v>
      </c>
      <c r="B2982" s="5" t="s">
        <v>16297</v>
      </c>
      <c r="C2982" s="5" t="s">
        <v>3260</v>
      </c>
      <c r="D2982" s="5" t="s">
        <v>16298</v>
      </c>
      <c r="E2982" s="6" t="s">
        <v>74</v>
      </c>
      <c r="F2982" s="6" t="s">
        <v>15342</v>
      </c>
      <c r="G2982" s="3" t="str">
        <f>IFERROR(__xludf.DUMMYFUNCTION("REGEXREPLACE(
D2982,
""([一-龯々]+)\[([^\]]+)\]"",
""&lt;ruby&gt;$1&lt;rt&gt;$2&lt;/rt&gt;&lt;/ruby&gt;""
)&amp;""&lt;br&gt;&lt;div class=""""audio""""&gt;[sound:""&amp;C2982&amp;"".mp3]&lt;/div&gt;"""),"&lt;ruby&gt;乳&lt;rt&gt;ちち&lt;/rt&gt;&lt;/ruby&gt;&lt;br&gt;&lt;div class=""audio""&gt;[sound:ちち.mp3]&lt;/div&gt;")</f>
        <v>&lt;ruby&gt;乳&lt;rt&gt;ちち&lt;/rt&gt;&lt;/ruby&gt;&lt;br&gt;&lt;div class="audio"&gt;[sound:ちち.mp3]&lt;/div&gt;</v>
      </c>
      <c r="H2982" s="3" t="str">
        <f t="shared" si="1"/>
        <v>(n): sữa</v>
      </c>
      <c r="I2982" s="6" t="s">
        <v>16299</v>
      </c>
      <c r="J2982" s="6" t="s">
        <v>16300</v>
      </c>
      <c r="K2982" s="7">
        <f t="shared" si="2"/>
        <v>0.8018655618</v>
      </c>
    </row>
    <row r="2983">
      <c r="A2983" s="4">
        <v>2983.0</v>
      </c>
      <c r="B2983" s="5" t="s">
        <v>16301</v>
      </c>
      <c r="C2983" s="5" t="s">
        <v>16302</v>
      </c>
      <c r="D2983" s="5" t="s">
        <v>16303</v>
      </c>
      <c r="E2983" s="6" t="s">
        <v>24</v>
      </c>
      <c r="F2983" s="6" t="s">
        <v>16304</v>
      </c>
      <c r="G2983" s="3" t="str">
        <f>IFERROR(__xludf.DUMMYFUNCTION("REGEXREPLACE(
D2983,
""([一-龯々]+)\[([^\]]+)\]"",
""&lt;ruby&gt;$1&lt;rt&gt;$2&lt;/rt&gt;&lt;/ruby&gt;""
)&amp;""&lt;br&gt;&lt;div class=""""audio""""&gt;[sound:""&amp;C2983&amp;"".mp3]&lt;/div&gt;"""),"&lt;ruby&gt;手掛&lt;rt&gt;てが&lt;/rt&gt;&lt;/ruby&gt;ける&lt;br&gt;&lt;div class=""audio""&gt;[sound:てがける.mp3]&lt;/div&gt;")</f>
        <v>&lt;ruby&gt;手掛&lt;rt&gt;てが&lt;/rt&gt;&lt;/ruby&gt;ける&lt;br&gt;&lt;div class="audio"&gt;[sound:てがける.mp3]&lt;/div&gt;</v>
      </c>
      <c r="H2983" s="3" t="str">
        <f t="shared" si="1"/>
        <v>(v): trực tiếp làm</v>
      </c>
      <c r="I2983" s="6" t="s">
        <v>16305</v>
      </c>
      <c r="J2983" s="6" t="s">
        <v>16306</v>
      </c>
      <c r="K2983" s="7">
        <f t="shared" si="2"/>
        <v>0.5435899134</v>
      </c>
    </row>
    <row r="2984">
      <c r="A2984" s="4">
        <v>2984.0</v>
      </c>
      <c r="B2984" s="5" t="s">
        <v>16307</v>
      </c>
      <c r="C2984" s="5" t="s">
        <v>16308</v>
      </c>
      <c r="D2984" s="5" t="s">
        <v>16309</v>
      </c>
      <c r="E2984" s="6" t="s">
        <v>24</v>
      </c>
      <c r="F2984" s="6" t="s">
        <v>16310</v>
      </c>
      <c r="G2984" s="3" t="str">
        <f>IFERROR(__xludf.DUMMYFUNCTION("REGEXREPLACE(
D2984,
""([一-龯々]+)\[([^\]]+)\]"",
""&lt;ruby&gt;$1&lt;rt&gt;$2&lt;/rt&gt;&lt;/ruby&gt;""
)&amp;""&lt;br&gt;&lt;div class=""""audio""""&gt;[sound:""&amp;C2984&amp;"".mp3]&lt;/div&gt;"""),"&lt;ruby&gt;徹&lt;rt&gt;てっ&lt;/rt&gt;&lt;/ruby&gt;する&lt;br&gt;&lt;div class=""audio""&gt;[sound:てっする.mp3]&lt;/div&gt;")</f>
        <v>&lt;ruby&gt;徹&lt;rt&gt;てっ&lt;/rt&gt;&lt;/ruby&gt;する&lt;br&gt;&lt;div class="audio"&gt;[sound:てっする.mp3]&lt;/div&gt;</v>
      </c>
      <c r="H2984" s="3" t="str">
        <f t="shared" si="1"/>
        <v>(v): chuyên tâm</v>
      </c>
      <c r="I2984" s="6" t="s">
        <v>16311</v>
      </c>
      <c r="J2984" s="6" t="s">
        <v>16312</v>
      </c>
      <c r="K2984" s="7">
        <f t="shared" si="2"/>
        <v>0.7794296038</v>
      </c>
    </row>
    <row r="2985">
      <c r="A2985" s="4">
        <v>2985.0</v>
      </c>
      <c r="B2985" s="5" t="s">
        <v>16313</v>
      </c>
      <c r="C2985" s="5" t="s">
        <v>16314</v>
      </c>
      <c r="D2985" s="5" t="s">
        <v>16315</v>
      </c>
      <c r="E2985" s="6" t="s">
        <v>74</v>
      </c>
      <c r="F2985" s="6" t="s">
        <v>16316</v>
      </c>
      <c r="G2985" s="3" t="str">
        <f>IFERROR(__xludf.DUMMYFUNCTION("REGEXREPLACE(
D2985,
""([一-龯々]+)\[([^\]]+)\]"",
""&lt;ruby&gt;$1&lt;rt&gt;$2&lt;/rt&gt;&lt;/ruby&gt;""
)&amp;""&lt;br&gt;&lt;div class=""""audio""""&gt;[sound:""&amp;C2985&amp;"".mp3]&lt;/div&gt;"""),"&lt;ruby&gt;推測&lt;rt&gt;すいそく&lt;/rt&gt;&lt;/ruby&gt;&lt;br&gt;&lt;div class=""audio""&gt;[sound:すいそく.mp3]&lt;/div&gt;")</f>
        <v>&lt;ruby&gt;推測&lt;rt&gt;すいそく&lt;/rt&gt;&lt;/ruby&gt;&lt;br&gt;&lt;div class="audio"&gt;[sound:すいそく.mp3]&lt;/div&gt;</v>
      </c>
      <c r="H2985" s="3" t="str">
        <f t="shared" si="1"/>
        <v>(n): phỏng đoán</v>
      </c>
      <c r="I2985" s="6" t="s">
        <v>16317</v>
      </c>
      <c r="J2985" s="6" t="s">
        <v>16318</v>
      </c>
      <c r="K2985" s="7">
        <f t="shared" si="2"/>
        <v>0.3890102994</v>
      </c>
    </row>
    <row r="2986">
      <c r="A2986" s="4">
        <v>2986.0</v>
      </c>
      <c r="B2986" s="5" t="s">
        <v>16319</v>
      </c>
      <c r="C2986" s="5" t="s">
        <v>16320</v>
      </c>
      <c r="D2986" s="5" t="s">
        <v>16321</v>
      </c>
      <c r="E2986" s="6" t="s">
        <v>74</v>
      </c>
      <c r="F2986" s="6" t="s">
        <v>16322</v>
      </c>
      <c r="G2986" s="3" t="str">
        <f>IFERROR(__xludf.DUMMYFUNCTION("REGEXREPLACE(
D2986,
""([一-龯々]+)\[([^\]]+)\]"",
""&lt;ruby&gt;$1&lt;rt&gt;$2&lt;/rt&gt;&lt;/ruby&gt;""
)&amp;""&lt;br&gt;&lt;div class=""""audio""""&gt;[sound:""&amp;C2986&amp;"".mp3]&lt;/div&gt;"""),"&lt;ruby&gt;待&lt;rt&gt;ま&lt;/rt&gt;&lt;/ruby&gt;ち&lt;ruby&gt;合&lt;rt&gt;あ&lt;/rt&gt;&lt;/ruby&gt;わせ&lt;br&gt;&lt;div class=""audio""&gt;[sound:まちあわせ.mp3]&lt;/div&gt;")</f>
        <v>&lt;ruby&gt;待&lt;rt&gt;ま&lt;/rt&gt;&lt;/ruby&gt;ち&lt;ruby&gt;合&lt;rt&gt;あ&lt;/rt&gt;&lt;/ruby&gt;わせ&lt;br&gt;&lt;div class="audio"&gt;[sound:まちあわせ.mp3]&lt;/div&gt;</v>
      </c>
      <c r="H2986" s="3" t="str">
        <f t="shared" si="1"/>
        <v>(n): cuộc hẹn gặp</v>
      </c>
      <c r="I2986" s="6" t="s">
        <v>16323</v>
      </c>
      <c r="J2986" s="6" t="s">
        <v>16324</v>
      </c>
      <c r="K2986" s="7">
        <f t="shared" si="2"/>
        <v>0.8180886917</v>
      </c>
    </row>
    <row r="2987">
      <c r="A2987" s="4">
        <v>2987.0</v>
      </c>
      <c r="B2987" s="5" t="s">
        <v>16325</v>
      </c>
      <c r="C2987" s="5" t="s">
        <v>16326</v>
      </c>
      <c r="D2987" s="5" t="s">
        <v>16327</v>
      </c>
      <c r="E2987" s="6" t="s">
        <v>74</v>
      </c>
      <c r="F2987" s="6" t="s">
        <v>16328</v>
      </c>
      <c r="G2987" s="3" t="str">
        <f>IFERROR(__xludf.DUMMYFUNCTION("REGEXREPLACE(
D2987,
""([一-龯々]+)\[([^\]]+)\]"",
""&lt;ruby&gt;$1&lt;rt&gt;$2&lt;/rt&gt;&lt;/ruby&gt;""
)&amp;""&lt;br&gt;&lt;div class=""""audio""""&gt;[sound:""&amp;C2987&amp;"".mp3]&lt;/div&gt;"""),"&lt;ruby&gt;慣&lt;rt&gt;な&lt;/rt&gt;&lt;/ruby&gt;れ&lt;br&gt;&lt;div class=""audio""&gt;[sound:なれ.mp3]&lt;/div&gt;")</f>
        <v>&lt;ruby&gt;慣&lt;rt&gt;な&lt;/rt&gt;&lt;/ruby&gt;れ&lt;br&gt;&lt;div class="audio"&gt;[sound:なれ.mp3]&lt;/div&gt;</v>
      </c>
      <c r="H2987" s="3" t="str">
        <f t="shared" si="1"/>
        <v>(n): làm quen</v>
      </c>
      <c r="I2987" s="6" t="s">
        <v>16329</v>
      </c>
      <c r="J2987" s="6" t="s">
        <v>16330</v>
      </c>
      <c r="K2987" s="7">
        <f t="shared" si="2"/>
        <v>0.881775912</v>
      </c>
    </row>
    <row r="2988">
      <c r="A2988" s="4">
        <v>2988.0</v>
      </c>
      <c r="B2988" s="5" t="s">
        <v>16331</v>
      </c>
      <c r="C2988" s="5" t="s">
        <v>16332</v>
      </c>
      <c r="D2988" s="5" t="s">
        <v>16333</v>
      </c>
      <c r="E2988" s="6" t="s">
        <v>74</v>
      </c>
      <c r="F2988" s="6" t="s">
        <v>13204</v>
      </c>
      <c r="G2988" s="3" t="str">
        <f>IFERROR(__xludf.DUMMYFUNCTION("REGEXREPLACE(
D2988,
""([一-龯々]+)\[([^\]]+)\]"",
""&lt;ruby&gt;$1&lt;rt&gt;$2&lt;/rt&gt;&lt;/ruby&gt;""
)&amp;""&lt;br&gt;&lt;div class=""""audio""""&gt;[sound:""&amp;C2988&amp;"".mp3]&lt;/div&gt;"""),"&lt;ruby&gt;接触&lt;rt&gt;せっしょく&lt;/rt&gt;&lt;/ruby&gt;&lt;br&gt;&lt;div class=""audio""&gt;[sound:せっしょく.mp3]&lt;/div&gt;")</f>
        <v>&lt;ruby&gt;接触&lt;rt&gt;せっしょく&lt;/rt&gt;&lt;/ruby&gt;&lt;br&gt;&lt;div class="audio"&gt;[sound:せっしょく.mp3]&lt;/div&gt;</v>
      </c>
      <c r="H2988" s="3" t="str">
        <f t="shared" si="1"/>
        <v>(n): tiếp xúc</v>
      </c>
      <c r="I2988" s="6" t="s">
        <v>16334</v>
      </c>
      <c r="J2988" s="6" t="s">
        <v>16335</v>
      </c>
      <c r="K2988" s="7">
        <f t="shared" si="2"/>
        <v>0.6674686127</v>
      </c>
    </row>
    <row r="2989">
      <c r="A2989" s="4">
        <v>2989.0</v>
      </c>
      <c r="B2989" s="5" t="s">
        <v>16336</v>
      </c>
      <c r="C2989" s="5" t="s">
        <v>16337</v>
      </c>
      <c r="D2989" s="5" t="s">
        <v>16338</v>
      </c>
      <c r="E2989" s="6" t="s">
        <v>24</v>
      </c>
      <c r="F2989" s="6" t="s">
        <v>8042</v>
      </c>
      <c r="G2989" s="3" t="str">
        <f>IFERROR(__xludf.DUMMYFUNCTION("REGEXREPLACE(
D2989,
""([一-龯々]+)\[([^\]]+)\]"",
""&lt;ruby&gt;$1&lt;rt&gt;$2&lt;/rt&gt;&lt;/ruby&gt;""
)&amp;""&lt;br&gt;&lt;div class=""""audio""""&gt;[sound:""&amp;C2989&amp;"".mp3]&lt;/div&gt;"""),"&lt;ruby&gt;携&lt;rt&gt;たずさ&lt;/rt&gt;&lt;/ruby&gt;わる&lt;br&gt;&lt;div class=""audio""&gt;[sound:たずさわる.mp3]&lt;/div&gt;")</f>
        <v>&lt;ruby&gt;携&lt;rt&gt;たずさ&lt;/rt&gt;&lt;/ruby&gt;わる&lt;br&gt;&lt;div class="audio"&gt;[sound:たずさわる.mp3]&lt;/div&gt;</v>
      </c>
      <c r="H2989" s="3" t="str">
        <f t="shared" si="1"/>
        <v>(v): tham gia</v>
      </c>
      <c r="I2989" s="6" t="s">
        <v>16339</v>
      </c>
      <c r="J2989" s="6" t="s">
        <v>16340</v>
      </c>
      <c r="K2989" s="7">
        <f t="shared" si="2"/>
        <v>0.146483126</v>
      </c>
    </row>
    <row r="2990">
      <c r="A2990" s="4">
        <v>2990.0</v>
      </c>
      <c r="B2990" s="5" t="s">
        <v>16341</v>
      </c>
      <c r="C2990" s="5" t="s">
        <v>16342</v>
      </c>
      <c r="D2990" s="5" t="s">
        <v>16343</v>
      </c>
      <c r="E2990" s="6" t="s">
        <v>74</v>
      </c>
      <c r="F2990" s="6" t="s">
        <v>16344</v>
      </c>
      <c r="G2990" s="3" t="str">
        <f>IFERROR(__xludf.DUMMYFUNCTION("REGEXREPLACE(
D2990,
""([一-龯々]+)\[([^\]]+)\]"",
""&lt;ruby&gt;$1&lt;rt&gt;$2&lt;/rt&gt;&lt;/ruby&gt;""
)&amp;""&lt;br&gt;&lt;div class=""""audio""""&gt;[sound:""&amp;C2990&amp;"".mp3]&lt;/div&gt;"""),"&lt;ruby&gt;対面&lt;rt&gt;たいめん&lt;/rt&gt;&lt;/ruby&gt;&lt;br&gt;&lt;div class=""audio""&gt;[sound:たいめん.mp3]&lt;/div&gt;")</f>
        <v>&lt;ruby&gt;対面&lt;rt&gt;たいめん&lt;/rt&gt;&lt;/ruby&gt;&lt;br&gt;&lt;div class="audio"&gt;[sound:たいめん.mp3]&lt;/div&gt;</v>
      </c>
      <c r="H2990" s="3" t="str">
        <f t="shared" si="1"/>
        <v>(n): gặp mặt</v>
      </c>
      <c r="I2990" s="6" t="s">
        <v>16345</v>
      </c>
      <c r="J2990" s="6" t="s">
        <v>16346</v>
      </c>
      <c r="K2990" s="7">
        <f t="shared" si="2"/>
        <v>0.9480653708</v>
      </c>
    </row>
    <row r="2991">
      <c r="A2991" s="4">
        <v>2991.0</v>
      </c>
      <c r="B2991" s="5" t="s">
        <v>16347</v>
      </c>
      <c r="C2991" s="5" t="s">
        <v>16348</v>
      </c>
      <c r="D2991" s="5" t="s">
        <v>16349</v>
      </c>
      <c r="E2991" s="6" t="s">
        <v>74</v>
      </c>
      <c r="F2991" s="6" t="s">
        <v>16350</v>
      </c>
      <c r="G2991" s="3" t="str">
        <f>IFERROR(__xludf.DUMMYFUNCTION("REGEXREPLACE(
D2991,
""([一-龯々]+)\[([^\]]+)\]"",
""&lt;ruby&gt;$1&lt;rt&gt;$2&lt;/rt&gt;&lt;/ruby&gt;""
)&amp;""&lt;br&gt;&lt;div class=""""audio""""&gt;[sound:""&amp;C2991&amp;"".mp3]&lt;/div&gt;"""),"&lt;ruby&gt;後退&lt;rt&gt;こうたい&lt;/rt&gt;&lt;/ruby&gt;&lt;br&gt;&lt;div class=""audio""&gt;[sound:こうたい.mp3]&lt;/div&gt;")</f>
        <v>&lt;ruby&gt;後退&lt;rt&gt;こうたい&lt;/rt&gt;&lt;/ruby&gt;&lt;br&gt;&lt;div class="audio"&gt;[sound:こうたい.mp3]&lt;/div&gt;</v>
      </c>
      <c r="H2991" s="3" t="str">
        <f t="shared" si="1"/>
        <v>(n): lùi lại</v>
      </c>
      <c r="I2991" s="6" t="s">
        <v>16351</v>
      </c>
      <c r="J2991" s="6" t="s">
        <v>16352</v>
      </c>
      <c r="K2991" s="7">
        <f t="shared" si="2"/>
        <v>0.7818907229</v>
      </c>
    </row>
    <row r="2992">
      <c r="A2992" s="4">
        <v>2992.0</v>
      </c>
      <c r="B2992" s="5" t="s">
        <v>16353</v>
      </c>
      <c r="C2992" s="5" t="s">
        <v>5904</v>
      </c>
      <c r="D2992" s="5" t="s">
        <v>16354</v>
      </c>
      <c r="E2992" s="6" t="s">
        <v>74</v>
      </c>
      <c r="F2992" s="6" t="s">
        <v>13646</v>
      </c>
      <c r="G2992" s="3" t="str">
        <f>IFERROR(__xludf.DUMMYFUNCTION("REGEXREPLACE(
D2992,
""([一-龯々]+)\[([^\]]+)\]"",
""&lt;ruby&gt;$1&lt;rt&gt;$2&lt;/rt&gt;&lt;/ruby&gt;""
)&amp;""&lt;br&gt;&lt;div class=""""audio""""&gt;[sound:""&amp;C2992&amp;"".mp3]&lt;/div&gt;"""),"&lt;ruby&gt;教科&lt;rt&gt;きょうか&lt;/rt&gt;&lt;/ruby&gt;&lt;br&gt;&lt;div class=""audio""&gt;[sound:きょうか.mp3]&lt;/div&gt;")</f>
        <v>&lt;ruby&gt;教科&lt;rt&gt;きょうか&lt;/rt&gt;&lt;/ruby&gt;&lt;br&gt;&lt;div class="audio"&gt;[sound:きょうか.mp3]&lt;/div&gt;</v>
      </c>
      <c r="H2992" s="3" t="str">
        <f t="shared" si="1"/>
        <v>(n): môn học</v>
      </c>
      <c r="I2992" s="6" t="s">
        <v>16355</v>
      </c>
      <c r="J2992" s="6" t="s">
        <v>16356</v>
      </c>
      <c r="K2992" s="7">
        <f t="shared" si="2"/>
        <v>0.1719768855</v>
      </c>
    </row>
    <row r="2993">
      <c r="A2993" s="4">
        <v>2993.0</v>
      </c>
      <c r="B2993" s="5" t="s">
        <v>16357</v>
      </c>
      <c r="C2993" s="5" t="s">
        <v>16358</v>
      </c>
      <c r="D2993" s="5" t="s">
        <v>16359</v>
      </c>
      <c r="E2993" s="6" t="s">
        <v>85</v>
      </c>
      <c r="F2993" s="6" t="s">
        <v>16360</v>
      </c>
      <c r="G2993" s="3" t="str">
        <f>IFERROR(__xludf.DUMMYFUNCTION("REGEXREPLACE(
D2993,
""([一-龯々]+)\[([^\]]+)\]"",
""&lt;ruby&gt;$1&lt;rt&gt;$2&lt;/rt&gt;&lt;/ruby&gt;""
)&amp;""&lt;br&gt;&lt;div class=""""audio""""&gt;[sound:""&amp;C2993&amp;"".mp3]&lt;/div&gt;"""),"&lt;ruby&gt;未&lt;rt&gt;いま&lt;/rt&gt;&lt;/ruby&gt;だ&lt;br&gt;&lt;div class=""audio""&gt;[sound:いまだ.mp3]&lt;/div&gt;")</f>
        <v>&lt;ruby&gt;未&lt;rt&gt;いま&lt;/rt&gt;&lt;/ruby&gt;だ&lt;br&gt;&lt;div class="audio"&gt;[sound:いまだ.mp3]&lt;/div&gt;</v>
      </c>
      <c r="H2993" s="3" t="str">
        <f t="shared" si="1"/>
        <v>(adv): vẫn</v>
      </c>
      <c r="I2993" s="6" t="s">
        <v>16361</v>
      </c>
      <c r="J2993" s="6" t="s">
        <v>16362</v>
      </c>
      <c r="K2993" s="7">
        <f t="shared" si="2"/>
        <v>0.8281529614</v>
      </c>
    </row>
    <row r="2994">
      <c r="A2994" s="4">
        <v>2994.0</v>
      </c>
      <c r="B2994" s="5" t="s">
        <v>16363</v>
      </c>
      <c r="C2994" s="5" t="s">
        <v>16364</v>
      </c>
      <c r="D2994" s="5" t="s">
        <v>16365</v>
      </c>
      <c r="E2994" s="6" t="s">
        <v>85</v>
      </c>
      <c r="F2994" s="6" t="s">
        <v>16366</v>
      </c>
      <c r="G2994" s="3" t="str">
        <f>IFERROR(__xludf.DUMMYFUNCTION("REGEXREPLACE(
D2994,
""([一-龯々]+)\[([^\]]+)\]"",
""&lt;ruby&gt;$1&lt;rt&gt;$2&lt;/rt&gt;&lt;/ruby&gt;""
)&amp;""&lt;br&gt;&lt;div class=""""audio""""&gt;[sound:""&amp;C2994&amp;"".mp3]&lt;/div&gt;"""),"&lt;ruby&gt;改&lt;rt&gt;あらた&lt;/rt&gt;&lt;/ruby&gt;めて&lt;br&gt;&lt;div class=""audio""&gt;[sound:あらためて.mp3]&lt;/div&gt;")</f>
        <v>&lt;ruby&gt;改&lt;rt&gt;あらた&lt;/rt&gt;&lt;/ruby&gt;めて&lt;br&gt;&lt;div class="audio"&gt;[sound:あらためて.mp3]&lt;/div&gt;</v>
      </c>
      <c r="H2994" s="3" t="str">
        <f t="shared" si="1"/>
        <v>(adv): một lần nữa</v>
      </c>
      <c r="I2994" s="6" t="s">
        <v>16367</v>
      </c>
      <c r="J2994" s="6" t="s">
        <v>16368</v>
      </c>
      <c r="K2994" s="7">
        <f t="shared" si="2"/>
        <v>0.682875679</v>
      </c>
    </row>
    <row r="2995">
      <c r="A2995" s="4">
        <v>2995.0</v>
      </c>
      <c r="B2995" s="5" t="s">
        <v>16369</v>
      </c>
      <c r="C2995" s="5" t="s">
        <v>16370</v>
      </c>
      <c r="D2995" s="5" t="s">
        <v>16371</v>
      </c>
      <c r="E2995" s="6" t="s">
        <v>74</v>
      </c>
      <c r="F2995" s="6" t="s">
        <v>16372</v>
      </c>
      <c r="G2995" s="3" t="str">
        <f>IFERROR(__xludf.DUMMYFUNCTION("REGEXREPLACE(
D2995,
""([一-龯々]+)\[([^\]]+)\]"",
""&lt;ruby&gt;$1&lt;rt&gt;$2&lt;/rt&gt;&lt;/ruby&gt;""
)&amp;""&lt;br&gt;&lt;div class=""""audio""""&gt;[sound:""&amp;C2995&amp;"".mp3]&lt;/div&gt;"""),"&lt;ruby&gt;時刻&lt;rt&gt;じこく&lt;/rt&gt;&lt;/ruby&gt;&lt;br&gt;&lt;div class=""audio""&gt;[sound:じこく.mp3]&lt;/div&gt;")</f>
        <v>&lt;ruby&gt;時刻&lt;rt&gt;じこく&lt;/rt&gt;&lt;/ruby&gt;&lt;br&gt;&lt;div class="audio"&gt;[sound:じこく.mp3]&lt;/div&gt;</v>
      </c>
      <c r="H2995" s="3" t="str">
        <f t="shared" si="1"/>
        <v>(n): thời khắc</v>
      </c>
      <c r="I2995" s="6" t="s">
        <v>16373</v>
      </c>
      <c r="J2995" s="6" t="s">
        <v>16374</v>
      </c>
      <c r="K2995" s="7">
        <f t="shared" si="2"/>
        <v>0.4795017309</v>
      </c>
    </row>
    <row r="2996">
      <c r="A2996" s="4">
        <v>2996.0</v>
      </c>
      <c r="B2996" s="5" t="s">
        <v>16375</v>
      </c>
      <c r="C2996" s="5" t="s">
        <v>16376</v>
      </c>
      <c r="D2996" s="5" t="s">
        <v>16377</v>
      </c>
      <c r="E2996" s="6" t="s">
        <v>24</v>
      </c>
      <c r="F2996" s="6" t="s">
        <v>16378</v>
      </c>
      <c r="G2996" s="3" t="str">
        <f>IFERROR(__xludf.DUMMYFUNCTION("REGEXREPLACE(
D2996,
""([一-龯々]+)\[([^\]]+)\]"",
""&lt;ruby&gt;$1&lt;rt&gt;$2&lt;/rt&gt;&lt;/ruby&gt;""
)&amp;""&lt;br&gt;&lt;div class=""""audio""""&gt;[sound:""&amp;C2996&amp;"".mp3]&lt;/div&gt;"""),"&lt;ruby&gt;気&lt;rt&gt;き&lt;/rt&gt;&lt;/ruby&gt;を&lt;ruby&gt;付&lt;rt&gt;つ&lt;/rt&gt;&lt;/ruby&gt;ける&lt;br&gt;&lt;div class=""audio""&gt;[sound:きをつける.mp3]&lt;/div&gt;")</f>
        <v>&lt;ruby&gt;気&lt;rt&gt;き&lt;/rt&gt;&lt;/ruby&gt;を&lt;ruby&gt;付&lt;rt&gt;つ&lt;/rt&gt;&lt;/ruby&gt;ける&lt;br&gt;&lt;div class="audio"&gt;[sound:きをつける.mp3]&lt;/div&gt;</v>
      </c>
      <c r="H2996" s="3" t="str">
        <f t="shared" si="1"/>
        <v>(v): cẩn thận</v>
      </c>
      <c r="I2996" s="6" t="s">
        <v>16379</v>
      </c>
      <c r="J2996" s="6" t="s">
        <v>16380</v>
      </c>
      <c r="K2996" s="7">
        <f t="shared" si="2"/>
        <v>0.9363738002</v>
      </c>
    </row>
    <row r="2997">
      <c r="A2997" s="4">
        <v>2997.0</v>
      </c>
      <c r="B2997" s="5" t="s">
        <v>16381</v>
      </c>
      <c r="C2997" s="5" t="s">
        <v>16382</v>
      </c>
      <c r="D2997" s="5" t="s">
        <v>16383</v>
      </c>
      <c r="E2997" s="6" t="s">
        <v>74</v>
      </c>
      <c r="F2997" s="6" t="s">
        <v>7880</v>
      </c>
      <c r="G2997" s="3" t="str">
        <f>IFERROR(__xludf.DUMMYFUNCTION("REGEXREPLACE(
D2997,
""([一-龯々]+)\[([^\]]+)\]"",
""&lt;ruby&gt;$1&lt;rt&gt;$2&lt;/rt&gt;&lt;/ruby&gt;""
)&amp;""&lt;br&gt;&lt;div class=""""audio""""&gt;[sound:""&amp;C2997&amp;"".mp3]&lt;/div&gt;"""),"&lt;ruby&gt;接続&lt;rt&gt;せつぞく&lt;/rt&gt;&lt;/ruby&gt;&lt;br&gt;&lt;div class=""audio""&gt;[sound:せつぞく.mp3]&lt;/div&gt;")</f>
        <v>&lt;ruby&gt;接続&lt;rt&gt;せつぞく&lt;/rt&gt;&lt;/ruby&gt;&lt;br&gt;&lt;div class="audio"&gt;[sound:せつぞく.mp3]&lt;/div&gt;</v>
      </c>
      <c r="H2997" s="3" t="str">
        <f t="shared" si="1"/>
        <v>(n): kết nối</v>
      </c>
      <c r="I2997" s="6" t="s">
        <v>16384</v>
      </c>
      <c r="J2997" s="6" t="s">
        <v>16385</v>
      </c>
      <c r="K2997" s="7">
        <f t="shared" si="2"/>
        <v>0.4108577649</v>
      </c>
    </row>
    <row r="2998">
      <c r="A2998" s="4">
        <v>2998.0</v>
      </c>
      <c r="B2998" s="5" t="s">
        <v>16386</v>
      </c>
      <c r="C2998" s="5" t="s">
        <v>16387</v>
      </c>
      <c r="D2998" s="5" t="s">
        <v>16388</v>
      </c>
      <c r="E2998" s="6" t="s">
        <v>24</v>
      </c>
      <c r="F2998" s="6" t="s">
        <v>16389</v>
      </c>
      <c r="G2998" s="3" t="str">
        <f>IFERROR(__xludf.DUMMYFUNCTION("REGEXREPLACE(
D2998,
""([一-龯々]+)\[([^\]]+)\]"",
""&lt;ruby&gt;$1&lt;rt&gt;$2&lt;/rt&gt;&lt;/ruby&gt;""
)&amp;""&lt;br&gt;&lt;div class=""""audio""""&gt;[sound:""&amp;C2998&amp;"".mp3]&lt;/div&gt;"""),"&lt;ruby&gt;救&lt;rt&gt;すく&lt;/rt&gt;&lt;/ruby&gt;う&lt;br&gt;&lt;div class=""audio""&gt;[sound:すくう.mp3]&lt;/div&gt;")</f>
        <v>&lt;ruby&gt;救&lt;rt&gt;すく&lt;/rt&gt;&lt;/ruby&gt;う&lt;br&gt;&lt;div class="audio"&gt;[sound:すくう.mp3]&lt;/div&gt;</v>
      </c>
      <c r="H2998" s="3" t="str">
        <f t="shared" si="1"/>
        <v>(v): cứu giúp</v>
      </c>
      <c r="I2998" s="6" t="s">
        <v>16390</v>
      </c>
      <c r="J2998" s="6" t="s">
        <v>16391</v>
      </c>
      <c r="K2998" s="7">
        <f t="shared" si="2"/>
        <v>0.1198921751</v>
      </c>
    </row>
    <row r="2999">
      <c r="A2999" s="4">
        <v>2999.0</v>
      </c>
      <c r="B2999" s="5" t="s">
        <v>16392</v>
      </c>
      <c r="C2999" s="5" t="s">
        <v>16393</v>
      </c>
      <c r="D2999" s="5" t="s">
        <v>16394</v>
      </c>
      <c r="E2999" s="6" t="s">
        <v>74</v>
      </c>
      <c r="F2999" s="6" t="s">
        <v>16395</v>
      </c>
      <c r="G2999" s="3" t="str">
        <f>IFERROR(__xludf.DUMMYFUNCTION("REGEXREPLACE(
D2999,
""([一-龯々]+)\[([^\]]+)\]"",
""&lt;ruby&gt;$1&lt;rt&gt;$2&lt;/rt&gt;&lt;/ruby&gt;""
)&amp;""&lt;br&gt;&lt;div class=""""audio""""&gt;[sound:""&amp;C2999&amp;"".mp3]&lt;/div&gt;"""),"&lt;ruby&gt;正月&lt;rt&gt;しょうがつ&lt;/rt&gt;&lt;/ruby&gt;&lt;br&gt;&lt;div class=""audio""&gt;[sound:しょうがつ.mp3]&lt;/div&gt;")</f>
        <v>&lt;ruby&gt;正月&lt;rt&gt;しょうがつ&lt;/rt&gt;&lt;/ruby&gt;&lt;br&gt;&lt;div class="audio"&gt;[sound:しょうがつ.mp3]&lt;/div&gt;</v>
      </c>
      <c r="H2999" s="3" t="str">
        <f t="shared" si="1"/>
        <v>(n): tết</v>
      </c>
      <c r="I2999" s="6" t="s">
        <v>16396</v>
      </c>
      <c r="J2999" s="6" t="s">
        <v>16397</v>
      </c>
      <c r="K2999" s="7">
        <f t="shared" si="2"/>
        <v>0.8528304039</v>
      </c>
    </row>
    <row r="3000">
      <c r="A3000" s="4">
        <v>3000.0</v>
      </c>
      <c r="B3000" s="5" t="s">
        <v>16398</v>
      </c>
      <c r="C3000" s="5" t="s">
        <v>9202</v>
      </c>
      <c r="D3000" s="5" t="s">
        <v>16399</v>
      </c>
      <c r="E3000" s="6" t="s">
        <v>11</v>
      </c>
      <c r="F3000" s="6" t="s">
        <v>9204</v>
      </c>
      <c r="G3000" s="3" t="str">
        <f>IFERROR(__xludf.DUMMYFUNCTION("REGEXREPLACE(
D3000,
""([一-龯々]+)\[([^\]]+)\]"",
""&lt;ruby&gt;$1&lt;rt&gt;$2&lt;/rt&gt;&lt;/ruby&gt;""
)&amp;""&lt;br&gt;&lt;div class=""""audio""""&gt;[sound:""&amp;C3000&amp;"".mp3]&lt;/div&gt;"""),"&lt;ruby&gt;暑&lt;rt&gt;あつ&lt;/rt&gt;&lt;/ruby&gt;い&lt;br&gt;&lt;div class=""audio""&gt;[sound:あつい.mp3]&lt;/div&gt;")</f>
        <v>&lt;ruby&gt;暑&lt;rt&gt;あつ&lt;/rt&gt;&lt;/ruby&gt;い&lt;br&gt;&lt;div class="audio"&gt;[sound:あつい.mp3]&lt;/div&gt;</v>
      </c>
      <c r="H3000" s="3" t="str">
        <f t="shared" si="1"/>
        <v>(adj): nóng</v>
      </c>
      <c r="I3000" s="6" t="s">
        <v>16400</v>
      </c>
      <c r="J3000" s="6" t="s">
        <v>16401</v>
      </c>
      <c r="K3000" s="7">
        <f t="shared" si="2"/>
        <v>0.9472255219</v>
      </c>
    </row>
    <row r="3001">
      <c r="A3001" s="4">
        <v>3001.0</v>
      </c>
      <c r="B3001" s="5" t="s">
        <v>16402</v>
      </c>
      <c r="C3001" s="5" t="s">
        <v>16403</v>
      </c>
      <c r="D3001" s="5" t="s">
        <v>16404</v>
      </c>
      <c r="E3001" s="6" t="s">
        <v>74</v>
      </c>
      <c r="F3001" s="6" t="s">
        <v>16405</v>
      </c>
      <c r="G3001" s="3" t="str">
        <f>IFERROR(__xludf.DUMMYFUNCTION("REGEXREPLACE(
D3001,
""([一-龯々]+)\[([^\]]+)\]"",
""&lt;ruby&gt;$1&lt;rt&gt;$2&lt;/rt&gt;&lt;/ruby&gt;""
)&amp;""&lt;br&gt;&lt;div class=""""audio""""&gt;[sound:""&amp;C3001&amp;"".mp3]&lt;/div&gt;"""),"&lt;ruby&gt;根&lt;rt&gt;ね&lt;/rt&gt;&lt;/ruby&gt;&lt;br&gt;&lt;div class=""audio""&gt;[sound:ね.mp3]&lt;/div&gt;")</f>
        <v>&lt;ruby&gt;根&lt;rt&gt;ね&lt;/rt&gt;&lt;/ruby&gt;&lt;br&gt;&lt;div class="audio"&gt;[sound:ね.mp3]&lt;/div&gt;</v>
      </c>
      <c r="H3001" s="3" t="str">
        <f t="shared" si="1"/>
        <v>(n): rễ</v>
      </c>
      <c r="I3001" s="6" t="s">
        <v>16406</v>
      </c>
      <c r="J3001" s="6" t="s">
        <v>16407</v>
      </c>
      <c r="K3001" s="7">
        <f t="shared" si="2"/>
        <v>0.6991517305</v>
      </c>
    </row>
    <row r="3002">
      <c r="A3002" s="4">
        <v>3002.0</v>
      </c>
      <c r="B3002" s="5" t="s">
        <v>16408</v>
      </c>
      <c r="C3002" s="5" t="s">
        <v>16409</v>
      </c>
      <c r="D3002" s="5" t="s">
        <v>16410</v>
      </c>
      <c r="E3002" s="6" t="s">
        <v>74</v>
      </c>
      <c r="F3002" s="6" t="s">
        <v>3991</v>
      </c>
      <c r="G3002" s="3" t="str">
        <f>IFERROR(__xludf.DUMMYFUNCTION("REGEXREPLACE(
D3002,
""([一-龯々]+)\[([^\]]+)\]"",
""&lt;ruby&gt;$1&lt;rt&gt;$2&lt;/rt&gt;&lt;/ruby&gt;""
)&amp;""&lt;br&gt;&lt;div class=""""audio""""&gt;[sound:""&amp;C3002&amp;"".mp3]&lt;/div&gt;"""),"&lt;ruby&gt;名字&lt;rt&gt;みょうじ&lt;/rt&gt;&lt;/ruby&gt;&lt;br&gt;&lt;div class=""audio""&gt;[sound:みょうじ.mp3]&lt;/div&gt;")</f>
        <v>&lt;ruby&gt;名字&lt;rt&gt;みょうじ&lt;/rt&gt;&lt;/ruby&gt;&lt;br&gt;&lt;div class="audio"&gt;[sound:みょうじ.mp3]&lt;/div&gt;</v>
      </c>
      <c r="H3002" s="3" t="str">
        <f t="shared" si="1"/>
        <v>(n): họ</v>
      </c>
      <c r="I3002" s="6" t="s">
        <v>16411</v>
      </c>
      <c r="J3002" s="6" t="s">
        <v>16412</v>
      </c>
      <c r="K3002" s="7">
        <f t="shared" si="2"/>
        <v>0.1089481037</v>
      </c>
    </row>
    <row r="3003">
      <c r="A3003" s="4">
        <v>3003.0</v>
      </c>
      <c r="B3003" s="5" t="s">
        <v>16413</v>
      </c>
      <c r="C3003" s="5" t="s">
        <v>16414</v>
      </c>
      <c r="D3003" s="5" t="s">
        <v>16415</v>
      </c>
      <c r="E3003" s="6" t="s">
        <v>74</v>
      </c>
      <c r="F3003" s="6" t="s">
        <v>16416</v>
      </c>
      <c r="G3003" s="3" t="str">
        <f>IFERROR(__xludf.DUMMYFUNCTION("REGEXREPLACE(
D3003,
""([一-龯々]+)\[([^\]]+)\]"",
""&lt;ruby&gt;$1&lt;rt&gt;$2&lt;/rt&gt;&lt;/ruby&gt;""
)&amp;""&lt;br&gt;&lt;div class=""""audio""""&gt;[sound:""&amp;C3003&amp;"".mp3]&lt;/div&gt;"""),"&lt;ruby&gt;対比&lt;rt&gt;たいひ&lt;/rt&gt;&lt;/ruby&gt;&lt;br&gt;&lt;div class=""audio""&gt;[sound:たいひ.mp3]&lt;/div&gt;")</f>
        <v>&lt;ruby&gt;対比&lt;rt&gt;たいひ&lt;/rt&gt;&lt;/ruby&gt;&lt;br&gt;&lt;div class="audio"&gt;[sound:たいひ.mp3]&lt;/div&gt;</v>
      </c>
      <c r="H3003" s="3" t="str">
        <f t="shared" si="1"/>
        <v>(n): đối chiếu</v>
      </c>
      <c r="I3003" s="6" t="s">
        <v>16417</v>
      </c>
      <c r="J3003" s="6" t="s">
        <v>16418</v>
      </c>
      <c r="K3003" s="7">
        <f t="shared" si="2"/>
        <v>0.3983522499</v>
      </c>
    </row>
    <row r="3004">
      <c r="A3004" s="4">
        <v>3004.0</v>
      </c>
      <c r="B3004" s="5" t="s">
        <v>16419</v>
      </c>
      <c r="C3004" s="5" t="s">
        <v>16420</v>
      </c>
      <c r="D3004" s="5" t="s">
        <v>16421</v>
      </c>
      <c r="E3004" s="6" t="s">
        <v>74</v>
      </c>
      <c r="F3004" s="6" t="s">
        <v>16422</v>
      </c>
      <c r="G3004" s="3" t="str">
        <f>IFERROR(__xludf.DUMMYFUNCTION("REGEXREPLACE(
D3004,
""([一-龯々]+)\[([^\]]+)\]"",
""&lt;ruby&gt;$1&lt;rt&gt;$2&lt;/rt&gt;&lt;/ruby&gt;""
)&amp;""&lt;br&gt;&lt;div class=""""audio""""&gt;[sound:""&amp;C3004&amp;"".mp3]&lt;/div&gt;"""),"&lt;ruby&gt;待遇&lt;rt&gt;たいぐう&lt;/rt&gt;&lt;/ruby&gt;&lt;br&gt;&lt;div class=""audio""&gt;[sound:たいぐう.mp3]&lt;/div&gt;")</f>
        <v>&lt;ruby&gt;待遇&lt;rt&gt;たいぐう&lt;/rt&gt;&lt;/ruby&gt;&lt;br&gt;&lt;div class="audio"&gt;[sound:たいぐう.mp3]&lt;/div&gt;</v>
      </c>
      <c r="H3004" s="3" t="str">
        <f t="shared" si="1"/>
        <v>(n): đãi ngộ</v>
      </c>
      <c r="I3004" s="6" t="s">
        <v>16423</v>
      </c>
      <c r="J3004" s="6" t="s">
        <v>16424</v>
      </c>
      <c r="K3004" s="7">
        <f t="shared" si="2"/>
        <v>0.445517692</v>
      </c>
    </row>
    <row r="3005">
      <c r="A3005" s="4">
        <v>3005.0</v>
      </c>
      <c r="B3005" s="5" t="s">
        <v>16425</v>
      </c>
      <c r="C3005" s="5" t="s">
        <v>16426</v>
      </c>
      <c r="D3005" s="5" t="s">
        <v>16427</v>
      </c>
      <c r="E3005" s="6" t="s">
        <v>24</v>
      </c>
      <c r="F3005" s="6" t="s">
        <v>8575</v>
      </c>
      <c r="G3005" s="3" t="str">
        <f>IFERROR(__xludf.DUMMYFUNCTION("REGEXREPLACE(
D3005,
""([一-龯々]+)\[([^\]]+)\]"",
""&lt;ruby&gt;$1&lt;rt&gt;$2&lt;/rt&gt;&lt;/ruby&gt;""
)&amp;""&lt;br&gt;&lt;div class=""""audio""""&gt;[sound:""&amp;C3005&amp;"".mp3]&lt;/div&gt;"""),"&lt;ruby&gt;差&lt;rt&gt;さ&lt;/rt&gt;&lt;/ruby&gt;し&lt;ruby&gt;出&lt;rt&gt;だ&lt;/rt&gt;&lt;/ruby&gt;す&lt;br&gt;&lt;div class=""audio""&gt;[sound:さしだす.mp3]&lt;/div&gt;")</f>
        <v>&lt;ruby&gt;差&lt;rt&gt;さ&lt;/rt&gt;&lt;/ruby&gt;し&lt;ruby&gt;出&lt;rt&gt;だ&lt;/rt&gt;&lt;/ruby&gt;す&lt;br&gt;&lt;div class="audio"&gt;[sound:さしだす.mp3]&lt;/div&gt;</v>
      </c>
      <c r="H3005" s="3" t="str">
        <f t="shared" si="1"/>
        <v>(v): đưa ra</v>
      </c>
      <c r="I3005" s="6" t="s">
        <v>16428</v>
      </c>
      <c r="J3005" s="6" t="s">
        <v>16429</v>
      </c>
      <c r="K3005" s="7">
        <f t="shared" si="2"/>
        <v>0.305119105</v>
      </c>
    </row>
    <row r="3006">
      <c r="A3006" s="4">
        <v>3006.0</v>
      </c>
      <c r="B3006" s="5" t="s">
        <v>16430</v>
      </c>
      <c r="C3006" s="5" t="s">
        <v>16431</v>
      </c>
      <c r="D3006" s="5" t="s">
        <v>16432</v>
      </c>
      <c r="E3006" s="6" t="s">
        <v>74</v>
      </c>
      <c r="F3006" s="6" t="s">
        <v>11829</v>
      </c>
      <c r="G3006" s="3" t="str">
        <f>IFERROR(__xludf.DUMMYFUNCTION("REGEXREPLACE(
D3006,
""([一-龯々]+)\[([^\]]+)\]"",
""&lt;ruby&gt;$1&lt;rt&gt;$2&lt;/rt&gt;&lt;/ruby&gt;""
)&amp;""&lt;br&gt;&lt;div class=""""audio""""&gt;[sound:""&amp;C3006&amp;"".mp3]&lt;/div&gt;"""),"&lt;ruby&gt;志&lt;rt&gt;こころざし&lt;/rt&gt;&lt;/ruby&gt;&lt;br&gt;&lt;div class=""audio""&gt;[sound:こころざし.mp3]&lt;/div&gt;")</f>
        <v>&lt;ruby&gt;志&lt;rt&gt;こころざし&lt;/rt&gt;&lt;/ruby&gt;&lt;br&gt;&lt;div class="audio"&gt;[sound:こころざし.mp3]&lt;/div&gt;</v>
      </c>
      <c r="H3006" s="3" t="str">
        <f t="shared" si="1"/>
        <v>(n): ý chí</v>
      </c>
      <c r="I3006" s="6" t="s">
        <v>16433</v>
      </c>
      <c r="J3006" s="6" t="s">
        <v>16434</v>
      </c>
      <c r="K3006" s="7">
        <f t="shared" si="2"/>
        <v>0.3934138806</v>
      </c>
    </row>
    <row r="3007">
      <c r="A3007" s="4">
        <v>3007.0</v>
      </c>
      <c r="B3007" s="5" t="s">
        <v>16435</v>
      </c>
      <c r="C3007" s="5" t="s">
        <v>16436</v>
      </c>
      <c r="D3007" s="5" t="s">
        <v>16437</v>
      </c>
      <c r="E3007" s="6" t="s">
        <v>74</v>
      </c>
      <c r="F3007" s="6" t="s">
        <v>5214</v>
      </c>
      <c r="G3007" s="3" t="str">
        <f>IFERROR(__xludf.DUMMYFUNCTION("REGEXREPLACE(
D3007,
""([一-龯々]+)\[([^\]]+)\]"",
""&lt;ruby&gt;$1&lt;rt&gt;$2&lt;/rt&gt;&lt;/ruby&gt;""
)&amp;""&lt;br&gt;&lt;div class=""""audio""""&gt;[sound:""&amp;C3007&amp;"".mp3]&lt;/div&gt;"""),"&lt;ruby&gt;普段&lt;rt&gt;ふだん&lt;/rt&gt;&lt;/ruby&gt;&lt;br&gt;&lt;div class=""audio""&gt;[sound:ふだん.mp3]&lt;/div&gt;")</f>
        <v>&lt;ruby&gt;普段&lt;rt&gt;ふだん&lt;/rt&gt;&lt;/ruby&gt;&lt;br&gt;&lt;div class="audio"&gt;[sound:ふだん.mp3]&lt;/div&gt;</v>
      </c>
      <c r="H3007" s="3" t="str">
        <f t="shared" si="1"/>
        <v>(n): thông thường</v>
      </c>
      <c r="I3007" s="6" t="s">
        <v>16438</v>
      </c>
      <c r="J3007" s="6" t="s">
        <v>16439</v>
      </c>
      <c r="K3007" s="7">
        <f t="shared" si="2"/>
        <v>0.6371037335</v>
      </c>
    </row>
    <row r="3008">
      <c r="A3008" s="4">
        <v>3008.0</v>
      </c>
      <c r="B3008" s="5" t="s">
        <v>16440</v>
      </c>
      <c r="C3008" s="5" t="s">
        <v>6005</v>
      </c>
      <c r="D3008" s="5" t="s">
        <v>16441</v>
      </c>
      <c r="E3008" s="6" t="s">
        <v>11</v>
      </c>
      <c r="F3008" s="6" t="s">
        <v>8923</v>
      </c>
      <c r="G3008" s="3" t="str">
        <f>IFERROR(__xludf.DUMMYFUNCTION("REGEXREPLACE(
D3008,
""([一-龯々]+)\[([^\]]+)\]"",
""&lt;ruby&gt;$1&lt;rt&gt;$2&lt;/rt&gt;&lt;/ruby&gt;""
)&amp;""&lt;br&gt;&lt;div class=""""audio""""&gt;[sound:""&amp;C3008&amp;"".mp3]&lt;/div&gt;"""),"&lt;ruby&gt;正確&lt;rt&gt;せいかく&lt;/rt&gt;&lt;/ruby&gt;&lt;br&gt;&lt;div class=""audio""&gt;[sound:せいかく.mp3]&lt;/div&gt;")</f>
        <v>&lt;ruby&gt;正確&lt;rt&gt;せいかく&lt;/rt&gt;&lt;/ruby&gt;&lt;br&gt;&lt;div class="audio"&gt;[sound:せいかく.mp3]&lt;/div&gt;</v>
      </c>
      <c r="H3008" s="3" t="str">
        <f t="shared" si="1"/>
        <v>(adj): chính xác</v>
      </c>
      <c r="I3008" s="6" t="s">
        <v>16442</v>
      </c>
      <c r="J3008" s="6" t="s">
        <v>16443</v>
      </c>
      <c r="K3008" s="7">
        <f t="shared" si="2"/>
        <v>0.6720245072</v>
      </c>
    </row>
    <row r="3009">
      <c r="A3009" s="4">
        <v>3009.0</v>
      </c>
      <c r="B3009" s="5" t="s">
        <v>16444</v>
      </c>
      <c r="C3009" s="5" t="s">
        <v>16445</v>
      </c>
      <c r="D3009" s="5" t="s">
        <v>16446</v>
      </c>
      <c r="E3009" s="6" t="s">
        <v>74</v>
      </c>
      <c r="F3009" s="6" t="s">
        <v>16447</v>
      </c>
      <c r="G3009" s="3" t="str">
        <f>IFERROR(__xludf.DUMMYFUNCTION("REGEXREPLACE(
D3009,
""([一-龯々]+)\[([^\]]+)\]"",
""&lt;ruby&gt;$1&lt;rt&gt;$2&lt;/rt&gt;&lt;/ruby&gt;""
)&amp;""&lt;br&gt;&lt;div class=""""audio""""&gt;[sound:""&amp;C3009&amp;"".mp3]&lt;/div&gt;"""),"&lt;ruby&gt;段階&lt;rt&gt;だんかい&lt;/rt&gt;&lt;/ruby&gt;&lt;br&gt;&lt;div class=""audio""&gt;[sound:だんかい.mp3]&lt;/div&gt;")</f>
        <v>&lt;ruby&gt;段階&lt;rt&gt;だんかい&lt;/rt&gt;&lt;/ruby&gt;&lt;br&gt;&lt;div class="audio"&gt;[sound:だんかい.mp3]&lt;/div&gt;</v>
      </c>
      <c r="H3009" s="3" t="str">
        <f t="shared" si="1"/>
        <v>(n): giai đoạn</v>
      </c>
      <c r="I3009" s="6" t="s">
        <v>16448</v>
      </c>
      <c r="J3009" s="6" t="s">
        <v>16449</v>
      </c>
      <c r="K3009" s="7">
        <f t="shared" si="2"/>
        <v>0.4939075294</v>
      </c>
    </row>
    <row r="3010">
      <c r="A3010" s="4">
        <v>3010.0</v>
      </c>
      <c r="B3010" s="5" t="s">
        <v>16450</v>
      </c>
      <c r="C3010" s="5" t="s">
        <v>16451</v>
      </c>
      <c r="D3010" s="5" t="s">
        <v>16452</v>
      </c>
      <c r="E3010" s="6" t="s">
        <v>24</v>
      </c>
      <c r="F3010" s="6" t="s">
        <v>16453</v>
      </c>
      <c r="G3010" s="3" t="str">
        <f>IFERROR(__xludf.DUMMYFUNCTION("REGEXREPLACE(
D3010,
""([一-龯々]+)\[([^\]]+)\]"",
""&lt;ruby&gt;$1&lt;rt&gt;$2&lt;/rt&gt;&lt;/ruby&gt;""
)&amp;""&lt;br&gt;&lt;div class=""""audio""""&gt;[sound:""&amp;C3010&amp;"".mp3]&lt;/div&gt;"""),"&lt;ruby&gt;揃&lt;rt&gt;そろ&lt;/rt&gt;&lt;/ruby&gt;う&lt;br&gt;&lt;div class=""audio""&gt;[sound:そろう.mp3]&lt;/div&gt;")</f>
        <v>&lt;ruby&gt;揃&lt;rt&gt;そろ&lt;/rt&gt;&lt;/ruby&gt;う&lt;br&gt;&lt;div class="audio"&gt;[sound:そろう.mp3]&lt;/div&gt;</v>
      </c>
      <c r="H3010" s="3" t="str">
        <f t="shared" si="1"/>
        <v>(v): tập hợp đủ</v>
      </c>
      <c r="I3010" s="6" t="s">
        <v>16454</v>
      </c>
      <c r="J3010" s="6" t="s">
        <v>16455</v>
      </c>
      <c r="K3010" s="7">
        <f t="shared" si="2"/>
        <v>0.8945278169</v>
      </c>
    </row>
    <row r="3011">
      <c r="A3011" s="4">
        <v>3011.0</v>
      </c>
      <c r="B3011" s="5" t="s">
        <v>16456</v>
      </c>
      <c r="C3011" s="5" t="s">
        <v>16457</v>
      </c>
      <c r="D3011" s="5" t="s">
        <v>16458</v>
      </c>
      <c r="E3011" s="6" t="s">
        <v>24</v>
      </c>
      <c r="F3011" s="6" t="s">
        <v>7439</v>
      </c>
      <c r="G3011" s="3" t="str">
        <f>IFERROR(__xludf.DUMMYFUNCTION("REGEXREPLACE(
D3011,
""([一-龯々]+)\[([^\]]+)\]"",
""&lt;ruby&gt;$1&lt;rt&gt;$2&lt;/rt&gt;&lt;/ruby&gt;""
)&amp;""&lt;br&gt;&lt;div class=""""audio""""&gt;[sound:""&amp;C3011&amp;"".mp3]&lt;/div&gt;"""),"&lt;ruby&gt;改&lt;rt&gt;あらた&lt;/rt&gt;&lt;/ruby&gt;める&lt;br&gt;&lt;div class=""audio""&gt;[sound:あらためる.mp3]&lt;/div&gt;")</f>
        <v>&lt;ruby&gt;改&lt;rt&gt;あらた&lt;/rt&gt;&lt;/ruby&gt;める&lt;br&gt;&lt;div class="audio"&gt;[sound:あらためる.mp3]&lt;/div&gt;</v>
      </c>
      <c r="H3011" s="3" t="str">
        <f t="shared" si="1"/>
        <v>(v): cải thiện</v>
      </c>
      <c r="I3011" s="6" t="s">
        <v>16459</v>
      </c>
      <c r="J3011" s="6" t="s">
        <v>16460</v>
      </c>
      <c r="K3011" s="7">
        <f t="shared" si="2"/>
        <v>0.2936455424</v>
      </c>
    </row>
    <row r="3012">
      <c r="A3012" s="4">
        <v>3012.0</v>
      </c>
      <c r="B3012" s="5" t="s">
        <v>16461</v>
      </c>
      <c r="C3012" s="5" t="s">
        <v>16462</v>
      </c>
      <c r="D3012" s="5" t="s">
        <v>16463</v>
      </c>
      <c r="E3012" s="6" t="s">
        <v>74</v>
      </c>
      <c r="F3012" s="6" t="s">
        <v>16464</v>
      </c>
      <c r="G3012" s="3" t="str">
        <f>IFERROR(__xludf.DUMMYFUNCTION("REGEXREPLACE(
D3012,
""([一-龯々]+)\[([^\]]+)\]"",
""&lt;ruby&gt;$1&lt;rt&gt;$2&lt;/rt&gt;&lt;/ruby&gt;""
)&amp;""&lt;br&gt;&lt;div class=""""audio""""&gt;[sound:""&amp;C3012&amp;"".mp3]&lt;/div&gt;"""),"&lt;ruby&gt;案&lt;rt&gt;あん&lt;/rt&gt;&lt;/ruby&gt;&lt;br&gt;&lt;div class=""audio""&gt;[sound:あん.mp3]&lt;/div&gt;")</f>
        <v>&lt;ruby&gt;案&lt;rt&gt;あん&lt;/rt&gt;&lt;/ruby&gt;&lt;br&gt;&lt;div class="audio"&gt;[sound:あん.mp3]&lt;/div&gt;</v>
      </c>
      <c r="H3012" s="3" t="str">
        <f t="shared" si="1"/>
        <v>(n): phương án</v>
      </c>
      <c r="I3012" s="6" t="s">
        <v>16465</v>
      </c>
      <c r="J3012" s="6" t="s">
        <v>16466</v>
      </c>
      <c r="K3012" s="7">
        <f t="shared" si="2"/>
        <v>0.7420920269</v>
      </c>
    </row>
    <row r="3013">
      <c r="A3013" s="4">
        <v>3013.0</v>
      </c>
      <c r="B3013" s="5" t="s">
        <v>16467</v>
      </c>
      <c r="C3013" s="5" t="s">
        <v>16468</v>
      </c>
      <c r="D3013" s="5" t="s">
        <v>16469</v>
      </c>
      <c r="E3013" s="6" t="s">
        <v>74</v>
      </c>
      <c r="F3013" s="6" t="s">
        <v>16470</v>
      </c>
      <c r="G3013" s="3" t="str">
        <f>IFERROR(__xludf.DUMMYFUNCTION("REGEXREPLACE(
D3013,
""([一-龯々]+)\[([^\]]+)\]"",
""&lt;ruby&gt;$1&lt;rt&gt;$2&lt;/rt&gt;&lt;/ruby&gt;""
)&amp;""&lt;br&gt;&lt;div class=""""audio""""&gt;[sound:""&amp;C3013&amp;"".mp3]&lt;/div&gt;"""),"&lt;ruby&gt;文学&lt;rt&gt;ぶんがく&lt;/rt&gt;&lt;/ruby&gt;&lt;br&gt;&lt;div class=""audio""&gt;[sound:ぶんがく.mp3]&lt;/div&gt;")</f>
        <v>&lt;ruby&gt;文学&lt;rt&gt;ぶんがく&lt;/rt&gt;&lt;/ruby&gt;&lt;br&gt;&lt;div class="audio"&gt;[sound:ぶんがく.mp3]&lt;/div&gt;</v>
      </c>
      <c r="H3013" s="3" t="str">
        <f t="shared" si="1"/>
        <v>(n): văn học</v>
      </c>
      <c r="I3013" s="6" t="s">
        <v>16471</v>
      </c>
      <c r="J3013" s="6" t="s">
        <v>16472</v>
      </c>
      <c r="K3013" s="7">
        <f t="shared" si="2"/>
        <v>0.919059887</v>
      </c>
    </row>
    <row r="3014">
      <c r="A3014" s="4">
        <v>3014.0</v>
      </c>
      <c r="B3014" s="5" t="s">
        <v>16473</v>
      </c>
      <c r="C3014" s="5" t="s">
        <v>16474</v>
      </c>
      <c r="D3014" s="5" t="s">
        <v>16475</v>
      </c>
      <c r="E3014" s="6" t="s">
        <v>74</v>
      </c>
      <c r="F3014" s="6" t="s">
        <v>1432</v>
      </c>
      <c r="G3014" s="3" t="str">
        <f>IFERROR(__xludf.DUMMYFUNCTION("REGEXREPLACE(
D3014,
""([一-龯々]+)\[([^\]]+)\]"",
""&lt;ruby&gt;$1&lt;rt&gt;$2&lt;/rt&gt;&lt;/ruby&gt;""
)&amp;""&lt;br&gt;&lt;div class=""""audio""""&gt;[sound:""&amp;C3014&amp;"".mp3]&lt;/div&gt;"""),"&lt;ruby&gt;就業&lt;rt&gt;しゅうぎょう&lt;/rt&gt;&lt;/ruby&gt;&lt;br&gt;&lt;div class=""audio""&gt;[sound:しゅうぎょう.mp3]&lt;/div&gt;")</f>
        <v>&lt;ruby&gt;就業&lt;rt&gt;しゅうぎょう&lt;/rt&gt;&lt;/ruby&gt;&lt;br&gt;&lt;div class="audio"&gt;[sound:しゅうぎょう.mp3]&lt;/div&gt;</v>
      </c>
      <c r="H3014" s="3" t="str">
        <f t="shared" si="1"/>
        <v>(n): làm việc</v>
      </c>
      <c r="I3014" s="6" t="s">
        <v>16476</v>
      </c>
      <c r="J3014" s="6" t="s">
        <v>16477</v>
      </c>
      <c r="K3014" s="7">
        <f t="shared" si="2"/>
        <v>0.307834938</v>
      </c>
    </row>
    <row r="3015">
      <c r="A3015" s="4">
        <v>3015.0</v>
      </c>
      <c r="B3015" s="5" t="s">
        <v>16478</v>
      </c>
      <c r="C3015" s="5" t="s">
        <v>16479</v>
      </c>
      <c r="D3015" s="5" t="s">
        <v>16480</v>
      </c>
      <c r="E3015" s="6" t="s">
        <v>11</v>
      </c>
      <c r="F3015" s="6" t="s">
        <v>16481</v>
      </c>
      <c r="G3015" s="3" t="str">
        <f>IFERROR(__xludf.DUMMYFUNCTION("REGEXREPLACE(
D3015,
""([一-龯々]+)\[([^\]]+)\]"",
""&lt;ruby&gt;$1&lt;rt&gt;$2&lt;/rt&gt;&lt;/ruby&gt;""
)&amp;""&lt;br&gt;&lt;div class=""""audio""""&gt;[sound:""&amp;C3015&amp;"".mp3]&lt;/div&gt;"""),"&lt;ruby&gt;可愛&lt;rt&gt;かわい&lt;/rt&gt;&lt;/ruby&gt;らしい&lt;br&gt;&lt;div class=""audio""&gt;[sound:かわいらしい.mp3]&lt;/div&gt;")</f>
        <v>&lt;ruby&gt;可愛&lt;rt&gt;かわい&lt;/rt&gt;&lt;/ruby&gt;らしい&lt;br&gt;&lt;div class="audio"&gt;[sound:かわいらしい.mp3]&lt;/div&gt;</v>
      </c>
      <c r="H3015" s="3" t="str">
        <f t="shared" si="1"/>
        <v>(adj): dễ thương</v>
      </c>
      <c r="I3015" s="6" t="s">
        <v>16482</v>
      </c>
      <c r="J3015" s="6" t="s">
        <v>16483</v>
      </c>
      <c r="K3015" s="7">
        <f t="shared" si="2"/>
        <v>0.2429521892</v>
      </c>
    </row>
    <row r="3016">
      <c r="A3016" s="4">
        <v>3016.0</v>
      </c>
      <c r="B3016" s="5" t="s">
        <v>16484</v>
      </c>
      <c r="C3016" s="5" t="s">
        <v>16485</v>
      </c>
      <c r="D3016" s="5" t="s">
        <v>16486</v>
      </c>
      <c r="E3016" s="6" t="s">
        <v>74</v>
      </c>
      <c r="F3016" s="6" t="s">
        <v>1639</v>
      </c>
      <c r="G3016" s="3" t="str">
        <f>IFERROR(__xludf.DUMMYFUNCTION("REGEXREPLACE(
D3016,
""([一-龯々]+)\[([^\]]+)\]"",
""&lt;ruby&gt;$1&lt;rt&gt;$2&lt;/rt&gt;&lt;/ruby&gt;""
)&amp;""&lt;br&gt;&lt;div class=""""audio""""&gt;[sound:""&amp;C3016&amp;"".mp3]&lt;/div&gt;"""),"&lt;ruby&gt;推薦&lt;rt&gt;すいせん&lt;/rt&gt;&lt;/ruby&gt;&lt;br&gt;&lt;div class=""audio""&gt;[sound:すいせん.mp3]&lt;/div&gt;")</f>
        <v>&lt;ruby&gt;推薦&lt;rt&gt;すいせん&lt;/rt&gt;&lt;/ruby&gt;&lt;br&gt;&lt;div class="audio"&gt;[sound:すいせん.mp3]&lt;/div&gt;</v>
      </c>
      <c r="H3016" s="3" t="str">
        <f t="shared" si="1"/>
        <v>(n): giới thiệu</v>
      </c>
      <c r="I3016" s="6" t="s">
        <v>16487</v>
      </c>
      <c r="J3016" s="6" t="s">
        <v>16488</v>
      </c>
      <c r="K3016" s="7">
        <f t="shared" si="2"/>
        <v>0.04378761165</v>
      </c>
    </row>
    <row r="3017">
      <c r="A3017" s="4">
        <v>3017.0</v>
      </c>
      <c r="B3017" s="5" t="s">
        <v>16489</v>
      </c>
      <c r="C3017" s="5" t="s">
        <v>16490</v>
      </c>
      <c r="D3017" s="5" t="s">
        <v>16491</v>
      </c>
      <c r="E3017" s="6" t="s">
        <v>74</v>
      </c>
      <c r="F3017" s="6" t="s">
        <v>16492</v>
      </c>
      <c r="G3017" s="3" t="str">
        <f>IFERROR(__xludf.DUMMYFUNCTION("REGEXREPLACE(
D3017,
""([一-龯々]+)\[([^\]]+)\]"",
""&lt;ruby&gt;$1&lt;rt&gt;$2&lt;/rt&gt;&lt;/ruby&gt;""
)&amp;""&lt;br&gt;&lt;div class=""""audio""""&gt;[sound:""&amp;C3017&amp;"".mp3]&lt;/div&gt;"""),"&lt;ruby&gt;景気&lt;rt&gt;けいき&lt;/rt&gt;&lt;/ruby&gt;&lt;br&gt;&lt;div class=""audio""&gt;[sound:けいき.mp3]&lt;/div&gt;")</f>
        <v>&lt;ruby&gt;景気&lt;rt&gt;けいき&lt;/rt&gt;&lt;/ruby&gt;&lt;br&gt;&lt;div class="audio"&gt;[sound:けいき.mp3]&lt;/div&gt;</v>
      </c>
      <c r="H3017" s="3" t="str">
        <f t="shared" si="1"/>
        <v>(n): tình hình kinh tế</v>
      </c>
      <c r="I3017" s="6" t="s">
        <v>16493</v>
      </c>
      <c r="J3017" s="6" t="s">
        <v>16494</v>
      </c>
      <c r="K3017" s="7">
        <f t="shared" si="2"/>
        <v>0.1281676898</v>
      </c>
    </row>
    <row r="3018">
      <c r="A3018" s="4">
        <v>3018.0</v>
      </c>
      <c r="B3018" s="5" t="s">
        <v>16495</v>
      </c>
      <c r="C3018" s="5" t="s">
        <v>16496</v>
      </c>
      <c r="D3018" s="5" t="s">
        <v>16497</v>
      </c>
      <c r="E3018" s="6" t="s">
        <v>85</v>
      </c>
      <c r="F3018" s="6" t="s">
        <v>2070</v>
      </c>
      <c r="G3018" s="3" t="str">
        <f>IFERROR(__xludf.DUMMYFUNCTION("REGEXREPLACE(
D3018,
""([一-龯々]+)\[([^\]]+)\]"",
""&lt;ruby&gt;$1&lt;rt&gt;$2&lt;/rt&gt;&lt;/ruby&gt;""
)&amp;""&lt;br&gt;&lt;div class=""""audio""""&gt;[sound:""&amp;C3018&amp;"".mp3]&lt;/div&gt;"""),"&lt;ruby&gt;是非&lt;rt&gt;ぜひ&lt;/rt&gt;&lt;/ruby&gt;&lt;br&gt;&lt;div class=""audio""&gt;[sound:ぜひ.mp3]&lt;/div&gt;")</f>
        <v>&lt;ruby&gt;是非&lt;rt&gt;ぜひ&lt;/rt&gt;&lt;/ruby&gt;&lt;br&gt;&lt;div class="audio"&gt;[sound:ぜひ.mp3]&lt;/div&gt;</v>
      </c>
      <c r="H3018" s="3" t="str">
        <f t="shared" si="1"/>
        <v>(adv): nhất định</v>
      </c>
      <c r="I3018" s="6" t="s">
        <v>16498</v>
      </c>
      <c r="J3018" s="6" t="s">
        <v>16499</v>
      </c>
      <c r="K3018" s="7">
        <f t="shared" si="2"/>
        <v>0.6073453577</v>
      </c>
    </row>
    <row r="3019">
      <c r="A3019" s="4">
        <v>3019.0</v>
      </c>
      <c r="B3019" s="5" t="s">
        <v>16500</v>
      </c>
      <c r="C3019" s="5" t="s">
        <v>16501</v>
      </c>
      <c r="D3019" s="5" t="s">
        <v>16502</v>
      </c>
      <c r="E3019" s="6" t="s">
        <v>11</v>
      </c>
      <c r="F3019" s="6" t="s">
        <v>16503</v>
      </c>
      <c r="G3019" s="3" t="str">
        <f>IFERROR(__xludf.DUMMYFUNCTION("REGEXREPLACE(
D3019,
""([一-龯々]+)\[([^\]]+)\]"",
""&lt;ruby&gt;$1&lt;rt&gt;$2&lt;/rt&gt;&lt;/ruby&gt;""
)&amp;""&lt;br&gt;&lt;div class=""""audio""""&gt;[sound:""&amp;C3019&amp;"".mp3]&lt;/div&gt;"""),"&lt;ruby&gt;眠&lt;rt&gt;ねむ&lt;/rt&gt;&lt;/ruby&gt;い&lt;br&gt;&lt;div class=""audio""&gt;[sound:ねむい.mp3]&lt;/div&gt;")</f>
        <v>&lt;ruby&gt;眠&lt;rt&gt;ねむ&lt;/rt&gt;&lt;/ruby&gt;い&lt;br&gt;&lt;div class="audio"&gt;[sound:ねむい.mp3]&lt;/div&gt;</v>
      </c>
      <c r="H3019" s="3" t="str">
        <f t="shared" si="1"/>
        <v>(adj): buồn ngủ</v>
      </c>
      <c r="I3019" s="6" t="s">
        <v>16504</v>
      </c>
      <c r="J3019" s="6" t="s">
        <v>16505</v>
      </c>
      <c r="K3019" s="7">
        <f t="shared" si="2"/>
        <v>0.53006786</v>
      </c>
    </row>
    <row r="3020">
      <c r="A3020" s="4">
        <v>3020.0</v>
      </c>
      <c r="B3020" s="5" t="s">
        <v>16506</v>
      </c>
      <c r="C3020" s="5" t="s">
        <v>16507</v>
      </c>
      <c r="D3020" s="5" t="s">
        <v>16508</v>
      </c>
      <c r="E3020" s="6" t="s">
        <v>74</v>
      </c>
      <c r="F3020" s="6" t="s">
        <v>12450</v>
      </c>
      <c r="G3020" s="3" t="str">
        <f>IFERROR(__xludf.DUMMYFUNCTION("REGEXREPLACE(
D3020,
""([一-龯々]+)\[([^\]]+)\]"",
""&lt;ruby&gt;$1&lt;rt&gt;$2&lt;/rt&gt;&lt;/ruby&gt;""
)&amp;""&lt;br&gt;&lt;div class=""""audio""""&gt;[sound:""&amp;C3020&amp;"".mp3]&lt;/div&gt;"""),"&lt;ruby&gt;材料&lt;rt&gt;ざいりょう&lt;/rt&gt;&lt;/ruby&gt;&lt;br&gt;&lt;div class=""audio""&gt;[sound:ざいりょう.mp3]&lt;/div&gt;")</f>
        <v>&lt;ruby&gt;材料&lt;rt&gt;ざいりょう&lt;/rt&gt;&lt;/ruby&gt;&lt;br&gt;&lt;div class="audio"&gt;[sound:ざいりょう.mp3]&lt;/div&gt;</v>
      </c>
      <c r="H3020" s="3" t="str">
        <f t="shared" si="1"/>
        <v>(n): nguyên liệu</v>
      </c>
      <c r="I3020" s="6" t="s">
        <v>16509</v>
      </c>
      <c r="J3020" s="6" t="s">
        <v>16510</v>
      </c>
      <c r="K3020" s="7">
        <f t="shared" si="2"/>
        <v>0.5582494969</v>
      </c>
    </row>
    <row r="3021">
      <c r="A3021" s="4">
        <v>3021.0</v>
      </c>
      <c r="B3021" s="5" t="s">
        <v>16511</v>
      </c>
      <c r="C3021" s="5" t="s">
        <v>16512</v>
      </c>
      <c r="D3021" s="5" t="s">
        <v>16513</v>
      </c>
      <c r="E3021" s="6" t="s">
        <v>24</v>
      </c>
      <c r="F3021" s="6" t="s">
        <v>7398</v>
      </c>
      <c r="G3021" s="3" t="str">
        <f>IFERROR(__xludf.DUMMYFUNCTION("REGEXREPLACE(
D3021,
""([一-龯々]+)\[([^\]]+)\]"",
""&lt;ruby&gt;$1&lt;rt&gt;$2&lt;/rt&gt;&lt;/ruby&gt;""
)&amp;""&lt;br&gt;&lt;div class=""""audio""""&gt;[sound:""&amp;C3021&amp;"".mp3]&lt;/div&gt;"""),"&lt;ruby&gt;断&lt;rt&gt;ことわ&lt;/rt&gt;&lt;/ruby&gt;る&lt;br&gt;&lt;div class=""audio""&gt;[sound:ことわる.mp3]&lt;/div&gt;")</f>
        <v>&lt;ruby&gt;断&lt;rt&gt;ことわ&lt;/rt&gt;&lt;/ruby&gt;る&lt;br&gt;&lt;div class="audio"&gt;[sound:ことわる.mp3]&lt;/div&gt;</v>
      </c>
      <c r="H3021" s="3" t="str">
        <f t="shared" si="1"/>
        <v>(v): từ chối</v>
      </c>
      <c r="I3021" s="6" t="s">
        <v>16514</v>
      </c>
      <c r="J3021" s="6" t="s">
        <v>16515</v>
      </c>
      <c r="K3021" s="7">
        <f t="shared" si="2"/>
        <v>0.7320655929</v>
      </c>
    </row>
    <row r="3022">
      <c r="A3022" s="4">
        <v>3022.0</v>
      </c>
      <c r="B3022" s="5" t="s">
        <v>16516</v>
      </c>
      <c r="C3022" s="5" t="s">
        <v>16517</v>
      </c>
      <c r="D3022" s="5" t="s">
        <v>16518</v>
      </c>
      <c r="E3022" s="6" t="s">
        <v>74</v>
      </c>
      <c r="F3022" s="6" t="s">
        <v>16519</v>
      </c>
      <c r="G3022" s="3" t="str">
        <f>IFERROR(__xludf.DUMMYFUNCTION("REGEXREPLACE(
D3022,
""([一-龯々]+)\[([^\]]+)\]"",
""&lt;ruby&gt;$1&lt;rt&gt;$2&lt;/rt&gt;&lt;/ruby&gt;""
)&amp;""&lt;br&gt;&lt;div class=""""audio""""&gt;[sound:""&amp;C3022&amp;"".mp3]&lt;/div&gt;"""),"&lt;ruby&gt;植物&lt;rt&gt;しょくぶつ&lt;/rt&gt;&lt;/ruby&gt;&lt;br&gt;&lt;div class=""audio""&gt;[sound:しょくぶつ.mp3]&lt;/div&gt;")</f>
        <v>&lt;ruby&gt;植物&lt;rt&gt;しょくぶつ&lt;/rt&gt;&lt;/ruby&gt;&lt;br&gt;&lt;div class="audio"&gt;[sound:しょくぶつ.mp3]&lt;/div&gt;</v>
      </c>
      <c r="H3022" s="3" t="str">
        <f t="shared" si="1"/>
        <v>(n): thực vật</v>
      </c>
      <c r="I3022" s="6" t="s">
        <v>16520</v>
      </c>
      <c r="J3022" s="6" t="s">
        <v>16521</v>
      </c>
      <c r="K3022" s="7">
        <f t="shared" si="2"/>
        <v>0.8860317399</v>
      </c>
    </row>
    <row r="3023">
      <c r="A3023" s="4">
        <v>3023.0</v>
      </c>
      <c r="B3023" s="5" t="s">
        <v>16522</v>
      </c>
      <c r="C3023" s="5" t="s">
        <v>16523</v>
      </c>
      <c r="D3023" s="5" t="s">
        <v>16524</v>
      </c>
      <c r="E3023" s="6" t="s">
        <v>74</v>
      </c>
      <c r="F3023" s="6" t="s">
        <v>16525</v>
      </c>
      <c r="G3023" s="3" t="str">
        <f>IFERROR(__xludf.DUMMYFUNCTION("REGEXREPLACE(
D3023,
""([一-龯々]+)\[([^\]]+)\]"",
""&lt;ruby&gt;$1&lt;rt&gt;$2&lt;/rt&gt;&lt;/ruby&gt;""
)&amp;""&lt;br&gt;&lt;div class=""""audio""""&gt;[sound:""&amp;C3023&amp;"".mp3]&lt;/div&gt;"""),"&lt;ruby&gt;配達&lt;rt&gt;はいたつ&lt;/rt&gt;&lt;/ruby&gt;&lt;br&gt;&lt;div class=""audio""&gt;[sound:はいたつ.mp3]&lt;/div&gt;")</f>
        <v>&lt;ruby&gt;配達&lt;rt&gt;はいたつ&lt;/rt&gt;&lt;/ruby&gt;&lt;br&gt;&lt;div class="audio"&gt;[sound:はいたつ.mp3]&lt;/div&gt;</v>
      </c>
      <c r="H3023" s="3" t="str">
        <f t="shared" si="1"/>
        <v>(n): giao hàng</v>
      </c>
      <c r="I3023" s="6" t="s">
        <v>16526</v>
      </c>
      <c r="J3023" s="6" t="s">
        <v>16527</v>
      </c>
      <c r="K3023" s="7">
        <f t="shared" si="2"/>
        <v>0.7331889542</v>
      </c>
    </row>
    <row r="3024">
      <c r="A3024" s="4">
        <v>3024.0</v>
      </c>
      <c r="B3024" s="5" t="s">
        <v>16528</v>
      </c>
      <c r="C3024" s="5" t="s">
        <v>16529</v>
      </c>
      <c r="D3024" s="5" t="s">
        <v>16530</v>
      </c>
      <c r="E3024" s="6" t="s">
        <v>74</v>
      </c>
      <c r="F3024" s="6" t="s">
        <v>16531</v>
      </c>
      <c r="G3024" s="3" t="str">
        <f>IFERROR(__xludf.DUMMYFUNCTION("REGEXREPLACE(
D3024,
""([一-龯々]+)\[([^\]]+)\]"",
""&lt;ruby&gt;$1&lt;rt&gt;$2&lt;/rt&gt;&lt;/ruby&gt;""
)&amp;""&lt;br&gt;&lt;div class=""""audio""""&gt;[sound:""&amp;C3024&amp;"".mp3]&lt;/div&gt;"""),"&lt;ruby&gt;相続&lt;rt&gt;そうぞく&lt;/rt&gt;&lt;/ruby&gt;&lt;br&gt;&lt;div class=""audio""&gt;[sound:そうぞく.mp3]&lt;/div&gt;")</f>
        <v>&lt;ruby&gt;相続&lt;rt&gt;そうぞく&lt;/rt&gt;&lt;/ruby&gt;&lt;br&gt;&lt;div class="audio"&gt;[sound:そうぞく.mp3]&lt;/div&gt;</v>
      </c>
      <c r="H3024" s="3" t="str">
        <f t="shared" si="1"/>
        <v>(n): thừa kế</v>
      </c>
      <c r="I3024" s="6" t="s">
        <v>16532</v>
      </c>
      <c r="J3024" s="6" t="s">
        <v>16533</v>
      </c>
      <c r="K3024" s="7">
        <f t="shared" si="2"/>
        <v>0.4122037013</v>
      </c>
    </row>
    <row r="3025">
      <c r="A3025" s="4">
        <v>3025.0</v>
      </c>
      <c r="B3025" s="5" t="s">
        <v>16534</v>
      </c>
      <c r="C3025" s="5" t="s">
        <v>16535</v>
      </c>
      <c r="D3025" s="5" t="s">
        <v>16536</v>
      </c>
      <c r="E3025" s="6" t="s">
        <v>24</v>
      </c>
      <c r="F3025" s="6" t="s">
        <v>16537</v>
      </c>
      <c r="G3025" s="3" t="str">
        <f>IFERROR(__xludf.DUMMYFUNCTION("REGEXREPLACE(
D3025,
""([一-龯々]+)\[([^\]]+)\]"",
""&lt;ruby&gt;$1&lt;rt&gt;$2&lt;/rt&gt;&lt;/ruby&gt;""
)&amp;""&lt;br&gt;&lt;div class=""""audio""""&gt;[sound:""&amp;C3025&amp;"".mp3]&lt;/div&gt;"""),"&lt;ruby&gt;握&lt;rt&gt;にぎ&lt;/rt&gt;&lt;/ruby&gt;る&lt;br&gt;&lt;div class=""audio""&gt;[sound:にぎる.mp3]&lt;/div&gt;")</f>
        <v>&lt;ruby&gt;握&lt;rt&gt;にぎ&lt;/rt&gt;&lt;/ruby&gt;る&lt;br&gt;&lt;div class="audio"&gt;[sound:にぎる.mp3]&lt;/div&gt;</v>
      </c>
      <c r="H3025" s="3" t="str">
        <f t="shared" si="1"/>
        <v>(v): nắm</v>
      </c>
      <c r="I3025" s="6" t="s">
        <v>16538</v>
      </c>
      <c r="J3025" s="6" t="s">
        <v>16539</v>
      </c>
      <c r="K3025" s="7">
        <f t="shared" si="2"/>
        <v>0.2997308077</v>
      </c>
    </row>
    <row r="3026">
      <c r="A3026" s="4">
        <v>3026.0</v>
      </c>
      <c r="B3026" s="5" t="s">
        <v>16540</v>
      </c>
      <c r="C3026" s="5" t="s">
        <v>16541</v>
      </c>
      <c r="D3026" s="5" t="s">
        <v>16542</v>
      </c>
      <c r="E3026" s="6" t="s">
        <v>74</v>
      </c>
      <c r="F3026" s="6" t="s">
        <v>16543</v>
      </c>
      <c r="G3026" s="3" t="str">
        <f>IFERROR(__xludf.DUMMYFUNCTION("REGEXREPLACE(
D3026,
""([一-龯々]+)\[([^\]]+)\]"",
""&lt;ruby&gt;$1&lt;rt&gt;$2&lt;/rt&gt;&lt;/ruby&gt;""
)&amp;""&lt;br&gt;&lt;div class=""""audio""""&gt;[sound:""&amp;C3026&amp;"".mp3]&lt;/div&gt;"""),"&lt;ruby&gt;歯&lt;rt&gt;は&lt;/rt&gt;&lt;/ruby&gt;&lt;br&gt;&lt;div class=""audio""&gt;[sound:は.mp3]&lt;/div&gt;")</f>
        <v>&lt;ruby&gt;歯&lt;rt&gt;は&lt;/rt&gt;&lt;/ruby&gt;&lt;br&gt;&lt;div class="audio"&gt;[sound:は.mp3]&lt;/div&gt;</v>
      </c>
      <c r="H3026" s="3" t="str">
        <f t="shared" si="1"/>
        <v>(n): răng</v>
      </c>
      <c r="I3026" s="6" t="s">
        <v>16544</v>
      </c>
      <c r="J3026" s="6" t="s">
        <v>16545</v>
      </c>
      <c r="K3026" s="7">
        <f t="shared" si="2"/>
        <v>0.2005428424</v>
      </c>
    </row>
    <row r="3027">
      <c r="A3027" s="4">
        <v>3027.0</v>
      </c>
      <c r="B3027" s="5" t="s">
        <v>16546</v>
      </c>
      <c r="C3027" s="5" t="s">
        <v>16547</v>
      </c>
      <c r="D3027" s="5" t="s">
        <v>16548</v>
      </c>
      <c r="E3027" s="6" t="s">
        <v>74</v>
      </c>
      <c r="F3027" s="6" t="s">
        <v>16549</v>
      </c>
      <c r="G3027" s="3" t="str">
        <f>IFERROR(__xludf.DUMMYFUNCTION("REGEXREPLACE(
D3027,
""([一-龯々]+)\[([^\]]+)\]"",
""&lt;ruby&gt;$1&lt;rt&gt;$2&lt;/rt&gt;&lt;/ruby&gt;""
)&amp;""&lt;br&gt;&lt;div class=""""audio""""&gt;[sound:""&amp;C3027&amp;"".mp3]&lt;/div&gt;"""),"&lt;ruby&gt;叔父&lt;rt&gt;おじ&lt;/rt&gt;&lt;/ruby&gt;&lt;br&gt;&lt;div class=""audio""&gt;[sound:おじ.mp3]&lt;/div&gt;")</f>
        <v>&lt;ruby&gt;叔父&lt;rt&gt;おじ&lt;/rt&gt;&lt;/ruby&gt;&lt;br&gt;&lt;div class="audio"&gt;[sound:おじ.mp3]&lt;/div&gt;</v>
      </c>
      <c r="H3027" s="3" t="str">
        <f t="shared" si="1"/>
        <v>(n): chú</v>
      </c>
      <c r="I3027" s="6" t="s">
        <v>16550</v>
      </c>
      <c r="J3027" s="6" t="s">
        <v>16551</v>
      </c>
      <c r="K3027" s="7">
        <f t="shared" si="2"/>
        <v>0.562904019</v>
      </c>
    </row>
    <row r="3028">
      <c r="A3028" s="4">
        <v>3028.0</v>
      </c>
      <c r="B3028" s="5" t="s">
        <v>16552</v>
      </c>
      <c r="C3028" s="5" t="s">
        <v>5048</v>
      </c>
      <c r="D3028" s="5" t="s">
        <v>16553</v>
      </c>
      <c r="E3028" s="6" t="s">
        <v>74</v>
      </c>
      <c r="F3028" s="6" t="s">
        <v>16554</v>
      </c>
      <c r="G3028" s="3" t="str">
        <f>IFERROR(__xludf.DUMMYFUNCTION("REGEXREPLACE(
D3028,
""([一-龯々]+)\[([^\]]+)\]"",
""&lt;ruby&gt;$1&lt;rt&gt;$2&lt;/rt&gt;&lt;/ruby&gt;""
)&amp;""&lt;br&gt;&lt;div class=""""audio""""&gt;[sound:""&amp;C3028&amp;"".mp3]&lt;/div&gt;"""),"&lt;ruby&gt;幹線&lt;rt&gt;かんせん&lt;/rt&gt;&lt;/ruby&gt;&lt;br&gt;&lt;div class=""audio""&gt;[sound:かんせん.mp3]&lt;/div&gt;")</f>
        <v>&lt;ruby&gt;幹線&lt;rt&gt;かんせん&lt;/rt&gt;&lt;/ruby&gt;&lt;br&gt;&lt;div class="audio"&gt;[sound:かんせん.mp3]&lt;/div&gt;</v>
      </c>
      <c r="H3028" s="3" t="str">
        <f t="shared" si="1"/>
        <v>(n): tuyến đường chính</v>
      </c>
      <c r="I3028" s="6" t="s">
        <v>16555</v>
      </c>
      <c r="J3028" s="6" t="s">
        <v>16556</v>
      </c>
      <c r="K3028" s="7">
        <f t="shared" si="2"/>
        <v>0.7899979468</v>
      </c>
    </row>
    <row r="3029">
      <c r="A3029" s="4">
        <v>3029.0</v>
      </c>
      <c r="B3029" s="5" t="s">
        <v>16557</v>
      </c>
      <c r="C3029" s="5" t="s">
        <v>16558</v>
      </c>
      <c r="D3029" s="5" t="s">
        <v>16559</v>
      </c>
      <c r="E3029" s="6" t="s">
        <v>74</v>
      </c>
      <c r="F3029" s="6" t="s">
        <v>16560</v>
      </c>
      <c r="G3029" s="3" t="str">
        <f>IFERROR(__xludf.DUMMYFUNCTION("REGEXREPLACE(
D3029,
""([一-龯々]+)\[([^\]]+)\]"",
""&lt;ruby&gt;$1&lt;rt&gt;$2&lt;/rt&gt;&lt;/ruby&gt;""
)&amp;""&lt;br&gt;&lt;div class=""""audio""""&gt;[sound:""&amp;C3029&amp;"".mp3]&lt;/div&gt;"""),"&lt;ruby&gt;建前&lt;rt&gt;たてまえ&lt;/rt&gt;&lt;/ruby&gt;&lt;br&gt;&lt;div class=""audio""&gt;[sound:たてまえ.mp3]&lt;/div&gt;")</f>
        <v>&lt;ruby&gt;建前&lt;rt&gt;たてまえ&lt;/rt&gt;&lt;/ruby&gt;&lt;br&gt;&lt;div class="audio"&gt;[sound:たてまえ.mp3]&lt;/div&gt;</v>
      </c>
      <c r="H3029" s="3" t="str">
        <f t="shared" si="1"/>
        <v>(n): lý do bên ngoài</v>
      </c>
      <c r="I3029" s="6" t="s">
        <v>16561</v>
      </c>
      <c r="J3029" s="6" t="s">
        <v>16562</v>
      </c>
      <c r="K3029" s="7">
        <f t="shared" si="2"/>
        <v>0.3662474502</v>
      </c>
    </row>
    <row r="3030">
      <c r="A3030" s="4">
        <v>3030.0</v>
      </c>
      <c r="B3030" s="5" t="s">
        <v>16563</v>
      </c>
      <c r="C3030" s="5" t="s">
        <v>16564</v>
      </c>
      <c r="D3030" s="5" t="s">
        <v>16565</v>
      </c>
      <c r="E3030" s="6" t="s">
        <v>11</v>
      </c>
      <c r="F3030" s="6" t="s">
        <v>16566</v>
      </c>
      <c r="G3030" s="3" t="str">
        <f>IFERROR(__xludf.DUMMYFUNCTION("REGEXREPLACE(
D3030,
""([一-龯々]+)\[([^\]]+)\]"",
""&lt;ruby&gt;$1&lt;rt&gt;$2&lt;/rt&gt;&lt;/ruby&gt;""
)&amp;""&lt;br&gt;&lt;div class=""""audio""""&gt;[sound:""&amp;C3030&amp;"".mp3]&lt;/div&gt;"""),"&lt;ruby&gt;有力&lt;rt&gt;ゆうりょく&lt;/rt&gt;&lt;/ruby&gt;&lt;br&gt;&lt;div class=""audio""&gt;[sound:ゆうりょく.mp3]&lt;/div&gt;")</f>
        <v>&lt;ruby&gt;有力&lt;rt&gt;ゆうりょく&lt;/rt&gt;&lt;/ruby&gt;&lt;br&gt;&lt;div class="audio"&gt;[sound:ゆうりょく.mp3]&lt;/div&gt;</v>
      </c>
      <c r="H3030" s="3" t="str">
        <f t="shared" si="1"/>
        <v>(adj): có ảnh hưởng</v>
      </c>
      <c r="I3030" s="6" t="s">
        <v>16567</v>
      </c>
      <c r="J3030" s="6" t="s">
        <v>16568</v>
      </c>
      <c r="K3030" s="7">
        <f t="shared" si="2"/>
        <v>0.7335183489</v>
      </c>
    </row>
    <row r="3031">
      <c r="A3031" s="4">
        <v>3031.0</v>
      </c>
      <c r="B3031" s="5" t="s">
        <v>16569</v>
      </c>
      <c r="C3031" s="5" t="s">
        <v>16570</v>
      </c>
      <c r="D3031" s="5" t="s">
        <v>16571</v>
      </c>
      <c r="E3031" s="6" t="s">
        <v>74</v>
      </c>
      <c r="F3031" s="6" t="s">
        <v>9459</v>
      </c>
      <c r="G3031" s="3" t="str">
        <f>IFERROR(__xludf.DUMMYFUNCTION("REGEXREPLACE(
D3031,
""([一-龯々]+)\[([^\]]+)\]"",
""&lt;ruby&gt;$1&lt;rt&gt;$2&lt;/rt&gt;&lt;/ruby&gt;""
)&amp;""&lt;br&gt;&lt;div class=""""audio""""&gt;[sound:""&amp;C3031&amp;"".mp3]&lt;/div&gt;"""),"&lt;ruby&gt;展望&lt;rt&gt;てんぼう&lt;/rt&gt;&lt;/ruby&gt;&lt;br&gt;&lt;div class=""audio""&gt;[sound:てんぼう.mp3]&lt;/div&gt;")</f>
        <v>&lt;ruby&gt;展望&lt;rt&gt;てんぼう&lt;/rt&gt;&lt;/ruby&gt;&lt;br&gt;&lt;div class="audio"&gt;[sound:てんぼう.mp3]&lt;/div&gt;</v>
      </c>
      <c r="H3031" s="3" t="str">
        <f t="shared" si="1"/>
        <v>(n): triển vọng</v>
      </c>
      <c r="I3031" s="6" t="s">
        <v>16572</v>
      </c>
      <c r="J3031" s="6" t="s">
        <v>16573</v>
      </c>
      <c r="K3031" s="7">
        <f t="shared" si="2"/>
        <v>0.8686423134</v>
      </c>
    </row>
    <row r="3032">
      <c r="A3032" s="4">
        <v>3032.0</v>
      </c>
      <c r="B3032" s="5" t="s">
        <v>16574</v>
      </c>
      <c r="C3032" s="5" t="s">
        <v>16575</v>
      </c>
      <c r="D3032" s="5" t="s">
        <v>16576</v>
      </c>
      <c r="E3032" s="6" t="s">
        <v>74</v>
      </c>
      <c r="F3032" s="6" t="s">
        <v>16577</v>
      </c>
      <c r="G3032" s="3" t="str">
        <f>IFERROR(__xludf.DUMMYFUNCTION("REGEXREPLACE(
D3032,
""([一-龯々]+)\[([^\]]+)\]"",
""&lt;ruby&gt;$1&lt;rt&gt;$2&lt;/rt&gt;&lt;/ruby&gt;""
)&amp;""&lt;br&gt;&lt;div class=""""audio""""&gt;[sound:""&amp;C3032&amp;"".mp3]&lt;/div&gt;"""),"&lt;ruby&gt;承諾&lt;rt&gt;しょうだく&lt;/rt&gt;&lt;/ruby&gt;&lt;br&gt;&lt;div class=""audio""&gt;[sound:しょうだく.mp3]&lt;/div&gt;")</f>
        <v>&lt;ruby&gt;承諾&lt;rt&gt;しょうだく&lt;/rt&gt;&lt;/ruby&gt;&lt;br&gt;&lt;div class="audio"&gt;[sound:しょうだく.mp3]&lt;/div&gt;</v>
      </c>
      <c r="H3032" s="3" t="str">
        <f t="shared" si="1"/>
        <v>(n): chấp thuận</v>
      </c>
      <c r="I3032" s="6" t="s">
        <v>16578</v>
      </c>
      <c r="J3032" s="6" t="s">
        <v>16579</v>
      </c>
      <c r="K3032" s="7">
        <f t="shared" si="2"/>
        <v>0.05613528219</v>
      </c>
    </row>
    <row r="3033">
      <c r="A3033" s="4">
        <v>3033.0</v>
      </c>
      <c r="B3033" s="5" t="s">
        <v>16580</v>
      </c>
      <c r="C3033" s="5" t="s">
        <v>16581</v>
      </c>
      <c r="D3033" s="5" t="s">
        <v>16582</v>
      </c>
      <c r="E3033" s="6" t="s">
        <v>74</v>
      </c>
      <c r="F3033" s="6" t="s">
        <v>11728</v>
      </c>
      <c r="G3033" s="3" t="str">
        <f>IFERROR(__xludf.DUMMYFUNCTION("REGEXREPLACE(
D3033,
""([一-龯々]+)\[([^\]]+)\]"",
""&lt;ruby&gt;$1&lt;rt&gt;$2&lt;/rt&gt;&lt;/ruby&gt;""
)&amp;""&lt;br&gt;&lt;div class=""""audio""""&gt;[sound:""&amp;C3033&amp;"".mp3]&lt;/div&gt;"""),"&lt;ruby&gt;教材&lt;rt&gt;きょうざい&lt;/rt&gt;&lt;/ruby&gt;&lt;br&gt;&lt;div class=""audio""&gt;[sound:きょうざい.mp3]&lt;/div&gt;")</f>
        <v>&lt;ruby&gt;教材&lt;rt&gt;きょうざい&lt;/rt&gt;&lt;/ruby&gt;&lt;br&gt;&lt;div class="audio"&gt;[sound:きょうざい.mp3]&lt;/div&gt;</v>
      </c>
      <c r="H3033" s="3" t="str">
        <f t="shared" si="1"/>
        <v>(n): giáo trình</v>
      </c>
      <c r="I3033" s="6" t="s">
        <v>16583</v>
      </c>
      <c r="J3033" s="6" t="s">
        <v>16584</v>
      </c>
      <c r="K3033" s="7">
        <f t="shared" si="2"/>
        <v>0.4226404419</v>
      </c>
    </row>
    <row r="3034">
      <c r="A3034" s="4">
        <v>3034.0</v>
      </c>
      <c r="B3034" s="5" t="s">
        <v>16585</v>
      </c>
      <c r="C3034" s="5" t="s">
        <v>16586</v>
      </c>
      <c r="D3034" s="5" t="s">
        <v>16587</v>
      </c>
      <c r="E3034" s="6" t="s">
        <v>11</v>
      </c>
      <c r="F3034" s="6" t="s">
        <v>16588</v>
      </c>
      <c r="G3034" s="3" t="str">
        <f>IFERROR(__xludf.DUMMYFUNCTION("REGEXREPLACE(
D3034,
""([一-龯々]+)\[([^\]]+)\]"",
""&lt;ruby&gt;$1&lt;rt&gt;$2&lt;/rt&gt;&lt;/ruby&gt;""
)&amp;""&lt;br&gt;&lt;div class=""""audio""""&gt;[sound:""&amp;C3034&amp;"".mp3]&lt;/div&gt;"""),"&lt;ruby&gt;本格&lt;rt&gt;ほんかく&lt;/rt&gt;&lt;/ruby&gt;&lt;br&gt;&lt;div class=""audio""&gt;[sound:ほんかく.mp3]&lt;/div&gt;")</f>
        <v>&lt;ruby&gt;本格&lt;rt&gt;ほんかく&lt;/rt&gt;&lt;/ruby&gt;&lt;br&gt;&lt;div class="audio"&gt;[sound:ほんかく.mp3]&lt;/div&gt;</v>
      </c>
      <c r="H3034" s="3" t="str">
        <f t="shared" si="1"/>
        <v>(adj): chính thức</v>
      </c>
      <c r="I3034" s="6" t="s">
        <v>16589</v>
      </c>
      <c r="J3034" s="6" t="s">
        <v>16590</v>
      </c>
      <c r="K3034" s="7">
        <f t="shared" si="2"/>
        <v>0.6386476859</v>
      </c>
    </row>
    <row r="3035">
      <c r="A3035" s="4">
        <v>3035.0</v>
      </c>
      <c r="B3035" s="5" t="s">
        <v>16591</v>
      </c>
      <c r="C3035" s="5" t="s">
        <v>16592</v>
      </c>
      <c r="D3035" s="5" t="s">
        <v>16593</v>
      </c>
      <c r="E3035" s="6" t="s">
        <v>11</v>
      </c>
      <c r="F3035" s="6" t="s">
        <v>16594</v>
      </c>
      <c r="G3035" s="3" t="str">
        <f>IFERROR(__xludf.DUMMYFUNCTION("REGEXREPLACE(
D3035,
""([一-龯々]+)\[([^\]]+)\]"",
""&lt;ruby&gt;$1&lt;rt&gt;$2&lt;/rt&gt;&lt;/ruby&gt;""
)&amp;""&lt;br&gt;&lt;div class=""""audio""""&gt;[sound:""&amp;C3035&amp;"".mp3]&lt;/div&gt;"""),"&lt;ruby&gt;強烈&lt;rt&gt;きょうれつ&lt;/rt&gt;&lt;/ruby&gt;&lt;br&gt;&lt;div class=""audio""&gt;[sound:きょうれつ.mp3]&lt;/div&gt;")</f>
        <v>&lt;ruby&gt;強烈&lt;rt&gt;きょうれつ&lt;/rt&gt;&lt;/ruby&gt;&lt;br&gt;&lt;div class="audio"&gt;[sound:きょうれつ.mp3]&lt;/div&gt;</v>
      </c>
      <c r="H3035" s="3" t="str">
        <f t="shared" si="1"/>
        <v>(adj): mãnh liệt</v>
      </c>
      <c r="I3035" s="6" t="s">
        <v>16595</v>
      </c>
      <c r="J3035" s="6" t="s">
        <v>16596</v>
      </c>
      <c r="K3035" s="7">
        <f t="shared" si="2"/>
        <v>0.1579518111</v>
      </c>
    </row>
    <row r="3036">
      <c r="A3036" s="4">
        <v>3036.0</v>
      </c>
      <c r="B3036" s="5" t="s">
        <v>16597</v>
      </c>
      <c r="C3036" s="5" t="s">
        <v>16598</v>
      </c>
      <c r="D3036" s="5" t="s">
        <v>16599</v>
      </c>
      <c r="E3036" s="6" t="s">
        <v>74</v>
      </c>
      <c r="F3036" s="6" t="s">
        <v>16600</v>
      </c>
      <c r="G3036" s="3" t="str">
        <f>IFERROR(__xludf.DUMMYFUNCTION("REGEXREPLACE(
D3036,
""([一-龯々]+)\[([^\]]+)\]"",
""&lt;ruby&gt;$1&lt;rt&gt;$2&lt;/rt&gt;&lt;/ruby&gt;""
)&amp;""&lt;br&gt;&lt;div class=""""audio""""&gt;[sound:""&amp;C3036&amp;"".mp3]&lt;/div&gt;"""),"&lt;ruby&gt;戦力&lt;rt&gt;せんりょく&lt;/rt&gt;&lt;/ruby&gt;&lt;br&gt;&lt;div class=""audio""&gt;[sound:せんりょく.mp3]&lt;/div&gt;")</f>
        <v>&lt;ruby&gt;戦力&lt;rt&gt;せんりょく&lt;/rt&gt;&lt;/ruby&gt;&lt;br&gt;&lt;div class="audio"&gt;[sound:せんりょく.mp3]&lt;/div&gt;</v>
      </c>
      <c r="H3036" s="3" t="str">
        <f t="shared" si="1"/>
        <v>(n): chiến lực</v>
      </c>
      <c r="I3036" s="6" t="s">
        <v>16601</v>
      </c>
      <c r="J3036" s="6" t="s">
        <v>16602</v>
      </c>
      <c r="K3036" s="7">
        <f t="shared" si="2"/>
        <v>0.5691731969</v>
      </c>
    </row>
    <row r="3037">
      <c r="A3037" s="4">
        <v>3037.0</v>
      </c>
      <c r="B3037" s="5" t="s">
        <v>16603</v>
      </c>
      <c r="C3037" s="5" t="s">
        <v>16604</v>
      </c>
      <c r="D3037" s="5" t="s">
        <v>16605</v>
      </c>
      <c r="E3037" s="6" t="s">
        <v>24</v>
      </c>
      <c r="F3037" s="6" t="s">
        <v>3109</v>
      </c>
      <c r="G3037" s="3" t="str">
        <f>IFERROR(__xludf.DUMMYFUNCTION("REGEXREPLACE(
D3037,
""([一-龯々]+)\[([^\]]+)\]"",
""&lt;ruby&gt;$1&lt;rt&gt;$2&lt;/rt&gt;&lt;/ruby&gt;""
)&amp;""&lt;br&gt;&lt;div class=""""audio""""&gt;[sound:""&amp;C3037&amp;"".mp3]&lt;/div&gt;"""),"&lt;ruby&gt;打&lt;rt&gt;う&lt;/rt&gt;&lt;/ruby&gt;ち&lt;ruby&gt;込&lt;rt&gt;こ&lt;/rt&gt;&lt;/ruby&gt;む&lt;br&gt;&lt;div class=""audio""&gt;[sound:うちこむ.mp3]&lt;/div&gt;")</f>
        <v>&lt;ruby&gt;打&lt;rt&gt;う&lt;/rt&gt;&lt;/ruby&gt;ち&lt;ruby&gt;込&lt;rt&gt;こ&lt;/rt&gt;&lt;/ruby&gt;む&lt;br&gt;&lt;div class="audio"&gt;[sound:うちこむ.mp3]&lt;/div&gt;</v>
      </c>
      <c r="H3037" s="3" t="str">
        <f t="shared" si="1"/>
        <v>(v): tập trung</v>
      </c>
      <c r="I3037" s="6" t="s">
        <v>16606</v>
      </c>
      <c r="J3037" s="6" t="s">
        <v>16607</v>
      </c>
      <c r="K3037" s="7">
        <f t="shared" si="2"/>
        <v>0.3940795038</v>
      </c>
    </row>
    <row r="3038">
      <c r="A3038" s="4">
        <v>3038.0</v>
      </c>
      <c r="B3038" s="5" t="s">
        <v>16608</v>
      </c>
      <c r="C3038" s="5" t="s">
        <v>16609</v>
      </c>
      <c r="D3038" s="5" t="s">
        <v>16610</v>
      </c>
      <c r="E3038" s="6" t="s">
        <v>74</v>
      </c>
      <c r="F3038" s="6" t="s">
        <v>4473</v>
      </c>
      <c r="G3038" s="3" t="str">
        <f>IFERROR(__xludf.DUMMYFUNCTION("REGEXREPLACE(
D3038,
""([一-龯々]+)\[([^\]]+)\]"",
""&lt;ruby&gt;$1&lt;rt&gt;$2&lt;/rt&gt;&lt;/ruby&gt;""
)&amp;""&lt;br&gt;&lt;div class=""""audio""""&gt;[sound:""&amp;C3038&amp;"".mp3]&lt;/div&gt;"""),"&lt;ruby&gt;折&lt;rt&gt;おり&lt;/rt&gt;&lt;/ruby&gt;&lt;br&gt;&lt;div class=""audio""&gt;[sound:おり.mp3]&lt;/div&gt;")</f>
        <v>&lt;ruby&gt;折&lt;rt&gt;おり&lt;/rt&gt;&lt;/ruby&gt;&lt;br&gt;&lt;div class="audio"&gt;[sound:おり.mp3]&lt;/div&gt;</v>
      </c>
      <c r="H3038" s="3" t="str">
        <f t="shared" si="1"/>
        <v>(n): thời điểm</v>
      </c>
      <c r="I3038" s="6" t="s">
        <v>16611</v>
      </c>
      <c r="J3038" s="6" t="s">
        <v>16612</v>
      </c>
      <c r="K3038" s="7">
        <f t="shared" si="2"/>
        <v>0.3916234839</v>
      </c>
    </row>
    <row r="3039">
      <c r="A3039" s="4">
        <v>3039.0</v>
      </c>
      <c r="B3039" s="5" t="s">
        <v>16613</v>
      </c>
      <c r="C3039" s="5" t="s">
        <v>16614</v>
      </c>
      <c r="D3039" s="5" t="s">
        <v>16615</v>
      </c>
      <c r="E3039" s="6" t="s">
        <v>11</v>
      </c>
      <c r="F3039" s="6" t="s">
        <v>14110</v>
      </c>
      <c r="G3039" s="3" t="str">
        <f>IFERROR(__xludf.DUMMYFUNCTION("REGEXREPLACE(
D3039,
""([一-龯々]+)\[([^\]]+)\]"",
""&lt;ruby&gt;$1&lt;rt&gt;$2&lt;/rt&gt;&lt;/ruby&gt;""
)&amp;""&lt;br&gt;&lt;div class=""""audio""""&gt;[sound:""&amp;C3039&amp;"".mp3]&lt;/div&gt;"""),"&lt;ruby&gt;望&lt;rt&gt;のぞ&lt;/rt&gt;&lt;/ruby&gt;ましい&lt;br&gt;&lt;div class=""audio""&gt;[sound:のぞましい.mp3]&lt;/div&gt;")</f>
        <v>&lt;ruby&gt;望&lt;rt&gt;のぞ&lt;/rt&gt;&lt;/ruby&gt;ましい&lt;br&gt;&lt;div class="audio"&gt;[sound:のぞましい.mp3]&lt;/div&gt;</v>
      </c>
      <c r="H3039" s="3" t="str">
        <f t="shared" si="1"/>
        <v>(adj): mong muốn</v>
      </c>
      <c r="I3039" s="6" t="s">
        <v>16616</v>
      </c>
      <c r="J3039" s="6" t="s">
        <v>16617</v>
      </c>
      <c r="K3039" s="7">
        <f t="shared" si="2"/>
        <v>0.3250489696</v>
      </c>
    </row>
    <row r="3040">
      <c r="A3040" s="4">
        <v>3040.0</v>
      </c>
      <c r="B3040" s="5" t="s">
        <v>16618</v>
      </c>
      <c r="C3040" s="5" t="s">
        <v>16619</v>
      </c>
      <c r="D3040" s="5" t="s">
        <v>16620</v>
      </c>
      <c r="E3040" s="6" t="s">
        <v>74</v>
      </c>
      <c r="F3040" s="6" t="s">
        <v>13613</v>
      </c>
      <c r="G3040" s="3" t="str">
        <f>IFERROR(__xludf.DUMMYFUNCTION("REGEXREPLACE(
D3040,
""([一-龯々]+)\[([^\]]+)\]"",
""&lt;ruby&gt;$1&lt;rt&gt;$2&lt;/rt&gt;&lt;/ruby&gt;""
)&amp;""&lt;br&gt;&lt;div class=""""audio""""&gt;[sound:""&amp;C3040&amp;"".mp3]&lt;/div&gt;"""),"&lt;ruby&gt;寄与&lt;rt&gt;きよ&lt;/rt&gt;&lt;/ruby&gt;&lt;br&gt;&lt;div class=""audio""&gt;[sound:きよ.mp3]&lt;/div&gt;")</f>
        <v>&lt;ruby&gt;寄与&lt;rt&gt;きよ&lt;/rt&gt;&lt;/ruby&gt;&lt;br&gt;&lt;div class="audio"&gt;[sound:きよ.mp3]&lt;/div&gt;</v>
      </c>
      <c r="H3040" s="3" t="str">
        <f t="shared" si="1"/>
        <v>(n): đóng góp</v>
      </c>
      <c r="I3040" s="6" t="s">
        <v>16621</v>
      </c>
      <c r="J3040" s="6" t="s">
        <v>16622</v>
      </c>
      <c r="K3040" s="7">
        <f t="shared" si="2"/>
        <v>0.2039859317</v>
      </c>
    </row>
    <row r="3041">
      <c r="A3041" s="4">
        <v>3041.0</v>
      </c>
      <c r="B3041" s="5" t="s">
        <v>16623</v>
      </c>
      <c r="C3041" s="5" t="s">
        <v>16624</v>
      </c>
      <c r="D3041" s="5" t="s">
        <v>16625</v>
      </c>
      <c r="E3041" s="6" t="s">
        <v>74</v>
      </c>
      <c r="F3041" s="6" t="s">
        <v>16626</v>
      </c>
      <c r="G3041" s="3" t="str">
        <f>IFERROR(__xludf.DUMMYFUNCTION("REGEXREPLACE(
D3041,
""([一-龯々]+)\[([^\]]+)\]"",
""&lt;ruby&gt;$1&lt;rt&gt;$2&lt;/rt&gt;&lt;/ruby&gt;""
)&amp;""&lt;br&gt;&lt;div class=""""audio""""&gt;[sound:""&amp;C3041&amp;"".mp3]&lt;/div&gt;"""),"&lt;ruby&gt;強行&lt;rt&gt;きょうこう&lt;/rt&gt;&lt;/ruby&gt;&lt;br&gt;&lt;div class=""audio""&gt;[sound:きょうこう.mp3]&lt;/div&gt;")</f>
        <v>&lt;ruby&gt;強行&lt;rt&gt;きょうこう&lt;/rt&gt;&lt;/ruby&gt;&lt;br&gt;&lt;div class="audio"&gt;[sound:きょうこう.mp3]&lt;/div&gt;</v>
      </c>
      <c r="H3041" s="3" t="str">
        <f t="shared" si="1"/>
        <v>(n): cưỡng ép</v>
      </c>
      <c r="I3041" s="6" t="s">
        <v>16627</v>
      </c>
      <c r="J3041" s="6" t="s">
        <v>16628</v>
      </c>
      <c r="K3041" s="7">
        <f t="shared" si="2"/>
        <v>0.9068985779</v>
      </c>
    </row>
    <row r="3042">
      <c r="A3042" s="4">
        <v>3042.0</v>
      </c>
      <c r="B3042" s="5" t="s">
        <v>16629</v>
      </c>
      <c r="C3042" s="5" t="s">
        <v>16630</v>
      </c>
      <c r="D3042" s="5" t="s">
        <v>16631</v>
      </c>
      <c r="E3042" s="6" t="s">
        <v>74</v>
      </c>
      <c r="F3042" s="6" t="s">
        <v>3056</v>
      </c>
      <c r="G3042" s="3" t="str">
        <f>IFERROR(__xludf.DUMMYFUNCTION("REGEXREPLACE(
D3042,
""([一-龯々]+)\[([^\]]+)\]"",
""&lt;ruby&gt;$1&lt;rt&gt;$2&lt;/rt&gt;&lt;/ruby&gt;""
)&amp;""&lt;br&gt;&lt;div class=""""audio""""&gt;[sound:""&amp;C3042&amp;"".mp3]&lt;/div&gt;"""),"&lt;ruby&gt;捜索&lt;rt&gt;そうさく&lt;/rt&gt;&lt;/ruby&gt;&lt;br&gt;&lt;div class=""audio""&gt;[sound:そうさく.mp3]&lt;/div&gt;")</f>
        <v>&lt;ruby&gt;捜索&lt;rt&gt;そうさく&lt;/rt&gt;&lt;/ruby&gt;&lt;br&gt;&lt;div class="audio"&gt;[sound:そうさく.mp3]&lt;/div&gt;</v>
      </c>
      <c r="H3042" s="3" t="str">
        <f t="shared" si="1"/>
        <v>(n): tìm kiếm</v>
      </c>
      <c r="I3042" s="6" t="s">
        <v>16632</v>
      </c>
      <c r="J3042" s="6" t="s">
        <v>16633</v>
      </c>
      <c r="K3042" s="7">
        <f t="shared" si="2"/>
        <v>0.3343982744</v>
      </c>
    </row>
    <row r="3043">
      <c r="A3043" s="4">
        <v>3043.0</v>
      </c>
      <c r="B3043" s="5" t="s">
        <v>16634</v>
      </c>
      <c r="C3043" s="5" t="s">
        <v>16635</v>
      </c>
      <c r="D3043" s="5" t="s">
        <v>16636</v>
      </c>
      <c r="E3043" s="6" t="s">
        <v>74</v>
      </c>
      <c r="F3043" s="6" t="s">
        <v>16637</v>
      </c>
      <c r="G3043" s="3" t="str">
        <f>IFERROR(__xludf.DUMMYFUNCTION("REGEXREPLACE(
D3043,
""([一-龯々]+)\[([^\]]+)\]"",
""&lt;ruby&gt;$1&lt;rt&gt;$2&lt;/rt&gt;&lt;/ruby&gt;""
)&amp;""&lt;br&gt;&lt;div class=""""audio""""&gt;[sound:""&amp;C3043&amp;"".mp3]&lt;/div&gt;"""),"&lt;ruby&gt;推理&lt;rt&gt;すいり&lt;/rt&gt;&lt;/ruby&gt;&lt;br&gt;&lt;div class=""audio""&gt;[sound:すいり.mp3]&lt;/div&gt;")</f>
        <v>&lt;ruby&gt;推理&lt;rt&gt;すいり&lt;/rt&gt;&lt;/ruby&gt;&lt;br&gt;&lt;div class="audio"&gt;[sound:すいり.mp3]&lt;/div&gt;</v>
      </c>
      <c r="H3043" s="3" t="str">
        <f t="shared" si="1"/>
        <v>(n): suy luận</v>
      </c>
      <c r="I3043" s="6" t="s">
        <v>16638</v>
      </c>
      <c r="J3043" s="6" t="s">
        <v>16639</v>
      </c>
      <c r="K3043" s="7">
        <f t="shared" si="2"/>
        <v>0.5321517175</v>
      </c>
    </row>
    <row r="3044">
      <c r="A3044" s="4">
        <v>3044.0</v>
      </c>
      <c r="B3044" s="5" t="s">
        <v>16640</v>
      </c>
      <c r="C3044" s="5" t="s">
        <v>16641</v>
      </c>
      <c r="D3044" s="5" t="s">
        <v>16642</v>
      </c>
      <c r="E3044" s="6" t="s">
        <v>24</v>
      </c>
      <c r="F3044" s="6" t="s">
        <v>16643</v>
      </c>
      <c r="G3044" s="3" t="str">
        <f>IFERROR(__xludf.DUMMYFUNCTION("REGEXREPLACE(
D3044,
""([一-龯々]+)\[([^\]]+)\]"",
""&lt;ruby&gt;$1&lt;rt&gt;$2&lt;/rt&gt;&lt;/ruby&gt;""
)&amp;""&lt;br&gt;&lt;div class=""""audio""""&gt;[sound:""&amp;C3044&amp;"".mp3]&lt;/div&gt;"""),"&lt;ruby&gt;寝&lt;rt&gt;ね&lt;/rt&gt;&lt;/ruby&gt;かせる&lt;br&gt;&lt;div class=""audio""&gt;[sound:ねかせる.mp3]&lt;/div&gt;")</f>
        <v>&lt;ruby&gt;寝&lt;rt&gt;ね&lt;/rt&gt;&lt;/ruby&gt;かせる&lt;br&gt;&lt;div class="audio"&gt;[sound:ねかせる.mp3]&lt;/div&gt;</v>
      </c>
      <c r="H3044" s="3" t="str">
        <f t="shared" si="1"/>
        <v>(v): cho ngủ</v>
      </c>
      <c r="I3044" s="6" t="s">
        <v>16644</v>
      </c>
      <c r="J3044" s="6" t="s">
        <v>16645</v>
      </c>
      <c r="K3044" s="7">
        <f t="shared" si="2"/>
        <v>0.0417717954</v>
      </c>
    </row>
    <row r="3045">
      <c r="A3045" s="4">
        <v>3045.0</v>
      </c>
      <c r="B3045" s="5" t="s">
        <v>16646</v>
      </c>
      <c r="C3045" s="5" t="s">
        <v>16647</v>
      </c>
      <c r="D3045" s="5" t="s">
        <v>16648</v>
      </c>
      <c r="E3045" s="6" t="s">
        <v>74</v>
      </c>
      <c r="F3045" s="6" t="s">
        <v>16649</v>
      </c>
      <c r="G3045" s="3" t="str">
        <f>IFERROR(__xludf.DUMMYFUNCTION("REGEXREPLACE(
D3045,
""([一-龯々]+)\[([^\]]+)\]"",
""&lt;ruby&gt;$1&lt;rt&gt;$2&lt;/rt&gt;&lt;/ruby&gt;""
)&amp;""&lt;br&gt;&lt;div class=""""audio""""&gt;[sound:""&amp;C3045&amp;"".mp3]&lt;/div&gt;"""),"&lt;ruby&gt;手配&lt;rt&gt;てはい&lt;/rt&gt;&lt;/ruby&gt;&lt;br&gt;&lt;div class=""audio""&gt;[sound:てはい.mp3]&lt;/div&gt;")</f>
        <v>&lt;ruby&gt;手配&lt;rt&gt;てはい&lt;/rt&gt;&lt;/ruby&gt;&lt;br&gt;&lt;div class="audio"&gt;[sound:てはい.mp3]&lt;/div&gt;</v>
      </c>
      <c r="H3045" s="3" t="str">
        <f t="shared" si="1"/>
        <v>(n): sắp xếp</v>
      </c>
      <c r="I3045" s="6" t="s">
        <v>16650</v>
      </c>
      <c r="J3045" s="6" t="s">
        <v>16651</v>
      </c>
      <c r="K3045" s="7">
        <f t="shared" si="2"/>
        <v>0.5950715443</v>
      </c>
    </row>
    <row r="3046">
      <c r="A3046" s="4">
        <v>3046.0</v>
      </c>
      <c r="B3046" s="5" t="s">
        <v>16652</v>
      </c>
      <c r="C3046" s="5" t="s">
        <v>16653</v>
      </c>
      <c r="D3046" s="5" t="s">
        <v>16654</v>
      </c>
      <c r="E3046" s="6" t="s">
        <v>74</v>
      </c>
      <c r="F3046" s="6" t="s">
        <v>16655</v>
      </c>
      <c r="G3046" s="3" t="str">
        <f>IFERROR(__xludf.DUMMYFUNCTION("REGEXREPLACE(
D3046,
""([一-龯々]+)\[([^\]]+)\]"",
""&lt;ruby&gt;$1&lt;rt&gt;$2&lt;/rt&gt;&lt;/ruby&gt;""
)&amp;""&lt;br&gt;&lt;div class=""""audio""""&gt;[sound:""&amp;C3046&amp;"".mp3]&lt;/div&gt;"""),"&lt;ruby&gt;描写&lt;rt&gt;びょうしゃ&lt;/rt&gt;&lt;/ruby&gt;&lt;br&gt;&lt;div class=""audio""&gt;[sound:びょうしゃ.mp3]&lt;/div&gt;")</f>
        <v>&lt;ruby&gt;描写&lt;rt&gt;びょうしゃ&lt;/rt&gt;&lt;/ruby&gt;&lt;br&gt;&lt;div class="audio"&gt;[sound:びょうしゃ.mp3]&lt;/div&gt;</v>
      </c>
      <c r="H3046" s="3" t="str">
        <f t="shared" si="1"/>
        <v>(n): miêu tả</v>
      </c>
      <c r="I3046" s="6" t="s">
        <v>16656</v>
      </c>
      <c r="J3046" s="6" t="s">
        <v>16657</v>
      </c>
      <c r="K3046" s="7">
        <f t="shared" si="2"/>
        <v>0.3706603317</v>
      </c>
    </row>
    <row r="3047">
      <c r="A3047" s="4">
        <v>3047.0</v>
      </c>
      <c r="B3047" s="5" t="s">
        <v>16658</v>
      </c>
      <c r="C3047" s="5" t="s">
        <v>16659</v>
      </c>
      <c r="D3047" s="5" t="s">
        <v>16660</v>
      </c>
      <c r="E3047" s="6" t="s">
        <v>74</v>
      </c>
      <c r="F3047" s="6" t="s">
        <v>8957</v>
      </c>
      <c r="G3047" s="3" t="str">
        <f>IFERROR(__xludf.DUMMYFUNCTION("REGEXREPLACE(
D3047,
""([一-龯々]+)\[([^\]]+)\]"",
""&lt;ruby&gt;$1&lt;rt&gt;$2&lt;/rt&gt;&lt;/ruby&gt;""
)&amp;""&lt;br&gt;&lt;div class=""""audio""""&gt;[sound:""&amp;C3047&amp;"".mp3]&lt;/div&gt;"""),"&lt;ruby&gt;恥&lt;rt&gt;はじ&lt;/rt&gt;&lt;/ruby&gt;&lt;br&gt;&lt;div class=""audio""&gt;[sound:はじ.mp3]&lt;/div&gt;")</f>
        <v>&lt;ruby&gt;恥&lt;rt&gt;はじ&lt;/rt&gt;&lt;/ruby&gt;&lt;br&gt;&lt;div class="audio"&gt;[sound:はじ.mp3]&lt;/div&gt;</v>
      </c>
      <c r="H3047" s="3" t="str">
        <f t="shared" si="1"/>
        <v>(n): xấu hổ</v>
      </c>
      <c r="I3047" s="6" t="s">
        <v>16661</v>
      </c>
      <c r="J3047" s="6" t="s">
        <v>16662</v>
      </c>
      <c r="K3047" s="7">
        <f t="shared" si="2"/>
        <v>0.0904281436</v>
      </c>
    </row>
    <row r="3048">
      <c r="A3048" s="4">
        <v>3048.0</v>
      </c>
      <c r="B3048" s="5" t="s">
        <v>16663</v>
      </c>
      <c r="C3048" s="5" t="s">
        <v>16664</v>
      </c>
      <c r="D3048" s="5" t="s">
        <v>16665</v>
      </c>
      <c r="E3048" s="6" t="s">
        <v>11</v>
      </c>
      <c r="F3048" s="6" t="s">
        <v>1302</v>
      </c>
      <c r="G3048" s="3" t="str">
        <f>IFERROR(__xludf.DUMMYFUNCTION("REGEXREPLACE(
D3048,
""([一-龯々]+)\[([^\]]+)\]"",
""&lt;ruby&gt;$1&lt;rt&gt;$2&lt;/rt&gt;&lt;/ruby&gt;""
)&amp;""&lt;br&gt;&lt;div class=""""audio""""&gt;[sound:""&amp;C3048&amp;"".mp3]&lt;/div&gt;"""),"&lt;ruby&gt;新&lt;rt&gt;あら&lt;/rt&gt;&lt;/ruby&gt;た&lt;br&gt;&lt;div class=""audio""&gt;[sound:あらた.mp3]&lt;/div&gt;")</f>
        <v>&lt;ruby&gt;新&lt;rt&gt;あら&lt;/rt&gt;&lt;/ruby&gt;た&lt;br&gt;&lt;div class="audio"&gt;[sound:あらた.mp3]&lt;/div&gt;</v>
      </c>
      <c r="H3048" s="3" t="str">
        <f t="shared" si="1"/>
        <v>(adj): mới</v>
      </c>
      <c r="I3048" s="6" t="s">
        <v>16666</v>
      </c>
      <c r="J3048" s="6" t="s">
        <v>16667</v>
      </c>
      <c r="K3048" s="7">
        <f t="shared" si="2"/>
        <v>0.03581858402</v>
      </c>
    </row>
    <row r="3049">
      <c r="A3049" s="4">
        <v>3049.0</v>
      </c>
      <c r="B3049" s="5" t="s">
        <v>16668</v>
      </c>
      <c r="C3049" s="5" t="s">
        <v>16669</v>
      </c>
      <c r="D3049" s="5" t="s">
        <v>16670</v>
      </c>
      <c r="E3049" s="6" t="s">
        <v>74</v>
      </c>
      <c r="F3049" s="6" t="s">
        <v>16671</v>
      </c>
      <c r="G3049" s="3" t="str">
        <f>IFERROR(__xludf.DUMMYFUNCTION("REGEXREPLACE(
D3049,
""([一-龯々]+)\[([^\]]+)\]"",
""&lt;ruby&gt;$1&lt;rt&gt;$2&lt;/rt&gt;&lt;/ruby&gt;""
)&amp;""&lt;br&gt;&lt;div class=""""audio""""&gt;[sound:""&amp;C3049&amp;"".mp3]&lt;/div&gt;"""),"&lt;ruby&gt;支払&lt;rt&gt;しはらい&lt;/rt&gt;&lt;/ruby&gt;&lt;br&gt;&lt;div class=""audio""&gt;[sound:しはらい.mp3]&lt;/div&gt;")</f>
        <v>&lt;ruby&gt;支払&lt;rt&gt;しはらい&lt;/rt&gt;&lt;/ruby&gt;&lt;br&gt;&lt;div class="audio"&gt;[sound:しはらい.mp3]&lt;/div&gt;</v>
      </c>
      <c r="H3049" s="3" t="str">
        <f t="shared" si="1"/>
        <v>(n): thanh toán</v>
      </c>
      <c r="I3049" s="6" t="s">
        <v>16672</v>
      </c>
      <c r="J3049" s="6" t="s">
        <v>16673</v>
      </c>
      <c r="K3049" s="7">
        <f t="shared" si="2"/>
        <v>0.8032306735</v>
      </c>
    </row>
    <row r="3050">
      <c r="A3050" s="4">
        <v>3050.0</v>
      </c>
      <c r="B3050" s="5" t="s">
        <v>16674</v>
      </c>
      <c r="C3050" s="5" t="s">
        <v>16675</v>
      </c>
      <c r="D3050" s="5" t="s">
        <v>16676</v>
      </c>
      <c r="E3050" s="6" t="s">
        <v>74</v>
      </c>
      <c r="F3050" s="6" t="s">
        <v>5685</v>
      </c>
      <c r="G3050" s="3" t="str">
        <f>IFERROR(__xludf.DUMMYFUNCTION("REGEXREPLACE(
D3050,
""([一-龯々]+)\[([^\]]+)\]"",
""&lt;ruby&gt;$1&lt;rt&gt;$2&lt;/rt&gt;&lt;/ruby&gt;""
)&amp;""&lt;br&gt;&lt;div class=""""audio""""&gt;[sound:""&amp;C3050&amp;"".mp3]&lt;/div&gt;"""),"&lt;ruby&gt;標準&lt;rt&gt;ひょうじゅん&lt;/rt&gt;&lt;/ruby&gt;&lt;br&gt;&lt;div class=""audio""&gt;[sound:ひょうじゅん.mp3]&lt;/div&gt;")</f>
        <v>&lt;ruby&gt;標準&lt;rt&gt;ひょうじゅん&lt;/rt&gt;&lt;/ruby&gt;&lt;br&gt;&lt;div class="audio"&gt;[sound:ひょうじゅん.mp3]&lt;/div&gt;</v>
      </c>
      <c r="H3050" s="3" t="str">
        <f t="shared" si="1"/>
        <v>(n): tiêu chuẩn</v>
      </c>
      <c r="I3050" s="6" t="s">
        <v>16677</v>
      </c>
      <c r="J3050" s="6" t="s">
        <v>16678</v>
      </c>
      <c r="K3050" s="7">
        <f t="shared" si="2"/>
        <v>0.4472031307</v>
      </c>
    </row>
    <row r="3051">
      <c r="A3051" s="4">
        <v>3051.0</v>
      </c>
      <c r="B3051" s="5" t="s">
        <v>16679</v>
      </c>
      <c r="C3051" s="5" t="s">
        <v>16680</v>
      </c>
      <c r="D3051" s="5" t="s">
        <v>16681</v>
      </c>
      <c r="E3051" s="6" t="s">
        <v>74</v>
      </c>
      <c r="F3051" s="6" t="s">
        <v>16682</v>
      </c>
      <c r="G3051" s="3" t="str">
        <f>IFERROR(__xludf.DUMMYFUNCTION("REGEXREPLACE(
D3051,
""([一-龯々]+)\[([^\]]+)\]"",
""&lt;ruby&gt;$1&lt;rt&gt;$2&lt;/rt&gt;&lt;/ruby&gt;""
)&amp;""&lt;br&gt;&lt;div class=""""audio""""&gt;[sound:""&amp;C3051&amp;"".mp3]&lt;/div&gt;"""),"&lt;ruby&gt;晩&lt;rt&gt;ばん&lt;/rt&gt;&lt;/ruby&gt;&lt;br&gt;&lt;div class=""audio""&gt;[sound:ばん.mp3]&lt;/div&gt;")</f>
        <v>&lt;ruby&gt;晩&lt;rt&gt;ばん&lt;/rt&gt;&lt;/ruby&gt;&lt;br&gt;&lt;div class="audio"&gt;[sound:ばん.mp3]&lt;/div&gt;</v>
      </c>
      <c r="H3051" s="3" t="str">
        <f t="shared" si="1"/>
        <v>(n): buổi tối</v>
      </c>
      <c r="I3051" s="6" t="s">
        <v>16683</v>
      </c>
      <c r="J3051" s="6" t="s">
        <v>16684</v>
      </c>
      <c r="K3051" s="7">
        <f t="shared" si="2"/>
        <v>0.7469633876</v>
      </c>
    </row>
    <row r="3052">
      <c r="A3052" s="4">
        <v>3052.0</v>
      </c>
      <c r="B3052" s="5" t="s">
        <v>16685</v>
      </c>
      <c r="C3052" s="5" t="s">
        <v>16686</v>
      </c>
      <c r="D3052" s="5" t="s">
        <v>16687</v>
      </c>
      <c r="E3052" s="6" t="s">
        <v>24</v>
      </c>
      <c r="F3052" s="6" t="s">
        <v>16688</v>
      </c>
      <c r="G3052" s="3" t="str">
        <f>IFERROR(__xludf.DUMMYFUNCTION("REGEXREPLACE(
D3052,
""([一-龯々]+)\[([^\]]+)\]"",
""&lt;ruby&gt;$1&lt;rt&gt;$2&lt;/rt&gt;&lt;/ruby&gt;""
)&amp;""&lt;br&gt;&lt;div class=""""audio""""&gt;[sound:""&amp;C3052&amp;"".mp3]&lt;/div&gt;"""),"&lt;ruby&gt;数&lt;rt&gt;かぞ&lt;/rt&gt;&lt;/ruby&gt;える&lt;br&gt;&lt;div class=""audio""&gt;[sound:かぞえる.mp3]&lt;/div&gt;")</f>
        <v>&lt;ruby&gt;数&lt;rt&gt;かぞ&lt;/rt&gt;&lt;/ruby&gt;える&lt;br&gt;&lt;div class="audio"&gt;[sound:かぞえる.mp3]&lt;/div&gt;</v>
      </c>
      <c r="H3052" s="3" t="str">
        <f t="shared" si="1"/>
        <v>(v): đếm</v>
      </c>
      <c r="I3052" s="6" t="s">
        <v>16689</v>
      </c>
      <c r="J3052" s="6" t="s">
        <v>16690</v>
      </c>
      <c r="K3052" s="7">
        <f t="shared" si="2"/>
        <v>0.7159247876</v>
      </c>
    </row>
    <row r="3053">
      <c r="A3053" s="4">
        <v>3053.0</v>
      </c>
      <c r="B3053" s="5" t="s">
        <v>16691</v>
      </c>
      <c r="C3053" s="5" t="s">
        <v>16692</v>
      </c>
      <c r="D3053" s="5" t="s">
        <v>16693</v>
      </c>
      <c r="E3053" s="6" t="s">
        <v>74</v>
      </c>
      <c r="F3053" s="6" t="s">
        <v>16694</v>
      </c>
      <c r="G3053" s="3" t="str">
        <f>IFERROR(__xludf.DUMMYFUNCTION("REGEXREPLACE(
D3053,
""([一-龯々]+)\[([^\]]+)\]"",
""&lt;ruby&gt;$1&lt;rt&gt;$2&lt;/rt&gt;&lt;/ruby&gt;""
)&amp;""&lt;br&gt;&lt;div class=""""audio""""&gt;[sound:""&amp;C3053&amp;"".mp3]&lt;/div&gt;"""),"&lt;ruby&gt;曜日&lt;rt&gt;ようび&lt;/rt&gt;&lt;/ruby&gt;&lt;br&gt;&lt;div class=""audio""&gt;[sound:ようび.mp3]&lt;/div&gt;")</f>
        <v>&lt;ruby&gt;曜日&lt;rt&gt;ようび&lt;/rt&gt;&lt;/ruby&gt;&lt;br&gt;&lt;div class="audio"&gt;[sound:ようび.mp3]&lt;/div&gt;</v>
      </c>
      <c r="H3053" s="3" t="str">
        <f t="shared" si="1"/>
        <v>(n): thứ</v>
      </c>
      <c r="I3053" s="6" t="s">
        <v>16695</v>
      </c>
      <c r="J3053" s="6" t="s">
        <v>16696</v>
      </c>
      <c r="K3053" s="7">
        <f t="shared" si="2"/>
        <v>0.3060088773</v>
      </c>
    </row>
    <row r="3054">
      <c r="A3054" s="4">
        <v>3054.0</v>
      </c>
      <c r="B3054" s="5" t="s">
        <v>16697</v>
      </c>
      <c r="C3054" s="5" t="s">
        <v>16698</v>
      </c>
      <c r="D3054" s="5" t="s">
        <v>16699</v>
      </c>
      <c r="E3054" s="6" t="s">
        <v>74</v>
      </c>
      <c r="F3054" s="6" t="s">
        <v>4673</v>
      </c>
      <c r="G3054" s="3" t="str">
        <f>IFERROR(__xludf.DUMMYFUNCTION("REGEXREPLACE(
D3054,
""([一-龯々]+)\[([^\]]+)\]"",
""&lt;ruby&gt;$1&lt;rt&gt;$2&lt;/rt&gt;&lt;/ruby&gt;""
)&amp;""&lt;br&gt;&lt;div class=""""audio""""&gt;[sound:""&amp;C3054&amp;"".mp3]&lt;/div&gt;"""),"&lt;ruby&gt;椅子&lt;rt&gt;いす&lt;/rt&gt;&lt;/ruby&gt;&lt;br&gt;&lt;div class=""audio""&gt;[sound:いす.mp3]&lt;/div&gt;")</f>
        <v>&lt;ruby&gt;椅子&lt;rt&gt;いす&lt;/rt&gt;&lt;/ruby&gt;&lt;br&gt;&lt;div class="audio"&gt;[sound:いす.mp3]&lt;/div&gt;</v>
      </c>
      <c r="H3054" s="3" t="str">
        <f t="shared" si="1"/>
        <v>(n): ghế</v>
      </c>
      <c r="I3054" s="6" t="s">
        <v>16700</v>
      </c>
      <c r="J3054" s="6" t="s">
        <v>16701</v>
      </c>
      <c r="K3054" s="7">
        <f t="shared" si="2"/>
        <v>0.5388701472</v>
      </c>
    </row>
    <row r="3055">
      <c r="A3055" s="4">
        <v>3055.0</v>
      </c>
      <c r="B3055" s="5" t="s">
        <v>16702</v>
      </c>
      <c r="C3055" s="5" t="s">
        <v>3166</v>
      </c>
      <c r="D3055" s="5" t="s">
        <v>16703</v>
      </c>
      <c r="E3055" s="6" t="s">
        <v>74</v>
      </c>
      <c r="F3055" s="6" t="s">
        <v>4897</v>
      </c>
      <c r="G3055" s="3" t="str">
        <f>IFERROR(__xludf.DUMMYFUNCTION("REGEXREPLACE(
D3055,
""([一-龯々]+)\[([^\]]+)\]"",
""&lt;ruby&gt;$1&lt;rt&gt;$2&lt;/rt&gt;&lt;/ruby&gt;""
)&amp;""&lt;br&gt;&lt;div class=""""audio""""&gt;[sound:""&amp;C3055&amp;"".mp3]&lt;/div&gt;"""),"&lt;ruby&gt;正&lt;rt&gt;せい&lt;/rt&gt;&lt;/ruby&gt;&lt;br&gt;&lt;div class=""audio""&gt;[sound:せい.mp3]&lt;/div&gt;")</f>
        <v>&lt;ruby&gt;正&lt;rt&gt;せい&lt;/rt&gt;&lt;/ruby&gt;&lt;br&gt;&lt;div class="audio"&gt;[sound:せい.mp3]&lt;/div&gt;</v>
      </c>
      <c r="H3055" s="3" t="str">
        <f t="shared" si="1"/>
        <v>(n): đúng</v>
      </c>
      <c r="I3055" s="6" t="s">
        <v>16704</v>
      </c>
      <c r="J3055" s="6" t="s">
        <v>16705</v>
      </c>
      <c r="K3055" s="7">
        <f t="shared" si="2"/>
        <v>0.9999678776</v>
      </c>
    </row>
    <row r="3056">
      <c r="A3056" s="4">
        <v>3056.0</v>
      </c>
      <c r="B3056" s="5" t="s">
        <v>16706</v>
      </c>
      <c r="C3056" s="5" t="s">
        <v>16707</v>
      </c>
      <c r="D3056" s="5" t="s">
        <v>16708</v>
      </c>
      <c r="E3056" s="6" t="s">
        <v>24</v>
      </c>
      <c r="F3056" s="6" t="s">
        <v>16709</v>
      </c>
      <c r="G3056" s="3" t="str">
        <f>IFERROR(__xludf.DUMMYFUNCTION("REGEXREPLACE(
D3056,
""([一-龯々]+)\[([^\]]+)\]"",
""&lt;ruby&gt;$1&lt;rt&gt;$2&lt;/rt&gt;&lt;/ruby&gt;""
)&amp;""&lt;br&gt;&lt;div class=""""audio""""&gt;[sound:""&amp;C3056&amp;"".mp3]&lt;/div&gt;"""),"&lt;ruby&gt;掘&lt;rt&gt;ほ&lt;/rt&gt;&lt;/ruby&gt;る&lt;br&gt;&lt;div class=""audio""&gt;[sound:ほる.mp3]&lt;/div&gt;")</f>
        <v>&lt;ruby&gt;掘&lt;rt&gt;ほ&lt;/rt&gt;&lt;/ruby&gt;る&lt;br&gt;&lt;div class="audio"&gt;[sound:ほる.mp3]&lt;/div&gt;</v>
      </c>
      <c r="H3056" s="3" t="str">
        <f t="shared" si="1"/>
        <v>(v): đào</v>
      </c>
      <c r="I3056" s="6" t="s">
        <v>16710</v>
      </c>
      <c r="J3056" s="6" t="s">
        <v>16711</v>
      </c>
      <c r="K3056" s="7">
        <f t="shared" si="2"/>
        <v>0.1555052355</v>
      </c>
    </row>
    <row r="3057">
      <c r="A3057" s="4">
        <v>3057.0</v>
      </c>
      <c r="B3057" s="5" t="s">
        <v>16712</v>
      </c>
      <c r="C3057" s="5" t="s">
        <v>5333</v>
      </c>
      <c r="D3057" s="5" t="s">
        <v>16713</v>
      </c>
      <c r="E3057" s="6" t="s">
        <v>74</v>
      </c>
      <c r="F3057" s="6" t="s">
        <v>16714</v>
      </c>
      <c r="G3057" s="3" t="str">
        <f>IFERROR(__xludf.DUMMYFUNCTION("REGEXREPLACE(
D3057,
""([一-龯々]+)\[([^\]]+)\]"",
""&lt;ruby&gt;$1&lt;rt&gt;$2&lt;/rt&gt;&lt;/ruby&gt;""
)&amp;""&lt;br&gt;&lt;div class=""""audio""""&gt;[sound:""&amp;C3057&amp;"".mp3]&lt;/div&gt;"""),"&lt;ruby&gt;基&lt;rt&gt;もと&lt;/rt&gt;&lt;/ruby&gt;&lt;br&gt;&lt;div class=""audio""&gt;[sound:もと.mp3]&lt;/div&gt;")</f>
        <v>&lt;ruby&gt;基&lt;rt&gt;もと&lt;/rt&gt;&lt;/ruby&gt;&lt;br&gt;&lt;div class="audio"&gt;[sound:もと.mp3]&lt;/div&gt;</v>
      </c>
      <c r="H3057" s="3" t="str">
        <f t="shared" si="1"/>
        <v>(n): nền tảng</v>
      </c>
      <c r="I3057" s="6" t="s">
        <v>16715</v>
      </c>
      <c r="J3057" s="6" t="s">
        <v>16716</v>
      </c>
      <c r="K3057" s="7">
        <f t="shared" si="2"/>
        <v>0.08243305172</v>
      </c>
    </row>
    <row r="3058">
      <c r="A3058" s="4">
        <v>3058.0</v>
      </c>
      <c r="B3058" s="5" t="s">
        <v>16717</v>
      </c>
      <c r="C3058" s="5" t="s">
        <v>16718</v>
      </c>
      <c r="D3058" s="5" t="s">
        <v>16719</v>
      </c>
      <c r="E3058" s="6" t="s">
        <v>74</v>
      </c>
      <c r="F3058" s="6" t="s">
        <v>5095</v>
      </c>
      <c r="G3058" s="3" t="str">
        <f>IFERROR(__xludf.DUMMYFUNCTION("REGEXREPLACE(
D3058,
""([一-龯々]+)\[([^\]]+)\]"",
""&lt;ruby&gt;$1&lt;rt&gt;$2&lt;/rt&gt;&lt;/ruby&gt;""
)&amp;""&lt;br&gt;&lt;div class=""""audio""""&gt;[sound:""&amp;C3058&amp;"".mp3]&lt;/div&gt;"""),"お&lt;ruby&gt;嬢&lt;rt&gt;じょう&lt;/rt&gt;&lt;/ruby&gt;さん&lt;br&gt;&lt;div class=""audio""&gt;[sound:おじょうさん.mp3]&lt;/div&gt;")</f>
        <v>お&lt;ruby&gt;嬢&lt;rt&gt;じょう&lt;/rt&gt;&lt;/ruby&gt;さん&lt;br&gt;&lt;div class="audio"&gt;[sound:おじょうさん.mp3]&lt;/div&gt;</v>
      </c>
      <c r="H3058" s="3" t="str">
        <f t="shared" si="1"/>
        <v>(n): con gái</v>
      </c>
      <c r="I3058" s="6" t="s">
        <v>16720</v>
      </c>
      <c r="J3058" s="6" t="s">
        <v>16721</v>
      </c>
      <c r="K3058" s="7">
        <f t="shared" si="2"/>
        <v>0.3440144619</v>
      </c>
    </row>
    <row r="3059">
      <c r="A3059" s="4">
        <v>3059.0</v>
      </c>
      <c r="B3059" s="5" t="s">
        <v>16722</v>
      </c>
      <c r="C3059" s="5" t="s">
        <v>16723</v>
      </c>
      <c r="D3059" s="5" t="s">
        <v>16724</v>
      </c>
      <c r="E3059" s="6" t="s">
        <v>33</v>
      </c>
      <c r="F3059" s="6" t="s">
        <v>5140</v>
      </c>
      <c r="G3059" s="3" t="str">
        <f>IFERROR(__xludf.DUMMYFUNCTION("REGEXREPLACE(
D3059,
""([一-龯々]+)\[([^\]]+)\]"",
""&lt;ruby&gt;$1&lt;rt&gt;$2&lt;/rt&gt;&lt;/ruby&gt;""
)&amp;""&lt;br&gt;&lt;div class=""""audio""""&gt;[sound:""&amp;C3059&amp;"".mp3]&lt;/div&gt;"""),"お&lt;ruby&gt;大事&lt;rt&gt;だいじ&lt;/rt&gt;&lt;/ruby&gt;に&lt;br&gt;&lt;div class=""audio""&gt;[sound:おだいじに.mp3]&lt;/div&gt;")</f>
        <v>お&lt;ruby&gt;大事&lt;rt&gt;だいじ&lt;/rt&gt;&lt;/ruby&gt;に&lt;br&gt;&lt;div class="audio"&gt;[sound:おだいじに.mp3]&lt;/div&gt;</v>
      </c>
      <c r="H3059" s="3" t="str">
        <f t="shared" si="1"/>
        <v>(int): giữ gìn sức khỏe</v>
      </c>
      <c r="I3059" s="6" t="s">
        <v>16725</v>
      </c>
      <c r="J3059" s="6" t="s">
        <v>16726</v>
      </c>
      <c r="K3059" s="7">
        <f t="shared" si="2"/>
        <v>0.9365196929</v>
      </c>
    </row>
    <row r="3060">
      <c r="A3060" s="4">
        <v>3060.0</v>
      </c>
      <c r="B3060" s="5" t="s">
        <v>16727</v>
      </c>
      <c r="C3060" s="5" t="s">
        <v>16728</v>
      </c>
      <c r="D3060" s="5" t="s">
        <v>16729</v>
      </c>
      <c r="E3060" s="6" t="s">
        <v>24</v>
      </c>
      <c r="F3060" s="6" t="s">
        <v>16730</v>
      </c>
      <c r="G3060" s="3" t="str">
        <f>IFERROR(__xludf.DUMMYFUNCTION("REGEXREPLACE(
D3060,
""([一-龯々]+)\[([^\]]+)\]"",
""&lt;ruby&gt;$1&lt;rt&gt;$2&lt;/rt&gt;&lt;/ruby&gt;""
)&amp;""&lt;br&gt;&lt;div class=""""audio""""&gt;[sound:""&amp;C3060&amp;"".mp3]&lt;/div&gt;"""),"すれ&lt;ruby&gt;違&lt;rt&gt;ちが&lt;/rt&gt;&lt;/ruby&gt;う&lt;br&gt;&lt;div class=""audio""&gt;[sound:すれちがう.mp3]&lt;/div&gt;")</f>
        <v>すれ&lt;ruby&gt;違&lt;rt&gt;ちが&lt;/rt&gt;&lt;/ruby&gt;う&lt;br&gt;&lt;div class="audio"&gt;[sound:すれちがう.mp3]&lt;/div&gt;</v>
      </c>
      <c r="H3060" s="3" t="str">
        <f t="shared" si="1"/>
        <v>(v): đi lướt qua</v>
      </c>
      <c r="I3060" s="6" t="s">
        <v>16731</v>
      </c>
      <c r="J3060" s="6" t="s">
        <v>16732</v>
      </c>
      <c r="K3060" s="7">
        <f t="shared" si="2"/>
        <v>0.4927940118</v>
      </c>
    </row>
    <row r="3061">
      <c r="A3061" s="4">
        <v>3061.0</v>
      </c>
      <c r="B3061" s="5" t="s">
        <v>16733</v>
      </c>
      <c r="C3061" s="5" t="s">
        <v>16734</v>
      </c>
      <c r="D3061" s="5" t="s">
        <v>16735</v>
      </c>
      <c r="E3061" s="6" t="s">
        <v>24</v>
      </c>
      <c r="F3061" s="6" t="s">
        <v>16736</v>
      </c>
      <c r="G3061" s="3" t="str">
        <f>IFERROR(__xludf.DUMMYFUNCTION("REGEXREPLACE(
D3061,
""([一-龯々]+)\[([^\]]+)\]"",
""&lt;ruby&gt;$1&lt;rt&gt;$2&lt;/rt&gt;&lt;/ruby&gt;""
)&amp;""&lt;br&gt;&lt;div class=""""audio""""&gt;[sound:""&amp;C3061&amp;"".mp3]&lt;/div&gt;"""),"&lt;ruby&gt;突&lt;rt&gt;つ&lt;/rt&gt;&lt;/ruby&gt;っ&lt;ruby&gt;込&lt;rt&gt;こ&lt;/rt&gt;&lt;/ruby&gt;む&lt;br&gt;&lt;div class=""audio""&gt;[sound:つっこむ.mp3]&lt;/div&gt;")</f>
        <v>&lt;ruby&gt;突&lt;rt&gt;つ&lt;/rt&gt;&lt;/ruby&gt;っ&lt;ruby&gt;込&lt;rt&gt;こ&lt;/rt&gt;&lt;/ruby&gt;む&lt;br&gt;&lt;div class="audio"&gt;[sound:つっこむ.mp3]&lt;/div&gt;</v>
      </c>
      <c r="H3061" s="3" t="str">
        <f t="shared" si="1"/>
        <v>(v): nhét</v>
      </c>
      <c r="I3061" s="6" t="s">
        <v>16737</v>
      </c>
      <c r="J3061" s="6" t="s">
        <v>16738</v>
      </c>
      <c r="K3061" s="7">
        <f t="shared" si="2"/>
        <v>0.7592901763</v>
      </c>
    </row>
    <row r="3062">
      <c r="A3062" s="4">
        <v>3062.0</v>
      </c>
      <c r="B3062" s="5" t="s">
        <v>16739</v>
      </c>
      <c r="C3062" s="5" t="s">
        <v>16740</v>
      </c>
      <c r="D3062" s="5" t="s">
        <v>16741</v>
      </c>
      <c r="E3062" s="6" t="s">
        <v>74</v>
      </c>
      <c r="F3062" s="6" t="s">
        <v>16742</v>
      </c>
      <c r="G3062" s="3" t="str">
        <f>IFERROR(__xludf.DUMMYFUNCTION("REGEXREPLACE(
D3062,
""([一-龯々]+)\[([^\]]+)\]"",
""&lt;ruby&gt;$1&lt;rt&gt;$2&lt;/rt&gt;&lt;/ruby&gt;""
)&amp;""&lt;br&gt;&lt;div class=""""audio""""&gt;[sound:""&amp;C3062&amp;"".mp3]&lt;/div&gt;"""),"お&lt;ruby&gt;代&lt;rt&gt;か&lt;/rt&gt;&lt;/ruby&gt;わり&lt;br&gt;&lt;div class=""audio""&gt;[sound:おかわり.mp3]&lt;/div&gt;")</f>
        <v>お&lt;ruby&gt;代&lt;rt&gt;か&lt;/rt&gt;&lt;/ruby&gt;わり&lt;br&gt;&lt;div class="audio"&gt;[sound:おかわり.mp3]&lt;/div&gt;</v>
      </c>
      <c r="H3062" s="3" t="str">
        <f t="shared" si="1"/>
        <v>(n): lấy thêm</v>
      </c>
      <c r="I3062" s="6" t="s">
        <v>16743</v>
      </c>
      <c r="J3062" s="6" t="s">
        <v>16744</v>
      </c>
      <c r="K3062" s="7">
        <f t="shared" si="2"/>
        <v>0.7929211879</v>
      </c>
    </row>
    <row r="3063">
      <c r="A3063" s="4">
        <v>3063.0</v>
      </c>
      <c r="B3063" s="5" t="s">
        <v>16745</v>
      </c>
      <c r="C3063" s="5" t="s">
        <v>16746</v>
      </c>
      <c r="D3063" s="5" t="s">
        <v>16747</v>
      </c>
      <c r="E3063" s="6" t="s">
        <v>74</v>
      </c>
      <c r="F3063" s="6" t="s">
        <v>16748</v>
      </c>
      <c r="G3063" s="3" t="str">
        <f>IFERROR(__xludf.DUMMYFUNCTION("REGEXREPLACE(
D3063,
""([一-龯々]+)\[([^\]]+)\]"",
""&lt;ruby&gt;$1&lt;rt&gt;$2&lt;/rt&gt;&lt;/ruby&gt;""
)&amp;""&lt;br&gt;&lt;div class=""""audio""""&gt;[sound:""&amp;C3063&amp;"".mp3]&lt;/div&gt;"""),"お&lt;ruby&gt;辞儀&lt;rt&gt;じぎ&lt;/rt&gt;&lt;/ruby&gt;&lt;br&gt;&lt;div class=""audio""&gt;[sound:おじぎ.mp3]&lt;/div&gt;")</f>
        <v>お&lt;ruby&gt;辞儀&lt;rt&gt;じぎ&lt;/rt&gt;&lt;/ruby&gt;&lt;br&gt;&lt;div class="audio"&gt;[sound:おじぎ.mp3]&lt;/div&gt;</v>
      </c>
      <c r="H3063" s="3" t="str">
        <f t="shared" si="1"/>
        <v>(n): cúi chào</v>
      </c>
      <c r="I3063" s="6" t="s">
        <v>16749</v>
      </c>
      <c r="J3063" s="6" t="s">
        <v>16750</v>
      </c>
      <c r="K3063" s="7">
        <f t="shared" si="2"/>
        <v>0.6154549778</v>
      </c>
    </row>
    <row r="3064">
      <c r="A3064" s="4">
        <v>3064.0</v>
      </c>
      <c r="B3064" s="5" t="s">
        <v>16751</v>
      </c>
      <c r="C3064" s="5" t="s">
        <v>16752</v>
      </c>
      <c r="D3064" s="5" t="s">
        <v>16753</v>
      </c>
      <c r="E3064" s="6" t="s">
        <v>74</v>
      </c>
      <c r="F3064" s="6" t="s">
        <v>16754</v>
      </c>
      <c r="G3064" s="3" t="str">
        <f>IFERROR(__xludf.DUMMYFUNCTION("REGEXREPLACE(
D3064,
""([一-龯々]+)\[([^\]]+)\]"",
""&lt;ruby&gt;$1&lt;rt&gt;$2&lt;/rt&gt;&lt;/ruby&gt;""
)&amp;""&lt;br&gt;&lt;div class=""""audio""""&gt;[sound:""&amp;C3064&amp;"".mp3]&lt;/div&gt;"""),"お&lt;ruby&gt;見舞&lt;rt&gt;みま&lt;/rt&gt;&lt;/ruby&gt;い&lt;br&gt;&lt;div class=""audio""&gt;[sound:おみまい.mp3]&lt;/div&gt;")</f>
        <v>お&lt;ruby&gt;見舞&lt;rt&gt;みま&lt;/rt&gt;&lt;/ruby&gt;い&lt;br&gt;&lt;div class="audio"&gt;[sound:おみまい.mp3]&lt;/div&gt;</v>
      </c>
      <c r="H3064" s="3" t="str">
        <f t="shared" si="1"/>
        <v>(n): thăm bệnh</v>
      </c>
      <c r="I3064" s="6" t="s">
        <v>16755</v>
      </c>
      <c r="J3064" s="6" t="s">
        <v>16756</v>
      </c>
      <c r="K3064" s="7">
        <f t="shared" si="2"/>
        <v>0.27118988</v>
      </c>
    </row>
    <row r="3065">
      <c r="A3065" s="4">
        <v>3065.0</v>
      </c>
      <c r="B3065" s="5" t="s">
        <v>16757</v>
      </c>
      <c r="C3065" s="5" t="s">
        <v>16758</v>
      </c>
      <c r="D3065" s="5" t="s">
        <v>16759</v>
      </c>
      <c r="E3065" s="6" t="s">
        <v>74</v>
      </c>
      <c r="F3065" s="6" t="s">
        <v>16760</v>
      </c>
      <c r="G3065" s="3" t="str">
        <f>IFERROR(__xludf.DUMMYFUNCTION("REGEXREPLACE(
D3065,
""([一-龯々]+)\[([^\]]+)\]"",
""&lt;ruby&gt;$1&lt;rt&gt;$2&lt;/rt&gt;&lt;/ruby&gt;""
)&amp;""&lt;br&gt;&lt;div class=""""audio""""&gt;[sound:""&amp;C3065&amp;"".mp3]&lt;/div&gt;"""),"&lt;ruby&gt;修行&lt;rt&gt;しゅぎょう&lt;/rt&gt;&lt;/ruby&gt;&lt;br&gt;&lt;div class=""audio""&gt;[sound:しゅぎょう.mp3]&lt;/div&gt;")</f>
        <v>&lt;ruby&gt;修行&lt;rt&gt;しゅぎょう&lt;/rt&gt;&lt;/ruby&gt;&lt;br&gt;&lt;div class="audio"&gt;[sound:しゅぎょう.mp3]&lt;/div&gt;</v>
      </c>
      <c r="H3065" s="3" t="str">
        <f t="shared" si="1"/>
        <v>(n): sự tu luyện</v>
      </c>
      <c r="I3065" s="6" t="s">
        <v>16761</v>
      </c>
      <c r="J3065" s="6" t="s">
        <v>16762</v>
      </c>
      <c r="K3065" s="7">
        <f t="shared" si="2"/>
        <v>0.06883401836</v>
      </c>
    </row>
    <row r="3066">
      <c r="A3066" s="4">
        <v>3066.0</v>
      </c>
      <c r="B3066" s="5" t="s">
        <v>16763</v>
      </c>
      <c r="C3066" s="5" t="s">
        <v>16764</v>
      </c>
      <c r="D3066" s="5" t="s">
        <v>16765</v>
      </c>
      <c r="E3066" s="6" t="s">
        <v>74</v>
      </c>
      <c r="F3066" s="6" t="s">
        <v>16766</v>
      </c>
      <c r="G3066" s="3" t="str">
        <f>IFERROR(__xludf.DUMMYFUNCTION("REGEXREPLACE(
D3066,
""([一-龯々]+)\[([^\]]+)\]"",
""&lt;ruby&gt;$1&lt;rt&gt;$2&lt;/rt&gt;&lt;/ruby&gt;""
)&amp;""&lt;br&gt;&lt;div class=""""audio""""&gt;[sound:""&amp;C3066&amp;"".mp3]&lt;/div&gt;"""),"&lt;ruby&gt;出生&lt;rt&gt;しゅっせい&lt;/rt&gt;&lt;/ruby&gt;&lt;br&gt;&lt;div class=""audio""&gt;[sound:しゅっせい.mp3]&lt;/div&gt;")</f>
        <v>&lt;ruby&gt;出生&lt;rt&gt;しゅっせい&lt;/rt&gt;&lt;/ruby&gt;&lt;br&gt;&lt;div class="audio"&gt;[sound:しゅっせい.mp3]&lt;/div&gt;</v>
      </c>
      <c r="H3066" s="3" t="str">
        <f t="shared" si="1"/>
        <v>(n): sự sinh ra</v>
      </c>
      <c r="I3066" s="6" t="s">
        <v>16767</v>
      </c>
      <c r="J3066" s="6" t="s">
        <v>16768</v>
      </c>
      <c r="K3066" s="7">
        <f t="shared" si="2"/>
        <v>0.7733975334</v>
      </c>
    </row>
    <row r="3067">
      <c r="A3067" s="4">
        <v>3067.0</v>
      </c>
      <c r="B3067" s="5" t="s">
        <v>16769</v>
      </c>
      <c r="C3067" s="5" t="s">
        <v>7431</v>
      </c>
      <c r="D3067" s="5" t="s">
        <v>16770</v>
      </c>
      <c r="E3067" s="6" t="s">
        <v>90</v>
      </c>
      <c r="F3067" s="6" t="s">
        <v>438</v>
      </c>
      <c r="G3067" s="3" t="str">
        <f>IFERROR(__xludf.DUMMYFUNCTION("REGEXREPLACE(
D3067,
""([一-龯々]+)\[([^\]]+)\]"",
""&lt;ruby&gt;$1&lt;rt&gt;$2&lt;/rt&gt;&lt;/ruby&gt;""
)&amp;""&lt;br&gt;&lt;div class=""""audio""""&gt;[sound:""&amp;C3067&amp;"".mp3]&lt;/div&gt;"""),"&lt;ruby&gt;尤&lt;rt&gt;もっと&lt;/rt&gt;&lt;/ruby&gt;も&lt;br&gt;&lt;div class=""audio""&gt;[sound:もっとも.mp3]&lt;/div&gt;")</f>
        <v>&lt;ruby&gt;尤&lt;rt&gt;もっと&lt;/rt&gt;&lt;/ruby&gt;も&lt;br&gt;&lt;div class="audio"&gt;[sound:もっとも.mp3]&lt;/div&gt;</v>
      </c>
      <c r="H3067" s="3" t="str">
        <f t="shared" si="1"/>
        <v>(conj): tuy nhiên</v>
      </c>
      <c r="I3067" s="6" t="s">
        <v>16771</v>
      </c>
      <c r="J3067" s="6" t="s">
        <v>16772</v>
      </c>
      <c r="K3067" s="7">
        <f t="shared" si="2"/>
        <v>0.2025900615</v>
      </c>
    </row>
    <row r="3068">
      <c r="A3068" s="4">
        <v>3068.0</v>
      </c>
      <c r="B3068" s="5" t="s">
        <v>16773</v>
      </c>
      <c r="C3068" s="5" t="s">
        <v>8163</v>
      </c>
      <c r="D3068" s="5" t="s">
        <v>16774</v>
      </c>
      <c r="E3068" s="6" t="s">
        <v>74</v>
      </c>
      <c r="F3068" s="6" t="s">
        <v>16775</v>
      </c>
      <c r="G3068" s="3" t="str">
        <f>IFERROR(__xludf.DUMMYFUNCTION("REGEXREPLACE(
D3068,
""([一-龯々]+)\[([^\]]+)\]"",
""&lt;ruby&gt;$1&lt;rt&gt;$2&lt;/rt&gt;&lt;/ruby&gt;""
)&amp;""&lt;br&gt;&lt;div class=""""audio""""&gt;[sound:""&amp;C3068&amp;"".mp3]&lt;/div&gt;"""),"&lt;ruby&gt;洗濯&lt;rt&gt;せんたく&lt;/rt&gt;&lt;/ruby&gt;&lt;br&gt;&lt;div class=""audio""&gt;[sound:せんたく.mp3]&lt;/div&gt;")</f>
        <v>&lt;ruby&gt;洗濯&lt;rt&gt;せんたく&lt;/rt&gt;&lt;/ruby&gt;&lt;br&gt;&lt;div class="audio"&gt;[sound:せんたく.mp3]&lt;/div&gt;</v>
      </c>
      <c r="H3068" s="3" t="str">
        <f t="shared" si="1"/>
        <v>(n): giặt giũ</v>
      </c>
      <c r="I3068" s="6" t="s">
        <v>16776</v>
      </c>
      <c r="J3068" s="6" t="s">
        <v>16777</v>
      </c>
      <c r="K3068" s="7">
        <f t="shared" si="2"/>
        <v>0.7436717468</v>
      </c>
    </row>
    <row r="3069">
      <c r="A3069" s="4">
        <v>3069.0</v>
      </c>
      <c r="B3069" s="5" t="s">
        <v>16778</v>
      </c>
      <c r="C3069" s="5" t="s">
        <v>16779</v>
      </c>
      <c r="D3069" s="5" t="s">
        <v>16780</v>
      </c>
      <c r="E3069" s="6" t="s">
        <v>74</v>
      </c>
      <c r="F3069" s="6" t="s">
        <v>20</v>
      </c>
      <c r="G3069" s="3" t="str">
        <f>IFERROR(__xludf.DUMMYFUNCTION("REGEXREPLACE(
D3069,
""([一-龯々]+)\[([^\]]+)\]"",
""&lt;ruby&gt;$1&lt;rt&gt;$2&lt;/rt&gt;&lt;/ruby&gt;""
)&amp;""&lt;br&gt;&lt;div class=""""audio""""&gt;[sound:""&amp;C3069&amp;"".mp3]&lt;/div&gt;"""),"&lt;ruby&gt;無&lt;rt&gt;む&lt;/rt&gt;&lt;/ruby&gt;&lt;br&gt;&lt;div class=""audio""&gt;[sound:む.mp3]&lt;/div&gt;")</f>
        <v>&lt;ruby&gt;無&lt;rt&gt;む&lt;/rt&gt;&lt;/ruby&gt;&lt;br&gt;&lt;div class="audio"&gt;[sound:む.mp3]&lt;/div&gt;</v>
      </c>
      <c r="H3069" s="3" t="str">
        <f t="shared" si="1"/>
        <v>(n): không</v>
      </c>
      <c r="I3069" s="6" t="s">
        <v>16781</v>
      </c>
      <c r="J3069" s="6" t="s">
        <v>16782</v>
      </c>
      <c r="K3069" s="7">
        <f t="shared" si="2"/>
        <v>0.5538947853</v>
      </c>
    </row>
    <row r="3070">
      <c r="A3070" s="4">
        <v>3070.0</v>
      </c>
      <c r="B3070" s="5" t="s">
        <v>16783</v>
      </c>
      <c r="C3070" s="5" t="s">
        <v>16784</v>
      </c>
      <c r="D3070" s="5" t="s">
        <v>16783</v>
      </c>
      <c r="E3070" s="6" t="s">
        <v>74</v>
      </c>
      <c r="F3070" s="6" t="s">
        <v>16785</v>
      </c>
      <c r="G3070" s="3" t="str">
        <f>IFERROR(__xludf.DUMMYFUNCTION("REGEXREPLACE(
D3070,
""([一-龯々]+)\[([^\]]+)\]"",
""&lt;ruby&gt;$1&lt;rt&gt;$2&lt;/rt&gt;&lt;/ruby&gt;""
)&amp;""&lt;br&gt;&lt;div class=""""audio""""&gt;[sound:""&amp;C3070&amp;"".mp3]&lt;/div&gt;"""),"アクセント&lt;br&gt;&lt;div class=""audio""&gt;[sound:あくせんと.mp3]&lt;/div&gt;")</f>
        <v>アクセント&lt;br&gt;&lt;div class="audio"&gt;[sound:あくせんと.mp3]&lt;/div&gt;</v>
      </c>
      <c r="H3070" s="3" t="str">
        <f t="shared" si="1"/>
        <v>(n): trọng âm</v>
      </c>
      <c r="I3070" s="6" t="s">
        <v>16786</v>
      </c>
      <c r="J3070" s="6" t="s">
        <v>16787</v>
      </c>
      <c r="K3070" s="7">
        <f t="shared" si="2"/>
        <v>0.185743937</v>
      </c>
    </row>
    <row r="3071">
      <c r="A3071" s="4">
        <v>3071.0</v>
      </c>
      <c r="B3071" s="5" t="s">
        <v>16788</v>
      </c>
      <c r="C3071" s="5" t="s">
        <v>16789</v>
      </c>
      <c r="D3071" s="5" t="s">
        <v>16790</v>
      </c>
      <c r="E3071" s="6" t="s">
        <v>11</v>
      </c>
      <c r="F3071" s="6" t="s">
        <v>16791</v>
      </c>
      <c r="G3071" s="3" t="str">
        <f>IFERROR(__xludf.DUMMYFUNCTION("REGEXREPLACE(
D3071,
""([一-龯々]+)\[([^\]]+)\]"",
""&lt;ruby&gt;$1&lt;rt&gt;$2&lt;/rt&gt;&lt;/ruby&gt;""
)&amp;""&lt;br&gt;&lt;div class=""""audio""""&gt;[sound:""&amp;C3071&amp;"".mp3]&lt;/div&gt;"""),"&lt;ruby&gt;穏&lt;rt&gt;おだ&lt;/rt&gt;&lt;/ruby&gt;やか&lt;br&gt;&lt;div class=""audio""&gt;[sound:おだやか.mp3]&lt;/div&gt;")</f>
        <v>&lt;ruby&gt;穏&lt;rt&gt;おだ&lt;/rt&gt;&lt;/ruby&gt;やか&lt;br&gt;&lt;div class="audio"&gt;[sound:おだやか.mp3]&lt;/div&gt;</v>
      </c>
      <c r="H3071" s="3" t="str">
        <f t="shared" si="1"/>
        <v>(adj): ôn hòa</v>
      </c>
      <c r="I3071" s="6" t="s">
        <v>16792</v>
      </c>
      <c r="J3071" s="6" t="s">
        <v>16793</v>
      </c>
      <c r="K3071" s="7">
        <f t="shared" si="2"/>
        <v>0.9062794272</v>
      </c>
    </row>
    <row r="3072">
      <c r="A3072" s="4">
        <v>3072.0</v>
      </c>
      <c r="B3072" s="5" t="s">
        <v>16794</v>
      </c>
      <c r="C3072" s="5" t="s">
        <v>16795</v>
      </c>
      <c r="D3072" s="5" t="s">
        <v>16796</v>
      </c>
      <c r="E3072" s="6" t="s">
        <v>74</v>
      </c>
      <c r="F3072" s="6" t="s">
        <v>16797</v>
      </c>
      <c r="G3072" s="3" t="str">
        <f>IFERROR(__xludf.DUMMYFUNCTION("REGEXREPLACE(
D3072,
""([一-龯々]+)\[([^\]]+)\]"",
""&lt;ruby&gt;$1&lt;rt&gt;$2&lt;/rt&gt;&lt;/ruby&gt;""
)&amp;""&lt;br&gt;&lt;div class=""""audio""""&gt;[sound:""&amp;C3072&amp;"".mp3]&lt;/div&gt;"""),"&lt;ruby&gt;専攻&lt;rt&gt;せんこう&lt;/rt&gt;&lt;/ruby&gt;&lt;br&gt;&lt;div class=""audio""&gt;[sound:せんこう.mp3]&lt;/div&gt;")</f>
        <v>&lt;ruby&gt;専攻&lt;rt&gt;せんこう&lt;/rt&gt;&lt;/ruby&gt;&lt;br&gt;&lt;div class="audio"&gt;[sound:せんこう.mp3]&lt;/div&gt;</v>
      </c>
      <c r="H3072" s="3" t="str">
        <f t="shared" si="1"/>
        <v>(n): chuyên ngành</v>
      </c>
      <c r="I3072" s="6" t="s">
        <v>16798</v>
      </c>
      <c r="J3072" s="6" t="s">
        <v>16799</v>
      </c>
      <c r="K3072" s="7">
        <f t="shared" si="2"/>
        <v>0.07234553195</v>
      </c>
    </row>
    <row r="3073">
      <c r="A3073" s="4">
        <v>3073.0</v>
      </c>
      <c r="B3073" s="5" t="s">
        <v>16800</v>
      </c>
      <c r="C3073" s="5" t="s">
        <v>16800</v>
      </c>
      <c r="D3073" s="5" t="s">
        <v>16800</v>
      </c>
      <c r="E3073" s="6" t="s">
        <v>24</v>
      </c>
      <c r="F3073" s="6" t="s">
        <v>16801</v>
      </c>
      <c r="G3073" s="3" t="str">
        <f>IFERROR(__xludf.DUMMYFUNCTION("REGEXREPLACE(
D3073,
""([一-龯々]+)\[([^\]]+)\]"",
""&lt;ruby&gt;$1&lt;rt&gt;$2&lt;/rt&gt;&lt;/ruby&gt;""
)&amp;""&lt;br&gt;&lt;div class=""""audio""""&gt;[sound:""&amp;C3073&amp;"".mp3]&lt;/div&gt;"""),"からかう&lt;br&gt;&lt;div class=""audio""&gt;[sound:からかう.mp3]&lt;/div&gt;")</f>
        <v>からかう&lt;br&gt;&lt;div class="audio"&gt;[sound:からかう.mp3]&lt;/div&gt;</v>
      </c>
      <c r="H3073" s="3" t="str">
        <f t="shared" si="1"/>
        <v>(v): trêu chọc</v>
      </c>
      <c r="I3073" s="6" t="s">
        <v>16802</v>
      </c>
      <c r="J3073" s="6" t="s">
        <v>16803</v>
      </c>
      <c r="K3073" s="7">
        <f t="shared" si="2"/>
        <v>0.7974001464</v>
      </c>
    </row>
    <row r="3074">
      <c r="A3074" s="4">
        <v>3074.0</v>
      </c>
      <c r="B3074" s="5" t="s">
        <v>16804</v>
      </c>
      <c r="C3074" s="5" t="s">
        <v>16805</v>
      </c>
      <c r="D3074" s="5" t="s">
        <v>16806</v>
      </c>
      <c r="E3074" s="6" t="s">
        <v>74</v>
      </c>
      <c r="F3074" s="6" t="s">
        <v>2175</v>
      </c>
      <c r="G3074" s="3" t="str">
        <f>IFERROR(__xludf.DUMMYFUNCTION("REGEXREPLACE(
D3074,
""([一-龯々]+)\[([^\]]+)\]"",
""&lt;ruby&gt;$1&lt;rt&gt;$2&lt;/rt&gt;&lt;/ruby&gt;""
)&amp;""&lt;br&gt;&lt;div class=""""audio""""&gt;[sound:""&amp;C3074&amp;"".mp3]&lt;/div&gt;"""),"&lt;ruby&gt;祝&lt;rt&gt;いわ&lt;/rt&gt;&lt;/ruby&gt;い&lt;br&gt;&lt;div class=""audio""&gt;[sound:いわい.mp3]&lt;/div&gt;")</f>
        <v>&lt;ruby&gt;祝&lt;rt&gt;いわ&lt;/rt&gt;&lt;/ruby&gt;い&lt;br&gt;&lt;div class="audio"&gt;[sound:いわい.mp3]&lt;/div&gt;</v>
      </c>
      <c r="H3074" s="3" t="str">
        <f t="shared" si="1"/>
        <v>(n): chúc mừng</v>
      </c>
      <c r="I3074" s="6" t="s">
        <v>16807</v>
      </c>
      <c r="J3074" s="6" t="s">
        <v>16808</v>
      </c>
      <c r="K3074" s="7">
        <f t="shared" si="2"/>
        <v>0.5535771673</v>
      </c>
    </row>
    <row r="3075">
      <c r="A3075" s="4">
        <v>3075.0</v>
      </c>
      <c r="B3075" s="5" t="s">
        <v>16809</v>
      </c>
      <c r="C3075" s="5" t="s">
        <v>16810</v>
      </c>
      <c r="D3075" s="5" t="s">
        <v>16809</v>
      </c>
      <c r="E3075" s="6" t="s">
        <v>74</v>
      </c>
      <c r="F3075" s="6" t="s">
        <v>16811</v>
      </c>
      <c r="G3075" s="3" t="str">
        <f>IFERROR(__xludf.DUMMYFUNCTION("REGEXREPLACE(
D3075,
""([一-龯々]+)\[([^\]]+)\]"",
""&lt;ruby&gt;$1&lt;rt&gt;$2&lt;/rt&gt;&lt;/ruby&gt;""
)&amp;""&lt;br&gt;&lt;div class=""""audio""""&gt;[sound:""&amp;C3075&amp;"".mp3]&lt;/div&gt;"""),"キャンパス&lt;br&gt;&lt;div class=""audio""&gt;[sound:きゃんぱす.mp3]&lt;/div&gt;")</f>
        <v>キャンパス&lt;br&gt;&lt;div class="audio"&gt;[sound:きゃんぱす.mp3]&lt;/div&gt;</v>
      </c>
      <c r="H3075" s="3" t="str">
        <f t="shared" si="1"/>
        <v>(n): khuôn viên</v>
      </c>
      <c r="I3075" s="6" t="s">
        <v>16812</v>
      </c>
      <c r="J3075" s="6" t="s">
        <v>16813</v>
      </c>
      <c r="K3075" s="7">
        <f t="shared" si="2"/>
        <v>0.2583840763</v>
      </c>
    </row>
    <row r="3076">
      <c r="A3076" s="4">
        <v>3076.0</v>
      </c>
      <c r="B3076" s="5" t="s">
        <v>16814</v>
      </c>
      <c r="C3076" s="5" t="s">
        <v>16814</v>
      </c>
      <c r="D3076" s="5" t="s">
        <v>16814</v>
      </c>
      <c r="E3076" s="6" t="s">
        <v>85</v>
      </c>
      <c r="F3076" s="6" t="s">
        <v>16815</v>
      </c>
      <c r="G3076" s="3" t="str">
        <f>IFERROR(__xludf.DUMMYFUNCTION("REGEXREPLACE(
D3076,
""([一-龯々]+)\[([^\]]+)\]"",
""&lt;ruby&gt;$1&lt;rt&gt;$2&lt;/rt&gt;&lt;/ruby&gt;""
)&amp;""&lt;br&gt;&lt;div class=""""audio""""&gt;[sound:""&amp;C3076&amp;"".mp3]&lt;/div&gt;"""),"たびたび&lt;br&gt;&lt;div class=""audio""&gt;[sound:たびたび.mp3]&lt;/div&gt;")</f>
        <v>たびたび&lt;br&gt;&lt;div class="audio"&gt;[sound:たびたび.mp3]&lt;/div&gt;</v>
      </c>
      <c r="H3076" s="3" t="str">
        <f t="shared" si="1"/>
        <v>(adv): nhiều lần</v>
      </c>
      <c r="I3076" s="6" t="s">
        <v>16816</v>
      </c>
      <c r="J3076" s="6" t="s">
        <v>16817</v>
      </c>
      <c r="K3076" s="7">
        <f t="shared" si="2"/>
        <v>0.04656548199</v>
      </c>
    </row>
    <row r="3077">
      <c r="A3077" s="4">
        <v>3077.0</v>
      </c>
      <c r="B3077" s="5" t="s">
        <v>16818</v>
      </c>
      <c r="C3077" s="5" t="s">
        <v>16819</v>
      </c>
      <c r="D3077" s="5" t="s">
        <v>16820</v>
      </c>
      <c r="E3077" s="6" t="s">
        <v>74</v>
      </c>
      <c r="F3077" s="6" t="s">
        <v>16821</v>
      </c>
      <c r="G3077" s="3" t="str">
        <f>IFERROR(__xludf.DUMMYFUNCTION("REGEXREPLACE(
D3077,
""([一-龯々]+)\[([^\]]+)\]"",
""&lt;ruby&gt;$1&lt;rt&gt;$2&lt;/rt&gt;&lt;/ruby&gt;""
)&amp;""&lt;br&gt;&lt;div class=""""audio""""&gt;[sound:""&amp;C3077&amp;"".mp3]&lt;/div&gt;"""),"&lt;ruby&gt;集&lt;rt&gt;あつ&lt;/rt&gt;&lt;/ruby&gt;まり&lt;br&gt;&lt;div class=""audio""&gt;[sound:あつまり.mp3]&lt;/div&gt;")</f>
        <v>&lt;ruby&gt;集&lt;rt&gt;あつ&lt;/rt&gt;&lt;/ruby&gt;まり&lt;br&gt;&lt;div class="audio"&gt;[sound:あつまり.mp3]&lt;/div&gt;</v>
      </c>
      <c r="H3077" s="3" t="str">
        <f t="shared" si="1"/>
        <v>(n): cuộc họp</v>
      </c>
      <c r="I3077" s="6" t="s">
        <v>16822</v>
      </c>
      <c r="J3077" s="6" t="s">
        <v>16823</v>
      </c>
      <c r="K3077" s="7">
        <f t="shared" si="2"/>
        <v>0.6535106755</v>
      </c>
    </row>
    <row r="3078">
      <c r="A3078" s="4">
        <v>3078.0</v>
      </c>
      <c r="B3078" s="5" t="s">
        <v>16824</v>
      </c>
      <c r="C3078" s="5" t="s">
        <v>16824</v>
      </c>
      <c r="D3078" s="5" t="s">
        <v>16824</v>
      </c>
      <c r="E3078" s="6" t="s">
        <v>24</v>
      </c>
      <c r="F3078" s="6" t="s">
        <v>16825</v>
      </c>
      <c r="G3078" s="3" t="str">
        <f>IFERROR(__xludf.DUMMYFUNCTION("REGEXREPLACE(
D3078,
""([一-龯々]+)\[([^\]]+)\]"",
""&lt;ruby&gt;$1&lt;rt&gt;$2&lt;/rt&gt;&lt;/ruby&gt;""
)&amp;""&lt;br&gt;&lt;div class=""""audio""""&gt;[sound:""&amp;C3078&amp;"".mp3]&lt;/div&gt;"""),"くたびれる&lt;br&gt;&lt;div class=""audio""&gt;[sound:くたびれる.mp3]&lt;/div&gt;")</f>
        <v>くたびれる&lt;br&gt;&lt;div class="audio"&gt;[sound:くたびれる.mp3]&lt;/div&gt;</v>
      </c>
      <c r="H3078" s="3" t="str">
        <f t="shared" si="1"/>
        <v>(v): mệt mỏi</v>
      </c>
      <c r="I3078" s="6" t="s">
        <v>16826</v>
      </c>
      <c r="J3078" s="6" t="s">
        <v>16827</v>
      </c>
      <c r="K3078" s="7">
        <f t="shared" si="2"/>
        <v>0.937484051</v>
      </c>
    </row>
    <row r="3079">
      <c r="A3079" s="4">
        <v>3079.0</v>
      </c>
      <c r="B3079" s="5" t="s">
        <v>16828</v>
      </c>
      <c r="C3079" s="5" t="s">
        <v>16829</v>
      </c>
      <c r="D3079" s="5" t="s">
        <v>16830</v>
      </c>
      <c r="E3079" s="6" t="s">
        <v>74</v>
      </c>
      <c r="F3079" s="6" t="s">
        <v>16831</v>
      </c>
      <c r="G3079" s="3" t="str">
        <f>IFERROR(__xludf.DUMMYFUNCTION("REGEXREPLACE(
D3079,
""([一-龯々]+)\[([^\]]+)\]"",
""&lt;ruby&gt;$1&lt;rt&gt;$2&lt;/rt&gt;&lt;/ruby&gt;""
)&amp;""&lt;br&gt;&lt;div class=""""audio""""&gt;[sound:""&amp;C3079&amp;"".mp3]&lt;/div&gt;"""),"&lt;ruby&gt;順&lt;rt&gt;じゅん&lt;/rt&gt;&lt;/ruby&gt;&lt;br&gt;&lt;div class=""audio""&gt;[sound:じゅん.mp3]&lt;/div&gt;")</f>
        <v>&lt;ruby&gt;順&lt;rt&gt;じゅん&lt;/rt&gt;&lt;/ruby&gt;&lt;br&gt;&lt;div class="audio"&gt;[sound:じゅん.mp3]&lt;/div&gt;</v>
      </c>
      <c r="H3079" s="3" t="str">
        <f t="shared" si="1"/>
        <v>(n): thứ tự</v>
      </c>
      <c r="I3079" s="6" t="s">
        <v>16832</v>
      </c>
      <c r="J3079" s="6" t="s">
        <v>16833</v>
      </c>
      <c r="K3079" s="7">
        <f t="shared" si="2"/>
        <v>0.4390449368</v>
      </c>
    </row>
    <row r="3080">
      <c r="A3080" s="4">
        <v>3080.0</v>
      </c>
      <c r="B3080" s="5" t="s">
        <v>16834</v>
      </c>
      <c r="C3080" s="5" t="s">
        <v>16835</v>
      </c>
      <c r="D3080" s="5" t="s">
        <v>16834</v>
      </c>
      <c r="E3080" s="6" t="s">
        <v>74</v>
      </c>
      <c r="F3080" s="6" t="s">
        <v>16836</v>
      </c>
      <c r="G3080" s="3" t="str">
        <f>IFERROR(__xludf.DUMMYFUNCTION("REGEXREPLACE(
D3080,
""([一-龯々]+)\[([^\]]+)\]"",
""&lt;ruby&gt;$1&lt;rt&gt;$2&lt;/rt&gt;&lt;/ruby&gt;""
)&amp;""&lt;br&gt;&lt;div class=""""audio""""&gt;[sound:""&amp;C3080&amp;"".mp3]&lt;/div&gt;"""),"ゼミ&lt;br&gt;&lt;div class=""audio""&gt;[sound:ぜみ.mp3]&lt;/div&gt;")</f>
        <v>ゼミ&lt;br&gt;&lt;div class="audio"&gt;[sound:ぜみ.mp3]&lt;/div&gt;</v>
      </c>
      <c r="H3080" s="3" t="str">
        <f t="shared" si="1"/>
        <v>(n): buổi hội thảo</v>
      </c>
      <c r="I3080" s="6" t="s">
        <v>16837</v>
      </c>
      <c r="J3080" s="6" t="s">
        <v>16838</v>
      </c>
      <c r="K3080" s="7">
        <f t="shared" si="2"/>
        <v>0.5417068248</v>
      </c>
    </row>
    <row r="3081">
      <c r="A3081" s="4">
        <v>3081.0</v>
      </c>
      <c r="B3081" s="5" t="s">
        <v>16839</v>
      </c>
      <c r="C3081" s="5" t="s">
        <v>16839</v>
      </c>
      <c r="D3081" s="5" t="s">
        <v>16839</v>
      </c>
      <c r="E3081" s="6" t="s">
        <v>11</v>
      </c>
      <c r="F3081" s="6" t="s">
        <v>16840</v>
      </c>
      <c r="G3081" s="3" t="str">
        <f>IFERROR(__xludf.DUMMYFUNCTION("REGEXREPLACE(
D3081,
""([一-龯々]+)\[([^\]]+)\]"",
""&lt;ruby&gt;$1&lt;rt&gt;$2&lt;/rt&gt;&lt;/ruby&gt;""
)&amp;""&lt;br&gt;&lt;div class=""""audio""""&gt;[sound:""&amp;C3081&amp;"".mp3]&lt;/div&gt;"""),"しつこい&lt;br&gt;&lt;div class=""audio""&gt;[sound:しつこい.mp3]&lt;/div&gt;")</f>
        <v>しつこい&lt;br&gt;&lt;div class="audio"&gt;[sound:しつこい.mp3]&lt;/div&gt;</v>
      </c>
      <c r="H3081" s="3" t="str">
        <f t="shared" si="1"/>
        <v>(adj): dai dẳng</v>
      </c>
      <c r="I3081" s="6" t="s">
        <v>16841</v>
      </c>
      <c r="J3081" s="6" t="s">
        <v>16842</v>
      </c>
      <c r="K3081" s="7">
        <f t="shared" si="2"/>
        <v>0.3140187116</v>
      </c>
    </row>
    <row r="3082">
      <c r="A3082" s="4">
        <v>3082.0</v>
      </c>
      <c r="B3082" s="5" t="s">
        <v>16843</v>
      </c>
      <c r="C3082" s="5" t="s">
        <v>16844</v>
      </c>
      <c r="D3082" s="5" t="s">
        <v>16845</v>
      </c>
      <c r="E3082" s="6" t="s">
        <v>74</v>
      </c>
      <c r="F3082" s="6" t="s">
        <v>16846</v>
      </c>
      <c r="G3082" s="3" t="str">
        <f>IFERROR(__xludf.DUMMYFUNCTION("REGEXREPLACE(
D3082,
""([一-龯々]+)\[([^\]]+)\]"",
""&lt;ruby&gt;$1&lt;rt&gt;$2&lt;/rt&gt;&lt;/ruby&gt;""
)&amp;""&lt;br&gt;&lt;div class=""""audio""""&gt;[sound:""&amp;C3082&amp;"".mp3]&lt;/div&gt;"""),"&lt;ruby&gt;大部分&lt;rt&gt;だいぶぶん&lt;/rt&gt;&lt;/ruby&gt;&lt;br&gt;&lt;div class=""audio""&gt;[sound:だいぶぶん.mp3]&lt;/div&gt;")</f>
        <v>&lt;ruby&gt;大部分&lt;rt&gt;だいぶぶん&lt;/rt&gt;&lt;/ruby&gt;&lt;br&gt;&lt;div class="audio"&gt;[sound:だいぶぶん.mp3]&lt;/div&gt;</v>
      </c>
      <c r="H3082" s="3" t="str">
        <f t="shared" si="1"/>
        <v>(n): phần lớn</v>
      </c>
      <c r="I3082" s="6" t="s">
        <v>16847</v>
      </c>
      <c r="J3082" s="6" t="s">
        <v>16848</v>
      </c>
      <c r="K3082" s="7">
        <f t="shared" si="2"/>
        <v>0.8252424909</v>
      </c>
    </row>
    <row r="3083">
      <c r="A3083" s="4">
        <v>3083.0</v>
      </c>
      <c r="B3083" s="5" t="s">
        <v>16849</v>
      </c>
      <c r="C3083" s="5" t="s">
        <v>16850</v>
      </c>
      <c r="D3083" s="5" t="s">
        <v>16849</v>
      </c>
      <c r="E3083" s="6" t="s">
        <v>74</v>
      </c>
      <c r="F3083" s="6" t="s">
        <v>16851</v>
      </c>
      <c r="G3083" s="3" t="str">
        <f>IFERROR(__xludf.DUMMYFUNCTION("REGEXREPLACE(
D3083,
""([一-龯々]+)\[([^\]]+)\]"",
""&lt;ruby&gt;$1&lt;rt&gt;$2&lt;/rt&gt;&lt;/ruby&gt;""
)&amp;""&lt;br&gt;&lt;div class=""""audio""""&gt;[sound:""&amp;C3083&amp;"".mp3]&lt;/div&gt;"""),"グラス&lt;br&gt;&lt;div class=""audio""&gt;[sound:ぐらす.mp3]&lt;/div&gt;")</f>
        <v>グラス&lt;br&gt;&lt;div class="audio"&gt;[sound:ぐらす.mp3]&lt;/div&gt;</v>
      </c>
      <c r="H3083" s="3" t="str">
        <f t="shared" si="1"/>
        <v>(n): cốc thủy tinh</v>
      </c>
      <c r="I3083" s="6" t="s">
        <v>16852</v>
      </c>
      <c r="J3083" s="6" t="s">
        <v>16853</v>
      </c>
      <c r="K3083" s="7">
        <f t="shared" si="2"/>
        <v>0.1532265878</v>
      </c>
    </row>
    <row r="3084">
      <c r="A3084" s="4">
        <v>3084.0</v>
      </c>
      <c r="B3084" s="5" t="s">
        <v>16854</v>
      </c>
      <c r="C3084" s="5" t="s">
        <v>16854</v>
      </c>
      <c r="D3084" s="5" t="s">
        <v>16854</v>
      </c>
      <c r="E3084" s="6" t="s">
        <v>85</v>
      </c>
      <c r="F3084" s="6" t="s">
        <v>949</v>
      </c>
      <c r="G3084" s="3" t="str">
        <f>IFERROR(__xludf.DUMMYFUNCTION("REGEXREPLACE(
D3084,
""([一-龯々]+)\[([^\]]+)\]"",
""&lt;ruby&gt;$1&lt;rt&gt;$2&lt;/rt&gt;&lt;/ruby&gt;""
)&amp;""&lt;br&gt;&lt;div class=""""audio""""&gt;[sound:""&amp;C3084&amp;"".mp3]&lt;/div&gt;"""),"たちまち&lt;br&gt;&lt;div class=""audio""&gt;[sound:たちまち.mp3]&lt;/div&gt;")</f>
        <v>たちまち&lt;br&gt;&lt;div class="audio"&gt;[sound:たちまち.mp3]&lt;/div&gt;</v>
      </c>
      <c r="H3084" s="3" t="str">
        <f t="shared" si="1"/>
        <v>(adv): ngay lập tức</v>
      </c>
      <c r="I3084" s="6" t="s">
        <v>16855</v>
      </c>
      <c r="J3084" s="6" t="s">
        <v>16856</v>
      </c>
      <c r="K3084" s="7">
        <f t="shared" si="2"/>
        <v>0.445548658</v>
      </c>
    </row>
    <row r="3085">
      <c r="A3085" s="4">
        <v>3085.0</v>
      </c>
      <c r="B3085" s="5" t="s">
        <v>16857</v>
      </c>
      <c r="C3085" s="5" t="s">
        <v>16858</v>
      </c>
      <c r="D3085" s="5" t="s">
        <v>16859</v>
      </c>
      <c r="E3085" s="6" t="s">
        <v>74</v>
      </c>
      <c r="F3085" s="6" t="s">
        <v>16860</v>
      </c>
      <c r="G3085" s="3" t="str">
        <f>IFERROR(__xludf.DUMMYFUNCTION("REGEXREPLACE(
D3085,
""([一-龯々]+)\[([^\]]+)\]"",
""&lt;ruby&gt;$1&lt;rt&gt;$2&lt;/rt&gt;&lt;/ruby&gt;""
)&amp;""&lt;br&gt;&lt;div class=""""audio""""&gt;[sound:""&amp;C3085&amp;"".mp3]&lt;/div&gt;"""),"&lt;ruby&gt;弱点&lt;rt&gt;じゃくてん&lt;/rt&gt;&lt;/ruby&gt;&lt;br&gt;&lt;div class=""audio""&gt;[sound:じゃくてん.mp3]&lt;/div&gt;")</f>
        <v>&lt;ruby&gt;弱点&lt;rt&gt;じゃくてん&lt;/rt&gt;&lt;/ruby&gt;&lt;br&gt;&lt;div class="audio"&gt;[sound:じゃくてん.mp3]&lt;/div&gt;</v>
      </c>
      <c r="H3085" s="3" t="str">
        <f t="shared" si="1"/>
        <v>(n): điểm yếu</v>
      </c>
      <c r="I3085" s="6" t="s">
        <v>16861</v>
      </c>
      <c r="J3085" s="6" t="s">
        <v>16862</v>
      </c>
      <c r="K3085" s="7">
        <f t="shared" si="2"/>
        <v>0.5563542809</v>
      </c>
    </row>
    <row r="3086">
      <c r="A3086" s="4">
        <v>3086.0</v>
      </c>
      <c r="B3086" s="5" t="s">
        <v>16863</v>
      </c>
      <c r="C3086" s="5" t="s">
        <v>16864</v>
      </c>
      <c r="D3086" s="5" t="s">
        <v>16865</v>
      </c>
      <c r="E3086" s="6" t="s">
        <v>74</v>
      </c>
      <c r="F3086" s="6" t="s">
        <v>16866</v>
      </c>
      <c r="G3086" s="3" t="str">
        <f>IFERROR(__xludf.DUMMYFUNCTION("REGEXREPLACE(
D3086,
""([一-龯々]+)\[([^\]]+)\]"",
""&lt;ruby&gt;$1&lt;rt&gt;$2&lt;/rt&gt;&lt;/ruby&gt;""
)&amp;""&lt;br&gt;&lt;div class=""""audio""""&gt;[sound:""&amp;C3086&amp;"".mp3]&lt;/div&gt;"""),"&lt;ruby&gt;集団&lt;rt&gt;しゅうだん&lt;/rt&gt;&lt;/ruby&gt;&lt;br&gt;&lt;div class=""audio""&gt;[sound:しゅうだん.mp3]&lt;/div&gt;")</f>
        <v>&lt;ruby&gt;集団&lt;rt&gt;しゅうだん&lt;/rt&gt;&lt;/ruby&gt;&lt;br&gt;&lt;div class="audio"&gt;[sound:しゅうだん.mp3]&lt;/div&gt;</v>
      </c>
      <c r="H3086" s="3" t="str">
        <f t="shared" si="1"/>
        <v>(n): tập thể</v>
      </c>
      <c r="I3086" s="6" t="s">
        <v>16867</v>
      </c>
      <c r="J3086" s="6" t="s">
        <v>16868</v>
      </c>
      <c r="K3086" s="7">
        <f t="shared" si="2"/>
        <v>0.00535424626</v>
      </c>
    </row>
    <row r="3087">
      <c r="A3087" s="4">
        <v>3087.0</v>
      </c>
      <c r="B3087" s="5" t="s">
        <v>16869</v>
      </c>
      <c r="C3087" s="5" t="s">
        <v>16870</v>
      </c>
      <c r="D3087" s="5" t="s">
        <v>16871</v>
      </c>
      <c r="E3087" s="6" t="s">
        <v>74</v>
      </c>
      <c r="F3087" s="6" t="s">
        <v>16872</v>
      </c>
      <c r="G3087" s="3" t="str">
        <f>IFERROR(__xludf.DUMMYFUNCTION("REGEXREPLACE(
D3087,
""([一-龯々]+)\[([^\]]+)\]"",
""&lt;ruby&gt;$1&lt;rt&gt;$2&lt;/rt&gt;&lt;/ruby&gt;""
)&amp;""&lt;br&gt;&lt;div class=""""audio""""&gt;[sound:""&amp;C3087&amp;"".mp3]&lt;/div&gt;"""),"&lt;ruby&gt;項目&lt;rt&gt;こうもく&lt;/rt&gt;&lt;/ruby&gt;&lt;br&gt;&lt;div class=""audio""&gt;[sound:こうもく.mp3]&lt;/div&gt;")</f>
        <v>&lt;ruby&gt;項目&lt;rt&gt;こうもく&lt;/rt&gt;&lt;/ruby&gt;&lt;br&gt;&lt;div class="audio"&gt;[sound:こうもく.mp3]&lt;/div&gt;</v>
      </c>
      <c r="H3087" s="3" t="str">
        <f t="shared" si="1"/>
        <v>(n): mục</v>
      </c>
      <c r="I3087" s="6" t="s">
        <v>16873</v>
      </c>
      <c r="J3087" s="6" t="s">
        <v>16874</v>
      </c>
      <c r="K3087" s="7">
        <f t="shared" si="2"/>
        <v>0.03281654666</v>
      </c>
    </row>
    <row r="3088">
      <c r="A3088" s="4">
        <v>3088.0</v>
      </c>
      <c r="B3088" s="5" t="s">
        <v>16875</v>
      </c>
      <c r="C3088" s="5" t="s">
        <v>16876</v>
      </c>
      <c r="D3088" s="5" t="s">
        <v>16877</v>
      </c>
      <c r="E3088" s="6" t="s">
        <v>24</v>
      </c>
      <c r="F3088" s="6" t="s">
        <v>3985</v>
      </c>
      <c r="G3088" s="3" t="str">
        <f>IFERROR(__xludf.DUMMYFUNCTION("REGEXREPLACE(
D3088,
""([一-龯々]+)\[([^\]]+)\]"",
""&lt;ruby&gt;$1&lt;rt&gt;$2&lt;/rt&gt;&lt;/ruby&gt;""
)&amp;""&lt;br&gt;&lt;div class=""""audio""""&gt;[sound:""&amp;C3088&amp;"".mp3]&lt;/div&gt;"""),"&lt;ruby&gt;預&lt;rt&gt;あず&lt;/rt&gt;&lt;/ruby&gt;ける&lt;br&gt;&lt;div class=""audio""&gt;[sound:あずける.mp3]&lt;/div&gt;")</f>
        <v>&lt;ruby&gt;預&lt;rt&gt;あず&lt;/rt&gt;&lt;/ruby&gt;ける&lt;br&gt;&lt;div class="audio"&gt;[sound:あずける.mp3]&lt;/div&gt;</v>
      </c>
      <c r="H3088" s="3" t="str">
        <f t="shared" si="1"/>
        <v>(v): gửi</v>
      </c>
      <c r="I3088" s="6" t="s">
        <v>16878</v>
      </c>
      <c r="J3088" s="6" t="s">
        <v>16879</v>
      </c>
      <c r="K3088" s="7">
        <f t="shared" si="2"/>
        <v>0.1903593047</v>
      </c>
    </row>
    <row r="3089">
      <c r="A3089" s="4">
        <v>3089.0</v>
      </c>
      <c r="B3089" s="5" t="s">
        <v>16880</v>
      </c>
      <c r="C3089" s="5" t="s">
        <v>16881</v>
      </c>
      <c r="D3089" s="5" t="s">
        <v>16882</v>
      </c>
      <c r="E3089" s="6" t="s">
        <v>74</v>
      </c>
      <c r="F3089" s="6" t="s">
        <v>16883</v>
      </c>
      <c r="G3089" s="3" t="str">
        <f>IFERROR(__xludf.DUMMYFUNCTION("REGEXREPLACE(
D3089,
""([一-龯々]+)\[([^\]]+)\]"",
""&lt;ruby&gt;$1&lt;rt&gt;$2&lt;/rt&gt;&lt;/ruby&gt;""
)&amp;""&lt;br&gt;&lt;div class=""""audio""""&gt;[sound:""&amp;C3089&amp;"".mp3]&lt;/div&gt;"""),"&lt;ruby&gt;郵送&lt;rt&gt;ゆうそう&lt;/rt&gt;&lt;/ruby&gt;&lt;br&gt;&lt;div class=""audio""&gt;[sound:ゆうそう.mp3]&lt;/div&gt;")</f>
        <v>&lt;ruby&gt;郵送&lt;rt&gt;ゆうそう&lt;/rt&gt;&lt;/ruby&gt;&lt;br&gt;&lt;div class="audio"&gt;[sound:ゆうそう.mp3]&lt;/div&gt;</v>
      </c>
      <c r="H3089" s="3" t="str">
        <f t="shared" si="1"/>
        <v>(n): gửi qua bưu điện</v>
      </c>
      <c r="I3089" s="6" t="s">
        <v>16884</v>
      </c>
      <c r="J3089" s="6" t="s">
        <v>16885</v>
      </c>
      <c r="K3089" s="7">
        <f t="shared" si="2"/>
        <v>0.1884877276</v>
      </c>
    </row>
    <row r="3090">
      <c r="A3090" s="4">
        <v>3090.0</v>
      </c>
      <c r="B3090" s="5" t="s">
        <v>16886</v>
      </c>
      <c r="C3090" s="5" t="s">
        <v>16887</v>
      </c>
      <c r="D3090" s="5" t="s">
        <v>16888</v>
      </c>
      <c r="E3090" s="6" t="s">
        <v>24</v>
      </c>
      <c r="F3090" s="6" t="s">
        <v>16889</v>
      </c>
      <c r="G3090" s="3" t="str">
        <f>IFERROR(__xludf.DUMMYFUNCTION("REGEXREPLACE(
D3090,
""([一-龯々]+)\[([^\]]+)\]"",
""&lt;ruby&gt;$1&lt;rt&gt;$2&lt;/rt&gt;&lt;/ruby&gt;""
)&amp;""&lt;br&gt;&lt;div class=""""audio""""&gt;[sound:""&amp;C3090&amp;"".mp3]&lt;/div&gt;"""),"&lt;ruby&gt;話&lt;rt&gt;はな&lt;/rt&gt;&lt;/ruby&gt;し&lt;ruby&gt;掛&lt;rt&gt;か&lt;/rt&gt;&lt;/ruby&gt;ける&lt;br&gt;&lt;div class=""audio""&gt;[sound:はなしかける.mp3]&lt;/div&gt;")</f>
        <v>&lt;ruby&gt;話&lt;rt&gt;はな&lt;/rt&gt;&lt;/ruby&gt;し&lt;ruby&gt;掛&lt;rt&gt;か&lt;/rt&gt;&lt;/ruby&gt;ける&lt;br&gt;&lt;div class="audio"&gt;[sound:はなしかける.mp3]&lt;/div&gt;</v>
      </c>
      <c r="H3090" s="3" t="str">
        <f t="shared" si="1"/>
        <v>(v): bắt chuyện</v>
      </c>
      <c r="I3090" s="6" t="s">
        <v>16890</v>
      </c>
      <c r="J3090" s="6" t="s">
        <v>16891</v>
      </c>
      <c r="K3090" s="7">
        <f t="shared" si="2"/>
        <v>0.1698912844</v>
      </c>
    </row>
    <row r="3091">
      <c r="A3091" s="4">
        <v>3091.0</v>
      </c>
      <c r="B3091" s="5" t="s">
        <v>16892</v>
      </c>
      <c r="C3091" s="5" t="s">
        <v>6412</v>
      </c>
      <c r="D3091" s="5" t="s">
        <v>16893</v>
      </c>
      <c r="E3091" s="6" t="s">
        <v>74</v>
      </c>
      <c r="F3091" s="6" t="s">
        <v>16894</v>
      </c>
      <c r="G3091" s="3" t="str">
        <f>IFERROR(__xludf.DUMMYFUNCTION("REGEXREPLACE(
D3091,
""([一-龯々]+)\[([^\]]+)\]"",
""&lt;ruby&gt;$1&lt;rt&gt;$2&lt;/rt&gt;&lt;/ruby&gt;""
)&amp;""&lt;br&gt;&lt;div class=""""audio""""&gt;[sound:""&amp;C3091&amp;"".mp3]&lt;/div&gt;"""),"&lt;ruby&gt;版&lt;rt&gt;はん&lt;/rt&gt;&lt;/ruby&gt;&lt;br&gt;&lt;div class=""audio""&gt;[sound:はん.mp3]&lt;/div&gt;")</f>
        <v>&lt;ruby&gt;版&lt;rt&gt;はん&lt;/rt&gt;&lt;/ruby&gt;&lt;br&gt;&lt;div class="audio"&gt;[sound:はん.mp3]&lt;/div&gt;</v>
      </c>
      <c r="H3091" s="3" t="str">
        <f t="shared" si="1"/>
        <v>(n): phiên bản</v>
      </c>
      <c r="I3091" s="6" t="s">
        <v>16895</v>
      </c>
      <c r="J3091" s="6" t="s">
        <v>16896</v>
      </c>
      <c r="K3091" s="7">
        <f t="shared" si="2"/>
        <v>0.6601358228</v>
      </c>
    </row>
    <row r="3092">
      <c r="A3092" s="4">
        <v>3092.0</v>
      </c>
      <c r="B3092" s="5" t="s">
        <v>16897</v>
      </c>
      <c r="C3092" s="5" t="s">
        <v>16898</v>
      </c>
      <c r="D3092" s="5" t="s">
        <v>16899</v>
      </c>
      <c r="E3092" s="6" t="s">
        <v>74</v>
      </c>
      <c r="F3092" s="6" t="s">
        <v>16900</v>
      </c>
      <c r="G3092" s="3" t="str">
        <f>IFERROR(__xludf.DUMMYFUNCTION("REGEXREPLACE(
D3092,
""([一-龯々]+)\[([^\]]+)\]"",
""&lt;ruby&gt;$1&lt;rt&gt;$2&lt;/rt&gt;&lt;/ruby&gt;""
)&amp;""&lt;br&gt;&lt;div class=""""audio""""&gt;[sound:""&amp;C3092&amp;"".mp3]&lt;/div&gt;"""),"&lt;ruby&gt;出張&lt;rt&gt;しゅっちょう&lt;/rt&gt;&lt;/ruby&gt;&lt;br&gt;&lt;div class=""audio""&gt;[sound:しゅっちょう.mp3]&lt;/div&gt;")</f>
        <v>&lt;ruby&gt;出張&lt;rt&gt;しゅっちょう&lt;/rt&gt;&lt;/ruby&gt;&lt;br&gt;&lt;div class="audio"&gt;[sound:しゅっちょう.mp3]&lt;/div&gt;</v>
      </c>
      <c r="H3092" s="3" t="str">
        <f t="shared" si="1"/>
        <v>(n): công tác</v>
      </c>
      <c r="I3092" s="6" t="s">
        <v>16901</v>
      </c>
      <c r="J3092" s="6" t="s">
        <v>16902</v>
      </c>
      <c r="K3092" s="7">
        <f t="shared" si="2"/>
        <v>0.3461588424</v>
      </c>
    </row>
    <row r="3093">
      <c r="A3093" s="4">
        <v>3093.0</v>
      </c>
      <c r="B3093" s="5" t="s">
        <v>16903</v>
      </c>
      <c r="C3093" s="5" t="s">
        <v>2831</v>
      </c>
      <c r="D3093" s="5" t="s">
        <v>16904</v>
      </c>
      <c r="E3093" s="6" t="s">
        <v>74</v>
      </c>
      <c r="F3093" s="6" t="s">
        <v>16905</v>
      </c>
      <c r="G3093" s="3" t="str">
        <f>IFERROR(__xludf.DUMMYFUNCTION("REGEXREPLACE(
D3093,
""([一-龯々]+)\[([^\]]+)\]"",
""&lt;ruby&gt;$1&lt;rt&gt;$2&lt;/rt&gt;&lt;/ruby&gt;""
)&amp;""&lt;br&gt;&lt;div class=""""audio""""&gt;[sound:""&amp;C3093&amp;"".mp3]&lt;/div&gt;"""),"&lt;ruby&gt;題&lt;rt&gt;だい&lt;/rt&gt;&lt;/ruby&gt;&lt;br&gt;&lt;div class=""audio""&gt;[sound:だい.mp3]&lt;/div&gt;")</f>
        <v>&lt;ruby&gt;題&lt;rt&gt;だい&lt;/rt&gt;&lt;/ruby&gt;&lt;br&gt;&lt;div class="audio"&gt;[sound:だい.mp3]&lt;/div&gt;</v>
      </c>
      <c r="H3093" s="3" t="str">
        <f t="shared" si="1"/>
        <v>(n): đề tài</v>
      </c>
      <c r="I3093" s="6" t="s">
        <v>16906</v>
      </c>
      <c r="J3093" s="6" t="s">
        <v>16907</v>
      </c>
      <c r="K3093" s="7">
        <f t="shared" si="2"/>
        <v>0.5312134403</v>
      </c>
    </row>
    <row r="3094">
      <c r="A3094" s="4">
        <v>3094.0</v>
      </c>
      <c r="B3094" s="5" t="s">
        <v>16908</v>
      </c>
      <c r="C3094" s="5" t="s">
        <v>16908</v>
      </c>
      <c r="D3094" s="5" t="s">
        <v>16908</v>
      </c>
      <c r="E3094" s="6" t="s">
        <v>44</v>
      </c>
      <c r="F3094" s="6" t="s">
        <v>16909</v>
      </c>
      <c r="G3094" s="3" t="str">
        <f>IFERROR(__xludf.DUMMYFUNCTION("REGEXREPLACE(
D3094,
""([一-龯々]+)\[([^\]]+)\]"",
""&lt;ruby&gt;$1&lt;rt&gt;$2&lt;/rt&gt;&lt;/ruby&gt;""
)&amp;""&lt;br&gt;&lt;div class=""""audio""""&gt;[sound:""&amp;C3094&amp;"".mp3]&lt;/div&gt;"""),"あれこれ&lt;br&gt;&lt;div class=""audio""&gt;[sound:あれこれ.mp3]&lt;/div&gt;")</f>
        <v>あれこれ&lt;br&gt;&lt;div class="audio"&gt;[sound:あれこれ.mp3]&lt;/div&gt;</v>
      </c>
      <c r="H3094" s="3" t="str">
        <f t="shared" si="1"/>
        <v>(pron): cái này cái kia</v>
      </c>
      <c r="I3094" s="6" t="s">
        <v>16910</v>
      </c>
      <c r="J3094" s="6" t="s">
        <v>16911</v>
      </c>
      <c r="K3094" s="7">
        <f t="shared" si="2"/>
        <v>0.1381663427</v>
      </c>
    </row>
    <row r="3095">
      <c r="A3095" s="4">
        <v>3095.0</v>
      </c>
      <c r="B3095" s="5" t="s">
        <v>16912</v>
      </c>
      <c r="C3095" s="5" t="s">
        <v>16913</v>
      </c>
      <c r="D3095" s="5" t="s">
        <v>16914</v>
      </c>
      <c r="E3095" s="6" t="s">
        <v>74</v>
      </c>
      <c r="F3095" s="6" t="s">
        <v>16915</v>
      </c>
      <c r="G3095" s="3" t="str">
        <f>IFERROR(__xludf.DUMMYFUNCTION("REGEXREPLACE(
D3095,
""([一-龯々]+)\[([^\]]+)\]"",
""&lt;ruby&gt;$1&lt;rt&gt;$2&lt;/rt&gt;&lt;/ruby&gt;""
)&amp;""&lt;br&gt;&lt;div class=""""audio""""&gt;[sound:""&amp;C3095&amp;"".mp3]&lt;/div&gt;"""),"&lt;ruby&gt;蛍光灯&lt;rt&gt;けいこうとう&lt;/rt&gt;&lt;/ruby&gt;&lt;br&gt;&lt;div class=""audio""&gt;[sound:けいこうとう.mp3]&lt;/div&gt;")</f>
        <v>&lt;ruby&gt;蛍光灯&lt;rt&gt;けいこうとう&lt;/rt&gt;&lt;/ruby&gt;&lt;br&gt;&lt;div class="audio"&gt;[sound:けいこうとう.mp3]&lt;/div&gt;</v>
      </c>
      <c r="H3095" s="3" t="str">
        <f t="shared" si="1"/>
        <v>(n): đèn huỳnh quang</v>
      </c>
      <c r="I3095" s="6" t="s">
        <v>16916</v>
      </c>
      <c r="J3095" s="6" t="s">
        <v>16917</v>
      </c>
      <c r="K3095" s="7">
        <f t="shared" si="2"/>
        <v>0.08703692343</v>
      </c>
    </row>
    <row r="3096">
      <c r="A3096" s="4">
        <v>3096.0</v>
      </c>
      <c r="B3096" s="5" t="s">
        <v>16918</v>
      </c>
      <c r="C3096" s="5" t="s">
        <v>16919</v>
      </c>
      <c r="D3096" s="5" t="s">
        <v>16920</v>
      </c>
      <c r="E3096" s="6" t="s">
        <v>74</v>
      </c>
      <c r="F3096" s="6" t="s">
        <v>1426</v>
      </c>
      <c r="G3096" s="3" t="str">
        <f>IFERROR(__xludf.DUMMYFUNCTION("REGEXREPLACE(
D3096,
""([一-龯々]+)\[([^\]]+)\]"",
""&lt;ruby&gt;$1&lt;rt&gt;$2&lt;/rt&gt;&lt;/ruby&gt;""
)&amp;""&lt;br&gt;&lt;div class=""""audio""""&gt;[sound:""&amp;C3096&amp;"".mp3]&lt;/div&gt;"""),"&lt;ruby&gt;課長&lt;rt&gt;かちょう&lt;/rt&gt;&lt;/ruby&gt;&lt;br&gt;&lt;div class=""audio""&gt;[sound:かちょう.mp3]&lt;/div&gt;")</f>
        <v>&lt;ruby&gt;課長&lt;rt&gt;かちょう&lt;/rt&gt;&lt;/ruby&gt;&lt;br&gt;&lt;div class="audio"&gt;[sound:かちょう.mp3]&lt;/div&gt;</v>
      </c>
      <c r="H3096" s="3" t="str">
        <f t="shared" si="1"/>
        <v>(n): trưởng phòng</v>
      </c>
      <c r="I3096" s="6" t="s">
        <v>16921</v>
      </c>
      <c r="J3096" s="6" t="s">
        <v>16922</v>
      </c>
      <c r="K3096" s="7">
        <f t="shared" si="2"/>
        <v>0.9542666761</v>
      </c>
    </row>
    <row r="3097">
      <c r="A3097" s="4">
        <v>3097.0</v>
      </c>
      <c r="B3097" s="5" t="s">
        <v>16923</v>
      </c>
      <c r="C3097" s="5" t="s">
        <v>16924</v>
      </c>
      <c r="D3097" s="5" t="s">
        <v>16925</v>
      </c>
      <c r="E3097" s="6" t="s">
        <v>74</v>
      </c>
      <c r="F3097" s="6" t="s">
        <v>16926</v>
      </c>
      <c r="G3097" s="3" t="str">
        <f>IFERROR(__xludf.DUMMYFUNCTION("REGEXREPLACE(
D3097,
""([一-龯々]+)\[([^\]]+)\]"",
""&lt;ruby&gt;$1&lt;rt&gt;$2&lt;/rt&gt;&lt;/ruby&gt;""
)&amp;""&lt;br&gt;&lt;div class=""""audio""""&gt;[sound:""&amp;C3097&amp;"".mp3]&lt;/div&gt;"""),"&lt;ruby&gt;中年&lt;rt&gt;ちゅうねん&lt;/rt&gt;&lt;/ruby&gt;&lt;br&gt;&lt;div class=""audio""&gt;[sound:ちゅうねん.mp3]&lt;/div&gt;")</f>
        <v>&lt;ruby&gt;中年&lt;rt&gt;ちゅうねん&lt;/rt&gt;&lt;/ruby&gt;&lt;br&gt;&lt;div class="audio"&gt;[sound:ちゅうねん.mp3]&lt;/div&gt;</v>
      </c>
      <c r="H3097" s="3" t="str">
        <f t="shared" si="1"/>
        <v>(n): trung niên</v>
      </c>
      <c r="I3097" s="6" t="s">
        <v>16927</v>
      </c>
      <c r="J3097" s="6" t="s">
        <v>16928</v>
      </c>
      <c r="K3097" s="7">
        <f t="shared" si="2"/>
        <v>0.7597446769</v>
      </c>
    </row>
    <row r="3098">
      <c r="A3098" s="4">
        <v>3098.0</v>
      </c>
      <c r="B3098" s="5" t="s">
        <v>16929</v>
      </c>
      <c r="C3098" s="5" t="s">
        <v>16930</v>
      </c>
      <c r="D3098" s="5" t="s">
        <v>16931</v>
      </c>
      <c r="E3098" s="6" t="s">
        <v>74</v>
      </c>
      <c r="F3098" s="6" t="s">
        <v>16932</v>
      </c>
      <c r="G3098" s="3" t="str">
        <f>IFERROR(__xludf.DUMMYFUNCTION("REGEXREPLACE(
D3098,
""([一-龯々]+)\[([^\]]+)\]"",
""&lt;ruby&gt;$1&lt;rt&gt;$2&lt;/rt&gt;&lt;/ruby&gt;""
)&amp;""&lt;br&gt;&lt;div class=""""audio""""&gt;[sound:""&amp;C3098&amp;"".mp3]&lt;/div&gt;"""),"&lt;ruby&gt;景色&lt;rt&gt;けしき&lt;/rt&gt;&lt;/ruby&gt;&lt;br&gt;&lt;div class=""audio""&gt;[sound:けしき.mp3]&lt;/div&gt;")</f>
        <v>&lt;ruby&gt;景色&lt;rt&gt;けしき&lt;/rt&gt;&lt;/ruby&gt;&lt;br&gt;&lt;div class="audio"&gt;[sound:けしき.mp3]&lt;/div&gt;</v>
      </c>
      <c r="H3098" s="3" t="str">
        <f t="shared" si="1"/>
        <v>(n): phong cảnh</v>
      </c>
      <c r="I3098" s="6" t="s">
        <v>16933</v>
      </c>
      <c r="J3098" s="6" t="s">
        <v>16934</v>
      </c>
      <c r="K3098" s="7">
        <f t="shared" si="2"/>
        <v>0.1444949564</v>
      </c>
    </row>
    <row r="3099">
      <c r="A3099" s="4">
        <v>3099.0</v>
      </c>
      <c r="B3099" s="5" t="s">
        <v>16935</v>
      </c>
      <c r="C3099" s="5" t="s">
        <v>16936</v>
      </c>
      <c r="D3099" s="5" t="s">
        <v>16937</v>
      </c>
      <c r="E3099" s="6" t="s">
        <v>74</v>
      </c>
      <c r="F3099" s="6" t="s">
        <v>16938</v>
      </c>
      <c r="G3099" s="3" t="str">
        <f>IFERROR(__xludf.DUMMYFUNCTION("REGEXREPLACE(
D3099,
""([一-龯々]+)\[([^\]]+)\]"",
""&lt;ruby&gt;$1&lt;rt&gt;$2&lt;/rt&gt;&lt;/ruby&gt;""
)&amp;""&lt;br&gt;&lt;div class=""""audio""""&gt;[sound:""&amp;C3099&amp;"".mp3]&lt;/div&gt;"""),"&lt;ruby&gt;衣服&lt;rt&gt;いふく&lt;/rt&gt;&lt;/ruby&gt;&lt;br&gt;&lt;div class=""audio""&gt;[sound:いふく.mp3]&lt;/div&gt;")</f>
        <v>&lt;ruby&gt;衣服&lt;rt&gt;いふく&lt;/rt&gt;&lt;/ruby&gt;&lt;br&gt;&lt;div class="audio"&gt;[sound:いふく.mp3]&lt;/div&gt;</v>
      </c>
      <c r="H3099" s="3" t="str">
        <f t="shared" si="1"/>
        <v>(n): trang phục</v>
      </c>
      <c r="I3099" s="6" t="s">
        <v>16939</v>
      </c>
      <c r="J3099" s="6" t="s">
        <v>16940</v>
      </c>
      <c r="K3099" s="7">
        <f t="shared" si="2"/>
        <v>0.1583354365</v>
      </c>
    </row>
    <row r="3100">
      <c r="A3100" s="4">
        <v>3100.0</v>
      </c>
      <c r="B3100" s="5" t="s">
        <v>16941</v>
      </c>
      <c r="C3100" s="5" t="s">
        <v>16941</v>
      </c>
      <c r="D3100" s="5" t="s">
        <v>16941</v>
      </c>
      <c r="E3100" s="6" t="s">
        <v>85</v>
      </c>
      <c r="F3100" s="6" t="s">
        <v>4743</v>
      </c>
      <c r="G3100" s="3" t="str">
        <f>IFERROR(__xludf.DUMMYFUNCTION("REGEXREPLACE(
D3100,
""([一-龯々]+)\[([^\]]+)\]"",
""&lt;ruby&gt;$1&lt;rt&gt;$2&lt;/rt&gt;&lt;/ruby&gt;""
)&amp;""&lt;br&gt;&lt;div class=""""audio""""&gt;[sound:""&amp;C3100&amp;"".mp3]&lt;/div&gt;"""),"さっぱり&lt;br&gt;&lt;div class=""audio""&gt;[sound:さっぱり.mp3]&lt;/div&gt;")</f>
        <v>さっぱり&lt;br&gt;&lt;div class="audio"&gt;[sound:さっぱり.mp3]&lt;/div&gt;</v>
      </c>
      <c r="H3100" s="3" t="str">
        <f t="shared" si="1"/>
        <v>(adv): hoàn toàn</v>
      </c>
      <c r="I3100" s="6" t="s">
        <v>16942</v>
      </c>
      <c r="J3100" s="6" t="s">
        <v>7781</v>
      </c>
      <c r="K3100" s="7">
        <f t="shared" si="2"/>
        <v>0.4101244203</v>
      </c>
    </row>
    <row r="3101">
      <c r="A3101" s="4">
        <v>3101.0</v>
      </c>
      <c r="B3101" s="5" t="s">
        <v>16943</v>
      </c>
      <c r="C3101" s="5" t="s">
        <v>16944</v>
      </c>
      <c r="D3101" s="5" t="s">
        <v>16945</v>
      </c>
      <c r="E3101" s="6" t="s">
        <v>74</v>
      </c>
      <c r="F3101" s="6" t="s">
        <v>16946</v>
      </c>
      <c r="G3101" s="3" t="str">
        <f>IFERROR(__xludf.DUMMYFUNCTION("REGEXREPLACE(
D3101,
""([一-龯々]+)\[([^\]]+)\]"",
""&lt;ruby&gt;$1&lt;rt&gt;$2&lt;/rt&gt;&lt;/ruby&gt;""
)&amp;""&lt;br&gt;&lt;div class=""""audio""""&gt;[sound:""&amp;C3101&amp;"".mp3]&lt;/div&gt;"""),"&lt;ruby&gt;線路&lt;rt&gt;せんろ&lt;/rt&gt;&lt;/ruby&gt;&lt;br&gt;&lt;div class=""audio""&gt;[sound:せんろ.mp3]&lt;/div&gt;")</f>
        <v>&lt;ruby&gt;線路&lt;rt&gt;せんろ&lt;/rt&gt;&lt;/ruby&gt;&lt;br&gt;&lt;div class="audio"&gt;[sound:せんろ.mp3]&lt;/div&gt;</v>
      </c>
      <c r="H3101" s="3" t="str">
        <f t="shared" si="1"/>
        <v>(n): đường ray</v>
      </c>
      <c r="I3101" s="6" t="s">
        <v>16947</v>
      </c>
      <c r="J3101" s="6" t="s">
        <v>16948</v>
      </c>
      <c r="K3101" s="7">
        <f t="shared" si="2"/>
        <v>0.06424479651</v>
      </c>
    </row>
    <row r="3102">
      <c r="A3102" s="4">
        <v>3102.0</v>
      </c>
      <c r="B3102" s="5" t="s">
        <v>16949</v>
      </c>
      <c r="C3102" s="5" t="s">
        <v>16950</v>
      </c>
      <c r="D3102" s="5" t="s">
        <v>16949</v>
      </c>
      <c r="E3102" s="6" t="s">
        <v>74</v>
      </c>
      <c r="F3102" s="6" t="s">
        <v>16951</v>
      </c>
      <c r="G3102" s="3" t="str">
        <f>IFERROR(__xludf.DUMMYFUNCTION("REGEXREPLACE(
D3102,
""([一-龯々]+)\[([^\]]+)\]"",
""&lt;ruby&gt;$1&lt;rt&gt;$2&lt;/rt&gt;&lt;/ruby&gt;""
)&amp;""&lt;br&gt;&lt;div class=""""audio""""&gt;[sound:""&amp;C3102&amp;"".mp3]&lt;/div&gt;"""),"コンテスト&lt;br&gt;&lt;div class=""audio""&gt;[sound:こんてすと.mp3]&lt;/div&gt;")</f>
        <v>コンテスト&lt;br&gt;&lt;div class="audio"&gt;[sound:こんてすと.mp3]&lt;/div&gt;</v>
      </c>
      <c r="H3102" s="3" t="str">
        <f t="shared" si="1"/>
        <v>(n): cuộc thi</v>
      </c>
      <c r="I3102" s="6" t="s">
        <v>16952</v>
      </c>
      <c r="J3102" s="6" t="s">
        <v>16953</v>
      </c>
      <c r="K3102" s="7">
        <f t="shared" si="2"/>
        <v>0.5913247785</v>
      </c>
    </row>
    <row r="3103">
      <c r="A3103" s="4">
        <v>3103.0</v>
      </c>
      <c r="B3103" s="5" t="s">
        <v>16954</v>
      </c>
      <c r="C3103" s="5" t="s">
        <v>16954</v>
      </c>
      <c r="D3103" s="5" t="s">
        <v>16954</v>
      </c>
      <c r="E3103" s="6" t="s">
        <v>85</v>
      </c>
      <c r="F3103" s="6" t="s">
        <v>10667</v>
      </c>
      <c r="G3103" s="3" t="str">
        <f>IFERROR(__xludf.DUMMYFUNCTION("REGEXREPLACE(
D3103,
""([一-龯々]+)\[([^\]]+)\]"",
""&lt;ruby&gt;$1&lt;rt&gt;$2&lt;/rt&gt;&lt;/ruby&gt;""
)&amp;""&lt;br&gt;&lt;div class=""""audio""""&gt;[sound:""&amp;C3103&amp;"".mp3]&lt;/div&gt;"""),"どっと&lt;br&gt;&lt;div class=""audio""&gt;[sound:どっと.mp3]&lt;/div&gt;")</f>
        <v>どっと&lt;br&gt;&lt;div class="audio"&gt;[sound:どっと.mp3]&lt;/div&gt;</v>
      </c>
      <c r="H3103" s="3" t="str">
        <f t="shared" si="1"/>
        <v>(adv): cùng lúc</v>
      </c>
      <c r="I3103" s="6" t="s">
        <v>16955</v>
      </c>
      <c r="J3103" s="6" t="s">
        <v>16956</v>
      </c>
      <c r="K3103" s="7">
        <f t="shared" si="2"/>
        <v>0.03914204924</v>
      </c>
    </row>
    <row r="3104">
      <c r="A3104" s="4">
        <v>3104.0</v>
      </c>
      <c r="B3104" s="5" t="s">
        <v>16957</v>
      </c>
      <c r="C3104" s="5" t="s">
        <v>16958</v>
      </c>
      <c r="D3104" s="5" t="s">
        <v>16957</v>
      </c>
      <c r="E3104" s="6" t="s">
        <v>33</v>
      </c>
      <c r="F3104" s="6" t="s">
        <v>5722</v>
      </c>
      <c r="G3104" s="3" t="str">
        <f>IFERROR(__xludf.DUMMYFUNCTION("REGEXREPLACE(
D3104,
""([一-龯々]+)\[([^\]]+)\]"",
""&lt;ruby&gt;$1&lt;rt&gt;$2&lt;/rt&gt;&lt;/ruby&gt;""
)&amp;""&lt;br&gt;&lt;div class=""""audio""""&gt;[sound:""&amp;C3104&amp;"".mp3]&lt;/div&gt;"""),"バイバイ&lt;br&gt;&lt;div class=""audio""&gt;[sound:ばいばい.mp3]&lt;/div&gt;")</f>
        <v>バイバイ&lt;br&gt;&lt;div class="audio"&gt;[sound:ばいばい.mp3]&lt;/div&gt;</v>
      </c>
      <c r="H3104" s="3" t="str">
        <f t="shared" si="1"/>
        <v>(int): tạm biệt</v>
      </c>
      <c r="I3104" s="6" t="s">
        <v>16959</v>
      </c>
      <c r="J3104" s="6" t="s">
        <v>16960</v>
      </c>
      <c r="K3104" s="7">
        <f t="shared" si="2"/>
        <v>0.7405174091</v>
      </c>
    </row>
    <row r="3105">
      <c r="A3105" s="4">
        <v>3105.0</v>
      </c>
      <c r="B3105" s="5" t="s">
        <v>16961</v>
      </c>
      <c r="C3105" s="5" t="s">
        <v>16962</v>
      </c>
      <c r="D3105" s="5" t="s">
        <v>16963</v>
      </c>
      <c r="E3105" s="6" t="s">
        <v>24</v>
      </c>
      <c r="F3105" s="6" t="s">
        <v>10137</v>
      </c>
      <c r="G3105" s="3" t="str">
        <f>IFERROR(__xludf.DUMMYFUNCTION("REGEXREPLACE(
D3105,
""([一-龯々]+)\[([^\]]+)\]"",
""&lt;ruby&gt;$1&lt;rt&gt;$2&lt;/rt&gt;&lt;/ruby&gt;""
)&amp;""&lt;br&gt;&lt;div class=""""audio""""&gt;[sound:""&amp;C3105&amp;"".mp3]&lt;/div&gt;"""),"&lt;ruby&gt;命&lt;rt&gt;めい&lt;/rt&gt;&lt;/ruby&gt;ずる&lt;br&gt;&lt;div class=""audio""&gt;[sound:めいずる.mp3]&lt;/div&gt;")</f>
        <v>&lt;ruby&gt;命&lt;rt&gt;めい&lt;/rt&gt;&lt;/ruby&gt;ずる&lt;br&gt;&lt;div class="audio"&gt;[sound:めいずる.mp3]&lt;/div&gt;</v>
      </c>
      <c r="H3105" s="3" t="str">
        <f t="shared" si="1"/>
        <v>(v): ra lệnh</v>
      </c>
      <c r="I3105" s="6" t="s">
        <v>16964</v>
      </c>
      <c r="J3105" s="6" t="s">
        <v>16965</v>
      </c>
      <c r="K3105" s="7">
        <f t="shared" si="2"/>
        <v>0.8828653198</v>
      </c>
    </row>
    <row r="3106">
      <c r="A3106" s="4">
        <v>3106.0</v>
      </c>
      <c r="B3106" s="5" t="s">
        <v>16966</v>
      </c>
      <c r="C3106" s="5" t="s">
        <v>16967</v>
      </c>
      <c r="D3106" s="5" t="s">
        <v>16968</v>
      </c>
      <c r="E3106" s="6" t="s">
        <v>24</v>
      </c>
      <c r="F3106" s="6" t="s">
        <v>16969</v>
      </c>
      <c r="G3106" s="3" t="str">
        <f>IFERROR(__xludf.DUMMYFUNCTION("REGEXREPLACE(
D3106,
""([一-龯々]+)\[([^\]]+)\]"",
""&lt;ruby&gt;$1&lt;rt&gt;$2&lt;/rt&gt;&lt;/ruby&gt;""
)&amp;""&lt;br&gt;&lt;div class=""""audio""""&gt;[sound:""&amp;C3106&amp;"".mp3]&lt;/div&gt;"""),"&lt;ruby&gt;飛&lt;rt&gt;と&lt;/rt&gt;&lt;/ruby&gt;ばす&lt;br&gt;&lt;div class=""audio""&gt;[sound:とばす.mp3]&lt;/div&gt;")</f>
        <v>&lt;ruby&gt;飛&lt;rt&gt;と&lt;/rt&gt;&lt;/ruby&gt;ばす&lt;br&gt;&lt;div class="audio"&gt;[sound:とばす.mp3]&lt;/div&gt;</v>
      </c>
      <c r="H3106" s="3" t="str">
        <f t="shared" si="1"/>
        <v>(v): làm bay</v>
      </c>
      <c r="I3106" s="6" t="s">
        <v>16970</v>
      </c>
      <c r="J3106" s="6" t="s">
        <v>16971</v>
      </c>
      <c r="K3106" s="7">
        <f t="shared" si="2"/>
        <v>0.03326586251</v>
      </c>
    </row>
    <row r="3107">
      <c r="A3107" s="4">
        <v>3107.0</v>
      </c>
      <c r="B3107" s="5" t="s">
        <v>16972</v>
      </c>
      <c r="C3107" s="5" t="s">
        <v>16972</v>
      </c>
      <c r="D3107" s="5" t="s">
        <v>16972</v>
      </c>
      <c r="E3107" s="6" t="s">
        <v>90</v>
      </c>
      <c r="F3107" s="6" t="s">
        <v>16973</v>
      </c>
      <c r="G3107" s="3" t="str">
        <f>IFERROR(__xludf.DUMMYFUNCTION("REGEXREPLACE(
D3107,
""([一-龯々]+)\[([^\]]+)\]"",
""&lt;ruby&gt;$1&lt;rt&gt;$2&lt;/rt&gt;&lt;/ruby&gt;""
)&amp;""&lt;br&gt;&lt;div class=""""audio""""&gt;[sound:""&amp;C3107&amp;"".mp3]&lt;/div&gt;"""),"なぜなら&lt;br&gt;&lt;div class=""audio""&gt;[sound:なぜなら.mp3]&lt;/div&gt;")</f>
        <v>なぜなら&lt;br&gt;&lt;div class="audio"&gt;[sound:なぜなら.mp3]&lt;/div&gt;</v>
      </c>
      <c r="H3107" s="3" t="str">
        <f t="shared" si="1"/>
        <v>(conj): bởi vì</v>
      </c>
      <c r="I3107" s="6" t="s">
        <v>16974</v>
      </c>
      <c r="J3107" s="6" t="s">
        <v>16975</v>
      </c>
      <c r="K3107" s="7">
        <f t="shared" si="2"/>
        <v>0.09273186042</v>
      </c>
    </row>
    <row r="3108">
      <c r="A3108" s="4">
        <v>3108.0</v>
      </c>
      <c r="B3108" s="5" t="s">
        <v>16976</v>
      </c>
      <c r="C3108" s="5" t="s">
        <v>16977</v>
      </c>
      <c r="D3108" s="5" t="s">
        <v>16978</v>
      </c>
      <c r="E3108" s="6" t="s">
        <v>74</v>
      </c>
      <c r="F3108" s="6" t="s">
        <v>16979</v>
      </c>
      <c r="G3108" s="3" t="str">
        <f>IFERROR(__xludf.DUMMYFUNCTION("REGEXREPLACE(
D3108,
""([一-龯々]+)\[([^\]]+)\]"",
""&lt;ruby&gt;$1&lt;rt&gt;$2&lt;/rt&gt;&lt;/ruby&gt;""
)&amp;""&lt;br&gt;&lt;div class=""""audio""""&gt;[sound:""&amp;C3108&amp;"".mp3]&lt;/div&gt;"""),"&lt;ruby&gt;係&lt;rt&gt;かかり&lt;/rt&gt;&lt;/ruby&gt;&lt;br&gt;&lt;div class=""audio""&gt;[sound:かかり.mp3]&lt;/div&gt;")</f>
        <v>&lt;ruby&gt;係&lt;rt&gt;かかり&lt;/rt&gt;&lt;/ruby&gt;&lt;br&gt;&lt;div class="audio"&gt;[sound:かかり.mp3]&lt;/div&gt;</v>
      </c>
      <c r="H3108" s="3" t="str">
        <f t="shared" si="1"/>
        <v>(n): người phụ trách</v>
      </c>
      <c r="I3108" s="6" t="s">
        <v>16980</v>
      </c>
      <c r="J3108" s="6" t="s">
        <v>16981</v>
      </c>
      <c r="K3108" s="7">
        <f t="shared" si="2"/>
        <v>0.06270122558</v>
      </c>
    </row>
    <row r="3109">
      <c r="A3109" s="4">
        <v>3109.0</v>
      </c>
      <c r="B3109" s="5" t="s">
        <v>16982</v>
      </c>
      <c r="C3109" s="5" t="s">
        <v>16983</v>
      </c>
      <c r="D3109" s="5" t="s">
        <v>16984</v>
      </c>
      <c r="E3109" s="6" t="s">
        <v>74</v>
      </c>
      <c r="F3109" s="6" t="s">
        <v>12220</v>
      </c>
      <c r="G3109" s="3" t="str">
        <f>IFERROR(__xludf.DUMMYFUNCTION("REGEXREPLACE(
D3109,
""([一-龯々]+)\[([^\]]+)\]"",
""&lt;ruby&gt;$1&lt;rt&gt;$2&lt;/rt&gt;&lt;/ruby&gt;""
)&amp;""&lt;br&gt;&lt;div class=""""audio""""&gt;[sound:""&amp;C3109&amp;"".mp3]&lt;/div&gt;"""),"&lt;ruby&gt;話合&lt;rt&gt;はなしあ&lt;/rt&gt;&lt;/ruby&gt;い&lt;br&gt;&lt;div class=""audio""&gt;[sound:はなしあい.mp3]&lt;/div&gt;")</f>
        <v>&lt;ruby&gt;話合&lt;rt&gt;はなしあ&lt;/rt&gt;&lt;/ruby&gt;い&lt;br&gt;&lt;div class="audio"&gt;[sound:はなしあい.mp3]&lt;/div&gt;</v>
      </c>
      <c r="H3109" s="3" t="str">
        <f t="shared" si="1"/>
        <v>(n): cuộc thảo luận</v>
      </c>
      <c r="I3109" s="6" t="s">
        <v>16985</v>
      </c>
      <c r="J3109" s="6" t="s">
        <v>16986</v>
      </c>
      <c r="K3109" s="7">
        <f t="shared" si="2"/>
        <v>0.9110568124</v>
      </c>
    </row>
    <row r="3110">
      <c r="A3110" s="4">
        <v>3110.0</v>
      </c>
      <c r="B3110" s="5" t="s">
        <v>16987</v>
      </c>
      <c r="C3110" s="5" t="s">
        <v>16987</v>
      </c>
      <c r="D3110" s="5" t="s">
        <v>16987</v>
      </c>
      <c r="E3110" s="6" t="s">
        <v>85</v>
      </c>
      <c r="F3110" s="6" t="s">
        <v>16988</v>
      </c>
      <c r="G3110" s="3" t="str">
        <f>IFERROR(__xludf.DUMMYFUNCTION("REGEXREPLACE(
D3110,
""([一-龯々]+)\[([^\]]+)\]"",
""&lt;ruby&gt;$1&lt;rt&gt;$2&lt;/rt&gt;&lt;/ruby&gt;""
)&amp;""&lt;br&gt;&lt;div class=""""audio""""&gt;[sound:""&amp;C3110&amp;"".mp3]&lt;/div&gt;"""),"にっこり&lt;br&gt;&lt;div class=""audio""&gt;[sound:にっこり.mp3]&lt;/div&gt;")</f>
        <v>にっこり&lt;br&gt;&lt;div class="audio"&gt;[sound:にっこり.mp3]&lt;/div&gt;</v>
      </c>
      <c r="H3110" s="3" t="str">
        <f t="shared" si="1"/>
        <v>(adv): mỉm cười tươi</v>
      </c>
      <c r="I3110" s="6" t="s">
        <v>16989</v>
      </c>
      <c r="J3110" s="6" t="s">
        <v>16990</v>
      </c>
      <c r="K3110" s="7">
        <f t="shared" si="2"/>
        <v>0.9280627156</v>
      </c>
    </row>
    <row r="3111">
      <c r="A3111" s="4">
        <v>3111.0</v>
      </c>
      <c r="B3111" s="5" t="s">
        <v>16991</v>
      </c>
      <c r="C3111" s="5" t="s">
        <v>16992</v>
      </c>
      <c r="D3111" s="5" t="s">
        <v>16993</v>
      </c>
      <c r="E3111" s="6" t="s">
        <v>74</v>
      </c>
      <c r="F3111" s="6" t="s">
        <v>5214</v>
      </c>
      <c r="G3111" s="3" t="str">
        <f>IFERROR(__xludf.DUMMYFUNCTION("REGEXREPLACE(
D3111,
""([一-龯々]+)\[([^\]]+)\]"",
""&lt;ruby&gt;$1&lt;rt&gt;$2&lt;/rt&gt;&lt;/ruby&gt;""
)&amp;""&lt;br&gt;&lt;div class=""""audio""""&gt;[sound:""&amp;C3111&amp;"".mp3]&lt;/div&gt;"""),"&lt;ruby&gt;一通&lt;rt&gt;ひととお&lt;/rt&gt;&lt;/ruby&gt;り&lt;br&gt;&lt;div class=""audio""&gt;[sound:ひととおり.mp3]&lt;/div&gt;")</f>
        <v>&lt;ruby&gt;一通&lt;rt&gt;ひととお&lt;/rt&gt;&lt;/ruby&gt;り&lt;br&gt;&lt;div class="audio"&gt;[sound:ひととおり.mp3]&lt;/div&gt;</v>
      </c>
      <c r="H3111" s="3" t="str">
        <f t="shared" si="1"/>
        <v>(n): thông thường</v>
      </c>
      <c r="I3111" s="6" t="s">
        <v>16994</v>
      </c>
      <c r="J3111" s="6" t="s">
        <v>16995</v>
      </c>
      <c r="K3111" s="7">
        <f t="shared" si="2"/>
        <v>0.6589081352</v>
      </c>
    </row>
    <row r="3112">
      <c r="A3112" s="4">
        <v>3112.0</v>
      </c>
      <c r="B3112" s="5" t="s">
        <v>16996</v>
      </c>
      <c r="C3112" s="5" t="s">
        <v>16997</v>
      </c>
      <c r="D3112" s="5" t="s">
        <v>16998</v>
      </c>
      <c r="E3112" s="6" t="s">
        <v>24</v>
      </c>
      <c r="F3112" s="6" t="s">
        <v>3074</v>
      </c>
      <c r="G3112" s="3" t="str">
        <f>IFERROR(__xludf.DUMMYFUNCTION("REGEXREPLACE(
D3112,
""([一-龯々]+)\[([^\]]+)\]"",
""&lt;ruby&gt;$1&lt;rt&gt;$2&lt;/rt&gt;&lt;/ruby&gt;""
)&amp;""&lt;br&gt;&lt;div class=""""audio""""&gt;[sound:""&amp;C3112&amp;"".mp3]&lt;/div&gt;"""),"&lt;ruby&gt;仕上&lt;rt&gt;しあ&lt;/rt&gt;&lt;/ruby&gt;がる&lt;br&gt;&lt;div class=""audio""&gt;[sound:しあがる.mp3]&lt;/div&gt;")</f>
        <v>&lt;ruby&gt;仕上&lt;rt&gt;しあ&lt;/rt&gt;&lt;/ruby&gt;がる&lt;br&gt;&lt;div class="audio"&gt;[sound:しあがる.mp3]&lt;/div&gt;</v>
      </c>
      <c r="H3112" s="3" t="str">
        <f t="shared" si="1"/>
        <v>(v): hoàn thành</v>
      </c>
      <c r="I3112" s="6" t="s">
        <v>16999</v>
      </c>
      <c r="J3112" s="6" t="s">
        <v>17000</v>
      </c>
      <c r="K3112" s="7">
        <f t="shared" si="2"/>
        <v>0.8615716901</v>
      </c>
    </row>
    <row r="3113">
      <c r="A3113" s="4">
        <v>3113.0</v>
      </c>
      <c r="B3113" s="5" t="s">
        <v>17001</v>
      </c>
      <c r="C3113" s="5" t="s">
        <v>8034</v>
      </c>
      <c r="D3113" s="5" t="s">
        <v>17002</v>
      </c>
      <c r="E3113" s="6" t="s">
        <v>74</v>
      </c>
      <c r="F3113" s="6" t="s">
        <v>17003</v>
      </c>
      <c r="G3113" s="3" t="str">
        <f>IFERROR(__xludf.DUMMYFUNCTION("REGEXREPLACE(
D3113,
""([一-龯々]+)\[([^\]]+)\]"",
""&lt;ruby&gt;$1&lt;rt&gt;$2&lt;/rt&gt;&lt;/ruby&gt;""
)&amp;""&lt;br&gt;&lt;div class=""""audio""""&gt;[sound:""&amp;C3113&amp;"".mp3]&lt;/div&gt;"""),"&lt;ruby&gt;一帯&lt;rt&gt;いったい&lt;/rt&gt;&lt;/ruby&gt;&lt;br&gt;&lt;div class=""audio""&gt;[sound:いったい.mp3]&lt;/div&gt;")</f>
        <v>&lt;ruby&gt;一帯&lt;rt&gt;いったい&lt;/rt&gt;&lt;/ruby&gt;&lt;br&gt;&lt;div class="audio"&gt;[sound:いったい.mp3]&lt;/div&gt;</v>
      </c>
      <c r="H3113" s="3" t="str">
        <f t="shared" si="1"/>
        <v>(n): toàn vùng</v>
      </c>
      <c r="I3113" s="6" t="s">
        <v>17004</v>
      </c>
      <c r="J3113" s="6" t="s">
        <v>17005</v>
      </c>
      <c r="K3113" s="7">
        <f t="shared" si="2"/>
        <v>0.1973637283</v>
      </c>
    </row>
    <row r="3114">
      <c r="A3114" s="4">
        <v>3114.0</v>
      </c>
      <c r="B3114" s="5" t="s">
        <v>17006</v>
      </c>
      <c r="C3114" s="5" t="s">
        <v>17007</v>
      </c>
      <c r="D3114" s="5" t="s">
        <v>17008</v>
      </c>
      <c r="E3114" s="6" t="s">
        <v>24</v>
      </c>
      <c r="F3114" s="6" t="s">
        <v>3559</v>
      </c>
      <c r="G3114" s="3" t="str">
        <f>IFERROR(__xludf.DUMMYFUNCTION("REGEXREPLACE(
D3114,
""([一-龯々]+)\[([^\]]+)\]"",
""&lt;ruby&gt;$1&lt;rt&gt;$2&lt;/rt&gt;&lt;/ruby&gt;""
)&amp;""&lt;br&gt;&lt;div class=""""audio""""&gt;[sound:""&amp;C3114&amp;"".mp3]&lt;/div&gt;"""),"&lt;ruby&gt;信&lt;rt&gt;しん&lt;/rt&gt;&lt;/ruby&gt;ずる&lt;br&gt;&lt;div class=""audio""&gt;[sound:しんずる.mp3]&lt;/div&gt;")</f>
        <v>&lt;ruby&gt;信&lt;rt&gt;しん&lt;/rt&gt;&lt;/ruby&gt;ずる&lt;br&gt;&lt;div class="audio"&gt;[sound:しんずる.mp3]&lt;/div&gt;</v>
      </c>
      <c r="H3114" s="3" t="str">
        <f t="shared" si="1"/>
        <v>(v): tin tưởng</v>
      </c>
      <c r="I3114" s="6" t="s">
        <v>17009</v>
      </c>
      <c r="J3114" s="6" t="s">
        <v>17010</v>
      </c>
      <c r="K3114" s="7">
        <f t="shared" si="2"/>
        <v>0.8673076587</v>
      </c>
    </row>
    <row r="3115">
      <c r="A3115" s="4">
        <v>3115.0</v>
      </c>
      <c r="B3115" s="5" t="s">
        <v>17011</v>
      </c>
      <c r="C3115" s="5" t="s">
        <v>17012</v>
      </c>
      <c r="D3115" s="5" t="s">
        <v>17013</v>
      </c>
      <c r="E3115" s="6" t="s">
        <v>74</v>
      </c>
      <c r="F3115" s="6" t="s">
        <v>17014</v>
      </c>
      <c r="G3115" s="3" t="str">
        <f>IFERROR(__xludf.DUMMYFUNCTION("REGEXREPLACE(
D3115,
""([一-龯々]+)\[([^\]]+)\]"",
""&lt;ruby&gt;$1&lt;rt&gt;$2&lt;/rt&gt;&lt;/ruby&gt;""
)&amp;""&lt;br&gt;&lt;div class=""""audio""""&gt;[sound:""&amp;C3115&amp;"".mp3]&lt;/div&gt;"""),"&lt;ruby&gt;出発&lt;rt&gt;しゅっぱつ&lt;/rt&gt;&lt;/ruby&gt;&lt;br&gt;&lt;div class=""audio""&gt;[sound:しゅっぱつ.mp3]&lt;/div&gt;")</f>
        <v>&lt;ruby&gt;出発&lt;rt&gt;しゅっぱつ&lt;/rt&gt;&lt;/ruby&gt;&lt;br&gt;&lt;div class="audio"&gt;[sound:しゅっぱつ.mp3]&lt;/div&gt;</v>
      </c>
      <c r="H3115" s="3" t="str">
        <f t="shared" si="1"/>
        <v>(n): xuất phát</v>
      </c>
      <c r="I3115" s="6" t="s">
        <v>17015</v>
      </c>
      <c r="J3115" s="6" t="s">
        <v>17016</v>
      </c>
      <c r="K3115" s="7">
        <f t="shared" si="2"/>
        <v>0.3423884229</v>
      </c>
    </row>
    <row r="3116">
      <c r="A3116" s="4">
        <v>3116.0</v>
      </c>
      <c r="B3116" s="5" t="s">
        <v>17017</v>
      </c>
      <c r="C3116" s="5" t="s">
        <v>17018</v>
      </c>
      <c r="D3116" s="5" t="s">
        <v>17019</v>
      </c>
      <c r="E3116" s="6" t="s">
        <v>85</v>
      </c>
      <c r="F3116" s="6" t="s">
        <v>2262</v>
      </c>
      <c r="G3116" s="3" t="str">
        <f>IFERROR(__xludf.DUMMYFUNCTION("REGEXREPLACE(
D3116,
""([一-龯々]+)\[([^\]]+)\]"",
""&lt;ruby&gt;$1&lt;rt&gt;$2&lt;/rt&gt;&lt;/ruby&gt;""
)&amp;""&lt;br&gt;&lt;div class=""""audio""""&gt;[sound:""&amp;C3116&amp;"".mp3]&lt;/div&gt;"""),"&lt;ruby&gt;遂&lt;rt&gt;つい&lt;/rt&gt;&lt;/ruby&gt;に&lt;br&gt;&lt;div class=""audio""&gt;[sound:ついに.mp3]&lt;/div&gt;")</f>
        <v>&lt;ruby&gt;遂&lt;rt&gt;つい&lt;/rt&gt;&lt;/ruby&gt;に&lt;br&gt;&lt;div class="audio"&gt;[sound:ついに.mp3]&lt;/div&gt;</v>
      </c>
      <c r="H3116" s="3" t="str">
        <f t="shared" si="1"/>
        <v>(adv): cuối cùng</v>
      </c>
      <c r="I3116" s="6" t="s">
        <v>17020</v>
      </c>
      <c r="J3116" s="6" t="s">
        <v>17021</v>
      </c>
      <c r="K3116" s="7">
        <f t="shared" si="2"/>
        <v>0.4759003814</v>
      </c>
    </row>
    <row r="3117">
      <c r="A3117" s="4">
        <v>3117.0</v>
      </c>
      <c r="B3117" s="5" t="s">
        <v>17022</v>
      </c>
      <c r="C3117" s="5" t="s">
        <v>10102</v>
      </c>
      <c r="D3117" s="5" t="s">
        <v>17023</v>
      </c>
      <c r="E3117" s="6" t="s">
        <v>74</v>
      </c>
      <c r="F3117" s="6" t="s">
        <v>17024</v>
      </c>
      <c r="G3117" s="3" t="str">
        <f>IFERROR(__xludf.DUMMYFUNCTION("REGEXREPLACE(
D3117,
""([一-龯々]+)\[([^\]]+)\]"",
""&lt;ruby&gt;$1&lt;rt&gt;$2&lt;/rt&gt;&lt;/ruby&gt;""
)&amp;""&lt;br&gt;&lt;div class=""""audio""""&gt;[sound:""&amp;C3117&amp;"".mp3]&lt;/div&gt;"""),"&lt;ruby&gt;位&lt;rt&gt;くらい&lt;/rt&gt;&lt;/ruby&gt;&lt;br&gt;&lt;div class=""audio""&gt;[sound:くらい.mp3]&lt;/div&gt;")</f>
        <v>&lt;ruby&gt;位&lt;rt&gt;くらい&lt;/rt&gt;&lt;/ruby&gt;&lt;br&gt;&lt;div class="audio"&gt;[sound:くらい.mp3]&lt;/div&gt;</v>
      </c>
      <c r="H3117" s="3" t="str">
        <f t="shared" si="1"/>
        <v>(n): thứ hạng</v>
      </c>
      <c r="I3117" s="6" t="s">
        <v>17025</v>
      </c>
      <c r="J3117" s="6" t="s">
        <v>17026</v>
      </c>
      <c r="K3117" s="7">
        <f t="shared" si="2"/>
        <v>0.3986096592</v>
      </c>
    </row>
    <row r="3118">
      <c r="A3118" s="4">
        <v>3118.0</v>
      </c>
      <c r="B3118" s="5" t="s">
        <v>17027</v>
      </c>
      <c r="C3118" s="5" t="s">
        <v>17028</v>
      </c>
      <c r="D3118" s="5" t="s">
        <v>17029</v>
      </c>
      <c r="E3118" s="6" t="s">
        <v>24</v>
      </c>
      <c r="F3118" s="6" t="s">
        <v>2192</v>
      </c>
      <c r="G3118" s="3" t="str">
        <f>IFERROR(__xludf.DUMMYFUNCTION("REGEXREPLACE(
D3118,
""([一-龯々]+)\[([^\]]+)\]"",
""&lt;ruby&gt;$1&lt;rt&gt;$2&lt;/rt&gt;&lt;/ruby&gt;""
)&amp;""&lt;br&gt;&lt;div class=""""audio""""&gt;[sound:""&amp;C3118&amp;"".mp3]&lt;/div&gt;"""),"&lt;ruby&gt;引&lt;rt&gt;ひ&lt;/rt&gt;&lt;/ruby&gt;き&lt;ruby&gt;返&lt;rt&gt;かえ&lt;/rt&gt;&lt;/ruby&gt;す&lt;br&gt;&lt;div class=""audio""&gt;[sound:ひきかえす.mp3]&lt;/div&gt;")</f>
        <v>&lt;ruby&gt;引&lt;rt&gt;ひ&lt;/rt&gt;&lt;/ruby&gt;き&lt;ruby&gt;返&lt;rt&gt;かえ&lt;/rt&gt;&lt;/ruby&gt;す&lt;br&gt;&lt;div class="audio"&gt;[sound:ひきかえす.mp3]&lt;/div&gt;</v>
      </c>
      <c r="H3118" s="3" t="str">
        <f t="shared" si="1"/>
        <v>(v): quay lại</v>
      </c>
      <c r="I3118" s="6" t="s">
        <v>17030</v>
      </c>
      <c r="J3118" s="6" t="s">
        <v>17031</v>
      </c>
      <c r="K3118" s="7">
        <f t="shared" si="2"/>
        <v>0.5827020873</v>
      </c>
    </row>
    <row r="3119">
      <c r="A3119" s="4">
        <v>3119.0</v>
      </c>
      <c r="B3119" s="5" t="s">
        <v>17032</v>
      </c>
      <c r="C3119" s="5" t="s">
        <v>17033</v>
      </c>
      <c r="D3119" s="5" t="s">
        <v>17034</v>
      </c>
      <c r="E3119" s="6" t="s">
        <v>24</v>
      </c>
      <c r="F3119" s="6" t="s">
        <v>17035</v>
      </c>
      <c r="G3119" s="3" t="str">
        <f>IFERROR(__xludf.DUMMYFUNCTION("REGEXREPLACE(
D3119,
""([一-龯々]+)\[([^\]]+)\]"",
""&lt;ruby&gt;$1&lt;rt&gt;$2&lt;/rt&gt;&lt;/ruby&gt;""
)&amp;""&lt;br&gt;&lt;div class=""""audio""""&gt;[sound:""&amp;C3119&amp;"".mp3]&lt;/div&gt;"""),"&lt;ruby&gt;追&lt;rt&gt;お&lt;/rt&gt;&lt;/ruby&gt;い&lt;ruby&gt;付&lt;rt&gt;つ&lt;/rt&gt;&lt;/ruby&gt;く&lt;br&gt;&lt;div class=""audio""&gt;[sound:おいつく.mp3]&lt;/div&gt;")</f>
        <v>&lt;ruby&gt;追&lt;rt&gt;お&lt;/rt&gt;&lt;/ruby&gt;い&lt;ruby&gt;付&lt;rt&gt;つ&lt;/rt&gt;&lt;/ruby&gt;く&lt;br&gt;&lt;div class="audio"&gt;[sound:おいつく.mp3]&lt;/div&gt;</v>
      </c>
      <c r="H3119" s="3" t="str">
        <f t="shared" si="1"/>
        <v>(v): đuổi kịp</v>
      </c>
      <c r="I3119" s="6" t="s">
        <v>17036</v>
      </c>
      <c r="J3119" s="6" t="s">
        <v>17037</v>
      </c>
      <c r="K3119" s="7">
        <f t="shared" si="2"/>
        <v>0.1365605812</v>
      </c>
    </row>
    <row r="3120">
      <c r="A3120" s="4">
        <v>3120.0</v>
      </c>
      <c r="B3120" s="5" t="s">
        <v>17038</v>
      </c>
      <c r="C3120" s="5" t="s">
        <v>17039</v>
      </c>
      <c r="D3120" s="5" t="s">
        <v>17040</v>
      </c>
      <c r="E3120" s="6" t="s">
        <v>74</v>
      </c>
      <c r="F3120" s="6" t="s">
        <v>3574</v>
      </c>
      <c r="G3120" s="3" t="str">
        <f>IFERROR(__xludf.DUMMYFUNCTION("REGEXREPLACE(
D3120,
""([一-龯々]+)\[([^\]]+)\]"",
""&lt;ruby&gt;$1&lt;rt&gt;$2&lt;/rt&gt;&lt;/ruby&gt;""
)&amp;""&lt;br&gt;&lt;div class=""""audio""""&gt;[sound:""&amp;C3120&amp;"".mp3]&lt;/div&gt;"""),"&lt;ruby&gt;隣&lt;rt&gt;となり&lt;/rt&gt;&lt;/ruby&gt;&lt;br&gt;&lt;div class=""audio""&gt;[sound:となり.mp3]&lt;/div&gt;")</f>
        <v>&lt;ruby&gt;隣&lt;rt&gt;となり&lt;/rt&gt;&lt;/ruby&gt;&lt;br&gt;&lt;div class="audio"&gt;[sound:となり.mp3]&lt;/div&gt;</v>
      </c>
      <c r="H3120" s="3" t="str">
        <f t="shared" si="1"/>
        <v>(n): bên cạnh</v>
      </c>
      <c r="I3120" s="6" t="s">
        <v>17041</v>
      </c>
      <c r="J3120" s="6" t="s">
        <v>17042</v>
      </c>
      <c r="K3120" s="7">
        <f t="shared" si="2"/>
        <v>0.8457901924</v>
      </c>
    </row>
    <row r="3121">
      <c r="A3121" s="4">
        <v>3121.0</v>
      </c>
      <c r="B3121" s="5" t="s">
        <v>17043</v>
      </c>
      <c r="C3121" s="5" t="s">
        <v>17044</v>
      </c>
      <c r="D3121" s="5" t="s">
        <v>17045</v>
      </c>
      <c r="E3121" s="6" t="s">
        <v>74</v>
      </c>
      <c r="F3121" s="6" t="s">
        <v>10524</v>
      </c>
      <c r="G3121" s="3" t="str">
        <f>IFERROR(__xludf.DUMMYFUNCTION("REGEXREPLACE(
D3121,
""([一-龯々]+)\[([^\]]+)\]"",
""&lt;ruby&gt;$1&lt;rt&gt;$2&lt;/rt&gt;&lt;/ruby&gt;""
)&amp;""&lt;br&gt;&lt;div class=""""audio""""&gt;[sound:""&amp;C3121&amp;"".mp3]&lt;/div&gt;"""),"&lt;ruby&gt;幸運&lt;rt&gt;こううん&lt;/rt&gt;&lt;/ruby&gt;&lt;br&gt;&lt;div class=""audio""&gt;[sound:こううん.mp3]&lt;/div&gt;")</f>
        <v>&lt;ruby&gt;幸運&lt;rt&gt;こううん&lt;/rt&gt;&lt;/ruby&gt;&lt;br&gt;&lt;div class="audio"&gt;[sound:こううん.mp3]&lt;/div&gt;</v>
      </c>
      <c r="H3121" s="3" t="str">
        <f t="shared" si="1"/>
        <v>(n): may mắn</v>
      </c>
      <c r="I3121" s="6" t="s">
        <v>17046</v>
      </c>
      <c r="J3121" s="6" t="s">
        <v>17047</v>
      </c>
      <c r="K3121" s="7">
        <f t="shared" si="2"/>
        <v>0.1863248905</v>
      </c>
    </row>
    <row r="3122">
      <c r="A3122" s="4">
        <v>3122.0</v>
      </c>
      <c r="B3122" s="5" t="s">
        <v>17048</v>
      </c>
      <c r="C3122" s="5" t="s">
        <v>17049</v>
      </c>
      <c r="D3122" s="5" t="s">
        <v>17050</v>
      </c>
      <c r="E3122" s="6" t="s">
        <v>74</v>
      </c>
      <c r="F3122" s="6" t="s">
        <v>17051</v>
      </c>
      <c r="G3122" s="3" t="str">
        <f>IFERROR(__xludf.DUMMYFUNCTION("REGEXREPLACE(
D3122,
""([一-龯々]+)\[([^\]]+)\]"",
""&lt;ruby&gt;$1&lt;rt&gt;$2&lt;/rt&gt;&lt;/ruby&gt;""
)&amp;""&lt;br&gt;&lt;div class=""""audio""""&gt;[sound:""&amp;C3122&amp;"".mp3]&lt;/div&gt;"""),"&lt;ruby&gt;組合&lt;rt&gt;くみあわ&lt;/rt&gt;&lt;/ruby&gt;せ&lt;br&gt;&lt;div class=""audio""&gt;[sound:くみあわせ.mp3]&lt;/div&gt;")</f>
        <v>&lt;ruby&gt;組合&lt;rt&gt;くみあわ&lt;/rt&gt;&lt;/ruby&gt;せ&lt;br&gt;&lt;div class="audio"&gt;[sound:くみあわせ.mp3]&lt;/div&gt;</v>
      </c>
      <c r="H3122" s="3" t="str">
        <f t="shared" si="1"/>
        <v>(n): kết hợp</v>
      </c>
      <c r="I3122" s="6" t="s">
        <v>17052</v>
      </c>
      <c r="J3122" s="6" t="s">
        <v>17053</v>
      </c>
      <c r="K3122" s="7">
        <f t="shared" si="2"/>
        <v>0.01293035442</v>
      </c>
    </row>
    <row r="3123">
      <c r="A3123" s="4">
        <v>3123.0</v>
      </c>
      <c r="B3123" s="5" t="s">
        <v>17054</v>
      </c>
      <c r="C3123" s="5" t="s">
        <v>17054</v>
      </c>
      <c r="D3123" s="5" t="s">
        <v>17054</v>
      </c>
      <c r="E3123" s="6" t="s">
        <v>90</v>
      </c>
      <c r="F3123" s="6" t="s">
        <v>17055</v>
      </c>
      <c r="G3123" s="3" t="str">
        <f>IFERROR(__xludf.DUMMYFUNCTION("REGEXREPLACE(
D3123,
""([一-龯々]+)\[([^\]]+)\]"",
""&lt;ruby&gt;$1&lt;rt&gt;$2&lt;/rt&gt;&lt;/ruby&gt;""
)&amp;""&lt;br&gt;&lt;div class=""""audio""""&gt;[sound:""&amp;C3123&amp;"".mp3]&lt;/div&gt;"""),"すなわち&lt;br&gt;&lt;div class=""audio""&gt;[sound:すなわち.mp3]&lt;/div&gt;")</f>
        <v>すなわち&lt;br&gt;&lt;div class="audio"&gt;[sound:すなわち.mp3]&lt;/div&gt;</v>
      </c>
      <c r="H3123" s="3" t="str">
        <f t="shared" si="1"/>
        <v>(conj): tức là</v>
      </c>
      <c r="I3123" s="6" t="s">
        <v>17056</v>
      </c>
      <c r="J3123" s="6" t="s">
        <v>17057</v>
      </c>
      <c r="K3123" s="7">
        <f t="shared" si="2"/>
        <v>0.08002714212</v>
      </c>
    </row>
    <row r="3124">
      <c r="A3124" s="4">
        <v>3124.0</v>
      </c>
      <c r="B3124" s="5" t="s">
        <v>17058</v>
      </c>
      <c r="C3124" s="5" t="s">
        <v>17058</v>
      </c>
      <c r="D3124" s="5" t="s">
        <v>17058</v>
      </c>
      <c r="E3124" s="6" t="s">
        <v>90</v>
      </c>
      <c r="F3124" s="6" t="s">
        <v>17059</v>
      </c>
      <c r="G3124" s="3" t="str">
        <f>IFERROR(__xludf.DUMMYFUNCTION("REGEXREPLACE(
D3124,
""([一-龯々]+)\[([^\]]+)\]"",
""&lt;ruby&gt;$1&lt;rt&gt;$2&lt;/rt&gt;&lt;/ruby&gt;""
)&amp;""&lt;br&gt;&lt;div class=""""audio""""&gt;[sound:""&amp;C3124&amp;"".mp3]&lt;/div&gt;"""),"それなのに&lt;br&gt;&lt;div class=""audio""&gt;[sound:それなのに.mp3]&lt;/div&gt;")</f>
        <v>それなのに&lt;br&gt;&lt;div class="audio"&gt;[sound:それなのに.mp3]&lt;/div&gt;</v>
      </c>
      <c r="H3124" s="3" t="str">
        <f t="shared" si="1"/>
        <v>(conj): thế mà</v>
      </c>
      <c r="I3124" s="6" t="s">
        <v>17060</v>
      </c>
      <c r="J3124" s="6" t="s">
        <v>17061</v>
      </c>
      <c r="K3124" s="7">
        <f t="shared" si="2"/>
        <v>0.14088817</v>
      </c>
    </row>
    <row r="3125">
      <c r="A3125" s="4">
        <v>3125.0</v>
      </c>
      <c r="B3125" s="5" t="s">
        <v>17062</v>
      </c>
      <c r="C3125" s="5" t="s">
        <v>17063</v>
      </c>
      <c r="D3125" s="5" t="s">
        <v>17064</v>
      </c>
      <c r="E3125" s="6" t="s">
        <v>74</v>
      </c>
      <c r="F3125" s="6" t="s">
        <v>17065</v>
      </c>
      <c r="G3125" s="3" t="str">
        <f>IFERROR(__xludf.DUMMYFUNCTION("REGEXREPLACE(
D3125,
""([一-龯々]+)\[([^\]]+)\]"",
""&lt;ruby&gt;$1&lt;rt&gt;$2&lt;/rt&gt;&lt;/ruby&gt;""
)&amp;""&lt;br&gt;&lt;div class=""""audio""""&gt;[sound:""&amp;C3125&amp;"".mp3]&lt;/div&gt;"""),"&lt;ruby&gt;住民&lt;rt&gt;じゅうみん&lt;/rt&gt;&lt;/ruby&gt;&lt;br&gt;&lt;div class=""audio""&gt;[sound:じゅうみん.mp3]&lt;/div&gt;")</f>
        <v>&lt;ruby&gt;住民&lt;rt&gt;じゅうみん&lt;/rt&gt;&lt;/ruby&gt;&lt;br&gt;&lt;div class="audio"&gt;[sound:じゅうみん.mp3]&lt;/div&gt;</v>
      </c>
      <c r="H3125" s="3" t="str">
        <f t="shared" si="1"/>
        <v>(n): cư dân</v>
      </c>
      <c r="I3125" s="6" t="s">
        <v>17066</v>
      </c>
      <c r="J3125" s="6" t="s">
        <v>17067</v>
      </c>
      <c r="K3125" s="7">
        <f t="shared" si="2"/>
        <v>0.871463293</v>
      </c>
    </row>
    <row r="3126">
      <c r="A3126" s="4">
        <v>3126.0</v>
      </c>
      <c r="B3126" s="5" t="s">
        <v>17068</v>
      </c>
      <c r="C3126" s="5" t="s">
        <v>17069</v>
      </c>
      <c r="D3126" s="5" t="s">
        <v>17068</v>
      </c>
      <c r="E3126" s="6" t="s">
        <v>74</v>
      </c>
      <c r="F3126" s="6" t="s">
        <v>17070</v>
      </c>
      <c r="G3126" s="3" t="str">
        <f>IFERROR(__xludf.DUMMYFUNCTION("REGEXREPLACE(
D3126,
""([一-龯々]+)\[([^\]]+)\]"",
""&lt;ruby&gt;$1&lt;rt&gt;$2&lt;/rt&gt;&lt;/ruby&gt;""
)&amp;""&lt;br&gt;&lt;div class=""""audio""""&gt;[sound:""&amp;C3126&amp;"".mp3]&lt;/div&gt;"""),"スピーカー&lt;br&gt;&lt;div class=""audio""&gt;[sound:すぴーかー.mp3]&lt;/div&gt;")</f>
        <v>スピーカー&lt;br&gt;&lt;div class="audio"&gt;[sound:すぴーかー.mp3]&lt;/div&gt;</v>
      </c>
      <c r="H3126" s="3" t="str">
        <f t="shared" si="1"/>
        <v>(n): loa</v>
      </c>
      <c r="I3126" s="6" t="s">
        <v>17071</v>
      </c>
      <c r="J3126" s="6" t="s">
        <v>17072</v>
      </c>
      <c r="K3126" s="7">
        <f t="shared" si="2"/>
        <v>0.111718954</v>
      </c>
    </row>
    <row r="3127">
      <c r="A3127" s="4">
        <v>3127.0</v>
      </c>
      <c r="B3127" s="5" t="s">
        <v>17073</v>
      </c>
      <c r="C3127" s="5" t="s">
        <v>17074</v>
      </c>
      <c r="D3127" s="5" t="s">
        <v>17073</v>
      </c>
      <c r="E3127" s="6" t="s">
        <v>74</v>
      </c>
      <c r="F3127" s="6" t="s">
        <v>17075</v>
      </c>
      <c r="G3127" s="3" t="str">
        <f>IFERROR(__xludf.DUMMYFUNCTION("REGEXREPLACE(
D3127,
""([一-龯々]+)\[([^\]]+)\]"",
""&lt;ruby&gt;$1&lt;rt&gt;$2&lt;/rt&gt;&lt;/ruby&gt;""
)&amp;""&lt;br&gt;&lt;div class=""""audio""""&gt;[sound:""&amp;C3127&amp;"".mp3]&lt;/div&gt;"""),"グランド&lt;br&gt;&lt;div class=""audio""&gt;[sound:ぐらんど.mp3]&lt;/div&gt;")</f>
        <v>グランド&lt;br&gt;&lt;div class="audio"&gt;[sound:ぐらんど.mp3]&lt;/div&gt;</v>
      </c>
      <c r="H3127" s="3" t="str">
        <f t="shared" si="1"/>
        <v>(n): sân vận động</v>
      </c>
      <c r="I3127" s="6" t="s">
        <v>17076</v>
      </c>
      <c r="J3127" s="6" t="s">
        <v>17077</v>
      </c>
      <c r="K3127" s="7">
        <f t="shared" si="2"/>
        <v>0.1716764947</v>
      </c>
    </row>
    <row r="3128">
      <c r="A3128" s="4">
        <v>3128.0</v>
      </c>
      <c r="B3128" s="5" t="s">
        <v>17078</v>
      </c>
      <c r="C3128" s="5" t="s">
        <v>17079</v>
      </c>
      <c r="D3128" s="5" t="s">
        <v>17078</v>
      </c>
      <c r="E3128" s="6" t="s">
        <v>74</v>
      </c>
      <c r="F3128" s="6" t="s">
        <v>17080</v>
      </c>
      <c r="G3128" s="3" t="str">
        <f>IFERROR(__xludf.DUMMYFUNCTION("REGEXREPLACE(
D3128,
""([一-龯々]+)\[([^\]]+)\]"",
""&lt;ruby&gt;$1&lt;rt&gt;$2&lt;/rt&gt;&lt;/ruby&gt;""
)&amp;""&lt;br&gt;&lt;div class=""""audio""""&gt;[sound:""&amp;C3128&amp;"".mp3]&lt;/div&gt;"""),"ベテラン&lt;br&gt;&lt;div class=""audio""&gt;[sound:べてらん.mp3]&lt;/div&gt;")</f>
        <v>ベテラン&lt;br&gt;&lt;div class="audio"&gt;[sound:べてらん.mp3]&lt;/div&gt;</v>
      </c>
      <c r="H3128" s="3" t="str">
        <f t="shared" si="1"/>
        <v>(n): người kỳ cựu</v>
      </c>
      <c r="I3128" s="6" t="s">
        <v>17081</v>
      </c>
      <c r="J3128" s="6" t="s">
        <v>17082</v>
      </c>
      <c r="K3128" s="7">
        <f t="shared" si="2"/>
        <v>0.3625258489</v>
      </c>
    </row>
    <row r="3129">
      <c r="A3129" s="4">
        <v>3129.0</v>
      </c>
      <c r="B3129" s="5" t="s">
        <v>17083</v>
      </c>
      <c r="C3129" s="5" t="s">
        <v>17084</v>
      </c>
      <c r="D3129" s="5" t="s">
        <v>17085</v>
      </c>
      <c r="E3129" s="6" t="s">
        <v>74</v>
      </c>
      <c r="F3129" s="6" t="s">
        <v>17086</v>
      </c>
      <c r="G3129" s="3" t="str">
        <f>IFERROR(__xludf.DUMMYFUNCTION("REGEXREPLACE(
D3129,
""([一-龯々]+)\[([^\]]+)\]"",
""&lt;ruby&gt;$1&lt;rt&gt;$2&lt;/rt&gt;&lt;/ruby&gt;""
)&amp;""&lt;br&gt;&lt;div class=""""audio""""&gt;[sound:""&amp;C3129&amp;"".mp3]&lt;/div&gt;"""),"&lt;ruby&gt;女優&lt;rt&gt;じょゆう&lt;/rt&gt;&lt;/ruby&gt;&lt;br&gt;&lt;div class=""audio""&gt;[sound:じょゆう.mp3]&lt;/div&gt;")</f>
        <v>&lt;ruby&gt;女優&lt;rt&gt;じょゆう&lt;/rt&gt;&lt;/ruby&gt;&lt;br&gt;&lt;div class="audio"&gt;[sound:じょゆう.mp3]&lt;/div&gt;</v>
      </c>
      <c r="H3129" s="3" t="str">
        <f t="shared" si="1"/>
        <v>(n): nữ diễn viên</v>
      </c>
      <c r="I3129" s="6" t="s">
        <v>17087</v>
      </c>
      <c r="J3129" s="6" t="s">
        <v>17088</v>
      </c>
      <c r="K3129" s="7">
        <f t="shared" si="2"/>
        <v>0.5459010412</v>
      </c>
    </row>
    <row r="3130">
      <c r="A3130" s="4">
        <v>3130.0</v>
      </c>
      <c r="B3130" s="5" t="s">
        <v>17089</v>
      </c>
      <c r="C3130" s="5" t="s">
        <v>13878</v>
      </c>
      <c r="D3130" s="5" t="s">
        <v>17090</v>
      </c>
      <c r="E3130" s="6" t="s">
        <v>74</v>
      </c>
      <c r="F3130" s="6" t="s">
        <v>5073</v>
      </c>
      <c r="G3130" s="3" t="str">
        <f>IFERROR(__xludf.DUMMYFUNCTION("REGEXREPLACE(
D3130,
""([一-龯々]+)\[([^\]]+)\]"",
""&lt;ruby&gt;$1&lt;rt&gt;$2&lt;/rt&gt;&lt;/ruby&gt;""
)&amp;""&lt;br&gt;&lt;div class=""""audio""""&gt;[sound:""&amp;C3130&amp;"".mp3]&lt;/div&gt;"""),"&lt;ruby&gt;並&lt;rt&gt;なみ&lt;/rt&gt;&lt;/ruby&gt;&lt;br&gt;&lt;div class=""audio""&gt;[sound:なみ.mp3]&lt;/div&gt;")</f>
        <v>&lt;ruby&gt;並&lt;rt&gt;なみ&lt;/rt&gt;&lt;/ruby&gt;&lt;br&gt;&lt;div class="audio"&gt;[sound:なみ.mp3]&lt;/div&gt;</v>
      </c>
      <c r="H3130" s="3" t="str">
        <f t="shared" si="1"/>
        <v>(n): bình thường</v>
      </c>
      <c r="I3130" s="6" t="s">
        <v>17091</v>
      </c>
      <c r="J3130" s="6" t="s">
        <v>17092</v>
      </c>
      <c r="K3130" s="7">
        <f t="shared" si="2"/>
        <v>0.8794111359</v>
      </c>
    </row>
    <row r="3131">
      <c r="A3131" s="4">
        <v>3131.0</v>
      </c>
      <c r="B3131" s="5" t="s">
        <v>17093</v>
      </c>
      <c r="C3131" s="5" t="s">
        <v>17094</v>
      </c>
      <c r="D3131" s="5" t="s">
        <v>17095</v>
      </c>
      <c r="E3131" s="6" t="s">
        <v>74</v>
      </c>
      <c r="F3131" s="6" t="s">
        <v>17096</v>
      </c>
      <c r="G3131" s="3" t="str">
        <f>IFERROR(__xludf.DUMMYFUNCTION("REGEXREPLACE(
D3131,
""([一-龯々]+)\[([^\]]+)\]"",
""&lt;ruby&gt;$1&lt;rt&gt;$2&lt;/rt&gt;&lt;/ruby&gt;""
)&amp;""&lt;br&gt;&lt;div class=""""audio""""&gt;[sound:""&amp;C3131&amp;"".mp3]&lt;/div&gt;"""),"&lt;ruby&gt;大使館&lt;rt&gt;たいしかん&lt;/rt&gt;&lt;/ruby&gt;&lt;br&gt;&lt;div class=""audio""&gt;[sound:たいしかん.mp3]&lt;/div&gt;")</f>
        <v>&lt;ruby&gt;大使館&lt;rt&gt;たいしかん&lt;/rt&gt;&lt;/ruby&gt;&lt;br&gt;&lt;div class="audio"&gt;[sound:たいしかん.mp3]&lt;/div&gt;</v>
      </c>
      <c r="H3131" s="3" t="str">
        <f t="shared" si="1"/>
        <v>(n): đại sứ quán</v>
      </c>
      <c r="I3131" s="6" t="s">
        <v>17097</v>
      </c>
      <c r="J3131" s="6" t="s">
        <v>17098</v>
      </c>
      <c r="K3131" s="7">
        <f t="shared" si="2"/>
        <v>0.9545896441</v>
      </c>
    </row>
    <row r="3132">
      <c r="A3132" s="4">
        <v>3132.0</v>
      </c>
      <c r="B3132" s="5" t="s">
        <v>17099</v>
      </c>
      <c r="C3132" s="5" t="s">
        <v>17100</v>
      </c>
      <c r="D3132" s="5" t="s">
        <v>17099</v>
      </c>
      <c r="E3132" s="6" t="s">
        <v>74</v>
      </c>
      <c r="F3132" s="6" t="s">
        <v>17101</v>
      </c>
      <c r="G3132" s="3" t="str">
        <f>IFERROR(__xludf.DUMMYFUNCTION("REGEXREPLACE(
D3132,
""([一-龯々]+)\[([^\]]+)\]"",
""&lt;ruby&gt;$1&lt;rt&gt;$2&lt;/rt&gt;&lt;/ruby&gt;""
)&amp;""&lt;br&gt;&lt;div class=""""audio""""&gt;[sound:""&amp;C3132&amp;"".mp3]&lt;/div&gt;"""),"ダイヤ&lt;br&gt;&lt;div class=""audio""&gt;[sound:だいや.mp3]&lt;/div&gt;")</f>
        <v>ダイヤ&lt;br&gt;&lt;div class="audio"&gt;[sound:だいや.mp3]&lt;/div&gt;</v>
      </c>
      <c r="H3132" s="3" t="str">
        <f t="shared" si="1"/>
        <v>(n): lịch trình</v>
      </c>
      <c r="I3132" s="6" t="s">
        <v>17102</v>
      </c>
      <c r="J3132" s="6" t="s">
        <v>17103</v>
      </c>
      <c r="K3132" s="7">
        <f t="shared" si="2"/>
        <v>0.3928400125</v>
      </c>
    </row>
    <row r="3133">
      <c r="A3133" s="4">
        <v>3133.0</v>
      </c>
      <c r="B3133" s="5" t="s">
        <v>17104</v>
      </c>
      <c r="C3133" s="5" t="s">
        <v>17105</v>
      </c>
      <c r="D3133" s="5" t="s">
        <v>17106</v>
      </c>
      <c r="E3133" s="6" t="s">
        <v>74</v>
      </c>
      <c r="F3133" s="6" t="s">
        <v>17107</v>
      </c>
      <c r="G3133" s="3" t="str">
        <f>IFERROR(__xludf.DUMMYFUNCTION("REGEXREPLACE(
D3133,
""([一-龯々]+)\[([^\]]+)\]"",
""&lt;ruby&gt;$1&lt;rt&gt;$2&lt;/rt&gt;&lt;/ruby&gt;""
)&amp;""&lt;br&gt;&lt;div class=""""audio""""&gt;[sound:""&amp;C3133&amp;"".mp3]&lt;/div&gt;"""),"&lt;ruby&gt;卒業&lt;rt&gt;そつぎょう&lt;/rt&gt;&lt;/ruby&gt;&lt;br&gt;&lt;div class=""audio""&gt;[sound:そつぎょう.mp3]&lt;/div&gt;")</f>
        <v>&lt;ruby&gt;卒業&lt;rt&gt;そつぎょう&lt;/rt&gt;&lt;/ruby&gt;&lt;br&gt;&lt;div class="audio"&gt;[sound:そつぎょう.mp3]&lt;/div&gt;</v>
      </c>
      <c r="H3133" s="3" t="str">
        <f t="shared" si="1"/>
        <v>(n): tốt nghiệp</v>
      </c>
      <c r="I3133" s="6" t="s">
        <v>17108</v>
      </c>
      <c r="J3133" s="6" t="s">
        <v>17109</v>
      </c>
      <c r="K3133" s="7">
        <f t="shared" si="2"/>
        <v>0.4269048766</v>
      </c>
    </row>
    <row r="3134">
      <c r="A3134" s="4">
        <v>3134.0</v>
      </c>
      <c r="B3134" s="5" t="s">
        <v>17110</v>
      </c>
      <c r="C3134" s="5" t="s">
        <v>546</v>
      </c>
      <c r="D3134" s="5" t="s">
        <v>17111</v>
      </c>
      <c r="E3134" s="6" t="s">
        <v>11</v>
      </c>
      <c r="F3134" s="6" t="s">
        <v>17112</v>
      </c>
      <c r="G3134" s="3" t="str">
        <f>IFERROR(__xludf.DUMMYFUNCTION("REGEXREPLACE(
D3134,
""([一-龯々]+)\[([^\]]+)\]"",
""&lt;ruby&gt;$1&lt;rt&gt;$2&lt;/rt&gt;&lt;/ruby&gt;""
)&amp;""&lt;br&gt;&lt;div class=""""audio""""&gt;[sound:""&amp;C3134&amp;"".mp3]&lt;/div&gt;"""),"&lt;ruby&gt;異常&lt;rt&gt;いじょう&lt;/rt&gt;&lt;/ruby&gt;&lt;br&gt;&lt;div class=""audio""&gt;[sound:いじょう.mp3]&lt;/div&gt;")</f>
        <v>&lt;ruby&gt;異常&lt;rt&gt;いじょう&lt;/rt&gt;&lt;/ruby&gt;&lt;br&gt;&lt;div class="audio"&gt;[sound:いじょう.mp3]&lt;/div&gt;</v>
      </c>
      <c r="H3134" s="3" t="str">
        <f t="shared" si="1"/>
        <v>(adj): bất thường</v>
      </c>
      <c r="I3134" s="6" t="s">
        <v>17113</v>
      </c>
      <c r="J3134" s="6" t="s">
        <v>17114</v>
      </c>
      <c r="K3134" s="7">
        <f t="shared" si="2"/>
        <v>0.3083951377</v>
      </c>
    </row>
    <row r="3135">
      <c r="A3135" s="4">
        <v>3135.0</v>
      </c>
      <c r="B3135" s="5" t="s">
        <v>17115</v>
      </c>
      <c r="C3135" s="5" t="s">
        <v>17115</v>
      </c>
      <c r="D3135" s="5" t="s">
        <v>17115</v>
      </c>
      <c r="E3135" s="6" t="s">
        <v>85</v>
      </c>
      <c r="F3135" s="6" t="s">
        <v>17116</v>
      </c>
      <c r="G3135" s="3" t="str">
        <f>IFERROR(__xludf.DUMMYFUNCTION("REGEXREPLACE(
D3135,
""([一-龯々]+)\[([^\]]+)\]"",
""&lt;ruby&gt;$1&lt;rt&gt;$2&lt;/rt&gt;&lt;/ruby&gt;""
)&amp;""&lt;br&gt;&lt;div class=""""audio""""&gt;[sound:""&amp;C3135&amp;"".mp3]&lt;/div&gt;"""),"いちいち&lt;br&gt;&lt;div class=""audio""&gt;[sound:いちいち.mp3]&lt;/div&gt;")</f>
        <v>いちいち&lt;br&gt;&lt;div class="audio"&gt;[sound:いちいち.mp3]&lt;/div&gt;</v>
      </c>
      <c r="H3135" s="3" t="str">
        <f t="shared" si="1"/>
        <v>(adv): từng chút</v>
      </c>
      <c r="I3135" s="6" t="s">
        <v>17117</v>
      </c>
      <c r="J3135" s="6" t="s">
        <v>17118</v>
      </c>
      <c r="K3135" s="7">
        <f t="shared" si="2"/>
        <v>0.5199118356</v>
      </c>
    </row>
    <row r="3136">
      <c r="A3136" s="4">
        <v>3136.0</v>
      </c>
      <c r="B3136" s="5" t="s">
        <v>17119</v>
      </c>
      <c r="C3136" s="5" t="s">
        <v>17120</v>
      </c>
      <c r="D3136" s="5" t="s">
        <v>17121</v>
      </c>
      <c r="E3136" s="6" t="s">
        <v>74</v>
      </c>
      <c r="F3136" s="6" t="s">
        <v>17122</v>
      </c>
      <c r="G3136" s="3" t="str">
        <f>IFERROR(__xludf.DUMMYFUNCTION("REGEXREPLACE(
D3136,
""([一-龯々]+)\[([^\]]+)\]"",
""&lt;ruby&gt;$1&lt;rt&gt;$2&lt;/rt&gt;&lt;/ruby&gt;""
)&amp;""&lt;br&gt;&lt;div class=""""audio""""&gt;[sound:""&amp;C3136&amp;"".mp3]&lt;/div&gt;"""),"&lt;ruby&gt;前後&lt;rt&gt;ぜんご&lt;/rt&gt;&lt;/ruby&gt;&lt;br&gt;&lt;div class=""audio""&gt;[sound:ぜんご.mp3]&lt;/div&gt;")</f>
        <v>&lt;ruby&gt;前後&lt;rt&gt;ぜんご&lt;/rt&gt;&lt;/ruby&gt;&lt;br&gt;&lt;div class="audio"&gt;[sound:ぜんご.mp3]&lt;/div&gt;</v>
      </c>
      <c r="H3136" s="3" t="str">
        <f t="shared" si="1"/>
        <v>(n): trước sau</v>
      </c>
      <c r="I3136" s="6" t="s">
        <v>17123</v>
      </c>
      <c r="J3136" s="6" t="s">
        <v>17124</v>
      </c>
      <c r="K3136" s="7">
        <f t="shared" si="2"/>
        <v>0.2500597997</v>
      </c>
    </row>
    <row r="3137">
      <c r="A3137" s="4">
        <v>3137.0</v>
      </c>
      <c r="B3137" s="5" t="s">
        <v>17125</v>
      </c>
      <c r="C3137" s="5" t="s">
        <v>4541</v>
      </c>
      <c r="D3137" s="5" t="s">
        <v>17126</v>
      </c>
      <c r="E3137" s="6" t="s">
        <v>74</v>
      </c>
      <c r="F3137" s="6" t="s">
        <v>17127</v>
      </c>
      <c r="G3137" s="3" t="str">
        <f>IFERROR(__xludf.DUMMYFUNCTION("REGEXREPLACE(
D3137,
""([一-龯々]+)\[([^\]]+)\]"",
""&lt;ruby&gt;$1&lt;rt&gt;$2&lt;/rt&gt;&lt;/ruby&gt;""
)&amp;""&lt;br&gt;&lt;div class=""""audio""""&gt;[sound:""&amp;C3137&amp;"".mp3]&lt;/div&gt;"""),"&lt;ruby&gt;境界&lt;rt&gt;きょうかい&lt;/rt&gt;&lt;/ruby&gt;&lt;br&gt;&lt;div class=""audio""&gt;[sound:きょうかい.mp3]&lt;/div&gt;")</f>
        <v>&lt;ruby&gt;境界&lt;rt&gt;きょうかい&lt;/rt&gt;&lt;/ruby&gt;&lt;br&gt;&lt;div class="audio"&gt;[sound:きょうかい.mp3]&lt;/div&gt;</v>
      </c>
      <c r="H3137" s="3" t="str">
        <f t="shared" si="1"/>
        <v>(n): biên giới</v>
      </c>
      <c r="I3137" s="6" t="s">
        <v>17128</v>
      </c>
      <c r="J3137" s="6" t="s">
        <v>17129</v>
      </c>
      <c r="K3137" s="7">
        <f t="shared" si="2"/>
        <v>0.6347030105</v>
      </c>
    </row>
    <row r="3138">
      <c r="A3138" s="4">
        <v>3138.0</v>
      </c>
      <c r="B3138" s="5" t="s">
        <v>17130</v>
      </c>
      <c r="C3138" s="5" t="s">
        <v>17131</v>
      </c>
      <c r="D3138" s="5" t="s">
        <v>17132</v>
      </c>
      <c r="E3138" s="6" t="s">
        <v>74</v>
      </c>
      <c r="F3138" s="6" t="s">
        <v>17133</v>
      </c>
      <c r="G3138" s="3" t="str">
        <f>IFERROR(__xludf.DUMMYFUNCTION("REGEXREPLACE(
D3138,
""([一-龯々]+)\[([^\]]+)\]"",
""&lt;ruby&gt;$1&lt;rt&gt;$2&lt;/rt&gt;&lt;/ruby&gt;""
)&amp;""&lt;br&gt;&lt;div class=""""audio""""&gt;[sound:""&amp;C3138&amp;"".mp3]&lt;/div&gt;"""),"&lt;ruby&gt;薬品&lt;rt&gt;やくひん&lt;/rt&gt;&lt;/ruby&gt;&lt;br&gt;&lt;div class=""audio""&gt;[sound:やくひん.mp3]&lt;/div&gt;")</f>
        <v>&lt;ruby&gt;薬品&lt;rt&gt;やくひん&lt;/rt&gt;&lt;/ruby&gt;&lt;br&gt;&lt;div class="audio"&gt;[sound:やくひん.mp3]&lt;/div&gt;</v>
      </c>
      <c r="H3138" s="3" t="str">
        <f t="shared" si="1"/>
        <v>(n): dược phẩm</v>
      </c>
      <c r="I3138" s="6" t="s">
        <v>17134</v>
      </c>
      <c r="J3138" s="6" t="s">
        <v>17135</v>
      </c>
      <c r="K3138" s="7">
        <f t="shared" si="2"/>
        <v>0.5469821554</v>
      </c>
    </row>
    <row r="3139">
      <c r="A3139" s="4">
        <v>3139.0</v>
      </c>
      <c r="B3139" s="5" t="s">
        <v>17136</v>
      </c>
      <c r="C3139" s="5" t="s">
        <v>7872</v>
      </c>
      <c r="D3139" s="5" t="s">
        <v>17137</v>
      </c>
      <c r="E3139" s="6" t="s">
        <v>74</v>
      </c>
      <c r="F3139" s="6" t="s">
        <v>5498</v>
      </c>
      <c r="G3139" s="3" t="str">
        <f>IFERROR(__xludf.DUMMYFUNCTION("REGEXREPLACE(
D3139,
""([一-龯々]+)\[([^\]]+)\]"",
""&lt;ruby&gt;$1&lt;rt&gt;$2&lt;/rt&gt;&lt;/ruby&gt;""
)&amp;""&lt;br&gt;&lt;div class=""""audio""""&gt;[sound:""&amp;C3139&amp;"".mp3]&lt;/div&gt;"""),"&lt;ruby&gt;作&lt;rt&gt;さく&lt;/rt&gt;&lt;/ruby&gt;&lt;br&gt;&lt;div class=""audio""&gt;[sound:さく.mp3]&lt;/div&gt;")</f>
        <v>&lt;ruby&gt;作&lt;rt&gt;さく&lt;/rt&gt;&lt;/ruby&gt;&lt;br&gt;&lt;div class="audio"&gt;[sound:さく.mp3]&lt;/div&gt;</v>
      </c>
      <c r="H3139" s="3" t="str">
        <f t="shared" si="1"/>
        <v>(n): tác phẩm</v>
      </c>
      <c r="I3139" s="6" t="s">
        <v>17138</v>
      </c>
      <c r="J3139" s="6" t="s">
        <v>17139</v>
      </c>
      <c r="K3139" s="7">
        <f t="shared" si="2"/>
        <v>0.6788883815</v>
      </c>
    </row>
    <row r="3140">
      <c r="A3140" s="4">
        <v>3140.0</v>
      </c>
      <c r="B3140" s="5" t="s">
        <v>17140</v>
      </c>
      <c r="C3140" s="5" t="s">
        <v>17141</v>
      </c>
      <c r="D3140" s="5" t="s">
        <v>17142</v>
      </c>
      <c r="E3140" s="6" t="s">
        <v>74</v>
      </c>
      <c r="F3140" s="6" t="s">
        <v>4690</v>
      </c>
      <c r="G3140" s="3" t="str">
        <f>IFERROR(__xludf.DUMMYFUNCTION("REGEXREPLACE(
D3140,
""([一-龯々]+)\[([^\]]+)\]"",
""&lt;ruby&gt;$1&lt;rt&gt;$2&lt;/rt&gt;&lt;/ruby&gt;""
)&amp;""&lt;br&gt;&lt;div class=""""audio""""&gt;[sound:""&amp;C3140&amp;"".mp3]&lt;/div&gt;"""),"&lt;ruby&gt;供給&lt;rt&gt;きょうきゅう&lt;/rt&gt;&lt;/ruby&gt;&lt;br&gt;&lt;div class=""audio""&gt;[sound:きょうきゅう.mp3]&lt;/div&gt;")</f>
        <v>&lt;ruby&gt;供給&lt;rt&gt;きょうきゅう&lt;/rt&gt;&lt;/ruby&gt;&lt;br&gt;&lt;div class="audio"&gt;[sound:きょうきゅう.mp3]&lt;/div&gt;</v>
      </c>
      <c r="H3140" s="3" t="str">
        <f t="shared" si="1"/>
        <v>(n): cung cấp</v>
      </c>
      <c r="I3140" s="6" t="s">
        <v>17143</v>
      </c>
      <c r="J3140" s="6" t="s">
        <v>17144</v>
      </c>
      <c r="K3140" s="7">
        <f t="shared" si="2"/>
        <v>0.501528763</v>
      </c>
    </row>
    <row r="3141">
      <c r="A3141" s="4">
        <v>3141.0</v>
      </c>
      <c r="B3141" s="5" t="s">
        <v>17145</v>
      </c>
      <c r="C3141" s="5" t="s">
        <v>17146</v>
      </c>
      <c r="D3141" s="5" t="s">
        <v>17147</v>
      </c>
      <c r="E3141" s="6" t="s">
        <v>24</v>
      </c>
      <c r="F3141" s="6" t="s">
        <v>17148</v>
      </c>
      <c r="G3141" s="3" t="str">
        <f>IFERROR(__xludf.DUMMYFUNCTION("REGEXREPLACE(
D3141,
""([一-龯々]+)\[([^\]]+)\]"",
""&lt;ruby&gt;$1&lt;rt&gt;$2&lt;/rt&gt;&lt;/ruby&gt;""
)&amp;""&lt;br&gt;&lt;div class=""""audio""""&gt;[sound:""&amp;C3141&amp;"".mp3]&lt;/div&gt;"""),"&lt;ruby&gt;張&lt;rt&gt;は&lt;/rt&gt;&lt;/ruby&gt;り&lt;ruby&gt;切&lt;rt&gt;き&lt;/rt&gt;&lt;/ruby&gt;る&lt;br&gt;&lt;div class=""audio""&gt;[sound:はりきる.mp3]&lt;/div&gt;")</f>
        <v>&lt;ruby&gt;張&lt;rt&gt;は&lt;/rt&gt;&lt;/ruby&gt;り&lt;ruby&gt;切&lt;rt&gt;き&lt;/rt&gt;&lt;/ruby&gt;る&lt;br&gt;&lt;div class="audio"&gt;[sound:はりきる.mp3]&lt;/div&gt;</v>
      </c>
      <c r="H3141" s="3" t="str">
        <f t="shared" si="1"/>
        <v>(v): hăng hái</v>
      </c>
      <c r="I3141" s="6" t="s">
        <v>17149</v>
      </c>
      <c r="J3141" s="6" t="s">
        <v>17150</v>
      </c>
      <c r="K3141" s="7">
        <f t="shared" si="2"/>
        <v>0.3334869312</v>
      </c>
    </row>
    <row r="3142">
      <c r="A3142" s="4">
        <v>3142.0</v>
      </c>
      <c r="B3142" s="5" t="s">
        <v>17151</v>
      </c>
      <c r="C3142" s="5" t="s">
        <v>3048</v>
      </c>
      <c r="D3142" s="5" t="s">
        <v>17152</v>
      </c>
      <c r="E3142" s="6" t="s">
        <v>24</v>
      </c>
      <c r="F3142" s="6" t="s">
        <v>3050</v>
      </c>
      <c r="G3142" s="3" t="str">
        <f>IFERROR(__xludf.DUMMYFUNCTION("REGEXREPLACE(
D3142,
""([一-龯々]+)\[([^\]]+)\]"",
""&lt;ruby&gt;$1&lt;rt&gt;$2&lt;/rt&gt;&lt;/ruby&gt;""
)&amp;""&lt;br&gt;&lt;div class=""""audio""""&gt;[sound:""&amp;C3142&amp;"".mp3]&lt;/div&gt;"""),"&lt;ruby&gt;慶&lt;rt&gt;よろこ&lt;/rt&gt;&lt;/ruby&gt;ぶ&lt;br&gt;&lt;div class=""audio""&gt;[sound:よろこぶ.mp3]&lt;/div&gt;")</f>
        <v>&lt;ruby&gt;慶&lt;rt&gt;よろこ&lt;/rt&gt;&lt;/ruby&gt;ぶ&lt;br&gt;&lt;div class="audio"&gt;[sound:よろこぶ.mp3]&lt;/div&gt;</v>
      </c>
      <c r="H3142" s="3" t="str">
        <f t="shared" si="1"/>
        <v>(v): vui mừng</v>
      </c>
      <c r="I3142" s="6" t="s">
        <v>17153</v>
      </c>
      <c r="J3142" s="6" t="s">
        <v>17154</v>
      </c>
      <c r="K3142" s="7">
        <f t="shared" si="2"/>
        <v>0.6068375249</v>
      </c>
    </row>
    <row r="3143">
      <c r="A3143" s="4">
        <v>3143.0</v>
      </c>
      <c r="B3143" s="5" t="s">
        <v>17155</v>
      </c>
      <c r="C3143" s="5" t="s">
        <v>17155</v>
      </c>
      <c r="D3143" s="5" t="s">
        <v>17155</v>
      </c>
      <c r="E3143" s="6" t="s">
        <v>24</v>
      </c>
      <c r="F3143" s="6" t="s">
        <v>17156</v>
      </c>
      <c r="G3143" s="3" t="str">
        <f>IFERROR(__xludf.DUMMYFUNCTION("REGEXREPLACE(
D3143,
""([一-龯々]+)\[([^\]]+)\]"",
""&lt;ruby&gt;$1&lt;rt&gt;$2&lt;/rt&gt;&lt;/ruby&gt;""
)&amp;""&lt;br&gt;&lt;div class=""""audio""""&gt;[sound:""&amp;C3143&amp;"".mp3]&lt;/div&gt;"""),"うなずく&lt;br&gt;&lt;div class=""audio""&gt;[sound:うなずく.mp3]&lt;/div&gt;")</f>
        <v>うなずく&lt;br&gt;&lt;div class="audio"&gt;[sound:うなずく.mp3]&lt;/div&gt;</v>
      </c>
      <c r="H3143" s="3" t="str">
        <f t="shared" si="1"/>
        <v>(v): gật đầu</v>
      </c>
      <c r="I3143" s="6" t="s">
        <v>17157</v>
      </c>
      <c r="J3143" s="6" t="s">
        <v>17158</v>
      </c>
      <c r="K3143" s="7">
        <f t="shared" si="2"/>
        <v>0.7045845589</v>
      </c>
    </row>
    <row r="3144">
      <c r="A3144" s="4">
        <v>3144.0</v>
      </c>
      <c r="B3144" s="5" t="s">
        <v>17159</v>
      </c>
      <c r="C3144" s="5" t="s">
        <v>17159</v>
      </c>
      <c r="D3144" s="5" t="s">
        <v>17159</v>
      </c>
      <c r="E3144" s="6" t="s">
        <v>85</v>
      </c>
      <c r="F3144" s="6" t="s">
        <v>17160</v>
      </c>
      <c r="G3144" s="3" t="str">
        <f>IFERROR(__xludf.DUMMYFUNCTION("REGEXREPLACE(
D3144,
""([一-龯々]+)\[([^\]]+)\]"",
""&lt;ruby&gt;$1&lt;rt&gt;$2&lt;/rt&gt;&lt;/ruby&gt;""
)&amp;""&lt;br&gt;&lt;div class=""""audio""""&gt;[sound:""&amp;C3144&amp;"".mp3]&lt;/div&gt;"""),"こっそり&lt;br&gt;&lt;div class=""audio""&gt;[sound:こっそり.mp3]&lt;/div&gt;")</f>
        <v>こっそり&lt;br&gt;&lt;div class="audio"&gt;[sound:こっそり.mp3]&lt;/div&gt;</v>
      </c>
      <c r="H3144" s="3" t="str">
        <f t="shared" si="1"/>
        <v>(adv): lén lút</v>
      </c>
      <c r="I3144" s="6" t="s">
        <v>17161</v>
      </c>
      <c r="J3144" s="6" t="s">
        <v>17162</v>
      </c>
      <c r="K3144" s="7">
        <f t="shared" si="2"/>
        <v>0.8846629259</v>
      </c>
    </row>
    <row r="3145">
      <c r="A3145" s="4">
        <v>3145.0</v>
      </c>
      <c r="B3145" s="5" t="s">
        <v>17163</v>
      </c>
      <c r="C3145" s="5" t="s">
        <v>7177</v>
      </c>
      <c r="D3145" s="5" t="s">
        <v>17164</v>
      </c>
      <c r="E3145" s="6" t="s">
        <v>74</v>
      </c>
      <c r="F3145" s="6" t="s">
        <v>17165</v>
      </c>
      <c r="G3145" s="3" t="str">
        <f>IFERROR(__xludf.DUMMYFUNCTION("REGEXREPLACE(
D3145,
""([一-龯々]+)\[([^\]]+)\]"",
""&lt;ruby&gt;$1&lt;rt&gt;$2&lt;/rt&gt;&lt;/ruby&gt;""
)&amp;""&lt;br&gt;&lt;div class=""""audio""""&gt;[sound:""&amp;C3145&amp;"".mp3]&lt;/div&gt;"""),"&lt;ruby&gt;機関&lt;rt&gt;きかん&lt;/rt&gt;&lt;/ruby&gt;&lt;br&gt;&lt;div class=""audio""&gt;[sound:きかん.mp3]&lt;/div&gt;")</f>
        <v>&lt;ruby&gt;機関&lt;rt&gt;きかん&lt;/rt&gt;&lt;/ruby&gt;&lt;br&gt;&lt;div class="audio"&gt;[sound:きかん.mp3]&lt;/div&gt;</v>
      </c>
      <c r="H3145" s="3" t="str">
        <f t="shared" si="1"/>
        <v>(n): cơ quan</v>
      </c>
      <c r="I3145" s="6" t="s">
        <v>17166</v>
      </c>
      <c r="J3145" s="6" t="s">
        <v>17167</v>
      </c>
      <c r="K3145" s="7">
        <f t="shared" si="2"/>
        <v>0.02261793185</v>
      </c>
    </row>
    <row r="3146">
      <c r="A3146" s="4">
        <v>3146.0</v>
      </c>
      <c r="B3146" s="5" t="s">
        <v>17168</v>
      </c>
      <c r="C3146" s="5" t="s">
        <v>17169</v>
      </c>
      <c r="D3146" s="5" t="s">
        <v>17170</v>
      </c>
      <c r="E3146" s="6" t="s">
        <v>74</v>
      </c>
      <c r="F3146" s="6" t="s">
        <v>16549</v>
      </c>
      <c r="G3146" s="3" t="str">
        <f>IFERROR(__xludf.DUMMYFUNCTION("REGEXREPLACE(
D3146,
""([一-龯々]+)\[([^\]]+)\]"",
""&lt;ruby&gt;$1&lt;rt&gt;$2&lt;/rt&gt;&lt;/ruby&gt;""
)&amp;""&lt;br&gt;&lt;div class=""""audio""""&gt;[sound:""&amp;C3146&amp;"".mp3]&lt;/div&gt;"""),"&lt;ruby&gt;叔父&lt;rt&gt;おじ&lt;/rt&gt;&lt;/ruby&gt;さん&lt;br&gt;&lt;div class=""audio""&gt;[sound:おじさん.mp3]&lt;/div&gt;")</f>
        <v>&lt;ruby&gt;叔父&lt;rt&gt;おじ&lt;/rt&gt;&lt;/ruby&gt;さん&lt;br&gt;&lt;div class="audio"&gt;[sound:おじさん.mp3]&lt;/div&gt;</v>
      </c>
      <c r="H3146" s="3" t="str">
        <f t="shared" si="1"/>
        <v>(n): chú</v>
      </c>
      <c r="I3146" s="6" t="s">
        <v>17171</v>
      </c>
      <c r="J3146" s="6" t="s">
        <v>17172</v>
      </c>
      <c r="K3146" s="7">
        <f t="shared" si="2"/>
        <v>0.3658268116</v>
      </c>
    </row>
    <row r="3147">
      <c r="A3147" s="4">
        <v>3147.0</v>
      </c>
      <c r="B3147" s="5" t="s">
        <v>17173</v>
      </c>
      <c r="C3147" s="5" t="s">
        <v>17174</v>
      </c>
      <c r="D3147" s="5" t="s">
        <v>17175</v>
      </c>
      <c r="E3147" s="6" t="s">
        <v>74</v>
      </c>
      <c r="F3147" s="6" t="s">
        <v>17176</v>
      </c>
      <c r="G3147" s="3" t="str">
        <f>IFERROR(__xludf.DUMMYFUNCTION("REGEXREPLACE(
D3147,
""([一-龯々]+)\[([^\]]+)\]"",
""&lt;ruby&gt;$1&lt;rt&gt;$2&lt;/rt&gt;&lt;/ruby&gt;""
)&amp;""&lt;br&gt;&lt;div class=""""audio""""&gt;[sound:""&amp;C3147&amp;"".mp3]&lt;/div&gt;"""),"&lt;ruby&gt;成人&lt;rt&gt;せいじん&lt;/rt&gt;&lt;/ruby&gt;&lt;br&gt;&lt;div class=""audio""&gt;[sound:せいじん.mp3]&lt;/div&gt;")</f>
        <v>&lt;ruby&gt;成人&lt;rt&gt;せいじん&lt;/rt&gt;&lt;/ruby&gt;&lt;br&gt;&lt;div class="audio"&gt;[sound:せいじん.mp3]&lt;/div&gt;</v>
      </c>
      <c r="H3147" s="3" t="str">
        <f t="shared" si="1"/>
        <v>(n): người trưởng thành</v>
      </c>
      <c r="I3147" s="6" t="s">
        <v>17177</v>
      </c>
      <c r="J3147" s="6" t="s">
        <v>17178</v>
      </c>
      <c r="K3147" s="7">
        <f t="shared" si="2"/>
        <v>0.3543795542</v>
      </c>
    </row>
    <row r="3148">
      <c r="A3148" s="4">
        <v>3148.0</v>
      </c>
      <c r="B3148" s="5" t="s">
        <v>17179</v>
      </c>
      <c r="C3148" s="5" t="s">
        <v>17180</v>
      </c>
      <c r="D3148" s="5" t="s">
        <v>17181</v>
      </c>
      <c r="E3148" s="6" t="s">
        <v>74</v>
      </c>
      <c r="F3148" s="6" t="s">
        <v>17182</v>
      </c>
      <c r="G3148" s="3" t="str">
        <f>IFERROR(__xludf.DUMMYFUNCTION("REGEXREPLACE(
D3148,
""([一-龯々]+)\[([^\]]+)\]"",
""&lt;ruby&gt;$1&lt;rt&gt;$2&lt;/rt&gt;&lt;/ruby&gt;""
)&amp;""&lt;br&gt;&lt;div class=""""audio""""&gt;[sound:""&amp;C3148&amp;"".mp3]&lt;/div&gt;"""),"&lt;ruby&gt;二十日&lt;rt&gt;はつか&lt;/rt&gt;&lt;/ruby&gt;&lt;br&gt;&lt;div class=""audio""&gt;[sound:はつか.mp3]&lt;/div&gt;")</f>
        <v>&lt;ruby&gt;二十日&lt;rt&gt;はつか&lt;/rt&gt;&lt;/ruby&gt;&lt;br&gt;&lt;div class="audio"&gt;[sound:はつか.mp3]&lt;/div&gt;</v>
      </c>
      <c r="H3148" s="3" t="str">
        <f t="shared" si="1"/>
        <v>(n): ngày hai mươi</v>
      </c>
      <c r="I3148" s="6" t="s">
        <v>17183</v>
      </c>
      <c r="J3148" s="6" t="s">
        <v>17184</v>
      </c>
      <c r="K3148" s="7">
        <f t="shared" si="2"/>
        <v>0.1909296249</v>
      </c>
    </row>
    <row r="3149">
      <c r="A3149" s="4">
        <v>3149.0</v>
      </c>
      <c r="B3149" s="5" t="s">
        <v>17185</v>
      </c>
      <c r="C3149" s="5" t="s">
        <v>17186</v>
      </c>
      <c r="D3149" s="5" t="s">
        <v>17187</v>
      </c>
      <c r="E3149" s="6" t="s">
        <v>74</v>
      </c>
      <c r="F3149" s="6" t="s">
        <v>17188</v>
      </c>
      <c r="G3149" s="3" t="str">
        <f>IFERROR(__xludf.DUMMYFUNCTION("REGEXREPLACE(
D3149,
""([一-龯々]+)\[([^\]]+)\]"",
""&lt;ruby&gt;$1&lt;rt&gt;$2&lt;/rt&gt;&lt;/ruby&gt;""
)&amp;""&lt;br&gt;&lt;div class=""""audio""""&gt;[sound:""&amp;C3149&amp;"".mp3]&lt;/div&gt;"""),"&lt;ruby&gt;二十歳&lt;rt&gt;はたち&lt;/rt&gt;&lt;/ruby&gt;&lt;br&gt;&lt;div class=""audio""&gt;[sound:はたち.mp3]&lt;/div&gt;")</f>
        <v>&lt;ruby&gt;二十歳&lt;rt&gt;はたち&lt;/rt&gt;&lt;/ruby&gt;&lt;br&gt;&lt;div class="audio"&gt;[sound:はたち.mp3]&lt;/div&gt;</v>
      </c>
      <c r="H3149" s="3" t="str">
        <f t="shared" si="1"/>
        <v>(n): hai mươi tuổi</v>
      </c>
      <c r="I3149" s="6" t="s">
        <v>17189</v>
      </c>
      <c r="J3149" s="6" t="s">
        <v>17190</v>
      </c>
      <c r="K3149" s="7">
        <f t="shared" si="2"/>
        <v>0.7775072625</v>
      </c>
    </row>
    <row r="3150">
      <c r="A3150" s="4">
        <v>3150.0</v>
      </c>
      <c r="B3150" s="5" t="s">
        <v>17191</v>
      </c>
      <c r="C3150" s="5" t="s">
        <v>3183</v>
      </c>
      <c r="D3150" s="5" t="s">
        <v>17192</v>
      </c>
      <c r="E3150" s="6" t="s">
        <v>74</v>
      </c>
      <c r="F3150" s="6" t="s">
        <v>17193</v>
      </c>
      <c r="G3150" s="3" t="str">
        <f>IFERROR(__xludf.DUMMYFUNCTION("REGEXREPLACE(
D3150,
""([一-龯々]+)\[([^\]]+)\]"",
""&lt;ruby&gt;$1&lt;rt&gt;$2&lt;/rt&gt;&lt;/ruby&gt;""
)&amp;""&lt;br&gt;&lt;div class=""""audio""""&gt;[sound:""&amp;C3150&amp;"".mp3]&lt;/div&gt;"""),"&lt;ruby&gt;五日&lt;rt&gt;いつか&lt;/rt&gt;&lt;/ruby&gt;&lt;br&gt;&lt;div class=""audio""&gt;[sound:いつか.mp3]&lt;/div&gt;")</f>
        <v>&lt;ruby&gt;五日&lt;rt&gt;いつか&lt;/rt&gt;&lt;/ruby&gt;&lt;br&gt;&lt;div class="audio"&gt;[sound:いつか.mp3]&lt;/div&gt;</v>
      </c>
      <c r="H3150" s="3" t="str">
        <f t="shared" si="1"/>
        <v>(n): ngày mùng năm</v>
      </c>
      <c r="I3150" s="6" t="s">
        <v>17194</v>
      </c>
      <c r="J3150" s="6" t="s">
        <v>17195</v>
      </c>
      <c r="K3150" s="7">
        <f t="shared" si="2"/>
        <v>0.4511464019</v>
      </c>
    </row>
    <row r="3151">
      <c r="A3151" s="4">
        <v>3151.0</v>
      </c>
      <c r="B3151" s="5" t="s">
        <v>17196</v>
      </c>
      <c r="C3151" s="5" t="s">
        <v>17197</v>
      </c>
      <c r="D3151" s="5" t="s">
        <v>17198</v>
      </c>
      <c r="E3151" s="6" t="s">
        <v>74</v>
      </c>
      <c r="F3151" s="6" t="s">
        <v>17199</v>
      </c>
      <c r="G3151" s="3" t="str">
        <f>IFERROR(__xludf.DUMMYFUNCTION("REGEXREPLACE(
D3151,
""([一-龯々]+)\[([^\]]+)\]"",
""&lt;ruby&gt;$1&lt;rt&gt;$2&lt;/rt&gt;&lt;/ruby&gt;""
)&amp;""&lt;br&gt;&lt;div class=""""audio""""&gt;[sound:""&amp;C3151&amp;"".mp3]&lt;/div&gt;"""),"&lt;ruby&gt;傷&lt;rt&gt;きず&lt;/rt&gt;&lt;/ruby&gt;&lt;br&gt;&lt;div class=""audio""&gt;[sound:きず.mp3]&lt;/div&gt;")</f>
        <v>&lt;ruby&gt;傷&lt;rt&gt;きず&lt;/rt&gt;&lt;/ruby&gt;&lt;br&gt;&lt;div class="audio"&gt;[sound:きず.mp3]&lt;/div&gt;</v>
      </c>
      <c r="H3151" s="3" t="str">
        <f t="shared" si="1"/>
        <v>(n): vết thương</v>
      </c>
      <c r="I3151" s="6" t="s">
        <v>17200</v>
      </c>
      <c r="J3151" s="6" t="s">
        <v>17201</v>
      </c>
      <c r="K3151" s="7">
        <f t="shared" si="2"/>
        <v>0.8501450087</v>
      </c>
    </row>
    <row r="3152">
      <c r="A3152" s="4">
        <v>3152.0</v>
      </c>
      <c r="B3152" s="5" t="s">
        <v>17202</v>
      </c>
      <c r="C3152" s="5" t="s">
        <v>17203</v>
      </c>
      <c r="D3152" s="5" t="s">
        <v>17204</v>
      </c>
      <c r="E3152" s="6" t="s">
        <v>74</v>
      </c>
      <c r="F3152" s="6" t="s">
        <v>17205</v>
      </c>
      <c r="G3152" s="3" t="str">
        <f>IFERROR(__xludf.DUMMYFUNCTION("REGEXREPLACE(
D3152,
""([一-龯々]+)\[([^\]]+)\]"",
""&lt;ruby&gt;$1&lt;rt&gt;$2&lt;/rt&gt;&lt;/ruby&gt;""
)&amp;""&lt;br&gt;&lt;div class=""""audio""""&gt;[sound:""&amp;C3152&amp;"".mp3]&lt;/div&gt;"""),"&lt;ruby&gt;講師&lt;rt&gt;こうし&lt;/rt&gt;&lt;/ruby&gt;&lt;br&gt;&lt;div class=""audio""&gt;[sound:こうし.mp3]&lt;/div&gt;")</f>
        <v>&lt;ruby&gt;講師&lt;rt&gt;こうし&lt;/rt&gt;&lt;/ruby&gt;&lt;br&gt;&lt;div class="audio"&gt;[sound:こうし.mp3]&lt;/div&gt;</v>
      </c>
      <c r="H3152" s="3" t="str">
        <f t="shared" si="1"/>
        <v>(n): giảng viên</v>
      </c>
      <c r="I3152" s="6" t="s">
        <v>17206</v>
      </c>
      <c r="J3152" s="6" t="s">
        <v>17207</v>
      </c>
      <c r="K3152" s="7">
        <f t="shared" si="2"/>
        <v>0.3790638971</v>
      </c>
    </row>
    <row r="3153">
      <c r="A3153" s="4">
        <v>3153.0</v>
      </c>
      <c r="B3153" s="5" t="s">
        <v>17208</v>
      </c>
      <c r="C3153" s="5" t="s">
        <v>17208</v>
      </c>
      <c r="D3153" s="5" t="s">
        <v>17208</v>
      </c>
      <c r="E3153" s="6" t="s">
        <v>85</v>
      </c>
      <c r="F3153" s="6" t="s">
        <v>17209</v>
      </c>
      <c r="G3153" s="3" t="str">
        <f>IFERROR(__xludf.DUMMYFUNCTION("REGEXREPLACE(
D3153,
""([一-龯々]+)\[([^\]]+)\]"",
""&lt;ruby&gt;$1&lt;rt&gt;$2&lt;/rt&gt;&lt;/ruby&gt;""
)&amp;""&lt;br&gt;&lt;div class=""""audio""""&gt;[sound:""&amp;C3153&amp;"".mp3]&lt;/div&gt;"""),"いらいら&lt;br&gt;&lt;div class=""audio""&gt;[sound:いらいら.mp3]&lt;/div&gt;")</f>
        <v>いらいら&lt;br&gt;&lt;div class="audio"&gt;[sound:いらいら.mp3]&lt;/div&gt;</v>
      </c>
      <c r="H3153" s="3" t="str">
        <f t="shared" si="1"/>
        <v>(adv): nóng ruột</v>
      </c>
      <c r="I3153" s="6" t="s">
        <v>17210</v>
      </c>
      <c r="J3153" s="6" t="s">
        <v>17211</v>
      </c>
      <c r="K3153" s="7">
        <f t="shared" si="2"/>
        <v>0.408584268</v>
      </c>
    </row>
    <row r="3154">
      <c r="A3154" s="4">
        <v>3154.0</v>
      </c>
      <c r="B3154" s="5" t="s">
        <v>17212</v>
      </c>
      <c r="C3154" s="5" t="s">
        <v>17213</v>
      </c>
      <c r="D3154" s="5" t="s">
        <v>17214</v>
      </c>
      <c r="E3154" s="6" t="s">
        <v>74</v>
      </c>
      <c r="F3154" s="6" t="s">
        <v>17215</v>
      </c>
      <c r="G3154" s="3" t="str">
        <f>IFERROR(__xludf.DUMMYFUNCTION("REGEXREPLACE(
D3154,
""([一-龯々]+)\[([^\]]+)\]"",
""&lt;ruby&gt;$1&lt;rt&gt;$2&lt;/rt&gt;&lt;/ruby&gt;""
)&amp;""&lt;br&gt;&lt;div class=""""audio""""&gt;[sound:""&amp;C3154&amp;"".mp3]&lt;/div&gt;"""),"&lt;ruby&gt;廊下&lt;rt&gt;ろうか&lt;/rt&gt;&lt;/ruby&gt;&lt;br&gt;&lt;div class=""audio""&gt;[sound:ろうか.mp3]&lt;/div&gt;")</f>
        <v>&lt;ruby&gt;廊下&lt;rt&gt;ろうか&lt;/rt&gt;&lt;/ruby&gt;&lt;br&gt;&lt;div class="audio"&gt;[sound:ろうか.mp3]&lt;/div&gt;</v>
      </c>
      <c r="H3154" s="3" t="str">
        <f t="shared" si="1"/>
        <v>(n): hành lang</v>
      </c>
      <c r="I3154" s="6" t="s">
        <v>17216</v>
      </c>
      <c r="J3154" s="6" t="s">
        <v>17217</v>
      </c>
      <c r="K3154" s="7">
        <f t="shared" si="2"/>
        <v>0.8268653366</v>
      </c>
    </row>
    <row r="3155">
      <c r="A3155" s="4">
        <v>3155.0</v>
      </c>
      <c r="B3155" s="5" t="s">
        <v>17218</v>
      </c>
      <c r="C3155" s="5" t="s">
        <v>17219</v>
      </c>
      <c r="D3155" s="5" t="s">
        <v>17220</v>
      </c>
      <c r="E3155" s="6" t="s">
        <v>24</v>
      </c>
      <c r="F3155" s="6" t="s">
        <v>17221</v>
      </c>
      <c r="G3155" s="3" t="str">
        <f>IFERROR(__xludf.DUMMYFUNCTION("REGEXREPLACE(
D3155,
""([一-龯々]+)\[([^\]]+)\]"",
""&lt;ruby&gt;$1&lt;rt&gt;$2&lt;/rt&gt;&lt;/ruby&gt;""
)&amp;""&lt;br&gt;&lt;div class=""""audio""""&gt;[sound:""&amp;C3155&amp;"".mp3]&lt;/div&gt;"""),"&lt;ruby&gt;預&lt;rt&gt;あず&lt;/rt&gt;&lt;/ruby&gt;かる&lt;br&gt;&lt;div class=""audio""&gt;[sound:あずかる.mp3]&lt;/div&gt;")</f>
        <v>&lt;ruby&gt;預&lt;rt&gt;あず&lt;/rt&gt;&lt;/ruby&gt;かる&lt;br&gt;&lt;div class="audio"&gt;[sound:あずかる.mp3]&lt;/div&gt;</v>
      </c>
      <c r="H3155" s="3" t="str">
        <f t="shared" si="1"/>
        <v>(v): trông giữ</v>
      </c>
      <c r="I3155" s="6" t="s">
        <v>17222</v>
      </c>
      <c r="J3155" s="6" t="s">
        <v>17223</v>
      </c>
      <c r="K3155" s="7">
        <f t="shared" si="2"/>
        <v>0.1150887061</v>
      </c>
    </row>
    <row r="3156">
      <c r="A3156" s="4">
        <v>3156.0</v>
      </c>
      <c r="B3156" s="5" t="s">
        <v>17224</v>
      </c>
      <c r="C3156" s="5" t="s">
        <v>17225</v>
      </c>
      <c r="D3156" s="5" t="s">
        <v>17226</v>
      </c>
      <c r="E3156" s="6" t="s">
        <v>74</v>
      </c>
      <c r="F3156" s="6" t="s">
        <v>17227</v>
      </c>
      <c r="G3156" s="3" t="str">
        <f>IFERROR(__xludf.DUMMYFUNCTION("REGEXREPLACE(
D3156,
""([一-龯々]+)\[([^\]]+)\]"",
""&lt;ruby&gt;$1&lt;rt&gt;$2&lt;/rt&gt;&lt;/ruby&gt;""
)&amp;""&lt;br&gt;&lt;div class=""""audio""""&gt;[sound:""&amp;C3156&amp;"".mp3]&lt;/div&gt;"""),"&lt;ruby&gt;駐車場&lt;rt&gt;ちゅうしゃじょう&lt;/rt&gt;&lt;/ruby&gt;&lt;br&gt;&lt;div class=""audio""&gt;[sound:ちゅうしゃじょう.mp3]&lt;/div&gt;")</f>
        <v>&lt;ruby&gt;駐車場&lt;rt&gt;ちゅうしゃじょう&lt;/rt&gt;&lt;/ruby&gt;&lt;br&gt;&lt;div class="audio"&gt;[sound:ちゅうしゃじょう.mp3]&lt;/div&gt;</v>
      </c>
      <c r="H3156" s="3" t="str">
        <f t="shared" si="1"/>
        <v>(n): bãi đỗ xe</v>
      </c>
      <c r="I3156" s="6" t="s">
        <v>17228</v>
      </c>
      <c r="J3156" s="6" t="s">
        <v>17229</v>
      </c>
      <c r="K3156" s="7">
        <f t="shared" si="2"/>
        <v>0.7011220533</v>
      </c>
    </row>
    <row r="3157">
      <c r="A3157" s="4">
        <v>3157.0</v>
      </c>
      <c r="B3157" s="5" t="s">
        <v>17230</v>
      </c>
      <c r="C3157" s="5" t="s">
        <v>17231</v>
      </c>
      <c r="D3157" s="5" t="s">
        <v>17232</v>
      </c>
      <c r="E3157" s="6" t="s">
        <v>74</v>
      </c>
      <c r="F3157" s="6" t="s">
        <v>1162</v>
      </c>
      <c r="G3157" s="3" t="str">
        <f>IFERROR(__xludf.DUMMYFUNCTION("REGEXREPLACE(
D3157,
""([一-龯々]+)\[([^\]]+)\]"",
""&lt;ruby&gt;$1&lt;rt&gt;$2&lt;/rt&gt;&lt;/ruby&gt;""
)&amp;""&lt;br&gt;&lt;div class=""""audio""""&gt;[sound:""&amp;C3157&amp;"".mp3]&lt;/div&gt;"""),"&lt;ruby&gt;商店&lt;rt&gt;しょうてん&lt;/rt&gt;&lt;/ruby&gt;&lt;br&gt;&lt;div class=""audio""&gt;[sound:しょうてん.mp3]&lt;/div&gt;")</f>
        <v>&lt;ruby&gt;商店&lt;rt&gt;しょうてん&lt;/rt&gt;&lt;/ruby&gt;&lt;br&gt;&lt;div class="audio"&gt;[sound:しょうてん.mp3]&lt;/div&gt;</v>
      </c>
      <c r="H3157" s="3" t="str">
        <f t="shared" si="1"/>
        <v>(n): cửa hàng</v>
      </c>
      <c r="I3157" s="6" t="s">
        <v>17233</v>
      </c>
      <c r="J3157" s="6" t="s">
        <v>17234</v>
      </c>
      <c r="K3157" s="7">
        <f t="shared" si="2"/>
        <v>0.8319620987</v>
      </c>
    </row>
    <row r="3158">
      <c r="A3158" s="4">
        <v>3158.0</v>
      </c>
      <c r="B3158" s="5" t="s">
        <v>17235</v>
      </c>
      <c r="C3158" s="5" t="s">
        <v>17236</v>
      </c>
      <c r="D3158" s="5" t="s">
        <v>17237</v>
      </c>
      <c r="E3158" s="6" t="s">
        <v>74</v>
      </c>
      <c r="F3158" s="6" t="s">
        <v>17238</v>
      </c>
      <c r="G3158" s="3" t="str">
        <f>IFERROR(__xludf.DUMMYFUNCTION("REGEXREPLACE(
D3158,
""([一-龯々]+)\[([^\]]+)\]"",
""&lt;ruby&gt;$1&lt;rt&gt;$2&lt;/rt&gt;&lt;/ruby&gt;""
)&amp;""&lt;br&gt;&lt;div class=""""audio""""&gt;[sound:""&amp;C3158&amp;"".mp3]&lt;/div&gt;"""),"&lt;ruby&gt;毎朝&lt;rt&gt;まいあさ&lt;/rt&gt;&lt;/ruby&gt;&lt;br&gt;&lt;div class=""audio""&gt;[sound:まいあさ.mp3]&lt;/div&gt;")</f>
        <v>&lt;ruby&gt;毎朝&lt;rt&gt;まいあさ&lt;/rt&gt;&lt;/ruby&gt;&lt;br&gt;&lt;div class="audio"&gt;[sound:まいあさ.mp3]&lt;/div&gt;</v>
      </c>
      <c r="H3158" s="3" t="str">
        <f t="shared" si="1"/>
        <v>(n): mỗi sáng</v>
      </c>
      <c r="I3158" s="6" t="s">
        <v>17239</v>
      </c>
      <c r="J3158" s="6" t="s">
        <v>17240</v>
      </c>
      <c r="K3158" s="7">
        <f t="shared" si="2"/>
        <v>0.5555139078</v>
      </c>
    </row>
    <row r="3159">
      <c r="A3159" s="4">
        <v>3159.0</v>
      </c>
      <c r="B3159" s="5" t="s">
        <v>17241</v>
      </c>
      <c r="C3159" s="5" t="s">
        <v>17242</v>
      </c>
      <c r="D3159" s="5" t="s">
        <v>17243</v>
      </c>
      <c r="E3159" s="6" t="s">
        <v>24</v>
      </c>
      <c r="F3159" s="6" t="s">
        <v>17244</v>
      </c>
      <c r="G3159" s="3" t="str">
        <f>IFERROR(__xludf.DUMMYFUNCTION("REGEXREPLACE(
D3159,
""([一-龯々]+)\[([^\]]+)\]"",
""&lt;ruby&gt;$1&lt;rt&gt;$2&lt;/rt&gt;&lt;/ruby&gt;""
)&amp;""&lt;br&gt;&lt;div class=""""audio""""&gt;[sound:""&amp;C3159&amp;"".mp3]&lt;/div&gt;"""),"&lt;ruby&gt;輝&lt;rt&gt;かがや&lt;/rt&gt;&lt;/ruby&gt;く&lt;br&gt;&lt;div class=""audio""&gt;[sound:かがやく.mp3]&lt;/div&gt;")</f>
        <v>&lt;ruby&gt;輝&lt;rt&gt;かがや&lt;/rt&gt;&lt;/ruby&gt;く&lt;br&gt;&lt;div class="audio"&gt;[sound:かがやく.mp3]&lt;/div&gt;</v>
      </c>
      <c r="H3159" s="3" t="str">
        <f t="shared" si="1"/>
        <v>(v): tỏa sáng</v>
      </c>
      <c r="I3159" s="6" t="s">
        <v>17245</v>
      </c>
      <c r="J3159" s="6" t="s">
        <v>13481</v>
      </c>
      <c r="K3159" s="7">
        <f t="shared" si="2"/>
        <v>0.8445646293</v>
      </c>
    </row>
    <row r="3160">
      <c r="A3160" s="4">
        <v>3160.0</v>
      </c>
      <c r="B3160" s="5" t="s">
        <v>17246</v>
      </c>
      <c r="C3160" s="5" t="s">
        <v>17247</v>
      </c>
      <c r="D3160" s="5" t="s">
        <v>17248</v>
      </c>
      <c r="E3160" s="6" t="s">
        <v>74</v>
      </c>
      <c r="F3160" s="6" t="s">
        <v>17249</v>
      </c>
      <c r="G3160" s="3" t="str">
        <f>IFERROR(__xludf.DUMMYFUNCTION("REGEXREPLACE(
D3160,
""([一-龯々]+)\[([^\]]+)\]"",
""&lt;ruby&gt;$1&lt;rt&gt;$2&lt;/rt&gt;&lt;/ruby&gt;""
)&amp;""&lt;br&gt;&lt;div class=""""audio""""&gt;[sound:""&amp;C3160&amp;"".mp3]&lt;/div&gt;"""),"&lt;ruby&gt;一昨年&lt;rt&gt;おととし&lt;/rt&gt;&lt;/ruby&gt;&lt;br&gt;&lt;div class=""audio""&gt;[sound:おととし.mp3]&lt;/div&gt;")</f>
        <v>&lt;ruby&gt;一昨年&lt;rt&gt;おととし&lt;/rt&gt;&lt;/ruby&gt;&lt;br&gt;&lt;div class="audio"&gt;[sound:おととし.mp3]&lt;/div&gt;</v>
      </c>
      <c r="H3160" s="3" t="str">
        <f t="shared" si="1"/>
        <v>(n): năm kia</v>
      </c>
      <c r="I3160" s="6" t="s">
        <v>17250</v>
      </c>
      <c r="J3160" s="6" t="s">
        <v>17251</v>
      </c>
      <c r="K3160" s="7">
        <f t="shared" si="2"/>
        <v>0.3486055845</v>
      </c>
    </row>
    <row r="3161">
      <c r="A3161" s="4">
        <v>3161.0</v>
      </c>
      <c r="B3161" s="5" t="s">
        <v>17252</v>
      </c>
      <c r="C3161" s="5" t="s">
        <v>17253</v>
      </c>
      <c r="D3161" s="5" t="s">
        <v>17254</v>
      </c>
      <c r="E3161" s="6" t="s">
        <v>74</v>
      </c>
      <c r="F3161" s="6" t="s">
        <v>17255</v>
      </c>
      <c r="G3161" s="3" t="str">
        <f>IFERROR(__xludf.DUMMYFUNCTION("REGEXREPLACE(
D3161,
""([一-龯々]+)\[([^\]]+)\]"",
""&lt;ruby&gt;$1&lt;rt&gt;$2&lt;/rt&gt;&lt;/ruby&gt;""
)&amp;""&lt;br&gt;&lt;div class=""""audio""""&gt;[sound:""&amp;C3161&amp;"".mp3]&lt;/div&gt;"""),"&lt;ruby&gt;美容&lt;rt&gt;びよう&lt;/rt&gt;&lt;/ruby&gt;&lt;br&gt;&lt;div class=""audio""&gt;[sound:びよう.mp3]&lt;/div&gt;")</f>
        <v>&lt;ruby&gt;美容&lt;rt&gt;びよう&lt;/rt&gt;&lt;/ruby&gt;&lt;br&gt;&lt;div class="audio"&gt;[sound:びよう.mp3]&lt;/div&gt;</v>
      </c>
      <c r="H3161" s="3" t="str">
        <f t="shared" si="1"/>
        <v>(n): làm đẹp</v>
      </c>
      <c r="I3161" s="6" t="s">
        <v>17256</v>
      </c>
      <c r="J3161" s="6" t="s">
        <v>17257</v>
      </c>
      <c r="K3161" s="7">
        <f t="shared" si="2"/>
        <v>0.4268558757</v>
      </c>
    </row>
    <row r="3162">
      <c r="A3162" s="4">
        <v>3162.0</v>
      </c>
      <c r="B3162" s="5" t="s">
        <v>17258</v>
      </c>
      <c r="C3162" s="5" t="s">
        <v>17259</v>
      </c>
      <c r="D3162" s="5" t="s">
        <v>17260</v>
      </c>
      <c r="E3162" s="6" t="s">
        <v>74</v>
      </c>
      <c r="F3162" s="6" t="s">
        <v>17261</v>
      </c>
      <c r="G3162" s="3" t="str">
        <f>IFERROR(__xludf.DUMMYFUNCTION("REGEXREPLACE(
D3162,
""([一-龯々]+)\[([^\]]+)\]"",
""&lt;ruby&gt;$1&lt;rt&gt;$2&lt;/rt&gt;&lt;/ruby&gt;""
)&amp;""&lt;br&gt;&lt;div class=""""audio""""&gt;[sound:""&amp;C3162&amp;"".mp3]&lt;/div&gt;"""),"&lt;ruby&gt;親戚&lt;rt&gt;しんせき&lt;/rt&gt;&lt;/ruby&gt;&lt;br&gt;&lt;div class=""audio""&gt;[sound:しんせき.mp3]&lt;/div&gt;")</f>
        <v>&lt;ruby&gt;親戚&lt;rt&gt;しんせき&lt;/rt&gt;&lt;/ruby&gt;&lt;br&gt;&lt;div class="audio"&gt;[sound:しんせき.mp3]&lt;/div&gt;</v>
      </c>
      <c r="H3162" s="3" t="str">
        <f t="shared" si="1"/>
        <v>(n): họ hàng</v>
      </c>
      <c r="I3162" s="6" t="s">
        <v>17262</v>
      </c>
      <c r="J3162" s="6" t="s">
        <v>17263</v>
      </c>
      <c r="K3162" s="7">
        <f t="shared" si="2"/>
        <v>0.2551113869</v>
      </c>
    </row>
    <row r="3163">
      <c r="A3163" s="4">
        <v>3163.0</v>
      </c>
      <c r="B3163" s="5" t="s">
        <v>17264</v>
      </c>
      <c r="C3163" s="5" t="s">
        <v>17265</v>
      </c>
      <c r="D3163" s="5" t="s">
        <v>17266</v>
      </c>
      <c r="E3163" s="6" t="s">
        <v>24</v>
      </c>
      <c r="F3163" s="6" t="s">
        <v>16050</v>
      </c>
      <c r="G3163" s="3" t="str">
        <f>IFERROR(__xludf.DUMMYFUNCTION("REGEXREPLACE(
D3163,
""([一-龯々]+)\[([^\]]+)\]"",
""&lt;ruby&gt;$1&lt;rt&gt;$2&lt;/rt&gt;&lt;/ruby&gt;""
)&amp;""&lt;br&gt;&lt;div class=""""audio""""&gt;[sound:""&amp;C3163&amp;"".mp3]&lt;/div&gt;"""),"&lt;ruby&gt;適&lt;rt&gt;てき&lt;/rt&gt;&lt;/ruby&gt;する&lt;br&gt;&lt;div class=""audio""&gt;[sound:てきする.mp3]&lt;/div&gt;")</f>
        <v>&lt;ruby&gt;適&lt;rt&gt;てき&lt;/rt&gt;&lt;/ruby&gt;する&lt;br&gt;&lt;div class="audio"&gt;[sound:てきする.mp3]&lt;/div&gt;</v>
      </c>
      <c r="H3163" s="3" t="str">
        <f t="shared" si="1"/>
        <v>(v): phù hợp</v>
      </c>
      <c r="I3163" s="6" t="s">
        <v>17267</v>
      </c>
      <c r="J3163" s="6" t="s">
        <v>17268</v>
      </c>
      <c r="K3163" s="7">
        <f t="shared" si="2"/>
        <v>0.9227204659</v>
      </c>
    </row>
    <row r="3164">
      <c r="A3164" s="4">
        <v>3164.0</v>
      </c>
      <c r="B3164" s="5" t="s">
        <v>17269</v>
      </c>
      <c r="C3164" s="5" t="s">
        <v>17270</v>
      </c>
      <c r="D3164" s="5" t="s">
        <v>17271</v>
      </c>
      <c r="E3164" s="6" t="s">
        <v>74</v>
      </c>
      <c r="F3164" s="6" t="s">
        <v>17272</v>
      </c>
      <c r="G3164" s="3" t="str">
        <f>IFERROR(__xludf.DUMMYFUNCTION("REGEXREPLACE(
D3164,
""([一-龯々]+)\[([^\]]+)\]"",
""&lt;ruby&gt;$1&lt;rt&gt;$2&lt;/rt&gt;&lt;/ruby&gt;""
)&amp;""&lt;br&gt;&lt;div class=""""audio""""&gt;[sound:""&amp;C3164&amp;"".mp3]&lt;/div&gt;"""),"&lt;ruby&gt;小麦&lt;rt&gt;こむぎ&lt;/rt&gt;&lt;/ruby&gt;&lt;br&gt;&lt;div class=""audio""&gt;[sound:こむぎ.mp3]&lt;/div&gt;")</f>
        <v>&lt;ruby&gt;小麦&lt;rt&gt;こむぎ&lt;/rt&gt;&lt;/ruby&gt;&lt;br&gt;&lt;div class="audio"&gt;[sound:こむぎ.mp3]&lt;/div&gt;</v>
      </c>
      <c r="H3164" s="3" t="str">
        <f t="shared" si="1"/>
        <v>(n): lúa mì</v>
      </c>
      <c r="I3164" s="6" t="s">
        <v>17273</v>
      </c>
      <c r="J3164" s="6" t="s">
        <v>17274</v>
      </c>
      <c r="K3164" s="7">
        <f t="shared" si="2"/>
        <v>0.7557704501</v>
      </c>
    </row>
    <row r="3165">
      <c r="A3165" s="4">
        <v>3165.0</v>
      </c>
      <c r="B3165" s="5" t="s">
        <v>17275</v>
      </c>
      <c r="C3165" s="5" t="s">
        <v>17276</v>
      </c>
      <c r="D3165" s="5" t="s">
        <v>17277</v>
      </c>
      <c r="E3165" s="6" t="s">
        <v>24</v>
      </c>
      <c r="F3165" s="6" t="s">
        <v>17278</v>
      </c>
      <c r="G3165" s="3" t="str">
        <f>IFERROR(__xludf.DUMMYFUNCTION("REGEXREPLACE(
D3165,
""([一-龯々]+)\[([^\]]+)\]"",
""&lt;ruby&gt;$1&lt;rt&gt;$2&lt;/rt&gt;&lt;/ruby&gt;""
)&amp;""&lt;br&gt;&lt;div class=""""audio""""&gt;[sound:""&amp;C3165&amp;"".mp3]&lt;/div&gt;"""),"&lt;ruby&gt;慰&lt;rt&gt;なぐさ&lt;/rt&gt;&lt;/ruby&gt;める&lt;br&gt;&lt;div class=""audio""&gt;[sound:なぐさめる.mp3]&lt;/div&gt;")</f>
        <v>&lt;ruby&gt;慰&lt;rt&gt;なぐさ&lt;/rt&gt;&lt;/ruby&gt;める&lt;br&gt;&lt;div class="audio"&gt;[sound:なぐさめる.mp3]&lt;/div&gt;</v>
      </c>
      <c r="H3165" s="3" t="str">
        <f t="shared" si="1"/>
        <v>(v): an ủi</v>
      </c>
      <c r="I3165" s="6" t="s">
        <v>17279</v>
      </c>
      <c r="J3165" s="6" t="s">
        <v>17280</v>
      </c>
      <c r="K3165" s="7">
        <f t="shared" si="2"/>
        <v>0.7925036701</v>
      </c>
    </row>
    <row r="3166">
      <c r="A3166" s="4">
        <v>3166.0</v>
      </c>
      <c r="B3166" s="5" t="s">
        <v>17281</v>
      </c>
      <c r="C3166" s="5" t="s">
        <v>17282</v>
      </c>
      <c r="D3166" s="5" t="s">
        <v>17283</v>
      </c>
      <c r="E3166" s="6" t="s">
        <v>74</v>
      </c>
      <c r="F3166" s="6" t="s">
        <v>5101</v>
      </c>
      <c r="G3166" s="3" t="str">
        <f>IFERROR(__xludf.DUMMYFUNCTION("REGEXREPLACE(
D3166,
""([一-龯々]+)\[([^\]]+)\]"",
""&lt;ruby&gt;$1&lt;rt&gt;$2&lt;/rt&gt;&lt;/ruby&gt;""
)&amp;""&lt;br&gt;&lt;div class=""""audio""""&gt;[sound:""&amp;C3166&amp;"".mp3]&lt;/div&gt;"""),"&lt;ruby&gt;嵐&lt;rt&gt;あらし&lt;/rt&gt;&lt;/ruby&gt;&lt;br&gt;&lt;div class=""audio""&gt;[sound:あらし.mp3]&lt;/div&gt;")</f>
        <v>&lt;ruby&gt;嵐&lt;rt&gt;あらし&lt;/rt&gt;&lt;/ruby&gt;&lt;br&gt;&lt;div class="audio"&gt;[sound:あらし.mp3]&lt;/div&gt;</v>
      </c>
      <c r="H3166" s="3" t="str">
        <f t="shared" si="1"/>
        <v>(n): bão</v>
      </c>
      <c r="I3166" s="6" t="s">
        <v>17284</v>
      </c>
      <c r="J3166" s="6" t="s">
        <v>17285</v>
      </c>
      <c r="K3166" s="7">
        <f t="shared" si="2"/>
        <v>0.2310339167</v>
      </c>
    </row>
    <row r="3167">
      <c r="A3167" s="4">
        <v>3167.0</v>
      </c>
      <c r="B3167" s="5" t="s">
        <v>17286</v>
      </c>
      <c r="C3167" s="5" t="s">
        <v>204</v>
      </c>
      <c r="D3167" s="5" t="s">
        <v>17287</v>
      </c>
      <c r="E3167" s="6" t="s">
        <v>90</v>
      </c>
      <c r="F3167" s="6" t="s">
        <v>59</v>
      </c>
      <c r="G3167" s="3" t="str">
        <f>IFERROR(__xludf.DUMMYFUNCTION("REGEXREPLACE(
D3167,
""([一-龯々]+)\[([^\]]+)\]"",
""&lt;ruby&gt;$1&lt;rt&gt;$2&lt;/rt&gt;&lt;/ruby&gt;""
)&amp;""&lt;br&gt;&lt;div class=""""audio""""&gt;[sound:""&amp;C3167&amp;"".mp3]&lt;/div&gt;"""),"&lt;ruby&gt;或&lt;rt&gt;ある&lt;/rt&gt;&lt;/ruby&gt;&lt;br&gt;&lt;div class=""audio""&gt;[sound:ある.mp3]&lt;/div&gt;")</f>
        <v>&lt;ruby&gt;或&lt;rt&gt;ある&lt;/rt&gt;&lt;/ruby&gt;&lt;br&gt;&lt;div class="audio"&gt;[sound:ある.mp3]&lt;/div&gt;</v>
      </c>
      <c r="H3167" s="3" t="str">
        <f t="shared" si="1"/>
        <v>(conj): một</v>
      </c>
      <c r="I3167" s="6" t="s">
        <v>17288</v>
      </c>
      <c r="J3167" s="6" t="s">
        <v>17289</v>
      </c>
      <c r="K3167" s="7">
        <f t="shared" si="2"/>
        <v>0.2876745373</v>
      </c>
    </row>
    <row r="3168">
      <c r="A3168" s="4">
        <v>3168.0</v>
      </c>
      <c r="B3168" s="5" t="s">
        <v>17290</v>
      </c>
      <c r="C3168" s="5" t="s">
        <v>17291</v>
      </c>
      <c r="D3168" s="5" t="s">
        <v>17292</v>
      </c>
      <c r="E3168" s="6" t="s">
        <v>74</v>
      </c>
      <c r="F3168" s="6" t="s">
        <v>17293</v>
      </c>
      <c r="G3168" s="3" t="str">
        <f>IFERROR(__xludf.DUMMYFUNCTION("REGEXREPLACE(
D3168,
""([一-龯々]+)\[([^\]]+)\]"",
""&lt;ruby&gt;$1&lt;rt&gt;$2&lt;/rt&gt;&lt;/ruby&gt;""
)&amp;""&lt;br&gt;&lt;div class=""""audio""""&gt;[sound:""&amp;C3168&amp;"".mp3]&lt;/div&gt;"""),"&lt;ruby&gt;七日&lt;rt&gt;なのか&lt;/rt&gt;&lt;/ruby&gt;&lt;br&gt;&lt;div class=""audio""&gt;[sound:なのか.mp3]&lt;/div&gt;")</f>
        <v>&lt;ruby&gt;七日&lt;rt&gt;なのか&lt;/rt&gt;&lt;/ruby&gt;&lt;br&gt;&lt;div class="audio"&gt;[sound:なのか.mp3]&lt;/div&gt;</v>
      </c>
      <c r="H3168" s="3" t="str">
        <f t="shared" si="1"/>
        <v>(n): ngày mùng bảy</v>
      </c>
      <c r="I3168" s="6" t="s">
        <v>17294</v>
      </c>
      <c r="J3168" s="6" t="s">
        <v>17295</v>
      </c>
      <c r="K3168" s="7">
        <f t="shared" si="2"/>
        <v>0.2333703413</v>
      </c>
    </row>
    <row r="3169">
      <c r="A3169" s="4">
        <v>3169.0</v>
      </c>
      <c r="B3169" s="5" t="s">
        <v>17296</v>
      </c>
      <c r="C3169" s="5" t="s">
        <v>17296</v>
      </c>
      <c r="D3169" s="5" t="s">
        <v>17296</v>
      </c>
      <c r="E3169" s="6" t="s">
        <v>85</v>
      </c>
      <c r="F3169" s="6" t="s">
        <v>9297</v>
      </c>
      <c r="G3169" s="3" t="str">
        <f>IFERROR(__xludf.DUMMYFUNCTION("REGEXREPLACE(
D3169,
""([一-龯々]+)\[([^\]]+)\]"",
""&lt;ruby&gt;$1&lt;rt&gt;$2&lt;/rt&gt;&lt;/ruby&gt;""
)&amp;""&lt;br&gt;&lt;div class=""""audio""""&gt;[sound:""&amp;C3169&amp;"".mp3]&lt;/div&gt;"""),"しばしば&lt;br&gt;&lt;div class=""audio""&gt;[sound:しばしば.mp3]&lt;/div&gt;")</f>
        <v>しばしば&lt;br&gt;&lt;div class="audio"&gt;[sound:しばしば.mp3]&lt;/div&gt;</v>
      </c>
      <c r="H3169" s="3" t="str">
        <f t="shared" si="1"/>
        <v>(adv): thường xuyên</v>
      </c>
      <c r="I3169" s="6" t="s">
        <v>17297</v>
      </c>
      <c r="J3169" s="6" t="s">
        <v>17298</v>
      </c>
      <c r="K3169" s="7">
        <f t="shared" si="2"/>
        <v>0.1112858203</v>
      </c>
    </row>
    <row r="3170">
      <c r="A3170" s="4">
        <v>3170.0</v>
      </c>
      <c r="B3170" s="5" t="s">
        <v>17299</v>
      </c>
      <c r="C3170" s="5" t="s">
        <v>17300</v>
      </c>
      <c r="D3170" s="5" t="s">
        <v>17301</v>
      </c>
      <c r="E3170" s="6" t="s">
        <v>74</v>
      </c>
      <c r="F3170" s="6" t="s">
        <v>17302</v>
      </c>
      <c r="G3170" s="3" t="str">
        <f>IFERROR(__xludf.DUMMYFUNCTION("REGEXREPLACE(
D3170,
""([一-龯々]+)\[([^\]]+)\]"",
""&lt;ruby&gt;$1&lt;rt&gt;$2&lt;/rt&gt;&lt;/ruby&gt;""
)&amp;""&lt;br&gt;&lt;div class=""""audio""""&gt;[sound:""&amp;C3170&amp;"".mp3]&lt;/div&gt;"""),"&lt;ruby&gt;学者&lt;rt&gt;がくしゃ&lt;/rt&gt;&lt;/ruby&gt;&lt;br&gt;&lt;div class=""audio""&gt;[sound:がくしゃ.mp3]&lt;/div&gt;")</f>
        <v>&lt;ruby&gt;学者&lt;rt&gt;がくしゃ&lt;/rt&gt;&lt;/ruby&gt;&lt;br&gt;&lt;div class="audio"&gt;[sound:がくしゃ.mp3]&lt;/div&gt;</v>
      </c>
      <c r="H3170" s="3" t="str">
        <f t="shared" si="1"/>
        <v>(n): nhà khoa học</v>
      </c>
      <c r="I3170" s="6" t="s">
        <v>17303</v>
      </c>
      <c r="J3170" s="6" t="s">
        <v>17304</v>
      </c>
      <c r="K3170" s="7">
        <f t="shared" si="2"/>
        <v>0.126380624</v>
      </c>
    </row>
    <row r="3171">
      <c r="A3171" s="4">
        <v>3171.0</v>
      </c>
      <c r="B3171" s="5" t="s">
        <v>17305</v>
      </c>
      <c r="C3171" s="5" t="s">
        <v>17305</v>
      </c>
      <c r="D3171" s="5" t="s">
        <v>17305</v>
      </c>
      <c r="E3171" s="6" t="s">
        <v>85</v>
      </c>
      <c r="F3171" s="6" t="s">
        <v>12388</v>
      </c>
      <c r="G3171" s="3" t="str">
        <f>IFERROR(__xludf.DUMMYFUNCTION("REGEXREPLACE(
D3171,
""([一-龯々]+)\[([^\]]+)\]"",
""&lt;ruby&gt;$1&lt;rt&gt;$2&lt;/rt&gt;&lt;/ruby&gt;""
)&amp;""&lt;br&gt;&lt;div class=""""audio""""&gt;[sound:""&amp;C3171&amp;"".mp3]&lt;/div&gt;"""),"さっさと&lt;br&gt;&lt;div class=""audio""&gt;[sound:さっさと.mp3]&lt;/div&gt;")</f>
        <v>さっさと&lt;br&gt;&lt;div class="audio"&gt;[sound:さっさと.mp3]&lt;/div&gt;</v>
      </c>
      <c r="H3171" s="3" t="str">
        <f t="shared" si="1"/>
        <v>(adv): nhanh chóng</v>
      </c>
      <c r="I3171" s="6" t="s">
        <v>17306</v>
      </c>
      <c r="J3171" s="6" t="s">
        <v>17307</v>
      </c>
      <c r="K3171" s="7">
        <f t="shared" si="2"/>
        <v>0.594983712</v>
      </c>
    </row>
    <row r="3172">
      <c r="A3172" s="4">
        <v>3172.0</v>
      </c>
      <c r="B3172" s="5" t="s">
        <v>17308</v>
      </c>
      <c r="C3172" s="5" t="s">
        <v>17309</v>
      </c>
      <c r="D3172" s="5" t="s">
        <v>17310</v>
      </c>
      <c r="E3172" s="6" t="s">
        <v>74</v>
      </c>
      <c r="F3172" s="6" t="s">
        <v>17311</v>
      </c>
      <c r="G3172" s="3" t="str">
        <f>IFERROR(__xludf.DUMMYFUNCTION("REGEXREPLACE(
D3172,
""([一-龯々]+)\[([^\]]+)\]"",
""&lt;ruby&gt;$1&lt;rt&gt;$2&lt;/rt&gt;&lt;/ruby&gt;""
)&amp;""&lt;br&gt;&lt;div class=""""audio""""&gt;[sound:""&amp;C3172&amp;"".mp3]&lt;/div&gt;"""),"&lt;ruby&gt;上旬&lt;rt&gt;じょうじゅん&lt;/rt&gt;&lt;/ruby&gt;&lt;br&gt;&lt;div class=""audio""&gt;[sound:じょうじゅん.mp3]&lt;/div&gt;")</f>
        <v>&lt;ruby&gt;上旬&lt;rt&gt;じょうじゅん&lt;/rt&gt;&lt;/ruby&gt;&lt;br&gt;&lt;div class="audio"&gt;[sound:じょうじゅん.mp3]&lt;/div&gt;</v>
      </c>
      <c r="H3172" s="3" t="str">
        <f t="shared" si="1"/>
        <v>(n): thượng tuần</v>
      </c>
      <c r="I3172" s="6" t="s">
        <v>17312</v>
      </c>
      <c r="J3172" s="6" t="s">
        <v>17313</v>
      </c>
      <c r="K3172" s="7">
        <f t="shared" si="2"/>
        <v>0.04846474009</v>
      </c>
    </row>
    <row r="3173">
      <c r="A3173" s="4">
        <v>3173.0</v>
      </c>
      <c r="B3173" s="5" t="s">
        <v>17314</v>
      </c>
      <c r="C3173" s="5" t="s">
        <v>17315</v>
      </c>
      <c r="D3173" s="5" t="s">
        <v>17316</v>
      </c>
      <c r="E3173" s="6" t="s">
        <v>85</v>
      </c>
      <c r="F3173" s="6" t="s">
        <v>17317</v>
      </c>
      <c r="G3173" s="3" t="str">
        <f>IFERROR(__xludf.DUMMYFUNCTION("REGEXREPLACE(
D3173,
""([一-龯々]+)\[([^\]]+)\]"",
""&lt;ruby&gt;$1&lt;rt&gt;$2&lt;/rt&gt;&lt;/ruby&gt;""
)&amp;""&lt;br&gt;&lt;div class=""""audio""""&gt;[sound:""&amp;C3173&amp;"".mp3]&lt;/div&gt;"""),"&lt;ruby&gt;大&lt;rt&gt;たい&lt;/rt&gt;&lt;/ruby&gt;して&lt;br&gt;&lt;div class=""audio""&gt;[sound:たいして.mp3]&lt;/div&gt;")</f>
        <v>&lt;ruby&gt;大&lt;rt&gt;たい&lt;/rt&gt;&lt;/ruby&gt;して&lt;br&gt;&lt;div class="audio"&gt;[sound:たいして.mp3]&lt;/div&gt;</v>
      </c>
      <c r="H3173" s="3" t="str">
        <f t="shared" si="1"/>
        <v>(adv): không nhiều</v>
      </c>
      <c r="I3173" s="6" t="s">
        <v>17318</v>
      </c>
      <c r="J3173" s="6" t="s">
        <v>17319</v>
      </c>
      <c r="K3173" s="7">
        <f t="shared" si="2"/>
        <v>0.274933318</v>
      </c>
    </row>
    <row r="3174">
      <c r="A3174" s="4">
        <v>3174.0</v>
      </c>
      <c r="B3174" s="5" t="s">
        <v>17320</v>
      </c>
      <c r="C3174" s="5" t="s">
        <v>17321</v>
      </c>
      <c r="D3174" s="5" t="s">
        <v>17322</v>
      </c>
      <c r="E3174" s="6" t="s">
        <v>74</v>
      </c>
      <c r="F3174" s="6" t="s">
        <v>17323</v>
      </c>
      <c r="G3174" s="3" t="str">
        <f>IFERROR(__xludf.DUMMYFUNCTION("REGEXREPLACE(
D3174,
""([一-龯々]+)\[([^\]]+)\]"",
""&lt;ruby&gt;$1&lt;rt&gt;$2&lt;/rt&gt;&lt;/ruby&gt;""
)&amp;""&lt;br&gt;&lt;div class=""""audio""""&gt;[sound:""&amp;C3174&amp;"".mp3]&lt;/div&gt;"""),"&lt;ruby&gt;乗客&lt;rt&gt;じょうきゃく&lt;/rt&gt;&lt;/ruby&gt;&lt;br&gt;&lt;div class=""audio""&gt;[sound:じょうきゃく.mp3]&lt;/div&gt;")</f>
        <v>&lt;ruby&gt;乗客&lt;rt&gt;じょうきゃく&lt;/rt&gt;&lt;/ruby&gt;&lt;br&gt;&lt;div class="audio"&gt;[sound:じょうきゃく.mp3]&lt;/div&gt;</v>
      </c>
      <c r="H3174" s="3" t="str">
        <f t="shared" si="1"/>
        <v>(n): hành khách</v>
      </c>
      <c r="I3174" s="6" t="s">
        <v>17324</v>
      </c>
      <c r="J3174" s="6" t="s">
        <v>17325</v>
      </c>
      <c r="K3174" s="7">
        <f t="shared" si="2"/>
        <v>0.2050045903</v>
      </c>
    </row>
    <row r="3175">
      <c r="A3175" s="4">
        <v>3175.0</v>
      </c>
      <c r="B3175" s="5" t="s">
        <v>17326</v>
      </c>
      <c r="C3175" s="5" t="s">
        <v>17327</v>
      </c>
      <c r="D3175" s="5" t="s">
        <v>17328</v>
      </c>
      <c r="E3175" s="6" t="s">
        <v>74</v>
      </c>
      <c r="F3175" s="6" t="s">
        <v>3074</v>
      </c>
      <c r="G3175" s="3" t="str">
        <f>IFERROR(__xludf.DUMMYFUNCTION("REGEXREPLACE(
D3175,
""([一-龯々]+)\[([^\]]+)\]"",
""&lt;ruby&gt;$1&lt;rt&gt;$2&lt;/rt&gt;&lt;/ruby&gt;""
)&amp;""&lt;br&gt;&lt;div class=""""audio""""&gt;[sound:""&amp;C3175&amp;"".mp3]&lt;/div&gt;"""),"&lt;ruby&gt;完了&lt;rt&gt;かんりょう&lt;/rt&gt;&lt;/ruby&gt;&lt;br&gt;&lt;div class=""audio""&gt;[sound:かんりょう.mp3]&lt;/div&gt;")</f>
        <v>&lt;ruby&gt;完了&lt;rt&gt;かんりょう&lt;/rt&gt;&lt;/ruby&gt;&lt;br&gt;&lt;div class="audio"&gt;[sound:かんりょう.mp3]&lt;/div&gt;</v>
      </c>
      <c r="H3175" s="3" t="str">
        <f t="shared" si="1"/>
        <v>(n): hoàn thành</v>
      </c>
      <c r="I3175" s="6" t="s">
        <v>17329</v>
      </c>
      <c r="J3175" s="6" t="s">
        <v>17330</v>
      </c>
      <c r="K3175" s="7">
        <f t="shared" si="2"/>
        <v>0.9324850283</v>
      </c>
    </row>
    <row r="3176">
      <c r="A3176" s="4">
        <v>3176.0</v>
      </c>
      <c r="B3176" s="5" t="s">
        <v>17331</v>
      </c>
      <c r="C3176" s="5" t="s">
        <v>17332</v>
      </c>
      <c r="D3176" s="5" t="s">
        <v>17333</v>
      </c>
      <c r="E3176" s="6" t="s">
        <v>74</v>
      </c>
      <c r="F3176" s="6" t="s">
        <v>13738</v>
      </c>
      <c r="G3176" s="3" t="str">
        <f>IFERROR(__xludf.DUMMYFUNCTION("REGEXREPLACE(
D3176,
""([一-龯々]+)\[([^\]]+)\]"",
""&lt;ruby&gt;$1&lt;rt&gt;$2&lt;/rt&gt;&lt;/ruby&gt;""
)&amp;""&lt;br&gt;&lt;div class=""""audio""""&gt;[sound:""&amp;C3176&amp;"".mp3]&lt;/div&gt;"""),"&lt;ruby&gt;真似&lt;rt&gt;まね&lt;/rt&gt;&lt;/ruby&gt;&lt;br&gt;&lt;div class=""audio""&gt;[sound:まね.mp3]&lt;/div&gt;")</f>
        <v>&lt;ruby&gt;真似&lt;rt&gt;まね&lt;/rt&gt;&lt;/ruby&gt;&lt;br&gt;&lt;div class="audio"&gt;[sound:まね.mp3]&lt;/div&gt;</v>
      </c>
      <c r="H3176" s="3" t="str">
        <f t="shared" si="1"/>
        <v>(n): bắt chước</v>
      </c>
      <c r="I3176" s="6" t="s">
        <v>17334</v>
      </c>
      <c r="J3176" s="6" t="s">
        <v>17335</v>
      </c>
      <c r="K3176" s="7">
        <f t="shared" si="2"/>
        <v>0.4145559945</v>
      </c>
    </row>
    <row r="3177">
      <c r="A3177" s="4">
        <v>3177.0</v>
      </c>
      <c r="B3177" s="5" t="s">
        <v>17336</v>
      </c>
      <c r="C3177" s="5" t="s">
        <v>4833</v>
      </c>
      <c r="D3177" s="5" t="s">
        <v>17337</v>
      </c>
      <c r="E3177" s="6" t="s">
        <v>74</v>
      </c>
      <c r="F3177" s="6" t="s">
        <v>17338</v>
      </c>
      <c r="G3177" s="3" t="str">
        <f>IFERROR(__xludf.DUMMYFUNCTION("REGEXREPLACE(
D3177,
""([一-龯々]+)\[([^\]]+)\]"",
""&lt;ruby&gt;$1&lt;rt&gt;$2&lt;/rt&gt;&lt;/ruby&gt;""
)&amp;""&lt;br&gt;&lt;div class=""""audio""""&gt;[sound:""&amp;C3177&amp;"".mp3]&lt;/div&gt;"""),"&lt;ruby&gt;過程&lt;rt&gt;かてい&lt;/rt&gt;&lt;/ruby&gt;&lt;br&gt;&lt;div class=""audio""&gt;[sound:かてい.mp3]&lt;/div&gt;")</f>
        <v>&lt;ruby&gt;過程&lt;rt&gt;かてい&lt;/rt&gt;&lt;/ruby&gt;&lt;br&gt;&lt;div class="audio"&gt;[sound:かてい.mp3]&lt;/div&gt;</v>
      </c>
      <c r="H3177" s="3" t="str">
        <f t="shared" si="1"/>
        <v>(n): quá trình</v>
      </c>
      <c r="I3177" s="6" t="s">
        <v>17339</v>
      </c>
      <c r="J3177" s="6" t="s">
        <v>17340</v>
      </c>
      <c r="K3177" s="7">
        <f t="shared" si="2"/>
        <v>0.03716168511</v>
      </c>
    </row>
    <row r="3178">
      <c r="A3178" s="4">
        <v>3178.0</v>
      </c>
      <c r="B3178" s="5" t="s">
        <v>17341</v>
      </c>
      <c r="C3178" s="5" t="s">
        <v>17341</v>
      </c>
      <c r="D3178" s="5" t="s">
        <v>17341</v>
      </c>
      <c r="E3178" s="6" t="s">
        <v>85</v>
      </c>
      <c r="F3178" s="6" t="s">
        <v>17342</v>
      </c>
      <c r="G3178" s="3" t="str">
        <f>IFERROR(__xludf.DUMMYFUNCTION("REGEXREPLACE(
D3178,
""([一-龯々]+)\[([^\]]+)\]"",
""&lt;ruby&gt;$1&lt;rt&gt;$2&lt;/rt&gt;&lt;/ruby&gt;""
)&amp;""&lt;br&gt;&lt;div class=""""audio""""&gt;[sound:""&amp;C3178&amp;"".mp3]&lt;/div&gt;"""),"ぐっすり&lt;br&gt;&lt;div class=""audio""&gt;[sound:ぐっすり.mp3]&lt;/div&gt;")</f>
        <v>ぐっすり&lt;br&gt;&lt;div class="audio"&gt;[sound:ぐっすり.mp3]&lt;/div&gt;</v>
      </c>
      <c r="H3178" s="3" t="str">
        <f t="shared" si="1"/>
        <v>(adv): ngủ ngon</v>
      </c>
      <c r="I3178" s="6" t="s">
        <v>17343</v>
      </c>
      <c r="J3178" s="6" t="s">
        <v>17344</v>
      </c>
      <c r="K3178" s="7">
        <f t="shared" si="2"/>
        <v>0.05813251346</v>
      </c>
    </row>
    <row r="3179">
      <c r="A3179" s="4">
        <v>3179.0</v>
      </c>
      <c r="B3179" s="5" t="s">
        <v>17345</v>
      </c>
      <c r="C3179" s="5" t="s">
        <v>17345</v>
      </c>
      <c r="D3179" s="5" t="s">
        <v>17345</v>
      </c>
      <c r="E3179" s="6" t="s">
        <v>24</v>
      </c>
      <c r="F3179" s="6" t="s">
        <v>17346</v>
      </c>
      <c r="G3179" s="3" t="str">
        <f>IFERROR(__xludf.DUMMYFUNCTION("REGEXREPLACE(
D3179,
""([一-龯々]+)\[([^\]]+)\]"",
""&lt;ruby&gt;$1&lt;rt&gt;$2&lt;/rt&gt;&lt;/ruby&gt;""
)&amp;""&lt;br&gt;&lt;div class=""""audio""""&gt;[sound:""&amp;C3179&amp;"".mp3]&lt;/div&gt;"""),"ふざける&lt;br&gt;&lt;div class=""audio""&gt;[sound:ふざける.mp3]&lt;/div&gt;")</f>
        <v>ふざける&lt;br&gt;&lt;div class="audio"&gt;[sound:ふざける.mp3]&lt;/div&gt;</v>
      </c>
      <c r="H3179" s="3" t="str">
        <f t="shared" si="1"/>
        <v>(v): đùa giỡn</v>
      </c>
      <c r="I3179" s="6" t="s">
        <v>17347</v>
      </c>
      <c r="J3179" s="6" t="s">
        <v>17348</v>
      </c>
      <c r="K3179" s="7">
        <f t="shared" si="2"/>
        <v>0.3991631448</v>
      </c>
    </row>
    <row r="3180">
      <c r="A3180" s="4">
        <v>3180.0</v>
      </c>
      <c r="B3180" s="5" t="s">
        <v>17349</v>
      </c>
      <c r="C3180" s="5" t="s">
        <v>17350</v>
      </c>
      <c r="D3180" s="5" t="s">
        <v>17351</v>
      </c>
      <c r="E3180" s="6" t="s">
        <v>74</v>
      </c>
      <c r="F3180" s="6" t="s">
        <v>17352</v>
      </c>
      <c r="G3180" s="3" t="str">
        <f>IFERROR(__xludf.DUMMYFUNCTION("REGEXREPLACE(
D3180,
""([一-龯々]+)\[([^\]]+)\]"",
""&lt;ruby&gt;$1&lt;rt&gt;$2&lt;/rt&gt;&lt;/ruby&gt;""
)&amp;""&lt;br&gt;&lt;div class=""""audio""""&gt;[sound:""&amp;C3180&amp;"".mp3]&lt;/div&gt;"""),"&lt;ruby&gt;満足&lt;rt&gt;まんぞく&lt;/rt&gt;&lt;/ruby&gt;&lt;br&gt;&lt;div class=""audio""&gt;[sound:まんぞく.mp3]&lt;/div&gt;")</f>
        <v>&lt;ruby&gt;満足&lt;rt&gt;まんぞく&lt;/rt&gt;&lt;/ruby&gt;&lt;br&gt;&lt;div class="audio"&gt;[sound:まんぞく.mp3]&lt;/div&gt;</v>
      </c>
      <c r="H3180" s="3" t="str">
        <f t="shared" si="1"/>
        <v>(n): thỏa mãn</v>
      </c>
      <c r="I3180" s="6" t="s">
        <v>17353</v>
      </c>
      <c r="J3180" s="6" t="s">
        <v>17354</v>
      </c>
      <c r="K3180" s="7">
        <f t="shared" si="2"/>
        <v>0.1112018958</v>
      </c>
    </row>
    <row r="3181">
      <c r="A3181" s="4">
        <v>3181.0</v>
      </c>
      <c r="B3181" s="5" t="s">
        <v>17355</v>
      </c>
      <c r="C3181" s="5" t="s">
        <v>17356</v>
      </c>
      <c r="D3181" s="5" t="s">
        <v>17357</v>
      </c>
      <c r="E3181" s="6" t="s">
        <v>74</v>
      </c>
      <c r="F3181" s="6" t="s">
        <v>17358</v>
      </c>
      <c r="G3181" s="3" t="str">
        <f>IFERROR(__xludf.DUMMYFUNCTION("REGEXREPLACE(
D3181,
""([一-龯々]+)\[([^\]]+)\]"",
""&lt;ruby&gt;$1&lt;rt&gt;$2&lt;/rt&gt;&lt;/ruby&gt;""
)&amp;""&lt;br&gt;&lt;div class=""""audio""""&gt;[sound:""&amp;C3181&amp;"".mp3]&lt;/div&gt;"""),"&lt;ruby&gt;犯罪&lt;rt&gt;はんざい&lt;/rt&gt;&lt;/ruby&gt;&lt;br&gt;&lt;div class=""audio""&gt;[sound:はんざい.mp3]&lt;/div&gt;")</f>
        <v>&lt;ruby&gt;犯罪&lt;rt&gt;はんざい&lt;/rt&gt;&lt;/ruby&gt;&lt;br&gt;&lt;div class="audio"&gt;[sound:はんざい.mp3]&lt;/div&gt;</v>
      </c>
      <c r="H3181" s="3" t="str">
        <f t="shared" si="1"/>
        <v>(n): tội phạm</v>
      </c>
      <c r="I3181" s="6" t="s">
        <v>17359</v>
      </c>
      <c r="J3181" s="6" t="s">
        <v>17360</v>
      </c>
      <c r="K3181" s="7">
        <f t="shared" si="2"/>
        <v>0.7187615797</v>
      </c>
    </row>
    <row r="3182">
      <c r="A3182" s="4">
        <v>3182.0</v>
      </c>
      <c r="B3182" s="5" t="s">
        <v>17361</v>
      </c>
      <c r="C3182" s="5" t="s">
        <v>17361</v>
      </c>
      <c r="D3182" s="5" t="s">
        <v>17361</v>
      </c>
      <c r="E3182" s="6" t="s">
        <v>85</v>
      </c>
      <c r="F3182" s="6" t="s">
        <v>17160</v>
      </c>
      <c r="G3182" s="3" t="str">
        <f>IFERROR(__xludf.DUMMYFUNCTION("REGEXREPLACE(
D3182,
""([一-龯々]+)\[([^\]]+)\]"",
""&lt;ruby&gt;$1&lt;rt&gt;$2&lt;/rt&gt;&lt;/ruby&gt;""
)&amp;""&lt;br&gt;&lt;div class=""""audio""""&gt;[sound:""&amp;C3182&amp;"".mp3]&lt;/div&gt;"""),"そっと&lt;br&gt;&lt;div class=""audio""&gt;[sound:そっと.mp3]&lt;/div&gt;")</f>
        <v>そっと&lt;br&gt;&lt;div class="audio"&gt;[sound:そっと.mp3]&lt;/div&gt;</v>
      </c>
      <c r="H3182" s="3" t="str">
        <f t="shared" si="1"/>
        <v>(adv): lén lút</v>
      </c>
      <c r="I3182" s="6" t="s">
        <v>17362</v>
      </c>
      <c r="J3182" s="6" t="s">
        <v>17363</v>
      </c>
      <c r="K3182" s="7">
        <f t="shared" si="2"/>
        <v>0.6085048761</v>
      </c>
    </row>
    <row r="3183">
      <c r="A3183" s="4">
        <v>3183.0</v>
      </c>
      <c r="B3183" s="5" t="s">
        <v>17364</v>
      </c>
      <c r="C3183" s="5" t="s">
        <v>17365</v>
      </c>
      <c r="D3183" s="5" t="s">
        <v>17366</v>
      </c>
      <c r="E3183" s="6" t="s">
        <v>85</v>
      </c>
      <c r="F3183" s="6" t="s">
        <v>17367</v>
      </c>
      <c r="G3183" s="3" t="str">
        <f>IFERROR(__xludf.DUMMYFUNCTION("REGEXREPLACE(
D3183,
""([一-龯々]+)\[([^\]]+)\]"",
""&lt;ruby&gt;$1&lt;rt&gt;$2&lt;/rt&gt;&lt;/ruby&gt;""
)&amp;""&lt;br&gt;&lt;div class=""""audio""""&gt;[sound:""&amp;C3183&amp;"".mp3]&lt;/div&gt;"""),"&lt;ruby&gt;今&lt;rt&gt;いま&lt;/rt&gt;&lt;/ruby&gt;に&lt;br&gt;&lt;div class=""audio""&gt;[sound:いまに.mp3]&lt;/div&gt;")</f>
        <v>&lt;ruby&gt;今&lt;rt&gt;いま&lt;/rt&gt;&lt;/ruby&gt;に&lt;br&gt;&lt;div class="audio"&gt;[sound:いまに.mp3]&lt;/div&gt;</v>
      </c>
      <c r="H3183" s="3" t="str">
        <f t="shared" si="1"/>
        <v>(adv): sắp tới</v>
      </c>
      <c r="I3183" s="6" t="s">
        <v>17368</v>
      </c>
      <c r="J3183" s="6" t="s">
        <v>17369</v>
      </c>
      <c r="K3183" s="7">
        <f t="shared" si="2"/>
        <v>0.5765170786</v>
      </c>
    </row>
    <row r="3184">
      <c r="A3184" s="4">
        <v>3184.0</v>
      </c>
      <c r="B3184" s="5" t="s">
        <v>17370</v>
      </c>
      <c r="C3184" s="5" t="s">
        <v>17371</v>
      </c>
      <c r="D3184" s="5" t="s">
        <v>17372</v>
      </c>
      <c r="E3184" s="6" t="s">
        <v>85</v>
      </c>
      <c r="F3184" s="6" t="s">
        <v>6255</v>
      </c>
      <c r="G3184" s="3" t="str">
        <f>IFERROR(__xludf.DUMMYFUNCTION("REGEXREPLACE(
D3184,
""([一-龯々]+)\[([^\]]+)\]"",
""&lt;ruby&gt;$1&lt;rt&gt;$2&lt;/rt&gt;&lt;/ruby&gt;""
)&amp;""&lt;br&gt;&lt;div class=""""audio""""&gt;[sound:""&amp;C3184&amp;"".mp3]&lt;/div&gt;"""),"&lt;ruby&gt;今&lt;rt&gt;いま&lt;/rt&gt;&lt;/ruby&gt;にも&lt;br&gt;&lt;div class=""audio""&gt;[sound:いまにも.mp3]&lt;/div&gt;")</f>
        <v>&lt;ruby&gt;今&lt;rt&gt;いま&lt;/rt&gt;&lt;/ruby&gt;にも&lt;br&gt;&lt;div class="audio"&gt;[sound:いまにも.mp3]&lt;/div&gt;</v>
      </c>
      <c r="H3184" s="3" t="str">
        <f t="shared" si="1"/>
        <v>(adv): sắp sửa</v>
      </c>
      <c r="I3184" s="6" t="s">
        <v>17373</v>
      </c>
      <c r="J3184" s="6" t="s">
        <v>17374</v>
      </c>
      <c r="K3184" s="7">
        <f t="shared" si="2"/>
        <v>0.6133834458</v>
      </c>
    </row>
    <row r="3185">
      <c r="A3185" s="4">
        <v>3185.0</v>
      </c>
      <c r="B3185" s="5" t="s">
        <v>17375</v>
      </c>
      <c r="C3185" s="5" t="s">
        <v>17376</v>
      </c>
      <c r="D3185" s="5" t="s">
        <v>17377</v>
      </c>
      <c r="E3185" s="6" t="s">
        <v>74</v>
      </c>
      <c r="F3185" s="6" t="s">
        <v>17378</v>
      </c>
      <c r="G3185" s="3" t="str">
        <f>IFERROR(__xludf.DUMMYFUNCTION("REGEXREPLACE(
D3185,
""([一-龯々]+)\[([^\]]+)\]"",
""&lt;ruby&gt;$1&lt;rt&gt;$2&lt;/rt&gt;&lt;/ruby&gt;""
)&amp;""&lt;br&gt;&lt;div class=""""audio""""&gt;[sound:""&amp;C3185&amp;"".mp3]&lt;/div&gt;"""),"&lt;ruby&gt;受取&lt;rt&gt;うけとり&lt;/rt&gt;&lt;/ruby&gt;&lt;br&gt;&lt;div class=""audio""&gt;[sound:うけとり.mp3]&lt;/div&gt;")</f>
        <v>&lt;ruby&gt;受取&lt;rt&gt;うけとり&lt;/rt&gt;&lt;/ruby&gt;&lt;br&gt;&lt;div class="audio"&gt;[sound:うけとり.mp3]&lt;/div&gt;</v>
      </c>
      <c r="H3185" s="3" t="str">
        <f t="shared" si="1"/>
        <v>(n): sự nhận</v>
      </c>
      <c r="I3185" s="6" t="s">
        <v>17379</v>
      </c>
      <c r="J3185" s="6" t="s">
        <v>17380</v>
      </c>
      <c r="K3185" s="7">
        <f t="shared" si="2"/>
        <v>0.4101232577</v>
      </c>
    </row>
    <row r="3186">
      <c r="A3186" s="4">
        <v>3186.0</v>
      </c>
      <c r="B3186" s="5" t="s">
        <v>17381</v>
      </c>
      <c r="C3186" s="5" t="s">
        <v>17382</v>
      </c>
      <c r="D3186" s="5" t="s">
        <v>17383</v>
      </c>
      <c r="E3186" s="6" t="s">
        <v>74</v>
      </c>
      <c r="F3186" s="6" t="s">
        <v>17384</v>
      </c>
      <c r="G3186" s="3" t="str">
        <f>IFERROR(__xludf.DUMMYFUNCTION("REGEXREPLACE(
D3186,
""([一-龯々]+)\[([^\]]+)\]"",
""&lt;ruby&gt;$1&lt;rt&gt;$2&lt;/rt&gt;&lt;/ruby&gt;""
)&amp;""&lt;br&gt;&lt;div class=""""audio""""&gt;[sound:""&amp;C3186&amp;"".mp3]&lt;/div&gt;"""),"&lt;ruby&gt;大学院&lt;rt&gt;だいがくいん&lt;/rt&gt;&lt;/ruby&gt;&lt;br&gt;&lt;div class=""audio""&gt;[sound:だいがくいん.mp3]&lt;/div&gt;")</f>
        <v>&lt;ruby&gt;大学院&lt;rt&gt;だいがくいん&lt;/rt&gt;&lt;/ruby&gt;&lt;br&gt;&lt;div class="audio"&gt;[sound:だいがくいん.mp3]&lt;/div&gt;</v>
      </c>
      <c r="H3186" s="3" t="str">
        <f t="shared" si="1"/>
        <v>(n): cao học</v>
      </c>
      <c r="I3186" s="6" t="s">
        <v>17385</v>
      </c>
      <c r="J3186" s="6" t="s">
        <v>17386</v>
      </c>
      <c r="K3186" s="7">
        <f t="shared" si="2"/>
        <v>0.7752267519</v>
      </c>
    </row>
    <row r="3187">
      <c r="A3187" s="4">
        <v>3187.0</v>
      </c>
      <c r="B3187" s="5" t="s">
        <v>17387</v>
      </c>
      <c r="C3187" s="5" t="s">
        <v>17388</v>
      </c>
      <c r="D3187" s="5" t="s">
        <v>17389</v>
      </c>
      <c r="E3187" s="6" t="s">
        <v>74</v>
      </c>
      <c r="F3187" s="6" t="s">
        <v>3841</v>
      </c>
      <c r="G3187" s="3" t="str">
        <f>IFERROR(__xludf.DUMMYFUNCTION("REGEXREPLACE(
D3187,
""([一-龯々]+)\[([^\]]+)\]"",
""&lt;ruby&gt;$1&lt;rt&gt;$2&lt;/rt&gt;&lt;/ruby&gt;""
)&amp;""&lt;br&gt;&lt;div class=""""audio""""&gt;[sound:""&amp;C3187&amp;"".mp3]&lt;/div&gt;"""),"&lt;ruby&gt;決&lt;rt&gt;き&lt;/rt&gt;&lt;/ruby&gt;まり&lt;br&gt;&lt;div class=""audio""&gt;[sound:きまり.mp3]&lt;/div&gt;")</f>
        <v>&lt;ruby&gt;決&lt;rt&gt;き&lt;/rt&gt;&lt;/ruby&gt;まり&lt;br&gt;&lt;div class="audio"&gt;[sound:きまり.mp3]&lt;/div&gt;</v>
      </c>
      <c r="H3187" s="3" t="str">
        <f t="shared" si="1"/>
        <v>(n): quy tắc</v>
      </c>
      <c r="I3187" s="6" t="s">
        <v>17390</v>
      </c>
      <c r="J3187" s="6" t="s">
        <v>3843</v>
      </c>
      <c r="K3187" s="7">
        <f t="shared" si="2"/>
        <v>0.7929688078</v>
      </c>
    </row>
    <row r="3188">
      <c r="A3188" s="4">
        <v>3188.0</v>
      </c>
      <c r="B3188" s="5" t="s">
        <v>17391</v>
      </c>
      <c r="C3188" s="5" t="s">
        <v>17392</v>
      </c>
      <c r="D3188" s="5" t="s">
        <v>17393</v>
      </c>
      <c r="E3188" s="6" t="s">
        <v>74</v>
      </c>
      <c r="F3188" s="6" t="s">
        <v>17394</v>
      </c>
      <c r="G3188" s="3" t="str">
        <f>IFERROR(__xludf.DUMMYFUNCTION("REGEXREPLACE(
D3188,
""([一-龯々]+)\[([^\]]+)\]"",
""&lt;ruby&gt;$1&lt;rt&gt;$2&lt;/rt&gt;&lt;/ruby&gt;""
)&amp;""&lt;br&gt;&lt;div class=""""audio""""&gt;[sound:""&amp;C3188&amp;"".mp3]&lt;/div&gt;"""),"&lt;ruby&gt;知能&lt;rt&gt;ちのう&lt;/rt&gt;&lt;/ruby&gt;&lt;br&gt;&lt;div class=""audio""&gt;[sound:ちのう.mp3]&lt;/div&gt;")</f>
        <v>&lt;ruby&gt;知能&lt;rt&gt;ちのう&lt;/rt&gt;&lt;/ruby&gt;&lt;br&gt;&lt;div class="audio"&gt;[sound:ちのう.mp3]&lt;/div&gt;</v>
      </c>
      <c r="H3188" s="3" t="str">
        <f t="shared" si="1"/>
        <v>(n): trí tuệ</v>
      </c>
      <c r="I3188" s="6" t="s">
        <v>17395</v>
      </c>
      <c r="J3188" s="6" t="s">
        <v>17396</v>
      </c>
      <c r="K3188" s="7">
        <f t="shared" si="2"/>
        <v>0.6782900578</v>
      </c>
    </row>
    <row r="3189">
      <c r="A3189" s="4">
        <v>3189.0</v>
      </c>
      <c r="B3189" s="5" t="s">
        <v>17397</v>
      </c>
      <c r="C3189" s="5" t="s">
        <v>12938</v>
      </c>
      <c r="D3189" s="5" t="s">
        <v>17398</v>
      </c>
      <c r="E3189" s="6" t="s">
        <v>24</v>
      </c>
      <c r="F3189" s="6" t="s">
        <v>10737</v>
      </c>
      <c r="G3189" s="3" t="str">
        <f>IFERROR(__xludf.DUMMYFUNCTION("REGEXREPLACE(
D3189,
""([一-龯々]+)\[([^\]]+)\]"",
""&lt;ruby&gt;$1&lt;rt&gt;$2&lt;/rt&gt;&lt;/ruby&gt;""
)&amp;""&lt;br&gt;&lt;div class=""""audio""""&gt;[sound:""&amp;C3189&amp;"".mp3]&lt;/div&gt;"""),"&lt;ruby&gt;謝&lt;rt&gt;あやま&lt;/rt&gt;&lt;/ruby&gt;る&lt;br&gt;&lt;div class=""audio""&gt;[sound:あやまる.mp3]&lt;/div&gt;")</f>
        <v>&lt;ruby&gt;謝&lt;rt&gt;あやま&lt;/rt&gt;&lt;/ruby&gt;る&lt;br&gt;&lt;div class="audio"&gt;[sound:あやまる.mp3]&lt;/div&gt;</v>
      </c>
      <c r="H3189" s="3" t="str">
        <f t="shared" si="1"/>
        <v>(v): xin lỗi</v>
      </c>
      <c r="I3189" s="6" t="s">
        <v>17399</v>
      </c>
      <c r="J3189" s="6" t="s">
        <v>17400</v>
      </c>
      <c r="K3189" s="7">
        <f t="shared" si="2"/>
        <v>0.1913664771</v>
      </c>
    </row>
    <row r="3190">
      <c r="A3190" s="4">
        <v>3190.0</v>
      </c>
      <c r="B3190" s="5" t="s">
        <v>17401</v>
      </c>
      <c r="C3190" s="5" t="s">
        <v>448</v>
      </c>
      <c r="D3190" s="5" t="s">
        <v>17402</v>
      </c>
      <c r="E3190" s="6" t="s">
        <v>74</v>
      </c>
      <c r="F3190" s="6" t="s">
        <v>17403</v>
      </c>
      <c r="G3190" s="3" t="str">
        <f>IFERROR(__xludf.DUMMYFUNCTION("REGEXREPLACE(
D3190,
""([一-龯々]+)\[([^\]]+)\]"",
""&lt;ruby&gt;$1&lt;rt&gt;$2&lt;/rt&gt;&lt;/ruby&gt;""
)&amp;""&lt;br&gt;&lt;div class=""""audio""""&gt;[sound:""&amp;C3190&amp;"".mp3]&lt;/div&gt;"""),"&lt;ruby&gt;跡&lt;rt&gt;あと&lt;/rt&gt;&lt;/ruby&gt;&lt;br&gt;&lt;div class=""audio""&gt;[sound:あと.mp3]&lt;/div&gt;")</f>
        <v>&lt;ruby&gt;跡&lt;rt&gt;あと&lt;/rt&gt;&lt;/ruby&gt;&lt;br&gt;&lt;div class="audio"&gt;[sound:あと.mp3]&lt;/div&gt;</v>
      </c>
      <c r="H3190" s="3" t="str">
        <f t="shared" si="1"/>
        <v>(n): dấu vết</v>
      </c>
      <c r="I3190" s="6" t="s">
        <v>17404</v>
      </c>
      <c r="J3190" s="6" t="s">
        <v>17405</v>
      </c>
      <c r="K3190" s="7">
        <f t="shared" si="2"/>
        <v>0.05802611</v>
      </c>
    </row>
    <row r="3191">
      <c r="A3191" s="4">
        <v>3191.0</v>
      </c>
      <c r="B3191" s="5" t="s">
        <v>17406</v>
      </c>
      <c r="C3191" s="5" t="s">
        <v>17407</v>
      </c>
      <c r="D3191" s="5" t="s">
        <v>17408</v>
      </c>
      <c r="E3191" s="6" t="s">
        <v>74</v>
      </c>
      <c r="F3191" s="6" t="s">
        <v>17409</v>
      </c>
      <c r="G3191" s="3" t="str">
        <f>IFERROR(__xludf.DUMMYFUNCTION("REGEXREPLACE(
D3191,
""([一-龯々]+)\[([^\]]+)\]"",
""&lt;ruby&gt;$1&lt;rt&gt;$2&lt;/rt&gt;&lt;/ruby&gt;""
)&amp;""&lt;br&gt;&lt;div class=""""audio""""&gt;[sound:""&amp;C3191&amp;"".mp3]&lt;/div&gt;"""),"&lt;ruby&gt;兄弟&lt;rt&gt;きょうだい&lt;/rt&gt;&lt;/ruby&gt;&lt;br&gt;&lt;div class=""audio""&gt;[sound:きょうだい.mp3]&lt;/div&gt;")</f>
        <v>&lt;ruby&gt;兄弟&lt;rt&gt;きょうだい&lt;/rt&gt;&lt;/ruby&gt;&lt;br&gt;&lt;div class="audio"&gt;[sound:きょうだい.mp3]&lt;/div&gt;</v>
      </c>
      <c r="H3191" s="3" t="str">
        <f t="shared" si="1"/>
        <v>(n): anh em</v>
      </c>
      <c r="I3191" s="6" t="s">
        <v>17410</v>
      </c>
      <c r="J3191" s="6" t="s">
        <v>17411</v>
      </c>
      <c r="K3191" s="7">
        <f t="shared" si="2"/>
        <v>0.6101776959</v>
      </c>
    </row>
    <row r="3192">
      <c r="A3192" s="4">
        <v>3192.0</v>
      </c>
      <c r="B3192" s="5" t="s">
        <v>17412</v>
      </c>
      <c r="C3192" s="5" t="s">
        <v>5019</v>
      </c>
      <c r="D3192" s="5" t="s">
        <v>17413</v>
      </c>
      <c r="E3192" s="6" t="s">
        <v>74</v>
      </c>
      <c r="F3192" s="6" t="s">
        <v>14785</v>
      </c>
      <c r="G3192" s="3" t="str">
        <f>IFERROR(__xludf.DUMMYFUNCTION("REGEXREPLACE(
D3192,
""([一-龯々]+)\[([^\]]+)\]"",
""&lt;ruby&gt;$1&lt;rt&gt;$2&lt;/rt&gt;&lt;/ruby&gt;""
)&amp;""&lt;br&gt;&lt;div class=""""audio""""&gt;[sound:""&amp;C3192&amp;"".mp3]&lt;/div&gt;"""),"&lt;ruby&gt;医師&lt;rt&gt;いし&lt;/rt&gt;&lt;/ruby&gt;&lt;br&gt;&lt;div class=""audio""&gt;[sound:いし.mp3]&lt;/div&gt;")</f>
        <v>&lt;ruby&gt;医師&lt;rt&gt;いし&lt;/rt&gt;&lt;/ruby&gt;&lt;br&gt;&lt;div class="audio"&gt;[sound:いし.mp3]&lt;/div&gt;</v>
      </c>
      <c r="H3192" s="3" t="str">
        <f t="shared" si="1"/>
        <v>(n): bác sĩ</v>
      </c>
      <c r="I3192" s="6" t="s">
        <v>17414</v>
      </c>
      <c r="J3192" s="6" t="s">
        <v>17415</v>
      </c>
      <c r="K3192" s="7">
        <f t="shared" si="2"/>
        <v>0.3108174356</v>
      </c>
    </row>
    <row r="3193">
      <c r="A3193" s="4">
        <v>3193.0</v>
      </c>
      <c r="B3193" s="5" t="s">
        <v>17416</v>
      </c>
      <c r="C3193" s="5" t="s">
        <v>17417</v>
      </c>
      <c r="D3193" s="5" t="s">
        <v>17418</v>
      </c>
      <c r="E3193" s="6" t="s">
        <v>74</v>
      </c>
      <c r="F3193" s="6" t="s">
        <v>17419</v>
      </c>
      <c r="G3193" s="3" t="str">
        <f>IFERROR(__xludf.DUMMYFUNCTION("REGEXREPLACE(
D3193,
""([一-龯々]+)\[([^\]]+)\]"",
""&lt;ruby&gt;$1&lt;rt&gt;$2&lt;/rt&gt;&lt;/ruby&gt;""
)&amp;""&lt;br&gt;&lt;div class=""""audio""""&gt;[sound:""&amp;C3193&amp;"".mp3]&lt;/div&gt;"""),"&lt;ruby&gt;通勤&lt;rt&gt;つうきん&lt;/rt&gt;&lt;/ruby&gt;&lt;br&gt;&lt;div class=""audio""&gt;[sound:つうきん.mp3]&lt;/div&gt;")</f>
        <v>&lt;ruby&gt;通勤&lt;rt&gt;つうきん&lt;/rt&gt;&lt;/ruby&gt;&lt;br&gt;&lt;div class="audio"&gt;[sound:つうきん.mp3]&lt;/div&gt;</v>
      </c>
      <c r="H3193" s="3" t="str">
        <f t="shared" si="1"/>
        <v>(n): đi làm</v>
      </c>
      <c r="I3193" s="6" t="s">
        <v>17420</v>
      </c>
      <c r="J3193" s="6" t="s">
        <v>17421</v>
      </c>
      <c r="K3193" s="7">
        <f t="shared" si="2"/>
        <v>0.6216940167</v>
      </c>
    </row>
    <row r="3194">
      <c r="A3194" s="4">
        <v>3194.0</v>
      </c>
      <c r="B3194" s="5" t="s">
        <v>17422</v>
      </c>
      <c r="C3194" s="5" t="s">
        <v>17422</v>
      </c>
      <c r="D3194" s="5" t="s">
        <v>17422</v>
      </c>
      <c r="E3194" s="6" t="s">
        <v>85</v>
      </c>
      <c r="F3194" s="6" t="s">
        <v>533</v>
      </c>
      <c r="G3194" s="3" t="str">
        <f>IFERROR(__xludf.DUMMYFUNCTION("REGEXREPLACE(
D3194,
""([一-龯々]+)\[([^\]]+)\]"",
""&lt;ruby&gt;$1&lt;rt&gt;$2&lt;/rt&gt;&lt;/ruby&gt;""
)&amp;""&lt;br&gt;&lt;div class=""""audio""""&gt;[sound:""&amp;C3194&amp;"".mp3]&lt;/div&gt;"""),"うんと&lt;br&gt;&lt;div class=""audio""&gt;[sound:うんと.mp3]&lt;/div&gt;")</f>
        <v>うんと&lt;br&gt;&lt;div class="audio"&gt;[sound:うんと.mp3]&lt;/div&gt;</v>
      </c>
      <c r="H3194" s="3" t="str">
        <f t="shared" si="1"/>
        <v>(adv): nhiều</v>
      </c>
      <c r="I3194" s="6" t="s">
        <v>17423</v>
      </c>
      <c r="J3194" s="6" t="s">
        <v>17424</v>
      </c>
      <c r="K3194" s="7">
        <f t="shared" si="2"/>
        <v>0.6013755596</v>
      </c>
    </row>
    <row r="3195">
      <c r="A3195" s="4">
        <v>3195.0</v>
      </c>
      <c r="B3195" s="5" t="s">
        <v>17425</v>
      </c>
      <c r="C3195" s="5" t="s">
        <v>17426</v>
      </c>
      <c r="D3195" s="5" t="s">
        <v>17427</v>
      </c>
      <c r="E3195" s="6" t="s">
        <v>74</v>
      </c>
      <c r="F3195" s="6" t="s">
        <v>17428</v>
      </c>
      <c r="G3195" s="3" t="str">
        <f>IFERROR(__xludf.DUMMYFUNCTION("REGEXREPLACE(
D3195,
""([一-龯々]+)\[([^\]]+)\]"",
""&lt;ruby&gt;$1&lt;rt&gt;$2&lt;/rt&gt;&lt;/ruby&gt;""
)&amp;""&lt;br&gt;&lt;div class=""""audio""""&gt;[sound:""&amp;C3195&amp;"".mp3]&lt;/div&gt;"""),"&lt;ruby&gt;地帯&lt;rt&gt;ちたい&lt;/rt&gt;&lt;/ruby&gt;&lt;br&gt;&lt;div class=""audio""&gt;[sound:ちたい.mp3]&lt;/div&gt;")</f>
        <v>&lt;ruby&gt;地帯&lt;rt&gt;ちたい&lt;/rt&gt;&lt;/ruby&gt;&lt;br&gt;&lt;div class="audio"&gt;[sound:ちたい.mp3]&lt;/div&gt;</v>
      </c>
      <c r="H3195" s="3" t="str">
        <f t="shared" si="1"/>
        <v>(n): vùng</v>
      </c>
      <c r="I3195" s="6" t="s">
        <v>17429</v>
      </c>
      <c r="J3195" s="6" t="s">
        <v>17430</v>
      </c>
      <c r="K3195" s="7">
        <f t="shared" si="2"/>
        <v>0.1446946668</v>
      </c>
    </row>
    <row r="3196">
      <c r="A3196" s="4">
        <v>3196.0</v>
      </c>
      <c r="B3196" s="5" t="s">
        <v>17431</v>
      </c>
      <c r="C3196" s="5" t="s">
        <v>17432</v>
      </c>
      <c r="D3196" s="5" t="s">
        <v>17433</v>
      </c>
      <c r="E3196" s="6" t="s">
        <v>74</v>
      </c>
      <c r="F3196" s="6" t="s">
        <v>17434</v>
      </c>
      <c r="G3196" s="3" t="str">
        <f>IFERROR(__xludf.DUMMYFUNCTION("REGEXREPLACE(
D3196,
""([一-龯々]+)\[([^\]]+)\]"",
""&lt;ruby&gt;$1&lt;rt&gt;$2&lt;/rt&gt;&lt;/ruby&gt;""
)&amp;""&lt;br&gt;&lt;div class=""""audio""""&gt;[sound:""&amp;C3196&amp;"".mp3]&lt;/div&gt;"""),"&lt;ruby&gt;村&lt;rt&gt;むら&lt;/rt&gt;&lt;/ruby&gt;&lt;br&gt;&lt;div class=""audio""&gt;[sound:むら.mp3]&lt;/div&gt;")</f>
        <v>&lt;ruby&gt;村&lt;rt&gt;むら&lt;/rt&gt;&lt;/ruby&gt;&lt;br&gt;&lt;div class="audio"&gt;[sound:むら.mp3]&lt;/div&gt;</v>
      </c>
      <c r="H3196" s="3" t="str">
        <f t="shared" si="1"/>
        <v>(n): làng</v>
      </c>
      <c r="I3196" s="6" t="s">
        <v>17435</v>
      </c>
      <c r="J3196" s="6" t="s">
        <v>17436</v>
      </c>
      <c r="K3196" s="7">
        <f t="shared" si="2"/>
        <v>0.9089560902</v>
      </c>
    </row>
    <row r="3197">
      <c r="A3197" s="4">
        <v>3197.0</v>
      </c>
      <c r="B3197" s="5" t="s">
        <v>17437</v>
      </c>
      <c r="C3197" s="5" t="s">
        <v>17437</v>
      </c>
      <c r="D3197" s="5" t="s">
        <v>17437</v>
      </c>
      <c r="E3197" s="6" t="s">
        <v>74</v>
      </c>
      <c r="F3197" s="6" t="s">
        <v>17438</v>
      </c>
      <c r="G3197" s="3" t="str">
        <f>IFERROR(__xludf.DUMMYFUNCTION("REGEXREPLACE(
D3197,
""([一-龯々]+)\[([^\]]+)\]"",
""&lt;ruby&gt;$1&lt;rt&gt;$2&lt;/rt&gt;&lt;/ruby&gt;""
)&amp;""&lt;br&gt;&lt;div class=""""audio""""&gt;[sound:""&amp;C3197&amp;"".mp3]&lt;/div&gt;"""),"いたずら&lt;br&gt;&lt;div class=""audio""&gt;[sound:いたずら.mp3]&lt;/div&gt;")</f>
        <v>いたずら&lt;br&gt;&lt;div class="audio"&gt;[sound:いたずら.mp3]&lt;/div&gt;</v>
      </c>
      <c r="H3197" s="3" t="str">
        <f t="shared" si="1"/>
        <v>(n): trò nghịch ngợm</v>
      </c>
      <c r="I3197" s="6" t="s">
        <v>17439</v>
      </c>
      <c r="J3197" s="6" t="s">
        <v>17440</v>
      </c>
      <c r="K3197" s="7">
        <f t="shared" si="2"/>
        <v>0.637280928</v>
      </c>
    </row>
    <row r="3198">
      <c r="A3198" s="4">
        <v>3198.0</v>
      </c>
      <c r="B3198" s="5" t="s">
        <v>17441</v>
      </c>
      <c r="C3198" s="5" t="s">
        <v>17442</v>
      </c>
      <c r="D3198" s="5" t="s">
        <v>17443</v>
      </c>
      <c r="E3198" s="6" t="s">
        <v>74</v>
      </c>
      <c r="F3198" s="6" t="s">
        <v>6656</v>
      </c>
      <c r="G3198" s="3" t="str">
        <f>IFERROR(__xludf.DUMMYFUNCTION("REGEXREPLACE(
D3198,
""([一-龯々]+)\[([^\]]+)\]"",
""&lt;ruby&gt;$1&lt;rt&gt;$2&lt;/rt&gt;&lt;/ruby&gt;""
)&amp;""&lt;br&gt;&lt;div class=""""audio""""&gt;[sound:""&amp;C3198&amp;"".mp3]&lt;/div&gt;"""),"&lt;ruby&gt;主役&lt;rt&gt;しゅやく&lt;/rt&gt;&lt;/ruby&gt;&lt;br&gt;&lt;div class=""audio""&gt;[sound:しゅやく.mp3]&lt;/div&gt;")</f>
        <v>&lt;ruby&gt;主役&lt;rt&gt;しゅやく&lt;/rt&gt;&lt;/ruby&gt;&lt;br&gt;&lt;div class="audio"&gt;[sound:しゅやく.mp3]&lt;/div&gt;</v>
      </c>
      <c r="H3198" s="3" t="str">
        <f t="shared" si="1"/>
        <v>(n): nhân vật chính</v>
      </c>
      <c r="I3198" s="6" t="s">
        <v>17444</v>
      </c>
      <c r="J3198" s="6" t="s">
        <v>17445</v>
      </c>
      <c r="K3198" s="7">
        <f t="shared" si="2"/>
        <v>0.006940199541</v>
      </c>
    </row>
    <row r="3199">
      <c r="A3199" s="4">
        <v>3199.0</v>
      </c>
      <c r="B3199" s="5" t="s">
        <v>17446</v>
      </c>
      <c r="C3199" s="5" t="s">
        <v>17447</v>
      </c>
      <c r="D3199" s="5" t="s">
        <v>17448</v>
      </c>
      <c r="E3199" s="6" t="s">
        <v>74</v>
      </c>
      <c r="F3199" s="6" t="s">
        <v>17449</v>
      </c>
      <c r="G3199" s="3" t="str">
        <f>IFERROR(__xludf.DUMMYFUNCTION("REGEXREPLACE(
D3199,
""([一-龯々]+)\[([^\]]+)\]"",
""&lt;ruby&gt;$1&lt;rt&gt;$2&lt;/rt&gt;&lt;/ruby&gt;""
)&amp;""&lt;br&gt;&lt;div class=""""audio""""&gt;[sound:""&amp;C3199&amp;"".mp3]&lt;/div&gt;"""),"&lt;ruby&gt;禁煙&lt;rt&gt;きんえん&lt;/rt&gt;&lt;/ruby&gt;&lt;br&gt;&lt;div class=""audio""&gt;[sound:きんえん.mp3]&lt;/div&gt;")</f>
        <v>&lt;ruby&gt;禁煙&lt;rt&gt;きんえん&lt;/rt&gt;&lt;/ruby&gt;&lt;br&gt;&lt;div class="audio"&gt;[sound:きんえん.mp3]&lt;/div&gt;</v>
      </c>
      <c r="H3199" s="3" t="str">
        <f t="shared" si="1"/>
        <v>(n): cấm hút thuốc</v>
      </c>
      <c r="I3199" s="6" t="s">
        <v>17450</v>
      </c>
      <c r="J3199" s="6" t="s">
        <v>17451</v>
      </c>
      <c r="K3199" s="7">
        <f t="shared" si="2"/>
        <v>0.6792096369</v>
      </c>
    </row>
    <row r="3200">
      <c r="A3200" s="4">
        <v>3200.0</v>
      </c>
      <c r="B3200" s="5" t="s">
        <v>17452</v>
      </c>
      <c r="C3200" s="5" t="s">
        <v>17453</v>
      </c>
      <c r="D3200" s="5" t="s">
        <v>17454</v>
      </c>
      <c r="E3200" s="6" t="s">
        <v>74</v>
      </c>
      <c r="F3200" s="6" t="s">
        <v>17455</v>
      </c>
      <c r="G3200" s="3" t="str">
        <f>IFERROR(__xludf.DUMMYFUNCTION("REGEXREPLACE(
D3200,
""([一-龯々]+)\[([^\]]+)\]"",
""&lt;ruby&gt;$1&lt;rt&gt;$2&lt;/rt&gt;&lt;/ruby&gt;""
)&amp;""&lt;br&gt;&lt;div class=""""audio""""&gt;[sound:""&amp;C3200&amp;"".mp3]&lt;/div&gt;"""),"&lt;ruby&gt;野党&lt;rt&gt;やとう&lt;/rt&gt;&lt;/ruby&gt;&lt;br&gt;&lt;div class=""audio""&gt;[sound:やとう.mp3]&lt;/div&gt;")</f>
        <v>&lt;ruby&gt;野党&lt;rt&gt;やとう&lt;/rt&gt;&lt;/ruby&gt;&lt;br&gt;&lt;div class="audio"&gt;[sound:やとう.mp3]&lt;/div&gt;</v>
      </c>
      <c r="H3200" s="3" t="str">
        <f t="shared" si="1"/>
        <v>(n): đảng đối lập</v>
      </c>
      <c r="I3200" s="6" t="s">
        <v>17456</v>
      </c>
      <c r="J3200" s="6" t="s">
        <v>17457</v>
      </c>
      <c r="K3200" s="7">
        <f t="shared" si="2"/>
        <v>0.176381298</v>
      </c>
    </row>
    <row r="3201">
      <c r="A3201" s="4">
        <v>3201.0</v>
      </c>
      <c r="B3201" s="5" t="s">
        <v>17458</v>
      </c>
      <c r="C3201" s="5" t="s">
        <v>17459</v>
      </c>
      <c r="D3201" s="5" t="s">
        <v>17458</v>
      </c>
      <c r="E3201" s="6" t="s">
        <v>74</v>
      </c>
      <c r="F3201" s="6" t="s">
        <v>17460</v>
      </c>
      <c r="G3201" s="3" t="str">
        <f>IFERROR(__xludf.DUMMYFUNCTION("REGEXREPLACE(
D3201,
""([一-龯々]+)\[([^\]]+)\]"",
""&lt;ruby&gt;$1&lt;rt&gt;$2&lt;/rt&gt;&lt;/ruby&gt;""
)&amp;""&lt;br&gt;&lt;div class=""""audio""""&gt;[sound:""&amp;C3201&amp;"".mp3]&lt;/div&gt;"""),"スライド&lt;br&gt;&lt;div class=""audio""&gt;[sound:すらいど.mp3]&lt;/div&gt;")</f>
        <v>スライド&lt;br&gt;&lt;div class="audio"&gt;[sound:すらいど.mp3]&lt;/div&gt;</v>
      </c>
      <c r="H3201" s="3" t="str">
        <f t="shared" si="1"/>
        <v>(n): trang slide</v>
      </c>
      <c r="I3201" s="6" t="s">
        <v>17461</v>
      </c>
      <c r="J3201" s="6" t="s">
        <v>17462</v>
      </c>
      <c r="K3201" s="7">
        <f t="shared" si="2"/>
        <v>0.04095775642</v>
      </c>
    </row>
    <row r="3202">
      <c r="A3202" s="4">
        <v>3202.0</v>
      </c>
      <c r="B3202" s="5" t="s">
        <v>17463</v>
      </c>
      <c r="C3202" s="5" t="s">
        <v>17464</v>
      </c>
      <c r="D3202" s="5" t="s">
        <v>17465</v>
      </c>
      <c r="E3202" s="6" t="s">
        <v>11</v>
      </c>
      <c r="F3202" s="6" t="s">
        <v>12388</v>
      </c>
      <c r="G3202" s="3" t="str">
        <f>IFERROR(__xludf.DUMMYFUNCTION("REGEXREPLACE(
D3202,
""([一-龯々]+)\[([^\]]+)\]"",
""&lt;ruby&gt;$1&lt;rt&gt;$2&lt;/rt&gt;&lt;/ruby&gt;""
)&amp;""&lt;br&gt;&lt;div class=""""audio""""&gt;[sound:""&amp;C3202&amp;"".mp3]&lt;/div&gt;"""),"&lt;ruby&gt;急速&lt;rt&gt;きゅうそく&lt;/rt&gt;&lt;/ruby&gt;&lt;br&gt;&lt;div class=""audio""&gt;[sound:きゅうそく.mp3]&lt;/div&gt;")</f>
        <v>&lt;ruby&gt;急速&lt;rt&gt;きゅうそく&lt;/rt&gt;&lt;/ruby&gt;&lt;br&gt;&lt;div class="audio"&gt;[sound:きゅうそく.mp3]&lt;/div&gt;</v>
      </c>
      <c r="H3202" s="3" t="str">
        <f t="shared" si="1"/>
        <v>(adj): nhanh chóng</v>
      </c>
      <c r="I3202" s="6" t="s">
        <v>17466</v>
      </c>
      <c r="J3202" s="6" t="s">
        <v>17467</v>
      </c>
      <c r="K3202" s="7">
        <f t="shared" si="2"/>
        <v>0.2770728522</v>
      </c>
    </row>
    <row r="3203">
      <c r="A3203" s="4">
        <v>3203.0</v>
      </c>
      <c r="B3203" s="5" t="s">
        <v>17468</v>
      </c>
      <c r="C3203" s="5" t="s">
        <v>17469</v>
      </c>
      <c r="D3203" s="5" t="s">
        <v>17470</v>
      </c>
      <c r="E3203" s="6" t="s">
        <v>74</v>
      </c>
      <c r="F3203" s="6" t="s">
        <v>2397</v>
      </c>
      <c r="G3203" s="3" t="str">
        <f>IFERROR(__xludf.DUMMYFUNCTION("REGEXREPLACE(
D3203,
""([一-龯々]+)\[([^\]]+)\]"",
""&lt;ruby&gt;$1&lt;rt&gt;$2&lt;/rt&gt;&lt;/ruby&gt;""
)&amp;""&lt;br&gt;&lt;div class=""""audio""""&gt;[sound:""&amp;C3203&amp;"".mp3]&lt;/div&gt;"""),"&lt;ruby&gt;手洗&lt;rt&gt;てあら&lt;/rt&gt;&lt;/ruby&gt;い&lt;br&gt;&lt;div class=""audio""&gt;[sound:てあらい.mp3]&lt;/div&gt;")</f>
        <v>&lt;ruby&gt;手洗&lt;rt&gt;てあら&lt;/rt&gt;&lt;/ruby&gt;い&lt;br&gt;&lt;div class="audio"&gt;[sound:てあらい.mp3]&lt;/div&gt;</v>
      </c>
      <c r="H3203" s="3" t="str">
        <f t="shared" si="1"/>
        <v>(n): nhà vệ sinh</v>
      </c>
      <c r="I3203" s="6" t="s">
        <v>17471</v>
      </c>
      <c r="J3203" s="6" t="s">
        <v>5193</v>
      </c>
      <c r="K3203" s="7">
        <f t="shared" si="2"/>
        <v>0.514717573</v>
      </c>
    </row>
    <row r="3204">
      <c r="A3204" s="4">
        <v>3204.0</v>
      </c>
      <c r="B3204" s="5" t="s">
        <v>17472</v>
      </c>
      <c r="C3204" s="5" t="s">
        <v>17473</v>
      </c>
      <c r="D3204" s="5" t="s">
        <v>17474</v>
      </c>
      <c r="E3204" s="6" t="s">
        <v>74</v>
      </c>
      <c r="F3204" s="6" t="s">
        <v>17475</v>
      </c>
      <c r="G3204" s="3" t="str">
        <f>IFERROR(__xludf.DUMMYFUNCTION("REGEXREPLACE(
D3204,
""([一-龯々]+)\[([^\]]+)\]"",
""&lt;ruby&gt;$1&lt;rt&gt;$2&lt;/rt&gt;&lt;/ruby&gt;""
)&amp;""&lt;br&gt;&lt;div class=""""audio""""&gt;[sound:""&amp;C3204&amp;"".mp3]&lt;/div&gt;"""),"&lt;ruby&gt;遅&lt;rt&gt;おく&lt;/rt&gt;&lt;/ruby&gt;れ&lt;br&gt;&lt;div class=""audio""&gt;[sound:おくれ.mp3]&lt;/div&gt;")</f>
        <v>&lt;ruby&gt;遅&lt;rt&gt;おく&lt;/rt&gt;&lt;/ruby&gt;れ&lt;br&gt;&lt;div class="audio"&gt;[sound:おくれ.mp3]&lt;/div&gt;</v>
      </c>
      <c r="H3204" s="3" t="str">
        <f t="shared" si="1"/>
        <v>(n): sự chậm trễ</v>
      </c>
      <c r="I3204" s="6" t="s">
        <v>17476</v>
      </c>
      <c r="J3204" s="6" t="s">
        <v>17477</v>
      </c>
      <c r="K3204" s="7">
        <f t="shared" si="2"/>
        <v>0.08193804194</v>
      </c>
    </row>
    <row r="3205">
      <c r="A3205" s="4">
        <v>3205.0</v>
      </c>
      <c r="B3205" s="5" t="s">
        <v>17478</v>
      </c>
      <c r="C3205" s="5" t="s">
        <v>17479</v>
      </c>
      <c r="D3205" s="5" t="s">
        <v>17478</v>
      </c>
      <c r="E3205" s="6" t="s">
        <v>11</v>
      </c>
      <c r="F3205" s="6" t="s">
        <v>17480</v>
      </c>
      <c r="G3205" s="3" t="str">
        <f>IFERROR(__xludf.DUMMYFUNCTION("REGEXREPLACE(
D3205,
""([一-龯々]+)\[([^\]]+)\]"",
""&lt;ruby&gt;$1&lt;rt&gt;$2&lt;/rt&gt;&lt;/ruby&gt;""
)&amp;""&lt;br&gt;&lt;div class=""""audio""""&gt;[sound:""&amp;C3205&amp;"".mp3]&lt;/div&gt;"""),"スマート&lt;br&gt;&lt;div class=""audio""&gt;[sound:すまーと.mp3]&lt;/div&gt;")</f>
        <v>スマート&lt;br&gt;&lt;div class="audio"&gt;[sound:すまーと.mp3]&lt;/div&gt;</v>
      </c>
      <c r="H3205" s="3" t="str">
        <f t="shared" si="1"/>
        <v>(adj): thông minh</v>
      </c>
      <c r="I3205" s="6" t="s">
        <v>17481</v>
      </c>
      <c r="J3205" s="6" t="s">
        <v>17482</v>
      </c>
      <c r="K3205" s="7">
        <f t="shared" si="2"/>
        <v>0.9671412601</v>
      </c>
    </row>
    <row r="3206">
      <c r="A3206" s="4">
        <v>3206.0</v>
      </c>
      <c r="B3206" s="5" t="s">
        <v>17483</v>
      </c>
      <c r="C3206" s="5" t="s">
        <v>17484</v>
      </c>
      <c r="D3206" s="5" t="s">
        <v>17485</v>
      </c>
      <c r="E3206" s="6" t="s">
        <v>74</v>
      </c>
      <c r="F3206" s="6" t="s">
        <v>17486</v>
      </c>
      <c r="G3206" s="3" t="str">
        <f>IFERROR(__xludf.DUMMYFUNCTION("REGEXREPLACE(
D3206,
""([一-龯々]+)\[([^\]]+)\]"",
""&lt;ruby&gt;$1&lt;rt&gt;$2&lt;/rt&gt;&lt;/ruby&gt;""
)&amp;""&lt;br&gt;&lt;div class=""""audio""""&gt;[sound:""&amp;C3206&amp;"".mp3]&lt;/div&gt;"""),"&lt;ruby&gt;屋外&lt;rt&gt;おくがい&lt;/rt&gt;&lt;/ruby&gt;&lt;br&gt;&lt;div class=""audio""&gt;[sound:おくがい.mp3]&lt;/div&gt;")</f>
        <v>&lt;ruby&gt;屋外&lt;rt&gt;おくがい&lt;/rt&gt;&lt;/ruby&gt;&lt;br&gt;&lt;div class="audio"&gt;[sound:おくがい.mp3]&lt;/div&gt;</v>
      </c>
      <c r="H3206" s="3" t="str">
        <f t="shared" si="1"/>
        <v>(n): ngoài trời</v>
      </c>
      <c r="I3206" s="6" t="s">
        <v>17487</v>
      </c>
      <c r="J3206" s="6" t="s">
        <v>17488</v>
      </c>
      <c r="K3206" s="7">
        <f t="shared" si="2"/>
        <v>0.7925852858</v>
      </c>
    </row>
    <row r="3207">
      <c r="A3207" s="4">
        <v>3207.0</v>
      </c>
      <c r="B3207" s="5" t="s">
        <v>17489</v>
      </c>
      <c r="C3207" s="5" t="s">
        <v>17490</v>
      </c>
      <c r="D3207" s="5" t="s">
        <v>17491</v>
      </c>
      <c r="E3207" s="6" t="s">
        <v>74</v>
      </c>
      <c r="F3207" s="6" t="s">
        <v>5806</v>
      </c>
      <c r="G3207" s="3" t="str">
        <f>IFERROR(__xludf.DUMMYFUNCTION("REGEXREPLACE(
D3207,
""([一-龯々]+)\[([^\]]+)\]"",
""&lt;ruby&gt;$1&lt;rt&gt;$2&lt;/rt&gt;&lt;/ruby&gt;""
)&amp;""&lt;br&gt;&lt;div class=""""audio""""&gt;[sound:""&amp;C3207&amp;"".mp3]&lt;/div&gt;"""),"&lt;ruby&gt;輸送&lt;rt&gt;ゆそう&lt;/rt&gt;&lt;/ruby&gt;&lt;br&gt;&lt;div class=""audio""&gt;[sound:ゆそう.mp3]&lt;/div&gt;")</f>
        <v>&lt;ruby&gt;輸送&lt;rt&gt;ゆそう&lt;/rt&gt;&lt;/ruby&gt;&lt;br&gt;&lt;div class="audio"&gt;[sound:ゆそう.mp3]&lt;/div&gt;</v>
      </c>
      <c r="H3207" s="3" t="str">
        <f t="shared" si="1"/>
        <v>(n): vận chuyển</v>
      </c>
      <c r="I3207" s="6" t="s">
        <v>17492</v>
      </c>
      <c r="J3207" s="6" t="s">
        <v>15547</v>
      </c>
      <c r="K3207" s="7">
        <f t="shared" si="2"/>
        <v>0.1682471599</v>
      </c>
    </row>
    <row r="3208">
      <c r="A3208" s="4">
        <v>3208.0</v>
      </c>
      <c r="B3208" s="5" t="s">
        <v>17493</v>
      </c>
      <c r="C3208" s="5" t="s">
        <v>17494</v>
      </c>
      <c r="D3208" s="5" t="s">
        <v>17495</v>
      </c>
      <c r="E3208" s="6" t="s">
        <v>74</v>
      </c>
      <c r="F3208" s="6" t="s">
        <v>17496</v>
      </c>
      <c r="G3208" s="3" t="str">
        <f>IFERROR(__xludf.DUMMYFUNCTION("REGEXREPLACE(
D3208,
""([一-龯々]+)\[([^\]]+)\]"",
""&lt;ruby&gt;$1&lt;rt&gt;$2&lt;/rt&gt;&lt;/ruby&gt;""
)&amp;""&lt;br&gt;&lt;div class=""""audio""""&gt;[sound:""&amp;C3208&amp;"".mp3]&lt;/div&gt;"""),"&lt;ruby&gt;遠慮&lt;rt&gt;えんりょ&lt;/rt&gt;&lt;/ruby&gt;&lt;br&gt;&lt;div class=""audio""&gt;[sound:えんりょ.mp3]&lt;/div&gt;")</f>
        <v>&lt;ruby&gt;遠慮&lt;rt&gt;えんりょ&lt;/rt&gt;&lt;/ruby&gt;&lt;br&gt;&lt;div class="audio"&gt;[sound:えんりょ.mp3]&lt;/div&gt;</v>
      </c>
      <c r="H3208" s="3" t="str">
        <f t="shared" si="1"/>
        <v>(n): ngại ngùng</v>
      </c>
      <c r="I3208" s="6" t="s">
        <v>17497</v>
      </c>
      <c r="J3208" s="6" t="s">
        <v>17498</v>
      </c>
      <c r="K3208" s="7">
        <f t="shared" si="2"/>
        <v>0.7443474052</v>
      </c>
    </row>
    <row r="3209">
      <c r="A3209" s="4">
        <v>3209.0</v>
      </c>
      <c r="B3209" s="5" t="s">
        <v>17499</v>
      </c>
      <c r="C3209" s="5" t="s">
        <v>17500</v>
      </c>
      <c r="D3209" s="5" t="s">
        <v>17501</v>
      </c>
      <c r="E3209" s="6" t="s">
        <v>24</v>
      </c>
      <c r="F3209" s="6" t="s">
        <v>17502</v>
      </c>
      <c r="G3209" s="3" t="str">
        <f>IFERROR(__xludf.DUMMYFUNCTION("REGEXREPLACE(
D3209,
""([一-龯々]+)\[([^\]]+)\]"",
""&lt;ruby&gt;$1&lt;rt&gt;$2&lt;/rt&gt;&lt;/ruby&gt;""
)&amp;""&lt;br&gt;&lt;div class=""""audio""""&gt;[sound:""&amp;C3209&amp;"".mp3]&lt;/div&gt;"""),"&lt;ruby&gt;並行&lt;rt&gt;へいこう&lt;/rt&gt;&lt;/ruby&gt;&lt;br&gt;&lt;div class=""audio""&gt;[sound:へいこう.mp3]&lt;/div&gt;")</f>
        <v>&lt;ruby&gt;並行&lt;rt&gt;へいこう&lt;/rt&gt;&lt;/ruby&gt;&lt;br&gt;&lt;div class="audio"&gt;[sound:へいこう.mp3]&lt;/div&gt;</v>
      </c>
      <c r="H3209" s="3" t="str">
        <f t="shared" si="1"/>
        <v>(v): song song</v>
      </c>
      <c r="I3209" s="6" t="s">
        <v>17503</v>
      </c>
      <c r="J3209" s="6" t="s">
        <v>17504</v>
      </c>
      <c r="K3209" s="7">
        <f t="shared" si="2"/>
        <v>0.06191120013</v>
      </c>
    </row>
    <row r="3210">
      <c r="A3210" s="4">
        <v>3210.0</v>
      </c>
      <c r="B3210" s="5" t="s">
        <v>17505</v>
      </c>
      <c r="C3210" s="5" t="s">
        <v>17506</v>
      </c>
      <c r="D3210" s="5" t="s">
        <v>17507</v>
      </c>
      <c r="E3210" s="6" t="s">
        <v>74</v>
      </c>
      <c r="F3210" s="6" t="s">
        <v>17508</v>
      </c>
      <c r="G3210" s="3" t="str">
        <f>IFERROR(__xludf.DUMMYFUNCTION("REGEXREPLACE(
D3210,
""([一-龯々]+)\[([^\]]+)\]"",
""&lt;ruby&gt;$1&lt;rt&gt;$2&lt;/rt&gt;&lt;/ruby&gt;""
)&amp;""&lt;br&gt;&lt;div class=""""audio""""&gt;[sound:""&amp;C3210&amp;"".mp3]&lt;/div&gt;"""),"&lt;ruby&gt;会議室&lt;rt&gt;かいぎしつ&lt;/rt&gt;&lt;/ruby&gt;&lt;br&gt;&lt;div class=""audio""&gt;[sound:かいぎしつ.mp3]&lt;/div&gt;")</f>
        <v>&lt;ruby&gt;会議室&lt;rt&gt;かいぎしつ&lt;/rt&gt;&lt;/ruby&gt;&lt;br&gt;&lt;div class="audio"&gt;[sound:かいぎしつ.mp3]&lt;/div&gt;</v>
      </c>
      <c r="H3210" s="3" t="str">
        <f t="shared" si="1"/>
        <v>(n): phòng họp</v>
      </c>
      <c r="I3210" s="6" t="s">
        <v>17509</v>
      </c>
      <c r="J3210" s="6" t="s">
        <v>17510</v>
      </c>
      <c r="K3210" s="7">
        <f t="shared" si="2"/>
        <v>0.1547818944</v>
      </c>
    </row>
    <row r="3211">
      <c r="A3211" s="4">
        <v>3211.0</v>
      </c>
      <c r="B3211" s="5" t="s">
        <v>17511</v>
      </c>
      <c r="C3211" s="5" t="s">
        <v>17512</v>
      </c>
      <c r="D3211" s="5" t="s">
        <v>17513</v>
      </c>
      <c r="E3211" s="6" t="s">
        <v>24</v>
      </c>
      <c r="F3211" s="6" t="s">
        <v>17514</v>
      </c>
      <c r="G3211" s="3" t="str">
        <f>IFERROR(__xludf.DUMMYFUNCTION("REGEXREPLACE(
D3211,
""([一-龯々]+)\[([^\]]+)\]"",
""&lt;ruby&gt;$1&lt;rt&gt;$2&lt;/rt&gt;&lt;/ruby&gt;""
)&amp;""&lt;br&gt;&lt;div class=""""audio""""&gt;[sound:""&amp;C3211&amp;"".mp3]&lt;/div&gt;"""),"&lt;ruby&gt;解&lt;rt&gt;と&lt;/rt&gt;&lt;/ruby&gt;ける&lt;br&gt;&lt;div class=""audio""&gt;[sound:とける.mp3]&lt;/div&gt;")</f>
        <v>&lt;ruby&gt;解&lt;rt&gt;と&lt;/rt&gt;&lt;/ruby&gt;ける&lt;br&gt;&lt;div class="audio"&gt;[sound:とける.mp3]&lt;/div&gt;</v>
      </c>
      <c r="H3211" s="3" t="str">
        <f t="shared" si="1"/>
        <v>(v): được giải</v>
      </c>
      <c r="I3211" s="6" t="s">
        <v>17515</v>
      </c>
      <c r="J3211" s="6" t="s">
        <v>17516</v>
      </c>
      <c r="K3211" s="7">
        <f t="shared" si="2"/>
        <v>0.8303676665</v>
      </c>
    </row>
    <row r="3212">
      <c r="A3212" s="4">
        <v>3212.0</v>
      </c>
      <c r="B3212" s="5" t="s">
        <v>17517</v>
      </c>
      <c r="C3212" s="5" t="s">
        <v>17518</v>
      </c>
      <c r="D3212" s="5" t="s">
        <v>17519</v>
      </c>
      <c r="E3212" s="6" t="s">
        <v>74</v>
      </c>
      <c r="F3212" s="6" t="s">
        <v>17520</v>
      </c>
      <c r="G3212" s="3" t="str">
        <f>IFERROR(__xludf.DUMMYFUNCTION("REGEXREPLACE(
D3212,
""([一-龯々]+)\[([^\]]+)\]"",
""&lt;ruby&gt;$1&lt;rt&gt;$2&lt;/rt&gt;&lt;/ruby&gt;""
)&amp;""&lt;br&gt;&lt;div class=""""audio""""&gt;[sound:""&amp;C3212&amp;"".mp3]&lt;/div&gt;"""),"&lt;ruby&gt;野&lt;rt&gt;の&lt;/rt&gt;&lt;/ruby&gt;&lt;br&gt;&lt;div class=""audio""&gt;[sound:の.mp3]&lt;/div&gt;")</f>
        <v>&lt;ruby&gt;野&lt;rt&gt;の&lt;/rt&gt;&lt;/ruby&gt;&lt;br&gt;&lt;div class="audio"&gt;[sound:の.mp3]&lt;/div&gt;</v>
      </c>
      <c r="H3212" s="3" t="str">
        <f t="shared" si="1"/>
        <v>(n): cánh đồng</v>
      </c>
      <c r="I3212" s="6" t="s">
        <v>17521</v>
      </c>
      <c r="J3212" s="6" t="s">
        <v>17522</v>
      </c>
      <c r="K3212" s="7">
        <f t="shared" si="2"/>
        <v>0.6253437227</v>
      </c>
    </row>
    <row r="3213">
      <c r="A3213" s="4">
        <v>3213.0</v>
      </c>
      <c r="B3213" s="5" t="s">
        <v>17523</v>
      </c>
      <c r="C3213" s="5" t="s">
        <v>17523</v>
      </c>
      <c r="D3213" s="5" t="s">
        <v>17523</v>
      </c>
      <c r="E3213" s="6" t="s">
        <v>11</v>
      </c>
      <c r="F3213" s="6" t="s">
        <v>17524</v>
      </c>
      <c r="G3213" s="3" t="str">
        <f>IFERROR(__xludf.DUMMYFUNCTION("REGEXREPLACE(
D3213,
""([一-龯々]+)\[([^\]]+)\]"",
""&lt;ruby&gt;$1&lt;rt&gt;$2&lt;/rt&gt;&lt;/ruby&gt;""
)&amp;""&lt;br&gt;&lt;div class=""""audio""""&gt;[sound:""&amp;C3213&amp;"".mp3]&lt;/div&gt;"""),"くだらない&lt;br&gt;&lt;div class=""audio""&gt;[sound:くだらない.mp3]&lt;/div&gt;")</f>
        <v>くだらない&lt;br&gt;&lt;div class="audio"&gt;[sound:くだらない.mp3]&lt;/div&gt;</v>
      </c>
      <c r="H3213" s="3" t="str">
        <f t="shared" si="1"/>
        <v>(adj): vô nghĩa</v>
      </c>
      <c r="I3213" s="6" t="s">
        <v>17525</v>
      </c>
      <c r="J3213" s="6" t="s">
        <v>17526</v>
      </c>
      <c r="K3213" s="7">
        <f t="shared" si="2"/>
        <v>0.6308271274</v>
      </c>
    </row>
    <row r="3214">
      <c r="A3214" s="4">
        <v>3214.0</v>
      </c>
      <c r="B3214" s="5" t="s">
        <v>17527</v>
      </c>
      <c r="C3214" s="5" t="s">
        <v>17528</v>
      </c>
      <c r="D3214" s="5" t="s">
        <v>17529</v>
      </c>
      <c r="E3214" s="6" t="s">
        <v>74</v>
      </c>
      <c r="F3214" s="6" t="s">
        <v>3144</v>
      </c>
      <c r="G3214" s="3" t="str">
        <f>IFERROR(__xludf.DUMMYFUNCTION("REGEXREPLACE(
D3214,
""([一-龯々]+)\[([^\]]+)\]"",
""&lt;ruby&gt;$1&lt;rt&gt;$2&lt;/rt&gt;&lt;/ruby&gt;""
)&amp;""&lt;br&gt;&lt;div class=""""audio""""&gt;[sound:""&amp;C3214&amp;"".mp3]&lt;/div&gt;"""),"&lt;ruby&gt;切&lt;rt&gt;き&lt;/rt&gt;&lt;/ruby&gt;り&lt;br&gt;&lt;div class=""audio""&gt;[sound:きり.mp3]&lt;/div&gt;")</f>
        <v>&lt;ruby&gt;切&lt;rt&gt;き&lt;/rt&gt;&lt;/ruby&gt;り&lt;br&gt;&lt;div class="audio"&gt;[sound:きり.mp3]&lt;/div&gt;</v>
      </c>
      <c r="H3214" s="3" t="str">
        <f t="shared" si="1"/>
        <v>(n): giới hạn</v>
      </c>
      <c r="I3214" s="6" t="s">
        <v>17530</v>
      </c>
      <c r="J3214" s="6" t="s">
        <v>3647</v>
      </c>
      <c r="K3214" s="7">
        <f t="shared" si="2"/>
        <v>0.05475054665</v>
      </c>
    </row>
    <row r="3215">
      <c r="A3215" s="4">
        <v>3215.0</v>
      </c>
      <c r="B3215" s="5" t="s">
        <v>17531</v>
      </c>
      <c r="C3215" s="5" t="s">
        <v>17532</v>
      </c>
      <c r="D3215" s="5" t="s">
        <v>17533</v>
      </c>
      <c r="E3215" s="6" t="s">
        <v>74</v>
      </c>
      <c r="F3215" s="6" t="s">
        <v>17534</v>
      </c>
      <c r="G3215" s="3" t="str">
        <f>IFERROR(__xludf.DUMMYFUNCTION("REGEXREPLACE(
D3215,
""([一-龯々]+)\[([^\]]+)\]"",
""&lt;ruby&gt;$1&lt;rt&gt;$2&lt;/rt&gt;&lt;/ruby&gt;""
)&amp;""&lt;br&gt;&lt;div class=""""audio""""&gt;[sound:""&amp;C3215&amp;"".mp3]&lt;/div&gt;"""),"&lt;ruby&gt;情&lt;rt&gt;じょう&lt;/rt&gt;&lt;/ruby&gt;&lt;br&gt;&lt;div class=""audio""&gt;[sound:じょう.mp3]&lt;/div&gt;")</f>
        <v>&lt;ruby&gt;情&lt;rt&gt;じょう&lt;/rt&gt;&lt;/ruby&gt;&lt;br&gt;&lt;div class="audio"&gt;[sound:じょう.mp3]&lt;/div&gt;</v>
      </c>
      <c r="H3215" s="3" t="str">
        <f t="shared" si="1"/>
        <v>(n): tình cảm</v>
      </c>
      <c r="I3215" s="6" t="s">
        <v>17535</v>
      </c>
      <c r="J3215" s="6" t="s">
        <v>17536</v>
      </c>
      <c r="K3215" s="7">
        <f t="shared" si="2"/>
        <v>0.4625091112</v>
      </c>
    </row>
    <row r="3216">
      <c r="A3216" s="4">
        <v>3216.0</v>
      </c>
      <c r="B3216" s="5" t="s">
        <v>17537</v>
      </c>
      <c r="C3216" s="5" t="s">
        <v>17538</v>
      </c>
      <c r="D3216" s="5" t="s">
        <v>17539</v>
      </c>
      <c r="E3216" s="6" t="s">
        <v>24</v>
      </c>
      <c r="F3216" s="6" t="s">
        <v>12803</v>
      </c>
      <c r="G3216" s="3" t="str">
        <f>IFERROR(__xludf.DUMMYFUNCTION("REGEXREPLACE(
D3216,
""([一-龯々]+)\[([^\]]+)\]"",
""&lt;ruby&gt;$1&lt;rt&gt;$2&lt;/rt&gt;&lt;/ruby&gt;""
)&amp;""&lt;br&gt;&lt;div class=""""audio""""&gt;[sound:""&amp;C3216&amp;"".mp3]&lt;/div&gt;"""),"&lt;ruby&gt;攻&lt;rt&gt;せ&lt;/rt&gt;&lt;/ruby&gt;める&lt;br&gt;&lt;div class=""audio""&gt;[sound:せめる.mp3]&lt;/div&gt;")</f>
        <v>&lt;ruby&gt;攻&lt;rt&gt;せ&lt;/rt&gt;&lt;/ruby&gt;める&lt;br&gt;&lt;div class="audio"&gt;[sound:せめる.mp3]&lt;/div&gt;</v>
      </c>
      <c r="H3216" s="3" t="str">
        <f t="shared" si="1"/>
        <v>(v): tấn công</v>
      </c>
      <c r="I3216" s="6" t="s">
        <v>17540</v>
      </c>
      <c r="J3216" s="6" t="s">
        <v>17541</v>
      </c>
      <c r="K3216" s="7">
        <f t="shared" si="2"/>
        <v>0.8255842699</v>
      </c>
    </row>
    <row r="3217">
      <c r="A3217" s="4">
        <v>3217.0</v>
      </c>
      <c r="B3217" s="5" t="s">
        <v>17542</v>
      </c>
      <c r="C3217" s="5" t="s">
        <v>17543</v>
      </c>
      <c r="D3217" s="5" t="s">
        <v>17544</v>
      </c>
      <c r="E3217" s="6" t="s">
        <v>74</v>
      </c>
      <c r="F3217" s="6" t="s">
        <v>13613</v>
      </c>
      <c r="G3217" s="3" t="str">
        <f>IFERROR(__xludf.DUMMYFUNCTION("REGEXREPLACE(
D3217,
""([一-龯々]+)\[([^\]]+)\]"",
""&lt;ruby&gt;$1&lt;rt&gt;$2&lt;/rt&gt;&lt;/ruby&gt;""
)&amp;""&lt;br&gt;&lt;div class=""""audio""""&gt;[sound:""&amp;C3217&amp;"".mp3]&lt;/div&gt;"""),"&lt;ruby&gt;貢献&lt;rt&gt;こうけん&lt;/rt&gt;&lt;/ruby&gt;&lt;br&gt;&lt;div class=""audio""&gt;[sound:こうけん.mp3]&lt;/div&gt;")</f>
        <v>&lt;ruby&gt;貢献&lt;rt&gt;こうけん&lt;/rt&gt;&lt;/ruby&gt;&lt;br&gt;&lt;div class="audio"&gt;[sound:こうけん.mp3]&lt;/div&gt;</v>
      </c>
      <c r="H3217" s="3" t="str">
        <f t="shared" si="1"/>
        <v>(n): đóng góp</v>
      </c>
      <c r="I3217" s="6" t="s">
        <v>17545</v>
      </c>
      <c r="J3217" s="6" t="s">
        <v>16622</v>
      </c>
      <c r="K3217" s="7">
        <f t="shared" si="2"/>
        <v>0.6760244964</v>
      </c>
    </row>
    <row r="3218">
      <c r="A3218" s="4">
        <v>3218.0</v>
      </c>
      <c r="B3218" s="5" t="s">
        <v>17546</v>
      </c>
      <c r="C3218" s="5" t="s">
        <v>28</v>
      </c>
      <c r="D3218" s="5" t="s">
        <v>17547</v>
      </c>
      <c r="E3218" s="6" t="s">
        <v>24</v>
      </c>
      <c r="F3218" s="6" t="s">
        <v>17548</v>
      </c>
      <c r="G3218" s="3" t="str">
        <f>IFERROR(__xludf.DUMMYFUNCTION("REGEXREPLACE(
D3218,
""([一-龯々]+)\[([^\]]+)\]"",
""&lt;ruby&gt;$1&lt;rt&gt;$2&lt;/rt&gt;&lt;/ruby&gt;""
)&amp;""&lt;br&gt;&lt;div class=""""audio""""&gt;[sound:""&amp;C3218&amp;"".mp3]&lt;/div&gt;"""),"&lt;ruby&gt;鳴&lt;rt&gt;な&lt;/rt&gt;&lt;/ruby&gt;る&lt;br&gt;&lt;div class=""audio""&gt;[sound:なる.mp3]&lt;/div&gt;")</f>
        <v>&lt;ruby&gt;鳴&lt;rt&gt;な&lt;/rt&gt;&lt;/ruby&gt;る&lt;br&gt;&lt;div class="audio"&gt;[sound:なる.mp3]&lt;/div&gt;</v>
      </c>
      <c r="H3218" s="3" t="str">
        <f t="shared" si="1"/>
        <v>(v): kêu vang</v>
      </c>
      <c r="I3218" s="6" t="s">
        <v>17549</v>
      </c>
      <c r="J3218" s="6" t="s">
        <v>17550</v>
      </c>
      <c r="K3218" s="7">
        <f t="shared" si="2"/>
        <v>0.07216235239</v>
      </c>
    </row>
    <row r="3219">
      <c r="A3219" s="4">
        <v>3219.0</v>
      </c>
      <c r="B3219" s="5" t="s">
        <v>17551</v>
      </c>
      <c r="C3219" s="5" t="s">
        <v>17552</v>
      </c>
      <c r="D3219" s="5" t="s">
        <v>17553</v>
      </c>
      <c r="E3219" s="6" t="s">
        <v>74</v>
      </c>
      <c r="F3219" s="6" t="s">
        <v>17554</v>
      </c>
      <c r="G3219" s="3" t="str">
        <f>IFERROR(__xludf.DUMMYFUNCTION("REGEXREPLACE(
D3219,
""([一-龯々]+)\[([^\]]+)\]"",
""&lt;ruby&gt;$1&lt;rt&gt;$2&lt;/rt&gt;&lt;/ruby&gt;""
)&amp;""&lt;br&gt;&lt;div class=""""audio""""&gt;[sound:""&amp;C3219&amp;"".mp3]&lt;/div&gt;"""),"&lt;ruby&gt;喉&lt;rt&gt;のど&lt;/rt&gt;&lt;/ruby&gt;&lt;br&gt;&lt;div class=""audio""&gt;[sound:のど.mp3]&lt;/div&gt;")</f>
        <v>&lt;ruby&gt;喉&lt;rt&gt;のど&lt;/rt&gt;&lt;/ruby&gt;&lt;br&gt;&lt;div class="audio"&gt;[sound:のど.mp3]&lt;/div&gt;</v>
      </c>
      <c r="H3219" s="3" t="str">
        <f t="shared" si="1"/>
        <v>(n): cổ họng</v>
      </c>
      <c r="I3219" s="6" t="s">
        <v>17555</v>
      </c>
      <c r="J3219" s="6" t="s">
        <v>17556</v>
      </c>
      <c r="K3219" s="7">
        <f t="shared" si="2"/>
        <v>0.03620171863</v>
      </c>
    </row>
    <row r="3220">
      <c r="A3220" s="4">
        <v>3220.0</v>
      </c>
      <c r="B3220" s="5" t="s">
        <v>17557</v>
      </c>
      <c r="C3220" s="5" t="s">
        <v>17558</v>
      </c>
      <c r="D3220" s="5" t="s">
        <v>17557</v>
      </c>
      <c r="E3220" s="6" t="s">
        <v>74</v>
      </c>
      <c r="F3220" s="6" t="s">
        <v>17559</v>
      </c>
      <c r="G3220" s="3" t="str">
        <f>IFERROR(__xludf.DUMMYFUNCTION("REGEXREPLACE(
D3220,
""([一-龯々]+)\[([^\]]+)\]"",
""&lt;ruby&gt;$1&lt;rt&gt;$2&lt;/rt&gt;&lt;/ruby&gt;""
)&amp;""&lt;br&gt;&lt;div class=""""audio""""&gt;[sound:""&amp;C3220&amp;"".mp3]&lt;/div&gt;"""),"ゴム&lt;br&gt;&lt;div class=""audio""&gt;[sound:ごむ.mp3]&lt;/div&gt;")</f>
        <v>ゴム&lt;br&gt;&lt;div class="audio"&gt;[sound:ごむ.mp3]&lt;/div&gt;</v>
      </c>
      <c r="H3220" s="3" t="str">
        <f t="shared" si="1"/>
        <v>(n): cao su</v>
      </c>
      <c r="I3220" s="6" t="s">
        <v>17560</v>
      </c>
      <c r="J3220" s="6" t="s">
        <v>17561</v>
      </c>
      <c r="K3220" s="7">
        <f t="shared" si="2"/>
        <v>0.5950567365</v>
      </c>
    </row>
    <row r="3221">
      <c r="A3221" s="4">
        <v>3221.0</v>
      </c>
      <c r="B3221" s="5" t="s">
        <v>17562</v>
      </c>
      <c r="C3221" s="5" t="s">
        <v>5954</v>
      </c>
      <c r="D3221" s="5" t="s">
        <v>17563</v>
      </c>
      <c r="E3221" s="6" t="s">
        <v>24</v>
      </c>
      <c r="F3221" s="6" t="s">
        <v>17564</v>
      </c>
      <c r="G3221" s="3" t="str">
        <f>IFERROR(__xludf.DUMMYFUNCTION("REGEXREPLACE(
D3221,
""([一-龯々]+)\[([^\]]+)\]"",
""&lt;ruby&gt;$1&lt;rt&gt;$2&lt;/rt&gt;&lt;/ruby&gt;""
)&amp;""&lt;br&gt;&lt;div class=""""audio""""&gt;[sound:""&amp;C3221&amp;"".mp3]&lt;/div&gt;"""),"&lt;ruby&gt;勧&lt;rt&gt;すす&lt;/rt&gt;&lt;/ruby&gt;める&lt;br&gt;&lt;div class=""audio""&gt;[sound:すすめる.mp3]&lt;/div&gt;")</f>
        <v>&lt;ruby&gt;勧&lt;rt&gt;すす&lt;/rt&gt;&lt;/ruby&gt;める&lt;br&gt;&lt;div class="audio"&gt;[sound:すすめる.mp3]&lt;/div&gt;</v>
      </c>
      <c r="H3221" s="3" t="str">
        <f t="shared" si="1"/>
        <v>(v): khuyên</v>
      </c>
      <c r="I3221" s="6" t="s">
        <v>17565</v>
      </c>
      <c r="J3221" s="6" t="s">
        <v>17566</v>
      </c>
      <c r="K3221" s="7">
        <f t="shared" si="2"/>
        <v>0.5693248918</v>
      </c>
    </row>
    <row r="3222">
      <c r="A3222" s="4">
        <v>3222.0</v>
      </c>
      <c r="B3222" s="5" t="s">
        <v>17567</v>
      </c>
      <c r="C3222" s="5" t="s">
        <v>17568</v>
      </c>
      <c r="D3222" s="5" t="s">
        <v>17569</v>
      </c>
      <c r="E3222" s="6" t="s">
        <v>74</v>
      </c>
      <c r="F3222" s="6" t="s">
        <v>17570</v>
      </c>
      <c r="G3222" s="3" t="str">
        <f>IFERROR(__xludf.DUMMYFUNCTION("REGEXREPLACE(
D3222,
""([一-龯々]+)\[([^\]]+)\]"",
""&lt;ruby&gt;$1&lt;rt&gt;$2&lt;/rt&gt;&lt;/ruby&gt;""
)&amp;""&lt;br&gt;&lt;div class=""""audio""""&gt;[sound:""&amp;C3222&amp;"".mp3]&lt;/div&gt;"""),"&lt;ruby&gt;水曜日&lt;rt&gt;すいようび&lt;/rt&gt;&lt;/ruby&gt;&lt;br&gt;&lt;div class=""audio""&gt;[sound:すいようび.mp3]&lt;/div&gt;")</f>
        <v>&lt;ruby&gt;水曜日&lt;rt&gt;すいようび&lt;/rt&gt;&lt;/ruby&gt;&lt;br&gt;&lt;div class="audio"&gt;[sound:すいようび.mp3]&lt;/div&gt;</v>
      </c>
      <c r="H3222" s="3" t="str">
        <f t="shared" si="1"/>
        <v>(n): thứ tư</v>
      </c>
      <c r="I3222" s="6" t="s">
        <v>17571</v>
      </c>
      <c r="J3222" s="6" t="s">
        <v>17572</v>
      </c>
      <c r="K3222" s="7">
        <f t="shared" si="2"/>
        <v>0.4513409129</v>
      </c>
    </row>
    <row r="3223">
      <c r="A3223" s="4">
        <v>3223.0</v>
      </c>
      <c r="B3223" s="5" t="s">
        <v>17573</v>
      </c>
      <c r="C3223" s="5" t="s">
        <v>17538</v>
      </c>
      <c r="D3223" s="5" t="s">
        <v>17574</v>
      </c>
      <c r="E3223" s="6" t="s">
        <v>24</v>
      </c>
      <c r="F3223" s="6" t="s">
        <v>17575</v>
      </c>
      <c r="G3223" s="3" t="str">
        <f>IFERROR(__xludf.DUMMYFUNCTION("REGEXREPLACE(
D3223,
""([一-龯々]+)\[([^\]]+)\]"",
""&lt;ruby&gt;$1&lt;rt&gt;$2&lt;/rt&gt;&lt;/ruby&gt;""
)&amp;""&lt;br&gt;&lt;div class=""""audio""""&gt;[sound:""&amp;C3223&amp;"".mp3]&lt;/div&gt;"""),"&lt;ruby&gt;責&lt;rt&gt;せ&lt;/rt&gt;&lt;/ruby&gt;める&lt;br&gt;&lt;div class=""audio""&gt;[sound:せめる.mp3]&lt;/div&gt;")</f>
        <v>&lt;ruby&gt;責&lt;rt&gt;せ&lt;/rt&gt;&lt;/ruby&gt;める&lt;br&gt;&lt;div class="audio"&gt;[sound:せめる.mp3]&lt;/div&gt;</v>
      </c>
      <c r="H3223" s="3" t="str">
        <f t="shared" si="1"/>
        <v>(v): đổ lỗi</v>
      </c>
      <c r="I3223" s="6" t="s">
        <v>17576</v>
      </c>
      <c r="J3223" s="6" t="s">
        <v>17577</v>
      </c>
      <c r="K3223" s="7">
        <f t="shared" si="2"/>
        <v>0.1946603661</v>
      </c>
    </row>
    <row r="3224">
      <c r="A3224" s="4">
        <v>3224.0</v>
      </c>
      <c r="B3224" s="5" t="s">
        <v>17578</v>
      </c>
      <c r="C3224" s="5" t="s">
        <v>17579</v>
      </c>
      <c r="D3224" s="5" t="s">
        <v>17580</v>
      </c>
      <c r="E3224" s="6" t="s">
        <v>74</v>
      </c>
      <c r="F3224" s="6" t="s">
        <v>17581</v>
      </c>
      <c r="G3224" s="3" t="str">
        <f>IFERROR(__xludf.DUMMYFUNCTION("REGEXREPLACE(
D3224,
""([一-龯々]+)\[([^\]]+)\]"",
""&lt;ruby&gt;$1&lt;rt&gt;$2&lt;/rt&gt;&lt;/ruby&gt;""
)&amp;""&lt;br&gt;&lt;div class=""""audio""""&gt;[sound:""&amp;C3224&amp;"".mp3]&lt;/div&gt;"""),"&lt;ruby&gt;骨&lt;rt&gt;ほね&lt;/rt&gt;&lt;/ruby&gt;&lt;br&gt;&lt;div class=""audio""&gt;[sound:ほね.mp3]&lt;/div&gt;")</f>
        <v>&lt;ruby&gt;骨&lt;rt&gt;ほね&lt;/rt&gt;&lt;/ruby&gt;&lt;br&gt;&lt;div class="audio"&gt;[sound:ほね.mp3]&lt;/div&gt;</v>
      </c>
      <c r="H3224" s="3" t="str">
        <f t="shared" si="1"/>
        <v>(n): xương</v>
      </c>
      <c r="I3224" s="6" t="s">
        <v>17582</v>
      </c>
      <c r="J3224" s="6" t="s">
        <v>17583</v>
      </c>
      <c r="K3224" s="7">
        <f t="shared" si="2"/>
        <v>0.393341683</v>
      </c>
    </row>
    <row r="3225">
      <c r="A3225" s="4">
        <v>3225.0</v>
      </c>
      <c r="B3225" s="5" t="s">
        <v>17584</v>
      </c>
      <c r="C3225" s="5" t="s">
        <v>17585</v>
      </c>
      <c r="D3225" s="5" t="s">
        <v>17586</v>
      </c>
      <c r="E3225" s="6" t="s">
        <v>74</v>
      </c>
      <c r="F3225" s="6" t="s">
        <v>17587</v>
      </c>
      <c r="G3225" s="3" t="str">
        <f>IFERROR(__xludf.DUMMYFUNCTION("REGEXREPLACE(
D3225,
""([一-龯々]+)\[([^\]]+)\]"",
""&lt;ruby&gt;$1&lt;rt&gt;$2&lt;/rt&gt;&lt;/ruby&gt;""
)&amp;""&lt;br&gt;&lt;div class=""""audio""""&gt;[sound:""&amp;C3225&amp;"".mp3]&lt;/div&gt;"""),"&lt;ruby&gt;延期&lt;rt&gt;えんき&lt;/rt&gt;&lt;/ruby&gt;&lt;br&gt;&lt;div class=""audio""&gt;[sound:えんき.mp3]&lt;/div&gt;")</f>
        <v>&lt;ruby&gt;延期&lt;rt&gt;えんき&lt;/rt&gt;&lt;/ruby&gt;&lt;br&gt;&lt;div class="audio"&gt;[sound:えんき.mp3]&lt;/div&gt;</v>
      </c>
      <c r="H3225" s="3" t="str">
        <f t="shared" si="1"/>
        <v>(n): hoãn</v>
      </c>
      <c r="I3225" s="6" t="s">
        <v>17588</v>
      </c>
      <c r="J3225" s="6" t="s">
        <v>17589</v>
      </c>
      <c r="K3225" s="7">
        <f t="shared" si="2"/>
        <v>0.08954011444</v>
      </c>
    </row>
    <row r="3226">
      <c r="A3226" s="4">
        <v>3226.0</v>
      </c>
      <c r="B3226" s="5" t="s">
        <v>17590</v>
      </c>
      <c r="C3226" s="5" t="s">
        <v>17591</v>
      </c>
      <c r="D3226" s="5" t="s">
        <v>17592</v>
      </c>
      <c r="E3226" s="6" t="s">
        <v>74</v>
      </c>
      <c r="F3226" s="6" t="s">
        <v>17593</v>
      </c>
      <c r="G3226" s="3" t="str">
        <f>IFERROR(__xludf.DUMMYFUNCTION("REGEXREPLACE(
D3226,
""([一-龯々]+)\[([^\]]+)\]"",
""&lt;ruby&gt;$1&lt;rt&gt;$2&lt;/rt&gt;&lt;/ruby&gt;""
)&amp;""&lt;br&gt;&lt;div class=""""audio""""&gt;[sound:""&amp;C3226&amp;"".mp3]&lt;/div&gt;"""),"&lt;ruby&gt;額&lt;rt&gt;ひたい&lt;/rt&gt;&lt;/ruby&gt;&lt;br&gt;&lt;div class=""audio""&gt;[sound:ひたい.mp3]&lt;/div&gt;")</f>
        <v>&lt;ruby&gt;額&lt;rt&gt;ひたい&lt;/rt&gt;&lt;/ruby&gt;&lt;br&gt;&lt;div class="audio"&gt;[sound:ひたい.mp3]&lt;/div&gt;</v>
      </c>
      <c r="H3226" s="3" t="str">
        <f t="shared" si="1"/>
        <v>(n): trán</v>
      </c>
      <c r="I3226" s="6" t="s">
        <v>17594</v>
      </c>
      <c r="J3226" s="6" t="s">
        <v>17595</v>
      </c>
      <c r="K3226" s="7">
        <f t="shared" si="2"/>
        <v>0.4541182363</v>
      </c>
    </row>
    <row r="3227">
      <c r="A3227" s="4">
        <v>3227.0</v>
      </c>
      <c r="B3227" s="5" t="s">
        <v>17596</v>
      </c>
      <c r="C3227" s="5" t="s">
        <v>17597</v>
      </c>
      <c r="D3227" s="5" t="s">
        <v>17596</v>
      </c>
      <c r="E3227" s="6" t="s">
        <v>74</v>
      </c>
      <c r="F3227" s="6" t="s">
        <v>17598</v>
      </c>
      <c r="G3227" s="3" t="str">
        <f>IFERROR(__xludf.DUMMYFUNCTION("REGEXREPLACE(
D3227,
""([一-龯々]+)\[([^\]]+)\]"",
""&lt;ruby&gt;$1&lt;rt&gt;$2&lt;/rt&gt;&lt;/ruby&gt;""
)&amp;""&lt;br&gt;&lt;div class=""""audio""""&gt;[sound:""&amp;C3227&amp;"".mp3]&lt;/div&gt;"""),"デザート&lt;br&gt;&lt;div class=""audio""&gt;[sound:でざーと.mp3]&lt;/div&gt;")</f>
        <v>デザート&lt;br&gt;&lt;div class="audio"&gt;[sound:でざーと.mp3]&lt;/div&gt;</v>
      </c>
      <c r="H3227" s="3" t="str">
        <f t="shared" si="1"/>
        <v>(n): món tráng miệng</v>
      </c>
      <c r="I3227" s="6" t="s">
        <v>17599</v>
      </c>
      <c r="J3227" s="6" t="s">
        <v>17600</v>
      </c>
      <c r="K3227" s="7">
        <f t="shared" si="2"/>
        <v>0.05171063969</v>
      </c>
    </row>
    <row r="3228">
      <c r="A3228" s="4">
        <v>3228.0</v>
      </c>
      <c r="B3228" s="5" t="s">
        <v>17601</v>
      </c>
      <c r="C3228" s="5" t="s">
        <v>17602</v>
      </c>
      <c r="D3228" s="5" t="s">
        <v>17603</v>
      </c>
      <c r="E3228" s="6" t="s">
        <v>74</v>
      </c>
      <c r="F3228" s="6" t="s">
        <v>17604</v>
      </c>
      <c r="G3228" s="3" t="str">
        <f>IFERROR(__xludf.DUMMYFUNCTION("REGEXREPLACE(
D3228,
""([一-龯々]+)\[([^\]]+)\]"",
""&lt;ruby&gt;$1&lt;rt&gt;$2&lt;/rt&gt;&lt;/ruby&gt;""
)&amp;""&lt;br&gt;&lt;div class=""""audio""""&gt;[sound:""&amp;C3228&amp;"".mp3]&lt;/div&gt;"""),"&lt;ruby&gt;温泉&lt;rt&gt;おんせん&lt;/rt&gt;&lt;/ruby&gt;&lt;br&gt;&lt;div class=""audio""&gt;[sound:おんせん.mp3]&lt;/div&gt;")</f>
        <v>&lt;ruby&gt;温泉&lt;rt&gt;おんせん&lt;/rt&gt;&lt;/ruby&gt;&lt;br&gt;&lt;div class="audio"&gt;[sound:おんせん.mp3]&lt;/div&gt;</v>
      </c>
      <c r="H3228" s="3" t="str">
        <f t="shared" si="1"/>
        <v>(n): suối nước nóng</v>
      </c>
      <c r="I3228" s="6" t="s">
        <v>17605</v>
      </c>
      <c r="J3228" s="6" t="s">
        <v>17606</v>
      </c>
      <c r="K3228" s="7">
        <f t="shared" si="2"/>
        <v>0.9649709783</v>
      </c>
    </row>
    <row r="3229">
      <c r="A3229" s="4">
        <v>3229.0</v>
      </c>
      <c r="B3229" s="5" t="s">
        <v>17607</v>
      </c>
      <c r="C3229" s="5" t="s">
        <v>17608</v>
      </c>
      <c r="D3229" s="5" t="s">
        <v>17609</v>
      </c>
      <c r="E3229" s="6" t="s">
        <v>74</v>
      </c>
      <c r="F3229" s="6" t="s">
        <v>17610</v>
      </c>
      <c r="G3229" s="3" t="str">
        <f>IFERROR(__xludf.DUMMYFUNCTION("REGEXREPLACE(
D3229,
""([一-龯々]+)\[([^\]]+)\]"",
""&lt;ruby&gt;$1&lt;rt&gt;$2&lt;/rt&gt;&lt;/ruby&gt;""
)&amp;""&lt;br&gt;&lt;div class=""""audio""""&gt;[sound:""&amp;C3229&amp;"".mp3]&lt;/div&gt;"""),"&lt;ruby&gt;覚悟&lt;rt&gt;かくご&lt;/rt&gt;&lt;/ruby&gt;&lt;br&gt;&lt;div class=""audio""&gt;[sound:かくご.mp3]&lt;/div&gt;")</f>
        <v>&lt;ruby&gt;覚悟&lt;rt&gt;かくご&lt;/rt&gt;&lt;/ruby&gt;&lt;br&gt;&lt;div class="audio"&gt;[sound:かくご.mp3]&lt;/div&gt;</v>
      </c>
      <c r="H3229" s="3" t="str">
        <f t="shared" si="1"/>
        <v>(n): sự sẵn sàng</v>
      </c>
      <c r="I3229" s="6" t="s">
        <v>17611</v>
      </c>
      <c r="J3229" s="6" t="s">
        <v>17612</v>
      </c>
      <c r="K3229" s="7">
        <f t="shared" si="2"/>
        <v>0.689845343</v>
      </c>
    </row>
    <row r="3230">
      <c r="A3230" s="4">
        <v>3230.0</v>
      </c>
      <c r="B3230" s="5" t="s">
        <v>17613</v>
      </c>
      <c r="C3230" s="5" t="s">
        <v>17614</v>
      </c>
      <c r="D3230" s="5" t="s">
        <v>17615</v>
      </c>
      <c r="E3230" s="6" t="s">
        <v>24</v>
      </c>
      <c r="F3230" s="6" t="s">
        <v>17616</v>
      </c>
      <c r="G3230" s="3" t="str">
        <f>IFERROR(__xludf.DUMMYFUNCTION("REGEXREPLACE(
D3230,
""([一-龯々]+)\[([^\]]+)\]"",
""&lt;ruby&gt;$1&lt;rt&gt;$2&lt;/rt&gt;&lt;/ruby&gt;""
)&amp;""&lt;br&gt;&lt;div class=""""audio""""&gt;[sound:""&amp;C3230&amp;"".mp3]&lt;/div&gt;"""),"&lt;ruby&gt;予防&lt;rt&gt;よぼう&lt;/rt&gt;&lt;/ruby&gt;&lt;br&gt;&lt;div class=""audio""&gt;[sound:よぼう.mp3]&lt;/div&gt;")</f>
        <v>&lt;ruby&gt;予防&lt;rt&gt;よぼう&lt;/rt&gt;&lt;/ruby&gt;&lt;br&gt;&lt;div class="audio"&gt;[sound:よぼう.mp3]&lt;/div&gt;</v>
      </c>
      <c r="H3230" s="3" t="str">
        <f t="shared" si="1"/>
        <v>(v): phòng ngừa</v>
      </c>
      <c r="I3230" s="6" t="s">
        <v>17617</v>
      </c>
      <c r="J3230" s="6" t="s">
        <v>17618</v>
      </c>
      <c r="K3230" s="7">
        <f t="shared" si="2"/>
        <v>0.8470035012</v>
      </c>
    </row>
    <row r="3231">
      <c r="A3231" s="4">
        <v>3231.0</v>
      </c>
      <c r="B3231" s="5" t="s">
        <v>17619</v>
      </c>
      <c r="C3231" s="5" t="s">
        <v>17620</v>
      </c>
      <c r="D3231" s="5" t="s">
        <v>17621</v>
      </c>
      <c r="E3231" s="6" t="s">
        <v>74</v>
      </c>
      <c r="F3231" s="6" t="s">
        <v>17622</v>
      </c>
      <c r="G3231" s="3" t="str">
        <f>IFERROR(__xludf.DUMMYFUNCTION("REGEXREPLACE(
D3231,
""([一-龯々]+)\[([^\]]+)\]"",
""&lt;ruby&gt;$1&lt;rt&gt;$2&lt;/rt&gt;&lt;/ruby&gt;""
)&amp;""&lt;br&gt;&lt;div class=""""audio""""&gt;[sound:""&amp;C3231&amp;"".mp3]&lt;/div&gt;"""),"&lt;ruby&gt;現状&lt;rt&gt;げんじょう&lt;/rt&gt;&lt;/ruby&gt;&lt;br&gt;&lt;div class=""audio""&gt;[sound:げんじょう.mp3]&lt;/div&gt;")</f>
        <v>&lt;ruby&gt;現状&lt;rt&gt;げんじょう&lt;/rt&gt;&lt;/ruby&gt;&lt;br&gt;&lt;div class="audio"&gt;[sound:げんじょう.mp3]&lt;/div&gt;</v>
      </c>
      <c r="H3231" s="3" t="str">
        <f t="shared" si="1"/>
        <v>(n): hiện trạng</v>
      </c>
      <c r="I3231" s="6" t="s">
        <v>17623</v>
      </c>
      <c r="J3231" s="6" t="s">
        <v>17624</v>
      </c>
      <c r="K3231" s="7">
        <f t="shared" si="2"/>
        <v>0.9338729754</v>
      </c>
    </row>
    <row r="3232">
      <c r="A3232" s="4">
        <v>3232.0</v>
      </c>
      <c r="B3232" s="5" t="s">
        <v>17625</v>
      </c>
      <c r="C3232" s="5" t="s">
        <v>17626</v>
      </c>
      <c r="D3232" s="5" t="s">
        <v>17627</v>
      </c>
      <c r="E3232" s="6" t="s">
        <v>74</v>
      </c>
      <c r="F3232" s="6" t="s">
        <v>1211</v>
      </c>
      <c r="G3232" s="3" t="str">
        <f>IFERROR(__xludf.DUMMYFUNCTION("REGEXREPLACE(
D3232,
""([一-龯々]+)\[([^\]]+)\]"",
""&lt;ruby&gt;$1&lt;rt&gt;$2&lt;/rt&gt;&lt;/ruby&gt;""
)&amp;""&lt;br&gt;&lt;div class=""""audio""""&gt;[sound:""&amp;C3232&amp;"".mp3]&lt;/div&gt;"""),"&lt;ruby&gt;発展&lt;rt&gt;はってん&lt;/rt&gt;&lt;/ruby&gt;&lt;br&gt;&lt;div class=""audio""&gt;[sound:はってん.mp3]&lt;/div&gt;")</f>
        <v>&lt;ruby&gt;発展&lt;rt&gt;はってん&lt;/rt&gt;&lt;/ruby&gt;&lt;br&gt;&lt;div class="audio"&gt;[sound:はってん.mp3]&lt;/div&gt;</v>
      </c>
      <c r="H3232" s="3" t="str">
        <f t="shared" si="1"/>
        <v>(n): phát triển</v>
      </c>
      <c r="I3232" s="6" t="s">
        <v>17628</v>
      </c>
      <c r="J3232" s="6" t="s">
        <v>17629</v>
      </c>
      <c r="K3232" s="7">
        <f t="shared" si="2"/>
        <v>0.9312550125</v>
      </c>
    </row>
    <row r="3233">
      <c r="A3233" s="4">
        <v>3233.0</v>
      </c>
      <c r="B3233" s="5" t="s">
        <v>17630</v>
      </c>
      <c r="C3233" s="5" t="s">
        <v>17631</v>
      </c>
      <c r="D3233" s="5" t="s">
        <v>17632</v>
      </c>
      <c r="E3233" s="6" t="s">
        <v>85</v>
      </c>
      <c r="F3233" s="6" t="s">
        <v>17633</v>
      </c>
      <c r="G3233" s="3" t="str">
        <f>IFERROR(__xludf.DUMMYFUNCTION("REGEXREPLACE(
D3233,
""([一-龯々]+)\[([^\]]+)\]"",
""&lt;ruby&gt;$1&lt;rt&gt;$2&lt;/rt&gt;&lt;/ruby&gt;""
)&amp;""&lt;br&gt;&lt;div class=""""audio""""&gt;[sound:""&amp;C3233&amp;"".mp3]&lt;/div&gt;"""),"&lt;ruby&gt;一斉&lt;rt&gt;いっせい&lt;/rt&gt;&lt;/ruby&gt;&lt;br&gt;&lt;div class=""audio""&gt;[sound:いっせい.mp3]&lt;/div&gt;")</f>
        <v>&lt;ruby&gt;一斉&lt;rt&gt;いっせい&lt;/rt&gt;&lt;/ruby&gt;&lt;br&gt;&lt;div class="audio"&gt;[sound:いっせい.mp3]&lt;/div&gt;</v>
      </c>
      <c r="H3233" s="3" t="str">
        <f t="shared" si="1"/>
        <v>(adv): đồng loạt</v>
      </c>
      <c r="I3233" s="6" t="s">
        <v>17634</v>
      </c>
      <c r="J3233" s="6" t="s">
        <v>17635</v>
      </c>
      <c r="K3233" s="7">
        <f t="shared" si="2"/>
        <v>0.1550421459</v>
      </c>
    </row>
    <row r="3234">
      <c r="A3234" s="4">
        <v>3234.0</v>
      </c>
      <c r="B3234" s="5" t="s">
        <v>17636</v>
      </c>
      <c r="C3234" s="5" t="s">
        <v>17637</v>
      </c>
      <c r="D3234" s="5" t="s">
        <v>17638</v>
      </c>
      <c r="E3234" s="6" t="s">
        <v>74</v>
      </c>
      <c r="F3234" s="6" t="s">
        <v>17639</v>
      </c>
      <c r="G3234" s="3" t="str">
        <f>IFERROR(__xludf.DUMMYFUNCTION("REGEXREPLACE(
D3234,
""([一-龯々]+)\[([^\]]+)\]"",
""&lt;ruby&gt;$1&lt;rt&gt;$2&lt;/rt&gt;&lt;/ruby&gt;""
)&amp;""&lt;br&gt;&lt;div class=""""audio""""&gt;[sound:""&amp;C3234&amp;"".mp3]&lt;/div&gt;"""),"&lt;ruby&gt;不正&lt;rt&gt;ふせい&lt;/rt&gt;&lt;/ruby&gt;&lt;br&gt;&lt;div class=""audio""&gt;[sound:ふせい.mp3]&lt;/div&gt;")</f>
        <v>&lt;ruby&gt;不正&lt;rt&gt;ふせい&lt;/rt&gt;&lt;/ruby&gt;&lt;br&gt;&lt;div class="audio"&gt;[sound:ふせい.mp3]&lt;/div&gt;</v>
      </c>
      <c r="H3234" s="3" t="str">
        <f t="shared" si="1"/>
        <v>(n): bất chính</v>
      </c>
      <c r="I3234" s="6" t="s">
        <v>17640</v>
      </c>
      <c r="J3234" s="6" t="s">
        <v>17641</v>
      </c>
      <c r="K3234" s="7">
        <f t="shared" si="2"/>
        <v>0.4444478507</v>
      </c>
    </row>
    <row r="3235">
      <c r="A3235" s="4">
        <v>3235.0</v>
      </c>
      <c r="B3235" s="5" t="s">
        <v>17642</v>
      </c>
      <c r="C3235" s="5" t="s">
        <v>17643</v>
      </c>
      <c r="D3235" s="5" t="s">
        <v>17644</v>
      </c>
      <c r="E3235" s="6" t="s">
        <v>24</v>
      </c>
      <c r="F3235" s="6" t="s">
        <v>17645</v>
      </c>
      <c r="G3235" s="3" t="str">
        <f>IFERROR(__xludf.DUMMYFUNCTION("REGEXREPLACE(
D3235,
""([一-龯々]+)\[([^\]]+)\]"",
""&lt;ruby&gt;$1&lt;rt&gt;$2&lt;/rt&gt;&lt;/ruby&gt;""
)&amp;""&lt;br&gt;&lt;div class=""""audio""""&gt;[sound:""&amp;C3235&amp;"".mp3]&lt;/div&gt;"""),"&lt;ruby&gt;助&lt;rt&gt;たす&lt;/rt&gt;&lt;/ruby&gt;かる&lt;br&gt;&lt;div class=""audio""&gt;[sound:たすかる.mp3]&lt;/div&gt;")</f>
        <v>&lt;ruby&gt;助&lt;rt&gt;たす&lt;/rt&gt;&lt;/ruby&gt;かる&lt;br&gt;&lt;div class="audio"&gt;[sound:たすかる.mp3]&lt;/div&gt;</v>
      </c>
      <c r="H3235" s="3" t="str">
        <f t="shared" si="1"/>
        <v>(v): được giúp</v>
      </c>
      <c r="I3235" s="6" t="s">
        <v>17646</v>
      </c>
      <c r="J3235" s="6" t="s">
        <v>17647</v>
      </c>
      <c r="K3235" s="7">
        <f t="shared" si="2"/>
        <v>0.6184920471</v>
      </c>
    </row>
    <row r="3236">
      <c r="A3236" s="4">
        <v>3236.0</v>
      </c>
      <c r="B3236" s="5" t="s">
        <v>17648</v>
      </c>
      <c r="C3236" s="5" t="s">
        <v>17649</v>
      </c>
      <c r="D3236" s="5" t="s">
        <v>17650</v>
      </c>
      <c r="E3236" s="6" t="s">
        <v>74</v>
      </c>
      <c r="F3236" s="6" t="s">
        <v>17651</v>
      </c>
      <c r="G3236" s="3" t="str">
        <f>IFERROR(__xludf.DUMMYFUNCTION("REGEXREPLACE(
D3236,
""([一-龯々]+)\[([^\]]+)\]"",
""&lt;ruby&gt;$1&lt;rt&gt;$2&lt;/rt&gt;&lt;/ruby&gt;""
)&amp;""&lt;br&gt;&lt;div class=""""audio""""&gt;[sound:""&amp;C3236&amp;"".mp3]&lt;/div&gt;"""),"&lt;ruby&gt;学科&lt;rt&gt;がっか&lt;/rt&gt;&lt;/ruby&gt;&lt;br&gt;&lt;div class=""audio""&gt;[sound:がっか.mp3]&lt;/div&gt;")</f>
        <v>&lt;ruby&gt;学科&lt;rt&gt;がっか&lt;/rt&gt;&lt;/ruby&gt;&lt;br&gt;&lt;div class="audio"&gt;[sound:がっか.mp3]&lt;/div&gt;</v>
      </c>
      <c r="H3236" s="3" t="str">
        <f t="shared" si="1"/>
        <v>(n): ngành học</v>
      </c>
      <c r="I3236" s="6" t="s">
        <v>17652</v>
      </c>
      <c r="J3236" s="6" t="s">
        <v>17653</v>
      </c>
      <c r="K3236" s="7">
        <f t="shared" si="2"/>
        <v>0.3423350963</v>
      </c>
    </row>
    <row r="3237">
      <c r="A3237" s="4">
        <v>3237.0</v>
      </c>
      <c r="B3237" s="5" t="s">
        <v>17654</v>
      </c>
      <c r="C3237" s="5" t="s">
        <v>17655</v>
      </c>
      <c r="D3237" s="5" t="s">
        <v>17656</v>
      </c>
      <c r="E3237" s="6" t="s">
        <v>74</v>
      </c>
      <c r="F3237" s="6" t="s">
        <v>17657</v>
      </c>
      <c r="G3237" s="3" t="str">
        <f>IFERROR(__xludf.DUMMYFUNCTION("REGEXREPLACE(
D3237,
""([一-龯々]+)\[([^\]]+)\]"",
""&lt;ruby&gt;$1&lt;rt&gt;$2&lt;/rt&gt;&lt;/ruby&gt;""
)&amp;""&lt;br&gt;&lt;div class=""""audio""""&gt;[sound:""&amp;C3237&amp;"".mp3]&lt;/div&gt;"""),"&lt;ruby&gt;調節&lt;rt&gt;ちょうせつ&lt;/rt&gt;&lt;/ruby&gt;&lt;br&gt;&lt;div class=""audio""&gt;[sound:ちょうせつ.mp3]&lt;/div&gt;")</f>
        <v>&lt;ruby&gt;調節&lt;rt&gt;ちょうせつ&lt;/rt&gt;&lt;/ruby&gt;&lt;br&gt;&lt;div class="audio"&gt;[sound:ちょうせつ.mp3]&lt;/div&gt;</v>
      </c>
      <c r="H3237" s="3" t="str">
        <f t="shared" si="1"/>
        <v>(n): điều tiết</v>
      </c>
      <c r="I3237" s="6" t="s">
        <v>17658</v>
      </c>
      <c r="J3237" s="6" t="s">
        <v>17659</v>
      </c>
      <c r="K3237" s="7">
        <f t="shared" si="2"/>
        <v>0.258726978</v>
      </c>
    </row>
    <row r="3238">
      <c r="A3238" s="4">
        <v>3238.0</v>
      </c>
      <c r="B3238" s="5" t="s">
        <v>17660</v>
      </c>
      <c r="C3238" s="5" t="s">
        <v>17661</v>
      </c>
      <c r="D3238" s="5" t="s">
        <v>17662</v>
      </c>
      <c r="E3238" s="6" t="s">
        <v>24</v>
      </c>
      <c r="F3238" s="6" t="s">
        <v>17663</v>
      </c>
      <c r="G3238" s="3" t="str">
        <f>IFERROR(__xludf.DUMMYFUNCTION("REGEXREPLACE(
D3238,
""([一-龯々]+)\[([^\]]+)\]"",
""&lt;ruby&gt;$1&lt;rt&gt;$2&lt;/rt&gt;&lt;/ruby&gt;""
)&amp;""&lt;br&gt;&lt;div class=""""audio""""&gt;[sound:""&amp;C3238&amp;"".mp3]&lt;/div&gt;"""),"&lt;ruby&gt;追&lt;rt&gt;お&lt;/rt&gt;&lt;/ruby&gt;いかける&lt;br&gt;&lt;div class=""audio""&gt;[sound:おいかける.mp3]&lt;/div&gt;")</f>
        <v>&lt;ruby&gt;追&lt;rt&gt;お&lt;/rt&gt;&lt;/ruby&gt;いかける&lt;br&gt;&lt;div class="audio"&gt;[sound:おいかける.mp3]&lt;/div&gt;</v>
      </c>
      <c r="H3238" s="3" t="str">
        <f t="shared" si="1"/>
        <v>(v): đuổi theo</v>
      </c>
      <c r="I3238" s="6" t="s">
        <v>17664</v>
      </c>
      <c r="J3238" s="6" t="s">
        <v>17665</v>
      </c>
      <c r="K3238" s="7">
        <f t="shared" si="2"/>
        <v>0.4004964829</v>
      </c>
    </row>
    <row r="3239">
      <c r="A3239" s="4">
        <v>3239.0</v>
      </c>
      <c r="B3239" s="5" t="s">
        <v>17666</v>
      </c>
      <c r="C3239" s="5" t="s">
        <v>17666</v>
      </c>
      <c r="D3239" s="5" t="s">
        <v>17666</v>
      </c>
      <c r="E3239" s="6" t="s">
        <v>85</v>
      </c>
      <c r="F3239" s="6" t="s">
        <v>3585</v>
      </c>
      <c r="G3239" s="3" t="str">
        <f>IFERROR(__xludf.DUMMYFUNCTION("REGEXREPLACE(
D3239,
""([一-龯々]+)\[([^\]]+)\]"",
""&lt;ruby&gt;$1&lt;rt&gt;$2&lt;/rt&gt;&lt;/ruby&gt;""
)&amp;""&lt;br&gt;&lt;div class=""""audio""""&gt;[sound:""&amp;C3239&amp;"".mp3]&lt;/div&gt;"""),"ひとまず&lt;br&gt;&lt;div class=""audio""&gt;[sound:ひとまず.mp3]&lt;/div&gt;")</f>
        <v>ひとまず&lt;br&gt;&lt;div class="audio"&gt;[sound:ひとまず.mp3]&lt;/div&gt;</v>
      </c>
      <c r="H3239" s="3" t="str">
        <f t="shared" si="1"/>
        <v>(adv): tạm thời</v>
      </c>
      <c r="I3239" s="6" t="s">
        <v>17667</v>
      </c>
      <c r="J3239" s="6" t="s">
        <v>17668</v>
      </c>
      <c r="K3239" s="7">
        <f t="shared" si="2"/>
        <v>0.02411828381</v>
      </c>
    </row>
    <row r="3240">
      <c r="A3240" s="4">
        <v>3240.0</v>
      </c>
      <c r="B3240" s="5" t="s">
        <v>17669</v>
      </c>
      <c r="C3240" s="5" t="s">
        <v>17670</v>
      </c>
      <c r="D3240" s="5" t="s">
        <v>17669</v>
      </c>
      <c r="E3240" s="6" t="s">
        <v>74</v>
      </c>
      <c r="F3240" s="6" t="s">
        <v>17671</v>
      </c>
      <c r="G3240" s="3" t="str">
        <f>IFERROR(__xludf.DUMMYFUNCTION("REGEXREPLACE(
D3240,
""([一-龯々]+)\[([^\]]+)\]"",
""&lt;ruby&gt;$1&lt;rt&gt;$2&lt;/rt&gt;&lt;/ruby&gt;""
)&amp;""&lt;br&gt;&lt;div class=""""audio""""&gt;[sound:""&amp;C3240&amp;"".mp3]&lt;/div&gt;"""),"ベンチ&lt;br&gt;&lt;div class=""audio""&gt;[sound:べんち.mp3]&lt;/div&gt;")</f>
        <v>ベンチ&lt;br&gt;&lt;div class="audio"&gt;[sound:べんち.mp3]&lt;/div&gt;</v>
      </c>
      <c r="H3240" s="3" t="str">
        <f t="shared" si="1"/>
        <v>(n): ghế băng</v>
      </c>
      <c r="I3240" s="6" t="s">
        <v>17672</v>
      </c>
      <c r="J3240" s="6" t="s">
        <v>17673</v>
      </c>
      <c r="K3240" s="7">
        <f t="shared" si="2"/>
        <v>0.4818499885</v>
      </c>
    </row>
    <row r="3241">
      <c r="A3241" s="4">
        <v>3241.0</v>
      </c>
      <c r="B3241" s="5" t="s">
        <v>17674</v>
      </c>
      <c r="C3241" s="5" t="s">
        <v>17675</v>
      </c>
      <c r="D3241" s="5" t="s">
        <v>17676</v>
      </c>
      <c r="E3241" s="6" t="s">
        <v>74</v>
      </c>
      <c r="F3241" s="6" t="s">
        <v>17677</v>
      </c>
      <c r="G3241" s="3" t="str">
        <f>IFERROR(__xludf.DUMMYFUNCTION("REGEXREPLACE(
D3241,
""([一-龯々]+)\[([^\]]+)\]"",
""&lt;ruby&gt;$1&lt;rt&gt;$2&lt;/rt&gt;&lt;/ruby&gt;""
)&amp;""&lt;br&gt;&lt;div class=""""audio""""&gt;[sound:""&amp;C3241&amp;"".mp3]&lt;/div&gt;"""),"&lt;ruby&gt;予備&lt;rt&gt;よび&lt;/rt&gt;&lt;/ruby&gt;&lt;br&gt;&lt;div class=""audio""&gt;[sound:よび.mp3]&lt;/div&gt;")</f>
        <v>&lt;ruby&gt;予備&lt;rt&gt;よび&lt;/rt&gt;&lt;/ruby&gt;&lt;br&gt;&lt;div class="audio"&gt;[sound:よび.mp3]&lt;/div&gt;</v>
      </c>
      <c r="H3241" s="3" t="str">
        <f t="shared" si="1"/>
        <v>(n): dự phòng</v>
      </c>
      <c r="I3241" s="6" t="s">
        <v>17678</v>
      </c>
      <c r="J3241" s="6" t="s">
        <v>17679</v>
      </c>
      <c r="K3241" s="7">
        <f t="shared" si="2"/>
        <v>0.6368264902</v>
      </c>
    </row>
    <row r="3242">
      <c r="A3242" s="4">
        <v>3242.0</v>
      </c>
      <c r="B3242" s="5" t="s">
        <v>17680</v>
      </c>
      <c r="C3242" s="5" t="s">
        <v>16348</v>
      </c>
      <c r="D3242" s="5" t="s">
        <v>17681</v>
      </c>
      <c r="E3242" s="6" t="s">
        <v>24</v>
      </c>
      <c r="F3242" s="6" t="s">
        <v>4010</v>
      </c>
      <c r="G3242" s="3" t="str">
        <f>IFERROR(__xludf.DUMMYFUNCTION("REGEXREPLACE(
D3242,
""([一-龯々]+)\[([^\]]+)\]"",
""&lt;ruby&gt;$1&lt;rt&gt;$2&lt;/rt&gt;&lt;/ruby&gt;""
)&amp;""&lt;br&gt;&lt;div class=""""audio""""&gt;[sound:""&amp;C3242&amp;"".mp3]&lt;/div&gt;"""),"&lt;ruby&gt;交替&lt;rt&gt;こうたい&lt;/rt&gt;&lt;/ruby&gt;&lt;br&gt;&lt;div class=""audio""&gt;[sound:こうたい.mp3]&lt;/div&gt;")</f>
        <v>&lt;ruby&gt;交替&lt;rt&gt;こうたい&lt;/rt&gt;&lt;/ruby&gt;&lt;br&gt;&lt;div class="audio"&gt;[sound:こうたい.mp3]&lt;/div&gt;</v>
      </c>
      <c r="H3242" s="3" t="str">
        <f t="shared" si="1"/>
        <v>(v): thay thế</v>
      </c>
      <c r="I3242" s="6" t="s">
        <v>17682</v>
      </c>
      <c r="J3242" s="6" t="s">
        <v>17683</v>
      </c>
      <c r="K3242" s="7">
        <f t="shared" si="2"/>
        <v>0.1178771468</v>
      </c>
    </row>
    <row r="3243">
      <c r="A3243" s="4">
        <v>3243.0</v>
      </c>
      <c r="B3243" s="5" t="s">
        <v>17684</v>
      </c>
      <c r="C3243" s="5" t="s">
        <v>17685</v>
      </c>
      <c r="D3243" s="5" t="s">
        <v>17686</v>
      </c>
      <c r="E3243" s="6" t="s">
        <v>74</v>
      </c>
      <c r="F3243" s="6" t="s">
        <v>16714</v>
      </c>
      <c r="G3243" s="3" t="str">
        <f>IFERROR(__xludf.DUMMYFUNCTION("REGEXREPLACE(
D3243,
""([一-龯々]+)\[([^\]]+)\]"",
""&lt;ruby&gt;$1&lt;rt&gt;$2&lt;/rt&gt;&lt;/ruby&gt;""
)&amp;""&lt;br&gt;&lt;div class=""""audio""""&gt;[sound:""&amp;C3243&amp;"".mp3]&lt;/div&gt;"""),"&lt;ruby&gt;基盤&lt;rt&gt;きばん&lt;/rt&gt;&lt;/ruby&gt;&lt;br&gt;&lt;div class=""audio""&gt;[sound:きばん.mp3]&lt;/div&gt;")</f>
        <v>&lt;ruby&gt;基盤&lt;rt&gt;きばん&lt;/rt&gt;&lt;/ruby&gt;&lt;br&gt;&lt;div class="audio"&gt;[sound:きばん.mp3]&lt;/div&gt;</v>
      </c>
      <c r="H3243" s="3" t="str">
        <f t="shared" si="1"/>
        <v>(n): nền tảng</v>
      </c>
      <c r="I3243" s="6" t="s">
        <v>17687</v>
      </c>
      <c r="J3243" s="6" t="s">
        <v>17688</v>
      </c>
      <c r="K3243" s="7">
        <f t="shared" si="2"/>
        <v>0.368919696</v>
      </c>
    </row>
    <row r="3244">
      <c r="A3244" s="4">
        <v>3244.0</v>
      </c>
      <c r="B3244" s="5" t="s">
        <v>17689</v>
      </c>
      <c r="C3244" s="5" t="s">
        <v>17690</v>
      </c>
      <c r="D3244" s="5" t="s">
        <v>17691</v>
      </c>
      <c r="E3244" s="6" t="s">
        <v>74</v>
      </c>
      <c r="F3244" s="6" t="s">
        <v>17692</v>
      </c>
      <c r="G3244" s="3" t="str">
        <f>IFERROR(__xludf.DUMMYFUNCTION("REGEXREPLACE(
D3244,
""([一-龯々]+)\[([^\]]+)\]"",
""&lt;ruby&gt;$1&lt;rt&gt;$2&lt;/rt&gt;&lt;/ruby&gt;""
)&amp;""&lt;br&gt;&lt;div class=""""audio""""&gt;[sound:""&amp;C3244&amp;"".mp3]&lt;/div&gt;"""),"&lt;ruby&gt;理想&lt;rt&gt;りそう&lt;/rt&gt;&lt;/ruby&gt;&lt;br&gt;&lt;div class=""audio""&gt;[sound:りそう.mp3]&lt;/div&gt;")</f>
        <v>&lt;ruby&gt;理想&lt;rt&gt;りそう&lt;/rt&gt;&lt;/ruby&gt;&lt;br&gt;&lt;div class="audio"&gt;[sound:りそう.mp3]&lt;/div&gt;</v>
      </c>
      <c r="H3244" s="3" t="str">
        <f t="shared" si="1"/>
        <v>(n): lý tưởng</v>
      </c>
      <c r="I3244" s="6" t="s">
        <v>17693</v>
      </c>
      <c r="J3244" s="6" t="s">
        <v>17694</v>
      </c>
      <c r="K3244" s="7">
        <f t="shared" si="2"/>
        <v>0.9714879911</v>
      </c>
    </row>
    <row r="3245">
      <c r="A3245" s="4">
        <v>3245.0</v>
      </c>
      <c r="B3245" s="5" t="s">
        <v>17695</v>
      </c>
      <c r="C3245" s="5" t="s">
        <v>17695</v>
      </c>
      <c r="D3245" s="5" t="s">
        <v>17695</v>
      </c>
      <c r="E3245" s="6" t="s">
        <v>85</v>
      </c>
      <c r="F3245" s="6" t="s">
        <v>17696</v>
      </c>
      <c r="G3245" s="3" t="str">
        <f>IFERROR(__xludf.DUMMYFUNCTION("REGEXREPLACE(
D3245,
""([一-龯々]+)\[([^\]]+)\]"",
""&lt;ruby&gt;$1&lt;rt&gt;$2&lt;/rt&gt;&lt;/ruby&gt;""
)&amp;""&lt;br&gt;&lt;div class=""""audio""""&gt;[sound:""&amp;C3245&amp;"".mp3]&lt;/div&gt;"""),"どきどき&lt;br&gt;&lt;div class=""audio""&gt;[sound:どきどき.mp3]&lt;/div&gt;")</f>
        <v>どきどき&lt;br&gt;&lt;div class="audio"&gt;[sound:どきどき.mp3]&lt;/div&gt;</v>
      </c>
      <c r="H3245" s="3" t="str">
        <f t="shared" si="1"/>
        <v>(adv): hồi hộp</v>
      </c>
      <c r="I3245" s="6" t="s">
        <v>17697</v>
      </c>
      <c r="J3245" s="6" t="s">
        <v>17698</v>
      </c>
      <c r="K3245" s="7">
        <f t="shared" si="2"/>
        <v>0.8566561822</v>
      </c>
    </row>
    <row r="3246">
      <c r="A3246" s="4">
        <v>3246.0</v>
      </c>
      <c r="B3246" s="5" t="s">
        <v>17699</v>
      </c>
      <c r="C3246" s="5" t="s">
        <v>17700</v>
      </c>
      <c r="D3246" s="5" t="s">
        <v>17701</v>
      </c>
      <c r="E3246" s="6" t="s">
        <v>74</v>
      </c>
      <c r="F3246" s="6" t="s">
        <v>17702</v>
      </c>
      <c r="G3246" s="3" t="str">
        <f>IFERROR(__xludf.DUMMYFUNCTION("REGEXREPLACE(
D3246,
""([一-龯々]+)\[([^\]]+)\]"",
""&lt;ruby&gt;$1&lt;rt&gt;$2&lt;/rt&gt;&lt;/ruby&gt;""
)&amp;""&lt;br&gt;&lt;div class=""""audio""""&gt;[sound:""&amp;C3246&amp;"".mp3]&lt;/div&gt;"""),"&lt;ruby&gt;一昨日&lt;rt&gt;おととい&lt;/rt&gt;&lt;/ruby&gt;&lt;br&gt;&lt;div class=""audio""&gt;[sound:おととい.mp3]&lt;/div&gt;")</f>
        <v>&lt;ruby&gt;一昨日&lt;rt&gt;おととい&lt;/rt&gt;&lt;/ruby&gt;&lt;br&gt;&lt;div class="audio"&gt;[sound:おととい.mp3]&lt;/div&gt;</v>
      </c>
      <c r="H3246" s="3" t="str">
        <f t="shared" si="1"/>
        <v>(n): hôm kia</v>
      </c>
      <c r="I3246" s="6" t="s">
        <v>17703</v>
      </c>
      <c r="J3246" s="6" t="s">
        <v>17704</v>
      </c>
      <c r="K3246" s="7">
        <f t="shared" si="2"/>
        <v>0.2265820223</v>
      </c>
    </row>
    <row r="3247">
      <c r="A3247" s="4">
        <v>3247.0</v>
      </c>
      <c r="B3247" s="5" t="s">
        <v>17705</v>
      </c>
      <c r="C3247" s="5" t="s">
        <v>13214</v>
      </c>
      <c r="D3247" s="5" t="s">
        <v>17706</v>
      </c>
      <c r="E3247" s="6" t="s">
        <v>11</v>
      </c>
      <c r="F3247" s="6" t="s">
        <v>17707</v>
      </c>
      <c r="G3247" s="3" t="str">
        <f>IFERROR(__xludf.DUMMYFUNCTION("REGEXREPLACE(
D3247,
""([一-龯々]+)\[([^\]]+)\]"",
""&lt;ruby&gt;$1&lt;rt&gt;$2&lt;/rt&gt;&lt;/ruby&gt;""
)&amp;""&lt;br&gt;&lt;div class=""""audio""""&gt;[sound:""&amp;C3247&amp;"".mp3]&lt;/div&gt;"""),"&lt;ruby&gt;不利&lt;rt&gt;ふり&lt;/rt&gt;&lt;/ruby&gt;&lt;br&gt;&lt;div class=""audio""&gt;[sound:ふり.mp3]&lt;/div&gt;")</f>
        <v>&lt;ruby&gt;不利&lt;rt&gt;ふり&lt;/rt&gt;&lt;/ruby&gt;&lt;br&gt;&lt;div class="audio"&gt;[sound:ふり.mp3]&lt;/div&gt;</v>
      </c>
      <c r="H3247" s="3" t="str">
        <f t="shared" si="1"/>
        <v>(adj): bất lợi</v>
      </c>
      <c r="I3247" s="6" t="s">
        <v>17708</v>
      </c>
      <c r="J3247" s="6" t="s">
        <v>17709</v>
      </c>
      <c r="K3247" s="7">
        <f t="shared" si="2"/>
        <v>0.528721245</v>
      </c>
    </row>
    <row r="3248">
      <c r="A3248" s="4">
        <v>3248.0</v>
      </c>
      <c r="B3248" s="5" t="s">
        <v>17710</v>
      </c>
      <c r="C3248" s="5" t="s">
        <v>17711</v>
      </c>
      <c r="D3248" s="5" t="s">
        <v>17712</v>
      </c>
      <c r="E3248" s="6" t="s">
        <v>11</v>
      </c>
      <c r="F3248" s="6" t="s">
        <v>17713</v>
      </c>
      <c r="G3248" s="3" t="str">
        <f>IFERROR(__xludf.DUMMYFUNCTION("REGEXREPLACE(
D3248,
""([一-龯々]+)\[([^\]]+)\]"",
""&lt;ruby&gt;$1&lt;rt&gt;$2&lt;/rt&gt;&lt;/ruby&gt;""
)&amp;""&lt;br&gt;&lt;div class=""""audio""""&gt;[sound:""&amp;C3248&amp;"".mp3]&lt;/div&gt;"""),"&lt;ruby&gt;乱暴&lt;rt&gt;らんぼう&lt;/rt&gt;&lt;/ruby&gt;&lt;br&gt;&lt;div class=""audio""&gt;[sound:らんぼう.mp3]&lt;/div&gt;")</f>
        <v>&lt;ruby&gt;乱暴&lt;rt&gt;らんぼう&lt;/rt&gt;&lt;/ruby&gt;&lt;br&gt;&lt;div class="audio"&gt;[sound:らんぼう.mp3]&lt;/div&gt;</v>
      </c>
      <c r="H3248" s="3" t="str">
        <f t="shared" si="1"/>
        <v>(adj): thô bạo</v>
      </c>
      <c r="I3248" s="6" t="s">
        <v>17714</v>
      </c>
      <c r="J3248" s="6" t="s">
        <v>17715</v>
      </c>
      <c r="K3248" s="7">
        <f t="shared" si="2"/>
        <v>0.8838294054</v>
      </c>
    </row>
    <row r="3249">
      <c r="A3249" s="4">
        <v>3249.0</v>
      </c>
      <c r="B3249" s="5" t="s">
        <v>17716</v>
      </c>
      <c r="C3249" s="5" t="s">
        <v>17717</v>
      </c>
      <c r="D3249" s="5" t="s">
        <v>17718</v>
      </c>
      <c r="E3249" s="6" t="s">
        <v>85</v>
      </c>
      <c r="F3249" s="6" t="s">
        <v>5754</v>
      </c>
      <c r="G3249" s="3" t="str">
        <f>IFERROR(__xludf.DUMMYFUNCTION("REGEXREPLACE(
D3249,
""([一-龯々]+)\[([^\]]+)\]"",
""&lt;ruby&gt;$1&lt;rt&gt;$2&lt;/rt&gt;&lt;/ruby&gt;""
)&amp;""&lt;br&gt;&lt;div class=""""audio""""&gt;[sound:""&amp;C3249&amp;"".mp3]&lt;/div&gt;"""),"&lt;ruby&gt;要&lt;rt&gt;よう&lt;/rt&gt;&lt;/ruby&gt;するに&lt;br&gt;&lt;div class=""audio""&gt;[sound:ようするに.mp3]&lt;/div&gt;")</f>
        <v>&lt;ruby&gt;要&lt;rt&gt;よう&lt;/rt&gt;&lt;/ruby&gt;するに&lt;br&gt;&lt;div class="audio"&gt;[sound:ようするに.mp3]&lt;/div&gt;</v>
      </c>
      <c r="H3249" s="3" t="str">
        <f t="shared" si="1"/>
        <v>(adv): tóm lại</v>
      </c>
      <c r="I3249" s="6" t="s">
        <v>17719</v>
      </c>
      <c r="J3249" s="6" t="s">
        <v>17720</v>
      </c>
      <c r="K3249" s="7">
        <f t="shared" si="2"/>
        <v>0.5796038947</v>
      </c>
    </row>
    <row r="3250">
      <c r="A3250" s="4">
        <v>3250.0</v>
      </c>
      <c r="B3250" s="5" t="s">
        <v>17721</v>
      </c>
      <c r="C3250" s="5" t="s">
        <v>17722</v>
      </c>
      <c r="D3250" s="5" t="s">
        <v>17721</v>
      </c>
      <c r="E3250" s="6" t="s">
        <v>74</v>
      </c>
      <c r="F3250" s="6" t="s">
        <v>17723</v>
      </c>
      <c r="G3250" s="3" t="str">
        <f>IFERROR(__xludf.DUMMYFUNCTION("REGEXREPLACE(
D3250,
""([一-龯々]+)\[([^\]]+)\]"",
""&lt;ruby&gt;$1&lt;rt&gt;$2&lt;/rt&gt;&lt;/ruby&gt;""
)&amp;""&lt;br&gt;&lt;div class=""""audio""""&gt;[sound:""&amp;C3250&amp;"".mp3]&lt;/div&gt;"""),"オートバイ&lt;br&gt;&lt;div class=""audio""&gt;[sound:おーとばい.mp3]&lt;/div&gt;")</f>
        <v>オートバイ&lt;br&gt;&lt;div class="audio"&gt;[sound:おーとばい.mp3]&lt;/div&gt;</v>
      </c>
      <c r="H3250" s="3" t="str">
        <f t="shared" si="1"/>
        <v>(n): xe máy</v>
      </c>
      <c r="I3250" s="6" t="s">
        <v>17724</v>
      </c>
      <c r="J3250" s="6" t="s">
        <v>17725</v>
      </c>
      <c r="K3250" s="7">
        <f t="shared" si="2"/>
        <v>0.07325745406</v>
      </c>
    </row>
    <row r="3251">
      <c r="A3251" s="4">
        <v>3251.0</v>
      </c>
      <c r="B3251" s="5" t="s">
        <v>17726</v>
      </c>
      <c r="C3251" s="5" t="s">
        <v>17727</v>
      </c>
      <c r="D3251" s="5" t="s">
        <v>17728</v>
      </c>
      <c r="E3251" s="6" t="s">
        <v>74</v>
      </c>
      <c r="F3251" s="6" t="s">
        <v>9814</v>
      </c>
      <c r="G3251" s="3" t="str">
        <f>IFERROR(__xludf.DUMMYFUNCTION("REGEXREPLACE(
D3251,
""([一-龯々]+)\[([^\]]+)\]"",
""&lt;ruby&gt;$1&lt;rt&gt;$2&lt;/rt&gt;&lt;/ruby&gt;""
)&amp;""&lt;br&gt;&lt;div class=""""audio""""&gt;[sound:""&amp;C3251&amp;"".mp3]&lt;/div&gt;"""),"&lt;ruby&gt;基地&lt;rt&gt;きち&lt;/rt&gt;&lt;/ruby&gt;&lt;br&gt;&lt;div class=""audio""&gt;[sound:きち.mp3]&lt;/div&gt;")</f>
        <v>&lt;ruby&gt;基地&lt;rt&gt;きち&lt;/rt&gt;&lt;/ruby&gt;&lt;br&gt;&lt;div class="audio"&gt;[sound:きち.mp3]&lt;/div&gt;</v>
      </c>
      <c r="H3251" s="3" t="str">
        <f t="shared" si="1"/>
        <v>(n): căn cứ</v>
      </c>
      <c r="I3251" s="6" t="s">
        <v>17729</v>
      </c>
      <c r="J3251" s="6" t="s">
        <v>17730</v>
      </c>
      <c r="K3251" s="7">
        <f t="shared" si="2"/>
        <v>0.6983406122</v>
      </c>
    </row>
    <row r="3252">
      <c r="A3252" s="4">
        <v>3252.0</v>
      </c>
      <c r="B3252" s="5" t="s">
        <v>17731</v>
      </c>
      <c r="C3252" s="5" t="s">
        <v>17732</v>
      </c>
      <c r="D3252" s="5" t="s">
        <v>17733</v>
      </c>
      <c r="E3252" s="6" t="s">
        <v>74</v>
      </c>
      <c r="F3252" s="6" t="s">
        <v>17734</v>
      </c>
      <c r="G3252" s="3" t="str">
        <f>IFERROR(__xludf.DUMMYFUNCTION("REGEXREPLACE(
D3252,
""([一-龯々]+)\[([^\]]+)\]"",
""&lt;ruby&gt;$1&lt;rt&gt;$2&lt;/rt&gt;&lt;/ruby&gt;""
)&amp;""&lt;br&gt;&lt;div class=""""audio""""&gt;[sound:""&amp;C3252&amp;"".mp3]&lt;/div&gt;"""),"&lt;ruby&gt;拍手&lt;rt&gt;はくしゅ&lt;/rt&gt;&lt;/ruby&gt;&lt;br&gt;&lt;div class=""audio""&gt;[sound:はくしゅ.mp3]&lt;/div&gt;")</f>
        <v>&lt;ruby&gt;拍手&lt;rt&gt;はくしゅ&lt;/rt&gt;&lt;/ruby&gt;&lt;br&gt;&lt;div class="audio"&gt;[sound:はくしゅ.mp3]&lt;/div&gt;</v>
      </c>
      <c r="H3252" s="3" t="str">
        <f t="shared" si="1"/>
        <v>(n): vỗ tay</v>
      </c>
      <c r="I3252" s="6" t="s">
        <v>17735</v>
      </c>
      <c r="J3252" s="6" t="s">
        <v>17736</v>
      </c>
      <c r="K3252" s="7">
        <f t="shared" si="2"/>
        <v>0.1392667561</v>
      </c>
    </row>
    <row r="3253">
      <c r="A3253" s="4">
        <v>3253.0</v>
      </c>
      <c r="B3253" s="5" t="s">
        <v>17737</v>
      </c>
      <c r="C3253" s="5" t="s">
        <v>17738</v>
      </c>
      <c r="D3253" s="5" t="s">
        <v>17739</v>
      </c>
      <c r="E3253" s="6" t="s">
        <v>24</v>
      </c>
      <c r="F3253" s="6" t="s">
        <v>234</v>
      </c>
      <c r="G3253" s="3" t="str">
        <f>IFERROR(__xludf.DUMMYFUNCTION("REGEXREPLACE(
D3253,
""([一-龯々]+)\[([^\]]+)\]"",
""&lt;ruby&gt;$1&lt;rt&gt;$2&lt;/rt&gt;&lt;/ruby&gt;""
)&amp;""&lt;br&gt;&lt;div class=""""audio""""&gt;[sound:""&amp;C3253&amp;"".mp3]&lt;/div&gt;"""),"&lt;ruby&gt;似&lt;rt&gt;に&lt;/rt&gt;&lt;/ruby&gt;る&lt;br&gt;&lt;div class=""audio""&gt;[sound:にる.mp3]&lt;/div&gt;")</f>
        <v>&lt;ruby&gt;似&lt;rt&gt;に&lt;/rt&gt;&lt;/ruby&gt;る&lt;br&gt;&lt;div class="audio"&gt;[sound:にる.mp3]&lt;/div&gt;</v>
      </c>
      <c r="H3253" s="3" t="str">
        <f t="shared" si="1"/>
        <v>(v): giống</v>
      </c>
      <c r="I3253" s="6" t="s">
        <v>17740</v>
      </c>
      <c r="J3253" s="6" t="s">
        <v>17741</v>
      </c>
      <c r="K3253" s="7">
        <f t="shared" si="2"/>
        <v>0.7907357043</v>
      </c>
    </row>
    <row r="3254">
      <c r="A3254" s="4">
        <v>3254.0</v>
      </c>
      <c r="B3254" s="5" t="s">
        <v>17742</v>
      </c>
      <c r="C3254" s="5" t="s">
        <v>17743</v>
      </c>
      <c r="D3254" s="5" t="s">
        <v>17742</v>
      </c>
      <c r="E3254" s="6" t="s">
        <v>74</v>
      </c>
      <c r="F3254" s="6" t="s">
        <v>17744</v>
      </c>
      <c r="G3254" s="3" t="str">
        <f>IFERROR(__xludf.DUMMYFUNCTION("REGEXREPLACE(
D3254,
""([一-龯々]+)\[([^\]]+)\]"",
""&lt;ruby&gt;$1&lt;rt&gt;$2&lt;/rt&gt;&lt;/ruby&gt;""
)&amp;""&lt;br&gt;&lt;div class=""""audio""""&gt;[sound:""&amp;C3254&amp;"".mp3]&lt;/div&gt;"""),"ワンピース&lt;br&gt;&lt;div class=""audio""&gt;[sound:わんぴーす.mp3]&lt;/div&gt;")</f>
        <v>ワンピース&lt;br&gt;&lt;div class="audio"&gt;[sound:わんぴーす.mp3]&lt;/div&gt;</v>
      </c>
      <c r="H3254" s="3" t="str">
        <f t="shared" si="1"/>
        <v>(n): váy liền thân</v>
      </c>
      <c r="I3254" s="6" t="s">
        <v>17745</v>
      </c>
      <c r="J3254" s="6" t="s">
        <v>17746</v>
      </c>
      <c r="K3254" s="7">
        <f t="shared" si="2"/>
        <v>0.5582243229</v>
      </c>
    </row>
    <row r="3255">
      <c r="A3255" s="4">
        <v>3255.0</v>
      </c>
      <c r="B3255" s="5" t="s">
        <v>17747</v>
      </c>
      <c r="C3255" s="5" t="s">
        <v>17748</v>
      </c>
      <c r="D3255" s="5" t="s">
        <v>17747</v>
      </c>
      <c r="E3255" s="6" t="s">
        <v>74</v>
      </c>
      <c r="F3255" s="6" t="s">
        <v>17749</v>
      </c>
      <c r="G3255" s="3" t="str">
        <f>IFERROR(__xludf.DUMMYFUNCTION("REGEXREPLACE(
D3255,
""([一-龯々]+)\[([^\]]+)\]"",
""&lt;ruby&gt;$1&lt;rt&gt;$2&lt;/rt&gt;&lt;/ruby&gt;""
)&amp;""&lt;br&gt;&lt;div class=""""audio""""&gt;[sound:""&amp;C3255&amp;"".mp3]&lt;/div&gt;"""),"クラシック&lt;br&gt;&lt;div class=""audio""&gt;[sound:くらしっく.mp3]&lt;/div&gt;")</f>
        <v>クラシック&lt;br&gt;&lt;div class="audio"&gt;[sound:くらしっく.mp3]&lt;/div&gt;</v>
      </c>
      <c r="H3255" s="3" t="str">
        <f t="shared" si="1"/>
        <v>(n): nhạc cổ điển</v>
      </c>
      <c r="I3255" s="6" t="s">
        <v>17750</v>
      </c>
      <c r="J3255" s="6" t="s">
        <v>17751</v>
      </c>
      <c r="K3255" s="7">
        <f t="shared" si="2"/>
        <v>0.4882082961</v>
      </c>
    </row>
    <row r="3256">
      <c r="A3256" s="4">
        <v>3256.0</v>
      </c>
      <c r="B3256" s="5" t="s">
        <v>17752</v>
      </c>
      <c r="C3256" s="5" t="s">
        <v>558</v>
      </c>
      <c r="D3256" s="5" t="s">
        <v>17753</v>
      </c>
      <c r="E3256" s="6" t="s">
        <v>24</v>
      </c>
      <c r="F3256" s="6" t="s">
        <v>17754</v>
      </c>
      <c r="G3256" s="3" t="str">
        <f>IFERROR(__xludf.DUMMYFUNCTION("REGEXREPLACE(
D3256,
""([一-龯々]+)\[([^\]]+)\]"",
""&lt;ruby&gt;$1&lt;rt&gt;$2&lt;/rt&gt;&lt;/ruby&gt;""
)&amp;""&lt;br&gt;&lt;div class=""""audio""""&gt;[sound:""&amp;C3256&amp;"".mp3]&lt;/div&gt;"""),"&lt;ruby&gt;効&lt;rt&gt;き&lt;/rt&gt;&lt;/ruby&gt;く&lt;br&gt;&lt;div class=""audio""&gt;[sound:きく.mp3]&lt;/div&gt;")</f>
        <v>&lt;ruby&gt;効&lt;rt&gt;き&lt;/rt&gt;&lt;/ruby&gt;く&lt;br&gt;&lt;div class="audio"&gt;[sound:きく.mp3]&lt;/div&gt;</v>
      </c>
      <c r="H3256" s="3" t="str">
        <f t="shared" si="1"/>
        <v>(v): có hiệu quả</v>
      </c>
      <c r="I3256" s="6" t="s">
        <v>17755</v>
      </c>
      <c r="J3256" s="6" t="s">
        <v>17756</v>
      </c>
      <c r="K3256" s="7">
        <f t="shared" si="2"/>
        <v>0.9364225673</v>
      </c>
    </row>
    <row r="3257">
      <c r="A3257" s="4">
        <v>3257.0</v>
      </c>
      <c r="B3257" s="5" t="s">
        <v>17757</v>
      </c>
      <c r="C3257" s="5" t="s">
        <v>17758</v>
      </c>
      <c r="D3257" s="5" t="s">
        <v>17759</v>
      </c>
      <c r="E3257" s="6" t="s">
        <v>74</v>
      </c>
      <c r="F3257" s="6" t="s">
        <v>11615</v>
      </c>
      <c r="G3257" s="3" t="str">
        <f>IFERROR(__xludf.DUMMYFUNCTION("REGEXREPLACE(
D3257,
""([一-龯々]+)\[([^\]]+)\]"",
""&lt;ruby&gt;$1&lt;rt&gt;$2&lt;/rt&gt;&lt;/ruby&gt;""
)&amp;""&lt;br&gt;&lt;div class=""""audio""""&gt;[sound:""&amp;C3257&amp;"".mp3]&lt;/div&gt;"""),"&lt;ruby&gt;乗換&lt;rt&gt;のりかえ&lt;/rt&gt;&lt;/ruby&gt;&lt;br&gt;&lt;div class=""audio""&gt;[sound:のりかえ.mp3]&lt;/div&gt;")</f>
        <v>&lt;ruby&gt;乗換&lt;rt&gt;のりかえ&lt;/rt&gt;&lt;/ruby&gt;&lt;br&gt;&lt;div class="audio"&gt;[sound:のりかえ.mp3]&lt;/div&gt;</v>
      </c>
      <c r="H3257" s="3" t="str">
        <f t="shared" si="1"/>
        <v>(n): chuyển tàu</v>
      </c>
      <c r="I3257" s="6" t="s">
        <v>17760</v>
      </c>
      <c r="J3257" s="6" t="s">
        <v>17761</v>
      </c>
      <c r="K3257" s="7">
        <f t="shared" si="2"/>
        <v>0.3000664376</v>
      </c>
    </row>
    <row r="3258">
      <c r="A3258" s="4">
        <v>3258.0</v>
      </c>
      <c r="B3258" s="5" t="s">
        <v>17762</v>
      </c>
      <c r="C3258" s="5" t="s">
        <v>17763</v>
      </c>
      <c r="D3258" s="5" t="s">
        <v>17764</v>
      </c>
      <c r="E3258" s="6" t="s">
        <v>74</v>
      </c>
      <c r="F3258" s="6" t="s">
        <v>17765</v>
      </c>
      <c r="G3258" s="3" t="str">
        <f>IFERROR(__xludf.DUMMYFUNCTION("REGEXREPLACE(
D3258,
""([一-龯々]+)\[([^\]]+)\]"",
""&lt;ruby&gt;$1&lt;rt&gt;$2&lt;/rt&gt;&lt;/ruby&gt;""
)&amp;""&lt;br&gt;&lt;div class=""""audio""""&gt;[sound:""&amp;C3258&amp;"".mp3]&lt;/div&gt;"""),"&lt;ruby&gt;増大&lt;rt&gt;ぞうだい&lt;/rt&gt;&lt;/ruby&gt;&lt;br&gt;&lt;div class=""audio""&gt;[sound:ぞうだい.mp3]&lt;/div&gt;")</f>
        <v>&lt;ruby&gt;増大&lt;rt&gt;ぞうだい&lt;/rt&gt;&lt;/ruby&gt;&lt;br&gt;&lt;div class="audio"&gt;[sound:ぞうだい.mp3]&lt;/div&gt;</v>
      </c>
      <c r="H3258" s="3" t="str">
        <f t="shared" si="1"/>
        <v>(n): sự mở rộng</v>
      </c>
      <c r="I3258" s="6" t="s">
        <v>17766</v>
      </c>
      <c r="J3258" s="6" t="s">
        <v>17767</v>
      </c>
      <c r="K3258" s="7">
        <f t="shared" si="2"/>
        <v>0.9587091398</v>
      </c>
    </row>
    <row r="3259">
      <c r="A3259" s="4">
        <v>3259.0</v>
      </c>
      <c r="B3259" s="5" t="s">
        <v>17768</v>
      </c>
      <c r="C3259" s="5" t="s">
        <v>17769</v>
      </c>
      <c r="D3259" s="5" t="s">
        <v>17770</v>
      </c>
      <c r="E3259" s="6" t="s">
        <v>24</v>
      </c>
      <c r="F3259" s="6" t="s">
        <v>17771</v>
      </c>
      <c r="G3259" s="3" t="str">
        <f>IFERROR(__xludf.DUMMYFUNCTION("REGEXREPLACE(
D3259,
""([一-龯々]+)\[([^\]]+)\]"",
""&lt;ruby&gt;$1&lt;rt&gt;$2&lt;/rt&gt;&lt;/ruby&gt;""
)&amp;""&lt;br&gt;&lt;div class=""""audio""""&gt;[sound:""&amp;C3259&amp;"".mp3]&lt;/div&gt;"""),"&lt;ruby&gt;交際&lt;rt&gt;こうさい&lt;/rt&gt;&lt;/ruby&gt;&lt;br&gt;&lt;div class=""audio""&gt;[sound:こうさい.mp3]&lt;/div&gt;")</f>
        <v>&lt;ruby&gt;交際&lt;rt&gt;こうさい&lt;/rt&gt;&lt;/ruby&gt;&lt;br&gt;&lt;div class="audio"&gt;[sound:こうさい.mp3]&lt;/div&gt;</v>
      </c>
      <c r="H3259" s="3" t="str">
        <f t="shared" si="1"/>
        <v>(v): giao tiếp</v>
      </c>
      <c r="I3259" s="6" t="s">
        <v>17772</v>
      </c>
      <c r="J3259" s="6" t="s">
        <v>17773</v>
      </c>
      <c r="K3259" s="7">
        <f t="shared" si="2"/>
        <v>0.272831352</v>
      </c>
    </row>
    <row r="3260">
      <c r="A3260" s="4">
        <v>3260.0</v>
      </c>
      <c r="B3260" s="5" t="s">
        <v>17774</v>
      </c>
      <c r="C3260" s="5" t="s">
        <v>17775</v>
      </c>
      <c r="D3260" s="5" t="s">
        <v>17776</v>
      </c>
      <c r="E3260" s="6" t="s">
        <v>74</v>
      </c>
      <c r="F3260" s="6" t="s">
        <v>17777</v>
      </c>
      <c r="G3260" s="3" t="str">
        <f>IFERROR(__xludf.DUMMYFUNCTION("REGEXREPLACE(
D3260,
""([一-龯々]+)\[([^\]]+)\]"",
""&lt;ruby&gt;$1&lt;rt&gt;$2&lt;/rt&gt;&lt;/ruby&gt;""
)&amp;""&lt;br&gt;&lt;div class=""""audio""""&gt;[sound:""&amp;C3260&amp;"".mp3]&lt;/div&gt;"""),"&lt;ruby&gt;人類&lt;rt&gt;じんるい&lt;/rt&gt;&lt;/ruby&gt;&lt;br&gt;&lt;div class=""audio""&gt;[sound:じんるい.mp3]&lt;/div&gt;")</f>
        <v>&lt;ruby&gt;人類&lt;rt&gt;じんるい&lt;/rt&gt;&lt;/ruby&gt;&lt;br&gt;&lt;div class="audio"&gt;[sound:じんるい.mp3]&lt;/div&gt;</v>
      </c>
      <c r="H3260" s="3" t="str">
        <f t="shared" si="1"/>
        <v>(n): nhân loại</v>
      </c>
      <c r="I3260" s="6" t="s">
        <v>17778</v>
      </c>
      <c r="J3260" s="6" t="s">
        <v>17779</v>
      </c>
      <c r="K3260" s="7">
        <f t="shared" si="2"/>
        <v>0.3453681997</v>
      </c>
    </row>
    <row r="3261">
      <c r="A3261" s="4">
        <v>3261.0</v>
      </c>
      <c r="B3261" s="5" t="s">
        <v>17780</v>
      </c>
      <c r="C3261" s="5" t="s">
        <v>17781</v>
      </c>
      <c r="D3261" s="5" t="s">
        <v>17782</v>
      </c>
      <c r="E3261" s="6" t="s">
        <v>74</v>
      </c>
      <c r="F3261" s="6" t="s">
        <v>17783</v>
      </c>
      <c r="G3261" s="3" t="str">
        <f>IFERROR(__xludf.DUMMYFUNCTION("REGEXREPLACE(
D3261,
""([一-龯々]+)\[([^\]]+)\]"",
""&lt;ruby&gt;$1&lt;rt&gt;$2&lt;/rt&gt;&lt;/ruby&gt;""
)&amp;""&lt;br&gt;&lt;div class=""""audio""""&gt;[sound:""&amp;C3261&amp;"".mp3]&lt;/div&gt;"""),"&lt;ruby&gt;要点&lt;rt&gt;ようてん&lt;/rt&gt;&lt;/ruby&gt;&lt;br&gt;&lt;div class=""audio""&gt;[sound:ようてん.mp3]&lt;/div&gt;")</f>
        <v>&lt;ruby&gt;要点&lt;rt&gt;ようてん&lt;/rt&gt;&lt;/ruby&gt;&lt;br&gt;&lt;div class="audio"&gt;[sound:ようてん.mp3]&lt;/div&gt;</v>
      </c>
      <c r="H3261" s="3" t="str">
        <f t="shared" si="1"/>
        <v>(n): trọng tâm</v>
      </c>
      <c r="I3261" s="6" t="s">
        <v>17784</v>
      </c>
      <c r="J3261" s="6" t="s">
        <v>17785</v>
      </c>
      <c r="K3261" s="7">
        <f t="shared" si="2"/>
        <v>0.1079323439</v>
      </c>
    </row>
    <row r="3262">
      <c r="A3262" s="4">
        <v>3262.0</v>
      </c>
      <c r="B3262" s="5" t="s">
        <v>17786</v>
      </c>
      <c r="C3262" s="5" t="s">
        <v>17787</v>
      </c>
      <c r="D3262" s="5" t="s">
        <v>17788</v>
      </c>
      <c r="E3262" s="6" t="s">
        <v>11</v>
      </c>
      <c r="F3262" s="6" t="s">
        <v>2032</v>
      </c>
      <c r="G3262" s="3" t="str">
        <f>IFERROR(__xludf.DUMMYFUNCTION("REGEXREPLACE(
D3262,
""([一-龯々]+)\[([^\]]+)\]"",
""&lt;ruby&gt;$1&lt;rt&gt;$2&lt;/rt&gt;&lt;/ruby&gt;""
)&amp;""&lt;br&gt;&lt;div class=""""audio""""&gt;[sound:""&amp;C3262&amp;"".mp3]&lt;/div&gt;"""),"&lt;ruby&gt;見事&lt;rt&gt;みごと&lt;/rt&gt;&lt;/ruby&gt;&lt;br&gt;&lt;div class=""audio""&gt;[sound:みごと.mp3]&lt;/div&gt;")</f>
        <v>&lt;ruby&gt;見事&lt;rt&gt;みごと&lt;/rt&gt;&lt;/ruby&gt;&lt;br&gt;&lt;div class="audio"&gt;[sound:みごと.mp3]&lt;/div&gt;</v>
      </c>
      <c r="H3262" s="3" t="str">
        <f t="shared" si="1"/>
        <v>(adj): tuyệt vời</v>
      </c>
      <c r="I3262" s="6" t="s">
        <v>17789</v>
      </c>
      <c r="J3262" s="6" t="s">
        <v>17790</v>
      </c>
      <c r="K3262" s="7">
        <f t="shared" si="2"/>
        <v>0.5848741398</v>
      </c>
    </row>
    <row r="3263">
      <c r="A3263" s="4">
        <v>3263.0</v>
      </c>
      <c r="B3263" s="5" t="s">
        <v>17791</v>
      </c>
      <c r="C3263" s="5" t="s">
        <v>17792</v>
      </c>
      <c r="D3263" s="5" t="s">
        <v>17793</v>
      </c>
      <c r="E3263" s="6" t="s">
        <v>74</v>
      </c>
      <c r="F3263" s="6" t="s">
        <v>17794</v>
      </c>
      <c r="G3263" s="3" t="str">
        <f>IFERROR(__xludf.DUMMYFUNCTION("REGEXREPLACE(
D3263,
""([一-龯々]+)\[([^\]]+)\]"",
""&lt;ruby&gt;$1&lt;rt&gt;$2&lt;/rt&gt;&lt;/ruby&gt;""
)&amp;""&lt;br&gt;&lt;div class=""""audio""""&gt;[sound:""&amp;C3263&amp;"".mp3]&lt;/div&gt;"""),"&lt;ruby&gt;解釈&lt;rt&gt;かいしゃく&lt;/rt&gt;&lt;/ruby&gt;&lt;br&gt;&lt;div class=""audio""&gt;[sound:かいしゃく.mp3]&lt;/div&gt;")</f>
        <v>&lt;ruby&gt;解釈&lt;rt&gt;かいしゃく&lt;/rt&gt;&lt;/ruby&gt;&lt;br&gt;&lt;div class="audio"&gt;[sound:かいしゃく.mp3]&lt;/div&gt;</v>
      </c>
      <c r="H3263" s="3" t="str">
        <f t="shared" si="1"/>
        <v>(n): diễn giải</v>
      </c>
      <c r="I3263" s="6" t="s">
        <v>17795</v>
      </c>
      <c r="J3263" s="6" t="s">
        <v>17796</v>
      </c>
      <c r="K3263" s="7">
        <f t="shared" si="2"/>
        <v>0.9484797104</v>
      </c>
    </row>
    <row r="3264">
      <c r="A3264" s="4">
        <v>3264.0</v>
      </c>
      <c r="B3264" s="5" t="s">
        <v>17797</v>
      </c>
      <c r="C3264" s="5" t="s">
        <v>13132</v>
      </c>
      <c r="D3264" s="5" t="s">
        <v>17798</v>
      </c>
      <c r="E3264" s="6" t="s">
        <v>74</v>
      </c>
      <c r="F3264" s="6" t="s">
        <v>17799</v>
      </c>
      <c r="G3264" s="3" t="str">
        <f>IFERROR(__xludf.DUMMYFUNCTION("REGEXREPLACE(
D3264,
""([一-龯々]+)\[([^\]]+)\]"",
""&lt;ruby&gt;$1&lt;rt&gt;$2&lt;/rt&gt;&lt;/ruby&gt;""
)&amp;""&lt;br&gt;&lt;div class=""""audio""""&gt;[sound:""&amp;C3264&amp;"".mp3]&lt;/div&gt;"""),"&lt;ruby&gt;講義&lt;rt&gt;こうぎ&lt;/rt&gt;&lt;/ruby&gt;&lt;br&gt;&lt;div class=""audio""&gt;[sound:こうぎ.mp3]&lt;/div&gt;")</f>
        <v>&lt;ruby&gt;講義&lt;rt&gt;こうぎ&lt;/rt&gt;&lt;/ruby&gt;&lt;br&gt;&lt;div class="audio"&gt;[sound:こうぎ.mp3]&lt;/div&gt;</v>
      </c>
      <c r="H3264" s="3" t="str">
        <f t="shared" si="1"/>
        <v>(n): bài giảng</v>
      </c>
      <c r="I3264" s="6" t="s">
        <v>17800</v>
      </c>
      <c r="J3264" s="6" t="s">
        <v>17801</v>
      </c>
      <c r="K3264" s="7">
        <f t="shared" si="2"/>
        <v>0.479079094</v>
      </c>
    </row>
    <row r="3265">
      <c r="A3265" s="4">
        <v>3265.0</v>
      </c>
      <c r="B3265" s="5" t="s">
        <v>17802</v>
      </c>
      <c r="C3265" s="5" t="s">
        <v>17803</v>
      </c>
      <c r="D3265" s="5" t="s">
        <v>17804</v>
      </c>
      <c r="E3265" s="6" t="s">
        <v>74</v>
      </c>
      <c r="F3265" s="6" t="s">
        <v>4949</v>
      </c>
      <c r="G3265" s="3" t="str">
        <f>IFERROR(__xludf.DUMMYFUNCTION("REGEXREPLACE(
D3265,
""([一-龯々]+)\[([^\]]+)\]"",
""&lt;ruby&gt;$1&lt;rt&gt;$2&lt;/rt&gt;&lt;/ruby&gt;""
)&amp;""&lt;br&gt;&lt;div class=""""audio""""&gt;[sound:""&amp;C3265&amp;"".mp3]&lt;/div&gt;"""),"&lt;ruby&gt;通知&lt;rt&gt;つうち&lt;/rt&gt;&lt;/ruby&gt;&lt;br&gt;&lt;div class=""audio""&gt;[sound:つうち.mp3]&lt;/div&gt;")</f>
        <v>&lt;ruby&gt;通知&lt;rt&gt;つうち&lt;/rt&gt;&lt;/ruby&gt;&lt;br&gt;&lt;div class="audio"&gt;[sound:つうち.mp3]&lt;/div&gt;</v>
      </c>
      <c r="H3265" s="3" t="str">
        <f t="shared" si="1"/>
        <v>(n): thông báo</v>
      </c>
      <c r="I3265" s="6" t="s">
        <v>17805</v>
      </c>
      <c r="J3265" s="6" t="s">
        <v>9522</v>
      </c>
      <c r="K3265" s="7">
        <f t="shared" si="2"/>
        <v>0.7708494036</v>
      </c>
    </row>
    <row r="3266">
      <c r="A3266" s="4">
        <v>3266.0</v>
      </c>
      <c r="B3266" s="5" t="s">
        <v>17806</v>
      </c>
      <c r="C3266" s="5" t="s">
        <v>17807</v>
      </c>
      <c r="D3266" s="5" t="s">
        <v>17808</v>
      </c>
      <c r="E3266" s="6" t="s">
        <v>74</v>
      </c>
      <c r="F3266" s="6" t="s">
        <v>17783</v>
      </c>
      <c r="G3266" s="3" t="str">
        <f>IFERROR(__xludf.DUMMYFUNCTION("REGEXREPLACE(
D3266,
""([一-龯々]+)\[([^\]]+)\]"",
""&lt;ruby&gt;$1&lt;rt&gt;$2&lt;/rt&gt;&lt;/ruby&gt;""
)&amp;""&lt;br&gt;&lt;div class=""""audio""""&gt;[sound:""&amp;C3266&amp;"".mp3]&lt;/div&gt;"""),"&lt;ruby&gt;重点&lt;rt&gt;じゅうてん&lt;/rt&gt;&lt;/ruby&gt;&lt;br&gt;&lt;div class=""audio""&gt;[sound:じゅうてん.mp3]&lt;/div&gt;")</f>
        <v>&lt;ruby&gt;重点&lt;rt&gt;じゅうてん&lt;/rt&gt;&lt;/ruby&gt;&lt;br&gt;&lt;div class="audio"&gt;[sound:じゅうてん.mp3]&lt;/div&gt;</v>
      </c>
      <c r="H3266" s="3" t="str">
        <f t="shared" si="1"/>
        <v>(n): trọng tâm</v>
      </c>
      <c r="I3266" s="6" t="s">
        <v>17809</v>
      </c>
      <c r="J3266" s="6" t="s">
        <v>17810</v>
      </c>
      <c r="K3266" s="7">
        <f t="shared" si="2"/>
        <v>0.7294922879</v>
      </c>
    </row>
    <row r="3267">
      <c r="A3267" s="4">
        <v>3267.0</v>
      </c>
      <c r="B3267" s="5" t="s">
        <v>17811</v>
      </c>
      <c r="C3267" s="5" t="s">
        <v>17812</v>
      </c>
      <c r="D3267" s="5" t="s">
        <v>17813</v>
      </c>
      <c r="E3267" s="6" t="s">
        <v>24</v>
      </c>
      <c r="F3267" s="6" t="s">
        <v>17814</v>
      </c>
      <c r="G3267" s="3" t="str">
        <f>IFERROR(__xludf.DUMMYFUNCTION("REGEXREPLACE(
D3267,
""([一-龯々]+)\[([^\]]+)\]"",
""&lt;ruby&gt;$1&lt;rt&gt;$2&lt;/rt&gt;&lt;/ruby&gt;""
)&amp;""&lt;br&gt;&lt;div class=""""audio""""&gt;[sound:""&amp;C3267&amp;"".mp3]&lt;/div&gt;"""),"&lt;ruby&gt;飾&lt;rt&gt;かざ&lt;/rt&gt;&lt;/ruby&gt;る&lt;br&gt;&lt;div class=""audio""&gt;[sound:かざる.mp3]&lt;/div&gt;")</f>
        <v>&lt;ruby&gt;飾&lt;rt&gt;かざ&lt;/rt&gt;&lt;/ruby&gt;る&lt;br&gt;&lt;div class="audio"&gt;[sound:かざる.mp3]&lt;/div&gt;</v>
      </c>
      <c r="H3267" s="3" t="str">
        <f t="shared" si="1"/>
        <v>(v): trang trí</v>
      </c>
      <c r="I3267" s="6" t="s">
        <v>17815</v>
      </c>
      <c r="J3267" s="6" t="s">
        <v>17816</v>
      </c>
      <c r="K3267" s="7">
        <f t="shared" si="2"/>
        <v>0.2545444741</v>
      </c>
    </row>
    <row r="3268">
      <c r="A3268" s="4">
        <v>3268.0</v>
      </c>
      <c r="B3268" s="5" t="s">
        <v>17817</v>
      </c>
      <c r="C3268" s="5" t="s">
        <v>17818</v>
      </c>
      <c r="D3268" s="5" t="s">
        <v>17819</v>
      </c>
      <c r="E3268" s="6" t="s">
        <v>11</v>
      </c>
      <c r="F3268" s="6" t="s">
        <v>17820</v>
      </c>
      <c r="G3268" s="3" t="str">
        <f>IFERROR(__xludf.DUMMYFUNCTION("REGEXREPLACE(
D3268,
""([一-龯々]+)\[([^\]]+)\]"",
""&lt;ruby&gt;$1&lt;rt&gt;$2&lt;/rt&gt;&lt;/ruby&gt;""
)&amp;""&lt;br&gt;&lt;div class=""""audio""""&gt;[sound:""&amp;C3268&amp;"".mp3]&lt;/div&gt;"""),"&lt;ruby&gt;不幸&lt;rt&gt;ふこう&lt;/rt&gt;&lt;/ruby&gt;&lt;br&gt;&lt;div class=""audio""&gt;[sound:ふこう.mp3]&lt;/div&gt;")</f>
        <v>&lt;ruby&gt;不幸&lt;rt&gt;ふこう&lt;/rt&gt;&lt;/ruby&gt;&lt;br&gt;&lt;div class="audio"&gt;[sound:ふこう.mp3]&lt;/div&gt;</v>
      </c>
      <c r="H3268" s="3" t="str">
        <f t="shared" si="1"/>
        <v>(adj): bất hạnh</v>
      </c>
      <c r="I3268" s="6" t="s">
        <v>17821</v>
      </c>
      <c r="J3268" s="6" t="s">
        <v>17822</v>
      </c>
      <c r="K3268" s="7">
        <f t="shared" si="2"/>
        <v>0.8509452259</v>
      </c>
    </row>
    <row r="3269">
      <c r="A3269" s="4">
        <v>3269.0</v>
      </c>
      <c r="B3269" s="5" t="s">
        <v>17823</v>
      </c>
      <c r="C3269" s="5" t="s">
        <v>17824</v>
      </c>
      <c r="D3269" s="5" t="s">
        <v>17825</v>
      </c>
      <c r="E3269" s="6" t="s">
        <v>74</v>
      </c>
      <c r="F3269" s="6" t="s">
        <v>5740</v>
      </c>
      <c r="G3269" s="3" t="str">
        <f>IFERROR(__xludf.DUMMYFUNCTION("REGEXREPLACE(
D3269,
""([一-龯々]+)\[([^\]]+)\]"",
""&lt;ruby&gt;$1&lt;rt&gt;$2&lt;/rt&gt;&lt;/ruby&gt;""
)&amp;""&lt;br&gt;&lt;div class=""""audio""""&gt;[sound:""&amp;C3269&amp;"".mp3]&lt;/div&gt;"""),"&lt;ruby&gt;代理&lt;rt&gt;だいり&lt;/rt&gt;&lt;/ruby&gt;&lt;br&gt;&lt;div class=""audio""&gt;[sound:だいり.mp3]&lt;/div&gt;")</f>
        <v>&lt;ruby&gt;代理&lt;rt&gt;だいり&lt;/rt&gt;&lt;/ruby&gt;&lt;br&gt;&lt;div class="audio"&gt;[sound:だいり.mp3]&lt;/div&gt;</v>
      </c>
      <c r="H3269" s="3" t="str">
        <f t="shared" si="1"/>
        <v>(n): đại diện</v>
      </c>
      <c r="I3269" s="6" t="s">
        <v>17826</v>
      </c>
      <c r="J3269" s="6" t="s">
        <v>17827</v>
      </c>
      <c r="K3269" s="7">
        <f t="shared" si="2"/>
        <v>0.6044353395</v>
      </c>
    </row>
    <row r="3270">
      <c r="A3270" s="4">
        <v>3270.0</v>
      </c>
      <c r="B3270" s="5" t="s">
        <v>17828</v>
      </c>
      <c r="C3270" s="5" t="s">
        <v>17829</v>
      </c>
      <c r="D3270" s="5" t="s">
        <v>17830</v>
      </c>
      <c r="E3270" s="6" t="s">
        <v>11</v>
      </c>
      <c r="F3270" s="6" t="s">
        <v>17831</v>
      </c>
      <c r="G3270" s="3" t="str">
        <f>IFERROR(__xludf.DUMMYFUNCTION("REGEXREPLACE(
D3270,
""([一-龯々]+)\[([^\]]+)\]"",
""&lt;ruby&gt;$1&lt;rt&gt;$2&lt;/rt&gt;&lt;/ruby&gt;""
)&amp;""&lt;br&gt;&lt;div class=""""audio""""&gt;[sound:""&amp;C3270&amp;"".mp3]&lt;/div&gt;"""),"&lt;ruby&gt;急激&lt;rt&gt;きゅうげき&lt;/rt&gt;&lt;/ruby&gt;&lt;br&gt;&lt;div class=""audio""&gt;[sound:きゅうげき.mp3]&lt;/div&gt;")</f>
        <v>&lt;ruby&gt;急激&lt;rt&gt;きゅうげき&lt;/rt&gt;&lt;/ruby&gt;&lt;br&gt;&lt;div class="audio"&gt;[sound:きゅうげき.mp3]&lt;/div&gt;</v>
      </c>
      <c r="H3270" s="3" t="str">
        <f t="shared" si="1"/>
        <v>(adj): đột ngột</v>
      </c>
      <c r="I3270" s="6" t="s">
        <v>17832</v>
      </c>
      <c r="J3270" s="6" t="s">
        <v>17833</v>
      </c>
      <c r="K3270" s="7">
        <f t="shared" si="2"/>
        <v>0.3926209088</v>
      </c>
    </row>
    <row r="3271">
      <c r="A3271" s="4">
        <v>3271.0</v>
      </c>
      <c r="B3271" s="5" t="s">
        <v>17834</v>
      </c>
      <c r="C3271" s="5" t="s">
        <v>17835</v>
      </c>
      <c r="D3271" s="5" t="s">
        <v>17836</v>
      </c>
      <c r="E3271" s="6" t="s">
        <v>74</v>
      </c>
      <c r="F3271" s="6" t="s">
        <v>17837</v>
      </c>
      <c r="G3271" s="3" t="str">
        <f>IFERROR(__xludf.DUMMYFUNCTION("REGEXREPLACE(
D3271,
""([一-龯々]+)\[([^\]]+)\]"",
""&lt;ruby&gt;$1&lt;rt&gt;$2&lt;/rt&gt;&lt;/ruby&gt;""
)&amp;""&lt;br&gt;&lt;div class=""""audio""""&gt;[sound:""&amp;C3271&amp;"".mp3]&lt;/div&gt;"""),"&lt;ruby&gt;治療&lt;rt&gt;ちりょう&lt;/rt&gt;&lt;/ruby&gt;&lt;br&gt;&lt;div class=""audio""&gt;[sound:ちりょう.mp3]&lt;/div&gt;")</f>
        <v>&lt;ruby&gt;治療&lt;rt&gt;ちりょう&lt;/rt&gt;&lt;/ruby&gt;&lt;br&gt;&lt;div class="audio"&gt;[sound:ちりょう.mp3]&lt;/div&gt;</v>
      </c>
      <c r="H3271" s="3" t="str">
        <f t="shared" si="1"/>
        <v>(n): trị liệu</v>
      </c>
      <c r="I3271" s="6" t="s">
        <v>17838</v>
      </c>
      <c r="J3271" s="6" t="s">
        <v>17839</v>
      </c>
      <c r="K3271" s="7">
        <f t="shared" si="2"/>
        <v>0.4663381725</v>
      </c>
    </row>
    <row r="3272">
      <c r="A3272" s="4">
        <v>3272.0</v>
      </c>
      <c r="B3272" s="5" t="s">
        <v>17840</v>
      </c>
      <c r="C3272" s="5" t="s">
        <v>17841</v>
      </c>
      <c r="D3272" s="5" t="s">
        <v>17842</v>
      </c>
      <c r="E3272" s="6" t="s">
        <v>24</v>
      </c>
      <c r="F3272" s="6" t="s">
        <v>17843</v>
      </c>
      <c r="G3272" s="3" t="str">
        <f>IFERROR(__xludf.DUMMYFUNCTION("REGEXREPLACE(
D3272,
""([一-龯々]+)\[([^\]]+)\]"",
""&lt;ruby&gt;$1&lt;rt&gt;$2&lt;/rt&gt;&lt;/ruby&gt;""
)&amp;""&lt;br&gt;&lt;div class=""""audio""""&gt;[sound:""&amp;C3272&amp;"".mp3]&lt;/div&gt;"""),"&lt;ruby&gt;狙&lt;rt&gt;ねら&lt;/rt&gt;&lt;/ruby&gt;う&lt;br&gt;&lt;div class=""audio""&gt;[sound:ねらう.mp3]&lt;/div&gt;")</f>
        <v>&lt;ruby&gt;狙&lt;rt&gt;ねら&lt;/rt&gt;&lt;/ruby&gt;う&lt;br&gt;&lt;div class="audio"&gt;[sound:ねらう.mp3]&lt;/div&gt;</v>
      </c>
      <c r="H3272" s="3" t="str">
        <f t="shared" si="1"/>
        <v>(v): nhắm vào</v>
      </c>
      <c r="I3272" s="6" t="s">
        <v>17844</v>
      </c>
      <c r="J3272" s="6" t="s">
        <v>17845</v>
      </c>
      <c r="K3272" s="7">
        <f t="shared" si="2"/>
        <v>0.6247882489</v>
      </c>
    </row>
    <row r="3273">
      <c r="A3273" s="4">
        <v>3273.0</v>
      </c>
      <c r="B3273" s="5" t="s">
        <v>17846</v>
      </c>
      <c r="C3273" s="5" t="s">
        <v>17847</v>
      </c>
      <c r="D3273" s="5" t="s">
        <v>17848</v>
      </c>
      <c r="E3273" s="6" t="s">
        <v>74</v>
      </c>
      <c r="F3273" s="6" t="s">
        <v>17849</v>
      </c>
      <c r="G3273" s="3" t="str">
        <f>IFERROR(__xludf.DUMMYFUNCTION("REGEXREPLACE(
D3273,
""([一-龯々]+)\[([^\]]+)\]"",
""&lt;ruby&gt;$1&lt;rt&gt;$2&lt;/rt&gt;&lt;/ruby&gt;""
)&amp;""&lt;br&gt;&lt;div class=""""audio""""&gt;[sound:""&amp;C3273&amp;"".mp3]&lt;/div&gt;"""),"&lt;ruby&gt;生物&lt;rt&gt;せいぶつ&lt;/rt&gt;&lt;/ruby&gt;&lt;br&gt;&lt;div class=""audio""&gt;[sound:せいぶつ.mp3]&lt;/div&gt;")</f>
        <v>&lt;ruby&gt;生物&lt;rt&gt;せいぶつ&lt;/rt&gt;&lt;/ruby&gt;&lt;br&gt;&lt;div class="audio"&gt;[sound:せいぶつ.mp3]&lt;/div&gt;</v>
      </c>
      <c r="H3273" s="3" t="str">
        <f t="shared" si="1"/>
        <v>(n): sinh vật</v>
      </c>
      <c r="I3273" s="6" t="s">
        <v>17850</v>
      </c>
      <c r="J3273" s="6" t="s">
        <v>17851</v>
      </c>
      <c r="K3273" s="7">
        <f t="shared" si="2"/>
        <v>0.4164190874</v>
      </c>
    </row>
    <row r="3274">
      <c r="A3274" s="4">
        <v>3274.0</v>
      </c>
      <c r="B3274" s="5" t="s">
        <v>17852</v>
      </c>
      <c r="C3274" s="5" t="s">
        <v>17853</v>
      </c>
      <c r="D3274" s="5" t="s">
        <v>17854</v>
      </c>
      <c r="E3274" s="6" t="s">
        <v>74</v>
      </c>
      <c r="F3274" s="6" t="s">
        <v>17855</v>
      </c>
      <c r="G3274" s="3" t="str">
        <f>IFERROR(__xludf.DUMMYFUNCTION("REGEXREPLACE(
D3274,
""([一-龯々]+)\[([^\]]+)\]"",
""&lt;ruby&gt;$1&lt;rt&gt;$2&lt;/rt&gt;&lt;/ruby&gt;""
)&amp;""&lt;br&gt;&lt;div class=""""audio""""&gt;[sound:""&amp;C3274&amp;"".mp3]&lt;/div&gt;"""),"&lt;ruby&gt;誤解&lt;rt&gt;ごかい&lt;/rt&gt;&lt;/ruby&gt;&lt;br&gt;&lt;div class=""audio""&gt;[sound:ごかい.mp3]&lt;/div&gt;")</f>
        <v>&lt;ruby&gt;誤解&lt;rt&gt;ごかい&lt;/rt&gt;&lt;/ruby&gt;&lt;br&gt;&lt;div class="audio"&gt;[sound:ごかい.mp3]&lt;/div&gt;</v>
      </c>
      <c r="H3274" s="3" t="str">
        <f t="shared" si="1"/>
        <v>(n): hiểu lầm</v>
      </c>
      <c r="I3274" s="6" t="s">
        <v>17856</v>
      </c>
      <c r="J3274" s="6" t="s">
        <v>17857</v>
      </c>
      <c r="K3274" s="7">
        <f t="shared" si="2"/>
        <v>0.6893856234</v>
      </c>
    </row>
    <row r="3275">
      <c r="A3275" s="4">
        <v>3275.0</v>
      </c>
      <c r="B3275" s="5" t="s">
        <v>17858</v>
      </c>
      <c r="C3275" s="5" t="s">
        <v>14213</v>
      </c>
      <c r="D3275" s="5" t="s">
        <v>17859</v>
      </c>
      <c r="E3275" s="6" t="s">
        <v>24</v>
      </c>
      <c r="F3275" s="6" t="s">
        <v>8547</v>
      </c>
      <c r="G3275" s="3" t="str">
        <f>IFERROR(__xludf.DUMMYFUNCTION("REGEXREPLACE(
D3275,
""([一-龯々]+)\[([^\]]+)\]"",
""&lt;ruby&gt;$1&lt;rt&gt;$2&lt;/rt&gt;&lt;/ruby&gt;""
)&amp;""&lt;br&gt;&lt;div class=""""audio""""&gt;[sound:""&amp;C3275&amp;"".mp3]&lt;/div&gt;"""),"&lt;ruby&gt;越&lt;rt&gt;こ&lt;/rt&gt;&lt;/ruby&gt;す&lt;br&gt;&lt;div class=""audio""&gt;[sound:こす.mp3]&lt;/div&gt;")</f>
        <v>&lt;ruby&gt;越&lt;rt&gt;こ&lt;/rt&gt;&lt;/ruby&gt;す&lt;br&gt;&lt;div class="audio"&gt;[sound:こす.mp3]&lt;/div&gt;</v>
      </c>
      <c r="H3275" s="3" t="str">
        <f t="shared" si="1"/>
        <v>(v): vượt qua</v>
      </c>
      <c r="I3275" s="6" t="s">
        <v>17860</v>
      </c>
      <c r="J3275" s="6" t="s">
        <v>17861</v>
      </c>
      <c r="K3275" s="7">
        <f t="shared" si="2"/>
        <v>0.5766767734</v>
      </c>
    </row>
    <row r="3276">
      <c r="A3276" s="4">
        <v>3276.0</v>
      </c>
      <c r="B3276" s="5" t="s">
        <v>17862</v>
      </c>
      <c r="C3276" s="5" t="s">
        <v>17863</v>
      </c>
      <c r="D3276" s="5" t="s">
        <v>17864</v>
      </c>
      <c r="E3276" s="6" t="s">
        <v>74</v>
      </c>
      <c r="F3276" s="6" t="s">
        <v>17865</v>
      </c>
      <c r="G3276" s="3" t="str">
        <f>IFERROR(__xludf.DUMMYFUNCTION("REGEXREPLACE(
D3276,
""([一-龯々]+)\[([^\]]+)\]"",
""&lt;ruby&gt;$1&lt;rt&gt;$2&lt;/rt&gt;&lt;/ruby&gt;""
)&amp;""&lt;br&gt;&lt;div class=""""audio""""&gt;[sound:""&amp;C3276&amp;"".mp3]&lt;/div&gt;"""),"&lt;ruby&gt;下旬&lt;rt&gt;げじゅん&lt;/rt&gt;&lt;/ruby&gt;&lt;br&gt;&lt;div class=""audio""&gt;[sound:げじゅん.mp3]&lt;/div&gt;")</f>
        <v>&lt;ruby&gt;下旬&lt;rt&gt;げじゅん&lt;/rt&gt;&lt;/ruby&gt;&lt;br&gt;&lt;div class="audio"&gt;[sound:げじゅん.mp3]&lt;/div&gt;</v>
      </c>
      <c r="H3276" s="3" t="str">
        <f t="shared" si="1"/>
        <v>(n): hạ tuần</v>
      </c>
      <c r="I3276" s="6" t="s">
        <v>17866</v>
      </c>
      <c r="J3276" s="6" t="s">
        <v>17867</v>
      </c>
      <c r="K3276" s="7">
        <f t="shared" si="2"/>
        <v>0.4687193102</v>
      </c>
    </row>
    <row r="3277">
      <c r="A3277" s="4">
        <v>3277.0</v>
      </c>
      <c r="B3277" s="5" t="s">
        <v>17868</v>
      </c>
      <c r="C3277" s="5" t="s">
        <v>17869</v>
      </c>
      <c r="D3277" s="5" t="s">
        <v>17870</v>
      </c>
      <c r="E3277" s="6" t="s">
        <v>74</v>
      </c>
      <c r="F3277" s="6" t="s">
        <v>17871</v>
      </c>
      <c r="G3277" s="3" t="str">
        <f>IFERROR(__xludf.DUMMYFUNCTION("REGEXREPLACE(
D3277,
""([一-龯々]+)\[([^\]]+)\]"",
""&lt;ruby&gt;$1&lt;rt&gt;$2&lt;/rt&gt;&lt;/ruby&gt;""
)&amp;""&lt;br&gt;&lt;div class=""""audio""""&gt;[sound:""&amp;C3277&amp;"".mp3]&lt;/div&gt;"""),"&lt;ruby&gt;両側&lt;rt&gt;りょうがわ&lt;/rt&gt;&lt;/ruby&gt;&lt;br&gt;&lt;div class=""audio""&gt;[sound:りょうがわ.mp3]&lt;/div&gt;")</f>
        <v>&lt;ruby&gt;両側&lt;rt&gt;りょうがわ&lt;/rt&gt;&lt;/ruby&gt;&lt;br&gt;&lt;div class="audio"&gt;[sound:りょうがわ.mp3]&lt;/div&gt;</v>
      </c>
      <c r="H3277" s="3" t="str">
        <f t="shared" si="1"/>
        <v>(n): hai bên</v>
      </c>
      <c r="I3277" s="6" t="s">
        <v>17872</v>
      </c>
      <c r="J3277" s="6" t="s">
        <v>17873</v>
      </c>
      <c r="K3277" s="7">
        <f t="shared" si="2"/>
        <v>0.4754567408</v>
      </c>
    </row>
    <row r="3278">
      <c r="A3278" s="4">
        <v>3278.0</v>
      </c>
      <c r="B3278" s="5" t="s">
        <v>17874</v>
      </c>
      <c r="C3278" s="5" t="s">
        <v>17875</v>
      </c>
      <c r="D3278" s="5" t="s">
        <v>17876</v>
      </c>
      <c r="E3278" s="6" t="s">
        <v>74</v>
      </c>
      <c r="F3278" s="6" t="s">
        <v>17877</v>
      </c>
      <c r="G3278" s="3" t="str">
        <f>IFERROR(__xludf.DUMMYFUNCTION("REGEXREPLACE(
D3278,
""([一-龯々]+)\[([^\]]+)\]"",
""&lt;ruby&gt;$1&lt;rt&gt;$2&lt;/rt&gt;&lt;/ruby&gt;""
)&amp;""&lt;br&gt;&lt;div class=""""audio""""&gt;[sound:""&amp;C3278&amp;"".mp3]&lt;/div&gt;"""),"&lt;ruby&gt;後輩&lt;rt&gt;こうはい&lt;/rt&gt;&lt;/ruby&gt;&lt;br&gt;&lt;div class=""audio""&gt;[sound:こうはい.mp3]&lt;/div&gt;")</f>
        <v>&lt;ruby&gt;後輩&lt;rt&gt;こうはい&lt;/rt&gt;&lt;/ruby&gt;&lt;br&gt;&lt;div class="audio"&gt;[sound:こうはい.mp3]&lt;/div&gt;</v>
      </c>
      <c r="H3278" s="3" t="str">
        <f t="shared" si="1"/>
        <v>(n): hậu bối</v>
      </c>
      <c r="I3278" s="6" t="s">
        <v>17878</v>
      </c>
      <c r="J3278" s="6" t="s">
        <v>17879</v>
      </c>
      <c r="K3278" s="7">
        <f t="shared" si="2"/>
        <v>0.6819938722</v>
      </c>
    </row>
    <row r="3279">
      <c r="A3279" s="4">
        <v>3279.0</v>
      </c>
      <c r="B3279" s="5" t="s">
        <v>17880</v>
      </c>
      <c r="C3279" s="5" t="s">
        <v>17881</v>
      </c>
      <c r="D3279" s="5" t="s">
        <v>17882</v>
      </c>
      <c r="E3279" s="6" t="s">
        <v>74</v>
      </c>
      <c r="F3279" s="6" t="s">
        <v>17883</v>
      </c>
      <c r="G3279" s="3" t="str">
        <f>IFERROR(__xludf.DUMMYFUNCTION("REGEXREPLACE(
D3279,
""([一-龯々]+)\[([^\]]+)\]"",
""&lt;ruby&gt;$1&lt;rt&gt;$2&lt;/rt&gt;&lt;/ruby&gt;""
)&amp;""&lt;br&gt;&lt;div class=""""audio""""&gt;[sound:""&amp;C3279&amp;"".mp3]&lt;/div&gt;"""),"&lt;ruby&gt;衛星&lt;rt&gt;えいせい&lt;/rt&gt;&lt;/ruby&gt;&lt;br&gt;&lt;div class=""audio""&gt;[sound:えいせい.mp3]&lt;/div&gt;")</f>
        <v>&lt;ruby&gt;衛星&lt;rt&gt;えいせい&lt;/rt&gt;&lt;/ruby&gt;&lt;br&gt;&lt;div class="audio"&gt;[sound:えいせい.mp3]&lt;/div&gt;</v>
      </c>
      <c r="H3279" s="3" t="str">
        <f t="shared" si="1"/>
        <v>(n): vệ tinh</v>
      </c>
      <c r="I3279" s="6" t="s">
        <v>17884</v>
      </c>
      <c r="J3279" s="6" t="s">
        <v>17885</v>
      </c>
      <c r="K3279" s="7">
        <f t="shared" si="2"/>
        <v>0.04940433753</v>
      </c>
    </row>
    <row r="3280">
      <c r="A3280" s="4">
        <v>3280.0</v>
      </c>
      <c r="B3280" s="5" t="s">
        <v>17886</v>
      </c>
      <c r="C3280" s="5" t="s">
        <v>17887</v>
      </c>
      <c r="D3280" s="5" t="s">
        <v>17888</v>
      </c>
      <c r="E3280" s="6" t="s">
        <v>24</v>
      </c>
      <c r="F3280" s="6" t="s">
        <v>17889</v>
      </c>
      <c r="G3280" s="3" t="str">
        <f>IFERROR(__xludf.DUMMYFUNCTION("REGEXREPLACE(
D3280,
""([一-龯々]+)\[([^\]]+)\]"",
""&lt;ruby&gt;$1&lt;rt&gt;$2&lt;/rt&gt;&lt;/ruby&gt;""
)&amp;""&lt;br&gt;&lt;div class=""""audio""""&gt;[sound:""&amp;C3280&amp;"".mp3]&lt;/div&gt;"""),"&lt;ruby&gt;去&lt;rt&gt;さ&lt;/rt&gt;&lt;/ruby&gt;る&lt;br&gt;&lt;div class=""audio""&gt;[sound:さる.mp3]&lt;/div&gt;")</f>
        <v>&lt;ruby&gt;去&lt;rt&gt;さ&lt;/rt&gt;&lt;/ruby&gt;る&lt;br&gt;&lt;div class="audio"&gt;[sound:さる.mp3]&lt;/div&gt;</v>
      </c>
      <c r="H3280" s="3" t="str">
        <f t="shared" si="1"/>
        <v>(v): rời đi</v>
      </c>
      <c r="I3280" s="6" t="s">
        <v>17890</v>
      </c>
      <c r="J3280" s="6" t="s">
        <v>17891</v>
      </c>
      <c r="K3280" s="7">
        <f t="shared" si="2"/>
        <v>0.6353049219</v>
      </c>
    </row>
    <row r="3281">
      <c r="A3281" s="4">
        <v>3281.0</v>
      </c>
      <c r="B3281" s="5" t="s">
        <v>17892</v>
      </c>
      <c r="C3281" s="5" t="s">
        <v>17893</v>
      </c>
      <c r="D3281" s="5" t="s">
        <v>17894</v>
      </c>
      <c r="E3281" s="6" t="s">
        <v>11</v>
      </c>
      <c r="F3281" s="6" t="s">
        <v>17895</v>
      </c>
      <c r="G3281" s="3" t="str">
        <f>IFERROR(__xludf.DUMMYFUNCTION("REGEXREPLACE(
D3281,
""([一-龯々]+)\[([^\]]+)\]"",
""&lt;ruby&gt;$1&lt;rt&gt;$2&lt;/rt&gt;&lt;/ruby&gt;""
)&amp;""&lt;br&gt;&lt;div class=""""audio""""&gt;[sound:""&amp;C3281&amp;"".mp3]&lt;/div&gt;"""),"&lt;ruby&gt;珍&lt;rt&gt;めずら&lt;/rt&gt;&lt;/ruby&gt;しい&lt;br&gt;&lt;div class=""audio""&gt;[sound:めずらしい.mp3]&lt;/div&gt;")</f>
        <v>&lt;ruby&gt;珍&lt;rt&gt;めずら&lt;/rt&gt;&lt;/ruby&gt;しい&lt;br&gt;&lt;div class="audio"&gt;[sound:めずらしい.mp3]&lt;/div&gt;</v>
      </c>
      <c r="H3281" s="3" t="str">
        <f t="shared" si="1"/>
        <v>(adj): hiếm</v>
      </c>
      <c r="I3281" s="6" t="s">
        <v>17896</v>
      </c>
      <c r="J3281" s="6" t="s">
        <v>17897</v>
      </c>
      <c r="K3281" s="7">
        <f t="shared" si="2"/>
        <v>0.5904183184</v>
      </c>
    </row>
    <row r="3282">
      <c r="A3282" s="4">
        <v>3282.0</v>
      </c>
      <c r="B3282" s="5" t="s">
        <v>17898</v>
      </c>
      <c r="C3282" s="5" t="s">
        <v>17899</v>
      </c>
      <c r="D3282" s="5" t="s">
        <v>17900</v>
      </c>
      <c r="E3282" s="6" t="s">
        <v>74</v>
      </c>
      <c r="F3282" s="6" t="s">
        <v>17901</v>
      </c>
      <c r="G3282" s="3" t="str">
        <f>IFERROR(__xludf.DUMMYFUNCTION("REGEXREPLACE(
D3282,
""([一-龯々]+)\[([^\]]+)\]"",
""&lt;ruby&gt;$1&lt;rt&gt;$2&lt;/rt&gt;&lt;/ruby&gt;""
)&amp;""&lt;br&gt;&lt;div class=""""audio""""&gt;[sound:""&amp;C3282&amp;"".mp3]&lt;/div&gt;"""),"&lt;ruby&gt;三角&lt;rt&gt;さんかく&lt;/rt&gt;&lt;/ruby&gt;&lt;br&gt;&lt;div class=""audio""&gt;[sound:さんかく.mp3]&lt;/div&gt;")</f>
        <v>&lt;ruby&gt;三角&lt;rt&gt;さんかく&lt;/rt&gt;&lt;/ruby&gt;&lt;br&gt;&lt;div class="audio"&gt;[sound:さんかく.mp3]&lt;/div&gt;</v>
      </c>
      <c r="H3282" s="3" t="str">
        <f t="shared" si="1"/>
        <v>(n): hình tam giác</v>
      </c>
      <c r="I3282" s="6" t="s">
        <v>17902</v>
      </c>
      <c r="J3282" s="6" t="s">
        <v>17903</v>
      </c>
      <c r="K3282" s="7">
        <f t="shared" si="2"/>
        <v>0.6163551848</v>
      </c>
    </row>
    <row r="3283">
      <c r="A3283" s="4">
        <v>3283.0</v>
      </c>
      <c r="B3283" s="5" t="s">
        <v>17904</v>
      </c>
      <c r="C3283" s="5" t="s">
        <v>17905</v>
      </c>
      <c r="D3283" s="5" t="s">
        <v>17906</v>
      </c>
      <c r="E3283" s="6" t="s">
        <v>74</v>
      </c>
      <c r="F3283" s="6" t="s">
        <v>17907</v>
      </c>
      <c r="G3283" s="3" t="str">
        <f>IFERROR(__xludf.DUMMYFUNCTION("REGEXREPLACE(
D3283,
""([一-龯々]+)\[([^\]]+)\]"",
""&lt;ruby&gt;$1&lt;rt&gt;$2&lt;/rt&gt;&lt;/ruby&gt;""
)&amp;""&lt;br&gt;&lt;div class=""""audio""""&gt;[sound:""&amp;C3283&amp;"".mp3]&lt;/div&gt;"""),"&lt;ruby&gt;中世&lt;rt&gt;ちゅうせい&lt;/rt&gt;&lt;/ruby&gt;&lt;br&gt;&lt;div class=""audio""&gt;[sound:ちゅうせい.mp3]&lt;/div&gt;")</f>
        <v>&lt;ruby&gt;中世&lt;rt&gt;ちゅうせい&lt;/rt&gt;&lt;/ruby&gt;&lt;br&gt;&lt;div class="audio"&gt;[sound:ちゅうせい.mp3]&lt;/div&gt;</v>
      </c>
      <c r="H3283" s="3" t="str">
        <f t="shared" si="1"/>
        <v>(n): thời trung cổ</v>
      </c>
      <c r="I3283" s="6" t="s">
        <v>17908</v>
      </c>
      <c r="J3283" s="6" t="s">
        <v>17909</v>
      </c>
      <c r="K3283" s="7">
        <f t="shared" si="2"/>
        <v>0.8500902525</v>
      </c>
    </row>
    <row r="3284">
      <c r="A3284" s="4">
        <v>3284.0</v>
      </c>
      <c r="B3284" s="5" t="s">
        <v>17910</v>
      </c>
      <c r="C3284" s="5" t="s">
        <v>17911</v>
      </c>
      <c r="D3284" s="5" t="s">
        <v>17912</v>
      </c>
      <c r="E3284" s="6" t="s">
        <v>85</v>
      </c>
      <c r="F3284" s="6" t="s">
        <v>17913</v>
      </c>
      <c r="G3284" s="3" t="str">
        <f>IFERROR(__xludf.DUMMYFUNCTION("REGEXREPLACE(
D3284,
""([一-龯々]+)\[([^\]]+)\]"",
""&lt;ruby&gt;$1&lt;rt&gt;$2&lt;/rt&gt;&lt;/ruby&gt;""
)&amp;""&lt;br&gt;&lt;div class=""""audio""""&gt;[sound:""&amp;C3284&amp;"".mp3]&lt;/div&gt;"""),"&lt;ruby&gt;何&lt;rt&gt;なん&lt;/rt&gt;&lt;/ruby&gt;でも&lt;br&gt;&lt;div class=""audio""&gt;[sound:なんでも.mp3]&lt;/div&gt;")</f>
        <v>&lt;ruby&gt;何&lt;rt&gt;なん&lt;/rt&gt;&lt;/ruby&gt;でも&lt;br&gt;&lt;div class="audio"&gt;[sound:なんでも.mp3]&lt;/div&gt;</v>
      </c>
      <c r="H3284" s="3" t="str">
        <f t="shared" si="1"/>
        <v>(adv): cái gì cũng</v>
      </c>
      <c r="I3284" s="6" t="s">
        <v>17914</v>
      </c>
      <c r="J3284" s="6" t="s">
        <v>17915</v>
      </c>
      <c r="K3284" s="7">
        <f t="shared" si="2"/>
        <v>0.7078903561</v>
      </c>
    </row>
    <row r="3285">
      <c r="A3285" s="4">
        <v>3285.0</v>
      </c>
      <c r="B3285" s="5" t="s">
        <v>17916</v>
      </c>
      <c r="C3285" s="5" t="s">
        <v>6208</v>
      </c>
      <c r="D3285" s="5" t="s">
        <v>17917</v>
      </c>
      <c r="E3285" s="6" t="s">
        <v>74</v>
      </c>
      <c r="F3285" s="6" t="s">
        <v>17918</v>
      </c>
      <c r="G3285" s="3" t="str">
        <f>IFERROR(__xludf.DUMMYFUNCTION("REGEXREPLACE(
D3285,
""([一-龯々]+)\[([^\]]+)\]"",
""&lt;ruby&gt;$1&lt;rt&gt;$2&lt;/rt&gt;&lt;/ruby&gt;""
)&amp;""&lt;br&gt;&lt;div class=""""audio""""&gt;[sound:""&amp;C3285&amp;"".mp3]&lt;/div&gt;"""),"&lt;ruby&gt;賞&lt;rt&gt;しょう&lt;/rt&gt;&lt;/ruby&gt;&lt;br&gt;&lt;div class=""audio""&gt;[sound:しょう.mp3]&lt;/div&gt;")</f>
        <v>&lt;ruby&gt;賞&lt;rt&gt;しょう&lt;/rt&gt;&lt;/ruby&gt;&lt;br&gt;&lt;div class="audio"&gt;[sound:しょう.mp3]&lt;/div&gt;</v>
      </c>
      <c r="H3285" s="3" t="str">
        <f t="shared" si="1"/>
        <v>(n): giải thưởng</v>
      </c>
      <c r="I3285" s="6" t="s">
        <v>17919</v>
      </c>
      <c r="J3285" s="6" t="s">
        <v>17920</v>
      </c>
      <c r="K3285" s="7">
        <f t="shared" si="2"/>
        <v>0.5000048144</v>
      </c>
    </row>
    <row r="3286">
      <c r="A3286" s="4">
        <v>3286.0</v>
      </c>
      <c r="B3286" s="5" t="s">
        <v>17921</v>
      </c>
      <c r="C3286" s="5" t="s">
        <v>17922</v>
      </c>
      <c r="D3286" s="5" t="s">
        <v>17923</v>
      </c>
      <c r="E3286" s="6" t="s">
        <v>11</v>
      </c>
      <c r="F3286" s="6" t="s">
        <v>17924</v>
      </c>
      <c r="G3286" s="3" t="str">
        <f>IFERROR(__xludf.DUMMYFUNCTION("REGEXREPLACE(
D3286,
""([一-龯々]+)\[([^\]]+)\]"",
""&lt;ruby&gt;$1&lt;rt&gt;$2&lt;/rt&gt;&lt;/ruby&gt;""
)&amp;""&lt;br&gt;&lt;div class=""""audio""""&gt;[sound:""&amp;C3286&amp;"".mp3]&lt;/div&gt;"""),"&lt;ruby&gt;上品&lt;rt&gt;じょうひん&lt;/rt&gt;&lt;/ruby&gt;&lt;br&gt;&lt;div class=""audio""&gt;[sound:じょうひん.mp3]&lt;/div&gt;")</f>
        <v>&lt;ruby&gt;上品&lt;rt&gt;じょうひん&lt;/rt&gt;&lt;/ruby&gt;&lt;br&gt;&lt;div class="audio"&gt;[sound:じょうひん.mp3]&lt;/div&gt;</v>
      </c>
      <c r="H3286" s="3" t="str">
        <f t="shared" si="1"/>
        <v>(adj): thanh lịch</v>
      </c>
      <c r="I3286" s="6" t="s">
        <v>17925</v>
      </c>
      <c r="J3286" s="6" t="s">
        <v>17926</v>
      </c>
      <c r="K3286" s="7">
        <f t="shared" si="2"/>
        <v>0.1891933895</v>
      </c>
    </row>
    <row r="3287">
      <c r="A3287" s="4">
        <v>3287.0</v>
      </c>
      <c r="B3287" s="5" t="s">
        <v>17927</v>
      </c>
      <c r="C3287" s="5" t="s">
        <v>17928</v>
      </c>
      <c r="D3287" s="5" t="s">
        <v>17927</v>
      </c>
      <c r="E3287" s="6" t="s">
        <v>74</v>
      </c>
      <c r="F3287" s="6" t="s">
        <v>17929</v>
      </c>
      <c r="G3287" s="3" t="str">
        <f>IFERROR(__xludf.DUMMYFUNCTION("REGEXREPLACE(
D3287,
""([一-龯々]+)\[([^\]]+)\]"",
""&lt;ruby&gt;$1&lt;rt&gt;$2&lt;/rt&gt;&lt;/ruby&gt;""
)&amp;""&lt;br&gt;&lt;div class=""""audio""""&gt;[sound:""&amp;C3287&amp;"".mp3]&lt;/div&gt;"""),"トンネル&lt;br&gt;&lt;div class=""audio""&gt;[sound:とんねる.mp3]&lt;/div&gt;")</f>
        <v>トンネル&lt;br&gt;&lt;div class="audio"&gt;[sound:とんねる.mp3]&lt;/div&gt;</v>
      </c>
      <c r="H3287" s="3" t="str">
        <f t="shared" si="1"/>
        <v>(n): đường hầm</v>
      </c>
      <c r="I3287" s="6" t="s">
        <v>17930</v>
      </c>
      <c r="J3287" s="6" t="s">
        <v>17931</v>
      </c>
      <c r="K3287" s="7">
        <f t="shared" si="2"/>
        <v>0.7374510352</v>
      </c>
    </row>
    <row r="3288">
      <c r="A3288" s="4">
        <v>3288.0</v>
      </c>
      <c r="B3288" s="5" t="s">
        <v>17932</v>
      </c>
      <c r="C3288" s="5" t="s">
        <v>17933</v>
      </c>
      <c r="D3288" s="5" t="s">
        <v>17934</v>
      </c>
      <c r="E3288" s="6" t="s">
        <v>74</v>
      </c>
      <c r="F3288" s="6" t="s">
        <v>17935</v>
      </c>
      <c r="G3288" s="3" t="str">
        <f>IFERROR(__xludf.DUMMYFUNCTION("REGEXREPLACE(
D3288,
""([一-龯々]+)\[([^\]]+)\]"",
""&lt;ruby&gt;$1&lt;rt&gt;$2&lt;/rt&gt;&lt;/ruby&gt;""
)&amp;""&lt;br&gt;&lt;div class=""""audio""""&gt;[sound:""&amp;C3288&amp;"".mp3]&lt;/div&gt;"""),"&lt;ruby&gt;出身&lt;rt&gt;しゅっしん&lt;/rt&gt;&lt;/ruby&gt;&lt;br&gt;&lt;div class=""audio""&gt;[sound:しゅっしん.mp3]&lt;/div&gt;")</f>
        <v>&lt;ruby&gt;出身&lt;rt&gt;しゅっしん&lt;/rt&gt;&lt;/ruby&gt;&lt;br&gt;&lt;div class="audio"&gt;[sound:しゅっしん.mp3]&lt;/div&gt;</v>
      </c>
      <c r="H3288" s="3" t="str">
        <f t="shared" si="1"/>
        <v>(n): quê quán</v>
      </c>
      <c r="I3288" s="6" t="s">
        <v>17936</v>
      </c>
      <c r="J3288" s="6" t="s">
        <v>17937</v>
      </c>
      <c r="K3288" s="7">
        <f t="shared" si="2"/>
        <v>0.1765636437</v>
      </c>
    </row>
    <row r="3289">
      <c r="A3289" s="4">
        <v>3289.0</v>
      </c>
      <c r="B3289" s="5" t="s">
        <v>17938</v>
      </c>
      <c r="C3289" s="5" t="s">
        <v>14097</v>
      </c>
      <c r="D3289" s="5" t="s">
        <v>17939</v>
      </c>
      <c r="E3289" s="6" t="s">
        <v>85</v>
      </c>
      <c r="F3289" s="6" t="s">
        <v>4886</v>
      </c>
      <c r="G3289" s="3" t="str">
        <f>IFERROR(__xludf.DUMMYFUNCTION("REGEXREPLACE(
D3289,
""([一-龯々]+)\[([^\]]+)\]"",
""&lt;ruby&gt;$1&lt;rt&gt;$2&lt;/rt&gt;&lt;/ruby&gt;""
)&amp;""&lt;br&gt;&lt;div class=""""audio""""&gt;[sound:""&amp;C3289&amp;"".mp3]&lt;/div&gt;"""),"&lt;ruby&gt;初&lt;rt&gt;はじ&lt;/rt&gt;&lt;/ruby&gt;めに&lt;br&gt;&lt;div class=""audio""&gt;[sound:はじめに.mp3]&lt;/div&gt;")</f>
        <v>&lt;ruby&gt;初&lt;rt&gt;はじ&lt;/rt&gt;&lt;/ruby&gt;めに&lt;br&gt;&lt;div class="audio"&gt;[sound:はじめに.mp3]&lt;/div&gt;</v>
      </c>
      <c r="H3289" s="3" t="str">
        <f t="shared" si="1"/>
        <v>(adv): đầu tiên</v>
      </c>
      <c r="I3289" s="6" t="s">
        <v>17940</v>
      </c>
      <c r="J3289" s="6" t="s">
        <v>17941</v>
      </c>
      <c r="K3289" s="7">
        <f t="shared" si="2"/>
        <v>0.2540006967</v>
      </c>
    </row>
    <row r="3290">
      <c r="A3290" s="4">
        <v>3290.0</v>
      </c>
      <c r="B3290" s="5" t="s">
        <v>17942</v>
      </c>
      <c r="C3290" s="5" t="s">
        <v>17943</v>
      </c>
      <c r="D3290" s="5" t="s">
        <v>17944</v>
      </c>
      <c r="E3290" s="6" t="s">
        <v>24</v>
      </c>
      <c r="F3290" s="6" t="s">
        <v>17945</v>
      </c>
      <c r="G3290" s="3" t="str">
        <f>IFERROR(__xludf.DUMMYFUNCTION("REGEXREPLACE(
D3290,
""([一-龯々]+)\[([^\]]+)\]"",
""&lt;ruby&gt;$1&lt;rt&gt;$2&lt;/rt&gt;&lt;/ruby&gt;""
)&amp;""&lt;br&gt;&lt;div class=""""audio""""&gt;[sound:""&amp;C3290&amp;"".mp3]&lt;/div&gt;"""),"&lt;ruby&gt;打&lt;rt&gt;う&lt;/rt&gt;&lt;/ruby&gt;ち&lt;ruby&gt;消&lt;rt&gt;け&lt;/rt&gt;&lt;/ruby&gt;す&lt;br&gt;&lt;div class=""audio""&gt;[sound:うちけす.mp3]&lt;/div&gt;")</f>
        <v>&lt;ruby&gt;打&lt;rt&gt;う&lt;/rt&gt;&lt;/ruby&gt;ち&lt;ruby&gt;消&lt;rt&gt;け&lt;/rt&gt;&lt;/ruby&gt;す&lt;br&gt;&lt;div class="audio"&gt;[sound:うちけす.mp3]&lt;/div&gt;</v>
      </c>
      <c r="H3290" s="3" t="str">
        <f t="shared" si="1"/>
        <v>(v): phủ nhận</v>
      </c>
      <c r="I3290" s="6" t="s">
        <v>17946</v>
      </c>
      <c r="J3290" s="6" t="s">
        <v>17947</v>
      </c>
      <c r="K3290" s="7">
        <f t="shared" si="2"/>
        <v>0.5232934419</v>
      </c>
    </row>
    <row r="3291">
      <c r="A3291" s="4">
        <v>3291.0</v>
      </c>
      <c r="B3291" s="5" t="s">
        <v>17948</v>
      </c>
      <c r="C3291" s="5" t="s">
        <v>17949</v>
      </c>
      <c r="D3291" s="5" t="s">
        <v>17950</v>
      </c>
      <c r="E3291" s="6" t="s">
        <v>74</v>
      </c>
      <c r="F3291" s="6" t="s">
        <v>8425</v>
      </c>
      <c r="G3291" s="3" t="str">
        <f>IFERROR(__xludf.DUMMYFUNCTION("REGEXREPLACE(
D3291,
""([一-龯々]+)\[([^\]]+)\]"",
""&lt;ruby&gt;$1&lt;rt&gt;$2&lt;/rt&gt;&lt;/ruby&gt;""
)&amp;""&lt;br&gt;&lt;div class=""""audio""""&gt;[sound:""&amp;C3291&amp;"".mp3]&lt;/div&gt;"""),"&lt;ruby&gt;批評&lt;rt&gt;ひひょう&lt;/rt&gt;&lt;/ruby&gt;&lt;br&gt;&lt;div class=""audio""&gt;[sound:ひひょう.mp3]&lt;/div&gt;")</f>
        <v>&lt;ruby&gt;批評&lt;rt&gt;ひひょう&lt;/rt&gt;&lt;/ruby&gt;&lt;br&gt;&lt;div class="audio"&gt;[sound:ひひょう.mp3]&lt;/div&gt;</v>
      </c>
      <c r="H3291" s="3" t="str">
        <f t="shared" si="1"/>
        <v>(n): phê bình</v>
      </c>
      <c r="I3291" s="6" t="s">
        <v>17951</v>
      </c>
      <c r="J3291" s="6" t="s">
        <v>17952</v>
      </c>
      <c r="K3291" s="7">
        <f t="shared" si="2"/>
        <v>0.7336171324</v>
      </c>
    </row>
    <row r="3292">
      <c r="A3292" s="4">
        <v>3292.0</v>
      </c>
      <c r="B3292" s="5" t="s">
        <v>17953</v>
      </c>
      <c r="C3292" s="5" t="s">
        <v>17954</v>
      </c>
      <c r="D3292" s="5" t="s">
        <v>17955</v>
      </c>
      <c r="E3292" s="6" t="s">
        <v>24</v>
      </c>
      <c r="F3292" s="6" t="s">
        <v>17956</v>
      </c>
      <c r="G3292" s="3" t="str">
        <f>IFERROR(__xludf.DUMMYFUNCTION("REGEXREPLACE(
D3292,
""([一-龯々]+)\[([^\]]+)\]"",
""&lt;ruby&gt;$1&lt;rt&gt;$2&lt;/rt&gt;&lt;/ruby&gt;""
)&amp;""&lt;br&gt;&lt;div class=""""audio""""&gt;[sound:""&amp;C3292&amp;"".mp3]&lt;/div&gt;"""),"&lt;ruby&gt;減&lt;rt&gt;へ&lt;/rt&gt;&lt;/ruby&gt;らす&lt;br&gt;&lt;div class=""audio""&gt;[sound:へらす.mp3]&lt;/div&gt;")</f>
        <v>&lt;ruby&gt;減&lt;rt&gt;へ&lt;/rt&gt;&lt;/ruby&gt;らす&lt;br&gt;&lt;div class="audio"&gt;[sound:へらす.mp3]&lt;/div&gt;</v>
      </c>
      <c r="H3292" s="3" t="str">
        <f t="shared" si="1"/>
        <v>(v): giảm bớt</v>
      </c>
      <c r="I3292" s="6" t="s">
        <v>17957</v>
      </c>
      <c r="J3292" s="6" t="s">
        <v>17958</v>
      </c>
      <c r="K3292" s="7">
        <f t="shared" si="2"/>
        <v>0.6371252051</v>
      </c>
    </row>
    <row r="3293">
      <c r="A3293" s="4">
        <v>3293.0</v>
      </c>
      <c r="B3293" s="5" t="s">
        <v>17959</v>
      </c>
      <c r="C3293" s="5" t="s">
        <v>17960</v>
      </c>
      <c r="D3293" s="5" t="s">
        <v>17961</v>
      </c>
      <c r="E3293" s="6" t="s">
        <v>24</v>
      </c>
      <c r="F3293" s="6" t="s">
        <v>17962</v>
      </c>
      <c r="G3293" s="3" t="str">
        <f>IFERROR(__xludf.DUMMYFUNCTION("REGEXREPLACE(
D3293,
""([一-龯々]+)\[([^\]]+)\]"",
""&lt;ruby&gt;$1&lt;rt&gt;$2&lt;/rt&gt;&lt;/ruby&gt;""
)&amp;""&lt;br&gt;&lt;div class=""""audio""""&gt;[sound:""&amp;C3293&amp;"".mp3]&lt;/div&gt;"""),"&lt;ruby&gt;裏切&lt;rt&gt;うらぎ&lt;/rt&gt;&lt;/ruby&gt;る&lt;br&gt;&lt;div class=""audio""&gt;[sound:うらぎる.mp3]&lt;/div&gt;")</f>
        <v>&lt;ruby&gt;裏切&lt;rt&gt;うらぎ&lt;/rt&gt;&lt;/ruby&gt;る&lt;br&gt;&lt;div class="audio"&gt;[sound:うらぎる.mp3]&lt;/div&gt;</v>
      </c>
      <c r="H3293" s="3" t="str">
        <f t="shared" si="1"/>
        <v>(v): phản bội</v>
      </c>
      <c r="I3293" s="6" t="s">
        <v>17963</v>
      </c>
      <c r="J3293" s="6" t="s">
        <v>17964</v>
      </c>
      <c r="K3293" s="7">
        <f t="shared" si="2"/>
        <v>0.9051618634</v>
      </c>
    </row>
    <row r="3294">
      <c r="A3294" s="4">
        <v>3294.0</v>
      </c>
      <c r="B3294" s="5" t="s">
        <v>17965</v>
      </c>
      <c r="C3294" s="5" t="s">
        <v>17966</v>
      </c>
      <c r="D3294" s="5" t="s">
        <v>17967</v>
      </c>
      <c r="E3294" s="6" t="s">
        <v>74</v>
      </c>
      <c r="F3294" s="6" t="s">
        <v>17968</v>
      </c>
      <c r="G3294" s="3" t="str">
        <f>IFERROR(__xludf.DUMMYFUNCTION("REGEXREPLACE(
D3294,
""([一-龯々]+)\[([^\]]+)\]"",
""&lt;ruby&gt;$1&lt;rt&gt;$2&lt;/rt&gt;&lt;/ruby&gt;""
)&amp;""&lt;br&gt;&lt;div class=""""audio""""&gt;[sound:""&amp;C3294&amp;"".mp3]&lt;/div&gt;"""),"&lt;ruby&gt;読&lt;rt&gt;よ&lt;/rt&gt;&lt;/ruby&gt;み&lt;br&gt;&lt;div class=""audio""&gt;[sound:よみ.mp3]&lt;/div&gt;")</f>
        <v>&lt;ruby&gt;読&lt;rt&gt;よ&lt;/rt&gt;&lt;/ruby&gt;み&lt;br&gt;&lt;div class="audio"&gt;[sound:よみ.mp3]&lt;/div&gt;</v>
      </c>
      <c r="H3294" s="3" t="str">
        <f t="shared" si="1"/>
        <v>(n): cách đọc</v>
      </c>
      <c r="I3294" s="6" t="s">
        <v>17969</v>
      </c>
      <c r="J3294" s="6" t="s">
        <v>17970</v>
      </c>
      <c r="K3294" s="7">
        <f t="shared" si="2"/>
        <v>0.9865334929</v>
      </c>
    </row>
    <row r="3295">
      <c r="A3295" s="4">
        <v>3295.0</v>
      </c>
      <c r="B3295" s="5" t="s">
        <v>17971</v>
      </c>
      <c r="C3295" s="5" t="s">
        <v>17972</v>
      </c>
      <c r="D3295" s="5" t="s">
        <v>17973</v>
      </c>
      <c r="E3295" s="6" t="s">
        <v>74</v>
      </c>
      <c r="F3295" s="6" t="s">
        <v>17974</v>
      </c>
      <c r="G3295" s="3" t="str">
        <f>IFERROR(__xludf.DUMMYFUNCTION("REGEXREPLACE(
D3295,
""([一-龯々]+)\[([^\]]+)\]"",
""&lt;ruby&gt;$1&lt;rt&gt;$2&lt;/rt&gt;&lt;/ruby&gt;""
)&amp;""&lt;br&gt;&lt;div class=""""audio""""&gt;[sound:""&amp;C3295&amp;"".mp3]&lt;/div&gt;"""),"&lt;ruby&gt;農家&lt;rt&gt;のうか&lt;/rt&gt;&lt;/ruby&gt;&lt;br&gt;&lt;div class=""audio""&gt;[sound:のうか.mp3]&lt;/div&gt;")</f>
        <v>&lt;ruby&gt;農家&lt;rt&gt;のうか&lt;/rt&gt;&lt;/ruby&gt;&lt;br&gt;&lt;div class="audio"&gt;[sound:のうか.mp3]&lt;/div&gt;</v>
      </c>
      <c r="H3295" s="3" t="str">
        <f t="shared" si="1"/>
        <v>(n): nông dân</v>
      </c>
      <c r="I3295" s="6" t="s">
        <v>17975</v>
      </c>
      <c r="J3295" s="6" t="s">
        <v>17976</v>
      </c>
      <c r="K3295" s="7">
        <f t="shared" si="2"/>
        <v>0.2821870396</v>
      </c>
    </row>
    <row r="3296">
      <c r="A3296" s="4">
        <v>3296.0</v>
      </c>
      <c r="B3296" s="5" t="s">
        <v>17977</v>
      </c>
      <c r="C3296" s="5" t="s">
        <v>244</v>
      </c>
      <c r="D3296" s="5" t="s">
        <v>17978</v>
      </c>
      <c r="E3296" s="6" t="s">
        <v>24</v>
      </c>
      <c r="F3296" s="6" t="s">
        <v>17979</v>
      </c>
      <c r="G3296" s="3" t="str">
        <f>IFERROR(__xludf.DUMMYFUNCTION("REGEXREPLACE(
D3296,
""([一-龯々]+)\[([^\]]+)\]"",
""&lt;ruby&gt;$1&lt;rt&gt;$2&lt;/rt&gt;&lt;/ruby&gt;""
)&amp;""&lt;br&gt;&lt;div class=""""audio""""&gt;[sound:""&amp;C3296&amp;"".mp3]&lt;/div&gt;"""),"&lt;ruby&gt;遭&lt;rt&gt;あ&lt;/rt&gt;&lt;/ruby&gt;う&lt;br&gt;&lt;div class=""audio""&gt;[sound:あう.mp3]&lt;/div&gt;")</f>
        <v>&lt;ruby&gt;遭&lt;rt&gt;あ&lt;/rt&gt;&lt;/ruby&gt;う&lt;br&gt;&lt;div class="audio"&gt;[sound:あう.mp3]&lt;/div&gt;</v>
      </c>
      <c r="H3296" s="3" t="str">
        <f t="shared" si="1"/>
        <v>(v): gặp phải</v>
      </c>
      <c r="I3296" s="6" t="s">
        <v>17980</v>
      </c>
      <c r="J3296" s="6" t="s">
        <v>17981</v>
      </c>
      <c r="K3296" s="7">
        <f t="shared" si="2"/>
        <v>0.9425618629</v>
      </c>
    </row>
    <row r="3297">
      <c r="A3297" s="4">
        <v>3297.0</v>
      </c>
      <c r="B3297" s="5" t="s">
        <v>17982</v>
      </c>
      <c r="C3297" s="5" t="s">
        <v>17983</v>
      </c>
      <c r="D3297" s="5" t="s">
        <v>17984</v>
      </c>
      <c r="E3297" s="6" t="s">
        <v>74</v>
      </c>
      <c r="F3297" s="6" t="s">
        <v>4134</v>
      </c>
      <c r="G3297" s="3" t="str">
        <f>IFERROR(__xludf.DUMMYFUNCTION("REGEXREPLACE(
D3297,
""([一-龯々]+)\[([^\]]+)\]"",
""&lt;ruby&gt;$1&lt;rt&gt;$2&lt;/rt&gt;&lt;/ruby&gt;""
)&amp;""&lt;br&gt;&lt;div class=""""audio""""&gt;[sound:""&amp;C3297&amp;"".mp3]&lt;/div&gt;"""),"&lt;ruby&gt;拡張&lt;rt&gt;かくちょう&lt;/rt&gt;&lt;/ruby&gt;&lt;br&gt;&lt;div class=""audio""&gt;[sound:かくちょう.mp3]&lt;/div&gt;")</f>
        <v>&lt;ruby&gt;拡張&lt;rt&gt;かくちょう&lt;/rt&gt;&lt;/ruby&gt;&lt;br&gt;&lt;div class="audio"&gt;[sound:かくちょう.mp3]&lt;/div&gt;</v>
      </c>
      <c r="H3297" s="3" t="str">
        <f t="shared" si="1"/>
        <v>(n): mở rộng</v>
      </c>
      <c r="I3297" s="6" t="s">
        <v>17985</v>
      </c>
      <c r="J3297" s="6" t="s">
        <v>17986</v>
      </c>
      <c r="K3297" s="7">
        <f t="shared" si="2"/>
        <v>0.6246848193</v>
      </c>
    </row>
    <row r="3298">
      <c r="A3298" s="4">
        <v>3298.0</v>
      </c>
      <c r="B3298" s="5" t="s">
        <v>17987</v>
      </c>
      <c r="C3298" s="5" t="s">
        <v>17988</v>
      </c>
      <c r="D3298" s="5" t="s">
        <v>17989</v>
      </c>
      <c r="E3298" s="6" t="s">
        <v>11</v>
      </c>
      <c r="F3298" s="6" t="s">
        <v>10737</v>
      </c>
      <c r="G3298" s="3" t="str">
        <f>IFERROR(__xludf.DUMMYFUNCTION("REGEXREPLACE(
D3298,
""([一-龯々]+)\[([^\]]+)\]"",
""&lt;ruby&gt;$1&lt;rt&gt;$2&lt;/rt&gt;&lt;/ruby&gt;""
)&amp;""&lt;br&gt;&lt;div class=""""audio""""&gt;[sound:""&amp;C3298&amp;"".mp3]&lt;/div&gt;"""),"&lt;ruby&gt;申&lt;rt&gt;もう&lt;/rt&gt;&lt;/ruby&gt;し&lt;ruby&gt;訳&lt;rt&gt;わけ&lt;/rt&gt;&lt;/ruby&gt;ない&lt;br&gt;&lt;div class=""audio""&gt;[sound:もうしわけない.mp3]&lt;/div&gt;")</f>
        <v>&lt;ruby&gt;申&lt;rt&gt;もう&lt;/rt&gt;&lt;/ruby&gt;し&lt;ruby&gt;訳&lt;rt&gt;わけ&lt;/rt&gt;&lt;/ruby&gt;ない&lt;br&gt;&lt;div class="audio"&gt;[sound:もうしわけない.mp3]&lt;/div&gt;</v>
      </c>
      <c r="H3298" s="3" t="str">
        <f t="shared" si="1"/>
        <v>(adj): xin lỗi</v>
      </c>
      <c r="I3298" s="6" t="s">
        <v>17990</v>
      </c>
      <c r="J3298" s="6" t="s">
        <v>17991</v>
      </c>
      <c r="K3298" s="7">
        <f t="shared" si="2"/>
        <v>0.854610814</v>
      </c>
    </row>
    <row r="3299">
      <c r="A3299" s="4">
        <v>3299.0</v>
      </c>
      <c r="B3299" s="5" t="s">
        <v>17992</v>
      </c>
      <c r="C3299" s="5" t="s">
        <v>17993</v>
      </c>
      <c r="D3299" s="5" t="s">
        <v>17994</v>
      </c>
      <c r="E3299" s="6" t="s">
        <v>74</v>
      </c>
      <c r="F3299" s="6" t="s">
        <v>17995</v>
      </c>
      <c r="G3299" s="3" t="str">
        <f>IFERROR(__xludf.DUMMYFUNCTION("REGEXREPLACE(
D3299,
""([一-龯々]+)\[([^\]]+)\]"",
""&lt;ruby&gt;$1&lt;rt&gt;$2&lt;/rt&gt;&lt;/ruby&gt;""
)&amp;""&lt;br&gt;&lt;div class=""""audio""""&gt;[sound:""&amp;C3299&amp;"".mp3]&lt;/div&gt;"""),"&lt;ruby&gt;痛&lt;rt&gt;いた&lt;/rt&gt;&lt;/ruby&gt;み&lt;br&gt;&lt;div class=""audio""&gt;[sound:いたみ.mp3]&lt;/div&gt;")</f>
        <v>&lt;ruby&gt;痛&lt;rt&gt;いた&lt;/rt&gt;&lt;/ruby&gt;み&lt;br&gt;&lt;div class="audio"&gt;[sound:いたみ.mp3]&lt;/div&gt;</v>
      </c>
      <c r="H3299" s="3" t="str">
        <f t="shared" si="1"/>
        <v>(n): cơn đau</v>
      </c>
      <c r="I3299" s="6" t="s">
        <v>17996</v>
      </c>
      <c r="J3299" s="6" t="s">
        <v>17997</v>
      </c>
      <c r="K3299" s="7">
        <f t="shared" si="2"/>
        <v>0.8500802898</v>
      </c>
    </row>
    <row r="3300">
      <c r="A3300" s="4">
        <v>3300.0</v>
      </c>
      <c r="B3300" s="5" t="s">
        <v>17998</v>
      </c>
      <c r="C3300" s="5" t="s">
        <v>17999</v>
      </c>
      <c r="D3300" s="5" t="s">
        <v>18000</v>
      </c>
      <c r="E3300" s="6" t="s">
        <v>74</v>
      </c>
      <c r="F3300" s="6" t="s">
        <v>18001</v>
      </c>
      <c r="G3300" s="3" t="str">
        <f>IFERROR(__xludf.DUMMYFUNCTION("REGEXREPLACE(
D3300,
""([一-龯々]+)\[([^\]]+)\]"",
""&lt;ruby&gt;$1&lt;rt&gt;$2&lt;/rt&gt;&lt;/ruby&gt;""
)&amp;""&lt;br&gt;&lt;div class=""""audio""""&gt;[sound:""&amp;C3300&amp;"".mp3]&lt;/div&gt;"""),"&lt;ruby&gt;記号&lt;rt&gt;きごう&lt;/rt&gt;&lt;/ruby&gt;&lt;br&gt;&lt;div class=""audio""&gt;[sound:きごう.mp3]&lt;/div&gt;")</f>
        <v>&lt;ruby&gt;記号&lt;rt&gt;きごう&lt;/rt&gt;&lt;/ruby&gt;&lt;br&gt;&lt;div class="audio"&gt;[sound:きごう.mp3]&lt;/div&gt;</v>
      </c>
      <c r="H3300" s="3" t="str">
        <f t="shared" si="1"/>
        <v>(n): ký hiệu</v>
      </c>
      <c r="I3300" s="6" t="s">
        <v>18002</v>
      </c>
      <c r="J3300" s="6" t="s">
        <v>18003</v>
      </c>
      <c r="K3300" s="7">
        <f t="shared" si="2"/>
        <v>0.07890591521</v>
      </c>
    </row>
    <row r="3301">
      <c r="A3301" s="4">
        <v>3301.0</v>
      </c>
      <c r="B3301" s="5" t="s">
        <v>18004</v>
      </c>
      <c r="C3301" s="5" t="s">
        <v>18005</v>
      </c>
      <c r="D3301" s="5" t="s">
        <v>18006</v>
      </c>
      <c r="E3301" s="6" t="s">
        <v>74</v>
      </c>
      <c r="F3301" s="6" t="s">
        <v>18007</v>
      </c>
      <c r="G3301" s="3" t="str">
        <f>IFERROR(__xludf.DUMMYFUNCTION("REGEXREPLACE(
D3301,
""([一-龯々]+)\[([^\]]+)\]"",
""&lt;ruby&gt;$1&lt;rt&gt;$2&lt;/rt&gt;&lt;/ruby&gt;""
)&amp;""&lt;br&gt;&lt;div class=""""audio""""&gt;[sound:""&amp;C3301&amp;"".mp3]&lt;/div&gt;"""),"&lt;ruby&gt;逮捕&lt;rt&gt;たいほ&lt;/rt&gt;&lt;/ruby&gt;&lt;br&gt;&lt;div class=""audio""&gt;[sound:たいほ.mp3]&lt;/div&gt;")</f>
        <v>&lt;ruby&gt;逮捕&lt;rt&gt;たいほ&lt;/rt&gt;&lt;/ruby&gt;&lt;br&gt;&lt;div class="audio"&gt;[sound:たいほ.mp3]&lt;/div&gt;</v>
      </c>
      <c r="H3301" s="3" t="str">
        <f t="shared" si="1"/>
        <v>(n): bắt giữ</v>
      </c>
      <c r="I3301" s="6" t="s">
        <v>18008</v>
      </c>
      <c r="J3301" s="6" t="s">
        <v>18009</v>
      </c>
      <c r="K3301" s="7">
        <f t="shared" si="2"/>
        <v>0.3043977546</v>
      </c>
    </row>
    <row r="3302">
      <c r="A3302" s="4">
        <v>3302.0</v>
      </c>
      <c r="B3302" s="5" t="s">
        <v>18010</v>
      </c>
      <c r="C3302" s="5" t="s">
        <v>18011</v>
      </c>
      <c r="D3302" s="5" t="s">
        <v>18012</v>
      </c>
      <c r="E3302" s="6" t="s">
        <v>74</v>
      </c>
      <c r="F3302" s="6" t="s">
        <v>1526</v>
      </c>
      <c r="G3302" s="3" t="str">
        <f>IFERROR(__xludf.DUMMYFUNCTION("REGEXREPLACE(
D3302,
""([一-龯々]+)\[([^\]]+)\]"",
""&lt;ruby&gt;$1&lt;rt&gt;$2&lt;/rt&gt;&lt;/ruby&gt;""
)&amp;""&lt;br&gt;&lt;div class=""""audio""""&gt;[sound:""&amp;C3302&amp;"".mp3]&lt;/div&gt;"""),"&lt;ruby&gt;下&lt;rt&gt;くだ&lt;/rt&gt;&lt;/ruby&gt;り&lt;br&gt;&lt;div class=""audio""&gt;[sound:くだり.mp3]&lt;/div&gt;")</f>
        <v>&lt;ruby&gt;下&lt;rt&gt;くだ&lt;/rt&gt;&lt;/ruby&gt;り&lt;br&gt;&lt;div class="audio"&gt;[sound:くだり.mp3]&lt;/div&gt;</v>
      </c>
      <c r="H3302" s="3" t="str">
        <f t="shared" si="1"/>
        <v>(n): xuống</v>
      </c>
      <c r="I3302" s="6" t="s">
        <v>18013</v>
      </c>
      <c r="J3302" s="6" t="s">
        <v>18014</v>
      </c>
      <c r="K3302" s="7">
        <f t="shared" si="2"/>
        <v>0.08787746334</v>
      </c>
    </row>
    <row r="3303">
      <c r="A3303" s="4">
        <v>3303.0</v>
      </c>
      <c r="B3303" s="5" t="s">
        <v>18015</v>
      </c>
      <c r="C3303" s="5" t="s">
        <v>18015</v>
      </c>
      <c r="D3303" s="5" t="s">
        <v>18015</v>
      </c>
      <c r="E3303" s="6" t="s">
        <v>24</v>
      </c>
      <c r="F3303" s="6" t="s">
        <v>18016</v>
      </c>
      <c r="G3303" s="3" t="str">
        <f>IFERROR(__xludf.DUMMYFUNCTION("REGEXREPLACE(
D3303,
""([一-龯々]+)\[([^\]]+)\]"",
""&lt;ruby&gt;$1&lt;rt&gt;$2&lt;/rt&gt;&lt;/ruby&gt;""
)&amp;""&lt;br&gt;&lt;div class=""""audio""""&gt;[sound:""&amp;C3303&amp;"".mp3]&lt;/div&gt;"""),"くっつく&lt;br&gt;&lt;div class=""audio""&gt;[sound:くっつく.mp3]&lt;/div&gt;")</f>
        <v>くっつく&lt;br&gt;&lt;div class="audio"&gt;[sound:くっつく.mp3]&lt;/div&gt;</v>
      </c>
      <c r="H3303" s="3" t="str">
        <f t="shared" si="1"/>
        <v>(v): dính</v>
      </c>
      <c r="I3303" s="6" t="s">
        <v>18017</v>
      </c>
      <c r="J3303" s="6" t="s">
        <v>18018</v>
      </c>
      <c r="K3303" s="7">
        <f t="shared" si="2"/>
        <v>0.6325218323</v>
      </c>
    </row>
    <row r="3304">
      <c r="A3304" s="4">
        <v>3304.0</v>
      </c>
      <c r="B3304" s="5" t="s">
        <v>18019</v>
      </c>
      <c r="C3304" s="5" t="s">
        <v>11851</v>
      </c>
      <c r="D3304" s="5" t="s">
        <v>18020</v>
      </c>
      <c r="E3304" s="6" t="s">
        <v>74</v>
      </c>
      <c r="F3304" s="6" t="s">
        <v>18021</v>
      </c>
      <c r="G3304" s="3" t="str">
        <f>IFERROR(__xludf.DUMMYFUNCTION("REGEXREPLACE(
D3304,
""([一-龯々]+)\[([^\]]+)\]"",
""&lt;ruby&gt;$1&lt;rt&gt;$2&lt;/rt&gt;&lt;/ruby&gt;""
)&amp;""&lt;br&gt;&lt;div class=""""audio""""&gt;[sound:""&amp;C3304&amp;"".mp3]&lt;/div&gt;"""),"&lt;ruby&gt;幕&lt;rt&gt;まく&lt;/rt&gt;&lt;/ruby&gt;&lt;br&gt;&lt;div class=""audio""&gt;[sound:まく.mp3]&lt;/div&gt;")</f>
        <v>&lt;ruby&gt;幕&lt;rt&gt;まく&lt;/rt&gt;&lt;/ruby&gt;&lt;br&gt;&lt;div class="audio"&gt;[sound:まく.mp3]&lt;/div&gt;</v>
      </c>
      <c r="H3304" s="3" t="str">
        <f t="shared" si="1"/>
        <v>(n): màn</v>
      </c>
      <c r="I3304" s="6" t="s">
        <v>18022</v>
      </c>
      <c r="J3304" s="6" t="s">
        <v>18023</v>
      </c>
      <c r="K3304" s="7">
        <f t="shared" si="2"/>
        <v>0.8859936169</v>
      </c>
    </row>
    <row r="3305">
      <c r="A3305" s="4">
        <v>3305.0</v>
      </c>
      <c r="B3305" s="5" t="s">
        <v>18024</v>
      </c>
      <c r="C3305" s="5" t="s">
        <v>368</v>
      </c>
      <c r="D3305" s="5" t="s">
        <v>18025</v>
      </c>
      <c r="E3305" s="6" t="s">
        <v>24</v>
      </c>
      <c r="F3305" s="6" t="s">
        <v>9138</v>
      </c>
      <c r="G3305" s="3" t="str">
        <f>IFERROR(__xludf.DUMMYFUNCTION("REGEXREPLACE(
D3305,
""([一-龯々]+)\[([^\]]+)\]"",
""&lt;ruby&gt;$1&lt;rt&gt;$2&lt;/rt&gt;&lt;/ruby&gt;""
)&amp;""&lt;br&gt;&lt;div class=""""audio""""&gt;[sound:""&amp;C3305&amp;"".mp3]&lt;/div&gt;"""),"&lt;ruby&gt;替&lt;rt&gt;か&lt;/rt&gt;&lt;/ruby&gt;える&lt;br&gt;&lt;div class=""audio""&gt;[sound:かえる.mp3]&lt;/div&gt;")</f>
        <v>&lt;ruby&gt;替&lt;rt&gt;か&lt;/rt&gt;&lt;/ruby&gt;える&lt;br&gt;&lt;div class="audio"&gt;[sound:かえる.mp3]&lt;/div&gt;</v>
      </c>
      <c r="H3305" s="3" t="str">
        <f t="shared" si="1"/>
        <v>(v): đổi</v>
      </c>
      <c r="I3305" s="6" t="s">
        <v>18026</v>
      </c>
      <c r="J3305" s="6" t="s">
        <v>18027</v>
      </c>
      <c r="K3305" s="7">
        <f t="shared" si="2"/>
        <v>0.8152598376</v>
      </c>
    </row>
    <row r="3306">
      <c r="A3306" s="4">
        <v>3306.0</v>
      </c>
      <c r="B3306" s="5" t="s">
        <v>18028</v>
      </c>
      <c r="C3306" s="5" t="s">
        <v>18029</v>
      </c>
      <c r="D3306" s="5" t="s">
        <v>18030</v>
      </c>
      <c r="E3306" s="6" t="s">
        <v>74</v>
      </c>
      <c r="F3306" s="6" t="s">
        <v>18031</v>
      </c>
      <c r="G3306" s="3" t="str">
        <f>IFERROR(__xludf.DUMMYFUNCTION("REGEXREPLACE(
D3306,
""([一-龯々]+)\[([^\]]+)\]"",
""&lt;ruby&gt;$1&lt;rt&gt;$2&lt;/rt&gt;&lt;/ruby&gt;""
)&amp;""&lt;br&gt;&lt;div class=""""audio""""&gt;[sound:""&amp;C3306&amp;"".mp3]&lt;/div&gt;"""),"&lt;ruby&gt;管&lt;rt&gt;くだ&lt;/rt&gt;&lt;/ruby&gt;&lt;br&gt;&lt;div class=""audio""&gt;[sound:くだ.mp3]&lt;/div&gt;")</f>
        <v>&lt;ruby&gt;管&lt;rt&gt;くだ&lt;/rt&gt;&lt;/ruby&gt;&lt;br&gt;&lt;div class="audio"&gt;[sound:くだ.mp3]&lt;/div&gt;</v>
      </c>
      <c r="H3306" s="3" t="str">
        <f t="shared" si="1"/>
        <v>(n): ống</v>
      </c>
      <c r="I3306" s="6" t="s">
        <v>18032</v>
      </c>
      <c r="J3306" s="6" t="s">
        <v>18033</v>
      </c>
      <c r="K3306" s="7">
        <f t="shared" si="2"/>
        <v>0.1694603407</v>
      </c>
    </row>
    <row r="3307">
      <c r="A3307" s="4">
        <v>3307.0</v>
      </c>
      <c r="B3307" s="5" t="s">
        <v>18034</v>
      </c>
      <c r="C3307" s="5" t="s">
        <v>3148</v>
      </c>
      <c r="D3307" s="5" t="s">
        <v>18035</v>
      </c>
      <c r="E3307" s="6" t="s">
        <v>74</v>
      </c>
      <c r="F3307" s="6" t="s">
        <v>18036</v>
      </c>
      <c r="G3307" s="3" t="str">
        <f>IFERROR(__xludf.DUMMYFUNCTION("REGEXREPLACE(
D3307,
""([一-龯々]+)\[([^\]]+)\]"",
""&lt;ruby&gt;$1&lt;rt&gt;$2&lt;/rt&gt;&lt;/ruby&gt;""
)&amp;""&lt;br&gt;&lt;div class=""""audio""""&gt;[sound:""&amp;C3307&amp;"".mp3]&lt;/div&gt;"""),"&lt;ruby&gt;髪&lt;rt&gt;かみ&lt;/rt&gt;&lt;/ruby&gt;&lt;br&gt;&lt;div class=""audio""&gt;[sound:かみ.mp3]&lt;/div&gt;")</f>
        <v>&lt;ruby&gt;髪&lt;rt&gt;かみ&lt;/rt&gt;&lt;/ruby&gt;&lt;br&gt;&lt;div class="audio"&gt;[sound:かみ.mp3]&lt;/div&gt;</v>
      </c>
      <c r="H3307" s="3" t="str">
        <f t="shared" si="1"/>
        <v>(n): tóc</v>
      </c>
      <c r="I3307" s="6" t="s">
        <v>18037</v>
      </c>
      <c r="J3307" s="6" t="s">
        <v>18038</v>
      </c>
      <c r="K3307" s="7">
        <f t="shared" si="2"/>
        <v>0.5800602208</v>
      </c>
    </row>
    <row r="3308">
      <c r="A3308" s="4">
        <v>3308.0</v>
      </c>
      <c r="B3308" s="5" t="s">
        <v>18039</v>
      </c>
      <c r="C3308" s="5" t="s">
        <v>18040</v>
      </c>
      <c r="D3308" s="5" t="s">
        <v>18039</v>
      </c>
      <c r="E3308" s="6" t="s">
        <v>74</v>
      </c>
      <c r="F3308" s="6" t="s">
        <v>18041</v>
      </c>
      <c r="G3308" s="3" t="str">
        <f>IFERROR(__xludf.DUMMYFUNCTION("REGEXREPLACE(
D3308,
""([一-龯々]+)\[([^\]]+)\]"",
""&lt;ruby&gt;$1&lt;rt&gt;$2&lt;/rt&gt;&lt;/ruby&gt;""
)&amp;""&lt;br&gt;&lt;div class=""""audio""""&gt;[sound:""&amp;C3308&amp;"".mp3]&lt;/div&gt;"""),"ガム&lt;br&gt;&lt;div class=""audio""&gt;[sound:がむ.mp3]&lt;/div&gt;")</f>
        <v>ガム&lt;br&gt;&lt;div class="audio"&gt;[sound:がむ.mp3]&lt;/div&gt;</v>
      </c>
      <c r="H3308" s="3" t="str">
        <f t="shared" si="1"/>
        <v>(n): kẹo cao su</v>
      </c>
      <c r="I3308" s="6" t="s">
        <v>18042</v>
      </c>
      <c r="J3308" s="6" t="s">
        <v>18043</v>
      </c>
      <c r="K3308" s="7">
        <f t="shared" si="2"/>
        <v>0.9985192965</v>
      </c>
    </row>
    <row r="3309">
      <c r="A3309" s="4">
        <v>3309.0</v>
      </c>
      <c r="B3309" s="5" t="s">
        <v>18044</v>
      </c>
      <c r="C3309" s="5" t="s">
        <v>18045</v>
      </c>
      <c r="D3309" s="5" t="s">
        <v>18046</v>
      </c>
      <c r="E3309" s="6" t="s">
        <v>74</v>
      </c>
      <c r="F3309" s="6" t="s">
        <v>18047</v>
      </c>
      <c r="G3309" s="3" t="str">
        <f>IFERROR(__xludf.DUMMYFUNCTION("REGEXREPLACE(
D3309,
""([一-龯々]+)\[([^\]]+)\]"",
""&lt;ruby&gt;$1&lt;rt&gt;$2&lt;/rt&gt;&lt;/ruby&gt;""
)&amp;""&lt;br&gt;&lt;div class=""""audio""""&gt;[sound:""&amp;C3309&amp;"".mp3]&lt;/div&gt;"""),"&lt;ruby&gt;中途&lt;rt&gt;ちゅうと&lt;/rt&gt;&lt;/ruby&gt;&lt;br&gt;&lt;div class=""audio""&gt;[sound:ちゅうと.mp3]&lt;/div&gt;")</f>
        <v>&lt;ruby&gt;中途&lt;rt&gt;ちゅうと&lt;/rt&gt;&lt;/ruby&gt;&lt;br&gt;&lt;div class="audio"&gt;[sound:ちゅうと.mp3]&lt;/div&gt;</v>
      </c>
      <c r="H3309" s="3" t="str">
        <f t="shared" si="1"/>
        <v>(n): giữa chừng</v>
      </c>
      <c r="I3309" s="6" t="s">
        <v>18048</v>
      </c>
      <c r="J3309" s="6" t="s">
        <v>18049</v>
      </c>
      <c r="K3309" s="7">
        <f t="shared" si="2"/>
        <v>0.3544502302</v>
      </c>
    </row>
    <row r="3310">
      <c r="A3310" s="4">
        <v>3310.0</v>
      </c>
      <c r="B3310" s="5" t="s">
        <v>18050</v>
      </c>
      <c r="C3310" s="5" t="s">
        <v>18051</v>
      </c>
      <c r="D3310" s="5" t="s">
        <v>18052</v>
      </c>
      <c r="E3310" s="6" t="s">
        <v>74</v>
      </c>
      <c r="F3310" s="6" t="s">
        <v>18053</v>
      </c>
      <c r="G3310" s="3" t="str">
        <f>IFERROR(__xludf.DUMMYFUNCTION("REGEXREPLACE(
D3310,
""([一-龯々]+)\[([^\]]+)\]"",
""&lt;ruby&gt;$1&lt;rt&gt;$2&lt;/rt&gt;&lt;/ruby&gt;""
)&amp;""&lt;br&gt;&lt;div class=""""audio""""&gt;[sound:""&amp;C3310&amp;"".mp3]&lt;/div&gt;"""),"&lt;ruby&gt;醤油&lt;rt&gt;しょうゆ&lt;/rt&gt;&lt;/ruby&gt;&lt;br&gt;&lt;div class=""audio""&gt;[sound:しょうゆ.mp3]&lt;/div&gt;")</f>
        <v>&lt;ruby&gt;醤油&lt;rt&gt;しょうゆ&lt;/rt&gt;&lt;/ruby&gt;&lt;br&gt;&lt;div class="audio"&gt;[sound:しょうゆ.mp3]&lt;/div&gt;</v>
      </c>
      <c r="H3310" s="3" t="str">
        <f t="shared" si="1"/>
        <v>(n): nước tương</v>
      </c>
      <c r="I3310" s="6" t="s">
        <v>18054</v>
      </c>
      <c r="J3310" s="6" t="s">
        <v>18055</v>
      </c>
      <c r="K3310" s="7">
        <f t="shared" si="2"/>
        <v>0.03484692938</v>
      </c>
    </row>
    <row r="3311">
      <c r="A3311" s="4">
        <v>3311.0</v>
      </c>
      <c r="B3311" s="5" t="s">
        <v>18056</v>
      </c>
      <c r="C3311" s="5" t="s">
        <v>18057</v>
      </c>
      <c r="D3311" s="5" t="s">
        <v>18058</v>
      </c>
      <c r="E3311" s="6" t="s">
        <v>74</v>
      </c>
      <c r="F3311" s="6" t="s">
        <v>18059</v>
      </c>
      <c r="G3311" s="3" t="str">
        <f>IFERROR(__xludf.DUMMYFUNCTION("REGEXREPLACE(
D3311,
""([一-龯々]+)\[([^\]]+)\]"",
""&lt;ruby&gt;$1&lt;rt&gt;$2&lt;/rt&gt;&lt;/ruby&gt;""
)&amp;""&lt;br&gt;&lt;div class=""""audio""""&gt;[sound:""&amp;C3311&amp;"".mp3]&lt;/div&gt;"""),"&lt;ruby&gt;無&lt;rt&gt;な&lt;/rt&gt;&lt;/ruby&gt;し&lt;br&gt;&lt;div class=""audio""&gt;[sound:なし.mp3]&lt;/div&gt;")</f>
        <v>&lt;ruby&gt;無&lt;rt&gt;な&lt;/rt&gt;&lt;/ruby&gt;し&lt;br&gt;&lt;div class="audio"&gt;[sound:なし.mp3]&lt;/div&gt;</v>
      </c>
      <c r="H3311" s="3" t="str">
        <f t="shared" si="1"/>
        <v>(n): không có</v>
      </c>
      <c r="I3311" s="6" t="s">
        <v>18060</v>
      </c>
      <c r="J3311" s="6" t="s">
        <v>18061</v>
      </c>
      <c r="K3311" s="7">
        <f t="shared" si="2"/>
        <v>0.1823426458</v>
      </c>
    </row>
    <row r="3312">
      <c r="A3312" s="4">
        <v>3312.0</v>
      </c>
      <c r="B3312" s="5" t="s">
        <v>18062</v>
      </c>
      <c r="C3312" s="5" t="s">
        <v>18063</v>
      </c>
      <c r="D3312" s="5" t="s">
        <v>18064</v>
      </c>
      <c r="E3312" s="6" t="s">
        <v>24</v>
      </c>
      <c r="F3312" s="6" t="s">
        <v>18065</v>
      </c>
      <c r="G3312" s="3" t="str">
        <f>IFERROR(__xludf.DUMMYFUNCTION("REGEXREPLACE(
D3312,
""([一-龯々]+)\[([^\]]+)\]"",
""&lt;ruby&gt;$1&lt;rt&gt;$2&lt;/rt&gt;&lt;/ruby&gt;""
)&amp;""&lt;br&gt;&lt;div class=""""audio""""&gt;[sound:""&amp;C3312&amp;"".mp3]&lt;/div&gt;"""),"&lt;ruby&gt;直&lt;rt&gt;なお&lt;/rt&gt;&lt;/ruby&gt;る&lt;br&gt;&lt;div class=""audio""&gt;[sound:なおる.mp3]&lt;/div&gt;")</f>
        <v>&lt;ruby&gt;直&lt;rt&gt;なお&lt;/rt&gt;&lt;/ruby&gt;る&lt;br&gt;&lt;div class="audio"&gt;[sound:なおる.mp3]&lt;/div&gt;</v>
      </c>
      <c r="H3312" s="3" t="str">
        <f t="shared" si="1"/>
        <v>(v): được sửa</v>
      </c>
      <c r="I3312" s="6" t="s">
        <v>18066</v>
      </c>
      <c r="J3312" s="6" t="s">
        <v>18067</v>
      </c>
      <c r="K3312" s="7">
        <f t="shared" si="2"/>
        <v>0.5439151154</v>
      </c>
    </row>
    <row r="3313">
      <c r="A3313" s="4">
        <v>3313.0</v>
      </c>
      <c r="B3313" s="5" t="s">
        <v>18068</v>
      </c>
      <c r="C3313" s="5" t="s">
        <v>18069</v>
      </c>
      <c r="D3313" s="5" t="s">
        <v>18070</v>
      </c>
      <c r="E3313" s="6" t="s">
        <v>74</v>
      </c>
      <c r="F3313" s="6" t="s">
        <v>3132</v>
      </c>
      <c r="G3313" s="3" t="str">
        <f>IFERROR(__xludf.DUMMYFUNCTION("REGEXREPLACE(
D3313,
""([一-龯々]+)\[([^\]]+)\]"",
""&lt;ruby&gt;$1&lt;rt&gt;$2&lt;/rt&gt;&lt;/ruby&gt;""
)&amp;""&lt;br&gt;&lt;div class=""""audio""""&gt;[sound:""&amp;C3313&amp;"".mp3]&lt;/div&gt;"""),"&lt;ruby&gt;菓子&lt;rt&gt;かし&lt;/rt&gt;&lt;/ruby&gt;&lt;br&gt;&lt;div class=""audio""&gt;[sound:かし.mp3]&lt;/div&gt;")</f>
        <v>&lt;ruby&gt;菓子&lt;rt&gt;かし&lt;/rt&gt;&lt;/ruby&gt;&lt;br&gt;&lt;div class="audio"&gt;[sound:かし.mp3]&lt;/div&gt;</v>
      </c>
      <c r="H3313" s="3" t="str">
        <f t="shared" si="1"/>
        <v>(n): bánh kẹo</v>
      </c>
      <c r="I3313" s="6" t="s">
        <v>18071</v>
      </c>
      <c r="J3313" s="6" t="s">
        <v>3134</v>
      </c>
      <c r="K3313" s="7">
        <f t="shared" si="2"/>
        <v>0.7322734815</v>
      </c>
    </row>
    <row r="3314">
      <c r="A3314" s="4">
        <v>3314.0</v>
      </c>
      <c r="B3314" s="5" t="s">
        <v>18072</v>
      </c>
      <c r="C3314" s="5" t="s">
        <v>18073</v>
      </c>
      <c r="D3314" s="5" t="s">
        <v>18074</v>
      </c>
      <c r="E3314" s="6" t="s">
        <v>24</v>
      </c>
      <c r="F3314" s="6" t="s">
        <v>18075</v>
      </c>
      <c r="G3314" s="3" t="str">
        <f>IFERROR(__xludf.DUMMYFUNCTION("REGEXREPLACE(
D3314,
""([一-龯々]+)\[([^\]]+)\]"",
""&lt;ruby&gt;$1&lt;rt&gt;$2&lt;/rt&gt;&lt;/ruby&gt;""
)&amp;""&lt;br&gt;&lt;div class=""""audio""""&gt;[sound:""&amp;C3314&amp;"".mp3]&lt;/div&gt;"""),"&lt;ruby&gt;覚&lt;rt&gt;さ&lt;/rt&gt;&lt;/ruby&gt;める&lt;br&gt;&lt;div class=""audio""&gt;[sound:さめる.mp3]&lt;/div&gt;")</f>
        <v>&lt;ruby&gt;覚&lt;rt&gt;さ&lt;/rt&gt;&lt;/ruby&gt;める&lt;br&gt;&lt;div class="audio"&gt;[sound:さめる.mp3]&lt;/div&gt;</v>
      </c>
      <c r="H3314" s="3" t="str">
        <f t="shared" si="1"/>
        <v>(v): tỉnh dậy</v>
      </c>
      <c r="I3314" s="6" t="s">
        <v>18076</v>
      </c>
      <c r="J3314" s="6" t="s">
        <v>18077</v>
      </c>
      <c r="K3314" s="7">
        <f t="shared" si="2"/>
        <v>0.6123768253</v>
      </c>
    </row>
    <row r="3315">
      <c r="A3315" s="4">
        <v>3315.0</v>
      </c>
      <c r="B3315" s="5" t="s">
        <v>18078</v>
      </c>
      <c r="C3315" s="5" t="s">
        <v>18079</v>
      </c>
      <c r="D3315" s="5" t="s">
        <v>18078</v>
      </c>
      <c r="E3315" s="6" t="s">
        <v>74</v>
      </c>
      <c r="F3315" s="6" t="s">
        <v>18080</v>
      </c>
      <c r="G3315" s="3" t="str">
        <f>IFERROR(__xludf.DUMMYFUNCTION("REGEXREPLACE(
D3315,
""([一-龯々]+)\[([^\]]+)\]"",
""&lt;ruby&gt;$1&lt;rt&gt;$2&lt;/rt&gt;&lt;/ruby&gt;""
)&amp;""&lt;br&gt;&lt;div class=""""audio""""&gt;[sound:""&amp;C3315&amp;"".mp3]&lt;/div&gt;"""),"ビタミン&lt;br&gt;&lt;div class=""audio""&gt;[sound:びたみん.mp3]&lt;/div&gt;")</f>
        <v>ビタミン&lt;br&gt;&lt;div class="audio"&gt;[sound:びたみん.mp3]&lt;/div&gt;</v>
      </c>
      <c r="H3315" s="3" t="str">
        <f t="shared" si="1"/>
        <v>(n): vitamin</v>
      </c>
      <c r="I3315" s="6" t="s">
        <v>18081</v>
      </c>
      <c r="J3315" s="6" t="s">
        <v>18082</v>
      </c>
      <c r="K3315" s="7">
        <f t="shared" si="2"/>
        <v>0.3154398504</v>
      </c>
    </row>
    <row r="3316">
      <c r="A3316" s="4">
        <v>3316.0</v>
      </c>
      <c r="B3316" s="5" t="s">
        <v>18083</v>
      </c>
      <c r="C3316" s="5" t="s">
        <v>18084</v>
      </c>
      <c r="D3316" s="5" t="s">
        <v>18083</v>
      </c>
      <c r="E3316" s="6" t="s">
        <v>74</v>
      </c>
      <c r="F3316" s="6" t="s">
        <v>18085</v>
      </c>
      <c r="G3316" s="3" t="str">
        <f>IFERROR(__xludf.DUMMYFUNCTION("REGEXREPLACE(
D3316,
""([一-龯々]+)\[([^\]]+)\]"",
""&lt;ruby&gt;$1&lt;rt&gt;$2&lt;/rt&gt;&lt;/ruby&gt;""
)&amp;""&lt;br&gt;&lt;div class=""""audio""""&gt;[sound:""&amp;C3316&amp;"".mp3]&lt;/div&gt;"""),"ロッカー&lt;br&gt;&lt;div class=""audio""&gt;[sound:ろっかー.mp3]&lt;/div&gt;")</f>
        <v>ロッカー&lt;br&gt;&lt;div class="audio"&gt;[sound:ろっかー.mp3]&lt;/div&gt;</v>
      </c>
      <c r="H3316" s="3" t="str">
        <f t="shared" si="1"/>
        <v>(n): tủ khóa</v>
      </c>
      <c r="I3316" s="6" t="s">
        <v>18086</v>
      </c>
      <c r="J3316" s="6" t="s">
        <v>18087</v>
      </c>
      <c r="K3316" s="7">
        <f t="shared" si="2"/>
        <v>0.2009686019</v>
      </c>
    </row>
    <row r="3317">
      <c r="A3317" s="4">
        <v>3317.0</v>
      </c>
      <c r="B3317" s="5" t="s">
        <v>18088</v>
      </c>
      <c r="C3317" s="5" t="s">
        <v>18089</v>
      </c>
      <c r="D3317" s="5" t="s">
        <v>18090</v>
      </c>
      <c r="E3317" s="6" t="s">
        <v>74</v>
      </c>
      <c r="F3317" s="6" t="s">
        <v>18091</v>
      </c>
      <c r="G3317" s="3" t="str">
        <f>IFERROR(__xludf.DUMMYFUNCTION("REGEXREPLACE(
D3317,
""([一-龯々]+)\[([^\]]+)\]"",
""&lt;ruby&gt;$1&lt;rt&gt;$2&lt;/rt&gt;&lt;/ruby&gt;""
)&amp;""&lt;br&gt;&lt;div class=""""audio""""&gt;[sound:""&amp;C3317&amp;"".mp3]&lt;/div&gt;"""),"&lt;ruby&gt;偶然&lt;rt&gt;ぐうぜん&lt;/rt&gt;&lt;/ruby&gt;&lt;br&gt;&lt;div class=""audio""&gt;[sound:ぐうぜん.mp3]&lt;/div&gt;")</f>
        <v>&lt;ruby&gt;偶然&lt;rt&gt;ぐうぜん&lt;/rt&gt;&lt;/ruby&gt;&lt;br&gt;&lt;div class="audio"&gt;[sound:ぐうぜん.mp3]&lt;/div&gt;</v>
      </c>
      <c r="H3317" s="3" t="str">
        <f t="shared" si="1"/>
        <v>(n): tình cờ</v>
      </c>
      <c r="I3317" s="6" t="s">
        <v>18092</v>
      </c>
      <c r="J3317" s="6" t="s">
        <v>18093</v>
      </c>
      <c r="K3317" s="7">
        <f t="shared" si="2"/>
        <v>0.02530354281</v>
      </c>
    </row>
    <row r="3318">
      <c r="A3318" s="4">
        <v>3318.0</v>
      </c>
      <c r="B3318" s="5" t="s">
        <v>18094</v>
      </c>
      <c r="C3318" s="5" t="s">
        <v>18095</v>
      </c>
      <c r="D3318" s="5" t="s">
        <v>18096</v>
      </c>
      <c r="E3318" s="6" t="s">
        <v>74</v>
      </c>
      <c r="F3318" s="6" t="s">
        <v>18097</v>
      </c>
      <c r="G3318" s="3" t="str">
        <f>IFERROR(__xludf.DUMMYFUNCTION("REGEXREPLACE(
D3318,
""([一-龯々]+)\[([^\]]+)\]"",
""&lt;ruby&gt;$1&lt;rt&gt;$2&lt;/rt&gt;&lt;/ruby&gt;""
)&amp;""&lt;br&gt;&lt;div class=""""audio""""&gt;[sound:""&amp;C3318&amp;"".mp3]&lt;/div&gt;"""),"&lt;ruby&gt;入口&lt;rt&gt;いりぐち&lt;/rt&gt;&lt;/ruby&gt;&lt;br&gt;&lt;div class=""audio""&gt;[sound:いりぐち.mp3]&lt;/div&gt;")</f>
        <v>&lt;ruby&gt;入口&lt;rt&gt;いりぐち&lt;/rt&gt;&lt;/ruby&gt;&lt;br&gt;&lt;div class="audio"&gt;[sound:いりぐち.mp3]&lt;/div&gt;</v>
      </c>
      <c r="H3318" s="3" t="str">
        <f t="shared" si="1"/>
        <v>(n): lối vào</v>
      </c>
      <c r="I3318" s="6" t="s">
        <v>18098</v>
      </c>
      <c r="J3318" s="6" t="s">
        <v>18099</v>
      </c>
      <c r="K3318" s="7">
        <f t="shared" si="2"/>
        <v>0.3895864357</v>
      </c>
    </row>
    <row r="3319">
      <c r="A3319" s="4">
        <v>3319.0</v>
      </c>
      <c r="B3319" s="5" t="s">
        <v>18100</v>
      </c>
      <c r="C3319" s="5" t="s">
        <v>13409</v>
      </c>
      <c r="D3319" s="5" t="s">
        <v>18101</v>
      </c>
      <c r="E3319" s="6" t="s">
        <v>74</v>
      </c>
      <c r="F3319" s="6" t="s">
        <v>18102</v>
      </c>
      <c r="G3319" s="3" t="str">
        <f>IFERROR(__xludf.DUMMYFUNCTION("REGEXREPLACE(
D3319,
""([一-龯々]+)\[([^\]]+)\]"",
""&lt;ruby&gt;$1&lt;rt&gt;$2&lt;/rt&gt;&lt;/ruby&gt;""
)&amp;""&lt;br&gt;&lt;div class=""""audio""""&gt;[sound:""&amp;C3319&amp;"".mp3]&lt;/div&gt;"""),"&lt;ruby&gt;名詞&lt;rt&gt;めいし&lt;/rt&gt;&lt;/ruby&gt;&lt;br&gt;&lt;div class=""audio""&gt;[sound:めいし.mp3]&lt;/div&gt;")</f>
        <v>&lt;ruby&gt;名詞&lt;rt&gt;めいし&lt;/rt&gt;&lt;/ruby&gt;&lt;br&gt;&lt;div class="audio"&gt;[sound:めいし.mp3]&lt;/div&gt;</v>
      </c>
      <c r="H3319" s="3" t="str">
        <f t="shared" si="1"/>
        <v>(n): danh từ</v>
      </c>
      <c r="I3319" s="6" t="s">
        <v>18103</v>
      </c>
      <c r="J3319" s="6" t="s">
        <v>18104</v>
      </c>
      <c r="K3319" s="7">
        <f t="shared" si="2"/>
        <v>0.9878348199</v>
      </c>
    </row>
    <row r="3320">
      <c r="A3320" s="4">
        <v>3320.0</v>
      </c>
      <c r="B3320" s="5" t="s">
        <v>18105</v>
      </c>
      <c r="C3320" s="5" t="s">
        <v>18106</v>
      </c>
      <c r="D3320" s="5" t="s">
        <v>18107</v>
      </c>
      <c r="E3320" s="6" t="s">
        <v>74</v>
      </c>
      <c r="F3320" s="6" t="s">
        <v>7328</v>
      </c>
      <c r="G3320" s="3" t="str">
        <f>IFERROR(__xludf.DUMMYFUNCTION("REGEXREPLACE(
D3320,
""([一-龯々]+)\[([^\]]+)\]"",
""&lt;ruby&gt;$1&lt;rt&gt;$2&lt;/rt&gt;&lt;/ruby&gt;""
)&amp;""&lt;br&gt;&lt;div class=""""audio""""&gt;[sound:""&amp;C3320&amp;"".mp3]&lt;/div&gt;"""),"&lt;ruby&gt;洋服&lt;rt&gt;ようふく&lt;/rt&gt;&lt;/ruby&gt;&lt;br&gt;&lt;div class=""audio""&gt;[sound:ようふく.mp3]&lt;/div&gt;")</f>
        <v>&lt;ruby&gt;洋服&lt;rt&gt;ようふく&lt;/rt&gt;&lt;/ruby&gt;&lt;br&gt;&lt;div class="audio"&gt;[sound:ようふく.mp3]&lt;/div&gt;</v>
      </c>
      <c r="H3320" s="3" t="str">
        <f t="shared" si="1"/>
        <v>(n): quần áo</v>
      </c>
      <c r="I3320" s="6" t="s">
        <v>18108</v>
      </c>
      <c r="J3320" s="6" t="s">
        <v>18109</v>
      </c>
      <c r="K3320" s="7">
        <f t="shared" si="2"/>
        <v>0.1967230655</v>
      </c>
    </row>
    <row r="3321">
      <c r="A3321" s="4">
        <v>3321.0</v>
      </c>
      <c r="B3321" s="5" t="s">
        <v>18110</v>
      </c>
      <c r="C3321" s="5" t="s">
        <v>18111</v>
      </c>
      <c r="D3321" s="5" t="s">
        <v>18112</v>
      </c>
      <c r="E3321" s="6" t="s">
        <v>74</v>
      </c>
      <c r="F3321" s="6" t="s">
        <v>18113</v>
      </c>
      <c r="G3321" s="3" t="str">
        <f>IFERROR(__xludf.DUMMYFUNCTION("REGEXREPLACE(
D3321,
""([一-龯々]+)\[([^\]]+)\]"",
""&lt;ruby&gt;$1&lt;rt&gt;$2&lt;/rt&gt;&lt;/ruby&gt;""
)&amp;""&lt;br&gt;&lt;div class=""""audio""""&gt;[sound:""&amp;C3321&amp;"".mp3]&lt;/div&gt;"""),"&lt;ruby&gt;瞳&lt;rt&gt;ひとみ&lt;/rt&gt;&lt;/ruby&gt;&lt;br&gt;&lt;div class=""audio""&gt;[sound:ひとみ.mp3]&lt;/div&gt;")</f>
        <v>&lt;ruby&gt;瞳&lt;rt&gt;ひとみ&lt;/rt&gt;&lt;/ruby&gt;&lt;br&gt;&lt;div class="audio"&gt;[sound:ひとみ.mp3]&lt;/div&gt;</v>
      </c>
      <c r="H3321" s="3" t="str">
        <f t="shared" si="1"/>
        <v>(n): đồng tử</v>
      </c>
      <c r="I3321" s="6" t="s">
        <v>18114</v>
      </c>
      <c r="J3321" s="6" t="s">
        <v>18115</v>
      </c>
      <c r="K3321" s="7">
        <f t="shared" si="2"/>
        <v>0.7536339012</v>
      </c>
    </row>
    <row r="3322">
      <c r="A3322" s="4">
        <v>3322.0</v>
      </c>
      <c r="B3322" s="5" t="s">
        <v>18116</v>
      </c>
      <c r="C3322" s="5" t="s">
        <v>18117</v>
      </c>
      <c r="D3322" s="5" t="s">
        <v>18118</v>
      </c>
      <c r="E3322" s="6" t="s">
        <v>74</v>
      </c>
      <c r="F3322" s="6" t="s">
        <v>18119</v>
      </c>
      <c r="G3322" s="3" t="str">
        <f>IFERROR(__xludf.DUMMYFUNCTION("REGEXREPLACE(
D3322,
""([一-龯々]+)\[([^\]]+)\]"",
""&lt;ruby&gt;$1&lt;rt&gt;$2&lt;/rt&gt;&lt;/ruby&gt;""
)&amp;""&lt;br&gt;&lt;div class=""""audio""""&gt;[sound:""&amp;C3322&amp;"".mp3]&lt;/div&gt;"""),"&lt;ruby&gt;誤&lt;rt&gt;あやま&lt;/rt&gt;&lt;/ruby&gt;り&lt;br&gt;&lt;div class=""audio""&gt;[sound:あやまり.mp3]&lt;/div&gt;")</f>
        <v>&lt;ruby&gt;誤&lt;rt&gt;あやま&lt;/rt&gt;&lt;/ruby&gt;り&lt;br&gt;&lt;div class="audio"&gt;[sound:あやまり.mp3]&lt;/div&gt;</v>
      </c>
      <c r="H3322" s="3" t="str">
        <f t="shared" si="1"/>
        <v>(n): sai sót</v>
      </c>
      <c r="I3322" s="6" t="s">
        <v>18120</v>
      </c>
      <c r="J3322" s="6" t="s">
        <v>18121</v>
      </c>
      <c r="K3322" s="7">
        <f t="shared" si="2"/>
        <v>0.7221119857</v>
      </c>
    </row>
    <row r="3323">
      <c r="A3323" s="4">
        <v>3323.0</v>
      </c>
      <c r="B3323" s="5" t="s">
        <v>18122</v>
      </c>
      <c r="C3323" s="5" t="s">
        <v>18123</v>
      </c>
      <c r="D3323" s="5" t="s">
        <v>18124</v>
      </c>
      <c r="E3323" s="6" t="s">
        <v>74</v>
      </c>
      <c r="F3323" s="6" t="s">
        <v>18125</v>
      </c>
      <c r="G3323" s="3" t="str">
        <f>IFERROR(__xludf.DUMMYFUNCTION("REGEXREPLACE(
D3323,
""([一-龯々]+)\[([^\]]+)\]"",
""&lt;ruby&gt;$1&lt;rt&gt;$2&lt;/rt&gt;&lt;/ruby&gt;""
)&amp;""&lt;br&gt;&lt;div class=""""audio""""&gt;[sound:""&amp;C3323&amp;"".mp3]&lt;/div&gt;"""),"&lt;ruby&gt;近代&lt;rt&gt;きんだい&lt;/rt&gt;&lt;/ruby&gt;&lt;br&gt;&lt;div class=""audio""&gt;[sound:きんだい.mp3]&lt;/div&gt;")</f>
        <v>&lt;ruby&gt;近代&lt;rt&gt;きんだい&lt;/rt&gt;&lt;/ruby&gt;&lt;br&gt;&lt;div class="audio"&gt;[sound:きんだい.mp3]&lt;/div&gt;</v>
      </c>
      <c r="H3323" s="3" t="str">
        <f t="shared" si="1"/>
        <v>(n): cận đại</v>
      </c>
      <c r="I3323" s="6" t="s">
        <v>18126</v>
      </c>
      <c r="J3323" s="6" t="s">
        <v>18127</v>
      </c>
      <c r="K3323" s="7">
        <f t="shared" si="2"/>
        <v>0.004758445946</v>
      </c>
    </row>
    <row r="3324">
      <c r="A3324" s="4">
        <v>3324.0</v>
      </c>
      <c r="B3324" s="5" t="s">
        <v>18128</v>
      </c>
      <c r="C3324" s="5" t="s">
        <v>18129</v>
      </c>
      <c r="D3324" s="5" t="s">
        <v>18130</v>
      </c>
      <c r="E3324" s="6" t="s">
        <v>74</v>
      </c>
      <c r="F3324" s="6" t="s">
        <v>2992</v>
      </c>
      <c r="G3324" s="3" t="str">
        <f>IFERROR(__xludf.DUMMYFUNCTION("REGEXREPLACE(
D3324,
""([一-龯々]+)\[([^\]]+)\]"",
""&lt;ruby&gt;$1&lt;rt&gt;$2&lt;/rt&gt;&lt;/ruby&gt;""
)&amp;""&lt;br&gt;&lt;div class=""""audio""""&gt;[sound:""&amp;C3324&amp;"".mp3]&lt;/div&gt;"""),"&lt;ruby&gt;適用&lt;rt&gt;てきよう&lt;/rt&gt;&lt;/ruby&gt;&lt;br&gt;&lt;div class=""audio""&gt;[sound:てきよう.mp3]&lt;/div&gt;")</f>
        <v>&lt;ruby&gt;適用&lt;rt&gt;てきよう&lt;/rt&gt;&lt;/ruby&gt;&lt;br&gt;&lt;div class="audio"&gt;[sound:てきよう.mp3]&lt;/div&gt;</v>
      </c>
      <c r="H3324" s="3" t="str">
        <f t="shared" si="1"/>
        <v>(n): áp dụng</v>
      </c>
      <c r="I3324" s="6" t="s">
        <v>18131</v>
      </c>
      <c r="J3324" s="6" t="s">
        <v>18132</v>
      </c>
      <c r="K3324" s="7">
        <f t="shared" si="2"/>
        <v>0.6990890792</v>
      </c>
    </row>
    <row r="3325">
      <c r="A3325" s="4">
        <v>3325.0</v>
      </c>
      <c r="B3325" s="5" t="s">
        <v>18133</v>
      </c>
      <c r="C3325" s="5" t="s">
        <v>18134</v>
      </c>
      <c r="D3325" s="5" t="s">
        <v>18135</v>
      </c>
      <c r="E3325" s="6" t="s">
        <v>74</v>
      </c>
      <c r="F3325" s="6" t="s">
        <v>18136</v>
      </c>
      <c r="G3325" s="3" t="str">
        <f>IFERROR(__xludf.DUMMYFUNCTION("REGEXREPLACE(
D3325,
""([一-龯々]+)\[([^\]]+)\]"",
""&lt;ruby&gt;$1&lt;rt&gt;$2&lt;/rt&gt;&lt;/ruby&gt;""
)&amp;""&lt;br&gt;&lt;div class=""""audio""""&gt;[sound:""&amp;C3325&amp;"".mp3]&lt;/div&gt;"""),"&lt;ruby&gt;交差点&lt;rt&gt;こうさてん&lt;/rt&gt;&lt;/ruby&gt;&lt;br&gt;&lt;div class=""audio""&gt;[sound:こうさてん.mp3]&lt;/div&gt;")</f>
        <v>&lt;ruby&gt;交差点&lt;rt&gt;こうさてん&lt;/rt&gt;&lt;/ruby&gt;&lt;br&gt;&lt;div class="audio"&gt;[sound:こうさてん.mp3]&lt;/div&gt;</v>
      </c>
      <c r="H3325" s="3" t="str">
        <f t="shared" si="1"/>
        <v>(n): ngã tư</v>
      </c>
      <c r="I3325" s="6" t="s">
        <v>18137</v>
      </c>
      <c r="J3325" s="6" t="s">
        <v>18138</v>
      </c>
      <c r="K3325" s="7">
        <f t="shared" si="2"/>
        <v>0.6277962885</v>
      </c>
    </row>
    <row r="3326">
      <c r="A3326" s="4">
        <v>3326.0</v>
      </c>
      <c r="B3326" s="5" t="s">
        <v>18139</v>
      </c>
      <c r="C3326" s="5" t="s">
        <v>18140</v>
      </c>
      <c r="D3326" s="5" t="s">
        <v>18141</v>
      </c>
      <c r="E3326" s="6" t="s">
        <v>74</v>
      </c>
      <c r="F3326" s="6" t="s">
        <v>18142</v>
      </c>
      <c r="G3326" s="3" t="str">
        <f>IFERROR(__xludf.DUMMYFUNCTION("REGEXREPLACE(
D3326,
""([一-龯々]+)\[([^\]]+)\]"",
""&lt;ruby&gt;$1&lt;rt&gt;$2&lt;/rt&gt;&lt;/ruby&gt;""
)&amp;""&lt;br&gt;&lt;div class=""""audio""""&gt;[sound:""&amp;C3326&amp;"".mp3]&lt;/div&gt;"""),"&lt;ruby&gt;単位&lt;rt&gt;たんい&lt;/rt&gt;&lt;/ruby&gt;&lt;br&gt;&lt;div class=""audio""&gt;[sound:たんい.mp3]&lt;/div&gt;")</f>
        <v>&lt;ruby&gt;単位&lt;rt&gt;たんい&lt;/rt&gt;&lt;/ruby&gt;&lt;br&gt;&lt;div class="audio"&gt;[sound:たんい.mp3]&lt;/div&gt;</v>
      </c>
      <c r="H3326" s="3" t="str">
        <f t="shared" si="1"/>
        <v>(n): đơn vị</v>
      </c>
      <c r="I3326" s="6" t="s">
        <v>18143</v>
      </c>
      <c r="J3326" s="6" t="s">
        <v>18144</v>
      </c>
      <c r="K3326" s="7">
        <f t="shared" si="2"/>
        <v>0.309864392</v>
      </c>
    </row>
    <row r="3327">
      <c r="A3327" s="4">
        <v>3327.0</v>
      </c>
      <c r="B3327" s="5" t="s">
        <v>18145</v>
      </c>
      <c r="C3327" s="5" t="s">
        <v>7972</v>
      </c>
      <c r="D3327" s="5" t="s">
        <v>18146</v>
      </c>
      <c r="E3327" s="6" t="s">
        <v>74</v>
      </c>
      <c r="F3327" s="6" t="s">
        <v>17428</v>
      </c>
      <c r="G3327" s="3" t="str">
        <f>IFERROR(__xludf.DUMMYFUNCTION("REGEXREPLACE(
D3327,
""([一-龯々]+)\[([^\]]+)\]"",
""&lt;ruby&gt;$1&lt;rt&gt;$2&lt;/rt&gt;&lt;/ruby&gt;""
)&amp;""&lt;br&gt;&lt;div class=""""audio""""&gt;[sound:""&amp;C3327&amp;"".mp3]&lt;/div&gt;"""),"&lt;ruby&gt;辺&lt;rt&gt;へん&lt;/rt&gt;&lt;/ruby&gt;&lt;br&gt;&lt;div class=""audio""&gt;[sound:へん.mp3]&lt;/div&gt;")</f>
        <v>&lt;ruby&gt;辺&lt;rt&gt;へん&lt;/rt&gt;&lt;/ruby&gt;&lt;br&gt;&lt;div class="audio"&gt;[sound:へん.mp3]&lt;/div&gt;</v>
      </c>
      <c r="H3327" s="3" t="str">
        <f t="shared" si="1"/>
        <v>(n): vùng</v>
      </c>
      <c r="I3327" s="6" t="s">
        <v>18147</v>
      </c>
      <c r="J3327" s="6" t="s">
        <v>18148</v>
      </c>
      <c r="K3327" s="7">
        <f t="shared" si="2"/>
        <v>0.4113770475</v>
      </c>
    </row>
    <row r="3328">
      <c r="A3328" s="4">
        <v>3328.0</v>
      </c>
      <c r="B3328" s="5" t="s">
        <v>18149</v>
      </c>
      <c r="C3328" s="5" t="s">
        <v>18150</v>
      </c>
      <c r="D3328" s="5" t="s">
        <v>18149</v>
      </c>
      <c r="E3328" s="6" t="s">
        <v>74</v>
      </c>
      <c r="F3328" s="6" t="s">
        <v>15166</v>
      </c>
      <c r="G3328" s="3" t="str">
        <f>IFERROR(__xludf.DUMMYFUNCTION("REGEXREPLACE(
D3328,
""([一-龯々]+)\[([^\]]+)\]"",
""&lt;ruby&gt;$1&lt;rt&gt;$2&lt;/rt&gt;&lt;/ruby&gt;""
)&amp;""&lt;br&gt;&lt;div class=""""audio""""&gt;[sound:""&amp;C3328&amp;"".mp3]&lt;/div&gt;"""),"オイル&lt;br&gt;&lt;div class=""audio""&gt;[sound:おいる.mp3]&lt;/div&gt;")</f>
        <v>オイル&lt;br&gt;&lt;div class="audio"&gt;[sound:おいる.mp3]&lt;/div&gt;</v>
      </c>
      <c r="H3328" s="3" t="str">
        <f t="shared" si="1"/>
        <v>(n): dầu</v>
      </c>
      <c r="I3328" s="6" t="s">
        <v>18151</v>
      </c>
      <c r="J3328" s="6" t="s">
        <v>18152</v>
      </c>
      <c r="K3328" s="7">
        <f t="shared" si="2"/>
        <v>0.848727502</v>
      </c>
    </row>
    <row r="3329">
      <c r="A3329" s="4">
        <v>3329.0</v>
      </c>
      <c r="B3329" s="5" t="s">
        <v>18153</v>
      </c>
      <c r="C3329" s="5" t="s">
        <v>18154</v>
      </c>
      <c r="D3329" s="5" t="s">
        <v>18155</v>
      </c>
      <c r="E3329" s="6" t="s">
        <v>24</v>
      </c>
      <c r="F3329" s="6" t="s">
        <v>18156</v>
      </c>
      <c r="G3329" s="3" t="str">
        <f>IFERROR(__xludf.DUMMYFUNCTION("REGEXREPLACE(
D3329,
""([一-龯々]+)\[([^\]]+)\]"",
""&lt;ruby&gt;$1&lt;rt&gt;$2&lt;/rt&gt;&lt;/ruby&gt;""
)&amp;""&lt;br&gt;&lt;div class=""""audio""""&gt;[sound:""&amp;C3329&amp;"".mp3]&lt;/div&gt;"""),"&lt;ruby&gt;割&lt;rt&gt;わ&lt;/rt&gt;&lt;/ruby&gt;れる&lt;br&gt;&lt;div class=""audio""&gt;[sound:われる.mp3]&lt;/div&gt;")</f>
        <v>&lt;ruby&gt;割&lt;rt&gt;わ&lt;/rt&gt;&lt;/ruby&gt;れる&lt;br&gt;&lt;div class="audio"&gt;[sound:われる.mp3]&lt;/div&gt;</v>
      </c>
      <c r="H3329" s="3" t="str">
        <f t="shared" si="1"/>
        <v>(v): vỡ</v>
      </c>
      <c r="I3329" s="6" t="s">
        <v>18157</v>
      </c>
      <c r="J3329" s="6" t="s">
        <v>18158</v>
      </c>
      <c r="K3329" s="7">
        <f t="shared" si="2"/>
        <v>0.9548564535</v>
      </c>
    </row>
    <row r="3330">
      <c r="A3330" s="4">
        <v>3330.0</v>
      </c>
      <c r="B3330" s="5" t="s">
        <v>18159</v>
      </c>
      <c r="C3330" s="5" t="s">
        <v>18160</v>
      </c>
      <c r="D3330" s="5" t="s">
        <v>18159</v>
      </c>
      <c r="E3330" s="6" t="s">
        <v>74</v>
      </c>
      <c r="F3330" s="6" t="s">
        <v>18161</v>
      </c>
      <c r="G3330" s="3" t="str">
        <f>IFERROR(__xludf.DUMMYFUNCTION("REGEXREPLACE(
D3330,
""([一-龯々]+)\[([^\]]+)\]"",
""&lt;ruby&gt;$1&lt;rt&gt;$2&lt;/rt&gt;&lt;/ruby&gt;""
)&amp;""&lt;br&gt;&lt;div class=""""audio""""&gt;[sound:""&amp;C3330&amp;"".mp3]&lt;/div&gt;"""),"スキー&lt;br&gt;&lt;div class=""audio""&gt;[sound:すきー.mp3]&lt;/div&gt;")</f>
        <v>スキー&lt;br&gt;&lt;div class="audio"&gt;[sound:すきー.mp3]&lt;/div&gt;</v>
      </c>
      <c r="H3330" s="3" t="str">
        <f t="shared" si="1"/>
        <v>(n): trượt tuyết</v>
      </c>
      <c r="I3330" s="6" t="s">
        <v>18162</v>
      </c>
      <c r="J3330" s="6" t="s">
        <v>18163</v>
      </c>
      <c r="K3330" s="7">
        <f t="shared" si="2"/>
        <v>0.3794464337</v>
      </c>
    </row>
    <row r="3331">
      <c r="A3331" s="4">
        <v>3331.0</v>
      </c>
      <c r="B3331" s="5" t="s">
        <v>18164</v>
      </c>
      <c r="C3331" s="5" t="s">
        <v>18165</v>
      </c>
      <c r="D3331" s="5" t="s">
        <v>18164</v>
      </c>
      <c r="E3331" s="6" t="s">
        <v>74</v>
      </c>
      <c r="F3331" s="6" t="s">
        <v>18166</v>
      </c>
      <c r="G3331" s="3" t="str">
        <f>IFERROR(__xludf.DUMMYFUNCTION("REGEXREPLACE(
D3331,
""([一-龯々]+)\[([^\]]+)\]"",
""&lt;ruby&gt;$1&lt;rt&gt;$2&lt;/rt&gt;&lt;/ruby&gt;""
)&amp;""&lt;br&gt;&lt;div class=""""audio""""&gt;[sound:""&amp;C3331&amp;"".mp3]&lt;/div&gt;"""),"ドレス&lt;br&gt;&lt;div class=""audio""&gt;[sound:どれす.mp3]&lt;/div&gt;")</f>
        <v>ドレス&lt;br&gt;&lt;div class="audio"&gt;[sound:どれす.mp3]&lt;/div&gt;</v>
      </c>
      <c r="H3331" s="3" t="str">
        <f t="shared" si="1"/>
        <v>(n): váy dạ hội</v>
      </c>
      <c r="I3331" s="6" t="s">
        <v>18167</v>
      </c>
      <c r="J3331" s="6" t="s">
        <v>18168</v>
      </c>
      <c r="K3331" s="7">
        <f t="shared" si="2"/>
        <v>0.07240573609</v>
      </c>
    </row>
    <row r="3332">
      <c r="A3332" s="4">
        <v>3332.0</v>
      </c>
      <c r="B3332" s="5" t="s">
        <v>18169</v>
      </c>
      <c r="C3332" s="5" t="s">
        <v>18170</v>
      </c>
      <c r="D3332" s="5" t="s">
        <v>18171</v>
      </c>
      <c r="E3332" s="6" t="s">
        <v>74</v>
      </c>
      <c r="F3332" s="6" t="s">
        <v>1211</v>
      </c>
      <c r="G3332" s="3" t="str">
        <f>IFERROR(__xludf.DUMMYFUNCTION("REGEXREPLACE(
D3332,
""([一-龯々]+)\[([^\]]+)\]"",
""&lt;ruby&gt;$1&lt;rt&gt;$2&lt;/rt&gt;&lt;/ruby&gt;""
)&amp;""&lt;br&gt;&lt;div class=""""audio""""&gt;[sound:""&amp;C3332&amp;"".mp3]&lt;/div&gt;"""),"&lt;ruby&gt;発達&lt;rt&gt;はったつ&lt;/rt&gt;&lt;/ruby&gt;&lt;br&gt;&lt;div class=""audio""&gt;[sound:はったつ.mp3]&lt;/div&gt;")</f>
        <v>&lt;ruby&gt;発達&lt;rt&gt;はったつ&lt;/rt&gt;&lt;/ruby&gt;&lt;br&gt;&lt;div class="audio"&gt;[sound:はったつ.mp3]&lt;/div&gt;</v>
      </c>
      <c r="H3332" s="3" t="str">
        <f t="shared" si="1"/>
        <v>(n): phát triển</v>
      </c>
      <c r="I3332" s="6" t="s">
        <v>18172</v>
      </c>
      <c r="J3332" s="6" t="s">
        <v>18173</v>
      </c>
      <c r="K3332" s="7">
        <f t="shared" si="2"/>
        <v>0.366148125</v>
      </c>
    </row>
    <row r="3333">
      <c r="A3333" s="4">
        <v>3333.0</v>
      </c>
      <c r="B3333" s="5" t="s">
        <v>18174</v>
      </c>
      <c r="C3333" s="5" t="s">
        <v>18175</v>
      </c>
      <c r="D3333" s="5" t="s">
        <v>18176</v>
      </c>
      <c r="E3333" s="6" t="s">
        <v>74</v>
      </c>
      <c r="F3333" s="6" t="s">
        <v>18177</v>
      </c>
      <c r="G3333" s="3" t="str">
        <f>IFERROR(__xludf.DUMMYFUNCTION("REGEXREPLACE(
D3333,
""([一-龯々]+)\[([^\]]+)\]"",
""&lt;ruby&gt;$1&lt;rt&gt;$2&lt;/rt&gt;&lt;/ruby&gt;""
)&amp;""&lt;br&gt;&lt;div class=""""audio""""&gt;[sound:""&amp;C3333&amp;"".mp3]&lt;/div&gt;"""),"&lt;ruby&gt;評判&lt;rt&gt;ひょうばん&lt;/rt&gt;&lt;/ruby&gt;&lt;br&gt;&lt;div class=""audio""&gt;[sound:ひょうばん.mp3]&lt;/div&gt;")</f>
        <v>&lt;ruby&gt;評判&lt;rt&gt;ひょうばん&lt;/rt&gt;&lt;/ruby&gt;&lt;br&gt;&lt;div class="audio"&gt;[sound:ひょうばん.mp3]&lt;/div&gt;</v>
      </c>
      <c r="H3333" s="3" t="str">
        <f t="shared" si="1"/>
        <v>(n): danh tiếng</v>
      </c>
      <c r="I3333" s="6" t="s">
        <v>18178</v>
      </c>
      <c r="J3333" s="6" t="s">
        <v>18179</v>
      </c>
      <c r="K3333" s="7">
        <f t="shared" si="2"/>
        <v>0.993389926</v>
      </c>
    </row>
    <row r="3334">
      <c r="A3334" s="4">
        <v>3334.0</v>
      </c>
      <c r="B3334" s="5" t="s">
        <v>18180</v>
      </c>
      <c r="C3334" s="5" t="s">
        <v>18181</v>
      </c>
      <c r="D3334" s="5" t="s">
        <v>18182</v>
      </c>
      <c r="E3334" s="6" t="s">
        <v>74</v>
      </c>
      <c r="F3334" s="6" t="s">
        <v>3690</v>
      </c>
      <c r="G3334" s="3" t="str">
        <f>IFERROR(__xludf.DUMMYFUNCTION("REGEXREPLACE(
D3334,
""([一-龯々]+)\[([^\]]+)\]"",
""&lt;ruby&gt;$1&lt;rt&gt;$2&lt;/rt&gt;&lt;/ruby&gt;""
)&amp;""&lt;br&gt;&lt;div class=""""audio""""&gt;[sound:""&amp;C3334&amp;"".mp3]&lt;/div&gt;"""),"&lt;ruby&gt;通行&lt;rt&gt;つうこう&lt;/rt&gt;&lt;/ruby&gt;&lt;br&gt;&lt;div class=""audio""&gt;[sound:つうこう.mp3]&lt;/div&gt;")</f>
        <v>&lt;ruby&gt;通行&lt;rt&gt;つうこう&lt;/rt&gt;&lt;/ruby&gt;&lt;br&gt;&lt;div class="audio"&gt;[sound:つうこう.mp3]&lt;/div&gt;</v>
      </c>
      <c r="H3334" s="3" t="str">
        <f t="shared" si="1"/>
        <v>(n): giao thông</v>
      </c>
      <c r="I3334" s="6" t="s">
        <v>18183</v>
      </c>
      <c r="J3334" s="6" t="s">
        <v>18184</v>
      </c>
      <c r="K3334" s="7">
        <f t="shared" si="2"/>
        <v>0.6322915399</v>
      </c>
    </row>
    <row r="3335">
      <c r="A3335" s="4">
        <v>3335.0</v>
      </c>
      <c r="B3335" s="5" t="s">
        <v>18185</v>
      </c>
      <c r="C3335" s="5" t="s">
        <v>18185</v>
      </c>
      <c r="D3335" s="5" t="s">
        <v>18185</v>
      </c>
      <c r="E3335" s="6" t="s">
        <v>74</v>
      </c>
      <c r="F3335" s="6" t="s">
        <v>18186</v>
      </c>
      <c r="G3335" s="3" t="str">
        <f>IFERROR(__xludf.DUMMYFUNCTION("REGEXREPLACE(
D3335,
""([一-龯々]+)\[([^\]]+)\]"",
""&lt;ruby&gt;$1&lt;rt&gt;$2&lt;/rt&gt;&lt;/ruby&gt;""
)&amp;""&lt;br&gt;&lt;div class=""""audio""""&gt;[sound:""&amp;C3335&amp;"".mp3]&lt;/div&gt;"""),"おつり&lt;br&gt;&lt;div class=""audio""&gt;[sound:おつり.mp3]&lt;/div&gt;")</f>
        <v>おつり&lt;br&gt;&lt;div class="audio"&gt;[sound:おつり.mp3]&lt;/div&gt;</v>
      </c>
      <c r="H3335" s="3" t="str">
        <f t="shared" si="1"/>
        <v>(n): tiền thừa</v>
      </c>
      <c r="I3335" s="6" t="s">
        <v>18187</v>
      </c>
      <c r="J3335" s="6" t="s">
        <v>18188</v>
      </c>
      <c r="K3335" s="7">
        <f t="shared" si="2"/>
        <v>0.8990424177</v>
      </c>
    </row>
    <row r="3336">
      <c r="A3336" s="4">
        <v>3336.0</v>
      </c>
      <c r="B3336" s="5" t="s">
        <v>18189</v>
      </c>
      <c r="C3336" s="5" t="s">
        <v>18190</v>
      </c>
      <c r="D3336" s="5" t="s">
        <v>18191</v>
      </c>
      <c r="E3336" s="6" t="s">
        <v>74</v>
      </c>
      <c r="F3336" s="6" t="s">
        <v>4949</v>
      </c>
      <c r="G3336" s="3" t="str">
        <f>IFERROR(__xludf.DUMMYFUNCTION("REGEXREPLACE(
D3336,
""([一-龯々]+)\[([^\]]+)\]"",
""&lt;ruby&gt;$1&lt;rt&gt;$2&lt;/rt&gt;&lt;/ruby&gt;""
)&amp;""&lt;br&gt;&lt;div class=""""audio""""&gt;[sound:""&amp;C3336&amp;"".mp3]&lt;/div&gt;"""),"&lt;ruby&gt;知&lt;rt&gt;し&lt;/rt&gt;&lt;/ruby&gt;らせ&lt;br&gt;&lt;div class=""audio""&gt;[sound:しらせ.mp3]&lt;/div&gt;")</f>
        <v>&lt;ruby&gt;知&lt;rt&gt;し&lt;/rt&gt;&lt;/ruby&gt;らせ&lt;br&gt;&lt;div class="audio"&gt;[sound:しらせ.mp3]&lt;/div&gt;</v>
      </c>
      <c r="H3336" s="3" t="str">
        <f t="shared" si="1"/>
        <v>(n): thông báo</v>
      </c>
      <c r="I3336" s="6" t="s">
        <v>18192</v>
      </c>
      <c r="J3336" s="6" t="s">
        <v>18193</v>
      </c>
      <c r="K3336" s="7">
        <f t="shared" si="2"/>
        <v>0.2685998388</v>
      </c>
    </row>
    <row r="3337">
      <c r="A3337" s="4">
        <v>3337.0</v>
      </c>
      <c r="B3337" s="5" t="s">
        <v>18194</v>
      </c>
      <c r="C3337" s="5" t="s">
        <v>9079</v>
      </c>
      <c r="D3337" s="5" t="s">
        <v>18195</v>
      </c>
      <c r="E3337" s="6" t="s">
        <v>74</v>
      </c>
      <c r="F3337" s="6" t="s">
        <v>18196</v>
      </c>
      <c r="G3337" s="3" t="str">
        <f>IFERROR(__xludf.DUMMYFUNCTION("REGEXREPLACE(
D3337,
""([一-龯々]+)\[([^\]]+)\]"",
""&lt;ruby&gt;$1&lt;rt&gt;$2&lt;/rt&gt;&lt;/ruby&gt;""
)&amp;""&lt;br&gt;&lt;div class=""""audio""""&gt;[sound:""&amp;C3337&amp;"".mp3]&lt;/div&gt;"""),"&lt;ruby&gt;行&lt;rt&gt;い&lt;/rt&gt;&lt;/ruby&gt;き&lt;br&gt;&lt;div class=""audio""&gt;[sound:いき.mp3]&lt;/div&gt;")</f>
        <v>&lt;ruby&gt;行&lt;rt&gt;い&lt;/rt&gt;&lt;/ruby&gt;き&lt;br&gt;&lt;div class="audio"&gt;[sound:いき.mp3]&lt;/div&gt;</v>
      </c>
      <c r="H3337" s="3" t="str">
        <f t="shared" si="1"/>
        <v>(n): hướng đi</v>
      </c>
      <c r="I3337" s="6" t="s">
        <v>18197</v>
      </c>
      <c r="J3337" s="6" t="s">
        <v>18198</v>
      </c>
      <c r="K3337" s="7">
        <f t="shared" si="2"/>
        <v>0.9034868194</v>
      </c>
    </row>
    <row r="3338">
      <c r="A3338" s="4">
        <v>3338.0</v>
      </c>
      <c r="B3338" s="5" t="s">
        <v>18199</v>
      </c>
      <c r="C3338" s="5" t="s">
        <v>18200</v>
      </c>
      <c r="D3338" s="5" t="s">
        <v>18201</v>
      </c>
      <c r="E3338" s="6" t="s">
        <v>74</v>
      </c>
      <c r="F3338" s="6" t="s">
        <v>18097</v>
      </c>
      <c r="G3338" s="3" t="str">
        <f>IFERROR(__xludf.DUMMYFUNCTION("REGEXREPLACE(
D3338,
""([一-龯々]+)\[([^\]]+)\]"",
""&lt;ruby&gt;$1&lt;rt&gt;$2&lt;/rt&gt;&lt;/ruby&gt;""
)&amp;""&lt;br&gt;&lt;div class=""""audio""""&gt;[sound:""&amp;C3338&amp;"".mp3]&lt;/div&gt;"""),"&lt;ruby&gt;玄関&lt;rt&gt;げんかん&lt;/rt&gt;&lt;/ruby&gt;&lt;br&gt;&lt;div class=""audio""&gt;[sound:げんかん.mp3]&lt;/div&gt;")</f>
        <v>&lt;ruby&gt;玄関&lt;rt&gt;げんかん&lt;/rt&gt;&lt;/ruby&gt;&lt;br&gt;&lt;div class="audio"&gt;[sound:げんかん.mp3]&lt;/div&gt;</v>
      </c>
      <c r="H3338" s="3" t="str">
        <f t="shared" si="1"/>
        <v>(n): lối vào</v>
      </c>
      <c r="I3338" s="6" t="s">
        <v>18202</v>
      </c>
      <c r="J3338" s="6" t="s">
        <v>18203</v>
      </c>
      <c r="K3338" s="7">
        <f t="shared" si="2"/>
        <v>0.9447600994</v>
      </c>
    </row>
    <row r="3339">
      <c r="A3339" s="4">
        <v>3339.0</v>
      </c>
      <c r="B3339" s="5" t="s">
        <v>18204</v>
      </c>
      <c r="C3339" s="5" t="s">
        <v>18205</v>
      </c>
      <c r="D3339" s="5" t="s">
        <v>18206</v>
      </c>
      <c r="E3339" s="6" t="s">
        <v>74</v>
      </c>
      <c r="F3339" s="6" t="s">
        <v>6995</v>
      </c>
      <c r="G3339" s="3" t="str">
        <f>IFERROR(__xludf.DUMMYFUNCTION("REGEXREPLACE(
D3339,
""([一-龯々]+)\[([^\]]+)\]"",
""&lt;ruby&gt;$1&lt;rt&gt;$2&lt;/rt&gt;&lt;/ruby&gt;""
)&amp;""&lt;br&gt;&lt;div class=""""audio""""&gt;[sound:""&amp;C3339&amp;"".mp3]&lt;/div&gt;"""),"&lt;ruby&gt;財産&lt;rt&gt;ざいさん&lt;/rt&gt;&lt;/ruby&gt;&lt;br&gt;&lt;div class=""audio""&gt;[sound:ざいさん.mp3]&lt;/div&gt;")</f>
        <v>&lt;ruby&gt;財産&lt;rt&gt;ざいさん&lt;/rt&gt;&lt;/ruby&gt;&lt;br&gt;&lt;div class="audio"&gt;[sound:ざいさん.mp3]&lt;/div&gt;</v>
      </c>
      <c r="H3339" s="3" t="str">
        <f t="shared" si="1"/>
        <v>(n): tài sản</v>
      </c>
      <c r="I3339" s="6" t="s">
        <v>18207</v>
      </c>
      <c r="J3339" s="6" t="s">
        <v>18208</v>
      </c>
      <c r="K3339" s="7">
        <f t="shared" si="2"/>
        <v>0.04368785945</v>
      </c>
    </row>
    <row r="3340">
      <c r="A3340" s="4">
        <v>3340.0</v>
      </c>
      <c r="B3340" s="5" t="s">
        <v>18209</v>
      </c>
      <c r="C3340" s="5" t="s">
        <v>18209</v>
      </c>
      <c r="D3340" s="5" t="s">
        <v>18209</v>
      </c>
      <c r="E3340" s="6" t="s">
        <v>11</v>
      </c>
      <c r="F3340" s="6" t="s">
        <v>18210</v>
      </c>
      <c r="G3340" s="3" t="str">
        <f>IFERROR(__xludf.DUMMYFUNCTION("REGEXREPLACE(
D3340,
""([一-龯々]+)\[([^\]]+)\]"",
""&lt;ruby&gt;$1&lt;rt&gt;$2&lt;/rt&gt;&lt;/ruby&gt;""
)&amp;""&lt;br&gt;&lt;div class=""""audio""""&gt;[sound:""&amp;C3340&amp;"".mp3]&lt;/div&gt;"""),"わがまま&lt;br&gt;&lt;div class=""audio""&gt;[sound:わがまま.mp3]&lt;/div&gt;")</f>
        <v>わがまま&lt;br&gt;&lt;div class="audio"&gt;[sound:わがまま.mp3]&lt;/div&gt;</v>
      </c>
      <c r="H3340" s="3" t="str">
        <f t="shared" si="1"/>
        <v>(adj): ích kỷ</v>
      </c>
      <c r="I3340" s="6" t="s">
        <v>18211</v>
      </c>
      <c r="J3340" s="6" t="s">
        <v>18212</v>
      </c>
      <c r="K3340" s="7">
        <f t="shared" si="2"/>
        <v>0.7362118589</v>
      </c>
    </row>
    <row r="3341">
      <c r="A3341" s="4">
        <v>3341.0</v>
      </c>
      <c r="B3341" s="5" t="s">
        <v>18213</v>
      </c>
      <c r="C3341" s="5" t="s">
        <v>18214</v>
      </c>
      <c r="D3341" s="5" t="s">
        <v>18215</v>
      </c>
      <c r="E3341" s="6" t="s">
        <v>74</v>
      </c>
      <c r="F3341" s="6" t="s">
        <v>18216</v>
      </c>
      <c r="G3341" s="3" t="str">
        <f>IFERROR(__xludf.DUMMYFUNCTION("REGEXREPLACE(
D3341,
""([一-龯々]+)\[([^\]]+)\]"",
""&lt;ruby&gt;$1&lt;rt&gt;$2&lt;/rt&gt;&lt;/ruby&gt;""
)&amp;""&lt;br&gt;&lt;div class=""""audio""""&gt;[sound:""&amp;C3341&amp;"".mp3]&lt;/div&gt;"""),"&lt;ruby&gt;汗&lt;rt&gt;あせ&lt;/rt&gt;&lt;/ruby&gt;&lt;br&gt;&lt;div class=""audio""&gt;[sound:あせ.mp3]&lt;/div&gt;")</f>
        <v>&lt;ruby&gt;汗&lt;rt&gt;あせ&lt;/rt&gt;&lt;/ruby&gt;&lt;br&gt;&lt;div class="audio"&gt;[sound:あせ.mp3]&lt;/div&gt;</v>
      </c>
      <c r="H3341" s="3" t="str">
        <f t="shared" si="1"/>
        <v>(n): mồ hôi</v>
      </c>
      <c r="I3341" s="6" t="s">
        <v>18217</v>
      </c>
      <c r="J3341" s="6" t="s">
        <v>18218</v>
      </c>
      <c r="K3341" s="7">
        <f t="shared" si="2"/>
        <v>0.4506293558</v>
      </c>
    </row>
    <row r="3342">
      <c r="A3342" s="4">
        <v>3342.0</v>
      </c>
      <c r="B3342" s="5" t="s">
        <v>18219</v>
      </c>
      <c r="C3342" s="5" t="s">
        <v>18220</v>
      </c>
      <c r="D3342" s="5" t="s">
        <v>18221</v>
      </c>
      <c r="E3342" s="6" t="s">
        <v>24</v>
      </c>
      <c r="F3342" s="6" t="s">
        <v>18222</v>
      </c>
      <c r="G3342" s="3" t="str">
        <f>IFERROR(__xludf.DUMMYFUNCTION("REGEXREPLACE(
D3342,
""([一-龯々]+)\[([^\]]+)\]"",
""&lt;ruby&gt;$1&lt;rt&gt;$2&lt;/rt&gt;&lt;/ruby&gt;""
)&amp;""&lt;br&gt;&lt;div class=""""audio""""&gt;[sound:""&amp;C3342&amp;"".mp3]&lt;/div&gt;"""),"&lt;ruby&gt;言&lt;rt&gt;い&lt;/rt&gt;&lt;/ruby&gt;い&lt;ruby&gt;出&lt;rt&gt;だ&lt;/rt&gt;&lt;/ruby&gt;す&lt;br&gt;&lt;div class=""audio""&gt;[sound:いいだす.mp3]&lt;/div&gt;")</f>
        <v>&lt;ruby&gt;言&lt;rt&gt;い&lt;/rt&gt;&lt;/ruby&gt;い&lt;ruby&gt;出&lt;rt&gt;だ&lt;/rt&gt;&lt;/ruby&gt;す&lt;br&gt;&lt;div class="audio"&gt;[sound:いいだす.mp3]&lt;/div&gt;</v>
      </c>
      <c r="H3342" s="3" t="str">
        <f t="shared" si="1"/>
        <v>(v): nói ra</v>
      </c>
      <c r="I3342" s="6" t="s">
        <v>18223</v>
      </c>
      <c r="J3342" s="6" t="s">
        <v>18224</v>
      </c>
      <c r="K3342" s="7">
        <f t="shared" si="2"/>
        <v>0.1394384931</v>
      </c>
    </row>
    <row r="3343">
      <c r="A3343" s="4">
        <v>3343.0</v>
      </c>
      <c r="B3343" s="5" t="s">
        <v>18225</v>
      </c>
      <c r="C3343" s="5" t="s">
        <v>3416</v>
      </c>
      <c r="D3343" s="5" t="s">
        <v>18226</v>
      </c>
      <c r="E3343" s="6" t="s">
        <v>74</v>
      </c>
      <c r="F3343" s="6" t="s">
        <v>15403</v>
      </c>
      <c r="G3343" s="3" t="str">
        <f>IFERROR(__xludf.DUMMYFUNCTION("REGEXREPLACE(
D3343,
""([一-龯々]+)\[([^\]]+)\]"",
""&lt;ruby&gt;$1&lt;rt&gt;$2&lt;/rt&gt;&lt;/ruby&gt;""
)&amp;""&lt;br&gt;&lt;div class=""""audio""""&gt;[sound:""&amp;C3343&amp;"".mp3]&lt;/div&gt;"""),"&lt;ruby&gt;空&lt;rt&gt;あ&lt;/rt&gt;&lt;/ruby&gt;き&lt;br&gt;&lt;div class=""audio""&gt;[sound:あき.mp3]&lt;/div&gt;")</f>
        <v>&lt;ruby&gt;空&lt;rt&gt;あ&lt;/rt&gt;&lt;/ruby&gt;き&lt;br&gt;&lt;div class="audio"&gt;[sound:あき.mp3]&lt;/div&gt;</v>
      </c>
      <c r="H3343" s="3" t="str">
        <f t="shared" si="1"/>
        <v>(n): trống</v>
      </c>
      <c r="I3343" s="6" t="s">
        <v>18227</v>
      </c>
      <c r="J3343" s="6" t="s">
        <v>18228</v>
      </c>
      <c r="K3343" s="7">
        <f t="shared" si="2"/>
        <v>0.8487367496</v>
      </c>
    </row>
    <row r="3344">
      <c r="A3344" s="4">
        <v>3344.0</v>
      </c>
      <c r="B3344" s="5" t="s">
        <v>18229</v>
      </c>
      <c r="C3344" s="5" t="s">
        <v>18230</v>
      </c>
      <c r="D3344" s="5" t="s">
        <v>18229</v>
      </c>
      <c r="E3344" s="6" t="s">
        <v>74</v>
      </c>
      <c r="F3344" s="6" t="s">
        <v>18231</v>
      </c>
      <c r="G3344" s="3" t="str">
        <f>IFERROR(__xludf.DUMMYFUNCTION("REGEXREPLACE(
D3344,
""([一-龯々]+)\[([^\]]+)\]"",
""&lt;ruby&gt;$1&lt;rt&gt;$2&lt;/rt&gt;&lt;/ruby&gt;""
)&amp;""&lt;br&gt;&lt;div class=""""audio""""&gt;[sound:""&amp;C3344&amp;"".mp3]&lt;/div&gt;"""),"カロリー&lt;br&gt;&lt;div class=""audio""&gt;[sound:かろりー.mp3]&lt;/div&gt;")</f>
        <v>カロリー&lt;br&gt;&lt;div class="audio"&gt;[sound:かろりー.mp3]&lt;/div&gt;</v>
      </c>
      <c r="H3344" s="3" t="str">
        <f t="shared" si="1"/>
        <v>(n): calo</v>
      </c>
      <c r="I3344" s="6" t="s">
        <v>18232</v>
      </c>
      <c r="J3344" s="6" t="s">
        <v>18233</v>
      </c>
      <c r="K3344" s="7">
        <f t="shared" si="2"/>
        <v>0.5779779589</v>
      </c>
    </row>
    <row r="3345">
      <c r="A3345" s="4">
        <v>3345.0</v>
      </c>
      <c r="B3345" s="5" t="s">
        <v>18234</v>
      </c>
      <c r="C3345" s="5" t="s">
        <v>18235</v>
      </c>
      <c r="D3345" s="5" t="s">
        <v>18236</v>
      </c>
      <c r="E3345" s="6" t="s">
        <v>74</v>
      </c>
      <c r="F3345" s="6" t="s">
        <v>18237</v>
      </c>
      <c r="G3345" s="3" t="str">
        <f>IFERROR(__xludf.DUMMYFUNCTION("REGEXREPLACE(
D3345,
""([一-龯々]+)\[([^\]]+)\]"",
""&lt;ruby&gt;$1&lt;rt&gt;$2&lt;/rt&gt;&lt;/ruby&gt;""
)&amp;""&lt;br&gt;&lt;div class=""""audio""""&gt;[sound:""&amp;C3345&amp;"".mp3]&lt;/div&gt;"""),"&lt;ruby&gt;方面&lt;rt&gt;ほうめん&lt;/rt&gt;&lt;/ruby&gt;&lt;br&gt;&lt;div class=""audio""&gt;[sound:ほうめん.mp3]&lt;/div&gt;")</f>
        <v>&lt;ruby&gt;方面&lt;rt&gt;ほうめん&lt;/rt&gt;&lt;/ruby&gt;&lt;br&gt;&lt;div class="audio"&gt;[sound:ほうめん.mp3]&lt;/div&gt;</v>
      </c>
      <c r="H3345" s="3" t="str">
        <f t="shared" si="1"/>
        <v>(n): phía</v>
      </c>
      <c r="I3345" s="6" t="s">
        <v>18238</v>
      </c>
      <c r="J3345" s="6" t="s">
        <v>18239</v>
      </c>
      <c r="K3345" s="7">
        <f t="shared" si="2"/>
        <v>0.2912316944</v>
      </c>
    </row>
    <row r="3346">
      <c r="A3346" s="4">
        <v>3346.0</v>
      </c>
      <c r="B3346" s="5" t="s">
        <v>18240</v>
      </c>
      <c r="C3346" s="5" t="s">
        <v>18241</v>
      </c>
      <c r="D3346" s="5" t="s">
        <v>18242</v>
      </c>
      <c r="E3346" s="6" t="s">
        <v>74</v>
      </c>
      <c r="F3346" s="6" t="s">
        <v>18243</v>
      </c>
      <c r="G3346" s="3" t="str">
        <f>IFERROR(__xludf.DUMMYFUNCTION("REGEXREPLACE(
D3346,
""([一-龯々]+)\[([^\]]+)\]"",
""&lt;ruby&gt;$1&lt;rt&gt;$2&lt;/rt&gt;&lt;/ruby&gt;""
)&amp;""&lt;br&gt;&lt;div class=""""audio""""&gt;[sound:""&amp;C3346&amp;"".mp3]&lt;/div&gt;"""),"&lt;ruby&gt;輪&lt;rt&gt;わ&lt;/rt&gt;&lt;/ruby&gt;&lt;br&gt;&lt;div class=""audio""&gt;[sound:わ.mp3]&lt;/div&gt;")</f>
        <v>&lt;ruby&gt;輪&lt;rt&gt;わ&lt;/rt&gt;&lt;/ruby&gt;&lt;br&gt;&lt;div class="audio"&gt;[sound:わ.mp3]&lt;/div&gt;</v>
      </c>
      <c r="H3346" s="3" t="str">
        <f t="shared" si="1"/>
        <v>(n): vòng</v>
      </c>
      <c r="I3346" s="6" t="s">
        <v>18244</v>
      </c>
      <c r="J3346" s="6" t="s">
        <v>18245</v>
      </c>
      <c r="K3346" s="7">
        <f t="shared" si="2"/>
        <v>0.8861421383</v>
      </c>
    </row>
    <row r="3347">
      <c r="A3347" s="4">
        <v>3347.0</v>
      </c>
      <c r="B3347" s="5" t="s">
        <v>18246</v>
      </c>
      <c r="C3347" s="5" t="s">
        <v>18247</v>
      </c>
      <c r="D3347" s="5" t="s">
        <v>18248</v>
      </c>
      <c r="E3347" s="6" t="s">
        <v>74</v>
      </c>
      <c r="F3347" s="6" t="s">
        <v>1156</v>
      </c>
      <c r="G3347" s="3" t="str">
        <f>IFERROR(__xludf.DUMMYFUNCTION("REGEXREPLACE(
D3347,
""([一-龯々]+)\[([^\]]+)\]"",
""&lt;ruby&gt;$1&lt;rt&gt;$2&lt;/rt&gt;&lt;/ruby&gt;""
)&amp;""&lt;br&gt;&lt;div class=""""audio""""&gt;[sound:""&amp;C3347&amp;"".mp3]&lt;/div&gt;"""),"&lt;ruby&gt;上&lt;rt&gt;のぼ&lt;/rt&gt;&lt;/ruby&gt;り&lt;br&gt;&lt;div class=""audio""&gt;[sound:のぼり.mp3]&lt;/div&gt;")</f>
        <v>&lt;ruby&gt;上&lt;rt&gt;のぼ&lt;/rt&gt;&lt;/ruby&gt;り&lt;br&gt;&lt;div class="audio"&gt;[sound:のぼり.mp3]&lt;/div&gt;</v>
      </c>
      <c r="H3347" s="3" t="str">
        <f t="shared" si="1"/>
        <v>(n): lên</v>
      </c>
      <c r="I3347" s="6" t="s">
        <v>18249</v>
      </c>
      <c r="J3347" s="6" t="s">
        <v>18250</v>
      </c>
      <c r="K3347" s="7">
        <f t="shared" si="2"/>
        <v>0.4577959236</v>
      </c>
    </row>
    <row r="3348">
      <c r="A3348" s="4">
        <v>3348.0</v>
      </c>
      <c r="B3348" s="5" t="s">
        <v>18251</v>
      </c>
      <c r="C3348" s="5" t="s">
        <v>18252</v>
      </c>
      <c r="D3348" s="5" t="s">
        <v>18253</v>
      </c>
      <c r="E3348" s="6" t="s">
        <v>74</v>
      </c>
      <c r="F3348" s="6" t="s">
        <v>18254</v>
      </c>
      <c r="G3348" s="3" t="str">
        <f>IFERROR(__xludf.DUMMYFUNCTION("REGEXREPLACE(
D3348,
""([一-龯々]+)\[([^\]]+)\]"",
""&lt;ruby&gt;$1&lt;rt&gt;$2&lt;/rt&gt;&lt;/ruby&gt;""
)&amp;""&lt;br&gt;&lt;div class=""""audio""""&gt;[sound:""&amp;C3348&amp;"".mp3]&lt;/div&gt;"""),"&lt;ruby&gt;唇&lt;rt&gt;くちびる&lt;/rt&gt;&lt;/ruby&gt;&lt;br&gt;&lt;div class=""audio""&gt;[sound:くちびる.mp3]&lt;/div&gt;")</f>
        <v>&lt;ruby&gt;唇&lt;rt&gt;くちびる&lt;/rt&gt;&lt;/ruby&gt;&lt;br&gt;&lt;div class="audio"&gt;[sound:くちびる.mp3]&lt;/div&gt;</v>
      </c>
      <c r="H3348" s="3" t="str">
        <f t="shared" si="1"/>
        <v>(n): môi</v>
      </c>
      <c r="I3348" s="6" t="s">
        <v>18255</v>
      </c>
      <c r="J3348" s="6" t="s">
        <v>18256</v>
      </c>
      <c r="K3348" s="7">
        <f t="shared" si="2"/>
        <v>0.06555868701</v>
      </c>
    </row>
    <row r="3349">
      <c r="A3349" s="4">
        <v>3349.0</v>
      </c>
      <c r="B3349" s="5" t="s">
        <v>18257</v>
      </c>
      <c r="C3349" s="5" t="s">
        <v>18258</v>
      </c>
      <c r="D3349" s="5" t="s">
        <v>18259</v>
      </c>
      <c r="E3349" s="6" t="s">
        <v>74</v>
      </c>
      <c r="F3349" s="6" t="s">
        <v>18260</v>
      </c>
      <c r="G3349" s="3" t="str">
        <f>IFERROR(__xludf.DUMMYFUNCTION("REGEXREPLACE(
D3349,
""([一-龯々]+)\[([^\]]+)\]"",
""&lt;ruby&gt;$1&lt;rt&gt;$2&lt;/rt&gt;&lt;/ruby&gt;""
)&amp;""&lt;br&gt;&lt;div class=""""audio""""&gt;[sound:""&amp;C3349&amp;"".mp3]&lt;/div&gt;"""),"&lt;ruby&gt;粉&lt;rt&gt;こな&lt;/rt&gt;&lt;/ruby&gt;&lt;br&gt;&lt;div class=""audio""&gt;[sound:こな.mp3]&lt;/div&gt;")</f>
        <v>&lt;ruby&gt;粉&lt;rt&gt;こな&lt;/rt&gt;&lt;/ruby&gt;&lt;br&gt;&lt;div class="audio"&gt;[sound:こな.mp3]&lt;/div&gt;</v>
      </c>
      <c r="H3349" s="3" t="str">
        <f t="shared" si="1"/>
        <v>(n): bột</v>
      </c>
      <c r="I3349" s="6" t="s">
        <v>18261</v>
      </c>
      <c r="J3349" s="6" t="s">
        <v>18262</v>
      </c>
      <c r="K3349" s="7">
        <f t="shared" si="2"/>
        <v>0.4928264725</v>
      </c>
    </row>
    <row r="3350">
      <c r="A3350" s="4">
        <v>3350.0</v>
      </c>
      <c r="B3350" s="5" t="s">
        <v>18263</v>
      </c>
      <c r="C3350" s="5" t="s">
        <v>18264</v>
      </c>
      <c r="D3350" s="5" t="s">
        <v>18263</v>
      </c>
      <c r="E3350" s="6" t="s">
        <v>74</v>
      </c>
      <c r="F3350" s="6" t="s">
        <v>18265</v>
      </c>
      <c r="G3350" s="3" t="str">
        <f>IFERROR(__xludf.DUMMYFUNCTION("REGEXREPLACE(
D3350,
""([一-龯々]+)\[([^\]]+)\]"",
""&lt;ruby&gt;$1&lt;rt&gt;$2&lt;/rt&gt;&lt;/ruby&gt;""
)&amp;""&lt;br&gt;&lt;div class=""""audio""""&gt;[sound:""&amp;C3350&amp;"".mp3]&lt;/div&gt;"""),"マフラー&lt;br&gt;&lt;div class=""audio""&gt;[sound:まふらー.mp3]&lt;/div&gt;")</f>
        <v>マフラー&lt;br&gt;&lt;div class="audio"&gt;[sound:まふらー.mp3]&lt;/div&gt;</v>
      </c>
      <c r="H3350" s="3" t="str">
        <f t="shared" si="1"/>
        <v>(n): khăn quàng cổ</v>
      </c>
      <c r="I3350" s="6" t="s">
        <v>18266</v>
      </c>
      <c r="J3350" s="6" t="s">
        <v>18267</v>
      </c>
      <c r="K3350" s="7">
        <f t="shared" si="2"/>
        <v>0.9366334541</v>
      </c>
    </row>
    <row r="3351">
      <c r="A3351" s="4">
        <v>3351.0</v>
      </c>
      <c r="B3351" s="5" t="s">
        <v>18268</v>
      </c>
      <c r="C3351" s="5" t="s">
        <v>18269</v>
      </c>
      <c r="D3351" s="5" t="s">
        <v>18268</v>
      </c>
      <c r="E3351" s="6" t="s">
        <v>74</v>
      </c>
      <c r="F3351" s="6" t="s">
        <v>18270</v>
      </c>
      <c r="G3351" s="3" t="str">
        <f>IFERROR(__xludf.DUMMYFUNCTION("REGEXREPLACE(
D3351,
""([一-龯々]+)\[([^\]]+)\]"",
""&lt;ruby&gt;$1&lt;rt&gt;$2&lt;/rt&gt;&lt;/ruby&gt;""
)&amp;""&lt;br&gt;&lt;div class=""""audio""""&gt;[sound:""&amp;C3351&amp;"".mp3]&lt;/div&gt;"""),"カーブ&lt;br&gt;&lt;div class=""audio""&gt;[sound:かーぶ.mp3]&lt;/div&gt;")</f>
        <v>カーブ&lt;br&gt;&lt;div class="audio"&gt;[sound:かーぶ.mp3]&lt;/div&gt;</v>
      </c>
      <c r="H3351" s="3" t="str">
        <f t="shared" si="1"/>
        <v>(n): đường cong</v>
      </c>
      <c r="I3351" s="6" t="s">
        <v>18271</v>
      </c>
      <c r="J3351" s="6" t="s">
        <v>18272</v>
      </c>
      <c r="K3351" s="7">
        <f t="shared" si="2"/>
        <v>0.7760053704</v>
      </c>
    </row>
    <row r="3352">
      <c r="A3352" s="4">
        <v>3352.0</v>
      </c>
      <c r="B3352" s="5" t="s">
        <v>18273</v>
      </c>
      <c r="C3352" s="5" t="s">
        <v>18274</v>
      </c>
      <c r="D3352" s="5" t="s">
        <v>18275</v>
      </c>
      <c r="E3352" s="6" t="s">
        <v>74</v>
      </c>
      <c r="F3352" s="6" t="s">
        <v>18276</v>
      </c>
      <c r="G3352" s="3" t="str">
        <f>IFERROR(__xludf.DUMMYFUNCTION("REGEXREPLACE(
D3352,
""([一-龯々]+)\[([^\]]+)\]"",
""&lt;ruby&gt;$1&lt;rt&gt;$2&lt;/rt&gt;&lt;/ruby&gt;""
)&amp;""&lt;br&gt;&lt;div class=""""audio""""&gt;[sound:""&amp;C3352&amp;"".mp3]&lt;/div&gt;"""),"&lt;ruby&gt;循環&lt;rt&gt;じゅんかん&lt;/rt&gt;&lt;/ruby&gt;&lt;br&gt;&lt;div class=""audio""&gt;[sound:じゅんかん.mp3]&lt;/div&gt;")</f>
        <v>&lt;ruby&gt;循環&lt;rt&gt;じゅんかん&lt;/rt&gt;&lt;/ruby&gt;&lt;br&gt;&lt;div class="audio"&gt;[sound:じゅんかん.mp3]&lt;/div&gt;</v>
      </c>
      <c r="H3352" s="3" t="str">
        <f t="shared" si="1"/>
        <v>(n): tuần hoàn</v>
      </c>
      <c r="I3352" s="6" t="s">
        <v>18277</v>
      </c>
      <c r="J3352" s="6" t="s">
        <v>18278</v>
      </c>
      <c r="K3352" s="7">
        <f t="shared" si="2"/>
        <v>0.1265089909</v>
      </c>
    </row>
    <row r="3353">
      <c r="A3353" s="4">
        <v>3353.0</v>
      </c>
      <c r="B3353" s="5" t="s">
        <v>18279</v>
      </c>
      <c r="C3353" s="5" t="s">
        <v>18280</v>
      </c>
      <c r="D3353" s="5" t="s">
        <v>18281</v>
      </c>
      <c r="E3353" s="6" t="s">
        <v>74</v>
      </c>
      <c r="F3353" s="6" t="s">
        <v>18282</v>
      </c>
      <c r="G3353" s="3" t="str">
        <f>IFERROR(__xludf.DUMMYFUNCTION("REGEXREPLACE(
D3353,
""([一-龯々]+)\[([^\]]+)\]"",
""&lt;ruby&gt;$1&lt;rt&gt;$2&lt;/rt&gt;&lt;/ruby&gt;""
)&amp;""&lt;br&gt;&lt;div class=""""audio""""&gt;[sound:""&amp;C3353&amp;"".mp3]&lt;/div&gt;"""),"&lt;ruby&gt;湯&lt;rt&gt;ゆ&lt;/rt&gt;&lt;/ruby&gt;&lt;br&gt;&lt;div class=""audio""&gt;[sound:ゆ.mp3]&lt;/div&gt;")</f>
        <v>&lt;ruby&gt;湯&lt;rt&gt;ゆ&lt;/rt&gt;&lt;/ruby&gt;&lt;br&gt;&lt;div class="audio"&gt;[sound:ゆ.mp3]&lt;/div&gt;</v>
      </c>
      <c r="H3353" s="3" t="str">
        <f t="shared" si="1"/>
        <v>(n): nước nóng</v>
      </c>
      <c r="I3353" s="6" t="s">
        <v>18283</v>
      </c>
      <c r="J3353" s="6" t="s">
        <v>18284</v>
      </c>
      <c r="K3353" s="7">
        <f t="shared" si="2"/>
        <v>0.9233281161</v>
      </c>
    </row>
    <row r="3354">
      <c r="A3354" s="4">
        <v>3354.0</v>
      </c>
      <c r="B3354" s="5" t="s">
        <v>18285</v>
      </c>
      <c r="C3354" s="5" t="s">
        <v>18286</v>
      </c>
      <c r="D3354" s="5" t="s">
        <v>18285</v>
      </c>
      <c r="E3354" s="6" t="s">
        <v>74</v>
      </c>
      <c r="F3354" s="6" t="s">
        <v>4520</v>
      </c>
      <c r="G3354" s="3" t="str">
        <f>IFERROR(__xludf.DUMMYFUNCTION("REGEXREPLACE(
D3354,
""([一-龯々]+)\[([^\]]+)\]"",
""&lt;ruby&gt;$1&lt;rt&gt;$2&lt;/rt&gt;&lt;/ruby&gt;""
)&amp;""&lt;br&gt;&lt;div class=""""audio""""&gt;[sound:""&amp;C3354&amp;"".mp3]&lt;/div&gt;"""),"スクリーン&lt;br&gt;&lt;div class=""audio""&gt;[sound:すくりーん.mp3]&lt;/div&gt;")</f>
        <v>スクリーン&lt;br&gt;&lt;div class="audio"&gt;[sound:すくりーん.mp3]&lt;/div&gt;</v>
      </c>
      <c r="H3354" s="3" t="str">
        <f t="shared" si="1"/>
        <v>(n): màn hình</v>
      </c>
      <c r="I3354" s="6" t="s">
        <v>18287</v>
      </c>
      <c r="J3354" s="6" t="s">
        <v>18288</v>
      </c>
      <c r="K3354" s="7">
        <f t="shared" si="2"/>
        <v>0.4488217352</v>
      </c>
    </row>
    <row r="3355">
      <c r="A3355" s="4">
        <v>3355.0</v>
      </c>
      <c r="B3355" s="5" t="s">
        <v>18289</v>
      </c>
      <c r="C3355" s="5" t="s">
        <v>18290</v>
      </c>
      <c r="D3355" s="5" t="s">
        <v>18291</v>
      </c>
      <c r="E3355" s="6" t="s">
        <v>74</v>
      </c>
      <c r="F3355" s="6" t="s">
        <v>18292</v>
      </c>
      <c r="G3355" s="3" t="str">
        <f>IFERROR(__xludf.DUMMYFUNCTION("REGEXREPLACE(
D3355,
""([一-龯々]+)\[([^\]]+)\]"",
""&lt;ruby&gt;$1&lt;rt&gt;$2&lt;/rt&gt;&lt;/ruby&gt;""
)&amp;""&lt;br&gt;&lt;div class=""""audio""""&gt;[sound:""&amp;C3355&amp;"".mp3]&lt;/div&gt;"""),"&lt;ruby&gt;男子&lt;rt&gt;だんし&lt;/rt&gt;&lt;/ruby&gt;&lt;br&gt;&lt;div class=""audio""&gt;[sound:だんし.mp3]&lt;/div&gt;")</f>
        <v>&lt;ruby&gt;男子&lt;rt&gt;だんし&lt;/rt&gt;&lt;/ruby&gt;&lt;br&gt;&lt;div class="audio"&gt;[sound:だんし.mp3]&lt;/div&gt;</v>
      </c>
      <c r="H3355" s="3" t="str">
        <f t="shared" si="1"/>
        <v>(n): nam giới</v>
      </c>
      <c r="I3355" s="6" t="s">
        <v>18293</v>
      </c>
      <c r="J3355" s="6" t="s">
        <v>18294</v>
      </c>
      <c r="K3355" s="7">
        <f t="shared" si="2"/>
        <v>0.9007087026</v>
      </c>
    </row>
    <row r="3356">
      <c r="A3356" s="4">
        <v>3356.0</v>
      </c>
      <c r="B3356" s="5" t="s">
        <v>18295</v>
      </c>
      <c r="C3356" s="5" t="s">
        <v>18296</v>
      </c>
      <c r="D3356" s="5" t="s">
        <v>18297</v>
      </c>
      <c r="E3356" s="6" t="s">
        <v>24</v>
      </c>
      <c r="F3356" s="6" t="s">
        <v>18298</v>
      </c>
      <c r="G3356" s="3" t="str">
        <f>IFERROR(__xludf.DUMMYFUNCTION("REGEXREPLACE(
D3356,
""([一-龯々]+)\[([^\]]+)\]"",
""&lt;ruby&gt;$1&lt;rt&gt;$2&lt;/rt&gt;&lt;/ruby&gt;""
)&amp;""&lt;br&gt;&lt;div class=""""audio""""&gt;[sound:""&amp;C3356&amp;"".mp3]&lt;/div&gt;"""),"&lt;ruby&gt;覚&lt;rt&gt;さ&lt;/rt&gt;&lt;/ruby&gt;ます&lt;br&gt;&lt;div class=""audio""&gt;[sound:さます.mp3]&lt;/div&gt;")</f>
        <v>&lt;ruby&gt;覚&lt;rt&gt;さ&lt;/rt&gt;&lt;/ruby&gt;ます&lt;br&gt;&lt;div class="audio"&gt;[sound:さます.mp3]&lt;/div&gt;</v>
      </c>
      <c r="H3356" s="3" t="str">
        <f t="shared" si="1"/>
        <v>(v): làm tỉnh</v>
      </c>
      <c r="I3356" s="6" t="s">
        <v>18299</v>
      </c>
      <c r="J3356" s="6" t="s">
        <v>18300</v>
      </c>
      <c r="K3356" s="7">
        <f t="shared" si="2"/>
        <v>0.01842185909</v>
      </c>
    </row>
    <row r="3357">
      <c r="A3357" s="4">
        <v>3357.0</v>
      </c>
      <c r="B3357" s="5" t="s">
        <v>18301</v>
      </c>
      <c r="C3357" s="5" t="s">
        <v>18301</v>
      </c>
      <c r="D3357" s="5" t="s">
        <v>18301</v>
      </c>
      <c r="E3357" s="6" t="s">
        <v>24</v>
      </c>
      <c r="F3357" s="6" t="s">
        <v>18302</v>
      </c>
      <c r="G3357" s="3" t="str">
        <f>IFERROR(__xludf.DUMMYFUNCTION("REGEXREPLACE(
D3357,
""([一-龯々]+)\[([^\]]+)\]"",
""&lt;ruby&gt;$1&lt;rt&gt;$2&lt;/rt&gt;&lt;/ruby&gt;""
)&amp;""&lt;br&gt;&lt;div class=""""audio""""&gt;[sound:""&amp;C3357&amp;"".mp3]&lt;/div&gt;"""),"くっつける&lt;br&gt;&lt;div class=""audio""&gt;[sound:くっつける.mp3]&lt;/div&gt;")</f>
        <v>くっつける&lt;br&gt;&lt;div class="audio"&gt;[sound:くっつける.mp3]&lt;/div&gt;</v>
      </c>
      <c r="H3357" s="3" t="str">
        <f t="shared" si="1"/>
        <v>(v): gắn vào</v>
      </c>
      <c r="I3357" s="6" t="s">
        <v>18303</v>
      </c>
      <c r="J3357" s="6" t="s">
        <v>18304</v>
      </c>
      <c r="K3357" s="7">
        <f t="shared" si="2"/>
        <v>0.2814981022</v>
      </c>
    </row>
    <row r="3358">
      <c r="A3358" s="4">
        <v>3358.0</v>
      </c>
      <c r="B3358" s="5" t="s">
        <v>18305</v>
      </c>
      <c r="C3358" s="5" t="s">
        <v>18306</v>
      </c>
      <c r="D3358" s="5" t="s">
        <v>18305</v>
      </c>
      <c r="E3358" s="6" t="s">
        <v>74</v>
      </c>
      <c r="F3358" s="6" t="s">
        <v>18307</v>
      </c>
      <c r="G3358" s="3" t="str">
        <f>IFERROR(__xludf.DUMMYFUNCTION("REGEXREPLACE(
D3358,
""([一-龯々]+)\[([^\]]+)\]"",
""&lt;ruby&gt;$1&lt;rt&gt;$2&lt;/rt&gt;&lt;/ruby&gt;""
)&amp;""&lt;br&gt;&lt;div class=""""audio""""&gt;[sound:""&amp;C3358&amp;"".mp3]&lt;/div&gt;"""),"テンポ&lt;br&gt;&lt;div class=""audio""&gt;[sound:てんぽ.mp3]&lt;/div&gt;")</f>
        <v>テンポ&lt;br&gt;&lt;div class="audio"&gt;[sound:てんぽ.mp3]&lt;/div&gt;</v>
      </c>
      <c r="H3358" s="3" t="str">
        <f t="shared" si="1"/>
        <v>(n): nhịp độ</v>
      </c>
      <c r="I3358" s="6" t="s">
        <v>18308</v>
      </c>
      <c r="J3358" s="6" t="s">
        <v>18309</v>
      </c>
      <c r="K3358" s="7">
        <f t="shared" si="2"/>
        <v>0.1142212824</v>
      </c>
    </row>
    <row r="3359">
      <c r="A3359" s="4">
        <v>3359.0</v>
      </c>
      <c r="B3359" s="5" t="s">
        <v>18310</v>
      </c>
      <c r="C3359" s="5" t="s">
        <v>18310</v>
      </c>
      <c r="D3359" s="5" t="s">
        <v>18310</v>
      </c>
      <c r="E3359" s="6" t="s">
        <v>85</v>
      </c>
      <c r="F3359" s="6" t="s">
        <v>10801</v>
      </c>
      <c r="G3359" s="3" t="str">
        <f>IFERROR(__xludf.DUMMYFUNCTION("REGEXREPLACE(
D3359,
""([一-龯々]+)\[([^\]]+)\]"",
""&lt;ruby&gt;$1&lt;rt&gt;$2&lt;/rt&gt;&lt;/ruby&gt;""
)&amp;""&lt;br&gt;&lt;div class=""""audio""""&gt;[sound:""&amp;C3359&amp;"".mp3]&lt;/div&gt;"""),"とっくに&lt;br&gt;&lt;div class=""audio""&gt;[sound:とっくに.mp3]&lt;/div&gt;")</f>
        <v>とっくに&lt;br&gt;&lt;div class="audio"&gt;[sound:とっくに.mp3]&lt;/div&gt;</v>
      </c>
      <c r="H3359" s="3" t="str">
        <f t="shared" si="1"/>
        <v>(adv): lâu rồi</v>
      </c>
      <c r="I3359" s="6" t="s">
        <v>18311</v>
      </c>
      <c r="J3359" s="6" t="s">
        <v>18312</v>
      </c>
      <c r="K3359" s="7">
        <f t="shared" si="2"/>
        <v>0.2345395256</v>
      </c>
    </row>
    <row r="3360">
      <c r="A3360" s="4">
        <v>3360.0</v>
      </c>
      <c r="B3360" s="5" t="s">
        <v>18313</v>
      </c>
      <c r="C3360" s="5" t="s">
        <v>18314</v>
      </c>
      <c r="D3360" s="5" t="s">
        <v>18315</v>
      </c>
      <c r="E3360" s="6" t="s">
        <v>74</v>
      </c>
      <c r="F3360" s="6" t="s">
        <v>6561</v>
      </c>
      <c r="G3360" s="3" t="str">
        <f>IFERROR(__xludf.DUMMYFUNCTION("REGEXREPLACE(
D3360,
""([一-龯々]+)\[([^\]]+)\]"",
""&lt;ruby&gt;$1&lt;rt&gt;$2&lt;/rt&gt;&lt;/ruby&gt;""
)&amp;""&lt;br&gt;&lt;div class=""""audio""""&gt;[sound:""&amp;C3360&amp;"".mp3]&lt;/div&gt;"""),"&lt;ruby&gt;通過&lt;rt&gt;つうか&lt;/rt&gt;&lt;/ruby&gt;&lt;br&gt;&lt;div class=""audio""&gt;[sound:つうか.mp3]&lt;/div&gt;")</f>
        <v>&lt;ruby&gt;通過&lt;rt&gt;つうか&lt;/rt&gt;&lt;/ruby&gt;&lt;br&gt;&lt;div class="audio"&gt;[sound:つうか.mp3]&lt;/div&gt;</v>
      </c>
      <c r="H3360" s="3" t="str">
        <f t="shared" si="1"/>
        <v>(n): đi qua</v>
      </c>
      <c r="I3360" s="6" t="s">
        <v>18316</v>
      </c>
      <c r="J3360" s="6" t="s">
        <v>18317</v>
      </c>
      <c r="K3360" s="7">
        <f t="shared" si="2"/>
        <v>0.641611508</v>
      </c>
    </row>
    <row r="3361">
      <c r="A3361" s="4">
        <v>3361.0</v>
      </c>
      <c r="B3361" s="5" t="s">
        <v>18318</v>
      </c>
      <c r="C3361" s="5" t="s">
        <v>18319</v>
      </c>
      <c r="D3361" s="5" t="s">
        <v>18318</v>
      </c>
      <c r="E3361" s="6" t="s">
        <v>74</v>
      </c>
      <c r="F3361" s="6" t="s">
        <v>18320</v>
      </c>
      <c r="G3361" s="3" t="str">
        <f>IFERROR(__xludf.DUMMYFUNCTION("REGEXREPLACE(
D3361,
""([一-龯々]+)\[([^\]]+)\]"",
""&lt;ruby&gt;$1&lt;rt&gt;$2&lt;/rt&gt;&lt;/ruby&gt;""
)&amp;""&lt;br&gt;&lt;div class=""""audio""""&gt;[sound:""&amp;C3361&amp;"".mp3]&lt;/div&gt;"""),"マイク&lt;br&gt;&lt;div class=""audio""&gt;[sound:まいく.mp3]&lt;/div&gt;")</f>
        <v>マイク&lt;br&gt;&lt;div class="audio"&gt;[sound:まいく.mp3]&lt;/div&gt;</v>
      </c>
      <c r="H3361" s="3" t="str">
        <f t="shared" si="1"/>
        <v>(n): micro</v>
      </c>
      <c r="I3361" s="6" t="s">
        <v>18321</v>
      </c>
      <c r="J3361" s="6" t="s">
        <v>18322</v>
      </c>
      <c r="K3361" s="7">
        <f t="shared" si="2"/>
        <v>0.8346828119</v>
      </c>
    </row>
    <row r="3362">
      <c r="A3362" s="4">
        <v>3362.0</v>
      </c>
      <c r="B3362" s="5" t="s">
        <v>18323</v>
      </c>
      <c r="C3362" s="5" t="s">
        <v>18324</v>
      </c>
      <c r="D3362" s="5" t="s">
        <v>18325</v>
      </c>
      <c r="E3362" s="6" t="s">
        <v>74</v>
      </c>
      <c r="F3362" s="6" t="s">
        <v>18326</v>
      </c>
      <c r="G3362" s="3" t="str">
        <f>IFERROR(__xludf.DUMMYFUNCTION("REGEXREPLACE(
D3362,
""([一-龯々]+)\[([^\]]+)\]"",
""&lt;ruby&gt;$1&lt;rt&gt;$2&lt;/rt&gt;&lt;/ruby&gt;""
)&amp;""&lt;br&gt;&lt;div class=""""audio""""&gt;[sound:""&amp;C3362&amp;"".mp3]&lt;/div&gt;"""),"&lt;ruby&gt;出&lt;rt&gt;で&lt;/rt&gt;&lt;/ruby&gt;&lt;br&gt;&lt;div class=""audio""&gt;[sound:で.mp3]&lt;/div&gt;")</f>
        <v>&lt;ruby&gt;出&lt;rt&gt;で&lt;/rt&gt;&lt;/ruby&gt;&lt;br&gt;&lt;div class="audio"&gt;[sound:で.mp3]&lt;/div&gt;</v>
      </c>
      <c r="H3362" s="3" t="str">
        <f t="shared" si="1"/>
        <v>(n): ra đi</v>
      </c>
      <c r="I3362" s="6" t="s">
        <v>18327</v>
      </c>
      <c r="J3362" s="6" t="s">
        <v>18328</v>
      </c>
      <c r="K3362" s="7">
        <f t="shared" si="2"/>
        <v>0.1667007773</v>
      </c>
    </row>
    <row r="3363">
      <c r="A3363" s="4">
        <v>3363.0</v>
      </c>
      <c r="B3363" s="5" t="s">
        <v>18329</v>
      </c>
      <c r="C3363" s="5" t="s">
        <v>18330</v>
      </c>
      <c r="D3363" s="5" t="s">
        <v>18331</v>
      </c>
      <c r="E3363" s="6" t="s">
        <v>24</v>
      </c>
      <c r="F3363" s="6" t="s">
        <v>18332</v>
      </c>
      <c r="G3363" s="3" t="str">
        <f>IFERROR(__xludf.DUMMYFUNCTION("REGEXREPLACE(
D3363,
""([一-龯々]+)\[([^\]]+)\]"",
""&lt;ruby&gt;$1&lt;rt&gt;$2&lt;/rt&gt;&lt;/ruby&gt;""
)&amp;""&lt;br&gt;&lt;div class=""""audio""""&gt;[sound:""&amp;C3363&amp;"".mp3]&lt;/div&gt;"""),"&lt;ruby&gt;渡&lt;rt&gt;わた&lt;/rt&gt;&lt;/ruby&gt;す&lt;br&gt;&lt;div class=""audio""&gt;[sound:わたす.mp3]&lt;/div&gt;")</f>
        <v>&lt;ruby&gt;渡&lt;rt&gt;わた&lt;/rt&gt;&lt;/ruby&gt;す&lt;br&gt;&lt;div class="audio"&gt;[sound:わたす.mp3]&lt;/div&gt;</v>
      </c>
      <c r="H3363" s="3" t="str">
        <f t="shared" si="1"/>
        <v>(v): trao</v>
      </c>
      <c r="I3363" s="6" t="s">
        <v>18333</v>
      </c>
      <c r="J3363" s="6" t="s">
        <v>18334</v>
      </c>
      <c r="K3363" s="7">
        <f t="shared" si="2"/>
        <v>0.2400607369</v>
      </c>
    </row>
    <row r="3364">
      <c r="A3364" s="4">
        <v>3364.0</v>
      </c>
      <c r="B3364" s="5" t="s">
        <v>18335</v>
      </c>
      <c r="C3364" s="5" t="s">
        <v>9202</v>
      </c>
      <c r="D3364" s="5" t="s">
        <v>18336</v>
      </c>
      <c r="E3364" s="6" t="s">
        <v>11</v>
      </c>
      <c r="F3364" s="6" t="s">
        <v>18337</v>
      </c>
      <c r="G3364" s="3" t="str">
        <f>IFERROR(__xludf.DUMMYFUNCTION("REGEXREPLACE(
D3364,
""([一-龯々]+)\[([^\]]+)\]"",
""&lt;ruby&gt;$1&lt;rt&gt;$2&lt;/rt&gt;&lt;/ruby&gt;""
)&amp;""&lt;br&gt;&lt;div class=""""audio""""&gt;[sound:""&amp;C3364&amp;"".mp3]&lt;/div&gt;"""),"&lt;ruby&gt;厚&lt;rt&gt;あつ&lt;/rt&gt;&lt;/ruby&gt;い&lt;br&gt;&lt;div class=""audio""&gt;[sound:あつい.mp3]&lt;/div&gt;")</f>
        <v>&lt;ruby&gt;厚&lt;rt&gt;あつ&lt;/rt&gt;&lt;/ruby&gt;い&lt;br&gt;&lt;div class="audio"&gt;[sound:あつい.mp3]&lt;/div&gt;</v>
      </c>
      <c r="H3364" s="3" t="str">
        <f t="shared" si="1"/>
        <v>(adj): dày</v>
      </c>
      <c r="I3364" s="6" t="s">
        <v>18338</v>
      </c>
      <c r="J3364" s="6" t="s">
        <v>18339</v>
      </c>
      <c r="K3364" s="7">
        <f t="shared" si="2"/>
        <v>0.5903416262</v>
      </c>
    </row>
    <row r="3365">
      <c r="A3365" s="4">
        <v>3365.0</v>
      </c>
      <c r="B3365" s="5" t="s">
        <v>18340</v>
      </c>
      <c r="C3365" s="5" t="s">
        <v>18341</v>
      </c>
      <c r="D3365" s="5" t="s">
        <v>18342</v>
      </c>
      <c r="E3365" s="6" t="s">
        <v>74</v>
      </c>
      <c r="F3365" s="6" t="s">
        <v>9184</v>
      </c>
      <c r="G3365" s="3" t="str">
        <f>IFERROR(__xludf.DUMMYFUNCTION("REGEXREPLACE(
D3365,
""([一-龯々]+)\[([^\]]+)\]"",
""&lt;ruby&gt;$1&lt;rt&gt;$2&lt;/rt&gt;&lt;/ruby&gt;""
)&amp;""&lt;br&gt;&lt;div class=""""audio""""&gt;[sound:""&amp;C3365&amp;"".mp3]&lt;/div&gt;"""),"&lt;ruby&gt;迎&lt;rt&gt;むか&lt;/rt&gt;&lt;/ruby&gt;え&lt;br&gt;&lt;div class=""audio""&gt;[sound:むかえ.mp3]&lt;/div&gt;")</f>
        <v>&lt;ruby&gt;迎&lt;rt&gt;むか&lt;/rt&gt;&lt;/ruby&gt;え&lt;br&gt;&lt;div class="audio"&gt;[sound:むかえ.mp3]&lt;/div&gt;</v>
      </c>
      <c r="H3365" s="3" t="str">
        <f t="shared" si="1"/>
        <v>(n): đón</v>
      </c>
      <c r="I3365" s="6" t="s">
        <v>18343</v>
      </c>
      <c r="J3365" s="6" t="s">
        <v>18344</v>
      </c>
      <c r="K3365" s="7">
        <f t="shared" si="2"/>
        <v>0.3800897078</v>
      </c>
    </row>
    <row r="3366">
      <c r="A3366" s="4">
        <v>3366.0</v>
      </c>
      <c r="B3366" s="5" t="s">
        <v>18345</v>
      </c>
      <c r="C3366" s="5" t="s">
        <v>18345</v>
      </c>
      <c r="D3366" s="5" t="s">
        <v>18345</v>
      </c>
      <c r="E3366" s="6" t="s">
        <v>11</v>
      </c>
      <c r="F3366" s="6" t="s">
        <v>18346</v>
      </c>
      <c r="G3366" s="3" t="str">
        <f>IFERROR(__xludf.DUMMYFUNCTION("REGEXREPLACE(
D3366,
""([一-龯々]+)\[([^\]]+)\]"",
""&lt;ruby&gt;$1&lt;rt&gt;$2&lt;/rt&gt;&lt;/ruby&gt;""
)&amp;""&lt;br&gt;&lt;div class=""""audio""""&gt;[sound:""&amp;C3366&amp;"".mp3]&lt;/div&gt;"""),"そっくり&lt;br&gt;&lt;div class=""audio""&gt;[sound:そっくり.mp3]&lt;/div&gt;")</f>
        <v>そっくり&lt;br&gt;&lt;div class="audio"&gt;[sound:そっくり.mp3]&lt;/div&gt;</v>
      </c>
      <c r="H3366" s="3" t="str">
        <f t="shared" si="1"/>
        <v>(adj): giống hệt</v>
      </c>
      <c r="I3366" s="6" t="s">
        <v>18347</v>
      </c>
      <c r="J3366" s="6" t="s">
        <v>18348</v>
      </c>
      <c r="K3366" s="7">
        <f t="shared" si="2"/>
        <v>0.1210652603</v>
      </c>
    </row>
    <row r="3367">
      <c r="A3367" s="4">
        <v>3367.0</v>
      </c>
      <c r="B3367" s="5" t="s">
        <v>18349</v>
      </c>
      <c r="C3367" s="5" t="s">
        <v>18063</v>
      </c>
      <c r="D3367" s="5" t="s">
        <v>18350</v>
      </c>
      <c r="E3367" s="6" t="s">
        <v>24</v>
      </c>
      <c r="F3367" s="6" t="s">
        <v>18351</v>
      </c>
      <c r="G3367" s="3" t="str">
        <f>IFERROR(__xludf.DUMMYFUNCTION("REGEXREPLACE(
D3367,
""([一-龯々]+)\[([^\]]+)\]"",
""&lt;ruby&gt;$1&lt;rt&gt;$2&lt;/rt&gt;&lt;/ruby&gt;""
)&amp;""&lt;br&gt;&lt;div class=""""audio""""&gt;[sound:""&amp;C3367&amp;"".mp3]&lt;/div&gt;"""),"&lt;ruby&gt;治&lt;rt&gt;なお&lt;/rt&gt;&lt;/ruby&gt;る&lt;br&gt;&lt;div class=""audio""&gt;[sound:なおる.mp3]&lt;/div&gt;")</f>
        <v>&lt;ruby&gt;治&lt;rt&gt;なお&lt;/rt&gt;&lt;/ruby&gt;る&lt;br&gt;&lt;div class="audio"&gt;[sound:なおる.mp3]&lt;/div&gt;</v>
      </c>
      <c r="H3367" s="3" t="str">
        <f t="shared" si="1"/>
        <v>(v): chữa khỏi</v>
      </c>
      <c r="I3367" s="6" t="s">
        <v>18352</v>
      </c>
      <c r="J3367" s="6" t="s">
        <v>18353</v>
      </c>
      <c r="K3367" s="7">
        <f t="shared" si="2"/>
        <v>0.1984139559</v>
      </c>
    </row>
    <row r="3368">
      <c r="A3368" s="4">
        <v>3368.0</v>
      </c>
      <c r="B3368" s="5" t="s">
        <v>18354</v>
      </c>
      <c r="C3368" s="5" t="s">
        <v>18355</v>
      </c>
      <c r="D3368" s="5" t="s">
        <v>18354</v>
      </c>
      <c r="E3368" s="6" t="s">
        <v>74</v>
      </c>
      <c r="F3368" s="6" t="s">
        <v>18356</v>
      </c>
      <c r="G3368" s="3" t="str">
        <f>IFERROR(__xludf.DUMMYFUNCTION("REGEXREPLACE(
D3368,
""([一-龯々]+)\[([^\]]+)\]"",
""&lt;ruby&gt;$1&lt;rt&gt;$2&lt;/rt&gt;&lt;/ruby&gt;""
)&amp;""&lt;br&gt;&lt;div class=""""audio""""&gt;[sound:""&amp;C3368&amp;"".mp3]&lt;/div&gt;"""),"スピーチ&lt;br&gt;&lt;div class=""audio""&gt;[sound:すぴーち.mp3]&lt;/div&gt;")</f>
        <v>スピーチ&lt;br&gt;&lt;div class="audio"&gt;[sound:すぴーち.mp3]&lt;/div&gt;</v>
      </c>
      <c r="H3368" s="3" t="str">
        <f t="shared" si="1"/>
        <v>(n): diễn văn</v>
      </c>
      <c r="I3368" s="6" t="s">
        <v>18357</v>
      </c>
      <c r="J3368" s="6" t="s">
        <v>18358</v>
      </c>
      <c r="K3368" s="7">
        <f t="shared" si="2"/>
        <v>0.8912382367</v>
      </c>
    </row>
    <row r="3369">
      <c r="A3369" s="4">
        <v>3369.0</v>
      </c>
      <c r="B3369" s="5" t="s">
        <v>18359</v>
      </c>
      <c r="C3369" s="5" t="s">
        <v>18360</v>
      </c>
      <c r="D3369" s="5" t="s">
        <v>18359</v>
      </c>
      <c r="E3369" s="6" t="s">
        <v>74</v>
      </c>
      <c r="F3369" s="6" t="s">
        <v>18361</v>
      </c>
      <c r="G3369" s="3" t="str">
        <f>IFERROR(__xludf.DUMMYFUNCTION("REGEXREPLACE(
D3369,
""([一-龯々]+)\[([^\]]+)\]"",
""&lt;ruby&gt;$1&lt;rt&gt;$2&lt;/rt&gt;&lt;/ruby&gt;""
)&amp;""&lt;br&gt;&lt;div class=""""audio""""&gt;[sound:""&amp;C3369&amp;"".mp3]&lt;/div&gt;"""),"レンズ&lt;br&gt;&lt;div class=""audio""&gt;[sound:れんず.mp3]&lt;/div&gt;")</f>
        <v>レンズ&lt;br&gt;&lt;div class="audio"&gt;[sound:れんず.mp3]&lt;/div&gt;</v>
      </c>
      <c r="H3369" s="3" t="str">
        <f t="shared" si="1"/>
        <v>(n): ống kính</v>
      </c>
      <c r="I3369" s="6" t="s">
        <v>18362</v>
      </c>
      <c r="J3369" s="6" t="s">
        <v>18363</v>
      </c>
      <c r="K3369" s="7">
        <f t="shared" si="2"/>
        <v>0.5523130724</v>
      </c>
    </row>
    <row r="3370">
      <c r="A3370" s="4">
        <v>3370.0</v>
      </c>
      <c r="B3370" s="5" t="s">
        <v>18364</v>
      </c>
      <c r="C3370" s="5" t="s">
        <v>18365</v>
      </c>
      <c r="D3370" s="5" t="s">
        <v>18366</v>
      </c>
      <c r="E3370" s="6" t="s">
        <v>74</v>
      </c>
      <c r="F3370" s="6" t="s">
        <v>5371</v>
      </c>
      <c r="G3370" s="3" t="str">
        <f>IFERROR(__xludf.DUMMYFUNCTION("REGEXREPLACE(
D3370,
""([一-龯々]+)\[([^\]]+)\]"",
""&lt;ruby&gt;$1&lt;rt&gt;$2&lt;/rt&gt;&lt;/ruby&gt;""
)&amp;""&lt;br&gt;&lt;div class=""""audio""""&gt;[sound:""&amp;C3370&amp;"".mp3]&lt;/div&gt;"""),"&lt;ruby&gt;上着&lt;rt&gt;うわぎ&lt;/rt&gt;&lt;/ruby&gt;&lt;br&gt;&lt;div class=""audio""&gt;[sound:うわぎ.mp3]&lt;/div&gt;")</f>
        <v>&lt;ruby&gt;上着&lt;rt&gt;うわぎ&lt;/rt&gt;&lt;/ruby&gt;&lt;br&gt;&lt;div class="audio"&gt;[sound:うわぎ.mp3]&lt;/div&gt;</v>
      </c>
      <c r="H3370" s="3" t="str">
        <f t="shared" si="1"/>
        <v>(n): áo khoác</v>
      </c>
      <c r="I3370" s="6" t="s">
        <v>18367</v>
      </c>
      <c r="J3370" s="6" t="s">
        <v>18368</v>
      </c>
      <c r="K3370" s="7">
        <f t="shared" si="2"/>
        <v>0.2667700102</v>
      </c>
    </row>
    <row r="3371">
      <c r="A3371" s="4">
        <v>3371.0</v>
      </c>
      <c r="B3371" s="5" t="s">
        <v>18369</v>
      </c>
      <c r="C3371" s="5" t="s">
        <v>18370</v>
      </c>
      <c r="D3371" s="5" t="s">
        <v>18371</v>
      </c>
      <c r="E3371" s="6" t="s">
        <v>74</v>
      </c>
      <c r="F3371" s="6" t="s">
        <v>18372</v>
      </c>
      <c r="G3371" s="3" t="str">
        <f>IFERROR(__xludf.DUMMYFUNCTION("REGEXREPLACE(
D3371,
""([一-龯々]+)\[([^\]]+)\]"",
""&lt;ruby&gt;$1&lt;rt&gt;$2&lt;/rt&gt;&lt;/ruby&gt;""
)&amp;""&lt;br&gt;&lt;div class=""""audio""""&gt;[sound:""&amp;C3371&amp;"".mp3]&lt;/div&gt;"""),"&lt;ruby&gt;代金&lt;rt&gt;だいきん&lt;/rt&gt;&lt;/ruby&gt;&lt;br&gt;&lt;div class=""audio""&gt;[sound:だいきん.mp3]&lt;/div&gt;")</f>
        <v>&lt;ruby&gt;代金&lt;rt&gt;だいきん&lt;/rt&gt;&lt;/ruby&gt;&lt;br&gt;&lt;div class="audio"&gt;[sound:だいきん.mp3]&lt;/div&gt;</v>
      </c>
      <c r="H3371" s="3" t="str">
        <f t="shared" si="1"/>
        <v>(n): tiền hàng</v>
      </c>
      <c r="I3371" s="6" t="s">
        <v>18373</v>
      </c>
      <c r="J3371" s="6" t="s">
        <v>18374</v>
      </c>
      <c r="K3371" s="7">
        <f t="shared" si="2"/>
        <v>0.3940069249</v>
      </c>
    </row>
    <row r="3372">
      <c r="A3372" s="4">
        <v>3372.0</v>
      </c>
      <c r="B3372" s="5" t="s">
        <v>18375</v>
      </c>
      <c r="C3372" s="5" t="s">
        <v>18376</v>
      </c>
      <c r="D3372" s="5" t="s">
        <v>18377</v>
      </c>
      <c r="E3372" s="6" t="s">
        <v>74</v>
      </c>
      <c r="F3372" s="6" t="s">
        <v>18378</v>
      </c>
      <c r="G3372" s="3" t="str">
        <f>IFERROR(__xludf.DUMMYFUNCTION("REGEXREPLACE(
D3372,
""([一-龯々]+)\[([^\]]+)\]"",
""&lt;ruby&gt;$1&lt;rt&gt;$2&lt;/rt&gt;&lt;/ruby&gt;""
)&amp;""&lt;br&gt;&lt;div class=""""audio""""&gt;[sound:""&amp;C3372&amp;"".mp3]&lt;/div&gt;"""),"&lt;ruby&gt;記入&lt;rt&gt;きにゅう&lt;/rt&gt;&lt;/ruby&gt;&lt;br&gt;&lt;div class=""audio""&gt;[sound:きにゅう.mp3]&lt;/div&gt;")</f>
        <v>&lt;ruby&gt;記入&lt;rt&gt;きにゅう&lt;/rt&gt;&lt;/ruby&gt;&lt;br&gt;&lt;div class="audio"&gt;[sound:きにゅう.mp3]&lt;/div&gt;</v>
      </c>
      <c r="H3372" s="3" t="str">
        <f t="shared" si="1"/>
        <v>(n): điền vào</v>
      </c>
      <c r="I3372" s="6" t="s">
        <v>18379</v>
      </c>
      <c r="J3372" s="6" t="s">
        <v>18380</v>
      </c>
      <c r="K3372" s="7">
        <f t="shared" si="2"/>
        <v>0.1324085337</v>
      </c>
    </row>
    <row r="3373">
      <c r="A3373" s="4">
        <v>3373.0</v>
      </c>
      <c r="B3373" s="5" t="s">
        <v>18381</v>
      </c>
      <c r="C3373" s="5" t="s">
        <v>18381</v>
      </c>
      <c r="D3373" s="5" t="s">
        <v>18381</v>
      </c>
      <c r="E3373" s="6" t="s">
        <v>85</v>
      </c>
      <c r="F3373" s="6" t="s">
        <v>18382</v>
      </c>
      <c r="G3373" s="3" t="str">
        <f>IFERROR(__xludf.DUMMYFUNCTION("REGEXREPLACE(
D3373,
""([一-龯々]+)\[([^\]]+)\]"",
""&lt;ruby&gt;$1&lt;rt&gt;$2&lt;/rt&gt;&lt;/ruby&gt;""
)&amp;""&lt;br&gt;&lt;div class=""""audio""""&gt;[sound:""&amp;C3373&amp;"".mp3]&lt;/div&gt;"""),"ぼんやり&lt;br&gt;&lt;div class=""audio""&gt;[sound:ぼんやり.mp3]&lt;/div&gt;")</f>
        <v>ぼんやり&lt;br&gt;&lt;div class="audio"&gt;[sound:ぼんやり.mp3]&lt;/div&gt;</v>
      </c>
      <c r="H3373" s="3" t="str">
        <f t="shared" si="1"/>
        <v>(adv): lơ đãng</v>
      </c>
      <c r="I3373" s="6" t="s">
        <v>18383</v>
      </c>
      <c r="J3373" s="6" t="s">
        <v>18384</v>
      </c>
      <c r="K3373" s="7">
        <f t="shared" si="2"/>
        <v>0.3625159088</v>
      </c>
    </row>
    <row r="3374">
      <c r="A3374" s="4">
        <v>3374.0</v>
      </c>
      <c r="B3374" s="5" t="s">
        <v>18385</v>
      </c>
      <c r="C3374" s="5" t="s">
        <v>18386</v>
      </c>
      <c r="D3374" s="5" t="s">
        <v>18385</v>
      </c>
      <c r="E3374" s="6" t="s">
        <v>74</v>
      </c>
      <c r="F3374" s="6" t="s">
        <v>11364</v>
      </c>
      <c r="G3374" s="3" t="str">
        <f>IFERROR(__xludf.DUMMYFUNCTION("REGEXREPLACE(
D3374,
""([一-龯々]+)\[([^\]]+)\]"",
""&lt;ruby&gt;$1&lt;rt&gt;$2&lt;/rt&gt;&lt;/ruby&gt;""
)&amp;""&lt;br&gt;&lt;div class=""""audio""""&gt;[sound:""&amp;C3374&amp;"".mp3]&lt;/div&gt;"""),"モーター&lt;br&gt;&lt;div class=""audio""&gt;[sound:もーたー.mp3]&lt;/div&gt;")</f>
        <v>モーター&lt;br&gt;&lt;div class="audio"&gt;[sound:もーたー.mp3]&lt;/div&gt;</v>
      </c>
      <c r="H3374" s="3" t="str">
        <f t="shared" si="1"/>
        <v>(n): động cơ</v>
      </c>
      <c r="I3374" s="6" t="s">
        <v>18387</v>
      </c>
      <c r="J3374" s="6" t="s">
        <v>18388</v>
      </c>
      <c r="K3374" s="7">
        <f t="shared" si="2"/>
        <v>0.5250728031</v>
      </c>
    </row>
    <row r="3375">
      <c r="A3375" s="4">
        <v>3375.0</v>
      </c>
      <c r="B3375" s="5" t="s">
        <v>18389</v>
      </c>
      <c r="C3375" s="5" t="s">
        <v>18390</v>
      </c>
      <c r="D3375" s="5" t="s">
        <v>18389</v>
      </c>
      <c r="E3375" s="6" t="s">
        <v>74</v>
      </c>
      <c r="F3375" s="6" t="s">
        <v>18391</v>
      </c>
      <c r="G3375" s="3" t="str">
        <f>IFERROR(__xludf.DUMMYFUNCTION("REGEXREPLACE(
D3375,
""([一-龯々]+)\[([^\]]+)\]"",
""&lt;ruby&gt;$1&lt;rt&gt;$2&lt;/rt&gt;&lt;/ruby&gt;""
)&amp;""&lt;br&gt;&lt;div class=""""audio""""&gt;[sound:""&amp;C3375&amp;"".mp3]&lt;/div&gt;"""),"レコード&lt;br&gt;&lt;div class=""audio""&gt;[sound:れこーど.mp3]&lt;/div&gt;")</f>
        <v>レコード&lt;br&gt;&lt;div class="audio"&gt;[sound:れこーど.mp3]&lt;/div&gt;</v>
      </c>
      <c r="H3375" s="3" t="str">
        <f t="shared" si="1"/>
        <v>(n): đĩa hát</v>
      </c>
      <c r="I3375" s="6" t="s">
        <v>18392</v>
      </c>
      <c r="J3375" s="6" t="s">
        <v>18393</v>
      </c>
      <c r="K3375" s="7">
        <f t="shared" si="2"/>
        <v>0.8630863882</v>
      </c>
    </row>
    <row r="3376">
      <c r="A3376" s="4">
        <v>3376.0</v>
      </c>
      <c r="B3376" s="5" t="s">
        <v>18394</v>
      </c>
      <c r="C3376" s="5" t="s">
        <v>18395</v>
      </c>
      <c r="D3376" s="5" t="s">
        <v>18396</v>
      </c>
      <c r="E3376" s="6" t="s">
        <v>85</v>
      </c>
      <c r="F3376" s="6" t="s">
        <v>18397</v>
      </c>
      <c r="G3376" s="3" t="str">
        <f>IFERROR(__xludf.DUMMYFUNCTION("REGEXREPLACE(
D3376,
""([一-龯々]+)\[([^\]]+)\]"",
""&lt;ruby&gt;$1&lt;rt&gt;$2&lt;/rt&gt;&lt;/ruby&gt;""
)&amp;""&lt;br&gt;&lt;div class=""""audio""""&gt;[sound:""&amp;C3376&amp;"".mp3]&lt;/div&gt;"""),"&lt;ruby&gt;一段&lt;rt&gt;いちだん&lt;/rt&gt;&lt;/ruby&gt;と&lt;br&gt;&lt;div class=""audio""&gt;[sound:いちだんと.mp3]&lt;/div&gt;")</f>
        <v>&lt;ruby&gt;一段&lt;rt&gt;いちだん&lt;/rt&gt;&lt;/ruby&gt;と&lt;br&gt;&lt;div class="audio"&gt;[sound:いちだんと.mp3]&lt;/div&gt;</v>
      </c>
      <c r="H3376" s="3" t="str">
        <f t="shared" si="1"/>
        <v>(adv): hơn hẳn</v>
      </c>
      <c r="I3376" s="6" t="s">
        <v>18398</v>
      </c>
      <c r="J3376" s="6" t="s">
        <v>18399</v>
      </c>
      <c r="K3376" s="7">
        <f t="shared" si="2"/>
        <v>0.3479203036</v>
      </c>
    </row>
    <row r="3377">
      <c r="A3377" s="4">
        <v>3377.0</v>
      </c>
      <c r="B3377" s="5" t="s">
        <v>18400</v>
      </c>
      <c r="C3377" s="5" t="s">
        <v>18401</v>
      </c>
      <c r="D3377" s="5" t="s">
        <v>18402</v>
      </c>
      <c r="E3377" s="6" t="s">
        <v>24</v>
      </c>
      <c r="F3377" s="6" t="s">
        <v>18403</v>
      </c>
      <c r="G3377" s="3" t="str">
        <f>IFERROR(__xludf.DUMMYFUNCTION("REGEXREPLACE(
D3377,
""([一-龯々]+)\[([^\]]+)\]"",
""&lt;ruby&gt;$1&lt;rt&gt;$2&lt;/rt&gt;&lt;/ruby&gt;""
)&amp;""&lt;br&gt;&lt;div class=""""audio""""&gt;[sound:""&amp;C3377&amp;"".mp3]&lt;/div&gt;"""),"&lt;ruby&gt;着替&lt;rt&gt;きが&lt;/rt&gt;&lt;/ruby&gt;える&lt;br&gt;&lt;div class=""audio""&gt;[sound:きがえる.mp3]&lt;/div&gt;")</f>
        <v>&lt;ruby&gt;着替&lt;rt&gt;きが&lt;/rt&gt;&lt;/ruby&gt;える&lt;br&gt;&lt;div class="audio"&gt;[sound:きがえる.mp3]&lt;/div&gt;</v>
      </c>
      <c r="H3377" s="3" t="str">
        <f t="shared" si="1"/>
        <v>(v): thay đồ</v>
      </c>
      <c r="I3377" s="6" t="s">
        <v>18404</v>
      </c>
      <c r="J3377" s="6" t="s">
        <v>18405</v>
      </c>
      <c r="K3377" s="7">
        <f t="shared" si="2"/>
        <v>0.7736197199</v>
      </c>
    </row>
    <row r="3378">
      <c r="A3378" s="4">
        <v>3378.0</v>
      </c>
      <c r="B3378" s="5" t="s">
        <v>18406</v>
      </c>
      <c r="C3378" s="5" t="s">
        <v>18406</v>
      </c>
      <c r="D3378" s="5" t="s">
        <v>18406</v>
      </c>
      <c r="E3378" s="6" t="s">
        <v>24</v>
      </c>
      <c r="F3378" s="6" t="s">
        <v>10840</v>
      </c>
      <c r="G3378" s="3" t="str">
        <f>IFERROR(__xludf.DUMMYFUNCTION("REGEXREPLACE(
D3378,
""([一-龯々]+)\[([^\]]+)\]"",
""&lt;ruby&gt;$1&lt;rt&gt;$2&lt;/rt&gt;&lt;/ruby&gt;""
)&amp;""&lt;br&gt;&lt;div class=""""audio""""&gt;[sound:""&amp;C3378&amp;"".mp3]&lt;/div&gt;"""),"こぼれる&lt;br&gt;&lt;div class=""audio""&gt;[sound:こぼれる.mp3]&lt;/div&gt;")</f>
        <v>こぼれる&lt;br&gt;&lt;div class="audio"&gt;[sound:こぼれる.mp3]&lt;/div&gt;</v>
      </c>
      <c r="H3378" s="3" t="str">
        <f t="shared" si="1"/>
        <v>(v): tràn</v>
      </c>
      <c r="I3378" s="6" t="s">
        <v>18407</v>
      </c>
      <c r="J3378" s="6" t="s">
        <v>18408</v>
      </c>
      <c r="K3378" s="7">
        <f t="shared" si="2"/>
        <v>0.2671896873</v>
      </c>
    </row>
    <row r="3379">
      <c r="A3379" s="4">
        <v>3379.0</v>
      </c>
      <c r="B3379" s="5" t="s">
        <v>18409</v>
      </c>
      <c r="C3379" s="5" t="s">
        <v>18409</v>
      </c>
      <c r="D3379" s="5" t="s">
        <v>18409</v>
      </c>
      <c r="E3379" s="6" t="s">
        <v>24</v>
      </c>
      <c r="F3379" s="6" t="s">
        <v>13029</v>
      </c>
      <c r="G3379" s="3" t="str">
        <f>IFERROR(__xludf.DUMMYFUNCTION("REGEXREPLACE(
D3379,
""([一-龯々]+)\[([^\]]+)\]"",
""&lt;ruby&gt;$1&lt;rt&gt;$2&lt;/rt&gt;&lt;/ruby&gt;""
)&amp;""&lt;br&gt;&lt;div class=""""audio""""&gt;[sound:""&amp;C3379&amp;"".mp3]&lt;/div&gt;"""),"ずれる&lt;br&gt;&lt;div class=""audio""&gt;[sound:ずれる.mp3]&lt;/div&gt;")</f>
        <v>ずれる&lt;br&gt;&lt;div class="audio"&gt;[sound:ずれる.mp3]&lt;/div&gt;</v>
      </c>
      <c r="H3379" s="3" t="str">
        <f t="shared" si="1"/>
        <v>(v): lệch</v>
      </c>
      <c r="I3379" s="6" t="s">
        <v>18410</v>
      </c>
      <c r="J3379" s="6" t="s">
        <v>18411</v>
      </c>
      <c r="K3379" s="7">
        <f t="shared" si="2"/>
        <v>0.2161150264</v>
      </c>
    </row>
    <row r="3380">
      <c r="A3380" s="4">
        <v>3380.0</v>
      </c>
      <c r="B3380" s="5" t="s">
        <v>18412</v>
      </c>
      <c r="C3380" s="5" t="s">
        <v>18413</v>
      </c>
      <c r="D3380" s="5" t="s">
        <v>18414</v>
      </c>
      <c r="E3380" s="6" t="s">
        <v>24</v>
      </c>
      <c r="F3380" s="6" t="s">
        <v>18415</v>
      </c>
      <c r="G3380" s="3" t="str">
        <f>IFERROR(__xludf.DUMMYFUNCTION("REGEXREPLACE(
D3380,
""([一-龯々]+)\[([^\]]+)\]"",
""&lt;ruby&gt;$1&lt;rt&gt;$2&lt;/rt&gt;&lt;/ruby&gt;""
)&amp;""&lt;br&gt;&lt;div class=""""audio""""&gt;[sound:""&amp;C3380&amp;"".mp3]&lt;/div&gt;"""),"&lt;ruby&gt;燃&lt;rt&gt;も&lt;/rt&gt;&lt;/ruby&gt;える&lt;br&gt;&lt;div class=""audio""&gt;[sound:もえる.mp3]&lt;/div&gt;")</f>
        <v>&lt;ruby&gt;燃&lt;rt&gt;も&lt;/rt&gt;&lt;/ruby&gt;える&lt;br&gt;&lt;div class="audio"&gt;[sound:もえる.mp3]&lt;/div&gt;</v>
      </c>
      <c r="H3380" s="3" t="str">
        <f t="shared" si="1"/>
        <v>(v): cháy</v>
      </c>
      <c r="I3380" s="6" t="s">
        <v>18416</v>
      </c>
      <c r="J3380" s="6" t="s">
        <v>18417</v>
      </c>
      <c r="K3380" s="7">
        <f t="shared" si="2"/>
        <v>0.589679283</v>
      </c>
    </row>
    <row r="3381">
      <c r="A3381" s="4">
        <v>3381.0</v>
      </c>
      <c r="B3381" s="5" t="s">
        <v>18418</v>
      </c>
      <c r="C3381" s="5" t="s">
        <v>18419</v>
      </c>
      <c r="D3381" s="5" t="s">
        <v>18420</v>
      </c>
      <c r="E3381" s="6" t="s">
        <v>74</v>
      </c>
      <c r="F3381" s="6" t="s">
        <v>18421</v>
      </c>
      <c r="G3381" s="3" t="str">
        <f>IFERROR(__xludf.DUMMYFUNCTION("REGEXREPLACE(
D3381,
""([一-龯々]+)\[([^\]]+)\]"",
""&lt;ruby&gt;$1&lt;rt&gt;$2&lt;/rt&gt;&lt;/ruby&gt;""
)&amp;""&lt;br&gt;&lt;div class=""""audio""""&gt;[sound:""&amp;C3381&amp;"".mp3]&lt;/div&gt;"""),"&lt;ruby&gt;縁&lt;rt&gt;ふち&lt;/rt&gt;&lt;/ruby&gt;&lt;br&gt;&lt;div class=""audio""&gt;[sound:ふち.mp3]&lt;/div&gt;")</f>
        <v>&lt;ruby&gt;縁&lt;rt&gt;ふち&lt;/rt&gt;&lt;/ruby&gt;&lt;br&gt;&lt;div class="audio"&gt;[sound:ふち.mp3]&lt;/div&gt;</v>
      </c>
      <c r="H3381" s="3" t="str">
        <f t="shared" si="1"/>
        <v>(n): viền</v>
      </c>
      <c r="I3381" s="6" t="s">
        <v>18422</v>
      </c>
      <c r="J3381" s="6" t="s">
        <v>18423</v>
      </c>
      <c r="K3381" s="7">
        <f t="shared" si="2"/>
        <v>0.1910491605</v>
      </c>
    </row>
    <row r="3382">
      <c r="A3382" s="4">
        <v>3382.0</v>
      </c>
      <c r="B3382" s="5" t="s">
        <v>18424</v>
      </c>
      <c r="C3382" s="5" t="s">
        <v>18425</v>
      </c>
      <c r="D3382" s="5" t="s">
        <v>18426</v>
      </c>
      <c r="E3382" s="6" t="s">
        <v>74</v>
      </c>
      <c r="F3382" s="6" t="s">
        <v>14797</v>
      </c>
      <c r="G3382" s="3" t="str">
        <f>IFERROR(__xludf.DUMMYFUNCTION("REGEXREPLACE(
D3382,
""([一-龯々]+)\[([^\]]+)\]"",
""&lt;ruby&gt;$1&lt;rt&gt;$2&lt;/rt&gt;&lt;/ruby&gt;""
)&amp;""&lt;br&gt;&lt;div class=""""audio""""&gt;[sound:""&amp;C3382&amp;"".mp3]&lt;/div&gt;"""),"&lt;ruby&gt;背&lt;rt&gt;せ&lt;/rt&gt;&lt;/ruby&gt;&lt;br&gt;&lt;div class=""audio""&gt;[sound:せ.mp3]&lt;/div&gt;")</f>
        <v>&lt;ruby&gt;背&lt;rt&gt;せ&lt;/rt&gt;&lt;/ruby&gt;&lt;br&gt;&lt;div class="audio"&gt;[sound:せ.mp3]&lt;/div&gt;</v>
      </c>
      <c r="H3382" s="3" t="str">
        <f t="shared" si="1"/>
        <v>(n): lưng</v>
      </c>
      <c r="I3382" s="6" t="s">
        <v>18427</v>
      </c>
      <c r="J3382" s="6" t="s">
        <v>18428</v>
      </c>
      <c r="K3382" s="7">
        <f t="shared" si="2"/>
        <v>0.08652637483</v>
      </c>
    </row>
    <row r="3383">
      <c r="A3383" s="4">
        <v>3383.0</v>
      </c>
      <c r="B3383" s="5" t="s">
        <v>18429</v>
      </c>
      <c r="C3383" s="5" t="s">
        <v>18430</v>
      </c>
      <c r="D3383" s="5" t="s">
        <v>18429</v>
      </c>
      <c r="E3383" s="6" t="s">
        <v>74</v>
      </c>
      <c r="F3383" s="6" t="s">
        <v>18431</v>
      </c>
      <c r="G3383" s="3" t="str">
        <f>IFERROR(__xludf.DUMMYFUNCTION("REGEXREPLACE(
D3383,
""([一-龯々]+)\[([^\]]+)\]"",
""&lt;ruby&gt;$1&lt;rt&gt;$2&lt;/rt&gt;&lt;/ruby&gt;""
)&amp;""&lt;br&gt;&lt;div class=""""audio""""&gt;[sound:""&amp;C3383&amp;"".mp3]&lt;/div&gt;"""),"ナイフ&lt;br&gt;&lt;div class=""audio""&gt;[sound:ないふ.mp3]&lt;/div&gt;")</f>
        <v>ナイフ&lt;br&gt;&lt;div class="audio"&gt;[sound:ないふ.mp3]&lt;/div&gt;</v>
      </c>
      <c r="H3383" s="3" t="str">
        <f t="shared" si="1"/>
        <v>(n): dao</v>
      </c>
      <c r="I3383" s="6" t="s">
        <v>18432</v>
      </c>
      <c r="J3383" s="6" t="s">
        <v>18433</v>
      </c>
      <c r="K3383" s="7">
        <f t="shared" si="2"/>
        <v>0.07219072173</v>
      </c>
    </row>
    <row r="3384">
      <c r="A3384" s="4">
        <v>3384.0</v>
      </c>
      <c r="B3384" s="5" t="s">
        <v>18434</v>
      </c>
      <c r="C3384" s="5" t="s">
        <v>18435</v>
      </c>
      <c r="D3384" s="5" t="s">
        <v>18434</v>
      </c>
      <c r="E3384" s="6" t="s">
        <v>74</v>
      </c>
      <c r="F3384" s="6" t="s">
        <v>18436</v>
      </c>
      <c r="G3384" s="3" t="str">
        <f>IFERROR(__xludf.DUMMYFUNCTION("REGEXREPLACE(
D3384,
""([一-龯々]+)\[([^\]]+)\]"",
""&lt;ruby&gt;$1&lt;rt&gt;$2&lt;/rt&gt;&lt;/ruby&gt;""
)&amp;""&lt;br&gt;&lt;div class=""""audio""""&gt;[sound:""&amp;C3384&amp;"".mp3]&lt;/div&gt;"""),"リットル&lt;br&gt;&lt;div class=""audio""&gt;[sound:りっとる.mp3]&lt;/div&gt;")</f>
        <v>リットル&lt;br&gt;&lt;div class="audio"&gt;[sound:りっとる.mp3]&lt;/div&gt;</v>
      </c>
      <c r="H3384" s="3" t="str">
        <f t="shared" si="1"/>
        <v>(n): lít</v>
      </c>
      <c r="I3384" s="6" t="s">
        <v>18437</v>
      </c>
      <c r="J3384" s="6" t="s">
        <v>18438</v>
      </c>
      <c r="K3384" s="7">
        <f t="shared" si="2"/>
        <v>0.5923747252</v>
      </c>
    </row>
    <row r="3385">
      <c r="A3385" s="4">
        <v>3385.0</v>
      </c>
      <c r="B3385" s="5" t="s">
        <v>18439</v>
      </c>
      <c r="C3385" s="5" t="s">
        <v>18440</v>
      </c>
      <c r="D3385" s="5" t="s">
        <v>18441</v>
      </c>
      <c r="E3385" s="6" t="s">
        <v>11</v>
      </c>
      <c r="F3385" s="6" t="s">
        <v>18442</v>
      </c>
      <c r="G3385" s="3" t="str">
        <f>IFERROR(__xludf.DUMMYFUNCTION("REGEXREPLACE(
D3385,
""([一-龯々]+)\[([^\]]+)\]"",
""&lt;ruby&gt;$1&lt;rt&gt;$2&lt;/rt&gt;&lt;/ruby&gt;""
)&amp;""&lt;br&gt;&lt;div class=""""audio""""&gt;[sound:""&amp;C3385&amp;"".mp3]&lt;/div&gt;"""),"&lt;ruby&gt;臭&lt;rt&gt;くさ&lt;/rt&gt;&lt;/ruby&gt;い&lt;br&gt;&lt;div class=""audio""&gt;[sound:くさい.mp3]&lt;/div&gt;")</f>
        <v>&lt;ruby&gt;臭&lt;rt&gt;くさ&lt;/rt&gt;&lt;/ruby&gt;い&lt;br&gt;&lt;div class="audio"&gt;[sound:くさい.mp3]&lt;/div&gt;</v>
      </c>
      <c r="H3385" s="3" t="str">
        <f t="shared" si="1"/>
        <v>(adj): hôi</v>
      </c>
      <c r="I3385" s="6" t="s">
        <v>18443</v>
      </c>
      <c r="J3385" s="6" t="s">
        <v>18444</v>
      </c>
      <c r="K3385" s="7">
        <f t="shared" si="2"/>
        <v>0.9800242812</v>
      </c>
    </row>
    <row r="3386">
      <c r="A3386" s="4">
        <v>3386.0</v>
      </c>
      <c r="B3386" s="5" t="s">
        <v>18445</v>
      </c>
      <c r="C3386" s="5" t="s">
        <v>18446</v>
      </c>
      <c r="D3386" s="5" t="s">
        <v>18447</v>
      </c>
      <c r="E3386" s="6" t="s">
        <v>24</v>
      </c>
      <c r="F3386" s="6" t="s">
        <v>18448</v>
      </c>
      <c r="G3386" s="3" t="str">
        <f>IFERROR(__xludf.DUMMYFUNCTION("REGEXREPLACE(
D3386,
""([一-龯々]+)\[([^\]]+)\]"",
""&lt;ruby&gt;$1&lt;rt&gt;$2&lt;/rt&gt;&lt;/ruby&gt;""
)&amp;""&lt;br&gt;&lt;div class=""""audio""""&gt;[sound:""&amp;C3386&amp;"".mp3]&lt;/div&gt;"""),"&lt;ruby&gt;転&lt;rt&gt;ころ&lt;/rt&gt;&lt;/ruby&gt;がる&lt;br&gt;&lt;div class=""audio""&gt;[sound:ころがる.mp3]&lt;/div&gt;")</f>
        <v>&lt;ruby&gt;転&lt;rt&gt;ころ&lt;/rt&gt;&lt;/ruby&gt;がる&lt;br&gt;&lt;div class="audio"&gt;[sound:ころがる.mp3]&lt;/div&gt;</v>
      </c>
      <c r="H3386" s="3" t="str">
        <f t="shared" si="1"/>
        <v>(v): lăn</v>
      </c>
      <c r="I3386" s="6" t="s">
        <v>18449</v>
      </c>
      <c r="J3386" s="6" t="s">
        <v>18450</v>
      </c>
      <c r="K3386" s="7">
        <f t="shared" si="2"/>
        <v>0.3198159464</v>
      </c>
    </row>
    <row r="3387">
      <c r="A3387" s="4">
        <v>3387.0</v>
      </c>
      <c r="B3387" s="5" t="s">
        <v>18451</v>
      </c>
      <c r="C3387" s="5" t="s">
        <v>4890</v>
      </c>
      <c r="D3387" s="5" t="s">
        <v>18452</v>
      </c>
      <c r="E3387" s="6" t="s">
        <v>24</v>
      </c>
      <c r="F3387" s="6" t="s">
        <v>11953</v>
      </c>
      <c r="G3387" s="3" t="str">
        <f>IFERROR(__xludf.DUMMYFUNCTION("REGEXREPLACE(
D3387,
""([一-龯々]+)\[([^\]]+)\]"",
""&lt;ruby&gt;$1&lt;rt&gt;$2&lt;/rt&gt;&lt;/ruby&gt;""
)&amp;""&lt;br&gt;&lt;div class=""""audio""""&gt;[sound:""&amp;C3387&amp;"".mp3]&lt;/div&gt;"""),"&lt;ruby&gt;測&lt;rt&gt;はか&lt;/rt&gt;&lt;/ruby&gt;る&lt;br&gt;&lt;div class=""audio""&gt;[sound:はかる.mp3]&lt;/div&gt;")</f>
        <v>&lt;ruby&gt;測&lt;rt&gt;はか&lt;/rt&gt;&lt;/ruby&gt;る&lt;br&gt;&lt;div class="audio"&gt;[sound:はかる.mp3]&lt;/div&gt;</v>
      </c>
      <c r="H3387" s="3" t="str">
        <f t="shared" si="1"/>
        <v>(v): đo</v>
      </c>
      <c r="I3387" s="6" t="s">
        <v>18453</v>
      </c>
      <c r="J3387" s="6" t="s">
        <v>18454</v>
      </c>
      <c r="K3387" s="7">
        <f t="shared" si="2"/>
        <v>0.3283171597</v>
      </c>
    </row>
    <row r="3388">
      <c r="A3388" s="4">
        <v>3388.0</v>
      </c>
      <c r="B3388" s="5" t="s">
        <v>18455</v>
      </c>
      <c r="C3388" s="5" t="s">
        <v>18456</v>
      </c>
      <c r="D3388" s="5" t="s">
        <v>18457</v>
      </c>
      <c r="E3388" s="6" t="s">
        <v>74</v>
      </c>
      <c r="F3388" s="6" t="s">
        <v>18458</v>
      </c>
      <c r="G3388" s="3" t="str">
        <f>IFERROR(__xludf.DUMMYFUNCTION("REGEXREPLACE(
D3388,
""([一-龯々]+)\[([^\]]+)\]"",
""&lt;ruby&gt;$1&lt;rt&gt;$2&lt;/rt&gt;&lt;/ruby&gt;""
)&amp;""&lt;br&gt;&lt;div class=""""audio""""&gt;[sound:""&amp;C3388&amp;"".mp3]&lt;/div&gt;"""),"&lt;ruby&gt;引&lt;rt&gt;ひ&lt;/rt&gt;&lt;/ruby&gt;き&lt;ruby&gt;出&lt;rt&gt;だ&lt;/rt&gt;&lt;/ruby&gt;し&lt;br&gt;&lt;div class=""audio""&gt;[sound:ひきだし.mp3]&lt;/div&gt;")</f>
        <v>&lt;ruby&gt;引&lt;rt&gt;ひ&lt;/rt&gt;&lt;/ruby&gt;き&lt;ruby&gt;出&lt;rt&gt;だ&lt;/rt&gt;&lt;/ruby&gt;し&lt;br&gt;&lt;div class="audio"&gt;[sound:ひきだし.mp3]&lt;/div&gt;</v>
      </c>
      <c r="H3388" s="3" t="str">
        <f t="shared" si="1"/>
        <v>(n): ngăn kéo</v>
      </c>
      <c r="I3388" s="6" t="s">
        <v>18459</v>
      </c>
      <c r="J3388" s="6" t="s">
        <v>18460</v>
      </c>
      <c r="K3388" s="7">
        <f t="shared" si="2"/>
        <v>0.3170459597</v>
      </c>
    </row>
    <row r="3389">
      <c r="A3389" s="4">
        <v>3389.0</v>
      </c>
      <c r="B3389" s="5" t="s">
        <v>18461</v>
      </c>
      <c r="C3389" s="5" t="s">
        <v>18461</v>
      </c>
      <c r="D3389" s="5" t="s">
        <v>18461</v>
      </c>
      <c r="E3389" s="6" t="s">
        <v>85</v>
      </c>
      <c r="F3389" s="6" t="s">
        <v>18462</v>
      </c>
      <c r="G3389" s="3" t="str">
        <f>IFERROR(__xludf.DUMMYFUNCTION("REGEXREPLACE(
D3389,
""([一-龯々]+)\[([^\]]+)\]"",
""&lt;ruby&gt;$1&lt;rt&gt;$2&lt;/rt&gt;&lt;/ruby&gt;""
)&amp;""&lt;br&gt;&lt;div class=""""audio""""&gt;[sound:""&amp;C3389&amp;"".mp3]&lt;/div&gt;"""),"ざっと&lt;br&gt;&lt;div class=""audio""&gt;[sound:ざっと.mp3]&lt;/div&gt;")</f>
        <v>ざっと&lt;br&gt;&lt;div class="audio"&gt;[sound:ざっと.mp3]&lt;/div&gt;</v>
      </c>
      <c r="H3389" s="3" t="str">
        <f t="shared" si="1"/>
        <v>(adv): qua loa</v>
      </c>
      <c r="I3389" s="6" t="s">
        <v>18463</v>
      </c>
      <c r="J3389" s="6" t="s">
        <v>18464</v>
      </c>
      <c r="K3389" s="7">
        <f t="shared" si="2"/>
        <v>0.5080878267</v>
      </c>
    </row>
    <row r="3390">
      <c r="A3390" s="4">
        <v>3390.0</v>
      </c>
      <c r="B3390" s="5" t="s">
        <v>18465</v>
      </c>
      <c r="C3390" s="5" t="s">
        <v>18466</v>
      </c>
      <c r="D3390" s="5" t="s">
        <v>18465</v>
      </c>
      <c r="E3390" s="6" t="s">
        <v>74</v>
      </c>
      <c r="F3390" s="6" t="s">
        <v>18467</v>
      </c>
      <c r="G3390" s="3" t="str">
        <f>IFERROR(__xludf.DUMMYFUNCTION("REGEXREPLACE(
D3390,
""([一-龯々]+)\[([^\]]+)\]"",
""&lt;ruby&gt;$1&lt;rt&gt;$2&lt;/rt&gt;&lt;/ruby&gt;""
)&amp;""&lt;br&gt;&lt;div class=""""audio""""&gt;[sound:""&amp;C3390&amp;"".mp3]&lt;/div&gt;"""),"スタンド&lt;br&gt;&lt;div class=""audio""&gt;[sound:すたんど.mp3]&lt;/div&gt;")</f>
        <v>スタンド&lt;br&gt;&lt;div class="audio"&gt;[sound:すたんど.mp3]&lt;/div&gt;</v>
      </c>
      <c r="H3390" s="3" t="str">
        <f t="shared" si="1"/>
        <v>(n): đèn bàn</v>
      </c>
      <c r="I3390" s="6" t="s">
        <v>18468</v>
      </c>
      <c r="J3390" s="6" t="s">
        <v>18469</v>
      </c>
      <c r="K3390" s="7">
        <f t="shared" si="2"/>
        <v>0.3200007137</v>
      </c>
    </row>
    <row r="3391">
      <c r="A3391" s="4">
        <v>3391.0</v>
      </c>
      <c r="B3391" s="5" t="s">
        <v>18470</v>
      </c>
      <c r="C3391" s="5" t="s">
        <v>18471</v>
      </c>
      <c r="D3391" s="5" t="s">
        <v>18470</v>
      </c>
      <c r="E3391" s="6" t="s">
        <v>74</v>
      </c>
      <c r="F3391" s="6" t="s">
        <v>18472</v>
      </c>
      <c r="G3391" s="3" t="str">
        <f>IFERROR(__xludf.DUMMYFUNCTION("REGEXREPLACE(
D3391,
""([一-龯々]+)\[([^\]]+)\]"",
""&lt;ruby&gt;$1&lt;rt&gt;$2&lt;/rt&gt;&lt;/ruby&gt;""
)&amp;""&lt;br&gt;&lt;div class=""""audio""""&gt;[sound:""&amp;C3391&amp;"".mp3]&lt;/div&gt;"""),"ストーブ&lt;br&gt;&lt;div class=""audio""&gt;[sound:すとーぶ.mp3]&lt;/div&gt;")</f>
        <v>ストーブ&lt;br&gt;&lt;div class="audio"&gt;[sound:すとーぶ.mp3]&lt;/div&gt;</v>
      </c>
      <c r="H3391" s="3" t="str">
        <f t="shared" si="1"/>
        <v>(n): lò sưởi</v>
      </c>
      <c r="I3391" s="6" t="s">
        <v>18473</v>
      </c>
      <c r="J3391" s="6" t="s">
        <v>18474</v>
      </c>
      <c r="K3391" s="7">
        <f t="shared" si="2"/>
        <v>0.8271547969</v>
      </c>
    </row>
    <row r="3392">
      <c r="A3392" s="4">
        <v>3392.0</v>
      </c>
      <c r="B3392" s="5" t="s">
        <v>18475</v>
      </c>
      <c r="C3392" s="5" t="s">
        <v>18476</v>
      </c>
      <c r="D3392" s="5" t="s">
        <v>18477</v>
      </c>
      <c r="E3392" s="6" t="s">
        <v>74</v>
      </c>
      <c r="F3392" s="6" t="s">
        <v>18478</v>
      </c>
      <c r="G3392" s="3" t="str">
        <f>IFERROR(__xludf.DUMMYFUNCTION("REGEXREPLACE(
D3392,
""([一-龯々]+)\[([^\]]+)\]"",
""&lt;ruby&gt;$1&lt;rt&gt;$2&lt;/rt&gt;&lt;/ruby&gt;""
)&amp;""&lt;br&gt;&lt;div class=""""audio""""&gt;[sound:""&amp;C3392&amp;"".mp3]&lt;/div&gt;"""),"&lt;ruby&gt;上級&lt;rt&gt;じょうきゅう&lt;/rt&gt;&lt;/ruby&gt;&lt;br&gt;&lt;div class=""audio""&gt;[sound:じょうきゅう.mp3]&lt;/div&gt;")</f>
        <v>&lt;ruby&gt;上級&lt;rt&gt;じょうきゅう&lt;/rt&gt;&lt;/ruby&gt;&lt;br&gt;&lt;div class="audio"&gt;[sound:じょうきゅう.mp3]&lt;/div&gt;</v>
      </c>
      <c r="H3392" s="3" t="str">
        <f t="shared" si="1"/>
        <v>(n): cao cấp</v>
      </c>
      <c r="I3392" s="6" t="s">
        <v>18479</v>
      </c>
      <c r="J3392" s="6" t="s">
        <v>18480</v>
      </c>
      <c r="K3392" s="7">
        <f t="shared" si="2"/>
        <v>0.4449559693</v>
      </c>
    </row>
    <row r="3393">
      <c r="A3393" s="4">
        <v>3393.0</v>
      </c>
      <c r="B3393" s="5" t="s">
        <v>18481</v>
      </c>
      <c r="C3393" s="5" t="s">
        <v>18482</v>
      </c>
      <c r="D3393" s="5" t="s">
        <v>18483</v>
      </c>
      <c r="E3393" s="6" t="s">
        <v>24</v>
      </c>
      <c r="F3393" s="6" t="s">
        <v>18484</v>
      </c>
      <c r="G3393" s="3" t="str">
        <f>IFERROR(__xludf.DUMMYFUNCTION("REGEXREPLACE(
D3393,
""([一-龯々]+)\[([^\]]+)\]"",
""&lt;ruby&gt;$1&lt;rt&gt;$2&lt;/rt&gt;&lt;/ruby&gt;""
)&amp;""&lt;br&gt;&lt;div class=""""audio""""&gt;[sound:""&amp;C3393&amp;"".mp3]&lt;/div&gt;"""),"&lt;ruby&gt;申&lt;rt&gt;もう&lt;/rt&gt;&lt;/ruby&gt;し&lt;ruby&gt;込&lt;rt&gt;こ&lt;/rt&gt;&lt;/ruby&gt;む&lt;br&gt;&lt;div class=""audio""&gt;[sound:もうしこむ.mp3]&lt;/div&gt;")</f>
        <v>&lt;ruby&gt;申&lt;rt&gt;もう&lt;/rt&gt;&lt;/ruby&gt;し&lt;ruby&gt;込&lt;rt&gt;こ&lt;/rt&gt;&lt;/ruby&gt;む&lt;br&gt;&lt;div class="audio"&gt;[sound:もうしこむ.mp3]&lt;/div&gt;</v>
      </c>
      <c r="H3393" s="3" t="str">
        <f t="shared" si="1"/>
        <v>(v): đăng ký</v>
      </c>
      <c r="I3393" s="6" t="s">
        <v>18485</v>
      </c>
      <c r="J3393" s="6" t="s">
        <v>18486</v>
      </c>
      <c r="K3393" s="7">
        <f t="shared" si="2"/>
        <v>0.7555008382</v>
      </c>
    </row>
    <row r="3394">
      <c r="A3394" s="4">
        <v>3394.0</v>
      </c>
      <c r="B3394" s="5" t="s">
        <v>18487</v>
      </c>
      <c r="C3394" s="5" t="s">
        <v>18487</v>
      </c>
      <c r="D3394" s="5" t="s">
        <v>18487</v>
      </c>
      <c r="E3394" s="6" t="s">
        <v>24</v>
      </c>
      <c r="F3394" s="6" t="s">
        <v>18488</v>
      </c>
      <c r="G3394" s="3" t="str">
        <f>IFERROR(__xludf.DUMMYFUNCTION("REGEXREPLACE(
D3394,
""([一-龯々]+)\[([^\]]+)\]"",
""&lt;ruby&gt;$1&lt;rt&gt;$2&lt;/rt&gt;&lt;/ruby&gt;""
)&amp;""&lt;br&gt;&lt;div class=""""audio""""&gt;[sound:""&amp;C3394&amp;"".mp3]&lt;/div&gt;"""),"こぼす&lt;br&gt;&lt;div class=""audio""&gt;[sound:こぼす.mp3]&lt;/div&gt;")</f>
        <v>こぼす&lt;br&gt;&lt;div class="audio"&gt;[sound:こぼす.mp3]&lt;/div&gt;</v>
      </c>
      <c r="H3394" s="3" t="str">
        <f t="shared" si="1"/>
        <v>(v): làm đổ</v>
      </c>
      <c r="I3394" s="6" t="s">
        <v>18489</v>
      </c>
      <c r="J3394" s="6" t="s">
        <v>18490</v>
      </c>
      <c r="K3394" s="7">
        <f t="shared" si="2"/>
        <v>0.0979543476</v>
      </c>
    </row>
    <row r="3395">
      <c r="A3395" s="4">
        <v>3395.0</v>
      </c>
      <c r="B3395" s="5" t="s">
        <v>18491</v>
      </c>
      <c r="C3395" s="5" t="s">
        <v>18492</v>
      </c>
      <c r="D3395" s="5" t="s">
        <v>18493</v>
      </c>
      <c r="E3395" s="6" t="s">
        <v>74</v>
      </c>
      <c r="F3395" s="6" t="s">
        <v>7019</v>
      </c>
      <c r="G3395" s="3" t="str">
        <f>IFERROR(__xludf.DUMMYFUNCTION("REGEXREPLACE(
D3395,
""([一-龯々]+)\[([^\]]+)\]"",
""&lt;ruby&gt;$1&lt;rt&gt;$2&lt;/rt&gt;&lt;/ruby&gt;""
)&amp;""&lt;br&gt;&lt;div class=""""audio""""&gt;[sound:""&amp;C3395&amp;"".mp3]&lt;/div&gt;"""),"&lt;ruby&gt;運転手&lt;rt&gt;うんてんしゅ&lt;/rt&gt;&lt;/ruby&gt;&lt;br&gt;&lt;div class=""audio""&gt;[sound:うんてんしゅ.mp3]&lt;/div&gt;")</f>
        <v>&lt;ruby&gt;運転手&lt;rt&gt;うんてんしゅ&lt;/rt&gt;&lt;/ruby&gt;&lt;br&gt;&lt;div class="audio"&gt;[sound:うんてんしゅ.mp3]&lt;/div&gt;</v>
      </c>
      <c r="H3395" s="3" t="str">
        <f t="shared" si="1"/>
        <v>(n): tài xế</v>
      </c>
      <c r="I3395" s="6" t="s">
        <v>18494</v>
      </c>
      <c r="J3395" s="6" t="s">
        <v>18495</v>
      </c>
      <c r="K3395" s="7">
        <f t="shared" si="2"/>
        <v>0.9839517197</v>
      </c>
    </row>
    <row r="3396">
      <c r="A3396" s="4">
        <v>3396.0</v>
      </c>
      <c r="B3396" s="5" t="s">
        <v>18496</v>
      </c>
      <c r="C3396" s="5" t="s">
        <v>18497</v>
      </c>
      <c r="D3396" s="5" t="s">
        <v>18498</v>
      </c>
      <c r="E3396" s="6" t="s">
        <v>74</v>
      </c>
      <c r="F3396" s="6" t="s">
        <v>18499</v>
      </c>
      <c r="G3396" s="3" t="str">
        <f>IFERROR(__xludf.DUMMYFUNCTION("REGEXREPLACE(
D3396,
""([一-龯々]+)\[([^\]]+)\]"",
""&lt;ruby&gt;$1&lt;rt&gt;$2&lt;/rt&gt;&lt;/ruby&gt;""
)&amp;""&lt;br&gt;&lt;div class=""""audio""""&gt;[sound:""&amp;C3396&amp;"".mp3]&lt;/div&gt;"""),"&lt;ruby&gt;中古&lt;rt&gt;ちゅうこ&lt;/rt&gt;&lt;/ruby&gt;&lt;br&gt;&lt;div class=""audio""&gt;[sound:ちゅうこ.mp3]&lt;/div&gt;")</f>
        <v>&lt;ruby&gt;中古&lt;rt&gt;ちゅうこ&lt;/rt&gt;&lt;/ruby&gt;&lt;br&gt;&lt;div class="audio"&gt;[sound:ちゅうこ.mp3]&lt;/div&gt;</v>
      </c>
      <c r="H3396" s="3" t="str">
        <f t="shared" si="1"/>
        <v>(n): đồ cũ</v>
      </c>
      <c r="I3396" s="6" t="s">
        <v>18500</v>
      </c>
      <c r="J3396" s="6" t="s">
        <v>18501</v>
      </c>
      <c r="K3396" s="7">
        <f t="shared" si="2"/>
        <v>0.08584027765</v>
      </c>
    </row>
    <row r="3397">
      <c r="A3397" s="4">
        <v>3397.0</v>
      </c>
      <c r="B3397" s="5" t="s">
        <v>18502</v>
      </c>
      <c r="C3397" s="5" t="s">
        <v>18503</v>
      </c>
      <c r="D3397" s="5" t="s">
        <v>18504</v>
      </c>
      <c r="E3397" s="6" t="s">
        <v>24</v>
      </c>
      <c r="F3397" s="6" t="s">
        <v>1657</v>
      </c>
      <c r="G3397" s="3" t="str">
        <f>IFERROR(__xludf.DUMMYFUNCTION("REGEXREPLACE(
D3397,
""([一-龯々]+)\[([^\]]+)\]"",
""&lt;ruby&gt;$1&lt;rt&gt;$2&lt;/rt&gt;&lt;/ruby&gt;""
)&amp;""&lt;br&gt;&lt;div class=""""audio""""&gt;[sound:""&amp;C3397&amp;"".mp3]&lt;/div&gt;"""),"&lt;ruby&gt;憎&lt;rt&gt;にく&lt;/rt&gt;&lt;/ruby&gt;む&lt;br&gt;&lt;div class=""audio""&gt;[sound:にくむ.mp3]&lt;/div&gt;")</f>
        <v>&lt;ruby&gt;憎&lt;rt&gt;にく&lt;/rt&gt;&lt;/ruby&gt;む&lt;br&gt;&lt;div class="audio"&gt;[sound:にくむ.mp3]&lt;/div&gt;</v>
      </c>
      <c r="H3397" s="3" t="str">
        <f t="shared" si="1"/>
        <v>(v): ghét</v>
      </c>
      <c r="I3397" s="6" t="s">
        <v>18505</v>
      </c>
      <c r="J3397" s="6" t="s">
        <v>18506</v>
      </c>
      <c r="K3397" s="7">
        <f t="shared" si="2"/>
        <v>0.236334878</v>
      </c>
    </row>
    <row r="3398">
      <c r="A3398" s="4">
        <v>3398.0</v>
      </c>
      <c r="B3398" s="5" t="s">
        <v>18507</v>
      </c>
      <c r="C3398" s="5" t="s">
        <v>18508</v>
      </c>
      <c r="D3398" s="5" t="s">
        <v>18509</v>
      </c>
      <c r="E3398" s="6" t="s">
        <v>24</v>
      </c>
      <c r="F3398" s="6" t="s">
        <v>18510</v>
      </c>
      <c r="G3398" s="3" t="str">
        <f>IFERROR(__xludf.DUMMYFUNCTION("REGEXREPLACE(
D3398,
""([一-龯々]+)\[([^\]]+)\]"",
""&lt;ruby&gt;$1&lt;rt&gt;$2&lt;/rt&gt;&lt;/ruby&gt;""
)&amp;""&lt;br&gt;&lt;div class=""""audio""""&gt;[sound:""&amp;C3398&amp;"".mp3]&lt;/div&gt;"""),"&lt;ruby&gt;乾&lt;rt&gt;かわ&lt;/rt&gt;&lt;/ruby&gt;く&lt;br&gt;&lt;div class=""audio""&gt;[sound:かわく.mp3]&lt;/div&gt;")</f>
        <v>&lt;ruby&gt;乾&lt;rt&gt;かわ&lt;/rt&gt;&lt;/ruby&gt;く&lt;br&gt;&lt;div class="audio"&gt;[sound:かわく.mp3]&lt;/div&gt;</v>
      </c>
      <c r="H3398" s="3" t="str">
        <f t="shared" si="1"/>
        <v>(v): khô</v>
      </c>
      <c r="I3398" s="6" t="s">
        <v>18511</v>
      </c>
      <c r="J3398" s="6" t="s">
        <v>18512</v>
      </c>
      <c r="K3398" s="7">
        <f t="shared" si="2"/>
        <v>0.9706479225</v>
      </c>
    </row>
    <row r="3399">
      <c r="A3399" s="4">
        <v>3399.0</v>
      </c>
      <c r="B3399" s="5" t="s">
        <v>18513</v>
      </c>
      <c r="C3399" s="5" t="s">
        <v>18514</v>
      </c>
      <c r="D3399" s="5" t="s">
        <v>18515</v>
      </c>
      <c r="E3399" s="6" t="s">
        <v>74</v>
      </c>
      <c r="F3399" s="6" t="s">
        <v>285</v>
      </c>
      <c r="G3399" s="3" t="str">
        <f>IFERROR(__xludf.DUMMYFUNCTION("REGEXREPLACE(
D3399,
""([一-龯々]+)\[([^\]]+)\]"",
""&lt;ruby&gt;$1&lt;rt&gt;$2&lt;/rt&gt;&lt;/ruby&gt;""
)&amp;""&lt;br&gt;&lt;div class=""""audio""""&gt;[sound:""&amp;C3399&amp;"".mp3]&lt;/div&gt;"""),"&lt;ruby&gt;友人&lt;rt&gt;ゆうじん&lt;/rt&gt;&lt;/ruby&gt;&lt;br&gt;&lt;div class=""audio""&gt;[sound:ゆうじん.mp3]&lt;/div&gt;")</f>
        <v>&lt;ruby&gt;友人&lt;rt&gt;ゆうじん&lt;/rt&gt;&lt;/ruby&gt;&lt;br&gt;&lt;div class="audio"&gt;[sound:ゆうじん.mp3]&lt;/div&gt;</v>
      </c>
      <c r="H3399" s="3" t="str">
        <f t="shared" si="1"/>
        <v>(n): bạn</v>
      </c>
      <c r="I3399" s="6" t="s">
        <v>18516</v>
      </c>
      <c r="J3399" s="6" t="s">
        <v>18517</v>
      </c>
      <c r="K3399" s="7">
        <f t="shared" si="2"/>
        <v>0.5866741795</v>
      </c>
    </row>
    <row r="3400">
      <c r="A3400" s="4">
        <v>3400.0</v>
      </c>
      <c r="B3400" s="5" t="s">
        <v>18518</v>
      </c>
      <c r="C3400" s="5" t="s">
        <v>18519</v>
      </c>
      <c r="D3400" s="5" t="s">
        <v>18520</v>
      </c>
      <c r="E3400" s="6" t="s">
        <v>24</v>
      </c>
      <c r="F3400" s="6" t="s">
        <v>18521</v>
      </c>
      <c r="G3400" s="3" t="str">
        <f>IFERROR(__xludf.DUMMYFUNCTION("REGEXREPLACE(
D3400,
""([一-龯々]+)\[([^\]]+)\]"",
""&lt;ruby&gt;$1&lt;rt&gt;$2&lt;/rt&gt;&lt;/ruby&gt;""
)&amp;""&lt;br&gt;&lt;div class=""""audio""""&gt;[sound:""&amp;C3400&amp;"".mp3]&lt;/div&gt;"""),"&lt;ruby&gt;浴&lt;rt&gt;あ&lt;/rt&gt;&lt;/ruby&gt;びる&lt;br&gt;&lt;div class=""audio""&gt;[sound:あびる.mp3]&lt;/div&gt;")</f>
        <v>&lt;ruby&gt;浴&lt;rt&gt;あ&lt;/rt&gt;&lt;/ruby&gt;びる&lt;br&gt;&lt;div class="audio"&gt;[sound:あびる.mp3]&lt;/div&gt;</v>
      </c>
      <c r="H3400" s="3" t="str">
        <f t="shared" si="1"/>
        <v>(v): tắm</v>
      </c>
      <c r="I3400" s="6" t="s">
        <v>18522</v>
      </c>
      <c r="J3400" s="6" t="s">
        <v>18523</v>
      </c>
      <c r="K3400" s="7">
        <f t="shared" si="2"/>
        <v>0.06323301603</v>
      </c>
    </row>
    <row r="3401">
      <c r="A3401" s="4">
        <v>3401.0</v>
      </c>
      <c r="B3401" s="5" t="s">
        <v>18524</v>
      </c>
      <c r="C3401" s="5" t="s">
        <v>18525</v>
      </c>
      <c r="D3401" s="5" t="s">
        <v>18526</v>
      </c>
      <c r="E3401" s="6" t="s">
        <v>74</v>
      </c>
      <c r="F3401" s="6" t="s">
        <v>4206</v>
      </c>
      <c r="G3401" s="3" t="str">
        <f>IFERROR(__xludf.DUMMYFUNCTION("REGEXREPLACE(
D3401,
""([一-龯々]+)\[([^\]]+)\]"",
""&lt;ruby&gt;$1&lt;rt&gt;$2&lt;/rt&gt;&lt;/ruby&gt;""
)&amp;""&lt;br&gt;&lt;div class=""""audio""""&gt;[sound:""&amp;C3401&amp;"".mp3]&lt;/div&gt;"""),"&lt;ruby&gt;見本&lt;rt&gt;みほん&lt;/rt&gt;&lt;/ruby&gt;&lt;br&gt;&lt;div class=""audio""&gt;[sound:みほん.mp3]&lt;/div&gt;")</f>
        <v>&lt;ruby&gt;見本&lt;rt&gt;みほん&lt;/rt&gt;&lt;/ruby&gt;&lt;br&gt;&lt;div class="audio"&gt;[sound:みほん.mp3]&lt;/div&gt;</v>
      </c>
      <c r="H3401" s="3" t="str">
        <f t="shared" si="1"/>
        <v>(n): mẫu</v>
      </c>
      <c r="I3401" s="6" t="s">
        <v>18527</v>
      </c>
      <c r="J3401" s="6" t="s">
        <v>18528</v>
      </c>
      <c r="K3401" s="7">
        <f t="shared" si="2"/>
        <v>0.829534389</v>
      </c>
    </row>
    <row r="3402">
      <c r="A3402" s="4">
        <v>3402.0</v>
      </c>
      <c r="B3402" s="5" t="s">
        <v>18529</v>
      </c>
      <c r="C3402" s="5" t="s">
        <v>18530</v>
      </c>
      <c r="D3402" s="5" t="s">
        <v>18531</v>
      </c>
      <c r="E3402" s="6" t="s">
        <v>74</v>
      </c>
      <c r="F3402" s="6" t="s">
        <v>18532</v>
      </c>
      <c r="G3402" s="3" t="str">
        <f>IFERROR(__xludf.DUMMYFUNCTION("REGEXREPLACE(
D3402,
""([一-龯々]+)\[([^\]]+)\]"",
""&lt;ruby&gt;$1&lt;rt&gt;$2&lt;/rt&gt;&lt;/ruby&gt;""
)&amp;""&lt;br&gt;&lt;div class=""""audio""""&gt;[sound:""&amp;C3402&amp;"".mp3]&lt;/div&gt;"""),"&lt;ruby&gt;豆&lt;rt&gt;まめ&lt;/rt&gt;&lt;/ruby&gt;&lt;br&gt;&lt;div class=""audio""&gt;[sound:まめ.mp3]&lt;/div&gt;")</f>
        <v>&lt;ruby&gt;豆&lt;rt&gt;まめ&lt;/rt&gt;&lt;/ruby&gt;&lt;br&gt;&lt;div class="audio"&gt;[sound:まめ.mp3]&lt;/div&gt;</v>
      </c>
      <c r="H3402" s="3" t="str">
        <f t="shared" si="1"/>
        <v>(n): đậu</v>
      </c>
      <c r="I3402" s="6" t="s">
        <v>18533</v>
      </c>
      <c r="J3402" s="6" t="s">
        <v>18534</v>
      </c>
      <c r="K3402" s="7">
        <f t="shared" si="2"/>
        <v>0.2801216367</v>
      </c>
    </row>
    <row r="3403">
      <c r="A3403" s="4">
        <v>3403.0</v>
      </c>
      <c r="B3403" s="5" t="s">
        <v>18535</v>
      </c>
      <c r="C3403" s="5" t="s">
        <v>4316</v>
      </c>
      <c r="D3403" s="5" t="s">
        <v>18536</v>
      </c>
      <c r="E3403" s="6" t="s">
        <v>74</v>
      </c>
      <c r="F3403" s="6" t="s">
        <v>18537</v>
      </c>
      <c r="G3403" s="3" t="str">
        <f>IFERROR(__xludf.DUMMYFUNCTION("REGEXREPLACE(
D3403,
""([一-龯々]+)\[([^\]]+)\]"",
""&lt;ruby&gt;$1&lt;rt&gt;$2&lt;/rt&gt;&lt;/ruby&gt;""
)&amp;""&lt;br&gt;&lt;div class=""""audio""""&gt;[sound:""&amp;C3403&amp;"".mp3]&lt;/div&gt;"""),"&lt;ruby&gt;鼻&lt;rt&gt;はな&lt;/rt&gt;&lt;/ruby&gt;&lt;br&gt;&lt;div class=""audio""&gt;[sound:はな.mp3]&lt;/div&gt;")</f>
        <v>&lt;ruby&gt;鼻&lt;rt&gt;はな&lt;/rt&gt;&lt;/ruby&gt;&lt;br&gt;&lt;div class="audio"&gt;[sound:はな.mp3]&lt;/div&gt;</v>
      </c>
      <c r="H3403" s="3" t="str">
        <f t="shared" si="1"/>
        <v>(n): mũi</v>
      </c>
      <c r="I3403" s="6" t="s">
        <v>18538</v>
      </c>
      <c r="J3403" s="6" t="s">
        <v>18539</v>
      </c>
      <c r="K3403" s="7">
        <f t="shared" si="2"/>
        <v>0.2929268367</v>
      </c>
    </row>
    <row r="3404">
      <c r="A3404" s="4">
        <v>3404.0</v>
      </c>
      <c r="B3404" s="5" t="s">
        <v>18540</v>
      </c>
      <c r="C3404" s="5" t="s">
        <v>18541</v>
      </c>
      <c r="D3404" s="5" t="s">
        <v>18542</v>
      </c>
      <c r="E3404" s="6" t="s">
        <v>74</v>
      </c>
      <c r="F3404" s="6" t="s">
        <v>3613</v>
      </c>
      <c r="G3404" s="3" t="str">
        <f>IFERROR(__xludf.DUMMYFUNCTION("REGEXREPLACE(
D3404,
""([一-龯々]+)\[([^\]]+)\]"",
""&lt;ruby&gt;$1&lt;rt&gt;$2&lt;/rt&gt;&lt;/ruby&gt;""
)&amp;""&lt;br&gt;&lt;div class=""""audio""""&gt;[sound:""&amp;C3404&amp;"".mp3]&lt;/div&gt;"""),"&lt;ruby&gt;巣&lt;rt&gt;す&lt;/rt&gt;&lt;/ruby&gt;&lt;br&gt;&lt;div class=""audio""&gt;[sound:す.mp3]&lt;/div&gt;")</f>
        <v>&lt;ruby&gt;巣&lt;rt&gt;す&lt;/rt&gt;&lt;/ruby&gt;&lt;br&gt;&lt;div class="audio"&gt;[sound:す.mp3]&lt;/div&gt;</v>
      </c>
      <c r="H3404" s="3" t="str">
        <f t="shared" si="1"/>
        <v>(n): tổ</v>
      </c>
      <c r="I3404" s="6" t="s">
        <v>18543</v>
      </c>
      <c r="J3404" s="6" t="s">
        <v>18544</v>
      </c>
      <c r="K3404" s="7">
        <f t="shared" si="2"/>
        <v>0.1444538228</v>
      </c>
    </row>
    <row r="3405">
      <c r="A3405" s="4">
        <v>3405.0</v>
      </c>
      <c r="B3405" s="5" t="s">
        <v>18545</v>
      </c>
      <c r="C3405" s="5" t="s">
        <v>18546</v>
      </c>
      <c r="D3405" s="5" t="s">
        <v>18547</v>
      </c>
      <c r="E3405" s="6" t="s">
        <v>74</v>
      </c>
      <c r="F3405" s="6" t="s">
        <v>18548</v>
      </c>
      <c r="G3405" s="3" t="str">
        <f>IFERROR(__xludf.DUMMYFUNCTION("REGEXREPLACE(
D3405,
""([一-龯々]+)\[([^\]]+)\]"",
""&lt;ruby&gt;$1&lt;rt&gt;$2&lt;/rt&gt;&lt;/ruby&gt;""
)&amp;""&lt;br&gt;&lt;div class=""""audio""""&gt;[sound:""&amp;C3405&amp;"".mp3]&lt;/div&gt;"""),"&lt;ruby&gt;財布&lt;rt&gt;さいふ&lt;/rt&gt;&lt;/ruby&gt;&lt;br&gt;&lt;div class=""audio""&gt;[sound:さいふ.mp3]&lt;/div&gt;")</f>
        <v>&lt;ruby&gt;財布&lt;rt&gt;さいふ&lt;/rt&gt;&lt;/ruby&gt;&lt;br&gt;&lt;div class="audio"&gt;[sound:さいふ.mp3]&lt;/div&gt;</v>
      </c>
      <c r="H3405" s="3" t="str">
        <f t="shared" si="1"/>
        <v>(n): ví</v>
      </c>
      <c r="I3405" s="6" t="s">
        <v>18549</v>
      </c>
      <c r="J3405" s="6" t="s">
        <v>18550</v>
      </c>
      <c r="K3405" s="7">
        <f t="shared" si="2"/>
        <v>0.1319185618</v>
      </c>
    </row>
    <row r="3406">
      <c r="A3406" s="4">
        <v>3406.0</v>
      </c>
      <c r="B3406" s="5" t="s">
        <v>18551</v>
      </c>
      <c r="C3406" s="5" t="s">
        <v>18552</v>
      </c>
      <c r="D3406" s="5" t="s">
        <v>18551</v>
      </c>
      <c r="E3406" s="6" t="s">
        <v>74</v>
      </c>
      <c r="F3406" s="6" t="s">
        <v>18553</v>
      </c>
      <c r="G3406" s="3" t="str">
        <f>IFERROR(__xludf.DUMMYFUNCTION("REGEXREPLACE(
D3406,
""([一-龯々]+)\[([^\]]+)\]"",
""&lt;ruby&gt;$1&lt;rt&gt;$2&lt;/rt&gt;&lt;/ruby&gt;""
)&amp;""&lt;br&gt;&lt;div class=""""audio""""&gt;[sound:""&amp;C3406&amp;"".mp3]&lt;/div&gt;"""),"シャッター&lt;br&gt;&lt;div class=""audio""&gt;[sound:しゃったー.mp3]&lt;/div&gt;")</f>
        <v>シャッター&lt;br&gt;&lt;div class="audio"&gt;[sound:しゃったー.mp3]&lt;/div&gt;</v>
      </c>
      <c r="H3406" s="3" t="str">
        <f t="shared" si="1"/>
        <v>(n): cửa sập</v>
      </c>
      <c r="I3406" s="6" t="s">
        <v>18554</v>
      </c>
      <c r="J3406" s="6" t="s">
        <v>18555</v>
      </c>
      <c r="K3406" s="7">
        <f t="shared" si="2"/>
        <v>0.08063127985</v>
      </c>
    </row>
    <row r="3407">
      <c r="A3407" s="4">
        <v>3407.0</v>
      </c>
      <c r="B3407" s="5" t="s">
        <v>18556</v>
      </c>
      <c r="C3407" s="5" t="s">
        <v>18557</v>
      </c>
      <c r="D3407" s="5" t="s">
        <v>18558</v>
      </c>
      <c r="E3407" s="6" t="s">
        <v>58</v>
      </c>
      <c r="F3407" s="6" t="s">
        <v>18559</v>
      </c>
      <c r="G3407" s="3" t="str">
        <f>IFERROR(__xludf.DUMMYFUNCTION("REGEXREPLACE(
D3407,
""([一-龯々]+)\[([^\]]+)\]"",
""&lt;ruby&gt;$1&lt;rt&gt;$2&lt;/rt&gt;&lt;/ruby&gt;""
)&amp;""&lt;br&gt;&lt;div class=""""audio""""&gt;[sound:""&amp;C3407&amp;"".mp3]&lt;/div&gt;"""),"&lt;ruby&gt;七&lt;rt&gt;なな&lt;/rt&gt;&lt;/ruby&gt;つ&lt;br&gt;&lt;div class=""audio""&gt;[sound:ななつ.mp3]&lt;/div&gt;")</f>
        <v>&lt;ruby&gt;七&lt;rt&gt;なな&lt;/rt&gt;&lt;/ruby&gt;つ&lt;br&gt;&lt;div class="audio"&gt;[sound:ななつ.mp3]&lt;/div&gt;</v>
      </c>
      <c r="H3407" s="3" t="str">
        <f t="shared" si="1"/>
        <v>(num): bảy cái</v>
      </c>
      <c r="I3407" s="6" t="s">
        <v>18560</v>
      </c>
      <c r="J3407" s="6" t="s">
        <v>18561</v>
      </c>
      <c r="K3407" s="7">
        <f t="shared" si="2"/>
        <v>0.3130731378</v>
      </c>
    </row>
    <row r="3408">
      <c r="A3408" s="4">
        <v>3408.0</v>
      </c>
      <c r="B3408" s="5" t="s">
        <v>18562</v>
      </c>
      <c r="C3408" s="5" t="s">
        <v>18563</v>
      </c>
      <c r="D3408" s="5" t="s">
        <v>18562</v>
      </c>
      <c r="E3408" s="6" t="s">
        <v>74</v>
      </c>
      <c r="F3408" s="6" t="s">
        <v>18564</v>
      </c>
      <c r="G3408" s="3" t="str">
        <f>IFERROR(__xludf.DUMMYFUNCTION("REGEXREPLACE(
D3408,
""([一-龯々]+)\[([^\]]+)\]"",
""&lt;ruby&gt;$1&lt;rt&gt;$2&lt;/rt&gt;&lt;/ruby&gt;""
)&amp;""&lt;br&gt;&lt;div class=""""audio""""&gt;[sound:""&amp;C3408&amp;"".mp3]&lt;/div&gt;"""),"ベル&lt;br&gt;&lt;div class=""audio""&gt;[sound:べる.mp3]&lt;/div&gt;")</f>
        <v>ベル&lt;br&gt;&lt;div class="audio"&gt;[sound:べる.mp3]&lt;/div&gt;</v>
      </c>
      <c r="H3408" s="3" t="str">
        <f t="shared" si="1"/>
        <v>(n): chuông</v>
      </c>
      <c r="I3408" s="6" t="s">
        <v>18565</v>
      </c>
      <c r="J3408" s="6" t="s">
        <v>18566</v>
      </c>
      <c r="K3408" s="7">
        <f t="shared" si="2"/>
        <v>0.493973232</v>
      </c>
    </row>
    <row r="3409">
      <c r="A3409" s="4">
        <v>3409.0</v>
      </c>
      <c r="B3409" s="5" t="s">
        <v>18567</v>
      </c>
      <c r="C3409" s="5" t="s">
        <v>18568</v>
      </c>
      <c r="D3409" s="5" t="s">
        <v>18569</v>
      </c>
      <c r="E3409" s="6" t="s">
        <v>74</v>
      </c>
      <c r="F3409" s="6" t="s">
        <v>18570</v>
      </c>
      <c r="G3409" s="3" t="str">
        <f>IFERROR(__xludf.DUMMYFUNCTION("REGEXREPLACE(
D3409,
""([一-龯々]+)\[([^\]]+)\]"",
""&lt;ruby&gt;$1&lt;rt&gt;$2&lt;/rt&gt;&lt;/ruby&gt;""
)&amp;""&lt;br&gt;&lt;div class=""""audio""""&gt;[sound:""&amp;C3409&amp;"".mp3]&lt;/div&gt;"""),"&lt;ruby&gt;人形&lt;rt&gt;にんぎょう&lt;/rt&gt;&lt;/ruby&gt;&lt;br&gt;&lt;div class=""audio""&gt;[sound:にんぎょう.mp3]&lt;/div&gt;")</f>
        <v>&lt;ruby&gt;人形&lt;rt&gt;にんぎょう&lt;/rt&gt;&lt;/ruby&gt;&lt;br&gt;&lt;div class="audio"&gt;[sound:にんぎょう.mp3]&lt;/div&gt;</v>
      </c>
      <c r="H3409" s="3" t="str">
        <f t="shared" si="1"/>
        <v>(n): búp bê</v>
      </c>
      <c r="I3409" s="6" t="s">
        <v>18571</v>
      </c>
      <c r="J3409" s="6" t="s">
        <v>18572</v>
      </c>
      <c r="K3409" s="7">
        <f t="shared" si="2"/>
        <v>0.1140365434</v>
      </c>
    </row>
    <row r="3410">
      <c r="A3410" s="4">
        <v>3410.0</v>
      </c>
      <c r="B3410" s="5" t="s">
        <v>18573</v>
      </c>
      <c r="C3410" s="5" t="s">
        <v>18574</v>
      </c>
      <c r="D3410" s="5" t="s">
        <v>18575</v>
      </c>
      <c r="E3410" s="6" t="s">
        <v>24</v>
      </c>
      <c r="F3410" s="6" t="s">
        <v>18576</v>
      </c>
      <c r="G3410" s="3" t="str">
        <f>IFERROR(__xludf.DUMMYFUNCTION("REGEXREPLACE(
D3410,
""([一-龯々]+)\[([^\]]+)\]"",
""&lt;ruby&gt;$1&lt;rt&gt;$2&lt;/rt&gt;&lt;/ruby&gt;""
)&amp;""&lt;br&gt;&lt;div class=""""audio""""&gt;[sound:""&amp;C3410&amp;"".mp3]&lt;/div&gt;"""),"&lt;ruby&gt;譲&lt;rt&gt;ゆず&lt;/rt&gt;&lt;/ruby&gt;る&lt;br&gt;&lt;div class=""audio""&gt;[sound:ゆずる.mp3]&lt;/div&gt;")</f>
        <v>&lt;ruby&gt;譲&lt;rt&gt;ゆず&lt;/rt&gt;&lt;/ruby&gt;る&lt;br&gt;&lt;div class="audio"&gt;[sound:ゆずる.mp3]&lt;/div&gt;</v>
      </c>
      <c r="H3410" s="3" t="str">
        <f t="shared" si="1"/>
        <v>(v): nhường</v>
      </c>
      <c r="I3410" s="6" t="s">
        <v>18577</v>
      </c>
      <c r="J3410" s="6" t="s">
        <v>18578</v>
      </c>
      <c r="K3410" s="7">
        <f t="shared" si="2"/>
        <v>0.9305970546</v>
      </c>
    </row>
    <row r="3411">
      <c r="A3411" s="4">
        <v>3411.0</v>
      </c>
      <c r="B3411" s="5" t="s">
        <v>18579</v>
      </c>
      <c r="C3411" s="5" t="s">
        <v>2696</v>
      </c>
      <c r="D3411" s="5" t="s">
        <v>18580</v>
      </c>
      <c r="E3411" s="6" t="s">
        <v>24</v>
      </c>
      <c r="F3411" s="6" t="s">
        <v>18581</v>
      </c>
      <c r="G3411" s="3" t="str">
        <f>IFERROR(__xludf.DUMMYFUNCTION("REGEXREPLACE(
D3411,
""([一-龯々]+)\[([^\]]+)\]"",
""&lt;ruby&gt;$1&lt;rt&gt;$2&lt;/rt&gt;&lt;/ruby&gt;""
)&amp;""&lt;br&gt;&lt;div class=""""audio""""&gt;[sound:""&amp;C3411&amp;"".mp3]&lt;/div&gt;"""),"&lt;ruby&gt;焼&lt;rt&gt;や&lt;/rt&gt;&lt;/ruby&gt;く&lt;br&gt;&lt;div class=""audio""&gt;[sound:やく.mp3]&lt;/div&gt;")</f>
        <v>&lt;ruby&gt;焼&lt;rt&gt;や&lt;/rt&gt;&lt;/ruby&gt;く&lt;br&gt;&lt;div class="audio"&gt;[sound:やく.mp3]&lt;/div&gt;</v>
      </c>
      <c r="H3411" s="3" t="str">
        <f t="shared" si="1"/>
        <v>(v): nướng</v>
      </c>
      <c r="I3411" s="6" t="s">
        <v>18582</v>
      </c>
      <c r="J3411" s="6" t="s">
        <v>18583</v>
      </c>
      <c r="K3411" s="7">
        <f t="shared" si="2"/>
        <v>0.391036617</v>
      </c>
    </row>
    <row r="3412">
      <c r="A3412" s="4">
        <v>3412.0</v>
      </c>
      <c r="B3412" s="5" t="s">
        <v>18584</v>
      </c>
      <c r="C3412" s="5" t="s">
        <v>13937</v>
      </c>
      <c r="D3412" s="5" t="s">
        <v>18585</v>
      </c>
      <c r="E3412" s="6" t="s">
        <v>24</v>
      </c>
      <c r="F3412" s="6" t="s">
        <v>4048</v>
      </c>
      <c r="G3412" s="3" t="str">
        <f>IFERROR(__xludf.DUMMYFUNCTION("REGEXREPLACE(
D3412,
""([一-龯々]+)\[([^\]]+)\]"",
""&lt;ruby&gt;$1&lt;rt&gt;$2&lt;/rt&gt;&lt;/ruby&gt;""
)&amp;""&lt;br&gt;&lt;div class=""""audio""""&gt;[sound:""&amp;C3412&amp;"".mp3]&lt;/div&gt;"""),"&lt;ruby&gt;亡&lt;rt&gt;な&lt;/rt&gt;&lt;/ruby&gt;くす&lt;br&gt;&lt;div class=""audio""&gt;[sound:なくす.mp3]&lt;/div&gt;")</f>
        <v>&lt;ruby&gt;亡&lt;rt&gt;な&lt;/rt&gt;&lt;/ruby&gt;くす&lt;br&gt;&lt;div class="audio"&gt;[sound:なくす.mp3]&lt;/div&gt;</v>
      </c>
      <c r="H3412" s="3" t="str">
        <f t="shared" si="1"/>
        <v>(v): mất</v>
      </c>
      <c r="I3412" s="6" t="s">
        <v>18586</v>
      </c>
      <c r="J3412" s="6" t="s">
        <v>18587</v>
      </c>
      <c r="K3412" s="7">
        <f t="shared" si="2"/>
        <v>0.4462558045</v>
      </c>
    </row>
    <row r="3413">
      <c r="A3413" s="4">
        <v>3413.0</v>
      </c>
      <c r="B3413" s="5" t="s">
        <v>18588</v>
      </c>
      <c r="C3413" s="5" t="s">
        <v>18589</v>
      </c>
      <c r="D3413" s="5" t="s">
        <v>18590</v>
      </c>
      <c r="E3413" s="6" t="s">
        <v>74</v>
      </c>
      <c r="F3413" s="6" t="s">
        <v>18591</v>
      </c>
      <c r="G3413" s="3" t="str">
        <f>IFERROR(__xludf.DUMMYFUNCTION("REGEXREPLACE(
D3413,
""([一-龯々]+)\[([^\]]+)\]"",
""&lt;ruby&gt;$1&lt;rt&gt;$2&lt;/rt&gt;&lt;/ruby&gt;""
)&amp;""&lt;br&gt;&lt;div class=""""audio""""&gt;[sound:""&amp;C3413&amp;"".mp3]&lt;/div&gt;"""),"&lt;ruby&gt;缶&lt;rt&gt;かん&lt;/rt&gt;&lt;/ruby&gt;&lt;br&gt;&lt;div class=""audio""&gt;[sound:かん.mp3]&lt;/div&gt;")</f>
        <v>&lt;ruby&gt;缶&lt;rt&gt;かん&lt;/rt&gt;&lt;/ruby&gt;&lt;br&gt;&lt;div class="audio"&gt;[sound:かん.mp3]&lt;/div&gt;</v>
      </c>
      <c r="H3413" s="3" t="str">
        <f t="shared" si="1"/>
        <v>(n): lon</v>
      </c>
      <c r="I3413" s="6" t="s">
        <v>18592</v>
      </c>
      <c r="J3413" s="6" t="s">
        <v>18593</v>
      </c>
      <c r="K3413" s="7">
        <f t="shared" si="2"/>
        <v>0.184986061</v>
      </c>
    </row>
    <row r="3414">
      <c r="A3414" s="4">
        <v>3414.0</v>
      </c>
      <c r="B3414" s="5" t="s">
        <v>18594</v>
      </c>
      <c r="C3414" s="5" t="s">
        <v>18595</v>
      </c>
      <c r="D3414" s="5" t="s">
        <v>18596</v>
      </c>
      <c r="E3414" s="6" t="s">
        <v>74</v>
      </c>
      <c r="F3414" s="6" t="s">
        <v>18597</v>
      </c>
      <c r="G3414" s="3" t="str">
        <f>IFERROR(__xludf.DUMMYFUNCTION("REGEXREPLACE(
D3414,
""([一-龯々]+)\[([^\]]+)\]"",
""&lt;ruby&gt;$1&lt;rt&gt;$2&lt;/rt&gt;&lt;/ruby&gt;""
)&amp;""&lt;br&gt;&lt;div class=""""audio""""&gt;[sound:""&amp;C3414&amp;"".mp3]&lt;/div&gt;"""),"&lt;ruby&gt;草&lt;rt&gt;くさ&lt;/rt&gt;&lt;/ruby&gt;&lt;br&gt;&lt;div class=""audio""&gt;[sound:くさ.mp3]&lt;/div&gt;")</f>
        <v>&lt;ruby&gt;草&lt;rt&gt;くさ&lt;/rt&gt;&lt;/ruby&gt;&lt;br&gt;&lt;div class="audio"&gt;[sound:くさ.mp3]&lt;/div&gt;</v>
      </c>
      <c r="H3414" s="3" t="str">
        <f t="shared" si="1"/>
        <v>(n): cỏ</v>
      </c>
      <c r="I3414" s="6" t="s">
        <v>18598</v>
      </c>
      <c r="J3414" s="6" t="s">
        <v>18599</v>
      </c>
      <c r="K3414" s="7">
        <f t="shared" si="2"/>
        <v>0.5714893499</v>
      </c>
    </row>
    <row r="3415">
      <c r="A3415" s="4">
        <v>3415.0</v>
      </c>
      <c r="B3415" s="5" t="s">
        <v>18600</v>
      </c>
      <c r="C3415" s="5" t="s">
        <v>18601</v>
      </c>
      <c r="D3415" s="5" t="s">
        <v>18600</v>
      </c>
      <c r="E3415" s="6" t="s">
        <v>74</v>
      </c>
      <c r="F3415" s="6" t="s">
        <v>18602</v>
      </c>
      <c r="G3415" s="3" t="str">
        <f>IFERROR(__xludf.DUMMYFUNCTION("REGEXREPLACE(
D3415,
""([一-龯々]+)\[([^\]]+)\]"",
""&lt;ruby&gt;$1&lt;rt&gt;$2&lt;/rt&gt;&lt;/ruby&gt;""
)&amp;""&lt;br&gt;&lt;div class=""""audio""""&gt;[sound:""&amp;C3415&amp;"".mp3]&lt;/div&gt;"""),"フィルム&lt;br&gt;&lt;div class=""audio""&gt;[sound:ふぃるむ.mp3]&lt;/div&gt;")</f>
        <v>フィルム&lt;br&gt;&lt;div class="audio"&gt;[sound:ふぃるむ.mp3]&lt;/div&gt;</v>
      </c>
      <c r="H3415" s="3" t="str">
        <f t="shared" si="1"/>
        <v>(n): phim chụp ảnh</v>
      </c>
      <c r="I3415" s="6" t="s">
        <v>18603</v>
      </c>
      <c r="J3415" s="6" t="s">
        <v>18604</v>
      </c>
      <c r="K3415" s="7">
        <f t="shared" si="2"/>
        <v>0.4725840131</v>
      </c>
    </row>
    <row r="3416">
      <c r="A3416" s="4">
        <v>3416.0</v>
      </c>
      <c r="B3416" s="5" t="s">
        <v>18605</v>
      </c>
      <c r="C3416" s="5" t="s">
        <v>18606</v>
      </c>
      <c r="D3416" s="5" t="s">
        <v>18607</v>
      </c>
      <c r="E3416" s="6" t="s">
        <v>74</v>
      </c>
      <c r="F3416" s="6" t="s">
        <v>18608</v>
      </c>
      <c r="G3416" s="3" t="str">
        <f>IFERROR(__xludf.DUMMYFUNCTION("REGEXREPLACE(
D3416,
""([一-龯々]+)\[([^\]]+)\]"",
""&lt;ruby&gt;$1&lt;rt&gt;$2&lt;/rt&gt;&lt;/ruby&gt;""
)&amp;""&lt;br&gt;&lt;div class=""""audio""""&gt;[sound:""&amp;C3416&amp;"".mp3]&lt;/div&gt;"""),"&lt;ruby&gt;休暇&lt;rt&gt;きゅうか&lt;/rt&gt;&lt;/ruby&gt;&lt;br&gt;&lt;div class=""audio""&gt;[sound:きゅうか.mp3]&lt;/div&gt;")</f>
        <v>&lt;ruby&gt;休暇&lt;rt&gt;きゅうか&lt;/rt&gt;&lt;/ruby&gt;&lt;br&gt;&lt;div class="audio"&gt;[sound:きゅうか.mp3]&lt;/div&gt;</v>
      </c>
      <c r="H3416" s="3" t="str">
        <f t="shared" si="1"/>
        <v>(n): kỳ nghỉ</v>
      </c>
      <c r="I3416" s="6" t="s">
        <v>18609</v>
      </c>
      <c r="J3416" s="6" t="s">
        <v>18610</v>
      </c>
      <c r="K3416" s="7">
        <f t="shared" si="2"/>
        <v>0.4178142242</v>
      </c>
    </row>
    <row r="3417">
      <c r="A3417" s="4">
        <v>3417.0</v>
      </c>
      <c r="B3417" s="5" t="s">
        <v>18611</v>
      </c>
      <c r="C3417" s="5" t="s">
        <v>18612</v>
      </c>
      <c r="D3417" s="5" t="s">
        <v>18611</v>
      </c>
      <c r="E3417" s="6" t="s">
        <v>33</v>
      </c>
      <c r="F3417" s="6" t="s">
        <v>20</v>
      </c>
      <c r="G3417" s="3" t="str">
        <f>IFERROR(__xludf.DUMMYFUNCTION("REGEXREPLACE(
D3417,
""([一-龯々]+)\[([^\]]+)\]"",
""&lt;ruby&gt;$1&lt;rt&gt;$2&lt;/rt&gt;&lt;/ruby&gt;""
)&amp;""&lt;br&gt;&lt;div class=""""audio""""&gt;[sound:""&amp;C3417&amp;"".mp3]&lt;/div&gt;"""),"ノー&lt;br&gt;&lt;div class=""audio""&gt;[sound:のー.mp3]&lt;/div&gt;")</f>
        <v>ノー&lt;br&gt;&lt;div class="audio"&gt;[sound:のー.mp3]&lt;/div&gt;</v>
      </c>
      <c r="H3417" s="3" t="str">
        <f t="shared" si="1"/>
        <v>(int): không</v>
      </c>
      <c r="I3417" s="6" t="s">
        <v>18613</v>
      </c>
      <c r="J3417" s="6" t="s">
        <v>18614</v>
      </c>
      <c r="K3417" s="7">
        <f t="shared" si="2"/>
        <v>0.2537500647</v>
      </c>
    </row>
    <row r="3418">
      <c r="A3418" s="4">
        <v>3418.0</v>
      </c>
      <c r="B3418" s="5" t="s">
        <v>18615</v>
      </c>
      <c r="C3418" s="5" t="s">
        <v>18616</v>
      </c>
      <c r="D3418" s="5" t="s">
        <v>18615</v>
      </c>
      <c r="E3418" s="6" t="s">
        <v>74</v>
      </c>
      <c r="F3418" s="6" t="s">
        <v>18617</v>
      </c>
      <c r="G3418" s="3" t="str">
        <f>IFERROR(__xludf.DUMMYFUNCTION("REGEXREPLACE(
D3418,
""([一-龯々]+)\[([^\]]+)\]"",
""&lt;ruby&gt;$1&lt;rt&gt;$2&lt;/rt&gt;&lt;/ruby&gt;""
)&amp;""&lt;br&gt;&lt;div class=""""audio""""&gt;[sound:""&amp;C3418&amp;"".mp3]&lt;/div&gt;"""),"ブレーキ&lt;br&gt;&lt;div class=""audio""&gt;[sound:ぶれーき.mp3]&lt;/div&gt;")</f>
        <v>ブレーキ&lt;br&gt;&lt;div class="audio"&gt;[sound:ぶれーき.mp3]&lt;/div&gt;</v>
      </c>
      <c r="H3418" s="3" t="str">
        <f t="shared" si="1"/>
        <v>(n): phanh</v>
      </c>
      <c r="I3418" s="6" t="s">
        <v>18618</v>
      </c>
      <c r="J3418" s="6" t="s">
        <v>18619</v>
      </c>
      <c r="K3418" s="7">
        <f t="shared" si="2"/>
        <v>0.3275445789</v>
      </c>
    </row>
    <row r="3419">
      <c r="A3419" s="4">
        <v>3419.0</v>
      </c>
      <c r="B3419" s="5" t="s">
        <v>18620</v>
      </c>
      <c r="C3419" s="5" t="s">
        <v>18620</v>
      </c>
      <c r="D3419" s="5" t="s">
        <v>18620</v>
      </c>
      <c r="E3419" s="6" t="s">
        <v>85</v>
      </c>
      <c r="F3419" s="6" t="s">
        <v>18621</v>
      </c>
      <c r="G3419" s="3" t="str">
        <f>IFERROR(__xludf.DUMMYFUNCTION("REGEXREPLACE(
D3419,
""([一-龯々]+)\[([^\]]+)\]"",
""&lt;ruby&gt;$1&lt;rt&gt;$2&lt;/rt&gt;&lt;/ruby&gt;""
)&amp;""&lt;br&gt;&lt;div class=""""audio""""&gt;[sound:""&amp;C3419&amp;"".mp3]&lt;/div&gt;"""),"わざと&lt;br&gt;&lt;div class=""audio""&gt;[sound:わざと.mp3]&lt;/div&gt;")</f>
        <v>わざと&lt;br&gt;&lt;div class="audio"&gt;[sound:わざと.mp3]&lt;/div&gt;</v>
      </c>
      <c r="H3419" s="3" t="str">
        <f t="shared" si="1"/>
        <v>(adv): cố ý</v>
      </c>
      <c r="I3419" s="6" t="s">
        <v>18622</v>
      </c>
      <c r="J3419" s="6" t="s">
        <v>18623</v>
      </c>
      <c r="K3419" s="7">
        <f t="shared" si="2"/>
        <v>0.3854616034</v>
      </c>
    </row>
    <row r="3420">
      <c r="A3420" s="4">
        <v>3420.0</v>
      </c>
      <c r="B3420" s="5" t="s">
        <v>18624</v>
      </c>
      <c r="C3420" s="5" t="s">
        <v>18625</v>
      </c>
      <c r="D3420" s="5" t="s">
        <v>18626</v>
      </c>
      <c r="E3420" s="6" t="s">
        <v>74</v>
      </c>
      <c r="F3420" s="6" t="s">
        <v>18627</v>
      </c>
      <c r="G3420" s="3" t="str">
        <f>IFERROR(__xludf.DUMMYFUNCTION("REGEXREPLACE(
D3420,
""([一-龯々]+)\[([^\]]+)\]"",
""&lt;ruby&gt;$1&lt;rt&gt;$2&lt;/rt&gt;&lt;/ruby&gt;""
)&amp;""&lt;br&gt;&lt;div class=""""audio""""&gt;[sound:""&amp;C3420&amp;"".mp3]&lt;/div&gt;"""),"&lt;ruby&gt;羽&lt;rt&gt;はね&lt;/rt&gt;&lt;/ruby&gt;&lt;br&gt;&lt;div class=""audio""&gt;[sound:はね.mp3]&lt;/div&gt;")</f>
        <v>&lt;ruby&gt;羽&lt;rt&gt;はね&lt;/rt&gt;&lt;/ruby&gt;&lt;br&gt;&lt;div class="audio"&gt;[sound:はね.mp3]&lt;/div&gt;</v>
      </c>
      <c r="H3420" s="3" t="str">
        <f t="shared" si="1"/>
        <v>(n): cánh</v>
      </c>
      <c r="I3420" s="6" t="s">
        <v>18628</v>
      </c>
      <c r="J3420" s="6" t="s">
        <v>18629</v>
      </c>
      <c r="K3420" s="7">
        <f t="shared" si="2"/>
        <v>0.4080893052</v>
      </c>
    </row>
    <row r="3421">
      <c r="A3421" s="4">
        <v>3421.0</v>
      </c>
      <c r="B3421" s="5" t="s">
        <v>18630</v>
      </c>
      <c r="C3421" s="5" t="s">
        <v>18631</v>
      </c>
      <c r="D3421" s="5" t="s">
        <v>18630</v>
      </c>
      <c r="E3421" s="6" t="s">
        <v>74</v>
      </c>
      <c r="F3421" s="6" t="s">
        <v>18632</v>
      </c>
      <c r="G3421" s="3" t="str">
        <f>IFERROR(__xludf.DUMMYFUNCTION("REGEXREPLACE(
D3421,
""([一-龯々]+)\[([^\]]+)\]"",
""&lt;ruby&gt;$1&lt;rt&gt;$2&lt;/rt&gt;&lt;/ruby&gt;""
)&amp;""&lt;br&gt;&lt;div class=""""audio""""&gt;[sound:""&amp;C3421&amp;"".mp3]&lt;/div&gt;"""),"ダブル&lt;br&gt;&lt;div class=""audio""&gt;[sound:だぶる.mp3]&lt;/div&gt;")</f>
        <v>ダブル&lt;br&gt;&lt;div class="audio"&gt;[sound:だぶる.mp3]&lt;/div&gt;</v>
      </c>
      <c r="H3421" s="3" t="str">
        <f t="shared" si="1"/>
        <v>(n): đôi</v>
      </c>
      <c r="I3421" s="6" t="s">
        <v>18633</v>
      </c>
      <c r="J3421" s="6" t="s">
        <v>18634</v>
      </c>
      <c r="K3421" s="7">
        <f t="shared" si="2"/>
        <v>0.01230176121</v>
      </c>
    </row>
    <row r="3422">
      <c r="A3422" s="4">
        <v>3422.0</v>
      </c>
      <c r="B3422" s="5" t="s">
        <v>18635</v>
      </c>
      <c r="C3422" s="5" t="s">
        <v>4833</v>
      </c>
      <c r="D3422" s="5" t="s">
        <v>18636</v>
      </c>
      <c r="E3422" s="6" t="s">
        <v>24</v>
      </c>
      <c r="F3422" s="6" t="s">
        <v>18637</v>
      </c>
      <c r="G3422" s="3" t="str">
        <f>IFERROR(__xludf.DUMMYFUNCTION("REGEXREPLACE(
D3422,
""([一-龯々]+)\[([^\]]+)\]"",
""&lt;ruby&gt;$1&lt;rt&gt;$2&lt;/rt&gt;&lt;/ruby&gt;""
)&amp;""&lt;br&gt;&lt;div class=""""audio""""&gt;[sound:""&amp;C3422&amp;"".mp3]&lt;/div&gt;"""),"&lt;ruby&gt;仮定&lt;rt&gt;かてい&lt;/rt&gt;&lt;/ruby&gt;&lt;br&gt;&lt;div class=""audio""&gt;[sound:かてい.mp3]&lt;/div&gt;")</f>
        <v>&lt;ruby&gt;仮定&lt;rt&gt;かてい&lt;/rt&gt;&lt;/ruby&gt;&lt;br&gt;&lt;div class="audio"&gt;[sound:かてい.mp3]&lt;/div&gt;</v>
      </c>
      <c r="H3422" s="3" t="str">
        <f t="shared" si="1"/>
        <v>(v): giả định</v>
      </c>
      <c r="I3422" s="6" t="s">
        <v>18638</v>
      </c>
      <c r="J3422" s="6" t="s">
        <v>18639</v>
      </c>
      <c r="K3422" s="7">
        <f t="shared" si="2"/>
        <v>0.5182115525</v>
      </c>
    </row>
    <row r="3423">
      <c r="A3423" s="4">
        <v>3423.0</v>
      </c>
      <c r="B3423" s="5" t="s">
        <v>18640</v>
      </c>
      <c r="C3423" s="5" t="s">
        <v>18641</v>
      </c>
      <c r="D3423" s="5" t="s">
        <v>18642</v>
      </c>
      <c r="E3423" s="6" t="s">
        <v>74</v>
      </c>
      <c r="F3423" s="6" t="s">
        <v>18643</v>
      </c>
      <c r="G3423" s="3" t="str">
        <f>IFERROR(__xludf.DUMMYFUNCTION("REGEXREPLACE(
D3423,
""([一-龯々]+)\[([^\]]+)\]"",
""&lt;ruby&gt;$1&lt;rt&gt;$2&lt;/rt&gt;&lt;/ruby&gt;""
)&amp;""&lt;br&gt;&lt;div class=""""audio""""&gt;[sound:""&amp;C3423&amp;"".mp3]&lt;/div&gt;"""),"&lt;ruby&gt;仏&lt;rt&gt;ほとけ&lt;/rt&gt;&lt;/ruby&gt;&lt;br&gt;&lt;div class=""audio""&gt;[sound:ほとけ.mp3]&lt;/div&gt;")</f>
        <v>&lt;ruby&gt;仏&lt;rt&gt;ほとけ&lt;/rt&gt;&lt;/ruby&gt;&lt;br&gt;&lt;div class="audio"&gt;[sound:ほとけ.mp3]&lt;/div&gt;</v>
      </c>
      <c r="H3423" s="3" t="str">
        <f t="shared" si="1"/>
        <v>(n): phật</v>
      </c>
      <c r="I3423" s="6" t="s">
        <v>18644</v>
      </c>
      <c r="J3423" s="6" t="s">
        <v>18645</v>
      </c>
      <c r="K3423" s="7">
        <f t="shared" si="2"/>
        <v>0.4465764391</v>
      </c>
    </row>
    <row r="3424">
      <c r="A3424" s="4">
        <v>3424.0</v>
      </c>
      <c r="B3424" s="5" t="s">
        <v>18646</v>
      </c>
      <c r="C3424" s="5" t="s">
        <v>18647</v>
      </c>
      <c r="D3424" s="5" t="s">
        <v>18648</v>
      </c>
      <c r="E3424" s="6" t="s">
        <v>74</v>
      </c>
      <c r="F3424" s="6" t="s">
        <v>18649</v>
      </c>
      <c r="G3424" s="3" t="str">
        <f>IFERROR(__xludf.DUMMYFUNCTION("REGEXREPLACE(
D3424,
""([一-龯々]+)\[([^\]]+)\]"",
""&lt;ruby&gt;$1&lt;rt&gt;$2&lt;/rt&gt;&lt;/ruby&gt;""
)&amp;""&lt;br&gt;&lt;div class=""""audio""""&gt;[sound:""&amp;C3424&amp;"".mp3]&lt;/div&gt;"""),"&lt;ruby&gt;表紙&lt;rt&gt;ひょうし&lt;/rt&gt;&lt;/ruby&gt;&lt;br&gt;&lt;div class=""audio""&gt;[sound:ひょうし.mp3]&lt;/div&gt;")</f>
        <v>&lt;ruby&gt;表紙&lt;rt&gt;ひょうし&lt;/rt&gt;&lt;/ruby&gt;&lt;br&gt;&lt;div class="audio"&gt;[sound:ひょうし.mp3]&lt;/div&gt;</v>
      </c>
      <c r="H3424" s="3" t="str">
        <f t="shared" si="1"/>
        <v>(n): bìa</v>
      </c>
      <c r="I3424" s="6" t="s">
        <v>18650</v>
      </c>
      <c r="J3424" s="6" t="s">
        <v>18651</v>
      </c>
      <c r="K3424" s="7">
        <f t="shared" si="2"/>
        <v>0.07490478703</v>
      </c>
    </row>
    <row r="3425">
      <c r="A3425" s="4">
        <v>3425.0</v>
      </c>
      <c r="B3425" s="5" t="s">
        <v>18652</v>
      </c>
      <c r="C3425" s="5" t="s">
        <v>18652</v>
      </c>
      <c r="D3425" s="5" t="s">
        <v>18652</v>
      </c>
      <c r="E3425" s="6" t="s">
        <v>74</v>
      </c>
      <c r="F3425" s="6" t="s">
        <v>18653</v>
      </c>
      <c r="G3425" s="3" t="str">
        <f>IFERROR(__xludf.DUMMYFUNCTION("REGEXREPLACE(
D3425,
""([一-龯々]+)\[([^\]]+)\]"",
""&lt;ruby&gt;$1&lt;rt&gt;$2&lt;/rt&gt;&lt;/ruby&gt;""
)&amp;""&lt;br&gt;&lt;div class=""""audio""""&gt;[sound:""&amp;C3425&amp;"".mp3]&lt;/div&gt;"""),"ひげ&lt;br&gt;&lt;div class=""audio""&gt;[sound:ひげ.mp3]&lt;/div&gt;")</f>
        <v>ひげ&lt;br&gt;&lt;div class="audio"&gt;[sound:ひげ.mp3]&lt;/div&gt;</v>
      </c>
      <c r="H3425" s="3" t="str">
        <f t="shared" si="1"/>
        <v>(n): râu</v>
      </c>
      <c r="I3425" s="6" t="s">
        <v>18654</v>
      </c>
      <c r="J3425" s="6" t="s">
        <v>18655</v>
      </c>
      <c r="K3425" s="7">
        <f t="shared" si="2"/>
        <v>0.4596735814</v>
      </c>
    </row>
    <row r="3426">
      <c r="A3426" s="4">
        <v>3426.0</v>
      </c>
      <c r="B3426" s="5" t="s">
        <v>18656</v>
      </c>
      <c r="C3426" s="5" t="s">
        <v>18657</v>
      </c>
      <c r="D3426" s="5" t="s">
        <v>18656</v>
      </c>
      <c r="E3426" s="6" t="s">
        <v>74</v>
      </c>
      <c r="F3426" s="6" t="s">
        <v>18658</v>
      </c>
      <c r="G3426" s="3" t="str">
        <f>IFERROR(__xludf.DUMMYFUNCTION("REGEXREPLACE(
D3426,
""([一-龯々]+)\[([^\]]+)\]"",
""&lt;ruby&gt;$1&lt;rt&gt;$2&lt;/rt&gt;&lt;/ruby&gt;""
)&amp;""&lt;br&gt;&lt;div class=""""audio""""&gt;[sound:""&amp;C3426&amp;"".mp3]&lt;/div&gt;"""),"ファックス&lt;br&gt;&lt;div class=""audio""&gt;[sound:ふぁっくす.mp3]&lt;/div&gt;")</f>
        <v>ファックス&lt;br&gt;&lt;div class="audio"&gt;[sound:ふぁっくす.mp3]&lt;/div&gt;</v>
      </c>
      <c r="H3426" s="3" t="str">
        <f t="shared" si="1"/>
        <v>(n): fax</v>
      </c>
      <c r="I3426" s="6" t="s">
        <v>18659</v>
      </c>
      <c r="J3426" s="6" t="s">
        <v>18660</v>
      </c>
      <c r="K3426" s="7">
        <f t="shared" si="2"/>
        <v>0.03948696224</v>
      </c>
    </row>
    <row r="3427">
      <c r="A3427" s="4">
        <v>3427.0</v>
      </c>
      <c r="B3427" s="5" t="s">
        <v>18661</v>
      </c>
      <c r="C3427" s="5" t="s">
        <v>3014</v>
      </c>
      <c r="D3427" s="5" t="s">
        <v>18662</v>
      </c>
      <c r="E3427" s="6" t="s">
        <v>24</v>
      </c>
      <c r="F3427" s="6" t="s">
        <v>18663</v>
      </c>
      <c r="G3427" s="3" t="str">
        <f>IFERROR(__xludf.DUMMYFUNCTION("REGEXREPLACE(
D3427,
""([一-龯々]+)\[([^\]]+)\]"",
""&lt;ruby&gt;$1&lt;rt&gt;$2&lt;/rt&gt;&lt;/ruby&gt;""
)&amp;""&lt;br&gt;&lt;div class=""""audio""""&gt;[sound:""&amp;C3427&amp;"".mp3]&lt;/div&gt;"""),"&lt;ruby&gt;拭&lt;rt&gt;ふ&lt;/rt&gt;&lt;/ruby&gt;く&lt;br&gt;&lt;div class=""audio""&gt;[sound:ふく.mp3]&lt;/div&gt;")</f>
        <v>&lt;ruby&gt;拭&lt;rt&gt;ふ&lt;/rt&gt;&lt;/ruby&gt;く&lt;br&gt;&lt;div class="audio"&gt;[sound:ふく.mp3]&lt;/div&gt;</v>
      </c>
      <c r="H3427" s="3" t="str">
        <f t="shared" si="1"/>
        <v>(v): lau</v>
      </c>
      <c r="I3427" s="6" t="s">
        <v>18664</v>
      </c>
      <c r="J3427" s="6" t="s">
        <v>18665</v>
      </c>
      <c r="K3427" s="7">
        <f t="shared" si="2"/>
        <v>0.1584844097</v>
      </c>
    </row>
    <row r="3428">
      <c r="A3428" s="4">
        <v>3428.0</v>
      </c>
      <c r="B3428" s="5" t="s">
        <v>18666</v>
      </c>
      <c r="C3428" s="5" t="s">
        <v>18667</v>
      </c>
      <c r="D3428" s="5" t="s">
        <v>18668</v>
      </c>
      <c r="E3428" s="6" t="s">
        <v>24</v>
      </c>
      <c r="F3428" s="6" t="s">
        <v>5038</v>
      </c>
      <c r="G3428" s="3" t="str">
        <f>IFERROR(__xludf.DUMMYFUNCTION("REGEXREPLACE(
D3428,
""([一-龯々]+)\[([^\]]+)\]"",
""&lt;ruby&gt;$1&lt;rt&gt;$2&lt;/rt&gt;&lt;/ruby&gt;""
)&amp;""&lt;br&gt;&lt;div class=""""audio""""&gt;[sound:""&amp;C3428&amp;"".mp3]&lt;/div&gt;"""),"&lt;ruby&gt;為&lt;rt&gt;な&lt;/rt&gt;&lt;/ruby&gt;す&lt;br&gt;&lt;div class=""audio""&gt;[sound:なす.mp3]&lt;/div&gt;")</f>
        <v>&lt;ruby&gt;為&lt;rt&gt;な&lt;/rt&gt;&lt;/ruby&gt;す&lt;br&gt;&lt;div class="audio"&gt;[sound:なす.mp3]&lt;/div&gt;</v>
      </c>
      <c r="H3428" s="3" t="str">
        <f t="shared" si="1"/>
        <v>(v): hình thành</v>
      </c>
      <c r="I3428" s="6" t="s">
        <v>18669</v>
      </c>
      <c r="J3428" s="6" t="s">
        <v>18670</v>
      </c>
      <c r="K3428" s="7">
        <f t="shared" si="2"/>
        <v>0.8126273967</v>
      </c>
    </row>
    <row r="3429">
      <c r="A3429" s="4">
        <v>3429.0</v>
      </c>
      <c r="B3429" s="5" t="s">
        <v>18671</v>
      </c>
      <c r="C3429" s="5" t="s">
        <v>18671</v>
      </c>
      <c r="D3429" s="5" t="s">
        <v>18671</v>
      </c>
      <c r="E3429" s="6" t="s">
        <v>74</v>
      </c>
      <c r="F3429" s="6" t="s">
        <v>18672</v>
      </c>
      <c r="G3429" s="3" t="str">
        <f>IFERROR(__xludf.DUMMYFUNCTION("REGEXREPLACE(
D3429,
""([一-龯々]+)\[([^\]]+)\]"",
""&lt;ruby&gt;$1&lt;rt&gt;$2&lt;/rt&gt;&lt;/ruby&gt;""
)&amp;""&lt;br&gt;&lt;div class=""""audio""""&gt;[sound:""&amp;C3429&amp;"".mp3]&lt;/div&gt;"""),"ぶどう&lt;br&gt;&lt;div class=""audio""&gt;[sound:ぶどう.mp3]&lt;/div&gt;")</f>
        <v>ぶどう&lt;br&gt;&lt;div class="audio"&gt;[sound:ぶどう.mp3]&lt;/div&gt;</v>
      </c>
      <c r="H3429" s="3" t="str">
        <f t="shared" si="1"/>
        <v>(n): nho</v>
      </c>
      <c r="I3429" s="6" t="s">
        <v>18673</v>
      </c>
      <c r="J3429" s="6" t="s">
        <v>18674</v>
      </c>
      <c r="K3429" s="7">
        <f t="shared" si="2"/>
        <v>0.6363809891</v>
      </c>
    </row>
    <row r="3430">
      <c r="A3430" s="4">
        <v>3430.0</v>
      </c>
      <c r="B3430" s="5" t="s">
        <v>18675</v>
      </c>
      <c r="C3430" s="5" t="s">
        <v>16541</v>
      </c>
      <c r="D3430" s="5" t="s">
        <v>18676</v>
      </c>
      <c r="E3430" s="6" t="s">
        <v>74</v>
      </c>
      <c r="F3430" s="6" t="s">
        <v>18677</v>
      </c>
      <c r="G3430" s="3" t="str">
        <f>IFERROR(__xludf.DUMMYFUNCTION("REGEXREPLACE(
D3430,
""([一-龯々]+)\[([^\]]+)\]"",
""&lt;ruby&gt;$1&lt;rt&gt;$2&lt;/rt&gt;&lt;/ruby&gt;""
)&amp;""&lt;br&gt;&lt;div class=""""audio""""&gt;[sound:""&amp;C3430&amp;"".mp3]&lt;/div&gt;"""),"&lt;ruby&gt;葉&lt;rt&gt;は&lt;/rt&gt;&lt;/ruby&gt;&lt;br&gt;&lt;div class=""audio""&gt;[sound:は.mp3]&lt;/div&gt;")</f>
        <v>&lt;ruby&gt;葉&lt;rt&gt;は&lt;/rt&gt;&lt;/ruby&gt;&lt;br&gt;&lt;div class="audio"&gt;[sound:は.mp3]&lt;/div&gt;</v>
      </c>
      <c r="H3430" s="3" t="str">
        <f t="shared" si="1"/>
        <v>(n): lá</v>
      </c>
      <c r="I3430" s="6" t="s">
        <v>18678</v>
      </c>
      <c r="J3430" s="6" t="s">
        <v>18679</v>
      </c>
      <c r="K3430" s="7">
        <f t="shared" si="2"/>
        <v>0.5408062132</v>
      </c>
    </row>
    <row r="3431">
      <c r="A3431" s="4">
        <v>3431.0</v>
      </c>
      <c r="B3431" s="5" t="s">
        <v>18680</v>
      </c>
      <c r="C3431" s="5" t="s">
        <v>18681</v>
      </c>
      <c r="D3431" s="5" t="s">
        <v>18682</v>
      </c>
      <c r="E3431" s="6" t="s">
        <v>74</v>
      </c>
      <c r="F3431" s="6" t="s">
        <v>8941</v>
      </c>
      <c r="G3431" s="3" t="str">
        <f>IFERROR(__xludf.DUMMYFUNCTION("REGEXREPLACE(
D3431,
""([一-龯々]+)\[([^\]]+)\]"",
""&lt;ruby&gt;$1&lt;rt&gt;$2&lt;/rt&gt;&lt;/ruby&gt;""
)&amp;""&lt;br&gt;&lt;div class=""""audio""""&gt;[sound:""&amp;C3431&amp;"".mp3]&lt;/div&gt;"""),"&lt;ruby&gt;看護&lt;rt&gt;かんご&lt;/rt&gt;&lt;/ruby&gt;&lt;br&gt;&lt;div class=""audio""&gt;[sound:かんご.mp3]&lt;/div&gt;")</f>
        <v>&lt;ruby&gt;看護&lt;rt&gt;かんご&lt;/rt&gt;&lt;/ruby&gt;&lt;br&gt;&lt;div class="audio"&gt;[sound:かんご.mp3]&lt;/div&gt;</v>
      </c>
      <c r="H3431" s="3" t="str">
        <f t="shared" si="1"/>
        <v>(n): chăm sóc</v>
      </c>
      <c r="I3431" s="6" t="s">
        <v>18683</v>
      </c>
      <c r="J3431" s="6" t="s">
        <v>18684</v>
      </c>
      <c r="K3431" s="7">
        <f t="shared" si="2"/>
        <v>0.06076736276</v>
      </c>
    </row>
    <row r="3432">
      <c r="A3432" s="4">
        <v>3432.0</v>
      </c>
      <c r="B3432" s="5" t="s">
        <v>18685</v>
      </c>
      <c r="C3432" s="5" t="s">
        <v>18686</v>
      </c>
      <c r="D3432" s="5" t="s">
        <v>18687</v>
      </c>
      <c r="E3432" s="6" t="s">
        <v>74</v>
      </c>
      <c r="F3432" s="6" t="s">
        <v>18688</v>
      </c>
      <c r="G3432" s="3" t="str">
        <f>IFERROR(__xludf.DUMMYFUNCTION("REGEXREPLACE(
D3432,
""([一-龯々]+)\[([^\]]+)\]"",
""&lt;ruby&gt;$1&lt;rt&gt;$2&lt;/rt&gt;&lt;/ruby&gt;""
)&amp;""&lt;br&gt;&lt;div class=""""audio""""&gt;[sound:""&amp;C3432&amp;"".mp3]&lt;/div&gt;"""),"&lt;ruby&gt;着手&lt;rt&gt;ちゃくしゅ&lt;/rt&gt;&lt;/ruby&gt;&lt;br&gt;&lt;div class=""audio""&gt;[sound:ちゃくしゅ.mp3]&lt;/div&gt;")</f>
        <v>&lt;ruby&gt;着手&lt;rt&gt;ちゃくしゅ&lt;/rt&gt;&lt;/ruby&gt;&lt;br&gt;&lt;div class="audio"&gt;[sound:ちゃくしゅ.mp3]&lt;/div&gt;</v>
      </c>
      <c r="H3432" s="3" t="str">
        <f t="shared" si="1"/>
        <v>(n): sự bắt tay vào làm</v>
      </c>
      <c r="I3432" s="6" t="s">
        <v>18689</v>
      </c>
      <c r="J3432" s="6" t="s">
        <v>18690</v>
      </c>
      <c r="K3432" s="7">
        <f t="shared" si="2"/>
        <v>0.6097965923</v>
      </c>
    </row>
    <row r="3433">
      <c r="A3433" s="4">
        <v>3433.0</v>
      </c>
      <c r="B3433" s="5" t="s">
        <v>18691</v>
      </c>
      <c r="C3433" s="5" t="s">
        <v>18692</v>
      </c>
      <c r="D3433" s="5" t="s">
        <v>18693</v>
      </c>
      <c r="E3433" s="6" t="s">
        <v>24</v>
      </c>
      <c r="F3433" s="6" t="s">
        <v>18694</v>
      </c>
      <c r="G3433" s="3" t="str">
        <f>IFERROR(__xludf.DUMMYFUNCTION("REGEXREPLACE(
D3433,
""([一-龯々]+)\[([^\]]+)\]"",
""&lt;ruby&gt;$1&lt;rt&gt;$2&lt;/rt&gt;&lt;/ruby&gt;""
)&amp;""&lt;br&gt;&lt;div class=""""audio""""&gt;[sound:""&amp;C3433&amp;"".mp3]&lt;/div&gt;"""),"&lt;ruby&gt;親&lt;rt&gt;した&lt;/rt&gt;&lt;/ruby&gt;しむ&lt;br&gt;&lt;div class=""audio""&gt;[sound:したしむ.mp3]&lt;/div&gt;")</f>
        <v>&lt;ruby&gt;親&lt;rt&gt;した&lt;/rt&gt;&lt;/ruby&gt;しむ&lt;br&gt;&lt;div class="audio"&gt;[sound:したしむ.mp3]&lt;/div&gt;</v>
      </c>
      <c r="H3433" s="3" t="str">
        <f t="shared" si="1"/>
        <v>(v): trở nên thân thiết</v>
      </c>
      <c r="I3433" s="6" t="s">
        <v>18695</v>
      </c>
      <c r="J3433" s="6" t="s">
        <v>18696</v>
      </c>
      <c r="K3433" s="7">
        <f t="shared" si="2"/>
        <v>0.645037244</v>
      </c>
    </row>
    <row r="3434">
      <c r="A3434" s="4">
        <v>3434.0</v>
      </c>
      <c r="B3434" s="5" t="s">
        <v>18697</v>
      </c>
      <c r="C3434" s="5" t="s">
        <v>18698</v>
      </c>
      <c r="D3434" s="5" t="s">
        <v>18699</v>
      </c>
      <c r="E3434" s="6" t="s">
        <v>74</v>
      </c>
      <c r="F3434" s="6" t="s">
        <v>18700</v>
      </c>
      <c r="G3434" s="3" t="str">
        <f>IFERROR(__xludf.DUMMYFUNCTION("REGEXREPLACE(
D3434,
""([一-龯々]+)\[([^\]]+)\]"",
""&lt;ruby&gt;$1&lt;rt&gt;$2&lt;/rt&gt;&lt;/ruby&gt;""
)&amp;""&lt;br&gt;&lt;div class=""""audio""""&gt;[sound:""&amp;C3434&amp;"".mp3]&lt;/div&gt;"""),"&lt;ruby&gt;不景気&lt;rt&gt;ふけいき&lt;/rt&gt;&lt;/ruby&gt;&lt;br&gt;&lt;div class=""audio""&gt;[sound:ふけいき.mp3]&lt;/div&gt;")</f>
        <v>&lt;ruby&gt;不景気&lt;rt&gt;ふけいき&lt;/rt&gt;&lt;/ruby&gt;&lt;br&gt;&lt;div class="audio"&gt;[sound:ふけいき.mp3]&lt;/div&gt;</v>
      </c>
      <c r="H3434" s="3" t="str">
        <f t="shared" si="1"/>
        <v>(n): kinh tế suy thoái</v>
      </c>
      <c r="I3434" s="6" t="s">
        <v>18701</v>
      </c>
      <c r="J3434" s="6" t="s">
        <v>18702</v>
      </c>
      <c r="K3434" s="7">
        <f t="shared" si="2"/>
        <v>0.3009133643</v>
      </c>
    </row>
    <row r="3435">
      <c r="A3435" s="4">
        <v>3435.0</v>
      </c>
      <c r="B3435" s="5" t="s">
        <v>18703</v>
      </c>
      <c r="C3435" s="5" t="s">
        <v>18704</v>
      </c>
      <c r="D3435" s="5" t="s">
        <v>18705</v>
      </c>
      <c r="E3435" s="6" t="s">
        <v>74</v>
      </c>
      <c r="F3435" s="6" t="s">
        <v>18706</v>
      </c>
      <c r="G3435" s="3" t="str">
        <f>IFERROR(__xludf.DUMMYFUNCTION("REGEXREPLACE(
D3435,
""([一-龯々]+)\[([^\]]+)\]"",
""&lt;ruby&gt;$1&lt;rt&gt;$2&lt;/rt&gt;&lt;/ruby&gt;""
)&amp;""&lt;br&gt;&lt;div class=""""audio""""&gt;[sound:""&amp;C3435&amp;"".mp3]&lt;/div&gt;"""),"&lt;ruby&gt;共稼&lt;rt&gt;ともかせ&lt;/rt&gt;&lt;/ruby&gt;ぎ&lt;br&gt;&lt;div class=""audio""&gt;[sound:ともかせぎ.mp3]&lt;/div&gt;")</f>
        <v>&lt;ruby&gt;共稼&lt;rt&gt;ともかせ&lt;/rt&gt;&lt;/ruby&gt;ぎ&lt;br&gt;&lt;div class="audio"&gt;[sound:ともかせぎ.mp3]&lt;/div&gt;</v>
      </c>
      <c r="H3435" s="3" t="str">
        <f t="shared" si="1"/>
        <v>(n): sự cùng kiếm sống</v>
      </c>
      <c r="I3435" s="6" t="s">
        <v>18707</v>
      </c>
      <c r="J3435" s="6" t="s">
        <v>18708</v>
      </c>
      <c r="K3435" s="7">
        <f t="shared" si="2"/>
        <v>0.3614520016</v>
      </c>
    </row>
    <row r="3436">
      <c r="A3436" s="4">
        <v>3436.0</v>
      </c>
      <c r="B3436" s="5" t="s">
        <v>18709</v>
      </c>
      <c r="C3436" s="5" t="s">
        <v>18710</v>
      </c>
      <c r="D3436" s="5" t="s">
        <v>18711</v>
      </c>
      <c r="E3436" s="6" t="s">
        <v>74</v>
      </c>
      <c r="F3436" s="6" t="s">
        <v>18712</v>
      </c>
      <c r="G3436" s="3" t="str">
        <f>IFERROR(__xludf.DUMMYFUNCTION("REGEXREPLACE(
D3436,
""([一-龯々]+)\[([^\]]+)\]"",
""&lt;ruby&gt;$1&lt;rt&gt;$2&lt;/rt&gt;&lt;/ruby&gt;""
)&amp;""&lt;br&gt;&lt;div class=""""audio""""&gt;[sound:""&amp;C3436&amp;"".mp3]&lt;/div&gt;"""),"&lt;ruby&gt;国交&lt;rt&gt;こっこう&lt;/rt&gt;&lt;/ruby&gt;&lt;br&gt;&lt;div class=""audio""&gt;[sound:こっこう.mp3]&lt;/div&gt;")</f>
        <v>&lt;ruby&gt;国交&lt;rt&gt;こっこう&lt;/rt&gt;&lt;/ruby&gt;&lt;br&gt;&lt;div class="audio"&gt;[sound:こっこう.mp3]&lt;/div&gt;</v>
      </c>
      <c r="H3436" s="3" t="str">
        <f t="shared" si="1"/>
        <v>(n): giao lưu quốc gia</v>
      </c>
      <c r="I3436" s="6" t="s">
        <v>18713</v>
      </c>
      <c r="J3436" s="6" t="s">
        <v>18714</v>
      </c>
      <c r="K3436" s="7">
        <f t="shared" si="2"/>
        <v>0.7178704612</v>
      </c>
    </row>
    <row r="3437">
      <c r="A3437" s="4">
        <v>3437.0</v>
      </c>
      <c r="B3437" s="5" t="s">
        <v>18715</v>
      </c>
      <c r="C3437" s="5" t="s">
        <v>18716</v>
      </c>
      <c r="D3437" s="5" t="s">
        <v>18717</v>
      </c>
      <c r="E3437" s="6" t="s">
        <v>24</v>
      </c>
      <c r="F3437" s="6" t="s">
        <v>18718</v>
      </c>
      <c r="G3437" s="3" t="str">
        <f>IFERROR(__xludf.DUMMYFUNCTION("REGEXREPLACE(
D3437,
""([一-龯々]+)\[([^\]]+)\]"",
""&lt;ruby&gt;$1&lt;rt&gt;$2&lt;/rt&gt;&lt;/ruby&gt;""
)&amp;""&lt;br&gt;&lt;div class=""""audio""""&gt;[sound:""&amp;C3437&amp;"".mp3]&lt;/div&gt;"""),"&lt;ruby&gt;務&lt;rt&gt;つと&lt;/rt&gt;&lt;/ruby&gt;まる&lt;br&gt;&lt;div class=""audio""&gt;[sound:つとまる.mp3]&lt;/div&gt;")</f>
        <v>&lt;ruby&gt;務&lt;rt&gt;つと&lt;/rt&gt;&lt;/ruby&gt;まる&lt;br&gt;&lt;div class="audio"&gt;[sound:つとまる.mp3]&lt;/div&gt;</v>
      </c>
      <c r="H3437" s="3" t="str">
        <f t="shared" si="1"/>
        <v>(v): có thể đảm đương</v>
      </c>
      <c r="I3437" s="6" t="s">
        <v>18719</v>
      </c>
      <c r="J3437" s="6" t="s">
        <v>18720</v>
      </c>
      <c r="K3437" s="7">
        <f t="shared" si="2"/>
        <v>0.2956906837</v>
      </c>
    </row>
    <row r="3438">
      <c r="A3438" s="4">
        <v>3438.0</v>
      </c>
      <c r="B3438" s="5" t="s">
        <v>18721</v>
      </c>
      <c r="C3438" s="5" t="s">
        <v>18722</v>
      </c>
      <c r="D3438" s="5" t="s">
        <v>18723</v>
      </c>
      <c r="E3438" s="6" t="s">
        <v>74</v>
      </c>
      <c r="F3438" s="6" t="s">
        <v>18724</v>
      </c>
      <c r="G3438" s="3" t="str">
        <f>IFERROR(__xludf.DUMMYFUNCTION("REGEXREPLACE(
D3438,
""([一-龯々]+)\[([^\]]+)\]"",
""&lt;ruby&gt;$1&lt;rt&gt;$2&lt;/rt&gt;&lt;/ruby&gt;""
)&amp;""&lt;br&gt;&lt;div class=""""audio""""&gt;[sound:""&amp;C3438&amp;"".mp3]&lt;/div&gt;"""),"&lt;ruby&gt;倍率&lt;rt&gt;ばいりつ&lt;/rt&gt;&lt;/ruby&gt;&lt;br&gt;&lt;div class=""audio""&gt;[sound:ばいりつ.mp3]&lt;/div&gt;")</f>
        <v>&lt;ruby&gt;倍率&lt;rt&gt;ばいりつ&lt;/rt&gt;&lt;/ruby&gt;&lt;br&gt;&lt;div class="audio"&gt;[sound:ばいりつ.mp3]&lt;/div&gt;</v>
      </c>
      <c r="H3438" s="3" t="str">
        <f t="shared" si="1"/>
        <v>(n): tỷ lệ phóng đại</v>
      </c>
      <c r="I3438" s="6" t="s">
        <v>18725</v>
      </c>
      <c r="J3438" s="6" t="s">
        <v>18726</v>
      </c>
      <c r="K3438" s="7">
        <f t="shared" si="2"/>
        <v>0.9891427972</v>
      </c>
    </row>
    <row r="3439">
      <c r="A3439" s="4">
        <v>3439.0</v>
      </c>
      <c r="B3439" s="5" t="s">
        <v>18727</v>
      </c>
      <c r="C3439" s="5" t="s">
        <v>18728</v>
      </c>
      <c r="D3439" s="5" t="s">
        <v>18729</v>
      </c>
      <c r="E3439" s="6" t="s">
        <v>74</v>
      </c>
      <c r="F3439" s="6" t="s">
        <v>18730</v>
      </c>
      <c r="G3439" s="3" t="str">
        <f>IFERROR(__xludf.DUMMYFUNCTION("REGEXREPLACE(
D3439,
""([一-龯々]+)\[([^\]]+)\]"",
""&lt;ruby&gt;$1&lt;rt&gt;$2&lt;/rt&gt;&lt;/ruby&gt;""
)&amp;""&lt;br&gt;&lt;div class=""""audio""""&gt;[sound:""&amp;C3439&amp;"".mp3]&lt;/div&gt;"""),"&lt;ruby&gt;共存&lt;rt&gt;きょうぞん&lt;/rt&gt;&lt;/ruby&gt;&lt;br&gt;&lt;div class=""audio""&gt;[sound:きょうぞん.mp3]&lt;/div&gt;")</f>
        <v>&lt;ruby&gt;共存&lt;rt&gt;きょうぞん&lt;/rt&gt;&lt;/ruby&gt;&lt;br&gt;&lt;div class="audio"&gt;[sound:きょうぞん.mp3]&lt;/div&gt;</v>
      </c>
      <c r="H3439" s="3" t="str">
        <f t="shared" si="1"/>
        <v>(n): sự cùng tồn tại</v>
      </c>
      <c r="I3439" s="6" t="s">
        <v>18731</v>
      </c>
      <c r="J3439" s="6" t="s">
        <v>18732</v>
      </c>
      <c r="K3439" s="7">
        <f t="shared" si="2"/>
        <v>0.1894433302</v>
      </c>
    </row>
    <row r="3440">
      <c r="A3440" s="4">
        <v>3440.0</v>
      </c>
      <c r="B3440" s="5" t="s">
        <v>18733</v>
      </c>
      <c r="C3440" s="5" t="s">
        <v>18734</v>
      </c>
      <c r="D3440" s="5" t="s">
        <v>18735</v>
      </c>
      <c r="E3440" s="6" t="s">
        <v>74</v>
      </c>
      <c r="F3440" s="6" t="s">
        <v>18736</v>
      </c>
      <c r="G3440" s="3" t="str">
        <f>IFERROR(__xludf.DUMMYFUNCTION("REGEXREPLACE(
D3440,
""([一-龯々]+)\[([^\]]+)\]"",
""&lt;ruby&gt;$1&lt;rt&gt;$2&lt;/rt&gt;&lt;/ruby&gt;""
)&amp;""&lt;br&gt;&lt;div class=""""audio""""&gt;[sound:""&amp;C3440&amp;"".mp3]&lt;/div&gt;"""),"&lt;ruby&gt;再建&lt;rt&gt;さいけん&lt;/rt&gt;&lt;/ruby&gt;&lt;br&gt;&lt;div class=""audio""&gt;[sound:さいけん.mp3]&lt;/div&gt;")</f>
        <v>&lt;ruby&gt;再建&lt;rt&gt;さいけん&lt;/rt&gt;&lt;/ruby&gt;&lt;br&gt;&lt;div class="audio"&gt;[sound:さいけん.mp3]&lt;/div&gt;</v>
      </c>
      <c r="H3440" s="3" t="str">
        <f t="shared" si="1"/>
        <v>(n): sự xây dựng lại</v>
      </c>
      <c r="I3440" s="6" t="s">
        <v>18737</v>
      </c>
      <c r="J3440" s="6" t="s">
        <v>18738</v>
      </c>
      <c r="K3440" s="7">
        <f t="shared" si="2"/>
        <v>0.3238673708</v>
      </c>
    </row>
    <row r="3441">
      <c r="A3441" s="4">
        <v>3441.0</v>
      </c>
      <c r="B3441" s="5" t="s">
        <v>18739</v>
      </c>
      <c r="C3441" s="5" t="s">
        <v>18740</v>
      </c>
      <c r="D3441" s="5" t="s">
        <v>18741</v>
      </c>
      <c r="E3441" s="6" t="s">
        <v>85</v>
      </c>
      <c r="F3441" s="6" t="s">
        <v>18742</v>
      </c>
      <c r="G3441" s="3" t="str">
        <f>IFERROR(__xludf.DUMMYFUNCTION("REGEXREPLACE(
D3441,
""([一-龯々]+)\[([^\]]+)\]"",
""&lt;ruby&gt;$1&lt;rt&gt;$2&lt;/rt&gt;&lt;/ruby&gt;""
)&amp;""&lt;br&gt;&lt;div class=""""audio""""&gt;[sound:""&amp;C3441&amp;"".mp3]&lt;/div&gt;"""),"&lt;ruby&gt;到底&lt;rt&gt;とうてい&lt;/rt&gt;&lt;/ruby&gt;&lt;br&gt;&lt;div class=""audio""&gt;[sound:とうてい.mp3]&lt;/div&gt;")</f>
        <v>&lt;ruby&gt;到底&lt;rt&gt;とうてい&lt;/rt&gt;&lt;/ruby&gt;&lt;br&gt;&lt;div class="audio"&gt;[sound:とうてい.mp3]&lt;/div&gt;</v>
      </c>
      <c r="H3441" s="3" t="str">
        <f t="shared" si="1"/>
        <v>(adv): tuyệt đối không</v>
      </c>
      <c r="I3441" s="6" t="s">
        <v>18743</v>
      </c>
      <c r="J3441" s="6" t="s">
        <v>18744</v>
      </c>
      <c r="K3441" s="7">
        <f t="shared" si="2"/>
        <v>0.1333611921</v>
      </c>
    </row>
    <row r="3442">
      <c r="A3442" s="4">
        <v>3442.0</v>
      </c>
      <c r="B3442" s="5" t="s">
        <v>18745</v>
      </c>
      <c r="C3442" s="5" t="s">
        <v>18746</v>
      </c>
      <c r="D3442" s="5" t="s">
        <v>18747</v>
      </c>
      <c r="E3442" s="6" t="s">
        <v>74</v>
      </c>
      <c r="F3442" s="6" t="s">
        <v>18748</v>
      </c>
      <c r="G3442" s="3" t="str">
        <f>IFERROR(__xludf.DUMMYFUNCTION("REGEXREPLACE(
D3442,
""([一-龯々]+)\[([^\]]+)\]"",
""&lt;ruby&gt;$1&lt;rt&gt;$2&lt;/rt&gt;&lt;/ruby&gt;""
)&amp;""&lt;br&gt;&lt;div class=""""audio""""&gt;[sound:""&amp;C3442&amp;"".mp3]&lt;/div&gt;"""),"&lt;ruby&gt;国有&lt;rt&gt;こくゆう&lt;/rt&gt;&lt;/ruby&gt;&lt;br&gt;&lt;div class=""audio""&gt;[sound:こくゆう.mp3]&lt;/div&gt;")</f>
        <v>&lt;ruby&gt;国有&lt;rt&gt;こくゆう&lt;/rt&gt;&lt;/ruby&gt;&lt;br&gt;&lt;div class="audio"&gt;[sound:こくゆう.mp3]&lt;/div&gt;</v>
      </c>
      <c r="H3442" s="3" t="str">
        <f t="shared" si="1"/>
        <v>(n): sở hữu quốc gia</v>
      </c>
      <c r="I3442" s="6" t="s">
        <v>18749</v>
      </c>
      <c r="J3442" s="6" t="s">
        <v>18750</v>
      </c>
      <c r="K3442" s="7">
        <f t="shared" si="2"/>
        <v>0.9878013158</v>
      </c>
    </row>
    <row r="3443">
      <c r="A3443" s="4">
        <v>3443.0</v>
      </c>
      <c r="B3443" s="5" t="s">
        <v>18751</v>
      </c>
      <c r="C3443" s="5" t="s">
        <v>18752</v>
      </c>
      <c r="D3443" s="5" t="s">
        <v>18753</v>
      </c>
      <c r="E3443" s="6" t="s">
        <v>74</v>
      </c>
      <c r="F3443" s="6" t="s">
        <v>18754</v>
      </c>
      <c r="G3443" s="3" t="str">
        <f>IFERROR(__xludf.DUMMYFUNCTION("REGEXREPLACE(
D3443,
""([一-龯々]+)\[([^\]]+)\]"",
""&lt;ruby&gt;$1&lt;rt&gt;$2&lt;/rt&gt;&lt;/ruby&gt;""
)&amp;""&lt;br&gt;&lt;div class=""""audio""""&gt;[sound:""&amp;C3443&amp;"".mp3]&lt;/div&gt;"""),"&lt;ruby&gt;農地&lt;rt&gt;のうち&lt;/rt&gt;&lt;/ruby&gt;&lt;br&gt;&lt;div class=""audio""&gt;[sound:のうち.mp3]&lt;/div&gt;")</f>
        <v>&lt;ruby&gt;農地&lt;rt&gt;のうち&lt;/rt&gt;&lt;/ruby&gt;&lt;br&gt;&lt;div class="audio"&gt;[sound:のうち.mp3]&lt;/div&gt;</v>
      </c>
      <c r="H3443" s="3" t="str">
        <f t="shared" si="1"/>
        <v>(n): đất nông nghiệp</v>
      </c>
      <c r="I3443" s="6" t="s">
        <v>18755</v>
      </c>
      <c r="J3443" s="6" t="s">
        <v>18756</v>
      </c>
      <c r="K3443" s="7">
        <f t="shared" si="2"/>
        <v>0.1810158838</v>
      </c>
    </row>
    <row r="3444">
      <c r="A3444" s="4">
        <v>3444.0</v>
      </c>
      <c r="B3444" s="5" t="s">
        <v>18757</v>
      </c>
      <c r="C3444" s="5" t="s">
        <v>18758</v>
      </c>
      <c r="D3444" s="5" t="s">
        <v>18759</v>
      </c>
      <c r="E3444" s="6" t="s">
        <v>74</v>
      </c>
      <c r="F3444" s="6" t="s">
        <v>18760</v>
      </c>
      <c r="G3444" s="3" t="str">
        <f>IFERROR(__xludf.DUMMYFUNCTION("REGEXREPLACE(
D3444,
""([一-龯々]+)\[([^\]]+)\]"",
""&lt;ruby&gt;$1&lt;rt&gt;$2&lt;/rt&gt;&lt;/ruby&gt;""
)&amp;""&lt;br&gt;&lt;div class=""""audio""""&gt;[sound:""&amp;C3444&amp;"".mp3]&lt;/div&gt;"""),"&lt;ruby&gt;途上&lt;rt&gt;とじょう&lt;/rt&gt;&lt;/ruby&gt;&lt;br&gt;&lt;div class=""audio""&gt;[sound:とじょう.mp3]&lt;/div&gt;")</f>
        <v>&lt;ruby&gt;途上&lt;rt&gt;とじょう&lt;/rt&gt;&lt;/ruby&gt;&lt;br&gt;&lt;div class="audio"&gt;[sound:とじょう.mp3]&lt;/div&gt;</v>
      </c>
      <c r="H3444" s="3" t="str">
        <f t="shared" si="1"/>
        <v>(n): đang trên đường</v>
      </c>
      <c r="I3444" s="6" t="s">
        <v>18761</v>
      </c>
      <c r="J3444" s="6" t="s">
        <v>18762</v>
      </c>
      <c r="K3444" s="7">
        <f t="shared" si="2"/>
        <v>0.4870657669</v>
      </c>
    </row>
    <row r="3445">
      <c r="A3445" s="4">
        <v>3445.0</v>
      </c>
      <c r="B3445" s="5" t="s">
        <v>18763</v>
      </c>
      <c r="C3445" s="5" t="s">
        <v>18764</v>
      </c>
      <c r="D3445" s="5" t="s">
        <v>18765</v>
      </c>
      <c r="E3445" s="6" t="s">
        <v>74</v>
      </c>
      <c r="F3445" s="6" t="s">
        <v>18766</v>
      </c>
      <c r="G3445" s="3" t="str">
        <f>IFERROR(__xludf.DUMMYFUNCTION("REGEXREPLACE(
D3445,
""([一-龯々]+)\[([^\]]+)\]"",
""&lt;ruby&gt;$1&lt;rt&gt;$2&lt;/rt&gt;&lt;/ruby&gt;""
)&amp;""&lt;br&gt;&lt;div class=""""audio""""&gt;[sound:""&amp;C3445&amp;"".mp3]&lt;/div&gt;"""),"&lt;ruby&gt;配偶者&lt;rt&gt;はいぐうしゃ&lt;/rt&gt;&lt;/ruby&gt;&lt;br&gt;&lt;div class=""audio""&gt;[sound:はいぐうしゃ.mp3]&lt;/div&gt;")</f>
        <v>&lt;ruby&gt;配偶者&lt;rt&gt;はいぐうしゃ&lt;/rt&gt;&lt;/ruby&gt;&lt;br&gt;&lt;div class="audio"&gt;[sound:はいぐうしゃ.mp3]&lt;/div&gt;</v>
      </c>
      <c r="H3445" s="3" t="str">
        <f t="shared" si="1"/>
        <v>(n): người phối ngẫu</v>
      </c>
      <c r="I3445" s="6" t="s">
        <v>18767</v>
      </c>
      <c r="J3445" s="6" t="s">
        <v>18768</v>
      </c>
      <c r="K3445" s="7">
        <f t="shared" si="2"/>
        <v>0.1804482589</v>
      </c>
    </row>
    <row r="3446">
      <c r="A3446" s="4">
        <v>3446.0</v>
      </c>
      <c r="B3446" s="5" t="s">
        <v>18769</v>
      </c>
      <c r="C3446" s="5" t="s">
        <v>18770</v>
      </c>
      <c r="D3446" s="5" t="s">
        <v>18771</v>
      </c>
      <c r="E3446" s="6" t="s">
        <v>74</v>
      </c>
      <c r="F3446" s="6" t="s">
        <v>18772</v>
      </c>
      <c r="G3446" s="3" t="str">
        <f>IFERROR(__xludf.DUMMYFUNCTION("REGEXREPLACE(
D3446,
""([一-龯々]+)\[([^\]]+)\]"",
""&lt;ruby&gt;$1&lt;rt&gt;$2&lt;/rt&gt;&lt;/ruby&gt;""
)&amp;""&lt;br&gt;&lt;div class=""""audio""""&gt;[sound:""&amp;C3446&amp;"".mp3]&lt;/div&gt;"""),"&lt;ruby&gt;共働&lt;rt&gt;ともばたら&lt;/rt&gt;&lt;/ruby&gt;き&lt;br&gt;&lt;div class=""audio""&gt;[sound:ともばたらき.mp3]&lt;/div&gt;")</f>
        <v>&lt;ruby&gt;共働&lt;rt&gt;ともばたら&lt;/rt&gt;&lt;/ruby&gt;き&lt;br&gt;&lt;div class="audio"&gt;[sound:ともばたらき.mp3]&lt;/div&gt;</v>
      </c>
      <c r="H3446" s="3" t="str">
        <f t="shared" si="1"/>
        <v>(n): sự cùng đi làm</v>
      </c>
      <c r="I3446" s="6" t="s">
        <v>18773</v>
      </c>
      <c r="J3446" s="6" t="s">
        <v>18774</v>
      </c>
      <c r="K3446" s="7">
        <f t="shared" si="2"/>
        <v>0.8468491769</v>
      </c>
    </row>
    <row r="3447">
      <c r="A3447" s="4">
        <v>3447.0</v>
      </c>
      <c r="B3447" s="5" t="s">
        <v>18775</v>
      </c>
      <c r="C3447" s="5" t="s">
        <v>18776</v>
      </c>
      <c r="D3447" s="5" t="s">
        <v>18777</v>
      </c>
      <c r="E3447" s="6" t="s">
        <v>74</v>
      </c>
      <c r="F3447" s="6" t="s">
        <v>18778</v>
      </c>
      <c r="G3447" s="3" t="str">
        <f>IFERROR(__xludf.DUMMYFUNCTION("REGEXREPLACE(
D3447,
""([一-龯々]+)\[([^\]]+)\]"",
""&lt;ruby&gt;$1&lt;rt&gt;$2&lt;/rt&gt;&lt;/ruby&gt;""
)&amp;""&lt;br&gt;&lt;div class=""""audio""""&gt;[sound:""&amp;C3447&amp;"".mp3]&lt;/div&gt;"""),"&lt;ruby&gt;相場&lt;rt&gt;そうば&lt;/rt&gt;&lt;/ruby&gt;&lt;br&gt;&lt;div class=""audio""&gt;[sound:そうば.mp3]&lt;/div&gt;")</f>
        <v>&lt;ruby&gt;相場&lt;rt&gt;そうば&lt;/rt&gt;&lt;/ruby&gt;&lt;br&gt;&lt;div class="audio"&gt;[sound:そうば.mp3]&lt;/div&gt;</v>
      </c>
      <c r="H3447" s="3" t="str">
        <f t="shared" si="1"/>
        <v>(n): giá thị trường</v>
      </c>
      <c r="I3447" s="6" t="s">
        <v>18779</v>
      </c>
      <c r="J3447" s="6" t="s">
        <v>18780</v>
      </c>
      <c r="K3447" s="7">
        <f t="shared" si="2"/>
        <v>0.6417263561</v>
      </c>
    </row>
    <row r="3448">
      <c r="A3448" s="4">
        <v>3448.0</v>
      </c>
      <c r="B3448" s="5" t="s">
        <v>18781</v>
      </c>
      <c r="C3448" s="5" t="s">
        <v>18782</v>
      </c>
      <c r="D3448" s="5" t="s">
        <v>18783</v>
      </c>
      <c r="E3448" s="6" t="s">
        <v>74</v>
      </c>
      <c r="F3448" s="6" t="s">
        <v>18784</v>
      </c>
      <c r="G3448" s="3" t="str">
        <f>IFERROR(__xludf.DUMMYFUNCTION("REGEXREPLACE(
D3448,
""([一-龯々]+)\[([^\]]+)\]"",
""&lt;ruby&gt;$1&lt;rt&gt;$2&lt;/rt&gt;&lt;/ruby&gt;""
)&amp;""&lt;br&gt;&lt;div class=""""audio""""&gt;[sound:""&amp;C3448&amp;"".mp3]&lt;/div&gt;"""),"&lt;ruby&gt;送金&lt;rt&gt;そうきん&lt;/rt&gt;&lt;/ruby&gt;&lt;br&gt;&lt;div class=""audio""&gt;[sound:そうきん.mp3]&lt;/div&gt;")</f>
        <v>&lt;ruby&gt;送金&lt;rt&gt;そうきん&lt;/rt&gt;&lt;/ruby&gt;&lt;br&gt;&lt;div class="audio"&gt;[sound:そうきん.mp3]&lt;/div&gt;</v>
      </c>
      <c r="H3448" s="3" t="str">
        <f t="shared" si="1"/>
        <v>(n): sự chuyển tiền</v>
      </c>
      <c r="I3448" s="6" t="s">
        <v>18785</v>
      </c>
      <c r="J3448" s="6" t="s">
        <v>18786</v>
      </c>
      <c r="K3448" s="7">
        <f t="shared" si="2"/>
        <v>0.5735572144</v>
      </c>
    </row>
    <row r="3449">
      <c r="A3449" s="4">
        <v>3449.0</v>
      </c>
      <c r="B3449" s="5" t="s">
        <v>18787</v>
      </c>
      <c r="C3449" s="5" t="s">
        <v>18788</v>
      </c>
      <c r="D3449" s="5" t="s">
        <v>18789</v>
      </c>
      <c r="E3449" s="6" t="s">
        <v>24</v>
      </c>
      <c r="F3449" s="6" t="s">
        <v>18790</v>
      </c>
      <c r="G3449" s="3" t="str">
        <f>IFERROR(__xludf.DUMMYFUNCTION("REGEXREPLACE(
D3449,
""([一-龯々]+)\[([^\]]+)\]"",
""&lt;ruby&gt;$1&lt;rt&gt;$2&lt;/rt&gt;&lt;/ruby&gt;""
)&amp;""&lt;br&gt;&lt;div class=""""audio""""&gt;[sound:""&amp;C3449&amp;"".mp3]&lt;/div&gt;"""),"&lt;ruby&gt;内蔵&lt;rt&gt;ないぞう&lt;/rt&gt;&lt;/ruby&gt;&lt;br&gt;&lt;div class=""audio""&gt;[sound:ないぞう.mp3]&lt;/div&gt;")</f>
        <v>&lt;ruby&gt;内蔵&lt;rt&gt;ないぞう&lt;/rt&gt;&lt;/ruby&gt;&lt;br&gt;&lt;div class="audio"&gt;[sound:ないぞう.mp3]&lt;/div&gt;</v>
      </c>
      <c r="H3449" s="3" t="str">
        <f t="shared" si="1"/>
        <v>(v): gắn bên trong</v>
      </c>
      <c r="I3449" s="6" t="s">
        <v>18791</v>
      </c>
      <c r="J3449" s="6" t="s">
        <v>18792</v>
      </c>
      <c r="K3449" s="7">
        <f t="shared" si="2"/>
        <v>0.4581276457</v>
      </c>
    </row>
    <row r="3450">
      <c r="A3450" s="4">
        <v>3450.0</v>
      </c>
      <c r="B3450" s="5" t="s">
        <v>18793</v>
      </c>
      <c r="C3450" s="5" t="s">
        <v>18794</v>
      </c>
      <c r="D3450" s="5" t="s">
        <v>18795</v>
      </c>
      <c r="E3450" s="6" t="s">
        <v>74</v>
      </c>
      <c r="F3450" s="6" t="s">
        <v>18796</v>
      </c>
      <c r="G3450" s="3" t="str">
        <f>IFERROR(__xludf.DUMMYFUNCTION("REGEXREPLACE(
D3450,
""([一-龯々]+)\[([^\]]+)\]"",
""&lt;ruby&gt;$1&lt;rt&gt;$2&lt;/rt&gt;&lt;/ruby&gt;""
)&amp;""&lt;br&gt;&lt;div class=""""audio""""&gt;[sound:""&amp;C3450&amp;"".mp3]&lt;/div&gt;"""),"&lt;ruby&gt;処罰&lt;rt&gt;しょばつ&lt;/rt&gt;&lt;/ruby&gt;&lt;br&gt;&lt;div class=""audio""&gt;[sound:しょばつ.mp3]&lt;/div&gt;")</f>
        <v>&lt;ruby&gt;処罰&lt;rt&gt;しょばつ&lt;/rt&gt;&lt;/ruby&gt;&lt;br&gt;&lt;div class="audio"&gt;[sound:しょばつ.mp3]&lt;/div&gt;</v>
      </c>
      <c r="H3450" s="3" t="str">
        <f t="shared" si="1"/>
        <v>(n): sự trừng phạt</v>
      </c>
      <c r="I3450" s="6" t="s">
        <v>18797</v>
      </c>
      <c r="J3450" s="6" t="s">
        <v>18798</v>
      </c>
      <c r="K3450" s="7">
        <f t="shared" si="2"/>
        <v>0.7438345787</v>
      </c>
    </row>
    <row r="3451">
      <c r="A3451" s="4">
        <v>3451.0</v>
      </c>
      <c r="B3451" s="5" t="s">
        <v>18799</v>
      </c>
      <c r="C3451" s="5" t="s">
        <v>18800</v>
      </c>
      <c r="D3451" s="5" t="s">
        <v>18801</v>
      </c>
      <c r="E3451" s="6" t="s">
        <v>74</v>
      </c>
      <c r="F3451" s="6" t="s">
        <v>18796</v>
      </c>
      <c r="G3451" s="3" t="str">
        <f>IFERROR(__xludf.DUMMYFUNCTION("REGEXREPLACE(
D3451,
""([一-龯々]+)\[([^\]]+)\]"",
""&lt;ruby&gt;$1&lt;rt&gt;$2&lt;/rt&gt;&lt;/ruby&gt;""
)&amp;""&lt;br&gt;&lt;div class=""""audio""""&gt;[sound:""&amp;C3451&amp;"".mp3]&lt;/div&gt;"""),"&lt;ruby&gt;制裁&lt;rt&gt;せいさい&lt;/rt&gt;&lt;/ruby&gt;&lt;br&gt;&lt;div class=""audio""&gt;[sound:せいさい.mp3]&lt;/div&gt;")</f>
        <v>&lt;ruby&gt;制裁&lt;rt&gt;せいさい&lt;/rt&gt;&lt;/ruby&gt;&lt;br&gt;&lt;div class="audio"&gt;[sound:せいさい.mp3]&lt;/div&gt;</v>
      </c>
      <c r="H3451" s="3" t="str">
        <f t="shared" si="1"/>
        <v>(n): sự trừng phạt</v>
      </c>
      <c r="I3451" s="6" t="s">
        <v>18802</v>
      </c>
      <c r="J3451" s="6" t="s">
        <v>18803</v>
      </c>
      <c r="K3451" s="7">
        <f t="shared" si="2"/>
        <v>0.7096812738</v>
      </c>
    </row>
    <row r="3452">
      <c r="A3452" s="4">
        <v>3452.0</v>
      </c>
      <c r="B3452" s="5" t="s">
        <v>18804</v>
      </c>
      <c r="C3452" s="5" t="s">
        <v>18805</v>
      </c>
      <c r="D3452" s="5" t="s">
        <v>18806</v>
      </c>
      <c r="E3452" s="6" t="s">
        <v>74</v>
      </c>
      <c r="F3452" s="6" t="s">
        <v>18807</v>
      </c>
      <c r="G3452" s="3" t="str">
        <f>IFERROR(__xludf.DUMMYFUNCTION("REGEXREPLACE(
D3452,
""([一-龯々]+)\[([^\]]+)\]"",
""&lt;ruby&gt;$1&lt;rt&gt;$2&lt;/rt&gt;&lt;/ruby&gt;""
)&amp;""&lt;br&gt;&lt;div class=""""audio""""&gt;[sound:""&amp;C3452&amp;"".mp3]&lt;/div&gt;"""),"&lt;ruby&gt;勧告&lt;rt&gt;かんこく&lt;/rt&gt;&lt;/ruby&gt;&lt;br&gt;&lt;div class=""audio""&gt;[sound:かんこく.mp3]&lt;/div&gt;")</f>
        <v>&lt;ruby&gt;勧告&lt;rt&gt;かんこく&lt;/rt&gt;&lt;/ruby&gt;&lt;br&gt;&lt;div class="audio"&gt;[sound:かんこく.mp3]&lt;/div&gt;</v>
      </c>
      <c r="H3452" s="3" t="str">
        <f t="shared" si="1"/>
        <v>(n): sự khuyến cáo</v>
      </c>
      <c r="I3452" s="6" t="s">
        <v>18808</v>
      </c>
      <c r="J3452" s="6" t="s">
        <v>18809</v>
      </c>
      <c r="K3452" s="7">
        <f t="shared" si="2"/>
        <v>0.302330733</v>
      </c>
    </row>
    <row r="3453">
      <c r="A3453" s="4">
        <v>3453.0</v>
      </c>
      <c r="B3453" s="5" t="s">
        <v>18810</v>
      </c>
      <c r="C3453" s="5" t="s">
        <v>18811</v>
      </c>
      <c r="D3453" s="5" t="s">
        <v>18812</v>
      </c>
      <c r="E3453" s="6" t="s">
        <v>74</v>
      </c>
      <c r="F3453" s="6" t="s">
        <v>18813</v>
      </c>
      <c r="G3453" s="3" t="str">
        <f>IFERROR(__xludf.DUMMYFUNCTION("REGEXREPLACE(
D3453,
""([一-龯々]+)\[([^\]]+)\]"",
""&lt;ruby&gt;$1&lt;rt&gt;$2&lt;/rt&gt;&lt;/ruby&gt;""
)&amp;""&lt;br&gt;&lt;div class=""""audio""""&gt;[sound:""&amp;C3453&amp;"".mp3]&lt;/div&gt;"""),"&lt;ruby&gt;匹敵&lt;rt&gt;ひってき&lt;/rt&gt;&lt;/ruby&gt;&lt;br&gt;&lt;div class=""audio""&gt;[sound:ひってき.mp3]&lt;/div&gt;")</f>
        <v>&lt;ruby&gt;匹敵&lt;rt&gt;ひってき&lt;/rt&gt;&lt;/ruby&gt;&lt;br&gt;&lt;div class="audio"&gt;[sound:ひってき.mp3]&lt;/div&gt;</v>
      </c>
      <c r="H3453" s="3" t="str">
        <f t="shared" si="1"/>
        <v>(n): sự ngang hàng</v>
      </c>
      <c r="I3453" s="6" t="s">
        <v>18814</v>
      </c>
      <c r="J3453" s="6" t="s">
        <v>18815</v>
      </c>
      <c r="K3453" s="7">
        <f t="shared" si="2"/>
        <v>0.2385498287</v>
      </c>
    </row>
    <row r="3454">
      <c r="A3454" s="4">
        <v>3454.0</v>
      </c>
      <c r="B3454" s="5" t="s">
        <v>18816</v>
      </c>
      <c r="C3454" s="5" t="s">
        <v>18817</v>
      </c>
      <c r="D3454" s="5" t="s">
        <v>18818</v>
      </c>
      <c r="E3454" s="6" t="s">
        <v>74</v>
      </c>
      <c r="F3454" s="6" t="s">
        <v>18819</v>
      </c>
      <c r="G3454" s="3" t="str">
        <f>IFERROR(__xludf.DUMMYFUNCTION("REGEXREPLACE(
D3454,
""([一-龯々]+)\[([^\]]+)\]"",
""&lt;ruby&gt;$1&lt;rt&gt;$2&lt;/rt&gt;&lt;/ruby&gt;""
)&amp;""&lt;br&gt;&lt;div class=""""audio""""&gt;[sound:""&amp;C3454&amp;"".mp3]&lt;/div&gt;"""),"&lt;ruby&gt;占領&lt;rt&gt;せんりょう&lt;/rt&gt;&lt;/ruby&gt;&lt;br&gt;&lt;div class=""audio""&gt;[sound:せんりょう.mp3]&lt;/div&gt;")</f>
        <v>&lt;ruby&gt;占領&lt;rt&gt;せんりょう&lt;/rt&gt;&lt;/ruby&gt;&lt;br&gt;&lt;div class="audio"&gt;[sound:せんりょう.mp3]&lt;/div&gt;</v>
      </c>
      <c r="H3454" s="3" t="str">
        <f t="shared" si="1"/>
        <v>(n): sự chiếm đóng</v>
      </c>
      <c r="I3454" s="6" t="s">
        <v>18820</v>
      </c>
      <c r="J3454" s="6" t="s">
        <v>18821</v>
      </c>
      <c r="K3454" s="7">
        <f t="shared" si="2"/>
        <v>0.5300452571</v>
      </c>
    </row>
    <row r="3455">
      <c r="A3455" s="4">
        <v>3455.0</v>
      </c>
      <c r="B3455" s="5" t="s">
        <v>18822</v>
      </c>
      <c r="C3455" s="5" t="s">
        <v>18823</v>
      </c>
      <c r="D3455" s="5" t="s">
        <v>18824</v>
      </c>
      <c r="E3455" s="6" t="s">
        <v>74</v>
      </c>
      <c r="F3455" s="6" t="s">
        <v>18825</v>
      </c>
      <c r="G3455" s="3" t="str">
        <f>IFERROR(__xludf.DUMMYFUNCTION("REGEXREPLACE(
D3455,
""([一-龯々]+)\[([^\]]+)\]"",
""&lt;ruby&gt;$1&lt;rt&gt;$2&lt;/rt&gt;&lt;/ruby&gt;""
)&amp;""&lt;br&gt;&lt;div class=""""audio""""&gt;[sound:""&amp;C3455&amp;"".mp3]&lt;/div&gt;"""),"&lt;ruby&gt;原爆&lt;rt&gt;げんばく&lt;/rt&gt;&lt;/ruby&gt;&lt;br&gt;&lt;div class=""audio""&gt;[sound:げんばく.mp3]&lt;/div&gt;")</f>
        <v>&lt;ruby&gt;原爆&lt;rt&gt;げんばく&lt;/rt&gt;&lt;/ruby&gt;&lt;br&gt;&lt;div class="audio"&gt;[sound:げんばく.mp3]&lt;/div&gt;</v>
      </c>
      <c r="H3455" s="3" t="str">
        <f t="shared" si="1"/>
        <v>(n): bom nguyên tử</v>
      </c>
      <c r="I3455" s="6" t="s">
        <v>18826</v>
      </c>
      <c r="J3455" s="6" t="s">
        <v>18827</v>
      </c>
      <c r="K3455" s="7">
        <f t="shared" si="2"/>
        <v>0.7869142356</v>
      </c>
    </row>
    <row r="3456">
      <c r="A3456" s="4">
        <v>3456.0</v>
      </c>
      <c r="B3456" s="5" t="s">
        <v>18828</v>
      </c>
      <c r="C3456" s="5" t="s">
        <v>18829</v>
      </c>
      <c r="D3456" s="5" t="s">
        <v>18830</v>
      </c>
      <c r="E3456" s="6" t="s">
        <v>74</v>
      </c>
      <c r="F3456" s="6" t="s">
        <v>18831</v>
      </c>
      <c r="G3456" s="3" t="str">
        <f>IFERROR(__xludf.DUMMYFUNCTION("REGEXREPLACE(
D3456,
""([一-龯々]+)\[([^\]]+)\]"",
""&lt;ruby&gt;$1&lt;rt&gt;$2&lt;/rt&gt;&lt;/ruby&gt;""
)&amp;""&lt;br&gt;&lt;div class=""""audio""""&gt;[sound:""&amp;C3456&amp;"".mp3]&lt;/div&gt;"""),"&lt;ruby&gt;合間&lt;rt&gt;あいま&lt;/rt&gt;&lt;/ruby&gt;&lt;br&gt;&lt;div class=""audio""&gt;[sound:あいま.mp3]&lt;/div&gt;")</f>
        <v>&lt;ruby&gt;合間&lt;rt&gt;あいま&lt;/rt&gt;&lt;/ruby&gt;&lt;br&gt;&lt;div class="audio"&gt;[sound:あいま.mp3]&lt;/div&gt;</v>
      </c>
      <c r="H3456" s="3" t="str">
        <f t="shared" si="1"/>
        <v>(n): thời gian rỗi</v>
      </c>
      <c r="I3456" s="6" t="s">
        <v>18832</v>
      </c>
      <c r="J3456" s="6" t="s">
        <v>18833</v>
      </c>
      <c r="K3456" s="7">
        <f t="shared" si="2"/>
        <v>0.3026991241</v>
      </c>
    </row>
    <row r="3457">
      <c r="A3457" s="4">
        <v>3457.0</v>
      </c>
      <c r="B3457" s="5" t="s">
        <v>18834</v>
      </c>
      <c r="C3457" s="5" t="s">
        <v>18835</v>
      </c>
      <c r="D3457" s="5" t="s">
        <v>18836</v>
      </c>
      <c r="E3457" s="6" t="s">
        <v>74</v>
      </c>
      <c r="F3457" s="6" t="s">
        <v>18837</v>
      </c>
      <c r="G3457" s="3" t="str">
        <f>IFERROR(__xludf.DUMMYFUNCTION("REGEXREPLACE(
D3457,
""([一-龯々]+)\[([^\]]+)\]"",
""&lt;ruby&gt;$1&lt;rt&gt;$2&lt;/rt&gt;&lt;/ruby&gt;""
)&amp;""&lt;br&gt;&lt;div class=""""audio""""&gt;[sound:""&amp;C3457&amp;"".mp3]&lt;/div&gt;"""),"&lt;ruby&gt;同居&lt;rt&gt;どうきょ&lt;/rt&gt;&lt;/ruby&gt;&lt;br&gt;&lt;div class=""audio""&gt;[sound:どうきょ.mp3]&lt;/div&gt;")</f>
        <v>&lt;ruby&gt;同居&lt;rt&gt;どうきょ&lt;/rt&gt;&lt;/ruby&gt;&lt;br&gt;&lt;div class="audio"&gt;[sound:どうきょ.mp3]&lt;/div&gt;</v>
      </c>
      <c r="H3457" s="3" t="str">
        <f t="shared" si="1"/>
        <v>(n): sự sống chung</v>
      </c>
      <c r="I3457" s="6" t="s">
        <v>18838</v>
      </c>
      <c r="J3457" s="6" t="s">
        <v>18839</v>
      </c>
      <c r="K3457" s="7">
        <f t="shared" si="2"/>
        <v>0.02359803208</v>
      </c>
    </row>
    <row r="3458">
      <c r="A3458" s="4">
        <v>3458.0</v>
      </c>
      <c r="B3458" s="5" t="s">
        <v>18840</v>
      </c>
      <c r="C3458" s="5" t="s">
        <v>18841</v>
      </c>
      <c r="D3458" s="5" t="s">
        <v>18842</v>
      </c>
      <c r="E3458" s="6" t="s">
        <v>74</v>
      </c>
      <c r="F3458" s="6" t="s">
        <v>18843</v>
      </c>
      <c r="G3458" s="3" t="str">
        <f>IFERROR(__xludf.DUMMYFUNCTION("REGEXREPLACE(
D3458,
""([一-龯々]+)\[([^\]]+)\]"",
""&lt;ruby&gt;$1&lt;rt&gt;$2&lt;/rt&gt;&lt;/ruby&gt;""
)&amp;""&lt;br&gt;&lt;div class=""""audio""""&gt;[sound:""&amp;C3458&amp;"".mp3]&lt;/div&gt;"""),"&lt;ruby&gt;圧迫&lt;rt&gt;あっぱく&lt;/rt&gt;&lt;/ruby&gt;&lt;br&gt;&lt;div class=""audio""&gt;[sound:あっぱく.mp3]&lt;/div&gt;")</f>
        <v>&lt;ruby&gt;圧迫&lt;rt&gt;あっぱく&lt;/rt&gt;&lt;/ruby&gt;&lt;br&gt;&lt;div class="audio"&gt;[sound:あっぱく.mp3]&lt;/div&gt;</v>
      </c>
      <c r="H3458" s="3" t="str">
        <f t="shared" si="1"/>
        <v>(n): sự gây áp lực</v>
      </c>
      <c r="I3458" s="6" t="s">
        <v>18844</v>
      </c>
      <c r="J3458" s="6" t="s">
        <v>18845</v>
      </c>
      <c r="K3458" s="7">
        <f t="shared" si="2"/>
        <v>0.05809799253</v>
      </c>
    </row>
    <row r="3459">
      <c r="A3459" s="4">
        <v>3459.0</v>
      </c>
      <c r="B3459" s="5" t="s">
        <v>18846</v>
      </c>
      <c r="C3459" s="5" t="s">
        <v>18847</v>
      </c>
      <c r="D3459" s="5" t="s">
        <v>18848</v>
      </c>
      <c r="E3459" s="6" t="s">
        <v>74</v>
      </c>
      <c r="F3459" s="6" t="s">
        <v>12255</v>
      </c>
      <c r="G3459" s="3" t="str">
        <f>IFERROR(__xludf.DUMMYFUNCTION("REGEXREPLACE(
D3459,
""([一-龯々]+)\[([^\]]+)\]"",
""&lt;ruby&gt;$1&lt;rt&gt;$2&lt;/rt&gt;&lt;/ruby&gt;""
)&amp;""&lt;br&gt;&lt;div class=""""audio""""&gt;[sound:""&amp;C3459&amp;"".mp3]&lt;/div&gt;"""),"&lt;ruby&gt;増強&lt;rt&gt;ぞうきょう&lt;/rt&gt;&lt;/ruby&gt;&lt;br&gt;&lt;div class=""audio""&gt;[sound:ぞうきょう.mp3]&lt;/div&gt;")</f>
        <v>&lt;ruby&gt;増強&lt;rt&gt;ぞうきょう&lt;/rt&gt;&lt;/ruby&gt;&lt;br&gt;&lt;div class="audio"&gt;[sound:ぞうきょう.mp3]&lt;/div&gt;</v>
      </c>
      <c r="H3459" s="3" t="str">
        <f t="shared" si="1"/>
        <v>(n): sự tăng cường</v>
      </c>
      <c r="I3459" s="6" t="s">
        <v>18849</v>
      </c>
      <c r="J3459" s="6" t="s">
        <v>18850</v>
      </c>
      <c r="K3459" s="7">
        <f t="shared" si="2"/>
        <v>0.002696614266</v>
      </c>
    </row>
    <row r="3460">
      <c r="A3460" s="4">
        <v>3460.0</v>
      </c>
      <c r="B3460" s="5" t="s">
        <v>18851</v>
      </c>
      <c r="C3460" s="5" t="s">
        <v>18852</v>
      </c>
      <c r="D3460" s="5" t="s">
        <v>18853</v>
      </c>
      <c r="E3460" s="6" t="s">
        <v>74</v>
      </c>
      <c r="F3460" s="6" t="s">
        <v>18854</v>
      </c>
      <c r="G3460" s="3" t="str">
        <f>IFERROR(__xludf.DUMMYFUNCTION("REGEXREPLACE(
D3460,
""([一-龯々]+)\[([^\]]+)\]"",
""&lt;ruby&gt;$1&lt;rt&gt;$2&lt;/rt&gt;&lt;/ruby&gt;""
)&amp;""&lt;br&gt;&lt;div class=""""audio""""&gt;[sound:""&amp;C3460&amp;"".mp3]&lt;/div&gt;"""),"&lt;ruby&gt;定年&lt;rt&gt;ていねん&lt;/rt&gt;&lt;/ruby&gt;&lt;br&gt;&lt;div class=""audio""&gt;[sound:ていねん.mp3]&lt;/div&gt;")</f>
        <v>&lt;ruby&gt;定年&lt;rt&gt;ていねん&lt;/rt&gt;&lt;/ruby&gt;&lt;br&gt;&lt;div class="audio"&gt;[sound:ていねん.mp3]&lt;/div&gt;</v>
      </c>
      <c r="H3460" s="3" t="str">
        <f t="shared" si="1"/>
        <v>(n): tuổi nghỉ hưu</v>
      </c>
      <c r="I3460" s="6" t="s">
        <v>18855</v>
      </c>
      <c r="J3460" s="6" t="s">
        <v>18856</v>
      </c>
      <c r="K3460" s="7">
        <f t="shared" si="2"/>
        <v>0.7752610444</v>
      </c>
    </row>
    <row r="3461">
      <c r="A3461" s="4">
        <v>3461.0</v>
      </c>
      <c r="B3461" s="5" t="s">
        <v>18857</v>
      </c>
      <c r="C3461" s="5" t="s">
        <v>18858</v>
      </c>
      <c r="D3461" s="5" t="s">
        <v>18859</v>
      </c>
      <c r="E3461" s="6" t="s">
        <v>74</v>
      </c>
      <c r="F3461" s="6" t="s">
        <v>18860</v>
      </c>
      <c r="G3461" s="3" t="str">
        <f>IFERROR(__xludf.DUMMYFUNCTION("REGEXREPLACE(
D3461,
""([一-龯々]+)\[([^\]]+)\]"",
""&lt;ruby&gt;$1&lt;rt&gt;$2&lt;/rt&gt;&lt;/ruby&gt;""
)&amp;""&lt;br&gt;&lt;div class=""""audio""""&gt;[sound:""&amp;C3461&amp;"".mp3]&lt;/div&gt;"""),"&lt;ruby&gt;本館&lt;rt&gt;ほんかん&lt;/rt&gt;&lt;/ruby&gt;&lt;br&gt;&lt;div class=""audio""&gt;[sound:ほんかん.mp3]&lt;/div&gt;")</f>
        <v>&lt;ruby&gt;本館&lt;rt&gt;ほんかん&lt;/rt&gt;&lt;/ruby&gt;&lt;br&gt;&lt;div class="audio"&gt;[sound:ほんかん.mp3]&lt;/div&gt;</v>
      </c>
      <c r="H3461" s="3" t="str">
        <f t="shared" si="1"/>
        <v>(n): tòa nhà chính</v>
      </c>
      <c r="I3461" s="6" t="s">
        <v>18861</v>
      </c>
      <c r="J3461" s="6" t="s">
        <v>18862</v>
      </c>
      <c r="K3461" s="7">
        <f t="shared" si="2"/>
        <v>0.446159134</v>
      </c>
    </row>
    <row r="3462">
      <c r="A3462" s="4">
        <v>3462.0</v>
      </c>
      <c r="B3462" s="5" t="s">
        <v>18863</v>
      </c>
      <c r="C3462" s="5" t="s">
        <v>18864</v>
      </c>
      <c r="D3462" s="5" t="s">
        <v>18865</v>
      </c>
      <c r="E3462" s="6" t="s">
        <v>74</v>
      </c>
      <c r="F3462" s="6" t="s">
        <v>18866</v>
      </c>
      <c r="G3462" s="3" t="str">
        <f>IFERROR(__xludf.DUMMYFUNCTION("REGEXREPLACE(
D3462,
""([一-龯々]+)\[([^\]]+)\]"",
""&lt;ruby&gt;$1&lt;rt&gt;$2&lt;/rt&gt;&lt;/ruby&gt;""
)&amp;""&lt;br&gt;&lt;div class=""""audio""""&gt;[sound:""&amp;C3462&amp;"".mp3]&lt;/div&gt;"""),"&lt;ruby&gt;襲撃&lt;rt&gt;しゅうげき&lt;/rt&gt;&lt;/ruby&gt;&lt;br&gt;&lt;div class=""audio""&gt;[sound:しゅうげき.mp3]&lt;/div&gt;")</f>
        <v>&lt;ruby&gt;襲撃&lt;rt&gt;しゅうげき&lt;/rt&gt;&lt;/ruby&gt;&lt;br&gt;&lt;div class="audio"&gt;[sound:しゅうげき.mp3]&lt;/div&gt;</v>
      </c>
      <c r="H3462" s="3" t="str">
        <f t="shared" si="1"/>
        <v>(n): cuộc tấn công</v>
      </c>
      <c r="I3462" s="6" t="s">
        <v>18867</v>
      </c>
      <c r="J3462" s="6" t="s">
        <v>18868</v>
      </c>
      <c r="K3462" s="7">
        <f t="shared" si="2"/>
        <v>0.006694483854</v>
      </c>
    </row>
    <row r="3463">
      <c r="A3463" s="4">
        <v>3463.0</v>
      </c>
      <c r="B3463" s="5" t="s">
        <v>18869</v>
      </c>
      <c r="C3463" s="5" t="s">
        <v>18870</v>
      </c>
      <c r="D3463" s="5" t="s">
        <v>18871</v>
      </c>
      <c r="E3463" s="6" t="s">
        <v>74</v>
      </c>
      <c r="F3463" s="6" t="s">
        <v>18872</v>
      </c>
      <c r="G3463" s="3" t="str">
        <f>IFERROR(__xludf.DUMMYFUNCTION("REGEXREPLACE(
D3463,
""([一-龯々]+)\[([^\]]+)\]"",
""&lt;ruby&gt;$1&lt;rt&gt;$2&lt;/rt&gt;&lt;/ruby&gt;""
)&amp;""&lt;br&gt;&lt;div class=""""audio""""&gt;[sound:""&amp;C3463&amp;"".mp3]&lt;/div&gt;"""),"&lt;ruby&gt;論議&lt;rt&gt;ろんぎ&lt;/rt&gt;&lt;/ruby&gt;&lt;br&gt;&lt;div class=""audio""&gt;[sound:ろんぎ.mp3]&lt;/div&gt;")</f>
        <v>&lt;ruby&gt;論議&lt;rt&gt;ろんぎ&lt;/rt&gt;&lt;/ruby&gt;&lt;br&gt;&lt;div class="audio"&gt;[sound:ろんぎ.mp3]&lt;/div&gt;</v>
      </c>
      <c r="H3463" s="3" t="str">
        <f t="shared" si="1"/>
        <v>(n): sự tranh luận</v>
      </c>
      <c r="I3463" s="6" t="s">
        <v>18873</v>
      </c>
      <c r="J3463" s="6" t="s">
        <v>18874</v>
      </c>
      <c r="K3463" s="7">
        <f t="shared" si="2"/>
        <v>0.6259270719</v>
      </c>
    </row>
    <row r="3464">
      <c r="A3464" s="4">
        <v>3464.0</v>
      </c>
      <c r="B3464" s="5" t="s">
        <v>18875</v>
      </c>
      <c r="C3464" s="5" t="s">
        <v>18876</v>
      </c>
      <c r="D3464" s="5" t="s">
        <v>18877</v>
      </c>
      <c r="E3464" s="6" t="s">
        <v>74</v>
      </c>
      <c r="F3464" s="6" t="s">
        <v>18878</v>
      </c>
      <c r="G3464" s="3" t="str">
        <f>IFERROR(__xludf.DUMMYFUNCTION("REGEXREPLACE(
D3464,
""([一-龯々]+)\[([^\]]+)\]"",
""&lt;ruby&gt;$1&lt;rt&gt;$2&lt;/rt&gt;&lt;/ruby&gt;""
)&amp;""&lt;br&gt;&lt;div class=""""audio""""&gt;[sound:""&amp;C3464&amp;"".mp3]&lt;/div&gt;"""),"&lt;ruby&gt;議決&lt;rt&gt;ぎけつ&lt;/rt&gt;&lt;/ruby&gt;&lt;br&gt;&lt;div class=""audio""&gt;[sound:ぎけつ.mp3]&lt;/div&gt;")</f>
        <v>&lt;ruby&gt;議決&lt;rt&gt;ぎけつ&lt;/rt&gt;&lt;/ruby&gt;&lt;br&gt;&lt;div class="audio"&gt;[sound:ぎけつ.mp3]&lt;/div&gt;</v>
      </c>
      <c r="H3464" s="3" t="str">
        <f t="shared" si="1"/>
        <v>(n): sự biểu quyết</v>
      </c>
      <c r="I3464" s="6" t="s">
        <v>18879</v>
      </c>
      <c r="J3464" s="6" t="s">
        <v>18880</v>
      </c>
      <c r="K3464" s="7">
        <f t="shared" si="2"/>
        <v>0.4472249661</v>
      </c>
    </row>
    <row r="3465">
      <c r="A3465" s="4">
        <v>3465.0</v>
      </c>
      <c r="B3465" s="5" t="s">
        <v>18881</v>
      </c>
      <c r="C3465" s="5" t="s">
        <v>18882</v>
      </c>
      <c r="D3465" s="5" t="s">
        <v>18883</v>
      </c>
      <c r="E3465" s="6" t="s">
        <v>74</v>
      </c>
      <c r="F3465" s="6" t="s">
        <v>18884</v>
      </c>
      <c r="G3465" s="3" t="str">
        <f>IFERROR(__xludf.DUMMYFUNCTION("REGEXREPLACE(
D3465,
""([一-龯々]+)\[([^\]]+)\]"",
""&lt;ruby&gt;$1&lt;rt&gt;$2&lt;/rt&gt;&lt;/ruby&gt;""
)&amp;""&lt;br&gt;&lt;div class=""""audio""""&gt;[sound:""&amp;C3465&amp;"".mp3]&lt;/div&gt;"""),"&lt;ruby&gt;賠償&lt;rt&gt;ばいしょう&lt;/rt&gt;&lt;/ruby&gt;&lt;br&gt;&lt;div class=""audio""&gt;[sound:ばいしょう.mp3]&lt;/div&gt;")</f>
        <v>&lt;ruby&gt;賠償&lt;rt&gt;ばいしょう&lt;/rt&gt;&lt;/ruby&gt;&lt;br&gt;&lt;div class="audio"&gt;[sound:ばいしょう.mp3]&lt;/div&gt;</v>
      </c>
      <c r="H3465" s="3" t="str">
        <f t="shared" si="1"/>
        <v>(n): sự bồi thường</v>
      </c>
      <c r="I3465" s="6" t="s">
        <v>18885</v>
      </c>
      <c r="J3465" s="6" t="s">
        <v>18886</v>
      </c>
      <c r="K3465" s="7">
        <f t="shared" si="2"/>
        <v>0.6463064747</v>
      </c>
    </row>
    <row r="3466">
      <c r="A3466" s="4">
        <v>3466.0</v>
      </c>
      <c r="B3466" s="5" t="s">
        <v>18887</v>
      </c>
      <c r="C3466" s="5" t="s">
        <v>18888</v>
      </c>
      <c r="D3466" s="5" t="s">
        <v>18889</v>
      </c>
      <c r="E3466" s="6" t="s">
        <v>74</v>
      </c>
      <c r="F3466" s="6" t="s">
        <v>18890</v>
      </c>
      <c r="G3466" s="3" t="str">
        <f>IFERROR(__xludf.DUMMYFUNCTION("REGEXREPLACE(
D3466,
""([一-龯々]+)\[([^\]]+)\]"",
""&lt;ruby&gt;$1&lt;rt&gt;$2&lt;/rt&gt;&lt;/ruby&gt;""
)&amp;""&lt;br&gt;&lt;div class=""""audio""""&gt;[sound:""&amp;C3466&amp;"".mp3]&lt;/div&gt;"""),"&lt;ruby&gt;連帯&lt;rt&gt;れんたい&lt;/rt&gt;&lt;/ruby&gt;&lt;br&gt;&lt;div class=""audio""&gt;[sound:れんたい.mp3]&lt;/div&gt;")</f>
        <v>&lt;ruby&gt;連帯&lt;rt&gt;れんたい&lt;/rt&gt;&lt;/ruby&gt;&lt;br&gt;&lt;div class="audio"&gt;[sound:れんたい.mp3]&lt;/div&gt;</v>
      </c>
      <c r="H3466" s="3" t="str">
        <f t="shared" si="1"/>
        <v>(n): tình đoàn kết</v>
      </c>
      <c r="I3466" s="6" t="s">
        <v>18891</v>
      </c>
      <c r="J3466" s="6" t="s">
        <v>18892</v>
      </c>
      <c r="K3466" s="7">
        <f t="shared" si="2"/>
        <v>0.3450307895</v>
      </c>
    </row>
    <row r="3467">
      <c r="A3467" s="4">
        <v>3467.0</v>
      </c>
      <c r="B3467" s="5" t="s">
        <v>18893</v>
      </c>
      <c r="C3467" s="5" t="s">
        <v>18894</v>
      </c>
      <c r="D3467" s="5" t="s">
        <v>18895</v>
      </c>
      <c r="E3467" s="6" t="s">
        <v>74</v>
      </c>
      <c r="F3467" s="6" t="s">
        <v>15545</v>
      </c>
      <c r="G3467" s="3" t="str">
        <f>IFERROR(__xludf.DUMMYFUNCTION("REGEXREPLACE(
D3467,
""([一-龯々]+)\[([^\]]+)\]"",
""&lt;ruby&gt;$1&lt;rt&gt;$2&lt;/rt&gt;&lt;/ruby&gt;""
)&amp;""&lt;br&gt;&lt;div class=""""audio""""&gt;[sound:""&amp;C3467&amp;"".mp3]&lt;/div&gt;"""),"&lt;ruby&gt;運搬&lt;rt&gt;うんぱん&lt;/rt&gt;&lt;/ruby&gt;&lt;br&gt;&lt;div class=""audio""&gt;[sound:うんぱん.mp3]&lt;/div&gt;")</f>
        <v>&lt;ruby&gt;運搬&lt;rt&gt;うんぱん&lt;/rt&gt;&lt;/ruby&gt;&lt;br&gt;&lt;div class="audio"&gt;[sound:うんぱん.mp3]&lt;/div&gt;</v>
      </c>
      <c r="H3467" s="3" t="str">
        <f t="shared" si="1"/>
        <v>(n): sự vận chuyển</v>
      </c>
      <c r="I3467" s="6" t="s">
        <v>18896</v>
      </c>
      <c r="J3467" s="6" t="s">
        <v>18897</v>
      </c>
      <c r="K3467" s="7">
        <f t="shared" si="2"/>
        <v>0.1533146648</v>
      </c>
    </row>
    <row r="3468">
      <c r="A3468" s="4">
        <v>3468.0</v>
      </c>
      <c r="B3468" s="5" t="s">
        <v>18898</v>
      </c>
      <c r="C3468" s="5" t="s">
        <v>18899</v>
      </c>
      <c r="D3468" s="5" t="s">
        <v>18900</v>
      </c>
      <c r="E3468" s="6" t="s">
        <v>74</v>
      </c>
      <c r="F3468" s="6" t="s">
        <v>18901</v>
      </c>
      <c r="G3468" s="3" t="str">
        <f>IFERROR(__xludf.DUMMYFUNCTION("REGEXREPLACE(
D3468,
""([一-龯々]+)\[([^\]]+)\]"",
""&lt;ruby&gt;$1&lt;rt&gt;$2&lt;/rt&gt;&lt;/ruby&gt;""
)&amp;""&lt;br&gt;&lt;div class=""""audio""""&gt;[sound:""&amp;C3468&amp;"".mp3]&lt;/div&gt;"""),"&lt;ruby&gt;公認&lt;rt&gt;こうにん&lt;/rt&gt;&lt;/ruby&gt;&lt;br&gt;&lt;div class=""audio""&gt;[sound:こうにん.mp3]&lt;/div&gt;")</f>
        <v>&lt;ruby&gt;公認&lt;rt&gt;こうにん&lt;/rt&gt;&lt;/ruby&gt;&lt;br&gt;&lt;div class="audio"&gt;[sound:こうにん.mp3]&lt;/div&gt;</v>
      </c>
      <c r="H3468" s="3" t="str">
        <f t="shared" si="1"/>
        <v>(n): sự công nhận</v>
      </c>
      <c r="I3468" s="6" t="s">
        <v>18902</v>
      </c>
      <c r="J3468" s="6" t="s">
        <v>18903</v>
      </c>
      <c r="K3468" s="7">
        <f t="shared" si="2"/>
        <v>0.5178047623</v>
      </c>
    </row>
    <row r="3469">
      <c r="A3469" s="4">
        <v>3469.0</v>
      </c>
      <c r="B3469" s="5" t="s">
        <v>18904</v>
      </c>
      <c r="C3469" s="5" t="s">
        <v>18905</v>
      </c>
      <c r="D3469" s="5" t="s">
        <v>18906</v>
      </c>
      <c r="E3469" s="6" t="s">
        <v>74</v>
      </c>
      <c r="F3469" s="6" t="s">
        <v>18907</v>
      </c>
      <c r="G3469" s="3" t="str">
        <f>IFERROR(__xludf.DUMMYFUNCTION("REGEXREPLACE(
D3469,
""([一-龯々]+)\[([^\]]+)\]"",
""&lt;ruby&gt;$1&lt;rt&gt;$2&lt;/rt&gt;&lt;/ruby&gt;""
)&amp;""&lt;br&gt;&lt;div class=""""audio""""&gt;[sound:""&amp;C3469&amp;"".mp3]&lt;/div&gt;"""),"&lt;ruby&gt;内訳&lt;rt&gt;うちわけ&lt;/rt&gt;&lt;/ruby&gt;&lt;br&gt;&lt;div class=""audio""&gt;[sound:うちわけ.mp3]&lt;/div&gt;")</f>
        <v>&lt;ruby&gt;内訳&lt;rt&gt;うちわけ&lt;/rt&gt;&lt;/ruby&gt;&lt;br&gt;&lt;div class="audio"&gt;[sound:うちわけ.mp3]&lt;/div&gt;</v>
      </c>
      <c r="H3469" s="3" t="str">
        <f t="shared" si="1"/>
        <v>(n): bản chi tiết</v>
      </c>
      <c r="I3469" s="6" t="s">
        <v>18908</v>
      </c>
      <c r="J3469" s="6" t="s">
        <v>18909</v>
      </c>
      <c r="K3469" s="7">
        <f t="shared" si="2"/>
        <v>0.1874881878</v>
      </c>
    </row>
    <row r="3470">
      <c r="A3470" s="4">
        <v>3470.0</v>
      </c>
      <c r="B3470" s="5" t="s">
        <v>18910</v>
      </c>
      <c r="C3470" s="5" t="s">
        <v>18911</v>
      </c>
      <c r="D3470" s="5" t="s">
        <v>18912</v>
      </c>
      <c r="E3470" s="6" t="s">
        <v>74</v>
      </c>
      <c r="F3470" s="6" t="s">
        <v>18913</v>
      </c>
      <c r="G3470" s="3" t="str">
        <f>IFERROR(__xludf.DUMMYFUNCTION("REGEXREPLACE(
D3470,
""([一-龯々]+)\[([^\]]+)\]"",
""&lt;ruby&gt;$1&lt;rt&gt;$2&lt;/rt&gt;&lt;/ruby&gt;""
)&amp;""&lt;br&gt;&lt;div class=""""audio""""&gt;[sound:""&amp;C3470&amp;"".mp3]&lt;/div&gt;"""),"&lt;ruby&gt;出世&lt;rt&gt;しゅっせ&lt;/rt&gt;&lt;/ruby&gt;&lt;br&gt;&lt;div class=""audio""&gt;[sound:しゅっせ.mp3]&lt;/div&gt;")</f>
        <v>&lt;ruby&gt;出世&lt;rt&gt;しゅっせ&lt;/rt&gt;&lt;/ruby&gt;&lt;br&gt;&lt;div class="audio"&gt;[sound:しゅっせ.mp3]&lt;/div&gt;</v>
      </c>
      <c r="H3470" s="3" t="str">
        <f t="shared" si="1"/>
        <v>(n): sự thành đạt</v>
      </c>
      <c r="I3470" s="6" t="s">
        <v>18914</v>
      </c>
      <c r="J3470" s="6" t="s">
        <v>18915</v>
      </c>
      <c r="K3470" s="7">
        <f t="shared" si="2"/>
        <v>0.9123540642</v>
      </c>
    </row>
    <row r="3471">
      <c r="A3471" s="4">
        <v>3471.0</v>
      </c>
      <c r="B3471" s="5" t="s">
        <v>18916</v>
      </c>
      <c r="C3471" s="5" t="s">
        <v>18917</v>
      </c>
      <c r="D3471" s="5" t="s">
        <v>18918</v>
      </c>
      <c r="E3471" s="6" t="s">
        <v>74</v>
      </c>
      <c r="F3471" s="6" t="s">
        <v>18919</v>
      </c>
      <c r="G3471" s="3" t="str">
        <f>IFERROR(__xludf.DUMMYFUNCTION("REGEXREPLACE(
D3471,
""([一-龯々]+)\[([^\]]+)\]"",
""&lt;ruby&gt;$1&lt;rt&gt;$2&lt;/rt&gt;&lt;/ruby&gt;""
)&amp;""&lt;br&gt;&lt;div class=""""audio""""&gt;[sound:""&amp;C3471&amp;"".mp3]&lt;/div&gt;"""),"&lt;ruby&gt;出動&lt;rt&gt;しゅつどう&lt;/rt&gt;&lt;/ruby&gt;&lt;br&gt;&lt;div class=""audio""&gt;[sound:しゅつどう.mp3]&lt;/div&gt;")</f>
        <v>&lt;ruby&gt;出動&lt;rt&gt;しゅつどう&lt;/rt&gt;&lt;/ruby&gt;&lt;br&gt;&lt;div class="audio"&gt;[sound:しゅつどう.mp3]&lt;/div&gt;</v>
      </c>
      <c r="H3471" s="3" t="str">
        <f t="shared" si="1"/>
        <v>(n): sự xuất quân</v>
      </c>
      <c r="I3471" s="6" t="s">
        <v>18920</v>
      </c>
      <c r="J3471" s="6" t="s">
        <v>18921</v>
      </c>
      <c r="K3471" s="7">
        <f t="shared" si="2"/>
        <v>0.265890857</v>
      </c>
    </row>
    <row r="3472">
      <c r="A3472" s="4">
        <v>3472.0</v>
      </c>
      <c r="B3472" s="5" t="s">
        <v>18922</v>
      </c>
      <c r="C3472" s="5" t="s">
        <v>18923</v>
      </c>
      <c r="D3472" s="5" t="s">
        <v>18924</v>
      </c>
      <c r="E3472" s="6" t="s">
        <v>74</v>
      </c>
      <c r="F3472" s="6" t="s">
        <v>18925</v>
      </c>
      <c r="G3472" s="3" t="str">
        <f>IFERROR(__xludf.DUMMYFUNCTION("REGEXREPLACE(
D3472,
""([一-龯々]+)\[([^\]]+)\]"",
""&lt;ruby&gt;$1&lt;rt&gt;$2&lt;/rt&gt;&lt;/ruby&gt;""
)&amp;""&lt;br&gt;&lt;div class=""""audio""""&gt;[sound:""&amp;C3472&amp;"".mp3]&lt;/div&gt;"""),"&lt;ruby&gt;出題&lt;rt&gt;しゅつだい&lt;/rt&gt;&lt;/ruby&gt;&lt;br&gt;&lt;div class=""audio""&gt;[sound:しゅつだい.mp3]&lt;/div&gt;")</f>
        <v>&lt;ruby&gt;出題&lt;rt&gt;しゅつだい&lt;/rt&gt;&lt;/ruby&gt;&lt;br&gt;&lt;div class="audio"&gt;[sound:しゅつだい.mp3]&lt;/div&gt;</v>
      </c>
      <c r="H3472" s="3" t="str">
        <f t="shared" si="1"/>
        <v>(n): sự đưa ra đề</v>
      </c>
      <c r="I3472" s="6" t="s">
        <v>18926</v>
      </c>
      <c r="J3472" s="6" t="s">
        <v>18927</v>
      </c>
      <c r="K3472" s="7">
        <f t="shared" si="2"/>
        <v>0.7005282224</v>
      </c>
    </row>
    <row r="3473">
      <c r="A3473" s="4">
        <v>3473.0</v>
      </c>
      <c r="B3473" s="5" t="s">
        <v>18928</v>
      </c>
      <c r="C3473" s="5" t="s">
        <v>18929</v>
      </c>
      <c r="D3473" s="5" t="s">
        <v>18930</v>
      </c>
      <c r="E3473" s="6" t="s">
        <v>74</v>
      </c>
      <c r="F3473" s="6" t="s">
        <v>15607</v>
      </c>
      <c r="G3473" s="3" t="str">
        <f>IFERROR(__xludf.DUMMYFUNCTION("REGEXREPLACE(
D3473,
""([一-龯々]+)\[([^\]]+)\]"",
""&lt;ruby&gt;$1&lt;rt&gt;$2&lt;/rt&gt;&lt;/ruby&gt;""
)&amp;""&lt;br&gt;&lt;div class=""""audio""""&gt;[sound:""&amp;C3473&amp;"".mp3]&lt;/div&gt;"""),"&lt;ruby&gt;分担&lt;rt&gt;ぶんたん&lt;/rt&gt;&lt;/ruby&gt;&lt;br&gt;&lt;div class=""audio""&gt;[sound:ぶんたん.mp3]&lt;/div&gt;")</f>
        <v>&lt;ruby&gt;分担&lt;rt&gt;ぶんたん&lt;/rt&gt;&lt;/ruby&gt;&lt;br&gt;&lt;div class="audio"&gt;[sound:ぶんたん.mp3]&lt;/div&gt;</v>
      </c>
      <c r="H3473" s="3" t="str">
        <f t="shared" si="1"/>
        <v>(n): sự phân chia</v>
      </c>
      <c r="I3473" s="6" t="s">
        <v>18931</v>
      </c>
      <c r="J3473" s="6" t="s">
        <v>18932</v>
      </c>
      <c r="K3473" s="7">
        <f t="shared" si="2"/>
        <v>0.2467606464</v>
      </c>
    </row>
    <row r="3474">
      <c r="A3474" s="4">
        <v>3474.0</v>
      </c>
      <c r="B3474" s="5" t="s">
        <v>18933</v>
      </c>
      <c r="C3474" s="5" t="s">
        <v>18934</v>
      </c>
      <c r="D3474" s="5" t="s">
        <v>18935</v>
      </c>
      <c r="E3474" s="6" t="s">
        <v>74</v>
      </c>
      <c r="F3474" s="6" t="s">
        <v>18936</v>
      </c>
      <c r="G3474" s="3" t="str">
        <f>IFERROR(__xludf.DUMMYFUNCTION("REGEXREPLACE(
D3474,
""([一-龯々]+)\[([^\]]+)\]"",
""&lt;ruby&gt;$1&lt;rt&gt;$2&lt;/rt&gt;&lt;/ruby&gt;""
)&amp;""&lt;br&gt;&lt;div class=""""audio""""&gt;[sound:""&amp;C3474&amp;"".mp3]&lt;/div&gt;"""),"&lt;ruby&gt;分配&lt;rt&gt;ぶんぱい&lt;/rt&gt;&lt;/ruby&gt;&lt;br&gt;&lt;div class=""audio""&gt;[sound:ぶんぱい.mp3]&lt;/div&gt;")</f>
        <v>&lt;ruby&gt;分配&lt;rt&gt;ぶんぱい&lt;/rt&gt;&lt;/ruby&gt;&lt;br&gt;&lt;div class="audio"&gt;[sound:ぶんぱい.mp3]&lt;/div&gt;</v>
      </c>
      <c r="H3474" s="3" t="str">
        <f t="shared" si="1"/>
        <v>(n): sự phân phối</v>
      </c>
      <c r="I3474" s="6" t="s">
        <v>18937</v>
      </c>
      <c r="J3474" s="6" t="s">
        <v>18938</v>
      </c>
      <c r="K3474" s="7">
        <f t="shared" si="2"/>
        <v>0.3274192356</v>
      </c>
    </row>
    <row r="3475">
      <c r="A3475" s="4">
        <v>3475.0</v>
      </c>
      <c r="B3475" s="5" t="s">
        <v>18939</v>
      </c>
      <c r="C3475" s="5" t="s">
        <v>18940</v>
      </c>
      <c r="D3475" s="5" t="s">
        <v>18941</v>
      </c>
      <c r="E3475" s="6" t="s">
        <v>74</v>
      </c>
      <c r="F3475" s="6" t="s">
        <v>18942</v>
      </c>
      <c r="G3475" s="3" t="str">
        <f>IFERROR(__xludf.DUMMYFUNCTION("REGEXREPLACE(
D3475,
""([一-龯々]+)\[([^\]]+)\]"",
""&lt;ruby&gt;$1&lt;rt&gt;$2&lt;/rt&gt;&lt;/ruby&gt;""
)&amp;""&lt;br&gt;&lt;div class=""""audio""""&gt;[sound:""&amp;C3475&amp;"".mp3]&lt;/div&gt;"""),"&lt;ruby&gt;前売&lt;rt&gt;まえうり&lt;/rt&gt;&lt;/ruby&gt;&lt;br&gt;&lt;div class=""audio""&gt;[sound:まえうり.mp3]&lt;/div&gt;")</f>
        <v>&lt;ruby&gt;前売&lt;rt&gt;まえうり&lt;/rt&gt;&lt;/ruby&gt;&lt;br&gt;&lt;div class="audio"&gt;[sound:まえうり.mp3]&lt;/div&gt;</v>
      </c>
      <c r="H3475" s="3" t="str">
        <f t="shared" si="1"/>
        <v>(n): sự bán trước</v>
      </c>
      <c r="I3475" s="6" t="s">
        <v>18943</v>
      </c>
      <c r="J3475" s="6" t="s">
        <v>18944</v>
      </c>
      <c r="K3475" s="7">
        <f t="shared" si="2"/>
        <v>0.9684565167</v>
      </c>
    </row>
    <row r="3476">
      <c r="A3476" s="4">
        <v>3476.0</v>
      </c>
      <c r="B3476" s="5" t="s">
        <v>18945</v>
      </c>
      <c r="C3476" s="5" t="s">
        <v>18946</v>
      </c>
      <c r="D3476" s="5" t="s">
        <v>18947</v>
      </c>
      <c r="E3476" s="6" t="s">
        <v>74</v>
      </c>
      <c r="F3476" s="6" t="s">
        <v>4364</v>
      </c>
      <c r="G3476" s="3" t="str">
        <f>IFERROR(__xludf.DUMMYFUNCTION("REGEXREPLACE(
D3476,
""([一-龯々]+)\[([^\]]+)\]"",
""&lt;ruby&gt;$1&lt;rt&gt;$2&lt;/rt&gt;&lt;/ruby&gt;""
)&amp;""&lt;br&gt;&lt;div class=""""audio""""&gt;[sound:""&amp;C3476&amp;"".mp3]&lt;/div&gt;"""),"&lt;ruby&gt;創立&lt;rt&gt;そうりつ&lt;/rt&gt;&lt;/ruby&gt;&lt;br&gt;&lt;div class=""audio""&gt;[sound:そうりつ.mp3]&lt;/div&gt;")</f>
        <v>&lt;ruby&gt;創立&lt;rt&gt;そうりつ&lt;/rt&gt;&lt;/ruby&gt;&lt;br&gt;&lt;div class="audio"&gt;[sound:そうりつ.mp3]&lt;/div&gt;</v>
      </c>
      <c r="H3476" s="3" t="str">
        <f t="shared" si="1"/>
        <v>(n): sự thành lập</v>
      </c>
      <c r="I3476" s="6" t="s">
        <v>18948</v>
      </c>
      <c r="J3476" s="6" t="s">
        <v>18949</v>
      </c>
      <c r="K3476" s="7">
        <f t="shared" si="2"/>
        <v>0.7866840733</v>
      </c>
    </row>
    <row r="3477">
      <c r="A3477" s="4">
        <v>3477.0</v>
      </c>
      <c r="B3477" s="5" t="s">
        <v>18950</v>
      </c>
      <c r="C3477" s="5" t="s">
        <v>18951</v>
      </c>
      <c r="D3477" s="5" t="s">
        <v>18952</v>
      </c>
      <c r="E3477" s="6" t="s">
        <v>74</v>
      </c>
      <c r="F3477" s="6" t="s">
        <v>18953</v>
      </c>
      <c r="G3477" s="3" t="str">
        <f>IFERROR(__xludf.DUMMYFUNCTION("REGEXREPLACE(
D3477,
""([一-龯々]+)\[([^\]]+)\]"",
""&lt;ruby&gt;$1&lt;rt&gt;$2&lt;/rt&gt;&lt;/ruby&gt;""
)&amp;""&lt;br&gt;&lt;div class=""""audio""""&gt;[sound:""&amp;C3477&amp;"".mp3]&lt;/div&gt;"""),"&lt;ruby&gt;募金&lt;rt&gt;ぼきん&lt;/rt&gt;&lt;/ruby&gt;&lt;br&gt;&lt;div class=""audio""&gt;[sound:ぼきん.mp3]&lt;/div&gt;")</f>
        <v>&lt;ruby&gt;募金&lt;rt&gt;ぼきん&lt;/rt&gt;&lt;/ruby&gt;&lt;br&gt;&lt;div class="audio"&gt;[sound:ぼきん.mp3]&lt;/div&gt;</v>
      </c>
      <c r="H3477" s="3" t="str">
        <f t="shared" si="1"/>
        <v>(n): sự quyên góp</v>
      </c>
      <c r="I3477" s="6" t="s">
        <v>18954</v>
      </c>
      <c r="J3477" s="6" t="s">
        <v>18955</v>
      </c>
      <c r="K3477" s="7">
        <f t="shared" si="2"/>
        <v>0.6383013269</v>
      </c>
    </row>
    <row r="3478">
      <c r="A3478" s="4">
        <v>3478.0</v>
      </c>
      <c r="B3478" s="5" t="s">
        <v>18956</v>
      </c>
      <c r="C3478" s="5" t="s">
        <v>18957</v>
      </c>
      <c r="D3478" s="5" t="s">
        <v>18958</v>
      </c>
      <c r="E3478" s="6" t="s">
        <v>74</v>
      </c>
      <c r="F3478" s="6" t="s">
        <v>7832</v>
      </c>
      <c r="G3478" s="3" t="str">
        <f>IFERROR(__xludf.DUMMYFUNCTION("REGEXREPLACE(
D3478,
""([一-龯々]+)\[([^\]]+)\]"",
""&lt;ruby&gt;$1&lt;rt&gt;$2&lt;/rt&gt;&lt;/ruby&gt;""
)&amp;""&lt;br&gt;&lt;div class=""""audio""""&gt;[sound:""&amp;C3478&amp;"".mp3]&lt;/div&gt;"""),"&lt;ruby&gt;勤&lt;rt&gt;つと&lt;/rt&gt;&lt;/ruby&gt;め&lt;ruby&gt;先&lt;rt&gt;さき&lt;/rt&gt;&lt;/ruby&gt;&lt;br&gt;&lt;div class=""audio""&gt;[sound:つとめさき.mp3]&lt;/div&gt;")</f>
        <v>&lt;ruby&gt;勤&lt;rt&gt;つと&lt;/rt&gt;&lt;/ruby&gt;め&lt;ruby&gt;先&lt;rt&gt;さき&lt;/rt&gt;&lt;/ruby&gt;&lt;br&gt;&lt;div class="audio"&gt;[sound:つとめさき.mp3]&lt;/div&gt;</v>
      </c>
      <c r="H3478" s="3" t="str">
        <f t="shared" si="1"/>
        <v>(n): nơi làm việc</v>
      </c>
      <c r="I3478" s="6" t="s">
        <v>18959</v>
      </c>
      <c r="J3478" s="6" t="s">
        <v>18960</v>
      </c>
      <c r="K3478" s="7">
        <f t="shared" si="2"/>
        <v>0.588105443</v>
      </c>
    </row>
    <row r="3479">
      <c r="A3479" s="4">
        <v>3479.0</v>
      </c>
      <c r="B3479" s="5" t="s">
        <v>18961</v>
      </c>
      <c r="C3479" s="5" t="s">
        <v>18962</v>
      </c>
      <c r="D3479" s="5" t="s">
        <v>18963</v>
      </c>
      <c r="E3479" s="6" t="s">
        <v>85</v>
      </c>
      <c r="F3479" s="6" t="s">
        <v>949</v>
      </c>
      <c r="G3479" s="3" t="str">
        <f>IFERROR(__xludf.DUMMYFUNCTION("REGEXREPLACE(
D3479,
""([一-龯々]+)\[([^\]]+)\]"",
""&lt;ruby&gt;$1&lt;rt&gt;$2&lt;/rt&gt;&lt;/ruby&gt;""
)&amp;""&lt;br&gt;&lt;div class=""""audio""""&gt;[sound:""&amp;C3479&amp;"".mp3]&lt;/div&gt;"""),"&lt;ruby&gt;即座&lt;rt&gt;そくざ&lt;/rt&gt;&lt;/ruby&gt;に&lt;br&gt;&lt;div class=""audio""&gt;[sound:そくざに.mp3]&lt;/div&gt;")</f>
        <v>&lt;ruby&gt;即座&lt;rt&gt;そくざ&lt;/rt&gt;&lt;/ruby&gt;に&lt;br&gt;&lt;div class="audio"&gt;[sound:そくざに.mp3]&lt;/div&gt;</v>
      </c>
      <c r="H3479" s="3" t="str">
        <f t="shared" si="1"/>
        <v>(adv): ngay lập tức</v>
      </c>
      <c r="I3479" s="6" t="s">
        <v>18964</v>
      </c>
      <c r="J3479" s="6" t="s">
        <v>18965</v>
      </c>
      <c r="K3479" s="7">
        <f t="shared" si="2"/>
        <v>0.004889542315</v>
      </c>
    </row>
    <row r="3480">
      <c r="A3480" s="4">
        <v>3480.0</v>
      </c>
      <c r="B3480" s="5" t="s">
        <v>18966</v>
      </c>
      <c r="C3480" s="5" t="s">
        <v>18967</v>
      </c>
      <c r="D3480" s="5" t="s">
        <v>18968</v>
      </c>
      <c r="E3480" s="6" t="s">
        <v>74</v>
      </c>
      <c r="F3480" s="6" t="s">
        <v>18969</v>
      </c>
      <c r="G3480" s="3" t="str">
        <f>IFERROR(__xludf.DUMMYFUNCTION("REGEXREPLACE(
D3480,
""([一-龯々]+)\[([^\]]+)\]"",
""&lt;ruby&gt;$1&lt;rt&gt;$2&lt;/rt&gt;&lt;/ruby&gt;""
)&amp;""&lt;br&gt;&lt;div class=""""audio""""&gt;[sound:""&amp;C3480&amp;"".mp3]&lt;/div&gt;"""),"&lt;ruby&gt;反撃&lt;rt&gt;はんげき&lt;/rt&gt;&lt;/ruby&gt;&lt;br&gt;&lt;div class=""audio""&gt;[sound:はんげき.mp3]&lt;/div&gt;")</f>
        <v>&lt;ruby&gt;反撃&lt;rt&gt;はんげき&lt;/rt&gt;&lt;/ruby&gt;&lt;br&gt;&lt;div class="audio"&gt;[sound:はんげき.mp3]&lt;/div&gt;</v>
      </c>
      <c r="H3480" s="3" t="str">
        <f t="shared" si="1"/>
        <v>(n): sự phản kích</v>
      </c>
      <c r="I3480" s="6" t="s">
        <v>18970</v>
      </c>
      <c r="J3480" s="6" t="s">
        <v>18971</v>
      </c>
      <c r="K3480" s="7">
        <f t="shared" si="2"/>
        <v>0.3777647185</v>
      </c>
    </row>
    <row r="3481">
      <c r="A3481" s="4">
        <v>3481.0</v>
      </c>
      <c r="B3481" s="5" t="s">
        <v>18972</v>
      </c>
      <c r="C3481" s="5" t="s">
        <v>18973</v>
      </c>
      <c r="D3481" s="5" t="s">
        <v>18974</v>
      </c>
      <c r="E3481" s="6" t="s">
        <v>74</v>
      </c>
      <c r="F3481" s="6" t="s">
        <v>18975</v>
      </c>
      <c r="G3481" s="3" t="str">
        <f>IFERROR(__xludf.DUMMYFUNCTION("REGEXREPLACE(
D3481,
""([一-龯々]+)\[([^\]]+)\]"",
""&lt;ruby&gt;$1&lt;rt&gt;$2&lt;/rt&gt;&lt;/ruby&gt;""
)&amp;""&lt;br&gt;&lt;div class=""""audio""""&gt;[sound:""&amp;C3481&amp;"".mp3]&lt;/div&gt;"""),"&lt;ruby&gt;同感&lt;rt&gt;どうかん&lt;/rt&gt;&lt;/ruby&gt;&lt;br&gt;&lt;div class=""audio""&gt;[sound:どうかん.mp3]&lt;/div&gt;")</f>
        <v>&lt;ruby&gt;同感&lt;rt&gt;どうかん&lt;/rt&gt;&lt;/ruby&gt;&lt;br&gt;&lt;div class="audio"&gt;[sound:どうかん.mp3]&lt;/div&gt;</v>
      </c>
      <c r="H3481" s="3" t="str">
        <f t="shared" si="1"/>
        <v>(n): sự tán thành</v>
      </c>
      <c r="I3481" s="6" t="s">
        <v>18976</v>
      </c>
      <c r="J3481" s="6" t="s">
        <v>18977</v>
      </c>
      <c r="K3481" s="7">
        <f t="shared" si="2"/>
        <v>0.2108815002</v>
      </c>
    </row>
    <row r="3482">
      <c r="A3482" s="4">
        <v>3482.0</v>
      </c>
      <c r="B3482" s="5" t="s">
        <v>18978</v>
      </c>
      <c r="C3482" s="5" t="s">
        <v>18979</v>
      </c>
      <c r="D3482" s="5" t="s">
        <v>18980</v>
      </c>
      <c r="E3482" s="6" t="s">
        <v>74</v>
      </c>
      <c r="F3482" s="6" t="s">
        <v>18981</v>
      </c>
      <c r="G3482" s="3" t="str">
        <f>IFERROR(__xludf.DUMMYFUNCTION("REGEXREPLACE(
D3482,
""([一-龯々]+)\[([^\]]+)\]"",
""&lt;ruby&gt;$1&lt;rt&gt;$2&lt;/rt&gt;&lt;/ruby&gt;""
)&amp;""&lt;br&gt;&lt;div class=""""audio""""&gt;[sound:""&amp;C3482&amp;"".mp3]&lt;/div&gt;"""),"&lt;ruby&gt;同調&lt;rt&gt;どうちょう&lt;/rt&gt;&lt;/ruby&gt;&lt;br&gt;&lt;div class=""audio""&gt;[sound:どうちょう.mp3]&lt;/div&gt;")</f>
        <v>&lt;ruby&gt;同調&lt;rt&gt;どうちょう&lt;/rt&gt;&lt;/ruby&gt;&lt;br&gt;&lt;div class="audio"&gt;[sound:どうちょう.mp3]&lt;/div&gt;</v>
      </c>
      <c r="H3482" s="3" t="str">
        <f t="shared" si="1"/>
        <v>(n): sự hưởng ứng</v>
      </c>
      <c r="I3482" s="6" t="s">
        <v>18982</v>
      </c>
      <c r="J3482" s="6" t="s">
        <v>18983</v>
      </c>
      <c r="K3482" s="7">
        <f t="shared" si="2"/>
        <v>0.2732101636</v>
      </c>
    </row>
    <row r="3483">
      <c r="A3483" s="4">
        <v>3483.0</v>
      </c>
      <c r="B3483" s="5" t="s">
        <v>18984</v>
      </c>
      <c r="C3483" s="5" t="s">
        <v>18985</v>
      </c>
      <c r="D3483" s="5" t="s">
        <v>18986</v>
      </c>
      <c r="E3483" s="6" t="s">
        <v>74</v>
      </c>
      <c r="F3483" s="6" t="s">
        <v>18987</v>
      </c>
      <c r="G3483" s="3" t="str">
        <f>IFERROR(__xludf.DUMMYFUNCTION("REGEXREPLACE(
D3483,
""([一-龯々]+)\[([^\]]+)\]"",
""&lt;ruby&gt;$1&lt;rt&gt;$2&lt;/rt&gt;&lt;/ruby&gt;""
)&amp;""&lt;br&gt;&lt;div class=""""audio""""&gt;[sound:""&amp;C3483&amp;"".mp3]&lt;/div&gt;"""),"&lt;ruby&gt;塾&lt;rt&gt;じゅく&lt;/rt&gt;&lt;/ruby&gt;&lt;br&gt;&lt;div class=""audio""&gt;[sound:じゅく.mp3]&lt;/div&gt;")</f>
        <v>&lt;ruby&gt;塾&lt;rt&gt;じゅく&lt;/rt&gt;&lt;/ruby&gt;&lt;br&gt;&lt;div class="audio"&gt;[sound:じゅく.mp3]&lt;/div&gt;</v>
      </c>
      <c r="H3483" s="3" t="str">
        <f t="shared" si="1"/>
        <v>(n): lớp học thêm</v>
      </c>
      <c r="I3483" s="6" t="s">
        <v>18988</v>
      </c>
      <c r="J3483" s="6" t="s">
        <v>18989</v>
      </c>
      <c r="K3483" s="7">
        <f t="shared" si="2"/>
        <v>0.07680962812</v>
      </c>
    </row>
    <row r="3484">
      <c r="A3484" s="4">
        <v>3484.0</v>
      </c>
      <c r="B3484" s="5" t="s">
        <v>18990</v>
      </c>
      <c r="C3484" s="5" t="s">
        <v>18991</v>
      </c>
      <c r="D3484" s="5" t="s">
        <v>18992</v>
      </c>
      <c r="E3484" s="6" t="s">
        <v>74</v>
      </c>
      <c r="F3484" s="6" t="s">
        <v>18993</v>
      </c>
      <c r="G3484" s="3" t="str">
        <f>IFERROR(__xludf.DUMMYFUNCTION("REGEXREPLACE(
D3484,
""([一-龯々]+)\[([^\]]+)\]"",
""&lt;ruby&gt;$1&lt;rt&gt;$2&lt;/rt&gt;&lt;/ruby&gt;""
)&amp;""&lt;br&gt;&lt;div class=""""audio""""&gt;[sound:""&amp;C3484&amp;"".mp3]&lt;/div&gt;"""),"&lt;ruby&gt;外相&lt;rt&gt;がいしょう&lt;/rt&gt;&lt;/ruby&gt;&lt;br&gt;&lt;div class=""audio""&gt;[sound:がいしょう.mp3]&lt;/div&gt;")</f>
        <v>&lt;ruby&gt;外相&lt;rt&gt;がいしょう&lt;/rt&gt;&lt;/ruby&gt;&lt;br&gt;&lt;div class="audio"&gt;[sound:がいしょう.mp3]&lt;/div&gt;</v>
      </c>
      <c r="H3484" s="3" t="str">
        <f t="shared" si="1"/>
        <v>(n): ngoại trưởng</v>
      </c>
      <c r="I3484" s="6" t="s">
        <v>18994</v>
      </c>
      <c r="J3484" s="6" t="s">
        <v>18995</v>
      </c>
      <c r="K3484" s="7">
        <f t="shared" si="2"/>
        <v>0.5646453554</v>
      </c>
    </row>
    <row r="3485">
      <c r="A3485" s="4">
        <v>3485.0</v>
      </c>
      <c r="B3485" s="5" t="s">
        <v>18996</v>
      </c>
      <c r="C3485" s="5" t="s">
        <v>15699</v>
      </c>
      <c r="D3485" s="5" t="s">
        <v>18997</v>
      </c>
      <c r="E3485" s="6" t="s">
        <v>74</v>
      </c>
      <c r="F3485" s="6" t="s">
        <v>18998</v>
      </c>
      <c r="G3485" s="3" t="str">
        <f>IFERROR(__xludf.DUMMYFUNCTION("REGEXREPLACE(
D3485,
""([一-龯々]+)\[([^\]]+)\]"",
""&lt;ruby&gt;$1&lt;rt&gt;$2&lt;/rt&gt;&lt;/ruby&gt;""
)&amp;""&lt;br&gt;&lt;div class=""""audio""""&gt;[sound:""&amp;C3485&amp;"".mp3]&lt;/div&gt;"""),"&lt;ruby&gt;確信&lt;rt&gt;かくしん&lt;/rt&gt;&lt;/ruby&gt;&lt;br&gt;&lt;div class=""audio""&gt;[sound:かくしん.mp3]&lt;/div&gt;")</f>
        <v>&lt;ruby&gt;確信&lt;rt&gt;かくしん&lt;/rt&gt;&lt;/ruby&gt;&lt;br&gt;&lt;div class="audio"&gt;[sound:かくしん.mp3]&lt;/div&gt;</v>
      </c>
      <c r="H3485" s="3" t="str">
        <f t="shared" si="1"/>
        <v>(n): sự tin tưởng</v>
      </c>
      <c r="I3485" s="6" t="s">
        <v>18999</v>
      </c>
      <c r="J3485" s="6" t="s">
        <v>19000</v>
      </c>
      <c r="K3485" s="7">
        <f t="shared" si="2"/>
        <v>0.2976733957</v>
      </c>
    </row>
    <row r="3486">
      <c r="A3486" s="4">
        <v>3486.0</v>
      </c>
      <c r="B3486" s="5" t="s">
        <v>19001</v>
      </c>
      <c r="C3486" s="5" t="s">
        <v>19002</v>
      </c>
      <c r="D3486" s="5" t="s">
        <v>19003</v>
      </c>
      <c r="E3486" s="6" t="s">
        <v>74</v>
      </c>
      <c r="F3486" s="6" t="s">
        <v>19004</v>
      </c>
      <c r="G3486" s="3" t="str">
        <f>IFERROR(__xludf.DUMMYFUNCTION("REGEXREPLACE(
D3486,
""([一-龯々]+)\[([^\]]+)\]"",
""&lt;ruby&gt;$1&lt;rt&gt;$2&lt;/rt&gt;&lt;/ruby&gt;""
)&amp;""&lt;br&gt;&lt;div class=""""audio""""&gt;[sound:""&amp;C3486&amp;"".mp3]&lt;/div&gt;"""),"&lt;ruby&gt;聞&lt;rt&gt;き&lt;/rt&gt;&lt;/ruby&gt;き&lt;ruby&gt;取&lt;rt&gt;と&lt;/rt&gt;&lt;/ruby&gt;り&lt;br&gt;&lt;div class=""audio""&gt;[sound:ききとり.mp3]&lt;/div&gt;")</f>
        <v>&lt;ruby&gt;聞&lt;rt&gt;き&lt;/rt&gt;&lt;/ruby&gt;き&lt;ruby&gt;取&lt;rt&gt;と&lt;/rt&gt;&lt;/ruby&gt;り&lt;br&gt;&lt;div class="audio"&gt;[sound:ききとり.mp3]&lt;/div&gt;</v>
      </c>
      <c r="H3486" s="3" t="str">
        <f t="shared" si="1"/>
        <v>(n): sự nghe hiểu</v>
      </c>
      <c r="I3486" s="6" t="s">
        <v>19005</v>
      </c>
      <c r="J3486" s="6" t="s">
        <v>19006</v>
      </c>
      <c r="K3486" s="7">
        <f t="shared" si="2"/>
        <v>0.2164463647</v>
      </c>
    </row>
    <row r="3487">
      <c r="A3487" s="4">
        <v>3487.0</v>
      </c>
      <c r="B3487" s="5" t="s">
        <v>19007</v>
      </c>
      <c r="C3487" s="5" t="s">
        <v>19008</v>
      </c>
      <c r="D3487" s="5" t="s">
        <v>19009</v>
      </c>
      <c r="E3487" s="6" t="s">
        <v>74</v>
      </c>
      <c r="F3487" s="6" t="s">
        <v>19010</v>
      </c>
      <c r="G3487" s="3" t="str">
        <f>IFERROR(__xludf.DUMMYFUNCTION("REGEXREPLACE(
D3487,
""([一-龯々]+)\[([^\]]+)\]"",
""&lt;ruby&gt;$1&lt;rt&gt;$2&lt;/rt&gt;&lt;/ruby&gt;""
)&amp;""&lt;br&gt;&lt;div class=""""audio""""&gt;[sound:""&amp;C3487&amp;"".mp3]&lt;/div&gt;"""),"&lt;ruby&gt;脅迫&lt;rt&gt;きょうはく&lt;/rt&gt;&lt;/ruby&gt;&lt;br&gt;&lt;div class=""audio""&gt;[sound:きょうはく.mp3]&lt;/div&gt;")</f>
        <v>&lt;ruby&gt;脅迫&lt;rt&gt;きょうはく&lt;/rt&gt;&lt;/ruby&gt;&lt;br&gt;&lt;div class="audio"&gt;[sound:きょうはく.mp3]&lt;/div&gt;</v>
      </c>
      <c r="H3487" s="3" t="str">
        <f t="shared" si="1"/>
        <v>(n): sự cưỡng bức</v>
      </c>
      <c r="I3487" s="6" t="s">
        <v>19011</v>
      </c>
      <c r="J3487" s="6" t="s">
        <v>19012</v>
      </c>
      <c r="K3487" s="7">
        <f t="shared" si="2"/>
        <v>0.4839168766</v>
      </c>
    </row>
    <row r="3488">
      <c r="A3488" s="4">
        <v>3488.0</v>
      </c>
      <c r="B3488" s="5" t="s">
        <v>19013</v>
      </c>
      <c r="C3488" s="5" t="s">
        <v>19014</v>
      </c>
      <c r="D3488" s="5" t="s">
        <v>19015</v>
      </c>
      <c r="E3488" s="6" t="s">
        <v>74</v>
      </c>
      <c r="F3488" s="6" t="s">
        <v>19016</v>
      </c>
      <c r="G3488" s="3" t="str">
        <f>IFERROR(__xludf.DUMMYFUNCTION("REGEXREPLACE(
D3488,
""([一-龯々]+)\[([^\]]+)\]"",
""&lt;ruby&gt;$1&lt;rt&gt;$2&lt;/rt&gt;&lt;/ruby&gt;""
)&amp;""&lt;br&gt;&lt;div class=""""audio""""&gt;[sound:""&amp;C3488&amp;"".mp3]&lt;/div&gt;"""),"&lt;ruby&gt;融通&lt;rt&gt;ゆうずう&lt;/rt&gt;&lt;/ruby&gt;&lt;br&gt;&lt;div class=""audio""&gt;[sound:ゆうずう.mp3]&lt;/div&gt;")</f>
        <v>&lt;ruby&gt;融通&lt;rt&gt;ゆうずう&lt;/rt&gt;&lt;/ruby&gt;&lt;br&gt;&lt;div class="audio"&gt;[sound:ゆうずう.mp3]&lt;/div&gt;</v>
      </c>
      <c r="H3488" s="3" t="str">
        <f t="shared" si="1"/>
        <v>(n): sự linh hoạt</v>
      </c>
      <c r="I3488" s="6" t="s">
        <v>19017</v>
      </c>
      <c r="J3488" s="6" t="s">
        <v>19018</v>
      </c>
      <c r="K3488" s="7">
        <f t="shared" si="2"/>
        <v>0.3673726484</v>
      </c>
    </row>
    <row r="3489">
      <c r="A3489" s="4">
        <v>3489.0</v>
      </c>
      <c r="B3489" s="5" t="s">
        <v>19019</v>
      </c>
      <c r="C3489" s="5" t="s">
        <v>19020</v>
      </c>
      <c r="D3489" s="5" t="s">
        <v>19021</v>
      </c>
      <c r="E3489" s="6" t="s">
        <v>74</v>
      </c>
      <c r="F3489" s="6" t="s">
        <v>19022</v>
      </c>
      <c r="G3489" s="3" t="str">
        <f>IFERROR(__xludf.DUMMYFUNCTION("REGEXREPLACE(
D3489,
""([一-龯々]+)\[([^\]]+)\]"",
""&lt;ruby&gt;$1&lt;rt&gt;$2&lt;/rt&gt;&lt;/ruby&gt;""
)&amp;""&lt;br&gt;&lt;div class=""""audio""""&gt;[sound:""&amp;C3489&amp;"".mp3]&lt;/div&gt;"""),"&lt;ruby&gt;見積&lt;rt&gt;みつ&lt;/rt&gt;&lt;/ruby&gt;もり&lt;br&gt;&lt;div class=""audio""&gt;[sound:みつもり.mp3]&lt;/div&gt;")</f>
        <v>&lt;ruby&gt;見積&lt;rt&gt;みつ&lt;/rt&gt;&lt;/ruby&gt;もり&lt;br&gt;&lt;div class="audio"&gt;[sound:みつもり.mp3]&lt;/div&gt;</v>
      </c>
      <c r="H3489" s="3" t="str">
        <f t="shared" si="1"/>
        <v>(n): bản ước tính</v>
      </c>
      <c r="I3489" s="6" t="s">
        <v>19023</v>
      </c>
      <c r="J3489" s="6" t="s">
        <v>19024</v>
      </c>
      <c r="K3489" s="7">
        <f t="shared" si="2"/>
        <v>0.1907130056</v>
      </c>
    </row>
    <row r="3490">
      <c r="A3490" s="4">
        <v>3490.0</v>
      </c>
      <c r="B3490" s="5" t="s">
        <v>19025</v>
      </c>
      <c r="C3490" s="5" t="s">
        <v>19026</v>
      </c>
      <c r="D3490" s="5" t="s">
        <v>19027</v>
      </c>
      <c r="E3490" s="6" t="s">
        <v>74</v>
      </c>
      <c r="F3490" s="6" t="s">
        <v>19028</v>
      </c>
      <c r="G3490" s="3" t="str">
        <f>IFERROR(__xludf.DUMMYFUNCTION("REGEXREPLACE(
D3490,
""([一-龯々]+)\[([^\]]+)\]"",
""&lt;ruby&gt;$1&lt;rt&gt;$2&lt;/rt&gt;&lt;/ruby&gt;""
)&amp;""&lt;br&gt;&lt;div class=""""audio""""&gt;[sound:""&amp;C3490&amp;"".mp3]&lt;/div&gt;"""),"&lt;ruby&gt;視察&lt;rt&gt;しさつ&lt;/rt&gt;&lt;/ruby&gt;&lt;br&gt;&lt;div class=""audio""&gt;[sound:しさつ.mp3]&lt;/div&gt;")</f>
        <v>&lt;ruby&gt;視察&lt;rt&gt;しさつ&lt;/rt&gt;&lt;/ruby&gt;&lt;br&gt;&lt;div class="audio"&gt;[sound:しさつ.mp3]&lt;/div&gt;</v>
      </c>
      <c r="H3490" s="3" t="str">
        <f t="shared" si="1"/>
        <v>(n): sự thanh tra</v>
      </c>
      <c r="I3490" s="6" t="s">
        <v>19029</v>
      </c>
      <c r="J3490" s="6" t="s">
        <v>19030</v>
      </c>
      <c r="K3490" s="7">
        <f t="shared" si="2"/>
        <v>0.886926665</v>
      </c>
    </row>
    <row r="3491">
      <c r="A3491" s="4">
        <v>3491.0</v>
      </c>
      <c r="B3491" s="5" t="s">
        <v>19031</v>
      </c>
      <c r="C3491" s="5" t="s">
        <v>19032</v>
      </c>
      <c r="D3491" s="5" t="s">
        <v>19033</v>
      </c>
      <c r="E3491" s="6" t="s">
        <v>74</v>
      </c>
      <c r="F3491" s="6" t="s">
        <v>19034</v>
      </c>
      <c r="G3491" s="3" t="str">
        <f>IFERROR(__xludf.DUMMYFUNCTION("REGEXREPLACE(
D3491,
""([一-龯々]+)\[([^\]]+)\]"",
""&lt;ruby&gt;$1&lt;rt&gt;$2&lt;/rt&gt;&lt;/ruby&gt;""
)&amp;""&lt;br&gt;&lt;div class=""""audio""""&gt;[sound:""&amp;C3491&amp;"".mp3]&lt;/div&gt;"""),"&lt;ruby&gt;診療&lt;rt&gt;しんりょう&lt;/rt&gt;&lt;/ruby&gt;&lt;br&gt;&lt;div class=""audio""&gt;[sound:しんりょう.mp3]&lt;/div&gt;")</f>
        <v>&lt;ruby&gt;診療&lt;rt&gt;しんりょう&lt;/rt&gt;&lt;/ruby&gt;&lt;br&gt;&lt;div class="audio"&gt;[sound:しんりょう.mp3]&lt;/div&gt;</v>
      </c>
      <c r="H3491" s="3" t="str">
        <f t="shared" si="1"/>
        <v>(n): sự khám bệnh</v>
      </c>
      <c r="I3491" s="6" t="s">
        <v>19035</v>
      </c>
      <c r="J3491" s="6" t="s">
        <v>19036</v>
      </c>
      <c r="K3491" s="7">
        <f t="shared" si="2"/>
        <v>0.5513910841</v>
      </c>
    </row>
    <row r="3492">
      <c r="A3492" s="4">
        <v>3492.0</v>
      </c>
      <c r="B3492" s="5" t="s">
        <v>19037</v>
      </c>
      <c r="C3492" s="5" t="s">
        <v>19038</v>
      </c>
      <c r="D3492" s="5" t="s">
        <v>19039</v>
      </c>
      <c r="E3492" s="6" t="s">
        <v>74</v>
      </c>
      <c r="F3492" s="6" t="s">
        <v>19040</v>
      </c>
      <c r="G3492" s="3" t="str">
        <f>IFERROR(__xludf.DUMMYFUNCTION("REGEXREPLACE(
D3492,
""([一-龯々]+)\[([^\]]+)\]"",
""&lt;ruby&gt;$1&lt;rt&gt;$2&lt;/rt&gt;&lt;/ruby&gt;""
)&amp;""&lt;br&gt;&lt;div class=""""audio""""&gt;[sound:""&amp;C3492&amp;"".mp3]&lt;/div&gt;"""),"&lt;ruby&gt;近郊&lt;rt&gt;きんこう&lt;/rt&gt;&lt;/ruby&gt;&lt;br&gt;&lt;div class=""audio""&gt;[sound:きんこう.mp3]&lt;/div&gt;")</f>
        <v>&lt;ruby&gt;近郊&lt;rt&gt;きんこう&lt;/rt&gt;&lt;/ruby&gt;&lt;br&gt;&lt;div class="audio"&gt;[sound:きんこう.mp3]&lt;/div&gt;</v>
      </c>
      <c r="H3492" s="3" t="str">
        <f t="shared" si="1"/>
        <v>(n): vùng ngoại ô</v>
      </c>
      <c r="I3492" s="6" t="s">
        <v>19041</v>
      </c>
      <c r="J3492" s="6" t="s">
        <v>19042</v>
      </c>
      <c r="K3492" s="7">
        <f t="shared" si="2"/>
        <v>0.6918192552</v>
      </c>
    </row>
    <row r="3493">
      <c r="A3493" s="4">
        <v>3493.0</v>
      </c>
      <c r="B3493" s="5" t="s">
        <v>19043</v>
      </c>
      <c r="C3493" s="5" t="s">
        <v>19044</v>
      </c>
      <c r="D3493" s="5" t="s">
        <v>19045</v>
      </c>
      <c r="E3493" s="6" t="s">
        <v>74</v>
      </c>
      <c r="F3493" s="6" t="s">
        <v>19046</v>
      </c>
      <c r="G3493" s="3" t="str">
        <f>IFERROR(__xludf.DUMMYFUNCTION("REGEXREPLACE(
D3493,
""([一-龯々]+)\[([^\]]+)\]"",
""&lt;ruby&gt;$1&lt;rt&gt;$2&lt;/rt&gt;&lt;/ruby&gt;""
)&amp;""&lt;br&gt;&lt;div class=""""audio""""&gt;[sound:""&amp;C3493&amp;"".mp3]&lt;/div&gt;"""),"&lt;ruby&gt;開拓&lt;rt&gt;かいたく&lt;/rt&gt;&lt;/ruby&gt;&lt;br&gt;&lt;div class=""audio""&gt;[sound:かいたく.mp3]&lt;/div&gt;")</f>
        <v>&lt;ruby&gt;開拓&lt;rt&gt;かいたく&lt;/rt&gt;&lt;/ruby&gt;&lt;br&gt;&lt;div class="audio"&gt;[sound:かいたく.mp3]&lt;/div&gt;</v>
      </c>
      <c r="H3493" s="3" t="str">
        <f t="shared" si="1"/>
        <v>(n): sự khai thác</v>
      </c>
      <c r="I3493" s="6" t="s">
        <v>19047</v>
      </c>
      <c r="J3493" s="6" t="s">
        <v>19048</v>
      </c>
      <c r="K3493" s="7">
        <f t="shared" si="2"/>
        <v>0.0625338187</v>
      </c>
    </row>
    <row r="3494">
      <c r="A3494" s="4">
        <v>3494.0</v>
      </c>
      <c r="B3494" s="5" t="s">
        <v>19049</v>
      </c>
      <c r="C3494" s="5" t="s">
        <v>19050</v>
      </c>
      <c r="D3494" s="5" t="s">
        <v>19051</v>
      </c>
      <c r="E3494" s="6" t="s">
        <v>74</v>
      </c>
      <c r="F3494" s="6" t="s">
        <v>19052</v>
      </c>
      <c r="G3494" s="3" t="str">
        <f>IFERROR(__xludf.DUMMYFUNCTION("REGEXREPLACE(
D3494,
""([一-龯々]+)\[([^\]]+)\]"",
""&lt;ruby&gt;$1&lt;rt&gt;$2&lt;/rt&gt;&lt;/ruby&gt;""
)&amp;""&lt;br&gt;&lt;div class=""""audio""""&gt;[sound:""&amp;C3494&amp;"".mp3]&lt;/div&gt;"""),"&lt;ruby&gt;主任&lt;rt&gt;しゅにん&lt;/rt&gt;&lt;/ruby&gt;&lt;br&gt;&lt;div class=""audio""&gt;[sound:しゅにん.mp3]&lt;/div&gt;")</f>
        <v>&lt;ruby&gt;主任&lt;rt&gt;しゅにん&lt;/rt&gt;&lt;/ruby&gt;&lt;br&gt;&lt;div class="audio"&gt;[sound:しゅにん.mp3]&lt;/div&gt;</v>
      </c>
      <c r="H3494" s="3" t="str">
        <f t="shared" si="1"/>
        <v>(n): trưởng nhóm</v>
      </c>
      <c r="I3494" s="6" t="s">
        <v>19053</v>
      </c>
      <c r="J3494" s="6" t="s">
        <v>19054</v>
      </c>
      <c r="K3494" s="7">
        <f t="shared" si="2"/>
        <v>0.4809252393</v>
      </c>
    </row>
    <row r="3495">
      <c r="A3495" s="4">
        <v>3495.0</v>
      </c>
      <c r="B3495" s="5" t="s">
        <v>19055</v>
      </c>
      <c r="C3495" s="5" t="s">
        <v>19056</v>
      </c>
      <c r="D3495" s="5" t="s">
        <v>19057</v>
      </c>
      <c r="E3495" s="6" t="s">
        <v>74</v>
      </c>
      <c r="F3495" s="6" t="s">
        <v>19058</v>
      </c>
      <c r="G3495" s="3" t="str">
        <f>IFERROR(__xludf.DUMMYFUNCTION("REGEXREPLACE(
D3495,
""([一-龯々]+)\[([^\]]+)\]"",
""&lt;ruby&gt;$1&lt;rt&gt;$2&lt;/rt&gt;&lt;/ruby&gt;""
)&amp;""&lt;br&gt;&lt;div class=""""audio""""&gt;[sound:""&amp;C3495&amp;"".mp3]&lt;/div&gt;"""),"&lt;ruby&gt;侵略&lt;rt&gt;しんりゃく&lt;/rt&gt;&lt;/ruby&gt;&lt;br&gt;&lt;div class=""audio""&gt;[sound:しんりゃく.mp3]&lt;/div&gt;")</f>
        <v>&lt;ruby&gt;侵略&lt;rt&gt;しんりゃく&lt;/rt&gt;&lt;/ruby&gt;&lt;br&gt;&lt;div class="audio"&gt;[sound:しんりゃく.mp3]&lt;/div&gt;</v>
      </c>
      <c r="H3495" s="3" t="str">
        <f t="shared" si="1"/>
        <v>(n): sự xâm lược</v>
      </c>
      <c r="I3495" s="6" t="s">
        <v>19059</v>
      </c>
      <c r="J3495" s="6" t="s">
        <v>19060</v>
      </c>
      <c r="K3495" s="7">
        <f t="shared" si="2"/>
        <v>0.6130590985</v>
      </c>
    </row>
    <row r="3496">
      <c r="A3496" s="4">
        <v>3496.0</v>
      </c>
      <c r="B3496" s="5" t="s">
        <v>19061</v>
      </c>
      <c r="C3496" s="5" t="s">
        <v>19062</v>
      </c>
      <c r="D3496" s="5" t="s">
        <v>19063</v>
      </c>
      <c r="E3496" s="6" t="s">
        <v>74</v>
      </c>
      <c r="F3496" s="6" t="s">
        <v>19064</v>
      </c>
      <c r="G3496" s="3" t="str">
        <f>IFERROR(__xludf.DUMMYFUNCTION("REGEXREPLACE(
D3496,
""([一-龯々]+)\[([^\]]+)\]"",
""&lt;ruby&gt;$1&lt;rt&gt;$2&lt;/rt&gt;&lt;/ruby&gt;""
)&amp;""&lt;br&gt;&lt;div class=""""audio""""&gt;[sound:""&amp;C3496&amp;"".mp3]&lt;/div&gt;"""),"&lt;ruby&gt;値引&lt;rt&gt;ねび&lt;/rt&gt;&lt;/ruby&gt;き&lt;br&gt;&lt;div class=""audio""&gt;[sound:ねびき.mp3]&lt;/div&gt;")</f>
        <v>&lt;ruby&gt;値引&lt;rt&gt;ねび&lt;/rt&gt;&lt;/ruby&gt;き&lt;br&gt;&lt;div class="audio"&gt;[sound:ねびき.mp3]&lt;/div&gt;</v>
      </c>
      <c r="H3496" s="3" t="str">
        <f t="shared" si="1"/>
        <v>(n): sự giảm giá</v>
      </c>
      <c r="I3496" s="6" t="s">
        <v>19065</v>
      </c>
      <c r="J3496" s="6" t="s">
        <v>19066</v>
      </c>
      <c r="K3496" s="7">
        <f t="shared" si="2"/>
        <v>0.4080929231</v>
      </c>
    </row>
    <row r="3497">
      <c r="A3497" s="4">
        <v>3497.0</v>
      </c>
      <c r="B3497" s="5" t="s">
        <v>19067</v>
      </c>
      <c r="C3497" s="5" t="s">
        <v>19068</v>
      </c>
      <c r="D3497" s="5" t="s">
        <v>19069</v>
      </c>
      <c r="E3497" s="6" t="s">
        <v>74</v>
      </c>
      <c r="F3497" s="6" t="s">
        <v>19070</v>
      </c>
      <c r="G3497" s="3" t="str">
        <f>IFERROR(__xludf.DUMMYFUNCTION("REGEXREPLACE(
D3497,
""([一-龯々]+)\[([^\]]+)\]"",
""&lt;ruby&gt;$1&lt;rt&gt;$2&lt;/rt&gt;&lt;/ruby&gt;""
)&amp;""&lt;br&gt;&lt;div class=""""audio""""&gt;[sound:""&amp;C3497&amp;"".mp3]&lt;/div&gt;"""),"&lt;ruby&gt;停滞&lt;rt&gt;ていたい&lt;/rt&gt;&lt;/ruby&gt;&lt;br&gt;&lt;div class=""audio""&gt;[sound:ていたい.mp3]&lt;/div&gt;")</f>
        <v>&lt;ruby&gt;停滞&lt;rt&gt;ていたい&lt;/rt&gt;&lt;/ruby&gt;&lt;br&gt;&lt;div class="audio"&gt;[sound:ていたい.mp3]&lt;/div&gt;</v>
      </c>
      <c r="H3497" s="3" t="str">
        <f t="shared" si="1"/>
        <v>(n): sự đình trệ</v>
      </c>
      <c r="I3497" s="6" t="s">
        <v>19071</v>
      </c>
      <c r="J3497" s="6" t="s">
        <v>19072</v>
      </c>
      <c r="K3497" s="7">
        <f t="shared" si="2"/>
        <v>0.3639331731</v>
      </c>
    </row>
    <row r="3498">
      <c r="A3498" s="4">
        <v>3498.0</v>
      </c>
      <c r="B3498" s="5" t="s">
        <v>19073</v>
      </c>
      <c r="C3498" s="5" t="s">
        <v>19074</v>
      </c>
      <c r="D3498" s="5" t="s">
        <v>19075</v>
      </c>
      <c r="E3498" s="6" t="s">
        <v>24</v>
      </c>
      <c r="F3498" s="6" t="s">
        <v>19076</v>
      </c>
      <c r="G3498" s="3" t="str">
        <f>IFERROR(__xludf.DUMMYFUNCTION("REGEXREPLACE(
D3498,
""([一-龯々]+)\[([^\]]+)\]"",
""&lt;ruby&gt;$1&lt;rt&gt;$2&lt;/rt&gt;&lt;/ruby&gt;""
)&amp;""&lt;br&gt;&lt;div class=""""audio""""&gt;[sound:""&amp;C3498&amp;"".mp3]&lt;/div&gt;"""),"&lt;ruby&gt;出&lt;rt&gt;で&lt;/rt&gt;&lt;/ruby&gt;くわす&lt;br&gt;&lt;div class=""audio""&gt;[sound:でくわす.mp3]&lt;/div&gt;")</f>
        <v>&lt;ruby&gt;出&lt;rt&gt;で&lt;/rt&gt;&lt;/ruby&gt;くわす&lt;br&gt;&lt;div class="audio"&gt;[sound:でくわす.mp3]&lt;/div&gt;</v>
      </c>
      <c r="H3498" s="3" t="str">
        <f t="shared" si="1"/>
        <v>(v): tình cờ gặp</v>
      </c>
      <c r="I3498" s="6" t="s">
        <v>19077</v>
      </c>
      <c r="J3498" s="6" t="s">
        <v>19078</v>
      </c>
      <c r="K3498" s="7">
        <f t="shared" si="2"/>
        <v>0.9064668726</v>
      </c>
    </row>
    <row r="3499">
      <c r="A3499" s="4">
        <v>3499.0</v>
      </c>
      <c r="B3499" s="5" t="s">
        <v>19079</v>
      </c>
      <c r="C3499" s="5" t="s">
        <v>19080</v>
      </c>
      <c r="D3499" s="5" t="s">
        <v>19081</v>
      </c>
      <c r="E3499" s="6" t="s">
        <v>74</v>
      </c>
      <c r="F3499" s="6" t="s">
        <v>19082</v>
      </c>
      <c r="G3499" s="3" t="str">
        <f>IFERROR(__xludf.DUMMYFUNCTION("REGEXREPLACE(
D3499,
""([一-龯々]+)\[([^\]]+)\]"",
""&lt;ruby&gt;$1&lt;rt&gt;$2&lt;/rt&gt;&lt;/ruby&gt;""
)&amp;""&lt;br&gt;&lt;div class=""""audio""""&gt;[sound:""&amp;C3499&amp;"".mp3]&lt;/div&gt;"""),"&lt;ruby&gt;制定&lt;rt&gt;せいてい&lt;/rt&gt;&lt;/ruby&gt;&lt;br&gt;&lt;div class=""audio""&gt;[sound:せいてい.mp3]&lt;/div&gt;")</f>
        <v>&lt;ruby&gt;制定&lt;rt&gt;せいてい&lt;/rt&gt;&lt;/ruby&gt;&lt;br&gt;&lt;div class="audio"&gt;[sound:せいてい.mp3]&lt;/div&gt;</v>
      </c>
      <c r="H3499" s="3" t="str">
        <f t="shared" si="1"/>
        <v>(n): sự ban hành</v>
      </c>
      <c r="I3499" s="6" t="s">
        <v>19083</v>
      </c>
      <c r="J3499" s="6" t="s">
        <v>19084</v>
      </c>
      <c r="K3499" s="7">
        <f t="shared" si="2"/>
        <v>0.3786076617</v>
      </c>
    </row>
    <row r="3500">
      <c r="A3500" s="4">
        <v>3500.0</v>
      </c>
      <c r="B3500" s="5" t="s">
        <v>19085</v>
      </c>
      <c r="C3500" s="5" t="s">
        <v>19086</v>
      </c>
      <c r="D3500" s="5" t="s">
        <v>19087</v>
      </c>
      <c r="E3500" s="6" t="s">
        <v>74</v>
      </c>
      <c r="F3500" s="6" t="s">
        <v>19088</v>
      </c>
      <c r="G3500" s="3" t="str">
        <f>IFERROR(__xludf.DUMMYFUNCTION("REGEXREPLACE(
D3500,
""([一-龯々]+)\[([^\]]+)\]"",
""&lt;ruby&gt;$1&lt;rt&gt;$2&lt;/rt&gt;&lt;/ruby&gt;""
)&amp;""&lt;br&gt;&lt;div class=""""audio""""&gt;[sound:""&amp;C3500&amp;"".mp3]&lt;/div&gt;"""),"&lt;ruby&gt;動員&lt;rt&gt;どういん&lt;/rt&gt;&lt;/ruby&gt;&lt;br&gt;&lt;div class=""audio""&gt;[sound:どういん.mp3]&lt;/div&gt;")</f>
        <v>&lt;ruby&gt;動員&lt;rt&gt;どういん&lt;/rt&gt;&lt;/ruby&gt;&lt;br&gt;&lt;div class="audio"&gt;[sound:どういん.mp3]&lt;/div&gt;</v>
      </c>
      <c r="H3500" s="3" t="str">
        <f t="shared" si="1"/>
        <v>(n): sự huy động</v>
      </c>
      <c r="I3500" s="6" t="s">
        <v>19089</v>
      </c>
      <c r="J3500" s="6" t="s">
        <v>19090</v>
      </c>
      <c r="K3500" s="7">
        <f t="shared" si="2"/>
        <v>0.9104718934</v>
      </c>
    </row>
    <row r="3501">
      <c r="A3501" s="4">
        <v>3501.0</v>
      </c>
      <c r="B3501" s="5" t="s">
        <v>19091</v>
      </c>
      <c r="C3501" s="5" t="s">
        <v>19092</v>
      </c>
      <c r="D3501" s="5" t="s">
        <v>19093</v>
      </c>
      <c r="E3501" s="6" t="s">
        <v>74</v>
      </c>
      <c r="F3501" s="6" t="s">
        <v>19094</v>
      </c>
      <c r="G3501" s="3" t="str">
        <f>IFERROR(__xludf.DUMMYFUNCTION("REGEXREPLACE(
D3501,
""([一-龯々]+)\[([^\]]+)\]"",
""&lt;ruby&gt;$1&lt;rt&gt;$2&lt;/rt&gt;&lt;/ruby&gt;""
)&amp;""&lt;br&gt;&lt;div class=""""audio""""&gt;[sound:""&amp;C3501&amp;"".mp3]&lt;/div&gt;"""),"&lt;ruby&gt;原型&lt;rt&gt;げんけい&lt;/rt&gt;&lt;/ruby&gt;&lt;br&gt;&lt;div class=""audio""&gt;[sound:げんけい.mp3]&lt;/div&gt;")</f>
        <v>&lt;ruby&gt;原型&lt;rt&gt;げんけい&lt;/rt&gt;&lt;/ruby&gt;&lt;br&gt;&lt;div class="audio"&gt;[sound:げんけい.mp3]&lt;/div&gt;</v>
      </c>
      <c r="H3501" s="3" t="str">
        <f t="shared" si="1"/>
        <v>(n): nguyên hình</v>
      </c>
      <c r="I3501" s="6" t="s">
        <v>19095</v>
      </c>
      <c r="J3501" s="6" t="s">
        <v>19096</v>
      </c>
      <c r="K3501" s="7">
        <f t="shared" si="2"/>
        <v>0.4895273537</v>
      </c>
    </row>
    <row r="3502">
      <c r="A3502" s="4">
        <v>3502.0</v>
      </c>
      <c r="B3502" s="5" t="s">
        <v>19097</v>
      </c>
      <c r="C3502" s="5" t="s">
        <v>19098</v>
      </c>
      <c r="D3502" s="5" t="s">
        <v>19099</v>
      </c>
      <c r="E3502" s="6" t="s">
        <v>74</v>
      </c>
      <c r="F3502" s="6" t="s">
        <v>19100</v>
      </c>
      <c r="G3502" s="3" t="str">
        <f>IFERROR(__xludf.DUMMYFUNCTION("REGEXREPLACE(
D3502,
""([一-龯々]+)\[([^\]]+)\]"",
""&lt;ruby&gt;$1&lt;rt&gt;$2&lt;/rt&gt;&lt;/ruby&gt;""
)&amp;""&lt;br&gt;&lt;div class=""""audio""""&gt;[sound:""&amp;C3502&amp;"".mp3]&lt;/div&gt;"""),"&lt;ruby&gt;原文&lt;rt&gt;げんぶん&lt;/rt&gt;&lt;/ruby&gt;&lt;br&gt;&lt;div class=""audio""&gt;[sound:げんぶん.mp3]&lt;/div&gt;")</f>
        <v>&lt;ruby&gt;原文&lt;rt&gt;げんぶん&lt;/rt&gt;&lt;/ruby&gt;&lt;br&gt;&lt;div class="audio"&gt;[sound:げんぶん.mp3]&lt;/div&gt;</v>
      </c>
      <c r="H3502" s="3" t="str">
        <f t="shared" si="1"/>
        <v>(n): văn bản gốc</v>
      </c>
      <c r="I3502" s="6" t="s">
        <v>19101</v>
      </c>
      <c r="J3502" s="6" t="s">
        <v>19102</v>
      </c>
      <c r="K3502" s="7">
        <f t="shared" si="2"/>
        <v>0.4252998757</v>
      </c>
    </row>
    <row r="3503">
      <c r="A3503" s="4">
        <v>3503.0</v>
      </c>
      <c r="B3503" s="5" t="s">
        <v>19103</v>
      </c>
      <c r="C3503" s="5" t="s">
        <v>19104</v>
      </c>
      <c r="D3503" s="5" t="s">
        <v>19105</v>
      </c>
      <c r="E3503" s="6" t="s">
        <v>74</v>
      </c>
      <c r="F3503" s="6" t="s">
        <v>19106</v>
      </c>
      <c r="G3503" s="3" t="str">
        <f>IFERROR(__xludf.DUMMYFUNCTION("REGEXREPLACE(
D3503,
""([一-龯々]+)\[([^\]]+)\]"",
""&lt;ruby&gt;$1&lt;rt&gt;$2&lt;/rt&gt;&lt;/ruby&gt;""
)&amp;""&lt;br&gt;&lt;div class=""""audio""""&gt;[sound:""&amp;C3503&amp;"".mp3]&lt;/div&gt;"""),"&lt;ruby&gt;反響&lt;rt&gt;はんきょう&lt;/rt&gt;&lt;/ruby&gt;&lt;br&gt;&lt;div class=""audio""&gt;[sound:はんきょう.mp3]&lt;/div&gt;")</f>
        <v>&lt;ruby&gt;反響&lt;rt&gt;はんきょう&lt;/rt&gt;&lt;/ruby&gt;&lt;br&gt;&lt;div class="audio"&gt;[sound:はんきょう.mp3]&lt;/div&gt;</v>
      </c>
      <c r="H3503" s="3" t="str">
        <f t="shared" si="1"/>
        <v>(n): sự phản hồi</v>
      </c>
      <c r="I3503" s="6" t="s">
        <v>19107</v>
      </c>
      <c r="J3503" s="6" t="s">
        <v>19108</v>
      </c>
      <c r="K3503" s="7">
        <f t="shared" si="2"/>
        <v>0.228939932</v>
      </c>
    </row>
    <row r="3504">
      <c r="A3504" s="4">
        <v>3504.0</v>
      </c>
      <c r="B3504" s="5" t="s">
        <v>19109</v>
      </c>
      <c r="C3504" s="5" t="s">
        <v>19110</v>
      </c>
      <c r="D3504" s="5" t="s">
        <v>19111</v>
      </c>
      <c r="E3504" s="6" t="s">
        <v>74</v>
      </c>
      <c r="F3504" s="6" t="s">
        <v>19112</v>
      </c>
      <c r="G3504" s="3" t="str">
        <f>IFERROR(__xludf.DUMMYFUNCTION("REGEXREPLACE(
D3504,
""([一-龯々]+)\[([^\]]+)\]"",
""&lt;ruby&gt;$1&lt;rt&gt;$2&lt;/rt&gt;&lt;/ruby&gt;""
)&amp;""&lt;br&gt;&lt;div class=""""audio""""&gt;[sound:""&amp;C3504&amp;"".mp3]&lt;/div&gt;"""),"&lt;ruby&gt;取&lt;rt&gt;と&lt;/rt&gt;&lt;/ruby&gt;り&lt;ruby&gt;替&lt;rt&gt;か&lt;/rt&gt;&lt;/ruby&gt;え&lt;br&gt;&lt;div class=""audio""&gt;[sound:とりかえ.mp3]&lt;/div&gt;")</f>
        <v>&lt;ruby&gt;取&lt;rt&gt;と&lt;/rt&gt;&lt;/ruby&gt;り&lt;ruby&gt;替&lt;rt&gt;か&lt;/rt&gt;&lt;/ruby&gt;え&lt;br&gt;&lt;div class="audio"&gt;[sound:とりかえ.mp3]&lt;/div&gt;</v>
      </c>
      <c r="H3504" s="3" t="str">
        <f t="shared" si="1"/>
        <v>(n): sự thay thế</v>
      </c>
      <c r="I3504" s="6" t="s">
        <v>19113</v>
      </c>
      <c r="J3504" s="6" t="s">
        <v>19114</v>
      </c>
      <c r="K3504" s="7">
        <f t="shared" si="2"/>
        <v>0.1797714099</v>
      </c>
    </row>
    <row r="3505">
      <c r="A3505" s="4">
        <v>3505.0</v>
      </c>
      <c r="B3505" s="5" t="s">
        <v>19115</v>
      </c>
      <c r="C3505" s="5" t="s">
        <v>19116</v>
      </c>
      <c r="D3505" s="5" t="s">
        <v>19117</v>
      </c>
      <c r="E3505" s="6" t="s">
        <v>74</v>
      </c>
      <c r="F3505" s="6" t="s">
        <v>19118</v>
      </c>
      <c r="G3505" s="3" t="str">
        <f>IFERROR(__xludf.DUMMYFUNCTION("REGEXREPLACE(
D3505,
""([一-龯々]+)\[([^\]]+)\]"",
""&lt;ruby&gt;$1&lt;rt&gt;$2&lt;/rt&gt;&lt;/ruby&gt;""
)&amp;""&lt;br&gt;&lt;div class=""""audio""""&gt;[sound:""&amp;C3505&amp;"".mp3]&lt;/div&gt;"""),"&lt;ruby&gt;合致&lt;rt&gt;がっち&lt;/rt&gt;&lt;/ruby&gt;&lt;br&gt;&lt;div class=""audio""&gt;[sound:がっち.mp3]&lt;/div&gt;")</f>
        <v>&lt;ruby&gt;合致&lt;rt&gt;がっち&lt;/rt&gt;&lt;/ruby&gt;&lt;br&gt;&lt;div class="audio"&gt;[sound:がっち.mp3]&lt;/div&gt;</v>
      </c>
      <c r="H3505" s="3" t="str">
        <f t="shared" si="1"/>
        <v>(n): sự nhất trí</v>
      </c>
      <c r="I3505" s="6" t="s">
        <v>19119</v>
      </c>
      <c r="J3505" s="6" t="s">
        <v>19120</v>
      </c>
      <c r="K3505" s="7">
        <f t="shared" si="2"/>
        <v>0.421697473</v>
      </c>
    </row>
    <row r="3506">
      <c r="A3506" s="4">
        <v>3506.0</v>
      </c>
      <c r="B3506" s="5" t="s">
        <v>19121</v>
      </c>
      <c r="C3506" s="5" t="s">
        <v>19122</v>
      </c>
      <c r="D3506" s="5" t="s">
        <v>19123</v>
      </c>
      <c r="E3506" s="6" t="s">
        <v>74</v>
      </c>
      <c r="F3506" s="6" t="s">
        <v>12400</v>
      </c>
      <c r="G3506" s="3" t="str">
        <f>IFERROR(__xludf.DUMMYFUNCTION("REGEXREPLACE(
D3506,
""([一-龯々]+)\[([^\]]+)\]"",
""&lt;ruby&gt;$1&lt;rt&gt;$2&lt;/rt&gt;&lt;/ruby&gt;""
)&amp;""&lt;br&gt;&lt;div class=""""audio""""&gt;[sound:""&amp;C3506&amp;"".mp3]&lt;/div&gt;"""),"&lt;ruby&gt;同情&lt;rt&gt;どうじょう&lt;/rt&gt;&lt;/ruby&gt;&lt;br&gt;&lt;div class=""audio""&gt;[sound:どうじょう.mp3]&lt;/div&gt;")</f>
        <v>&lt;ruby&gt;同情&lt;rt&gt;どうじょう&lt;/rt&gt;&lt;/ruby&gt;&lt;br&gt;&lt;div class="audio"&gt;[sound:どうじょう.mp3]&lt;/div&gt;</v>
      </c>
      <c r="H3506" s="3" t="str">
        <f t="shared" si="1"/>
        <v>(n): sự đồng cảm</v>
      </c>
      <c r="I3506" s="6" t="s">
        <v>19124</v>
      </c>
      <c r="J3506" s="6" t="s">
        <v>19125</v>
      </c>
      <c r="K3506" s="7">
        <f t="shared" si="2"/>
        <v>0.7060675564</v>
      </c>
    </row>
    <row r="3507">
      <c r="A3507" s="4">
        <v>3507.0</v>
      </c>
      <c r="B3507" s="5" t="s">
        <v>19126</v>
      </c>
      <c r="C3507" s="5" t="s">
        <v>19127</v>
      </c>
      <c r="D3507" s="5" t="s">
        <v>19128</v>
      </c>
      <c r="E3507" s="6" t="s">
        <v>74</v>
      </c>
      <c r="F3507" s="6" t="s">
        <v>19129</v>
      </c>
      <c r="G3507" s="3" t="str">
        <f>IFERROR(__xludf.DUMMYFUNCTION("REGEXREPLACE(
D3507,
""([一-龯々]+)\[([^\]]+)\]"",
""&lt;ruby&gt;$1&lt;rt&gt;$2&lt;/rt&gt;&lt;/ruby&gt;""
)&amp;""&lt;br&gt;&lt;div class=""""audio""""&gt;[sound:""&amp;C3507&amp;"".mp3]&lt;/div&gt;"""),"&lt;ruby&gt;団結&lt;rt&gt;だんけつ&lt;/rt&gt;&lt;/ruby&gt;&lt;br&gt;&lt;div class=""audio""&gt;[sound:だんけつ.mp3]&lt;/div&gt;")</f>
        <v>&lt;ruby&gt;団結&lt;rt&gt;だんけつ&lt;/rt&gt;&lt;/ruby&gt;&lt;br&gt;&lt;div class="audio"&gt;[sound:だんけつ.mp3]&lt;/div&gt;</v>
      </c>
      <c r="H3507" s="3" t="str">
        <f t="shared" si="1"/>
        <v>(n): sự đoàn kết</v>
      </c>
      <c r="I3507" s="6" t="s">
        <v>19130</v>
      </c>
      <c r="J3507" s="6" t="s">
        <v>19131</v>
      </c>
      <c r="K3507" s="7">
        <f t="shared" si="2"/>
        <v>0.3558435252</v>
      </c>
    </row>
    <row r="3508">
      <c r="A3508" s="4">
        <v>3508.0</v>
      </c>
      <c r="B3508" s="5" t="s">
        <v>19132</v>
      </c>
      <c r="C3508" s="5" t="s">
        <v>19038</v>
      </c>
      <c r="D3508" s="5" t="s">
        <v>19133</v>
      </c>
      <c r="E3508" s="6" t="s">
        <v>74</v>
      </c>
      <c r="F3508" s="6" t="s">
        <v>19134</v>
      </c>
      <c r="G3508" s="3" t="str">
        <f>IFERROR(__xludf.DUMMYFUNCTION("REGEXREPLACE(
D3508,
""([一-龯々]+)\[([^\]]+)\]"",
""&lt;ruby&gt;$1&lt;rt&gt;$2&lt;/rt&gt;&lt;/ruby&gt;""
)&amp;""&lt;br&gt;&lt;div class=""""audio""""&gt;[sound:""&amp;C3508&amp;"".mp3]&lt;/div&gt;"""),"&lt;ruby&gt;均衡&lt;rt&gt;きんこう&lt;/rt&gt;&lt;/ruby&gt;&lt;br&gt;&lt;div class=""audio""&gt;[sound:きんこう.mp3]&lt;/div&gt;")</f>
        <v>&lt;ruby&gt;均衡&lt;rt&gt;きんこう&lt;/rt&gt;&lt;/ruby&gt;&lt;br&gt;&lt;div class="audio"&gt;[sound:きんこう.mp3]&lt;/div&gt;</v>
      </c>
      <c r="H3508" s="3" t="str">
        <f t="shared" si="1"/>
        <v>(n): sự cân bằng</v>
      </c>
      <c r="I3508" s="6" t="s">
        <v>19135</v>
      </c>
      <c r="J3508" s="6" t="s">
        <v>19136</v>
      </c>
      <c r="K3508" s="7">
        <f t="shared" si="2"/>
        <v>0.9364283351</v>
      </c>
    </row>
    <row r="3509">
      <c r="A3509" s="4">
        <v>3509.0</v>
      </c>
      <c r="B3509" s="5" t="s">
        <v>19137</v>
      </c>
      <c r="C3509" s="5" t="s">
        <v>19138</v>
      </c>
      <c r="D3509" s="5" t="s">
        <v>19139</v>
      </c>
      <c r="E3509" s="6" t="s">
        <v>85</v>
      </c>
      <c r="F3509" s="6" t="s">
        <v>19140</v>
      </c>
      <c r="G3509" s="3" t="str">
        <f>IFERROR(__xludf.DUMMYFUNCTION("REGEXREPLACE(
D3509,
""([一-龯々]+)\[([^\]]+)\]"",
""&lt;ruby&gt;$1&lt;rt&gt;$2&lt;/rt&gt;&lt;/ruby&gt;""
)&amp;""&lt;br&gt;&lt;div class=""""audio""""&gt;[sound:""&amp;C3509&amp;"".mp3]&lt;/div&gt;"""),"&lt;ruby&gt;堂々&lt;rt&gt;どうどう&lt;/rt&gt;&lt;/ruby&gt;&lt;br&gt;&lt;div class=""audio""&gt;[sound:どうどう.mp3]&lt;/div&gt;")</f>
        <v>&lt;ruby&gt;堂々&lt;rt&gt;どうどう&lt;/rt&gt;&lt;/ruby&gt;&lt;br&gt;&lt;div class="audio"&gt;[sound:どうどう.mp3]&lt;/div&gt;</v>
      </c>
      <c r="H3509" s="3" t="str">
        <f t="shared" si="1"/>
        <v>(adv): đường hoàng</v>
      </c>
      <c r="I3509" s="6" t="s">
        <v>19141</v>
      </c>
      <c r="J3509" s="6" t="s">
        <v>19142</v>
      </c>
      <c r="K3509" s="7">
        <f t="shared" si="2"/>
        <v>0.1387231254</v>
      </c>
    </row>
    <row r="3510">
      <c r="A3510" s="4">
        <v>3510.0</v>
      </c>
      <c r="B3510" s="5" t="s">
        <v>19143</v>
      </c>
      <c r="C3510" s="5" t="s">
        <v>19144</v>
      </c>
      <c r="D3510" s="5" t="s">
        <v>19145</v>
      </c>
      <c r="E3510" s="6" t="s">
        <v>74</v>
      </c>
      <c r="F3510" s="6" t="s">
        <v>19146</v>
      </c>
      <c r="G3510" s="3" t="str">
        <f>IFERROR(__xludf.DUMMYFUNCTION("REGEXREPLACE(
D3510,
""([一-龯々]+)\[([^\]]+)\]"",
""&lt;ruby&gt;$1&lt;rt&gt;$2&lt;/rt&gt;&lt;/ruby&gt;""
)&amp;""&lt;br&gt;&lt;div class=""""audio""""&gt;[sound:""&amp;C3510&amp;"".mp3]&lt;/div&gt;"""),"&lt;ruby&gt;売&lt;rt&gt;う&lt;/rt&gt;&lt;/ruby&gt;り&lt;ruby&gt;出&lt;rt&gt;だ&lt;/rt&gt;&lt;/ruby&gt;し&lt;br&gt;&lt;div class=""audio""&gt;[sound:うりだし.mp3]&lt;/div&gt;")</f>
        <v>&lt;ruby&gt;売&lt;rt&gt;う&lt;/rt&gt;&lt;/ruby&gt;り&lt;ruby&gt;出&lt;rt&gt;だ&lt;/rt&gt;&lt;/ruby&gt;し&lt;br&gt;&lt;div class="audio"&gt;[sound:うりだし.mp3]&lt;/div&gt;</v>
      </c>
      <c r="H3510" s="3" t="str">
        <f t="shared" si="1"/>
        <v>(n): sự mở bán</v>
      </c>
      <c r="I3510" s="6" t="s">
        <v>19147</v>
      </c>
      <c r="J3510" s="6" t="s">
        <v>19148</v>
      </c>
      <c r="K3510" s="7">
        <f t="shared" si="2"/>
        <v>0.4380010148</v>
      </c>
    </row>
    <row r="3511">
      <c r="A3511" s="4">
        <v>3511.0</v>
      </c>
      <c r="B3511" s="5" t="s">
        <v>19149</v>
      </c>
      <c r="C3511" s="5" t="s">
        <v>19150</v>
      </c>
      <c r="D3511" s="5" t="s">
        <v>19151</v>
      </c>
      <c r="E3511" s="6" t="s">
        <v>74</v>
      </c>
      <c r="F3511" s="6" t="s">
        <v>15701</v>
      </c>
      <c r="G3511" s="3" t="str">
        <f>IFERROR(__xludf.DUMMYFUNCTION("REGEXREPLACE(
D3511,
""([一-龯々]+)\[([^\]]+)\]"",
""&lt;ruby&gt;$1&lt;rt&gt;$2&lt;/rt&gt;&lt;/ruby&gt;""
)&amp;""&lt;br&gt;&lt;div class=""""audio""""&gt;[sound:""&amp;C3511&amp;"".mp3]&lt;/div&gt;"""),"&lt;ruby&gt;変革&lt;rt&gt;へんかく&lt;/rt&gt;&lt;/ruby&gt;&lt;br&gt;&lt;div class=""audio""&gt;[sound:へんかく.mp3]&lt;/div&gt;")</f>
        <v>&lt;ruby&gt;変革&lt;rt&gt;へんかく&lt;/rt&gt;&lt;/ruby&gt;&lt;br&gt;&lt;div class="audio"&gt;[sound:へんかく.mp3]&lt;/div&gt;</v>
      </c>
      <c r="H3511" s="3" t="str">
        <f t="shared" si="1"/>
        <v>(n): sự cải cách</v>
      </c>
      <c r="I3511" s="6" t="s">
        <v>19152</v>
      </c>
      <c r="J3511" s="6" t="s">
        <v>7151</v>
      </c>
      <c r="K3511" s="7">
        <f t="shared" si="2"/>
        <v>0.6904589634</v>
      </c>
    </row>
    <row r="3512">
      <c r="A3512" s="4">
        <v>3512.0</v>
      </c>
      <c r="B3512" s="5" t="s">
        <v>19153</v>
      </c>
      <c r="C3512" s="5" t="s">
        <v>19154</v>
      </c>
      <c r="D3512" s="5" t="s">
        <v>19155</v>
      </c>
      <c r="E3512" s="6" t="s">
        <v>74</v>
      </c>
      <c r="F3512" s="6" t="s">
        <v>19156</v>
      </c>
      <c r="G3512" s="3" t="str">
        <f>IFERROR(__xludf.DUMMYFUNCTION("REGEXREPLACE(
D3512,
""([一-龯々]+)\[([^\]]+)\]"",
""&lt;ruby&gt;$1&lt;rt&gt;$2&lt;/rt&gt;&lt;/ruby&gt;""
)&amp;""&lt;br&gt;&lt;div class=""""audio""""&gt;[sound:""&amp;C3512&amp;"".mp3]&lt;/div&gt;"""),"&lt;ruby&gt;奨励&lt;rt&gt;しょうれい&lt;/rt&gt;&lt;/ruby&gt;&lt;br&gt;&lt;div class=""audio""&gt;[sound:しょうれい.mp3]&lt;/div&gt;")</f>
        <v>&lt;ruby&gt;奨励&lt;rt&gt;しょうれい&lt;/rt&gt;&lt;/ruby&gt;&lt;br&gt;&lt;div class="audio"&gt;[sound:しょうれい.mp3]&lt;/div&gt;</v>
      </c>
      <c r="H3512" s="3" t="str">
        <f t="shared" si="1"/>
        <v>(n): sự khích lệ</v>
      </c>
      <c r="I3512" s="6" t="s">
        <v>19157</v>
      </c>
      <c r="J3512" s="6" t="s">
        <v>19158</v>
      </c>
      <c r="K3512" s="7">
        <f t="shared" si="2"/>
        <v>0.9462241829</v>
      </c>
    </row>
    <row r="3513">
      <c r="A3513" s="4">
        <v>3513.0</v>
      </c>
      <c r="B3513" s="5" t="s">
        <v>19159</v>
      </c>
      <c r="C3513" s="5" t="s">
        <v>19160</v>
      </c>
      <c r="D3513" s="5" t="s">
        <v>19161</v>
      </c>
      <c r="E3513" s="6" t="s">
        <v>74</v>
      </c>
      <c r="F3513" s="6" t="s">
        <v>19162</v>
      </c>
      <c r="G3513" s="3" t="str">
        <f>IFERROR(__xludf.DUMMYFUNCTION("REGEXREPLACE(
D3513,
""([一-龯々]+)\[([^\]]+)\]"",
""&lt;ruby&gt;$1&lt;rt&gt;$2&lt;/rt&gt;&lt;/ruby&gt;""
)&amp;""&lt;br&gt;&lt;div class=""""audio""""&gt;[sound:""&amp;C3513&amp;"".mp3]&lt;/div&gt;"""),"&lt;ruby&gt;点検&lt;rt&gt;てんけん&lt;/rt&gt;&lt;/ruby&gt;&lt;br&gt;&lt;div class=""audio""&gt;[sound:てんけん.mp3]&lt;/div&gt;")</f>
        <v>&lt;ruby&gt;点検&lt;rt&gt;てんけん&lt;/rt&gt;&lt;/ruby&gt;&lt;br&gt;&lt;div class="audio"&gt;[sound:てんけん.mp3]&lt;/div&gt;</v>
      </c>
      <c r="H3513" s="3" t="str">
        <f t="shared" si="1"/>
        <v>(n): sự kiểm tra</v>
      </c>
      <c r="I3513" s="6" t="s">
        <v>19163</v>
      </c>
      <c r="J3513" s="6" t="s">
        <v>19164</v>
      </c>
      <c r="K3513" s="7">
        <f t="shared" si="2"/>
        <v>0.804346236</v>
      </c>
    </row>
    <row r="3514">
      <c r="A3514" s="4">
        <v>3514.0</v>
      </c>
      <c r="B3514" s="5" t="s">
        <v>19165</v>
      </c>
      <c r="C3514" s="5" t="s">
        <v>19166</v>
      </c>
      <c r="D3514" s="5" t="s">
        <v>19167</v>
      </c>
      <c r="E3514" s="6" t="s">
        <v>24</v>
      </c>
      <c r="F3514" s="6" t="s">
        <v>19168</v>
      </c>
      <c r="G3514" s="3" t="str">
        <f>IFERROR(__xludf.DUMMYFUNCTION("REGEXREPLACE(
D3514,
""([一-龯々]+)\[([^\]]+)\]"",
""&lt;ruby&gt;$1&lt;rt&gt;$2&lt;/rt&gt;&lt;/ruby&gt;""
)&amp;""&lt;br&gt;&lt;div class=""""audio""""&gt;[sound:""&amp;C3514&amp;"".mp3]&lt;/div&gt;"""),"&lt;ruby&gt;盛&lt;rt&gt;も&lt;/rt&gt;&lt;/ruby&gt;り&lt;ruby&gt;上&lt;rt&gt;あ&lt;/rt&gt;&lt;/ruby&gt;がる&lt;br&gt;&lt;div class=""audio""&gt;[sound:もりあがる.mp3]&lt;/div&gt;")</f>
        <v>&lt;ruby&gt;盛&lt;rt&gt;も&lt;/rt&gt;&lt;/ruby&gt;り&lt;ruby&gt;上&lt;rt&gt;あ&lt;/rt&gt;&lt;/ruby&gt;がる&lt;br&gt;&lt;div class="audio"&gt;[sound:もりあがる.mp3]&lt;/div&gt;</v>
      </c>
      <c r="H3514" s="3" t="str">
        <f t="shared" si="1"/>
        <v>(v): sôi nổi lên</v>
      </c>
      <c r="I3514" s="6" t="s">
        <v>19169</v>
      </c>
      <c r="J3514" s="6" t="s">
        <v>19170</v>
      </c>
      <c r="K3514" s="7">
        <f t="shared" si="2"/>
        <v>0.4562131878</v>
      </c>
    </row>
    <row r="3515">
      <c r="A3515" s="4">
        <v>3515.0</v>
      </c>
      <c r="B3515" s="5" t="s">
        <v>19171</v>
      </c>
      <c r="C3515" s="5" t="s">
        <v>19172</v>
      </c>
      <c r="D3515" s="5" t="s">
        <v>19173</v>
      </c>
      <c r="E3515" s="6" t="s">
        <v>74</v>
      </c>
      <c r="F3515" s="6" t="s">
        <v>19174</v>
      </c>
      <c r="G3515" s="3" t="str">
        <f>IFERROR(__xludf.DUMMYFUNCTION("REGEXREPLACE(
D3515,
""([一-龯々]+)\[([^\]]+)\]"",
""&lt;ruby&gt;$1&lt;rt&gt;$2&lt;/rt&gt;&lt;/ruby&gt;""
)&amp;""&lt;br&gt;&lt;div class=""""audio""""&gt;[sound:""&amp;C3515&amp;"".mp3]&lt;/div&gt;"""),"&lt;ruby&gt;脱出&lt;rt&gt;だっしゅつ&lt;/rt&gt;&lt;/ruby&gt;&lt;br&gt;&lt;div class=""audio""&gt;[sound:だっしゅつ.mp3]&lt;/div&gt;")</f>
        <v>&lt;ruby&gt;脱出&lt;rt&gt;だっしゅつ&lt;/rt&gt;&lt;/ruby&gt;&lt;br&gt;&lt;div class="audio"&gt;[sound:だっしゅつ.mp3]&lt;/div&gt;</v>
      </c>
      <c r="H3515" s="3" t="str">
        <f t="shared" si="1"/>
        <v>(n): sự thoát ra</v>
      </c>
      <c r="I3515" s="6" t="s">
        <v>19175</v>
      </c>
      <c r="J3515" s="6" t="s">
        <v>19176</v>
      </c>
      <c r="K3515" s="7">
        <f t="shared" si="2"/>
        <v>0.2496071092</v>
      </c>
    </row>
    <row r="3516">
      <c r="A3516" s="4">
        <v>3516.0</v>
      </c>
      <c r="B3516" s="5" t="s">
        <v>19177</v>
      </c>
      <c r="C3516" s="5" t="s">
        <v>19178</v>
      </c>
      <c r="D3516" s="5" t="s">
        <v>19179</v>
      </c>
      <c r="E3516" s="6" t="s">
        <v>74</v>
      </c>
      <c r="F3516" s="6" t="s">
        <v>5473</v>
      </c>
      <c r="G3516" s="3" t="str">
        <f>IFERROR(__xludf.DUMMYFUNCTION("REGEXREPLACE(
D3516,
""([一-龯々]+)\[([^\]]+)\]"",
""&lt;ruby&gt;$1&lt;rt&gt;$2&lt;/rt&gt;&lt;/ruby&gt;""
)&amp;""&lt;br&gt;&lt;div class=""""audio""""&gt;[sound:""&amp;C3516&amp;"".mp3]&lt;/div&gt;"""),"&lt;ruby&gt;責務&lt;rt&gt;せきむ&lt;/rt&gt;&lt;/ruby&gt;&lt;br&gt;&lt;div class=""audio""&gt;[sound:せきむ.mp3]&lt;/div&gt;")</f>
        <v>&lt;ruby&gt;責務&lt;rt&gt;せきむ&lt;/rt&gt;&lt;/ruby&gt;&lt;br&gt;&lt;div class="audio"&gt;[sound:せきむ.mp3]&lt;/div&gt;</v>
      </c>
      <c r="H3516" s="3" t="str">
        <f t="shared" si="1"/>
        <v>(n): trách nhiệm</v>
      </c>
      <c r="I3516" s="6" t="s">
        <v>19180</v>
      </c>
      <c r="J3516" s="6" t="s">
        <v>5475</v>
      </c>
      <c r="K3516" s="7">
        <f t="shared" si="2"/>
        <v>0.9204497774</v>
      </c>
    </row>
    <row r="3517">
      <c r="A3517" s="4">
        <v>3517.0</v>
      </c>
      <c r="B3517" s="5" t="s">
        <v>19181</v>
      </c>
      <c r="C3517" s="5" t="s">
        <v>19182</v>
      </c>
      <c r="D3517" s="5" t="s">
        <v>19183</v>
      </c>
      <c r="E3517" s="6" t="s">
        <v>74</v>
      </c>
      <c r="F3517" s="6" t="s">
        <v>19184</v>
      </c>
      <c r="G3517" s="3" t="str">
        <f>IFERROR(__xludf.DUMMYFUNCTION("REGEXREPLACE(
D3517,
""([一-龯々]+)\[([^\]]+)\]"",
""&lt;ruby&gt;$1&lt;rt&gt;$2&lt;/rt&gt;&lt;/ruby&gt;""
)&amp;""&lt;br&gt;&lt;div class=""""audio""""&gt;[sound:""&amp;C3517&amp;"".mp3]&lt;/div&gt;"""),"&lt;ruby&gt;質疑&lt;rt&gt;しつぎ&lt;/rt&gt;&lt;/ruby&gt;&lt;br&gt;&lt;div class=""audio""&gt;[sound:しつぎ.mp3]&lt;/div&gt;")</f>
        <v>&lt;ruby&gt;質疑&lt;rt&gt;しつぎ&lt;/rt&gt;&lt;/ruby&gt;&lt;br&gt;&lt;div class="audio"&gt;[sound:しつぎ.mp3]&lt;/div&gt;</v>
      </c>
      <c r="H3517" s="3" t="str">
        <f t="shared" si="1"/>
        <v>(n): sự chất vấn</v>
      </c>
      <c r="I3517" s="6" t="s">
        <v>19185</v>
      </c>
      <c r="J3517" s="6" t="s">
        <v>19186</v>
      </c>
      <c r="K3517" s="7">
        <f t="shared" si="2"/>
        <v>0.1437030369</v>
      </c>
    </row>
    <row r="3518">
      <c r="A3518" s="4">
        <v>3518.0</v>
      </c>
      <c r="B3518" s="5" t="s">
        <v>19187</v>
      </c>
      <c r="C3518" s="5" t="s">
        <v>19188</v>
      </c>
      <c r="D3518" s="5" t="s">
        <v>19189</v>
      </c>
      <c r="E3518" s="6" t="s">
        <v>11</v>
      </c>
      <c r="F3518" s="6" t="s">
        <v>12388</v>
      </c>
      <c r="G3518" s="3" t="str">
        <f>IFERROR(__xludf.DUMMYFUNCTION("REGEXREPLACE(
D3518,
""([一-龯々]+)\[([^\]]+)\]"",
""&lt;ruby&gt;$1&lt;rt&gt;$2&lt;/rt&gt;&lt;/ruby&gt;""
)&amp;""&lt;br&gt;&lt;div class=""""audio""""&gt;[sound:""&amp;C3518&amp;"".mp3]&lt;/div&gt;"""),"&lt;ruby&gt;迅速&lt;rt&gt;じんそく&lt;/rt&gt;&lt;/ruby&gt;&lt;br&gt;&lt;div class=""audio""&gt;[sound:じんそく.mp3]&lt;/div&gt;")</f>
        <v>&lt;ruby&gt;迅速&lt;rt&gt;じんそく&lt;/rt&gt;&lt;/ruby&gt;&lt;br&gt;&lt;div class="audio"&gt;[sound:じんそく.mp3]&lt;/div&gt;</v>
      </c>
      <c r="H3518" s="3" t="str">
        <f t="shared" si="1"/>
        <v>(adj): nhanh chóng</v>
      </c>
      <c r="I3518" s="6" t="s">
        <v>19190</v>
      </c>
      <c r="J3518" s="6" t="s">
        <v>19191</v>
      </c>
      <c r="K3518" s="7">
        <f t="shared" si="2"/>
        <v>0.5376825364</v>
      </c>
    </row>
    <row r="3519">
      <c r="A3519" s="4">
        <v>3519.0</v>
      </c>
      <c r="B3519" s="5" t="s">
        <v>19192</v>
      </c>
      <c r="C3519" s="5" t="s">
        <v>19193</v>
      </c>
      <c r="D3519" s="5" t="s">
        <v>19194</v>
      </c>
      <c r="E3519" s="6" t="s">
        <v>74</v>
      </c>
      <c r="F3519" s="6" t="s">
        <v>19195</v>
      </c>
      <c r="G3519" s="3" t="str">
        <f>IFERROR(__xludf.DUMMYFUNCTION("REGEXREPLACE(
D3519,
""([一-龯々]+)\[([^\]]+)\]"",
""&lt;ruby&gt;$1&lt;rt&gt;$2&lt;/rt&gt;&lt;/ruby&gt;""
)&amp;""&lt;br&gt;&lt;div class=""""audio""""&gt;[sound:""&amp;C3519&amp;"".mp3]&lt;/div&gt;"""),"&lt;ruby&gt;追及&lt;rt&gt;ついきゅう&lt;/rt&gt;&lt;/ruby&gt;&lt;br&gt;&lt;div class=""audio""&gt;[sound:ついきゅう.mp3]&lt;/div&gt;")</f>
        <v>&lt;ruby&gt;追及&lt;rt&gt;ついきゅう&lt;/rt&gt;&lt;/ruby&gt;&lt;br&gt;&lt;div class="audio"&gt;[sound:ついきゅう.mp3]&lt;/div&gt;</v>
      </c>
      <c r="H3519" s="3" t="str">
        <f t="shared" si="1"/>
        <v>(n): sự truy cứu</v>
      </c>
      <c r="I3519" s="6" t="s">
        <v>19196</v>
      </c>
      <c r="J3519" s="6" t="s">
        <v>19197</v>
      </c>
      <c r="K3519" s="7">
        <f t="shared" si="2"/>
        <v>0.8698548133</v>
      </c>
    </row>
    <row r="3520">
      <c r="A3520" s="4">
        <v>3520.0</v>
      </c>
      <c r="B3520" s="5" t="s">
        <v>19198</v>
      </c>
      <c r="C3520" s="5" t="s">
        <v>19199</v>
      </c>
      <c r="D3520" s="5" t="s">
        <v>19200</v>
      </c>
      <c r="E3520" s="6" t="s">
        <v>74</v>
      </c>
      <c r="F3520" s="6" t="s">
        <v>19201</v>
      </c>
      <c r="G3520" s="3" t="str">
        <f>IFERROR(__xludf.DUMMYFUNCTION("REGEXREPLACE(
D3520,
""([一-龯々]+)\[([^\]]+)\]"",
""&lt;ruby&gt;$1&lt;rt&gt;$2&lt;/rt&gt;&lt;/ruby&gt;""
)&amp;""&lt;br&gt;&lt;div class=""""audio""""&gt;[sound:""&amp;C3520&amp;"".mp3]&lt;/div&gt;"""),"&lt;ruby&gt;連休&lt;rt&gt;れんきゅう&lt;/rt&gt;&lt;/ruby&gt;&lt;br&gt;&lt;div class=""audio""&gt;[sound:れんきゅう.mp3]&lt;/div&gt;")</f>
        <v>&lt;ruby&gt;連休&lt;rt&gt;れんきゅう&lt;/rt&gt;&lt;/ruby&gt;&lt;br&gt;&lt;div class="audio"&gt;[sound:れんきゅう.mp3]&lt;/div&gt;</v>
      </c>
      <c r="H3520" s="3" t="str">
        <f t="shared" si="1"/>
        <v>(n): kỳ nghỉ dài</v>
      </c>
      <c r="I3520" s="6" t="s">
        <v>19202</v>
      </c>
      <c r="J3520" s="6" t="s">
        <v>19203</v>
      </c>
      <c r="K3520" s="7">
        <f t="shared" si="2"/>
        <v>0.7384468252</v>
      </c>
    </row>
    <row r="3521">
      <c r="A3521" s="4">
        <v>3521.0</v>
      </c>
      <c r="B3521" s="5" t="s">
        <v>19204</v>
      </c>
      <c r="C3521" s="5" t="s">
        <v>19205</v>
      </c>
      <c r="D3521" s="5" t="s">
        <v>19206</v>
      </c>
      <c r="E3521" s="6" t="s">
        <v>85</v>
      </c>
      <c r="F3521" s="6" t="s">
        <v>19207</v>
      </c>
      <c r="G3521" s="3" t="str">
        <f>IFERROR(__xludf.DUMMYFUNCTION("REGEXREPLACE(
D3521,
""([一-龯々]+)\[([^\]]+)\]"",
""&lt;ruby&gt;$1&lt;rt&gt;$2&lt;/rt&gt;&lt;/ruby&gt;""
)&amp;""&lt;br&gt;&lt;div class=""""audio""""&gt;[sound:""&amp;C3521&amp;"".mp3]&lt;/div&gt;"""),"&lt;ruby&gt;遅&lt;rt&gt;おそ&lt;/rt&gt;&lt;/ruby&gt;くとも&lt;br&gt;&lt;div class=""audio""&gt;[sound:おそくとも.mp3]&lt;/div&gt;")</f>
        <v>&lt;ruby&gt;遅&lt;rt&gt;おそ&lt;/rt&gt;&lt;/ruby&gt;くとも&lt;br&gt;&lt;div class="audio"&gt;[sound:おそくとも.mp3]&lt;/div&gt;</v>
      </c>
      <c r="H3521" s="3" t="str">
        <f t="shared" si="1"/>
        <v>(adv): trễ nhất là</v>
      </c>
      <c r="I3521" s="6" t="s">
        <v>19208</v>
      </c>
      <c r="J3521" s="6" t="s">
        <v>19209</v>
      </c>
      <c r="K3521" s="7">
        <f t="shared" si="2"/>
        <v>0.9545068815</v>
      </c>
    </row>
    <row r="3522">
      <c r="A3522" s="4">
        <v>3522.0</v>
      </c>
      <c r="B3522" s="5" t="s">
        <v>19210</v>
      </c>
      <c r="C3522" s="5" t="s">
        <v>19211</v>
      </c>
      <c r="D3522" s="5" t="s">
        <v>19212</v>
      </c>
      <c r="E3522" s="6" t="s">
        <v>74</v>
      </c>
      <c r="F3522" s="6" t="s">
        <v>19213</v>
      </c>
      <c r="G3522" s="3" t="str">
        <f>IFERROR(__xludf.DUMMYFUNCTION("REGEXREPLACE(
D3522,
""([一-龯々]+)\[([^\]]+)\]"",
""&lt;ruby&gt;$1&lt;rt&gt;$2&lt;/rt&gt;&lt;/ruby&gt;""
)&amp;""&lt;br&gt;&lt;div class=""""audio""""&gt;[sound:""&amp;C3522&amp;"".mp3]&lt;/div&gt;"""),"&lt;ruby&gt;集計&lt;rt&gt;しゅうけい&lt;/rt&gt;&lt;/ruby&gt;&lt;br&gt;&lt;div class=""audio""&gt;[sound:しゅうけい.mp3]&lt;/div&gt;")</f>
        <v>&lt;ruby&gt;集計&lt;rt&gt;しゅうけい&lt;/rt&gt;&lt;/ruby&gt;&lt;br&gt;&lt;div class="audio"&gt;[sound:しゅうけい.mp3]&lt;/div&gt;</v>
      </c>
      <c r="H3522" s="3" t="str">
        <f t="shared" si="1"/>
        <v>(n): sự tổng kết</v>
      </c>
      <c r="I3522" s="6" t="s">
        <v>19214</v>
      </c>
      <c r="J3522" s="6" t="s">
        <v>19215</v>
      </c>
      <c r="K3522" s="7">
        <f t="shared" si="2"/>
        <v>0.6412723668</v>
      </c>
    </row>
    <row r="3523">
      <c r="A3523" s="4">
        <v>3523.0</v>
      </c>
      <c r="B3523" s="5" t="s">
        <v>19216</v>
      </c>
      <c r="C3523" s="5" t="s">
        <v>19217</v>
      </c>
      <c r="D3523" s="5" t="s">
        <v>19218</v>
      </c>
      <c r="E3523" s="6" t="s">
        <v>74</v>
      </c>
      <c r="F3523" s="6" t="s">
        <v>19219</v>
      </c>
      <c r="G3523" s="3" t="str">
        <f>IFERROR(__xludf.DUMMYFUNCTION("REGEXREPLACE(
D3523,
""([一-龯々]+)\[([^\]]+)\]"",
""&lt;ruby&gt;$1&lt;rt&gt;$2&lt;/rt&gt;&lt;/ruby&gt;""
)&amp;""&lt;br&gt;&lt;div class=""""audio""""&gt;[sound:""&amp;C3523&amp;"".mp3]&lt;/div&gt;"""),"&lt;ruby&gt;静止&lt;rt&gt;せいし&lt;/rt&gt;&lt;/ruby&gt;&lt;br&gt;&lt;div class=""audio""&gt;[sound:せいし.mp3]&lt;/div&gt;")</f>
        <v>&lt;ruby&gt;静止&lt;rt&gt;せいし&lt;/rt&gt;&lt;/ruby&gt;&lt;br&gt;&lt;div class="audio"&gt;[sound:せいし.mp3]&lt;/div&gt;</v>
      </c>
      <c r="H3523" s="3" t="str">
        <f t="shared" si="1"/>
        <v>(n): sự đứng yên</v>
      </c>
      <c r="I3523" s="6" t="s">
        <v>19220</v>
      </c>
      <c r="J3523" s="6" t="s">
        <v>19221</v>
      </c>
      <c r="K3523" s="7">
        <f t="shared" si="2"/>
        <v>0.2962683196</v>
      </c>
    </row>
    <row r="3524">
      <c r="A3524" s="4">
        <v>3524.0</v>
      </c>
      <c r="B3524" s="5" t="s">
        <v>19222</v>
      </c>
      <c r="C3524" s="5" t="s">
        <v>19223</v>
      </c>
      <c r="D3524" s="5" t="s">
        <v>19224</v>
      </c>
      <c r="E3524" s="6" t="s">
        <v>74</v>
      </c>
      <c r="F3524" s="6" t="s">
        <v>19225</v>
      </c>
      <c r="G3524" s="3" t="str">
        <f>IFERROR(__xludf.DUMMYFUNCTION("REGEXREPLACE(
D3524,
""([一-龯々]+)\[([^\]]+)\]"",
""&lt;ruby&gt;$1&lt;rt&gt;$2&lt;/rt&gt;&lt;/ruby&gt;""
)&amp;""&lt;br&gt;&lt;div class=""""audio""""&gt;[sound:""&amp;C3524&amp;"".mp3]&lt;/div&gt;"""),"&lt;ruby&gt;面会&lt;rt&gt;めんかい&lt;/rt&gt;&lt;/ruby&gt;&lt;br&gt;&lt;div class=""audio""&gt;[sound:めんかい.mp3]&lt;/div&gt;")</f>
        <v>&lt;ruby&gt;面会&lt;rt&gt;めんかい&lt;/rt&gt;&lt;/ruby&gt;&lt;br&gt;&lt;div class="audio"&gt;[sound:めんかい.mp3]&lt;/div&gt;</v>
      </c>
      <c r="H3524" s="3" t="str">
        <f t="shared" si="1"/>
        <v>(n): sự gặp mặt</v>
      </c>
      <c r="I3524" s="6" t="s">
        <v>19226</v>
      </c>
      <c r="J3524" s="6" t="s">
        <v>19227</v>
      </c>
      <c r="K3524" s="7">
        <f t="shared" si="2"/>
        <v>0.9128455525</v>
      </c>
    </row>
    <row r="3525">
      <c r="A3525" s="4">
        <v>3525.0</v>
      </c>
      <c r="B3525" s="5" t="s">
        <v>19228</v>
      </c>
      <c r="C3525" s="5" t="s">
        <v>19229</v>
      </c>
      <c r="D3525" s="5" t="s">
        <v>19230</v>
      </c>
      <c r="E3525" s="6" t="s">
        <v>74</v>
      </c>
      <c r="F3525" s="6" t="s">
        <v>19231</v>
      </c>
      <c r="G3525" s="3" t="str">
        <f>IFERROR(__xludf.DUMMYFUNCTION("REGEXREPLACE(
D3525,
""([一-龯々]+)\[([^\]]+)\]"",
""&lt;ruby&gt;$1&lt;rt&gt;$2&lt;/rt&gt;&lt;/ruby&gt;""
)&amp;""&lt;br&gt;&lt;div class=""""audio""""&gt;[sound:""&amp;C3525&amp;"".mp3]&lt;/div&gt;"""),"&lt;ruby&gt;傾斜&lt;rt&gt;けいしゃ&lt;/rt&gt;&lt;/ruby&gt;&lt;br&gt;&lt;div class=""audio""&gt;[sound:けいしゃ.mp3]&lt;/div&gt;")</f>
        <v>&lt;ruby&gt;傾斜&lt;rt&gt;けいしゃ&lt;/rt&gt;&lt;/ruby&gt;&lt;br&gt;&lt;div class="audio"&gt;[sound:けいしゃ.mp3]&lt;/div&gt;</v>
      </c>
      <c r="H3525" s="3" t="str">
        <f t="shared" si="1"/>
        <v>(n): độ nghiêng</v>
      </c>
      <c r="I3525" s="6" t="s">
        <v>19232</v>
      </c>
      <c r="J3525" s="6" t="s">
        <v>19233</v>
      </c>
      <c r="K3525" s="7">
        <f t="shared" si="2"/>
        <v>0.4025607056</v>
      </c>
    </row>
    <row r="3526">
      <c r="A3526" s="4">
        <v>3526.0</v>
      </c>
      <c r="B3526" s="5" t="s">
        <v>19234</v>
      </c>
      <c r="C3526" s="5" t="s">
        <v>19235</v>
      </c>
      <c r="D3526" s="5" t="s">
        <v>19236</v>
      </c>
      <c r="E3526" s="6" t="s">
        <v>11</v>
      </c>
      <c r="F3526" s="6" t="s">
        <v>19237</v>
      </c>
      <c r="G3526" s="3" t="str">
        <f>IFERROR(__xludf.DUMMYFUNCTION("REGEXREPLACE(
D3526,
""([一-龯々]+)\[([^\]]+)\]"",
""&lt;ruby&gt;$1&lt;rt&gt;$2&lt;/rt&gt;&lt;/ruby&gt;""
)&amp;""&lt;br&gt;&lt;div class=""""audio""""&gt;[sound:""&amp;C3526&amp;"".mp3]&lt;/div&gt;"""),"&lt;ruby&gt;切実&lt;rt&gt;せつじつ&lt;/rt&gt;&lt;/ruby&gt;&lt;br&gt;&lt;div class=""audio""&gt;[sound:せつじつ.mp3]&lt;/div&gt;")</f>
        <v>&lt;ruby&gt;切実&lt;rt&gt;せつじつ&lt;/rt&gt;&lt;/ruby&gt;&lt;br&gt;&lt;div class="audio"&gt;[sound:せつじつ.mp3]&lt;/div&gt;</v>
      </c>
      <c r="H3526" s="3" t="str">
        <f t="shared" si="1"/>
        <v>(adj): khẩn thiết</v>
      </c>
      <c r="I3526" s="6" t="s">
        <v>19238</v>
      </c>
      <c r="J3526" s="6" t="s">
        <v>19239</v>
      </c>
      <c r="K3526" s="7">
        <f t="shared" si="2"/>
        <v>0.3856392272</v>
      </c>
    </row>
    <row r="3527">
      <c r="A3527" s="4">
        <v>3527.0</v>
      </c>
      <c r="B3527" s="5" t="s">
        <v>19240</v>
      </c>
      <c r="C3527" s="5" t="s">
        <v>19241</v>
      </c>
      <c r="D3527" s="5" t="s">
        <v>19242</v>
      </c>
      <c r="E3527" s="6" t="s">
        <v>74</v>
      </c>
      <c r="F3527" s="6" t="s">
        <v>19243</v>
      </c>
      <c r="G3527" s="3" t="str">
        <f>IFERROR(__xludf.DUMMYFUNCTION("REGEXREPLACE(
D3527,
""([一-龯々]+)\[([^\]]+)\]"",
""&lt;ruby&gt;$1&lt;rt&gt;$2&lt;/rt&gt;&lt;/ruby&gt;""
)&amp;""&lt;br&gt;&lt;div class=""""audio""""&gt;[sound:""&amp;C3527&amp;"".mp3]&lt;/div&gt;"""),"&lt;ruby&gt;割当&lt;rt&gt;わりあて&lt;/rt&gt;&lt;/ruby&gt;&lt;br&gt;&lt;div class=""audio""&gt;[sound:わりあて.mp3]&lt;/div&gt;")</f>
        <v>&lt;ruby&gt;割当&lt;rt&gt;わりあて&lt;/rt&gt;&lt;/ruby&gt;&lt;br&gt;&lt;div class="audio"&gt;[sound:わりあて.mp3]&lt;/div&gt;</v>
      </c>
      <c r="H3527" s="3" t="str">
        <f t="shared" si="1"/>
        <v>(n): sự phân bổ</v>
      </c>
      <c r="I3527" s="6" t="s">
        <v>19244</v>
      </c>
      <c r="J3527" s="6" t="s">
        <v>19245</v>
      </c>
      <c r="K3527" s="7">
        <f t="shared" si="2"/>
        <v>0.2461241281</v>
      </c>
    </row>
    <row r="3528">
      <c r="A3528" s="4">
        <v>3528.0</v>
      </c>
      <c r="B3528" s="5" t="s">
        <v>19246</v>
      </c>
      <c r="C3528" s="5" t="s">
        <v>19247</v>
      </c>
      <c r="D3528" s="5" t="s">
        <v>19248</v>
      </c>
      <c r="E3528" s="6" t="s">
        <v>24</v>
      </c>
      <c r="F3528" s="6" t="s">
        <v>19249</v>
      </c>
      <c r="G3528" s="3" t="str">
        <f>IFERROR(__xludf.DUMMYFUNCTION("REGEXREPLACE(
D3528,
""([一-龯々]+)\[([^\]]+)\]"",
""&lt;ruby&gt;$1&lt;rt&gt;$2&lt;/rt&gt;&lt;/ruby&gt;""
)&amp;""&lt;br&gt;&lt;div class=""""audio""""&gt;[sound:""&amp;C3528&amp;"".mp3]&lt;/div&gt;"""),"&lt;ruby&gt;割込&lt;rt&gt;わりこ&lt;/rt&gt;&lt;/ruby&gt;む&lt;br&gt;&lt;div class=""audio""&gt;[sound:わりこむ.mp3]&lt;/div&gt;")</f>
        <v>&lt;ruby&gt;割込&lt;rt&gt;わりこ&lt;/rt&gt;&lt;/ruby&gt;む&lt;br&gt;&lt;div class="audio"&gt;[sound:わりこむ.mp3]&lt;/div&gt;</v>
      </c>
      <c r="H3528" s="3" t="str">
        <f t="shared" si="1"/>
        <v>(v): chen ngang</v>
      </c>
      <c r="I3528" s="6" t="s">
        <v>19250</v>
      </c>
      <c r="J3528" s="6" t="s">
        <v>19251</v>
      </c>
      <c r="K3528" s="7">
        <f t="shared" si="2"/>
        <v>0.3164494018</v>
      </c>
    </row>
    <row r="3529">
      <c r="A3529" s="4">
        <v>3529.0</v>
      </c>
      <c r="B3529" s="5" t="s">
        <v>19252</v>
      </c>
      <c r="C3529" s="5" t="s">
        <v>19253</v>
      </c>
      <c r="D3529" s="5" t="s">
        <v>19254</v>
      </c>
      <c r="E3529" s="6" t="s">
        <v>74</v>
      </c>
      <c r="F3529" s="6" t="s">
        <v>19255</v>
      </c>
      <c r="G3529" s="3" t="str">
        <f>IFERROR(__xludf.DUMMYFUNCTION("REGEXREPLACE(
D3529,
""([一-龯々]+)\[([^\]]+)\]"",
""&lt;ruby&gt;$1&lt;rt&gt;$2&lt;/rt&gt;&lt;/ruby&gt;""
)&amp;""&lt;br&gt;&lt;div class=""""audio""""&gt;[sound:""&amp;C3529&amp;"".mp3]&lt;/div&gt;"""),"&lt;ruby&gt;助言&lt;rt&gt;じょげん&lt;/rt&gt;&lt;/ruby&gt;&lt;br&gt;&lt;div class=""audio""&gt;[sound:じょげん.mp3]&lt;/div&gt;")</f>
        <v>&lt;ruby&gt;助言&lt;rt&gt;じょげん&lt;/rt&gt;&lt;/ruby&gt;&lt;br&gt;&lt;div class="audio"&gt;[sound:じょげん.mp3]&lt;/div&gt;</v>
      </c>
      <c r="H3529" s="3" t="str">
        <f t="shared" si="1"/>
        <v>(n): lời khuyên</v>
      </c>
      <c r="I3529" s="6" t="s">
        <v>19256</v>
      </c>
      <c r="J3529" s="6" t="s">
        <v>19257</v>
      </c>
      <c r="K3529" s="7">
        <f t="shared" si="2"/>
        <v>0.6071224631</v>
      </c>
    </row>
    <row r="3530">
      <c r="A3530" s="4">
        <v>3530.0</v>
      </c>
      <c r="B3530" s="5" t="s">
        <v>19258</v>
      </c>
      <c r="C3530" s="5" t="s">
        <v>19092</v>
      </c>
      <c r="D3530" s="5" t="s">
        <v>19259</v>
      </c>
      <c r="E3530" s="6" t="s">
        <v>74</v>
      </c>
      <c r="F3530" s="6" t="s">
        <v>19260</v>
      </c>
      <c r="G3530" s="3" t="str">
        <f>IFERROR(__xludf.DUMMYFUNCTION("REGEXREPLACE(
D3530,
""([一-龯々]+)\[([^\]]+)\]"",
""&lt;ruby&gt;$1&lt;rt&gt;$2&lt;/rt&gt;&lt;/ruby&gt;""
)&amp;""&lt;br&gt;&lt;div class=""""audio""""&gt;[sound:""&amp;C3530&amp;"".mp3]&lt;/div&gt;"""),"&lt;ruby&gt;原形&lt;rt&gt;げんけい&lt;/rt&gt;&lt;/ruby&gt;&lt;br&gt;&lt;div class=""audio""&gt;[sound:げんけい.mp3]&lt;/div&gt;")</f>
        <v>&lt;ruby&gt;原形&lt;rt&gt;げんけい&lt;/rt&gt;&lt;/ruby&gt;&lt;br&gt;&lt;div class="audio"&gt;[sound:げんけい.mp3]&lt;/div&gt;</v>
      </c>
      <c r="H3530" s="3" t="str">
        <f t="shared" si="1"/>
        <v>(n): nguyên thể</v>
      </c>
      <c r="I3530" s="6" t="s">
        <v>19261</v>
      </c>
      <c r="J3530" s="6" t="s">
        <v>19262</v>
      </c>
      <c r="K3530" s="7">
        <f t="shared" si="2"/>
        <v>0.9856424085</v>
      </c>
    </row>
    <row r="3531">
      <c r="A3531" s="4">
        <v>3531.0</v>
      </c>
      <c r="B3531" s="5" t="s">
        <v>19263</v>
      </c>
      <c r="C3531" s="5" t="s">
        <v>19264</v>
      </c>
      <c r="D3531" s="5" t="s">
        <v>19265</v>
      </c>
      <c r="E3531" s="6" t="s">
        <v>74</v>
      </c>
      <c r="F3531" s="6" t="s">
        <v>19266</v>
      </c>
      <c r="G3531" s="3" t="str">
        <f>IFERROR(__xludf.DUMMYFUNCTION("REGEXREPLACE(
D3531,
""([一-龯々]+)\[([^\]]+)\]"",
""&lt;ruby&gt;$1&lt;rt&gt;$2&lt;/rt&gt;&lt;/ruby&gt;""
)&amp;""&lt;br&gt;&lt;div class=""""audio""""&gt;[sound:""&amp;C3531&amp;"".mp3]&lt;/div&gt;"""),"&lt;ruby&gt;口頭&lt;rt&gt;こうとう&lt;/rt&gt;&lt;/ruby&gt;&lt;br&gt;&lt;div class=""audio""&gt;[sound:こうとう.mp3]&lt;/div&gt;")</f>
        <v>&lt;ruby&gt;口頭&lt;rt&gt;こうとう&lt;/rt&gt;&lt;/ruby&gt;&lt;br&gt;&lt;div class="audio"&gt;[sound:こうとう.mp3]&lt;/div&gt;</v>
      </c>
      <c r="H3531" s="3" t="str">
        <f t="shared" si="1"/>
        <v>(n): bằng miệng</v>
      </c>
      <c r="I3531" s="6" t="s">
        <v>19267</v>
      </c>
      <c r="J3531" s="6" t="s">
        <v>19268</v>
      </c>
      <c r="K3531" s="7">
        <f t="shared" si="2"/>
        <v>0.3774173062</v>
      </c>
    </row>
    <row r="3532">
      <c r="A3532" s="4">
        <v>3532.0</v>
      </c>
      <c r="B3532" s="5" t="s">
        <v>19269</v>
      </c>
      <c r="C3532" s="5" t="s">
        <v>19270</v>
      </c>
      <c r="D3532" s="5" t="s">
        <v>19271</v>
      </c>
      <c r="E3532" s="6" t="s">
        <v>74</v>
      </c>
      <c r="F3532" s="6" t="s">
        <v>19272</v>
      </c>
      <c r="G3532" s="3" t="str">
        <f>IFERROR(__xludf.DUMMYFUNCTION("REGEXREPLACE(
D3532,
""([一-龯々]+)\[([^\]]+)\]"",
""&lt;ruby&gt;$1&lt;rt&gt;$2&lt;/rt&gt;&lt;/ruby&gt;""
)&amp;""&lt;br&gt;&lt;div class=""""audio""""&gt;[sound:""&amp;C3532&amp;"".mp3]&lt;/div&gt;"""),"&lt;ruby&gt;土木&lt;rt&gt;どぼく&lt;/rt&gt;&lt;/ruby&gt;&lt;br&gt;&lt;div class=""audio""&gt;[sound:どぼく.mp3]&lt;/div&gt;")</f>
        <v>&lt;ruby&gt;土木&lt;rt&gt;どぼく&lt;/rt&gt;&lt;/ruby&gt;&lt;br&gt;&lt;div class="audio"&gt;[sound:どぼく.mp3]&lt;/div&gt;</v>
      </c>
      <c r="H3532" s="3" t="str">
        <f t="shared" si="1"/>
        <v>(n): công trình</v>
      </c>
      <c r="I3532" s="6" t="s">
        <v>19273</v>
      </c>
      <c r="J3532" s="6" t="s">
        <v>19274</v>
      </c>
      <c r="K3532" s="7">
        <f t="shared" si="2"/>
        <v>0.1946012434</v>
      </c>
    </row>
    <row r="3533">
      <c r="A3533" s="4">
        <v>3533.0</v>
      </c>
      <c r="B3533" s="5" t="s">
        <v>19275</v>
      </c>
      <c r="C3533" s="5" t="s">
        <v>19276</v>
      </c>
      <c r="D3533" s="5" t="s">
        <v>19277</v>
      </c>
      <c r="E3533" s="6" t="s">
        <v>74</v>
      </c>
      <c r="F3533" s="6" t="s">
        <v>19278</v>
      </c>
      <c r="G3533" s="3" t="str">
        <f>IFERROR(__xludf.DUMMYFUNCTION("REGEXREPLACE(
D3533,
""([一-龯々]+)\[([^\]]+)\]"",
""&lt;ruby&gt;$1&lt;rt&gt;$2&lt;/rt&gt;&lt;/ruby&gt;""
)&amp;""&lt;br&gt;&lt;div class=""""audio""""&gt;[sound:""&amp;C3533&amp;"".mp3]&lt;/div&gt;"""),"&lt;ruby&gt;奉仕&lt;rt&gt;ほうし&lt;/rt&gt;&lt;/ruby&gt;&lt;br&gt;&lt;div class=""audio""&gt;[sound:ほうし.mp3]&lt;/div&gt;")</f>
        <v>&lt;ruby&gt;奉仕&lt;rt&gt;ほうし&lt;/rt&gt;&lt;/ruby&gt;&lt;br&gt;&lt;div class="audio"&gt;[sound:ほうし.mp3]&lt;/div&gt;</v>
      </c>
      <c r="H3533" s="3" t="str">
        <f t="shared" si="1"/>
        <v>(n): sự phục vụ</v>
      </c>
      <c r="I3533" s="6" t="s">
        <v>19279</v>
      </c>
      <c r="J3533" s="6" t="s">
        <v>19280</v>
      </c>
      <c r="K3533" s="7">
        <f t="shared" si="2"/>
        <v>0.03434253423</v>
      </c>
    </row>
    <row r="3534">
      <c r="A3534" s="4">
        <v>3534.0</v>
      </c>
      <c r="B3534" s="5" t="s">
        <v>19281</v>
      </c>
      <c r="C3534" s="5" t="s">
        <v>19282</v>
      </c>
      <c r="D3534" s="5" t="s">
        <v>19283</v>
      </c>
      <c r="E3534" s="6" t="s">
        <v>74</v>
      </c>
      <c r="F3534" s="6" t="s">
        <v>19284</v>
      </c>
      <c r="G3534" s="3" t="str">
        <f>IFERROR(__xludf.DUMMYFUNCTION("REGEXREPLACE(
D3534,
""([一-龯々]+)\[([^\]]+)\]"",
""&lt;ruby&gt;$1&lt;rt&gt;$2&lt;/rt&gt;&lt;/ruby&gt;""
)&amp;""&lt;br&gt;&lt;div class=""""audio""""&gt;[sound:""&amp;C3534&amp;"".mp3]&lt;/div&gt;"""),"&lt;ruby&gt;妨害&lt;rt&gt;ぼうがい&lt;/rt&gt;&lt;/ruby&gt;&lt;br&gt;&lt;div class=""audio""&gt;[sound:ぼうがい.mp3]&lt;/div&gt;")</f>
        <v>&lt;ruby&gt;妨害&lt;rt&gt;ぼうがい&lt;/rt&gt;&lt;/ruby&gt;&lt;br&gt;&lt;div class="audio"&gt;[sound:ぼうがい.mp3]&lt;/div&gt;</v>
      </c>
      <c r="H3534" s="3" t="str">
        <f t="shared" si="1"/>
        <v>(n): sự cản trở</v>
      </c>
      <c r="I3534" s="6" t="s">
        <v>19285</v>
      </c>
      <c r="J3534" s="6" t="s">
        <v>19286</v>
      </c>
      <c r="K3534" s="7">
        <f t="shared" si="2"/>
        <v>0.7008734717</v>
      </c>
    </row>
    <row r="3535">
      <c r="A3535" s="4">
        <v>3535.0</v>
      </c>
      <c r="B3535" s="5" t="s">
        <v>19287</v>
      </c>
      <c r="C3535" s="5" t="s">
        <v>19288</v>
      </c>
      <c r="D3535" s="5" t="s">
        <v>19289</v>
      </c>
      <c r="E3535" s="6" t="s">
        <v>74</v>
      </c>
      <c r="F3535" s="6" t="s">
        <v>4537</v>
      </c>
      <c r="G3535" s="3" t="str">
        <f>IFERROR(__xludf.DUMMYFUNCTION("REGEXREPLACE(
D3535,
""([一-龯々]+)\[([^\]]+)\]"",
""&lt;ruby&gt;$1&lt;rt&gt;$2&lt;/rt&gt;&lt;/ruby&gt;""
)&amp;""&lt;br&gt;&lt;div class=""""audio""""&gt;[sound:""&amp;C3535&amp;"".mp3]&lt;/div&gt;"""),"&lt;ruby&gt;始末&lt;rt&gt;しまつ&lt;/rt&gt;&lt;/ruby&gt;&lt;br&gt;&lt;div class=""audio""&gt;[sound:しまつ.mp3]&lt;/div&gt;")</f>
        <v>&lt;ruby&gt;始末&lt;rt&gt;しまつ&lt;/rt&gt;&lt;/ruby&gt;&lt;br&gt;&lt;div class="audio"&gt;[sound:しまつ.mp3]&lt;/div&gt;</v>
      </c>
      <c r="H3535" s="3" t="str">
        <f t="shared" si="1"/>
        <v>(n): sự xử lý</v>
      </c>
      <c r="I3535" s="6" t="s">
        <v>19290</v>
      </c>
      <c r="J3535" s="6" t="s">
        <v>19291</v>
      </c>
      <c r="K3535" s="7">
        <f t="shared" si="2"/>
        <v>0.05782794688</v>
      </c>
    </row>
    <row r="3536">
      <c r="A3536" s="4">
        <v>3536.0</v>
      </c>
      <c r="B3536" s="5" t="s">
        <v>19292</v>
      </c>
      <c r="C3536" s="5" t="s">
        <v>19293</v>
      </c>
      <c r="D3536" s="5" t="s">
        <v>19294</v>
      </c>
      <c r="E3536" s="6" t="s">
        <v>74</v>
      </c>
      <c r="F3536" s="6" t="s">
        <v>19295</v>
      </c>
      <c r="G3536" s="3" t="str">
        <f>IFERROR(__xludf.DUMMYFUNCTION("REGEXREPLACE(
D3536,
""([一-龯々]+)\[([^\]]+)\]"",
""&lt;ruby&gt;$1&lt;rt&gt;$2&lt;/rt&gt;&lt;/ruby&gt;""
)&amp;""&lt;br&gt;&lt;div class=""""audio""""&gt;[sound:""&amp;C3536&amp;"".mp3]&lt;/div&gt;"""),"&lt;ruby&gt;嫉妬&lt;rt&gt;しっと&lt;/rt&gt;&lt;/ruby&gt;&lt;br&gt;&lt;div class=""audio""&gt;[sound:しっと.mp3]&lt;/div&gt;")</f>
        <v>&lt;ruby&gt;嫉妬&lt;rt&gt;しっと&lt;/rt&gt;&lt;/ruby&gt;&lt;br&gt;&lt;div class="audio"&gt;[sound:しっと.mp3]&lt;/div&gt;</v>
      </c>
      <c r="H3536" s="3" t="str">
        <f t="shared" si="1"/>
        <v>(n): sự ghen tị</v>
      </c>
      <c r="I3536" s="6" t="s">
        <v>19296</v>
      </c>
      <c r="J3536" s="6" t="s">
        <v>19297</v>
      </c>
      <c r="K3536" s="7">
        <f t="shared" si="2"/>
        <v>0.3979981056</v>
      </c>
    </row>
    <row r="3537">
      <c r="A3537" s="4">
        <v>3537.0</v>
      </c>
      <c r="B3537" s="5" t="s">
        <v>19298</v>
      </c>
      <c r="C3537" s="5" t="s">
        <v>19299</v>
      </c>
      <c r="D3537" s="5" t="s">
        <v>19300</v>
      </c>
      <c r="E3537" s="6" t="s">
        <v>74</v>
      </c>
      <c r="F3537" s="6" t="s">
        <v>1879</v>
      </c>
      <c r="G3537" s="3" t="str">
        <f>IFERROR(__xludf.DUMMYFUNCTION("REGEXREPLACE(
D3537,
""([一-龯々]+)\[([^\]]+)\]"",
""&lt;ruby&gt;$1&lt;rt&gt;$2&lt;/rt&gt;&lt;/ruby&gt;""
)&amp;""&lt;br&gt;&lt;div class=""""audio""""&gt;[sound:""&amp;C3537&amp;"".mp3]&lt;/div&gt;"""),"&lt;ruby&gt;存続&lt;rt&gt;そんぞく&lt;/rt&gt;&lt;/ruby&gt;&lt;br&gt;&lt;div class=""audio""&gt;[sound:そんぞく.mp3]&lt;/div&gt;")</f>
        <v>&lt;ruby&gt;存続&lt;rt&gt;そんぞく&lt;/rt&gt;&lt;/ruby&gt;&lt;br&gt;&lt;div class="audio"&gt;[sound:そんぞく.mp3]&lt;/div&gt;</v>
      </c>
      <c r="H3537" s="3" t="str">
        <f t="shared" si="1"/>
        <v>(n): sự tồn tại</v>
      </c>
      <c r="I3537" s="6" t="s">
        <v>19301</v>
      </c>
      <c r="J3537" s="6" t="s">
        <v>19302</v>
      </c>
      <c r="K3537" s="7">
        <f t="shared" si="2"/>
        <v>0.3859378331</v>
      </c>
    </row>
    <row r="3538">
      <c r="A3538" s="4">
        <v>3538.0</v>
      </c>
      <c r="B3538" s="5" t="s">
        <v>19303</v>
      </c>
      <c r="C3538" s="5" t="s">
        <v>19304</v>
      </c>
      <c r="D3538" s="5" t="s">
        <v>19305</v>
      </c>
      <c r="E3538" s="6" t="s">
        <v>74</v>
      </c>
      <c r="F3538" s="6" t="s">
        <v>3366</v>
      </c>
      <c r="G3538" s="3" t="str">
        <f>IFERROR(__xludf.DUMMYFUNCTION("REGEXREPLACE(
D3538,
""([一-龯々]+)\[([^\]]+)\]"",
""&lt;ruby&gt;$1&lt;rt&gt;$2&lt;/rt&gt;&lt;/ruby&gt;""
)&amp;""&lt;br&gt;&lt;div class=""""audio""""&gt;[sound:""&amp;C3538&amp;"".mp3]&lt;/div&gt;"""),"&lt;ruby&gt;決&lt;rt&gt;けつ&lt;/rt&gt;&lt;/ruby&gt;&lt;br&gt;&lt;div class=""audio""&gt;[sound:けつ.mp3]&lt;/div&gt;")</f>
        <v>&lt;ruby&gt;決&lt;rt&gt;けつ&lt;/rt&gt;&lt;/ruby&gt;&lt;br&gt;&lt;div class="audio"&gt;[sound:けつ.mp3]&lt;/div&gt;</v>
      </c>
      <c r="H3538" s="3" t="str">
        <f t="shared" si="1"/>
        <v>(n): quyết định</v>
      </c>
      <c r="I3538" s="6" t="s">
        <v>19306</v>
      </c>
      <c r="J3538" s="6" t="s">
        <v>19307</v>
      </c>
      <c r="K3538" s="7">
        <f t="shared" si="2"/>
        <v>0.08918343954</v>
      </c>
    </row>
    <row r="3539">
      <c r="A3539" s="4">
        <v>3539.0</v>
      </c>
      <c r="B3539" s="5" t="s">
        <v>19308</v>
      </c>
      <c r="C3539" s="5" t="s">
        <v>19309</v>
      </c>
      <c r="D3539" s="5" t="s">
        <v>19310</v>
      </c>
      <c r="E3539" s="6" t="s">
        <v>74</v>
      </c>
      <c r="F3539" s="6" t="s">
        <v>19311</v>
      </c>
      <c r="G3539" s="3" t="str">
        <f>IFERROR(__xludf.DUMMYFUNCTION("REGEXREPLACE(
D3539,
""([一-龯々]+)\[([^\]]+)\]"",
""&lt;ruby&gt;$1&lt;rt&gt;$2&lt;/rt&gt;&lt;/ruby&gt;""
)&amp;""&lt;br&gt;&lt;div class=""""audio""""&gt;[sound:""&amp;C3539&amp;"".mp3]&lt;/div&gt;"""),"&lt;ruby&gt;育&lt;rt&gt;そだ&lt;/rt&gt;&lt;/ruby&gt;ち&lt;br&gt;&lt;div class=""audio""&gt;[sound:そだち.mp3]&lt;/div&gt;")</f>
        <v>&lt;ruby&gt;育&lt;rt&gt;そだ&lt;/rt&gt;&lt;/ruby&gt;ち&lt;br&gt;&lt;div class="audio"&gt;[sound:そだち.mp3]&lt;/div&gt;</v>
      </c>
      <c r="H3539" s="3" t="str">
        <f t="shared" si="1"/>
        <v>(n): sự lớn lên</v>
      </c>
      <c r="I3539" s="6" t="s">
        <v>19312</v>
      </c>
      <c r="J3539" s="6" t="s">
        <v>19313</v>
      </c>
      <c r="K3539" s="7">
        <f t="shared" si="2"/>
        <v>0.4518760471</v>
      </c>
    </row>
    <row r="3540">
      <c r="A3540" s="4">
        <v>3540.0</v>
      </c>
      <c r="B3540" s="5" t="s">
        <v>19314</v>
      </c>
      <c r="C3540" s="5" t="s">
        <v>19315</v>
      </c>
      <c r="D3540" s="5" t="s">
        <v>19316</v>
      </c>
      <c r="E3540" s="6" t="s">
        <v>74</v>
      </c>
      <c r="F3540" s="6" t="s">
        <v>16938</v>
      </c>
      <c r="G3540" s="3" t="str">
        <f>IFERROR(__xludf.DUMMYFUNCTION("REGEXREPLACE(
D3540,
""([一-龯々]+)\[([^\]]+)\]"",
""&lt;ruby&gt;$1&lt;rt&gt;$2&lt;/rt&gt;&lt;/ruby&gt;""
)&amp;""&lt;br&gt;&lt;div class=""""audio""""&gt;[sound:""&amp;C3540&amp;"".mp3]&lt;/div&gt;"""),"&lt;ruby&gt;衣装&lt;rt&gt;いしょう&lt;/rt&gt;&lt;/ruby&gt;&lt;br&gt;&lt;div class=""audio""&gt;[sound:いしょう.mp3]&lt;/div&gt;")</f>
        <v>&lt;ruby&gt;衣装&lt;rt&gt;いしょう&lt;/rt&gt;&lt;/ruby&gt;&lt;br&gt;&lt;div class="audio"&gt;[sound:いしょう.mp3]&lt;/div&gt;</v>
      </c>
      <c r="H3540" s="3" t="str">
        <f t="shared" si="1"/>
        <v>(n): trang phục</v>
      </c>
      <c r="I3540" s="6" t="s">
        <v>19317</v>
      </c>
      <c r="J3540" s="6" t="s">
        <v>19318</v>
      </c>
      <c r="K3540" s="7">
        <f t="shared" si="2"/>
        <v>0.5883041667</v>
      </c>
    </row>
    <row r="3541">
      <c r="A3541" s="4">
        <v>3541.0</v>
      </c>
      <c r="B3541" s="5" t="s">
        <v>19319</v>
      </c>
      <c r="C3541" s="5" t="s">
        <v>19320</v>
      </c>
      <c r="D3541" s="5" t="s">
        <v>19321</v>
      </c>
      <c r="E3541" s="6" t="s">
        <v>74</v>
      </c>
      <c r="F3541" s="6" t="s">
        <v>12573</v>
      </c>
      <c r="G3541" s="3" t="str">
        <f>IFERROR(__xludf.DUMMYFUNCTION("REGEXREPLACE(
D3541,
""([一-龯々]+)\[([^\]]+)\]"",
""&lt;ruby&gt;$1&lt;rt&gt;$2&lt;/rt&gt;&lt;/ruby&gt;""
)&amp;""&lt;br&gt;&lt;div class=""""audio""""&gt;[sound:""&amp;C3541&amp;"".mp3]&lt;/div&gt;"""),"&lt;ruby&gt;補充&lt;rt&gt;ほじゅう&lt;/rt&gt;&lt;/ruby&gt;&lt;br&gt;&lt;div class=""audio""&gt;[sound:ほじゅう.mp3]&lt;/div&gt;")</f>
        <v>&lt;ruby&gt;補充&lt;rt&gt;ほじゅう&lt;/rt&gt;&lt;/ruby&gt;&lt;br&gt;&lt;div class="audio"&gt;[sound:ほじゅう.mp3]&lt;/div&gt;</v>
      </c>
      <c r="H3541" s="3" t="str">
        <f t="shared" si="1"/>
        <v>(n): sự bổ sung</v>
      </c>
      <c r="I3541" s="6" t="s">
        <v>19322</v>
      </c>
      <c r="J3541" s="6" t="s">
        <v>19323</v>
      </c>
      <c r="K3541" s="7">
        <f t="shared" si="2"/>
        <v>0.9954616223</v>
      </c>
    </row>
    <row r="3542">
      <c r="A3542" s="4">
        <v>3542.0</v>
      </c>
      <c r="B3542" s="5" t="s">
        <v>19324</v>
      </c>
      <c r="C3542" s="5" t="s">
        <v>19325</v>
      </c>
      <c r="D3542" s="5" t="s">
        <v>19326</v>
      </c>
      <c r="E3542" s="6" t="s">
        <v>11</v>
      </c>
      <c r="F3542" s="6" t="s">
        <v>19327</v>
      </c>
      <c r="G3542" s="3" t="str">
        <f>IFERROR(__xludf.DUMMYFUNCTION("REGEXREPLACE(
D3542,
""([一-龯々]+)\[([^\]]+)\]"",
""&lt;ruby&gt;$1&lt;rt&gt;$2&lt;/rt&gt;&lt;/ruby&gt;""
)&amp;""&lt;br&gt;&lt;div class=""""audio""""&gt;[sound:""&amp;C3542&amp;"".mp3]&lt;/div&gt;"""),"&lt;ruby&gt;誠実&lt;rt&gt;せいじつ&lt;/rt&gt;&lt;/ruby&gt;&lt;br&gt;&lt;div class=""audio""&gt;[sound:せいじつ.mp3]&lt;/div&gt;")</f>
        <v>&lt;ruby&gt;誠実&lt;rt&gt;せいじつ&lt;/rt&gt;&lt;/ruby&gt;&lt;br&gt;&lt;div class="audio"&gt;[sound:せいじつ.mp3]&lt;/div&gt;</v>
      </c>
      <c r="H3542" s="3" t="str">
        <f t="shared" si="1"/>
        <v>(adj): chân thành</v>
      </c>
      <c r="I3542" s="6" t="s">
        <v>19328</v>
      </c>
      <c r="J3542" s="6" t="s">
        <v>19329</v>
      </c>
      <c r="K3542" s="7">
        <f t="shared" si="2"/>
        <v>0.003592204865</v>
      </c>
    </row>
    <row r="3543">
      <c r="A3543" s="4">
        <v>3543.0</v>
      </c>
      <c r="B3543" s="5" t="s">
        <v>19330</v>
      </c>
      <c r="C3543" s="5" t="s">
        <v>19331</v>
      </c>
      <c r="D3543" s="5" t="s">
        <v>19332</v>
      </c>
      <c r="E3543" s="6" t="s">
        <v>24</v>
      </c>
      <c r="F3543" s="6" t="s">
        <v>19333</v>
      </c>
      <c r="G3543" s="3" t="str">
        <f>IFERROR(__xludf.DUMMYFUNCTION("REGEXREPLACE(
D3543,
""([一-龯々]+)\[([^\]]+)\]"",
""&lt;ruby&gt;$1&lt;rt&gt;$2&lt;/rt&gt;&lt;/ruby&gt;""
)&amp;""&lt;br&gt;&lt;div class=""""audio""""&gt;[sound:""&amp;C3543&amp;"".mp3]&lt;/div&gt;"""),"&lt;ruby&gt;賄&lt;rt&gt;まかな&lt;/rt&gt;&lt;/ruby&gt;う&lt;br&gt;&lt;div class=""audio""&gt;[sound:まかなう.mp3]&lt;/div&gt;")</f>
        <v>&lt;ruby&gt;賄&lt;rt&gt;まかな&lt;/rt&gt;&lt;/ruby&gt;う&lt;br&gt;&lt;div class="audio"&gt;[sound:まかなう.mp3]&lt;/div&gt;</v>
      </c>
      <c r="H3543" s="3" t="str">
        <f t="shared" si="1"/>
        <v>(v): trang trải</v>
      </c>
      <c r="I3543" s="6" t="s">
        <v>19334</v>
      </c>
      <c r="J3543" s="6" t="s">
        <v>19335</v>
      </c>
      <c r="K3543" s="7">
        <f t="shared" si="2"/>
        <v>0.7223163711</v>
      </c>
    </row>
    <row r="3544">
      <c r="A3544" s="4">
        <v>3544.0</v>
      </c>
      <c r="B3544" s="5" t="s">
        <v>19336</v>
      </c>
      <c r="C3544" s="5" t="s">
        <v>19337</v>
      </c>
      <c r="D3544" s="5" t="s">
        <v>19338</v>
      </c>
      <c r="E3544" s="6" t="s">
        <v>74</v>
      </c>
      <c r="F3544" s="6" t="s">
        <v>17486</v>
      </c>
      <c r="G3544" s="3" t="str">
        <f>IFERROR(__xludf.DUMMYFUNCTION("REGEXREPLACE(
D3544,
""([一-龯々]+)\[([^\]]+)\]"",
""&lt;ruby&gt;$1&lt;rt&gt;$2&lt;/rt&gt;&lt;/ruby&gt;""
)&amp;""&lt;br&gt;&lt;div class=""""audio""""&gt;[sound:""&amp;C3544&amp;"".mp3]&lt;/div&gt;"""),"&lt;ruby&gt;野外&lt;rt&gt;やがい&lt;/rt&gt;&lt;/ruby&gt;&lt;br&gt;&lt;div class=""audio""&gt;[sound:やがい.mp3]&lt;/div&gt;")</f>
        <v>&lt;ruby&gt;野外&lt;rt&gt;やがい&lt;/rt&gt;&lt;/ruby&gt;&lt;br&gt;&lt;div class="audio"&gt;[sound:やがい.mp3]&lt;/div&gt;</v>
      </c>
      <c r="H3544" s="3" t="str">
        <f t="shared" si="1"/>
        <v>(n): ngoài trời</v>
      </c>
      <c r="I3544" s="6" t="s">
        <v>19339</v>
      </c>
      <c r="J3544" s="6" t="s">
        <v>19340</v>
      </c>
      <c r="K3544" s="7">
        <f t="shared" si="2"/>
        <v>0.892544877</v>
      </c>
    </row>
    <row r="3545">
      <c r="A3545" s="4">
        <v>3545.0</v>
      </c>
      <c r="B3545" s="5" t="s">
        <v>19341</v>
      </c>
      <c r="C3545" s="5" t="s">
        <v>19342</v>
      </c>
      <c r="D3545" s="5" t="s">
        <v>19343</v>
      </c>
      <c r="E3545" s="6" t="s">
        <v>74</v>
      </c>
      <c r="F3545" s="6" t="s">
        <v>19344</v>
      </c>
      <c r="G3545" s="3" t="str">
        <f>IFERROR(__xludf.DUMMYFUNCTION("REGEXREPLACE(
D3545,
""([一-龯々]+)\[([^\]]+)\]"",
""&lt;ruby&gt;$1&lt;rt&gt;$2&lt;/rt&gt;&lt;/ruby&gt;""
)&amp;""&lt;br&gt;&lt;div class=""""audio""""&gt;[sound:""&amp;C3545&amp;"".mp3]&lt;/div&gt;"""),"&lt;ruby&gt;長官&lt;rt&gt;ちょうかん&lt;/rt&gt;&lt;/ruby&gt;&lt;br&gt;&lt;div class=""audio""&gt;[sound:ちょうかん.mp3]&lt;/div&gt;")</f>
        <v>&lt;ruby&gt;長官&lt;rt&gt;ちょうかん&lt;/rt&gt;&lt;/ruby&gt;&lt;br&gt;&lt;div class="audio"&gt;[sound:ちょうかん.mp3]&lt;/div&gt;</v>
      </c>
      <c r="H3545" s="3" t="str">
        <f t="shared" si="1"/>
        <v>(n): cục trưởng</v>
      </c>
      <c r="I3545" s="6" t="s">
        <v>19345</v>
      </c>
      <c r="J3545" s="6" t="s">
        <v>19346</v>
      </c>
      <c r="K3545" s="7">
        <f t="shared" si="2"/>
        <v>0.2259744903</v>
      </c>
    </row>
    <row r="3546">
      <c r="A3546" s="4">
        <v>3546.0</v>
      </c>
      <c r="B3546" s="5" t="s">
        <v>19347</v>
      </c>
      <c r="C3546" s="5" t="s">
        <v>19348</v>
      </c>
      <c r="D3546" s="5" t="s">
        <v>19349</v>
      </c>
      <c r="E3546" s="6" t="s">
        <v>74</v>
      </c>
      <c r="F3546" s="6" t="s">
        <v>19350</v>
      </c>
      <c r="G3546" s="3" t="str">
        <f>IFERROR(__xludf.DUMMYFUNCTION("REGEXREPLACE(
D3546,
""([一-龯々]+)\[([^\]]+)\]"",
""&lt;ruby&gt;$1&lt;rt&gt;$2&lt;/rt&gt;&lt;/ruby&gt;""
)&amp;""&lt;br&gt;&lt;div class=""""audio""""&gt;[sound:""&amp;C3546&amp;"".mp3]&lt;/div&gt;"""),"お&lt;ruby&gt;使&lt;rt&gt;つか&lt;/rt&gt;&lt;/ruby&gt;い&lt;br&gt;&lt;div class=""audio""&gt;[sound:おつかい.mp3]&lt;/div&gt;")</f>
        <v>お&lt;ruby&gt;使&lt;rt&gt;つか&lt;/rt&gt;&lt;/ruby&gt;い&lt;br&gt;&lt;div class="audio"&gt;[sound:おつかい.mp3]&lt;/div&gt;</v>
      </c>
      <c r="H3546" s="3" t="str">
        <f t="shared" si="1"/>
        <v>(n): đi mua đồ</v>
      </c>
      <c r="I3546" s="6" t="s">
        <v>19351</v>
      </c>
      <c r="J3546" s="6" t="s">
        <v>19352</v>
      </c>
      <c r="K3546" s="7">
        <f t="shared" si="2"/>
        <v>0.3227234049</v>
      </c>
    </row>
    <row r="3547">
      <c r="A3547" s="4">
        <v>3547.0</v>
      </c>
      <c r="B3547" s="5" t="s">
        <v>19353</v>
      </c>
      <c r="C3547" s="5" t="s">
        <v>19353</v>
      </c>
      <c r="D3547" s="5" t="s">
        <v>19353</v>
      </c>
      <c r="E3547" s="6" t="s">
        <v>85</v>
      </c>
      <c r="F3547" s="6" t="s">
        <v>8923</v>
      </c>
      <c r="G3547" s="3" t="str">
        <f>IFERROR(__xludf.DUMMYFUNCTION("REGEXREPLACE(
D3547,
""([一-龯々]+)\[([^\]]+)\]"",
""&lt;ruby&gt;$1&lt;rt&gt;$2&lt;/rt&gt;&lt;/ruby&gt;""
)&amp;""&lt;br&gt;&lt;div class=""""audio""""&gt;[sound:""&amp;C3547&amp;"".mp3]&lt;/div&gt;"""),"きっちり&lt;br&gt;&lt;div class=""audio""&gt;[sound:きっちり.mp3]&lt;/div&gt;")</f>
        <v>きっちり&lt;br&gt;&lt;div class="audio"&gt;[sound:きっちり.mp3]&lt;/div&gt;</v>
      </c>
      <c r="H3547" s="3" t="str">
        <f t="shared" si="1"/>
        <v>(adv): chính xác</v>
      </c>
      <c r="I3547" s="6" t="s">
        <v>19354</v>
      </c>
      <c r="J3547" s="6" t="s">
        <v>19355</v>
      </c>
      <c r="K3547" s="7">
        <f t="shared" si="2"/>
        <v>0.07639405069</v>
      </c>
    </row>
    <row r="3548">
      <c r="A3548" s="4">
        <v>3548.0</v>
      </c>
      <c r="B3548" s="5" t="s">
        <v>19356</v>
      </c>
      <c r="C3548" s="5" t="s">
        <v>19357</v>
      </c>
      <c r="D3548" s="5" t="s">
        <v>19356</v>
      </c>
      <c r="E3548" s="6" t="s">
        <v>74</v>
      </c>
      <c r="F3548" s="6" t="s">
        <v>19358</v>
      </c>
      <c r="G3548" s="3" t="str">
        <f>IFERROR(__xludf.DUMMYFUNCTION("REGEXREPLACE(
D3548,
""([一-龯々]+)\[([^\]]+)\]"",
""&lt;ruby&gt;$1&lt;rt&gt;$2&lt;/rt&gt;&lt;/ruby&gt;""
)&amp;""&lt;br&gt;&lt;div class=""""audio""""&gt;[sound:""&amp;C3548&amp;"".mp3]&lt;/div&gt;"""),"ジャズ&lt;br&gt;&lt;div class=""audio""&gt;[sound:じゃず.mp3]&lt;/div&gt;")</f>
        <v>ジャズ&lt;br&gt;&lt;div class="audio"&gt;[sound:じゃず.mp3]&lt;/div&gt;</v>
      </c>
      <c r="H3548" s="3" t="str">
        <f t="shared" si="1"/>
        <v>(n): nhạc jazz</v>
      </c>
      <c r="I3548" s="6" t="s">
        <v>19359</v>
      </c>
      <c r="J3548" s="6" t="s">
        <v>19360</v>
      </c>
      <c r="K3548" s="7">
        <f t="shared" si="2"/>
        <v>0.1121474365</v>
      </c>
    </row>
    <row r="3549">
      <c r="A3549" s="4">
        <v>3549.0</v>
      </c>
      <c r="B3549" s="5" t="s">
        <v>19361</v>
      </c>
      <c r="C3549" s="5" t="s">
        <v>19362</v>
      </c>
      <c r="D3549" s="5" t="s">
        <v>19361</v>
      </c>
      <c r="E3549" s="6" t="s">
        <v>74</v>
      </c>
      <c r="F3549" s="6" t="s">
        <v>19363</v>
      </c>
      <c r="G3549" s="3" t="str">
        <f>IFERROR(__xludf.DUMMYFUNCTION("REGEXREPLACE(
D3549,
""([一-龯々]+)\[([^\]]+)\]"",
""&lt;ruby&gt;$1&lt;rt&gt;$2&lt;/rt&gt;&lt;/ruby&gt;""
)&amp;""&lt;br&gt;&lt;div class=""""audio""""&gt;[sound:""&amp;C3549&amp;"".mp3]&lt;/div&gt;"""),"メロディー&lt;br&gt;&lt;div class=""audio""&gt;[sound:めろでぃー.mp3]&lt;/div&gt;")</f>
        <v>メロディー&lt;br&gt;&lt;div class="audio"&gt;[sound:めろでぃー.mp3]&lt;/div&gt;</v>
      </c>
      <c r="H3549" s="3" t="str">
        <f t="shared" si="1"/>
        <v>(n): giai điệu</v>
      </c>
      <c r="I3549" s="6" t="s">
        <v>19364</v>
      </c>
      <c r="J3549" s="6" t="s">
        <v>19365</v>
      </c>
      <c r="K3549" s="7">
        <f t="shared" si="2"/>
        <v>0.0006163775563</v>
      </c>
    </row>
    <row r="3550">
      <c r="A3550" s="4">
        <v>3550.0</v>
      </c>
      <c r="B3550" s="5" t="s">
        <v>19366</v>
      </c>
      <c r="C3550" s="5" t="s">
        <v>19367</v>
      </c>
      <c r="D3550" s="5" t="s">
        <v>19366</v>
      </c>
      <c r="E3550" s="6" t="s">
        <v>74</v>
      </c>
      <c r="F3550" s="6" t="s">
        <v>19368</v>
      </c>
      <c r="G3550" s="3" t="str">
        <f>IFERROR(__xludf.DUMMYFUNCTION("REGEXREPLACE(
D3550,
""([一-龯々]+)\[([^\]]+)\]"",
""&lt;ruby&gt;$1&lt;rt&gt;$2&lt;/rt&gt;&lt;/ruby&gt;""
)&amp;""&lt;br&gt;&lt;div class=""""audio""""&gt;[sound:""&amp;C3550&amp;"".mp3]&lt;/div&gt;"""),"ロープ&lt;br&gt;&lt;div class=""audio""&gt;[sound:ろーぷ.mp3]&lt;/div&gt;")</f>
        <v>ロープ&lt;br&gt;&lt;div class="audio"&gt;[sound:ろーぷ.mp3]&lt;/div&gt;</v>
      </c>
      <c r="H3550" s="3" t="str">
        <f t="shared" si="1"/>
        <v>(n): dây thừng</v>
      </c>
      <c r="I3550" s="6" t="s">
        <v>19369</v>
      </c>
      <c r="J3550" s="6" t="s">
        <v>19370</v>
      </c>
      <c r="K3550" s="7">
        <f t="shared" si="2"/>
        <v>0.8629151555</v>
      </c>
    </row>
    <row r="3551">
      <c r="A3551" s="4">
        <v>3551.0</v>
      </c>
      <c r="B3551" s="5" t="s">
        <v>19371</v>
      </c>
      <c r="C3551" s="5" t="s">
        <v>19372</v>
      </c>
      <c r="D3551" s="5" t="s">
        <v>19373</v>
      </c>
      <c r="E3551" s="6" t="s">
        <v>74</v>
      </c>
      <c r="F3551" s="6" t="s">
        <v>2181</v>
      </c>
      <c r="G3551" s="3" t="str">
        <f>IFERROR(__xludf.DUMMYFUNCTION("REGEXREPLACE(
D3551,
""([一-龯々]+)\[([^\]]+)\]"",
""&lt;ruby&gt;$1&lt;rt&gt;$2&lt;/rt&gt;&lt;/ruby&gt;""
)&amp;""&lt;br&gt;&lt;div class=""""audio""""&gt;[sound:""&amp;C3551&amp;"".mp3]&lt;/div&gt;"""),"&lt;ruby&gt;中枢&lt;rt&gt;ちゅうすう&lt;/rt&gt;&lt;/ruby&gt;&lt;br&gt;&lt;div class=""audio""&gt;[sound:ちゅうすう.mp3]&lt;/div&gt;")</f>
        <v>&lt;ruby&gt;中枢&lt;rt&gt;ちゅうすう&lt;/rt&gt;&lt;/ruby&gt;&lt;br&gt;&lt;div class="audio"&gt;[sound:ちゅうすう.mp3]&lt;/div&gt;</v>
      </c>
      <c r="H3551" s="3" t="str">
        <f t="shared" si="1"/>
        <v>(n): trung tâm</v>
      </c>
      <c r="I3551" s="6" t="s">
        <v>19374</v>
      </c>
      <c r="J3551" s="6" t="s">
        <v>19375</v>
      </c>
      <c r="K3551" s="7">
        <f t="shared" si="2"/>
        <v>0.9784030707</v>
      </c>
    </row>
    <row r="3552">
      <c r="A3552" s="4">
        <v>3552.0</v>
      </c>
      <c r="B3552" s="5" t="s">
        <v>19376</v>
      </c>
      <c r="C3552" s="5" t="s">
        <v>19377</v>
      </c>
      <c r="D3552" s="5" t="s">
        <v>19378</v>
      </c>
      <c r="E3552" s="6" t="s">
        <v>74</v>
      </c>
      <c r="F3552" s="6" t="s">
        <v>19379</v>
      </c>
      <c r="G3552" s="3" t="str">
        <f>IFERROR(__xludf.DUMMYFUNCTION("REGEXREPLACE(
D3552,
""([一-龯々]+)\[([^\]]+)\]"",
""&lt;ruby&gt;$1&lt;rt&gt;$2&lt;/rt&gt;&lt;/ruby&gt;""
)&amp;""&lt;br&gt;&lt;div class=""""audio""""&gt;[sound:""&amp;C3552&amp;"".mp3]&lt;/div&gt;"""),"&lt;ruby&gt;中立&lt;rt&gt;ちゅうりつ&lt;/rt&gt;&lt;/ruby&gt;&lt;br&gt;&lt;div class=""audio""&gt;[sound:ちゅうりつ.mp3]&lt;/div&gt;")</f>
        <v>&lt;ruby&gt;中立&lt;rt&gt;ちゅうりつ&lt;/rt&gt;&lt;/ruby&gt;&lt;br&gt;&lt;div class="audio"&gt;[sound:ちゅうりつ.mp3]&lt;/div&gt;</v>
      </c>
      <c r="H3552" s="3" t="str">
        <f t="shared" si="1"/>
        <v>(n): trung lập</v>
      </c>
      <c r="I3552" s="6" t="s">
        <v>19380</v>
      </c>
      <c r="J3552" s="6" t="s">
        <v>19381</v>
      </c>
      <c r="K3552" s="7">
        <f t="shared" si="2"/>
        <v>0.1286262579</v>
      </c>
    </row>
    <row r="3553">
      <c r="A3553" s="4">
        <v>3553.0</v>
      </c>
      <c r="B3553" s="5" t="s">
        <v>19382</v>
      </c>
      <c r="C3553" s="5" t="s">
        <v>19383</v>
      </c>
      <c r="D3553" s="5" t="s">
        <v>19384</v>
      </c>
      <c r="E3553" s="6" t="s">
        <v>24</v>
      </c>
      <c r="F3553" s="6" t="s">
        <v>19385</v>
      </c>
      <c r="G3553" s="3" t="str">
        <f>IFERROR(__xludf.DUMMYFUNCTION("REGEXREPLACE(
D3553,
""([一-龯々]+)\[([^\]]+)\]"",
""&lt;ruby&gt;$1&lt;rt&gt;$2&lt;/rt&gt;&lt;/ruby&gt;""
)&amp;""&lt;br&gt;&lt;div class=""""audio""""&gt;[sound:""&amp;C3553&amp;"".mp3]&lt;/div&gt;"""),"&lt;ruby&gt;交&lt;rt&gt;まじ&lt;/rt&gt;&lt;/ruby&gt;わる&lt;br&gt;&lt;div class=""audio""&gt;[sound:まじわる.mp3]&lt;/div&gt;")</f>
        <v>&lt;ruby&gt;交&lt;rt&gt;まじ&lt;/rt&gt;&lt;/ruby&gt;わる&lt;br&gt;&lt;div class="audio"&gt;[sound:まじわる.mp3]&lt;/div&gt;</v>
      </c>
      <c r="H3553" s="3" t="str">
        <f t="shared" si="1"/>
        <v>(v): giao nhau</v>
      </c>
      <c r="I3553" s="6" t="s">
        <v>19386</v>
      </c>
      <c r="J3553" s="6" t="s">
        <v>19387</v>
      </c>
      <c r="K3553" s="7">
        <f t="shared" si="2"/>
        <v>0.3915254348</v>
      </c>
    </row>
    <row r="3554">
      <c r="A3554" s="4">
        <v>3554.0</v>
      </c>
      <c r="B3554" s="5" t="s">
        <v>19388</v>
      </c>
      <c r="C3554" s="5" t="s">
        <v>19389</v>
      </c>
      <c r="D3554" s="5" t="s">
        <v>19390</v>
      </c>
      <c r="E3554" s="6" t="s">
        <v>24</v>
      </c>
      <c r="F3554" s="6" t="s">
        <v>2403</v>
      </c>
      <c r="G3554" s="3" t="str">
        <f>IFERROR(__xludf.DUMMYFUNCTION("REGEXREPLACE(
D3554,
""([一-龯々]+)\[([^\]]+)\]"",
""&lt;ruby&gt;$1&lt;rt&gt;$2&lt;/rt&gt;&lt;/ruby&gt;""
)&amp;""&lt;br&gt;&lt;div class=""""audio""""&gt;[sound:""&amp;C3554&amp;"".mp3]&lt;/div&gt;"""),"&lt;ruby&gt;休&lt;rt&gt;やす&lt;/rt&gt;&lt;/ruby&gt;める&lt;br&gt;&lt;div class=""audio""&gt;[sound:やすめる.mp3]&lt;/div&gt;")</f>
        <v>&lt;ruby&gt;休&lt;rt&gt;やす&lt;/rt&gt;&lt;/ruby&gt;める&lt;br&gt;&lt;div class="audio"&gt;[sound:やすめる.mp3]&lt;/div&gt;</v>
      </c>
      <c r="H3554" s="3" t="str">
        <f t="shared" si="1"/>
        <v>(v): nghỉ ngơi</v>
      </c>
      <c r="I3554" s="6" t="s">
        <v>19391</v>
      </c>
      <c r="J3554" s="6" t="s">
        <v>19392</v>
      </c>
      <c r="K3554" s="7">
        <f t="shared" si="2"/>
        <v>0.7844150444</v>
      </c>
    </row>
    <row r="3555">
      <c r="A3555" s="4">
        <v>3555.0</v>
      </c>
      <c r="B3555" s="5" t="s">
        <v>19393</v>
      </c>
      <c r="C3555" s="5" t="s">
        <v>19394</v>
      </c>
      <c r="D3555" s="5" t="s">
        <v>19395</v>
      </c>
      <c r="E3555" s="6" t="s">
        <v>74</v>
      </c>
      <c r="F3555" s="6" t="s">
        <v>19396</v>
      </c>
      <c r="G3555" s="3" t="str">
        <f>IFERROR(__xludf.DUMMYFUNCTION("REGEXREPLACE(
D3555,
""([一-龯々]+)\[([^\]]+)\]"",
""&lt;ruby&gt;$1&lt;rt&gt;$2&lt;/rt&gt;&lt;/ruby&gt;""
)&amp;""&lt;br&gt;&lt;div class=""""audio""""&gt;[sound:""&amp;C3555&amp;"".mp3]&lt;/div&gt;"""),"&lt;ruby&gt;元素&lt;rt&gt;げんそ&lt;/rt&gt;&lt;/ruby&gt;&lt;br&gt;&lt;div class=""audio""&gt;[sound:げんそ.mp3]&lt;/div&gt;")</f>
        <v>&lt;ruby&gt;元素&lt;rt&gt;げんそ&lt;/rt&gt;&lt;/ruby&gt;&lt;br&gt;&lt;div class="audio"&gt;[sound:げんそ.mp3]&lt;/div&gt;</v>
      </c>
      <c r="H3555" s="3" t="str">
        <f t="shared" si="1"/>
        <v>(n): nguyên tố</v>
      </c>
      <c r="I3555" s="6" t="s">
        <v>19397</v>
      </c>
      <c r="J3555" s="6" t="s">
        <v>19398</v>
      </c>
      <c r="K3555" s="7">
        <f t="shared" si="2"/>
        <v>0.09705935069</v>
      </c>
    </row>
    <row r="3556">
      <c r="A3556" s="4">
        <v>3556.0</v>
      </c>
      <c r="B3556" s="5" t="s">
        <v>19399</v>
      </c>
      <c r="C3556" s="5" t="s">
        <v>19400</v>
      </c>
      <c r="D3556" s="5" t="s">
        <v>19401</v>
      </c>
      <c r="E3556" s="6" t="s">
        <v>11</v>
      </c>
      <c r="F3556" s="6" t="s">
        <v>19402</v>
      </c>
      <c r="G3556" s="3" t="str">
        <f>IFERROR(__xludf.DUMMYFUNCTION("REGEXREPLACE(
D3556,
""([一-龯々]+)\[([^\]]+)\]"",
""&lt;ruby&gt;$1&lt;rt&gt;$2&lt;/rt&gt;&lt;/ruby&gt;""
)&amp;""&lt;br&gt;&lt;div class=""""audio""""&gt;[sound:""&amp;C3556&amp;"".mp3]&lt;/div&gt;"""),"&lt;ruby&gt;円滑&lt;rt&gt;えんかつ&lt;/rt&gt;&lt;/ruby&gt;&lt;br&gt;&lt;div class=""audio""&gt;[sound:えんかつ.mp3]&lt;/div&gt;")</f>
        <v>&lt;ruby&gt;円滑&lt;rt&gt;えんかつ&lt;/rt&gt;&lt;/ruby&gt;&lt;br&gt;&lt;div class="audio"&gt;[sound:えんかつ.mp3]&lt;/div&gt;</v>
      </c>
      <c r="H3556" s="3" t="str">
        <f t="shared" si="1"/>
        <v>(adj): trôi chảy</v>
      </c>
      <c r="I3556" s="6" t="s">
        <v>19403</v>
      </c>
      <c r="J3556" s="6" t="s">
        <v>19404</v>
      </c>
      <c r="K3556" s="7">
        <f t="shared" si="2"/>
        <v>0.5902940216</v>
      </c>
    </row>
    <row r="3557">
      <c r="A3557" s="4">
        <v>3557.0</v>
      </c>
      <c r="B3557" s="5" t="s">
        <v>19405</v>
      </c>
      <c r="C3557" s="5" t="s">
        <v>19406</v>
      </c>
      <c r="D3557" s="5" t="s">
        <v>19407</v>
      </c>
      <c r="E3557" s="6" t="s">
        <v>24</v>
      </c>
      <c r="F3557" s="6" t="s">
        <v>3109</v>
      </c>
      <c r="G3557" s="3" t="str">
        <f>IFERROR(__xludf.DUMMYFUNCTION("REGEXREPLACE(
D3557,
""([一-龯々]+)\[([^\]]+)\]"",
""&lt;ruby&gt;$1&lt;rt&gt;$2&lt;/rt&gt;&lt;/ruby&gt;""
)&amp;""&lt;br&gt;&lt;div class=""""audio""""&gt;[sound:""&amp;C3557&amp;"".mp3]&lt;/div&gt;"""),"&lt;ruby&gt;凝&lt;rt&gt;こ&lt;/rt&gt;&lt;/ruby&gt;らす&lt;br&gt;&lt;div class=""audio""&gt;[sound:こらす.mp3]&lt;/div&gt;")</f>
        <v>&lt;ruby&gt;凝&lt;rt&gt;こ&lt;/rt&gt;&lt;/ruby&gt;らす&lt;br&gt;&lt;div class="audio"&gt;[sound:こらす.mp3]&lt;/div&gt;</v>
      </c>
      <c r="H3557" s="3" t="str">
        <f t="shared" si="1"/>
        <v>(v): tập trung</v>
      </c>
      <c r="I3557" s="6" t="s">
        <v>19408</v>
      </c>
      <c r="J3557" s="6" t="s">
        <v>19409</v>
      </c>
      <c r="K3557" s="7">
        <f t="shared" si="2"/>
        <v>0.142744509</v>
      </c>
    </row>
    <row r="3558">
      <c r="A3558" s="4">
        <v>3558.0</v>
      </c>
      <c r="B3558" s="5" t="s">
        <v>19410</v>
      </c>
      <c r="C3558" s="5" t="s">
        <v>19411</v>
      </c>
      <c r="D3558" s="5" t="s">
        <v>19412</v>
      </c>
      <c r="E3558" s="6" t="s">
        <v>74</v>
      </c>
      <c r="F3558" s="6" t="s">
        <v>19413</v>
      </c>
      <c r="G3558" s="3" t="str">
        <f>IFERROR(__xludf.DUMMYFUNCTION("REGEXREPLACE(
D3558,
""([一-龯々]+)\[([^\]]+)\]"",
""&lt;ruby&gt;$1&lt;rt&gt;$2&lt;/rt&gt;&lt;/ruby&gt;""
)&amp;""&lt;br&gt;&lt;div class=""""audio""""&gt;[sound:""&amp;C3558&amp;"".mp3]&lt;/div&gt;"""),"&lt;ruby&gt;切&lt;rt&gt;き&lt;/rt&gt;&lt;/ruby&gt;れ&lt;ruby&gt;目&lt;rt&gt;め&lt;/rt&gt;&lt;/ruby&gt;&lt;br&gt;&lt;div class=""audio""&gt;[sound:きれめ.mp3]&lt;/div&gt;")</f>
        <v>&lt;ruby&gt;切&lt;rt&gt;き&lt;/rt&gt;&lt;/ruby&gt;れ&lt;ruby&gt;目&lt;rt&gt;め&lt;/rt&gt;&lt;/ruby&gt;&lt;br&gt;&lt;div class="audio"&gt;[sound:きれめ.mp3]&lt;/div&gt;</v>
      </c>
      <c r="H3558" s="3" t="str">
        <f t="shared" si="1"/>
        <v>(n): đường cắt</v>
      </c>
      <c r="I3558" s="6" t="s">
        <v>19414</v>
      </c>
      <c r="J3558" s="6" t="s">
        <v>19415</v>
      </c>
      <c r="K3558" s="7">
        <f t="shared" si="2"/>
        <v>0.07457591961</v>
      </c>
    </row>
    <row r="3559">
      <c r="A3559" s="4">
        <v>3559.0</v>
      </c>
      <c r="B3559" s="5" t="s">
        <v>19416</v>
      </c>
      <c r="C3559" s="5" t="s">
        <v>19417</v>
      </c>
      <c r="D3559" s="5" t="s">
        <v>19418</v>
      </c>
      <c r="E3559" s="6" t="s">
        <v>74</v>
      </c>
      <c r="F3559" s="6" t="s">
        <v>19419</v>
      </c>
      <c r="G3559" s="3" t="str">
        <f>IFERROR(__xludf.DUMMYFUNCTION("REGEXREPLACE(
D3559,
""([一-龯々]+)\[([^\]]+)\]"",
""&lt;ruby&gt;$1&lt;rt&gt;$2&lt;/rt&gt;&lt;/ruby&gt;""
)&amp;""&lt;br&gt;&lt;div class=""""audio""""&gt;[sound:""&amp;C3559&amp;"".mp3]&lt;/div&gt;"""),"&lt;ruby&gt;劇団&lt;rt&gt;げきだん&lt;/rt&gt;&lt;/ruby&gt;&lt;br&gt;&lt;div class=""audio""&gt;[sound:げきだん.mp3]&lt;/div&gt;")</f>
        <v>&lt;ruby&gt;劇団&lt;rt&gt;げきだん&lt;/rt&gt;&lt;/ruby&gt;&lt;br&gt;&lt;div class="audio"&gt;[sound:げきだん.mp3]&lt;/div&gt;</v>
      </c>
      <c r="H3559" s="3" t="str">
        <f t="shared" si="1"/>
        <v>(n): đoàn kịch</v>
      </c>
      <c r="I3559" s="6" t="s">
        <v>19420</v>
      </c>
      <c r="J3559" s="6" t="s">
        <v>19421</v>
      </c>
      <c r="K3559" s="7">
        <f t="shared" si="2"/>
        <v>0.4595206658</v>
      </c>
    </row>
    <row r="3560">
      <c r="A3560" s="4">
        <v>3560.0</v>
      </c>
      <c r="B3560" s="5" t="s">
        <v>19422</v>
      </c>
      <c r="C3560" s="5" t="s">
        <v>19423</v>
      </c>
      <c r="D3560" s="5" t="s">
        <v>19424</v>
      </c>
      <c r="E3560" s="6" t="s">
        <v>74</v>
      </c>
      <c r="F3560" s="6" t="s">
        <v>19425</v>
      </c>
      <c r="G3560" s="3" t="str">
        <f>IFERROR(__xludf.DUMMYFUNCTION("REGEXREPLACE(
D3560,
""([一-龯々]+)\[([^\]]+)\]"",
""&lt;ruby&gt;$1&lt;rt&gt;$2&lt;/rt&gt;&lt;/ruby&gt;""
)&amp;""&lt;br&gt;&lt;div class=""""audio""""&gt;[sound:""&amp;C3560&amp;"".mp3]&lt;/div&gt;"""),"&lt;ruby&gt;同盟&lt;rt&gt;どうめい&lt;/rt&gt;&lt;/ruby&gt;&lt;br&gt;&lt;div class=""audio""&gt;[sound:どうめい.mp3]&lt;/div&gt;")</f>
        <v>&lt;ruby&gt;同盟&lt;rt&gt;どうめい&lt;/rt&gt;&lt;/ruby&gt;&lt;br&gt;&lt;div class="audio"&gt;[sound:どうめい.mp3]&lt;/div&gt;</v>
      </c>
      <c r="H3560" s="3" t="str">
        <f t="shared" si="1"/>
        <v>(n): liên minh</v>
      </c>
      <c r="I3560" s="6" t="s">
        <v>19426</v>
      </c>
      <c r="J3560" s="6" t="s">
        <v>19427</v>
      </c>
      <c r="K3560" s="7">
        <f t="shared" si="2"/>
        <v>0.3130128346</v>
      </c>
    </row>
    <row r="3561">
      <c r="A3561" s="4">
        <v>3561.0</v>
      </c>
      <c r="B3561" s="5" t="s">
        <v>19428</v>
      </c>
      <c r="C3561" s="5" t="s">
        <v>19429</v>
      </c>
      <c r="D3561" s="5" t="s">
        <v>19430</v>
      </c>
      <c r="E3561" s="6" t="s">
        <v>74</v>
      </c>
      <c r="F3561" s="6" t="s">
        <v>19431</v>
      </c>
      <c r="G3561" s="3" t="str">
        <f>IFERROR(__xludf.DUMMYFUNCTION("REGEXREPLACE(
D3561,
""([一-龯々]+)\[([^\]]+)\]"",
""&lt;ruby&gt;$1&lt;rt&gt;$2&lt;/rt&gt;&lt;/ruby&gt;""
)&amp;""&lt;br&gt;&lt;div class=""""audio""""&gt;[sound:""&amp;C3561&amp;"".mp3]&lt;/div&gt;"""),"&lt;ruby&gt;品種&lt;rt&gt;ひんしゅ&lt;/rt&gt;&lt;/ruby&gt;&lt;br&gt;&lt;div class=""audio""&gt;[sound:ひんしゅ.mp3]&lt;/div&gt;")</f>
        <v>&lt;ruby&gt;品種&lt;rt&gt;ひんしゅ&lt;/rt&gt;&lt;/ruby&gt;&lt;br&gt;&lt;div class="audio"&gt;[sound:ひんしゅ.mp3]&lt;/div&gt;</v>
      </c>
      <c r="H3561" s="3" t="str">
        <f t="shared" si="1"/>
        <v>(n): giống cây</v>
      </c>
      <c r="I3561" s="6" t="s">
        <v>19432</v>
      </c>
      <c r="J3561" s="6" t="s">
        <v>19433</v>
      </c>
      <c r="K3561" s="7">
        <f t="shared" si="2"/>
        <v>0.1092013256</v>
      </c>
    </row>
    <row r="3562">
      <c r="A3562" s="4">
        <v>3562.0</v>
      </c>
      <c r="B3562" s="5" t="s">
        <v>19434</v>
      </c>
      <c r="C3562" s="5" t="s">
        <v>19435</v>
      </c>
      <c r="D3562" s="5" t="s">
        <v>19436</v>
      </c>
      <c r="E3562" s="6" t="s">
        <v>74</v>
      </c>
      <c r="F3562" s="6" t="s">
        <v>19437</v>
      </c>
      <c r="G3562" s="3" t="str">
        <f>IFERROR(__xludf.DUMMYFUNCTION("REGEXREPLACE(
D3562,
""([一-龯々]+)\[([^\]]+)\]"",
""&lt;ruby&gt;$1&lt;rt&gt;$2&lt;/rt&gt;&lt;/ruby&gt;""
)&amp;""&lt;br&gt;&lt;div class=""""audio""""&gt;[sound:""&amp;C3562&amp;"".mp3]&lt;/div&gt;"""),"&lt;ruby&gt;執着&lt;rt&gt;しゅうちゃく&lt;/rt&gt;&lt;/ruby&gt;&lt;br&gt;&lt;div class=""audio""&gt;[sound:しゅうちゃく.mp3]&lt;/div&gt;")</f>
        <v>&lt;ruby&gt;執着&lt;rt&gt;しゅうちゃく&lt;/rt&gt;&lt;/ruby&gt;&lt;br&gt;&lt;div class="audio"&gt;[sound:しゅうちゃく.mp3]&lt;/div&gt;</v>
      </c>
      <c r="H3562" s="3" t="str">
        <f t="shared" si="1"/>
        <v>(n): sự gắn bó</v>
      </c>
      <c r="I3562" s="6" t="s">
        <v>19438</v>
      </c>
      <c r="J3562" s="6" t="s">
        <v>19439</v>
      </c>
      <c r="K3562" s="7">
        <f t="shared" si="2"/>
        <v>0.3677262025</v>
      </c>
    </row>
    <row r="3563">
      <c r="A3563" s="4">
        <v>3563.0</v>
      </c>
      <c r="B3563" s="5" t="s">
        <v>19440</v>
      </c>
      <c r="C3563" s="5" t="s">
        <v>19441</v>
      </c>
      <c r="D3563" s="5" t="s">
        <v>19442</v>
      </c>
      <c r="E3563" s="6" t="s">
        <v>74</v>
      </c>
      <c r="F3563" s="6" t="s">
        <v>19443</v>
      </c>
      <c r="G3563" s="3" t="str">
        <f>IFERROR(__xludf.DUMMYFUNCTION("REGEXREPLACE(
D3563,
""([一-龯々]+)\[([^\]]+)\]"",
""&lt;ruby&gt;$1&lt;rt&gt;$2&lt;/rt&gt;&lt;/ruby&gt;""
)&amp;""&lt;br&gt;&lt;div class=""""audio""""&gt;[sound:""&amp;C3563&amp;"".mp3]&lt;/div&gt;"""),"&lt;ruby&gt;夕暮&lt;rt&gt;ゆうぐ&lt;/rt&gt;&lt;/ruby&gt;れ&lt;br&gt;&lt;div class=""audio""&gt;[sound:ゆうぐれ.mp3]&lt;/div&gt;")</f>
        <v>&lt;ruby&gt;夕暮&lt;rt&gt;ゆうぐ&lt;/rt&gt;&lt;/ruby&gt;れ&lt;br&gt;&lt;div class="audio"&gt;[sound:ゆうぐれ.mp3]&lt;/div&gt;</v>
      </c>
      <c r="H3563" s="3" t="str">
        <f t="shared" si="1"/>
        <v>(n): chiều tối</v>
      </c>
      <c r="I3563" s="6" t="s">
        <v>19444</v>
      </c>
      <c r="J3563" s="6" t="s">
        <v>19445</v>
      </c>
      <c r="K3563" s="7">
        <f t="shared" si="2"/>
        <v>0.8434561495</v>
      </c>
    </row>
    <row r="3564">
      <c r="A3564" s="4">
        <v>3564.0</v>
      </c>
      <c r="B3564" s="5" t="s">
        <v>19446</v>
      </c>
      <c r="C3564" s="5" t="s">
        <v>19447</v>
      </c>
      <c r="D3564" s="5" t="s">
        <v>19448</v>
      </c>
      <c r="E3564" s="6" t="s">
        <v>74</v>
      </c>
      <c r="F3564" s="6" t="s">
        <v>19449</v>
      </c>
      <c r="G3564" s="3" t="str">
        <f>IFERROR(__xludf.DUMMYFUNCTION("REGEXREPLACE(
D3564,
""([一-龯々]+)\[([^\]]+)\]"",
""&lt;ruby&gt;$1&lt;rt&gt;$2&lt;/rt&gt;&lt;/ruby&gt;""
)&amp;""&lt;br&gt;&lt;div class=""""audio""""&gt;[sound:""&amp;C3564&amp;"".mp3]&lt;/div&gt;"""),"&lt;ruby&gt;大衆&lt;rt&gt;たいしゅう&lt;/rt&gt;&lt;/ruby&gt;&lt;br&gt;&lt;div class=""audio""&gt;[sound:たいしゅう.mp3]&lt;/div&gt;")</f>
        <v>&lt;ruby&gt;大衆&lt;rt&gt;たいしゅう&lt;/rt&gt;&lt;/ruby&gt;&lt;br&gt;&lt;div class="audio"&gt;[sound:たいしゅう.mp3]&lt;/div&gt;</v>
      </c>
      <c r="H3564" s="3" t="str">
        <f t="shared" si="1"/>
        <v>(n): đại chúng</v>
      </c>
      <c r="I3564" s="6" t="s">
        <v>19450</v>
      </c>
      <c r="J3564" s="6" t="s">
        <v>19451</v>
      </c>
      <c r="K3564" s="7">
        <f t="shared" si="2"/>
        <v>0.08288169028</v>
      </c>
    </row>
    <row r="3565">
      <c r="A3565" s="4">
        <v>3565.0</v>
      </c>
      <c r="B3565" s="5" t="s">
        <v>19452</v>
      </c>
      <c r="C3565" s="5" t="s">
        <v>19453</v>
      </c>
      <c r="D3565" s="5" t="s">
        <v>19454</v>
      </c>
      <c r="E3565" s="6" t="s">
        <v>74</v>
      </c>
      <c r="F3565" s="6" t="s">
        <v>19455</v>
      </c>
      <c r="G3565" s="3" t="str">
        <f>IFERROR(__xludf.DUMMYFUNCTION("REGEXREPLACE(
D3565,
""([一-龯々]+)\[([^\]]+)\]"",
""&lt;ruby&gt;$1&lt;rt&gt;$2&lt;/rt&gt;&lt;/ruby&gt;""
)&amp;""&lt;br&gt;&lt;div class=""""audio""""&gt;[sound:""&amp;C3565&amp;"".mp3]&lt;/div&gt;"""),"&lt;ruby&gt;孤独&lt;rt&gt;こどく&lt;/rt&gt;&lt;/ruby&gt;&lt;br&gt;&lt;div class=""audio""&gt;[sound:こどく.mp3]&lt;/div&gt;")</f>
        <v>&lt;ruby&gt;孤独&lt;rt&gt;こどく&lt;/rt&gt;&lt;/ruby&gt;&lt;br&gt;&lt;div class="audio"&gt;[sound:こどく.mp3]&lt;/div&gt;</v>
      </c>
      <c r="H3565" s="3" t="str">
        <f t="shared" si="1"/>
        <v>(n): sự cô độc</v>
      </c>
      <c r="I3565" s="6" t="s">
        <v>19456</v>
      </c>
      <c r="J3565" s="6" t="s">
        <v>19457</v>
      </c>
      <c r="K3565" s="7">
        <f t="shared" si="2"/>
        <v>0.8565440887</v>
      </c>
    </row>
    <row r="3566">
      <c r="A3566" s="4">
        <v>3566.0</v>
      </c>
      <c r="B3566" s="5" t="s">
        <v>19458</v>
      </c>
      <c r="C3566" s="5" t="s">
        <v>19459</v>
      </c>
      <c r="D3566" s="5" t="s">
        <v>19460</v>
      </c>
      <c r="E3566" s="6" t="s">
        <v>74</v>
      </c>
      <c r="F3566" s="6" t="s">
        <v>19461</v>
      </c>
      <c r="G3566" s="3" t="str">
        <f>IFERROR(__xludf.DUMMYFUNCTION("REGEXREPLACE(
D3566,
""([一-龯々]+)\[([^\]]+)\]"",
""&lt;ruby&gt;$1&lt;rt&gt;$2&lt;/rt&gt;&lt;/ruby&gt;""
)&amp;""&lt;br&gt;&lt;div class=""""audio""""&gt;[sound:""&amp;C3566&amp;"".mp3]&lt;/div&gt;"""),"&lt;ruby&gt;孤立&lt;rt&gt;こりつ&lt;/rt&gt;&lt;/ruby&gt;&lt;br&gt;&lt;div class=""audio""&gt;[sound:こりつ.mp3]&lt;/div&gt;")</f>
        <v>&lt;ruby&gt;孤立&lt;rt&gt;こりつ&lt;/rt&gt;&lt;/ruby&gt;&lt;br&gt;&lt;div class="audio"&gt;[sound:こりつ.mp3]&lt;/div&gt;</v>
      </c>
      <c r="H3566" s="3" t="str">
        <f t="shared" si="1"/>
        <v>(n): sự cô lập</v>
      </c>
      <c r="I3566" s="6" t="s">
        <v>19462</v>
      </c>
      <c r="J3566" s="6" t="s">
        <v>19463</v>
      </c>
      <c r="K3566" s="7">
        <f t="shared" si="2"/>
        <v>0.444396855</v>
      </c>
    </row>
    <row r="3567">
      <c r="A3567" s="4">
        <v>3567.0</v>
      </c>
      <c r="B3567" s="5" t="s">
        <v>19464</v>
      </c>
      <c r="C3567" s="5" t="s">
        <v>19465</v>
      </c>
      <c r="D3567" s="5" t="s">
        <v>19466</v>
      </c>
      <c r="E3567" s="6" t="s">
        <v>74</v>
      </c>
      <c r="F3567" s="6" t="s">
        <v>19467</v>
      </c>
      <c r="G3567" s="3" t="str">
        <f>IFERROR(__xludf.DUMMYFUNCTION("REGEXREPLACE(
D3567,
""([一-龯々]+)\[([^\]]+)\]"",
""&lt;ruby&gt;$1&lt;rt&gt;$2&lt;/rt&gt;&lt;/ruby&gt;""
)&amp;""&lt;br&gt;&lt;div class=""""audio""""&gt;[sound:""&amp;C3567&amp;"".mp3]&lt;/div&gt;"""),"&lt;ruby&gt;津波&lt;rt&gt;つなみ&lt;/rt&gt;&lt;/ruby&gt;&lt;br&gt;&lt;div class=""audio""&gt;[sound:つなみ.mp3]&lt;/div&gt;")</f>
        <v>&lt;ruby&gt;津波&lt;rt&gt;つなみ&lt;/rt&gt;&lt;/ruby&gt;&lt;br&gt;&lt;div class="audio"&gt;[sound:つなみ.mp3]&lt;/div&gt;</v>
      </c>
      <c r="H3567" s="3" t="str">
        <f t="shared" si="1"/>
        <v>(n): sóng thần</v>
      </c>
      <c r="I3567" s="6" t="s">
        <v>19468</v>
      </c>
      <c r="J3567" s="6" t="s">
        <v>19469</v>
      </c>
      <c r="K3567" s="7">
        <f t="shared" si="2"/>
        <v>0.6543882715</v>
      </c>
    </row>
    <row r="3568">
      <c r="A3568" s="4">
        <v>3568.0</v>
      </c>
      <c r="B3568" s="5" t="s">
        <v>19470</v>
      </c>
      <c r="C3568" s="5" t="s">
        <v>19471</v>
      </c>
      <c r="D3568" s="5" t="s">
        <v>19472</v>
      </c>
      <c r="E3568" s="6" t="s">
        <v>85</v>
      </c>
      <c r="F3568" s="6" t="s">
        <v>1581</v>
      </c>
      <c r="G3568" s="3" t="str">
        <f>IFERROR(__xludf.DUMMYFUNCTION("REGEXREPLACE(
D3568,
""([一-龯々]+)\[([^\]]+)\]"",
""&lt;ruby&gt;$1&lt;rt&gt;$2&lt;/rt&gt;&lt;/ruby&gt;""
)&amp;""&lt;br&gt;&lt;div class=""""audio""""&gt;[sound:""&amp;C3568&amp;"".mp3]&lt;/div&gt;"""),"&lt;ruby&gt;無論&lt;rt&gt;むろん&lt;/rt&gt;&lt;/ruby&gt;&lt;br&gt;&lt;div class=""audio""&gt;[sound:むろん.mp3]&lt;/div&gt;")</f>
        <v>&lt;ruby&gt;無論&lt;rt&gt;むろん&lt;/rt&gt;&lt;/ruby&gt;&lt;br&gt;&lt;div class="audio"&gt;[sound:むろん.mp3]&lt;/div&gt;</v>
      </c>
      <c r="H3568" s="3" t="str">
        <f t="shared" si="1"/>
        <v>(adv): tất nhiên</v>
      </c>
      <c r="I3568" s="6" t="s">
        <v>19473</v>
      </c>
      <c r="J3568" s="6" t="s">
        <v>19474</v>
      </c>
      <c r="K3568" s="7">
        <f t="shared" si="2"/>
        <v>0.7098901948</v>
      </c>
    </row>
    <row r="3569">
      <c r="A3569" s="4">
        <v>3569.0</v>
      </c>
      <c r="B3569" s="5" t="s">
        <v>19475</v>
      </c>
      <c r="C3569" s="5" t="s">
        <v>19476</v>
      </c>
      <c r="D3569" s="5" t="s">
        <v>19477</v>
      </c>
      <c r="E3569" s="6" t="s">
        <v>74</v>
      </c>
      <c r="F3569" s="6" t="s">
        <v>19478</v>
      </c>
      <c r="G3569" s="3" t="str">
        <f>IFERROR(__xludf.DUMMYFUNCTION("REGEXREPLACE(
D3569,
""([一-龯々]+)\[([^\]]+)\]"",
""&lt;ruby&gt;$1&lt;rt&gt;$2&lt;/rt&gt;&lt;/ruby&gt;""
)&amp;""&lt;br&gt;&lt;div class=""""audio""""&gt;[sound:""&amp;C3569&amp;"".mp3]&lt;/div&gt;"""),"&lt;ruby&gt;現行&lt;rt&gt;げんこう&lt;/rt&gt;&lt;/ruby&gt;&lt;br&gt;&lt;div class=""audio""&gt;[sound:げんこう.mp3]&lt;/div&gt;")</f>
        <v>&lt;ruby&gt;現行&lt;rt&gt;げんこう&lt;/rt&gt;&lt;/ruby&gt;&lt;br&gt;&lt;div class="audio"&gt;[sound:げんこう.mp3]&lt;/div&gt;</v>
      </c>
      <c r="H3569" s="3" t="str">
        <f t="shared" si="1"/>
        <v>(n): hiện hành</v>
      </c>
      <c r="I3569" s="6" t="s">
        <v>19479</v>
      </c>
      <c r="J3569" s="6" t="s">
        <v>19480</v>
      </c>
      <c r="K3569" s="7">
        <f t="shared" si="2"/>
        <v>0.08555910806</v>
      </c>
    </row>
    <row r="3570">
      <c r="A3570" s="4">
        <v>3570.0</v>
      </c>
      <c r="B3570" s="5" t="s">
        <v>19481</v>
      </c>
      <c r="C3570" s="5" t="s">
        <v>6192</v>
      </c>
      <c r="D3570" s="5" t="s">
        <v>19482</v>
      </c>
      <c r="E3570" s="6" t="s">
        <v>74</v>
      </c>
      <c r="F3570" s="6" t="s">
        <v>19483</v>
      </c>
      <c r="G3570" s="3" t="str">
        <f>IFERROR(__xludf.DUMMYFUNCTION("REGEXREPLACE(
D3570,
""([一-龯々]+)\[([^\]]+)\]"",
""&lt;ruby&gt;$1&lt;rt&gt;$2&lt;/rt&gt;&lt;/ruby&gt;""
)&amp;""&lt;br&gt;&lt;div class=""""audio""""&gt;[sound:""&amp;C3570&amp;"".mp3]&lt;/div&gt;"""),"&lt;ruby&gt;良心&lt;rt&gt;りょうしん&lt;/rt&gt;&lt;/ruby&gt;&lt;br&gt;&lt;div class=""audio""&gt;[sound:りょうしん.mp3]&lt;/div&gt;")</f>
        <v>&lt;ruby&gt;良心&lt;rt&gt;りょうしん&lt;/rt&gt;&lt;/ruby&gt;&lt;br&gt;&lt;div class="audio"&gt;[sound:りょうしん.mp3]&lt;/div&gt;</v>
      </c>
      <c r="H3570" s="3" t="str">
        <f t="shared" si="1"/>
        <v>(n): lương tâm</v>
      </c>
      <c r="I3570" s="6" t="s">
        <v>19484</v>
      </c>
      <c r="J3570" s="6" t="s">
        <v>19485</v>
      </c>
      <c r="K3570" s="7">
        <f t="shared" si="2"/>
        <v>0.2418446574</v>
      </c>
    </row>
    <row r="3571">
      <c r="A3571" s="4">
        <v>3571.0</v>
      </c>
      <c r="B3571" s="5" t="s">
        <v>19486</v>
      </c>
      <c r="C3571" s="5" t="s">
        <v>19487</v>
      </c>
      <c r="D3571" s="5" t="s">
        <v>19488</v>
      </c>
      <c r="E3571" s="6" t="s">
        <v>74</v>
      </c>
      <c r="F3571" s="6" t="s">
        <v>6884</v>
      </c>
      <c r="G3571" s="3" t="str">
        <f>IFERROR(__xludf.DUMMYFUNCTION("REGEXREPLACE(
D3571,
""([一-龯々]+)\[([^\]]+)\]"",
""&lt;ruby&gt;$1&lt;rt&gt;$2&lt;/rt&gt;&lt;/ruby&gt;""
)&amp;""&lt;br&gt;&lt;div class=""""audio""""&gt;[sound:""&amp;C3571&amp;"".mp3]&lt;/div&gt;"""),"&lt;ruby&gt;見地&lt;rt&gt;けんち&lt;/rt&gt;&lt;/ruby&gt;&lt;br&gt;&lt;div class=""audio""&gt;[sound:けんち.mp3]&lt;/div&gt;")</f>
        <v>&lt;ruby&gt;見地&lt;rt&gt;けんち&lt;/rt&gt;&lt;/ruby&gt;&lt;br&gt;&lt;div class="audio"&gt;[sound:けんち.mp3]&lt;/div&gt;</v>
      </c>
      <c r="H3571" s="3" t="str">
        <f t="shared" si="1"/>
        <v>(n): quan điểm</v>
      </c>
      <c r="I3571" s="6" t="s">
        <v>19489</v>
      </c>
      <c r="J3571" s="6" t="s">
        <v>19490</v>
      </c>
      <c r="K3571" s="7">
        <f t="shared" si="2"/>
        <v>0.4076002339</v>
      </c>
    </row>
    <row r="3572">
      <c r="A3572" s="4">
        <v>3572.0</v>
      </c>
      <c r="B3572" s="5" t="s">
        <v>19491</v>
      </c>
      <c r="C3572" s="5" t="s">
        <v>19492</v>
      </c>
      <c r="D3572" s="5" t="s">
        <v>19493</v>
      </c>
      <c r="E3572" s="6" t="s">
        <v>74</v>
      </c>
      <c r="F3572" s="6" t="s">
        <v>19494</v>
      </c>
      <c r="G3572" s="3" t="str">
        <f>IFERROR(__xludf.DUMMYFUNCTION("REGEXREPLACE(
D3572,
""([一-龯々]+)\[([^\]]+)\]"",
""&lt;ruby&gt;$1&lt;rt&gt;$2&lt;/rt&gt;&lt;/ruby&gt;""
)&amp;""&lt;br&gt;&lt;div class=""""audio""""&gt;[sound:""&amp;C3572&amp;"".mp3]&lt;/div&gt;"""),"&lt;ruby&gt;言論&lt;rt&gt;げんろん&lt;/rt&gt;&lt;/ruby&gt;&lt;br&gt;&lt;div class=""audio""&gt;[sound:げんろん.mp3]&lt;/div&gt;")</f>
        <v>&lt;ruby&gt;言論&lt;rt&gt;げんろん&lt;/rt&gt;&lt;/ruby&gt;&lt;br&gt;&lt;div class="audio"&gt;[sound:げんろん.mp3]&lt;/div&gt;</v>
      </c>
      <c r="H3572" s="3" t="str">
        <f t="shared" si="1"/>
        <v>(n): ngôn luận</v>
      </c>
      <c r="I3572" s="6" t="s">
        <v>19495</v>
      </c>
      <c r="J3572" s="6" t="s">
        <v>19496</v>
      </c>
      <c r="K3572" s="7">
        <f t="shared" si="2"/>
        <v>0.248950528</v>
      </c>
    </row>
    <row r="3573">
      <c r="A3573" s="4">
        <v>3573.0</v>
      </c>
      <c r="B3573" s="5" t="s">
        <v>19497</v>
      </c>
      <c r="C3573" s="5" t="s">
        <v>19498</v>
      </c>
      <c r="D3573" s="5" t="s">
        <v>19499</v>
      </c>
      <c r="E3573" s="6" t="s">
        <v>74</v>
      </c>
      <c r="F3573" s="6" t="s">
        <v>19500</v>
      </c>
      <c r="G3573" s="3" t="str">
        <f>IFERROR(__xludf.DUMMYFUNCTION("REGEXREPLACE(
D3573,
""([一-龯々]+)\[([^\]]+)\]"",
""&lt;ruby&gt;$1&lt;rt&gt;$2&lt;/rt&gt;&lt;/ruby&gt;""
)&amp;""&lt;br&gt;&lt;div class=""""audio""""&gt;[sound:""&amp;C3573&amp;"".mp3]&lt;/div&gt;"""),"&lt;ruby&gt;郷土&lt;rt&gt;きょうど&lt;/rt&gt;&lt;/ruby&gt;&lt;br&gt;&lt;div class=""audio""&gt;[sound:きょうど.mp3]&lt;/div&gt;")</f>
        <v>&lt;ruby&gt;郷土&lt;rt&gt;きょうど&lt;/rt&gt;&lt;/ruby&gt;&lt;br&gt;&lt;div class="audio"&gt;[sound:きょうど.mp3]&lt;/div&gt;</v>
      </c>
      <c r="H3573" s="3" t="str">
        <f t="shared" si="1"/>
        <v>(n): quê hương</v>
      </c>
      <c r="I3573" s="6" t="s">
        <v>19501</v>
      </c>
      <c r="J3573" s="6" t="s">
        <v>19502</v>
      </c>
      <c r="K3573" s="7">
        <f t="shared" si="2"/>
        <v>0.120092686</v>
      </c>
    </row>
    <row r="3574">
      <c r="A3574" s="4">
        <v>3574.0</v>
      </c>
      <c r="B3574" s="5" t="s">
        <v>19503</v>
      </c>
      <c r="C3574" s="5" t="s">
        <v>19504</v>
      </c>
      <c r="D3574" s="5" t="s">
        <v>19505</v>
      </c>
      <c r="E3574" s="6" t="s">
        <v>24</v>
      </c>
      <c r="F3574" s="6" t="s">
        <v>13682</v>
      </c>
      <c r="G3574" s="3" t="str">
        <f>IFERROR(__xludf.DUMMYFUNCTION("REGEXREPLACE(
D3574,
""([一-龯々]+)\[([^\]]+)\]"",
""&lt;ruby&gt;$1&lt;rt&gt;$2&lt;/rt&gt;&lt;/ruby&gt;""
)&amp;""&lt;br&gt;&lt;div class=""""audio""""&gt;[sound:""&amp;C3574&amp;"".mp3]&lt;/div&gt;"""),"&lt;ruby&gt;重&lt;rt&gt;おも&lt;/rt&gt;&lt;/ruby&gt;んじる&lt;br&gt;&lt;div class=""audio""&gt;[sound:おもんじる.mp3]&lt;/div&gt;")</f>
        <v>&lt;ruby&gt;重&lt;rt&gt;おも&lt;/rt&gt;&lt;/ruby&gt;んじる&lt;br&gt;&lt;div class="audio"&gt;[sound:おもんじる.mp3]&lt;/div&gt;</v>
      </c>
      <c r="H3574" s="3" t="str">
        <f t="shared" si="1"/>
        <v>(v): tôn trọng</v>
      </c>
      <c r="I3574" s="6" t="s">
        <v>19506</v>
      </c>
      <c r="J3574" s="6" t="s">
        <v>19507</v>
      </c>
      <c r="K3574" s="7">
        <f t="shared" si="2"/>
        <v>0.103319165</v>
      </c>
    </row>
    <row r="3575">
      <c r="A3575" s="4">
        <v>3575.0</v>
      </c>
      <c r="B3575" s="5" t="s">
        <v>19508</v>
      </c>
      <c r="C3575" s="5" t="s">
        <v>19509</v>
      </c>
      <c r="D3575" s="5" t="s">
        <v>19510</v>
      </c>
      <c r="E3575" s="6" t="s">
        <v>24</v>
      </c>
      <c r="F3575" s="6" t="s">
        <v>19511</v>
      </c>
      <c r="G3575" s="3" t="str">
        <f>IFERROR(__xludf.DUMMYFUNCTION("REGEXREPLACE(
D3575,
""([一-龯々]+)\[([^\]]+)\]"",
""&lt;ruby&gt;$1&lt;rt&gt;$2&lt;/rt&gt;&lt;/ruby&gt;""
)&amp;""&lt;br&gt;&lt;div class=""""audio""""&gt;[sound:""&amp;C3575&amp;"".mp3]&lt;/div&gt;"""),"&lt;ruby&gt;鍛&lt;rt&gt;きた&lt;/rt&gt;&lt;/ruby&gt;える&lt;br&gt;&lt;div class=""audio""&gt;[sound:きたえる.mp3]&lt;/div&gt;")</f>
        <v>&lt;ruby&gt;鍛&lt;rt&gt;きた&lt;/rt&gt;&lt;/ruby&gt;える&lt;br&gt;&lt;div class="audio"&gt;[sound:きたえる.mp3]&lt;/div&gt;</v>
      </c>
      <c r="H3575" s="3" t="str">
        <f t="shared" si="1"/>
        <v>(v): rèn luyện</v>
      </c>
      <c r="I3575" s="6" t="s">
        <v>19512</v>
      </c>
      <c r="J3575" s="6" t="s">
        <v>7048</v>
      </c>
      <c r="K3575" s="7">
        <f t="shared" si="2"/>
        <v>0.4622226854</v>
      </c>
    </row>
    <row r="3576">
      <c r="A3576" s="4">
        <v>3576.0</v>
      </c>
      <c r="B3576" s="5" t="s">
        <v>19513</v>
      </c>
      <c r="C3576" s="5" t="s">
        <v>19514</v>
      </c>
      <c r="D3576" s="5" t="s">
        <v>19515</v>
      </c>
      <c r="E3576" s="6" t="s">
        <v>74</v>
      </c>
      <c r="F3576" s="6" t="s">
        <v>19516</v>
      </c>
      <c r="G3576" s="3" t="str">
        <f>IFERROR(__xludf.DUMMYFUNCTION("REGEXREPLACE(
D3576,
""([一-龯々]+)\[([^\]]+)\]"",
""&lt;ruby&gt;$1&lt;rt&gt;$2&lt;/rt&gt;&lt;/ruby&gt;""
)&amp;""&lt;br&gt;&lt;div class=""""audio""""&gt;[sound:""&amp;C3576&amp;"".mp3]&lt;/div&gt;"""),"&lt;ruby&gt;関税&lt;rt&gt;かんぜい&lt;/rt&gt;&lt;/ruby&gt;&lt;br&gt;&lt;div class=""audio""&gt;[sound:かんぜい.mp3]&lt;/div&gt;")</f>
        <v>&lt;ruby&gt;関税&lt;rt&gt;かんぜい&lt;/rt&gt;&lt;/ruby&gt;&lt;br&gt;&lt;div class="audio"&gt;[sound:かんぜい.mp3]&lt;/div&gt;</v>
      </c>
      <c r="H3576" s="3" t="str">
        <f t="shared" si="1"/>
        <v>(n): thuế quan</v>
      </c>
      <c r="I3576" s="6" t="s">
        <v>19517</v>
      </c>
      <c r="J3576" s="6" t="s">
        <v>19518</v>
      </c>
      <c r="K3576" s="7">
        <f t="shared" si="2"/>
        <v>0.2783531619</v>
      </c>
    </row>
    <row r="3577">
      <c r="A3577" s="4">
        <v>3577.0</v>
      </c>
      <c r="B3577" s="5" t="s">
        <v>19519</v>
      </c>
      <c r="C3577" s="5" t="s">
        <v>19520</v>
      </c>
      <c r="D3577" s="5" t="s">
        <v>19521</v>
      </c>
      <c r="E3577" s="6" t="s">
        <v>74</v>
      </c>
      <c r="F3577" s="6" t="s">
        <v>19522</v>
      </c>
      <c r="G3577" s="3" t="str">
        <f>IFERROR(__xludf.DUMMYFUNCTION("REGEXREPLACE(
D3577,
""([一-龯々]+)\[([^\]]+)\]"",
""&lt;ruby&gt;$1&lt;rt&gt;$2&lt;/rt&gt;&lt;/ruby&gt;""
)&amp;""&lt;br&gt;&lt;div class=""""audio""""&gt;[sound:""&amp;C3577&amp;"".mp3]&lt;/div&gt;"""),"&lt;ruby&gt;風俗&lt;rt&gt;ふうぞく&lt;/rt&gt;&lt;/ruby&gt;&lt;br&gt;&lt;div class=""audio""&gt;[sound:ふうぞく.mp3]&lt;/div&gt;")</f>
        <v>&lt;ruby&gt;風俗&lt;rt&gt;ふうぞく&lt;/rt&gt;&lt;/ruby&gt;&lt;br&gt;&lt;div class="audio"&gt;[sound:ふうぞく.mp3]&lt;/div&gt;</v>
      </c>
      <c r="H3577" s="3" t="str">
        <f t="shared" si="1"/>
        <v>(n): phong tục</v>
      </c>
      <c r="I3577" s="6" t="s">
        <v>19523</v>
      </c>
      <c r="J3577" s="6" t="s">
        <v>19524</v>
      </c>
      <c r="K3577" s="7">
        <f t="shared" si="2"/>
        <v>0.4288445783</v>
      </c>
    </row>
    <row r="3578">
      <c r="A3578" s="4">
        <v>3578.0</v>
      </c>
      <c r="B3578" s="5" t="s">
        <v>19525</v>
      </c>
      <c r="C3578" s="5" t="s">
        <v>19526</v>
      </c>
      <c r="D3578" s="5" t="s">
        <v>19527</v>
      </c>
      <c r="E3578" s="6" t="s">
        <v>24</v>
      </c>
      <c r="F3578" s="6" t="s">
        <v>12039</v>
      </c>
      <c r="G3578" s="3" t="str">
        <f>IFERROR(__xludf.DUMMYFUNCTION("REGEXREPLACE(
D3578,
""([一-龯々]+)\[([^\]]+)\]"",
""&lt;ruby&gt;$1&lt;rt&gt;$2&lt;/rt&gt;&lt;/ruby&gt;""
)&amp;""&lt;br&gt;&lt;div class=""""audio""""&gt;[sound:""&amp;C3578&amp;"".mp3]&lt;/div&gt;"""),"&lt;ruby&gt;取&lt;rt&gt;と&lt;/rt&gt;&lt;/ruby&gt;り&lt;ruby&gt;寄&lt;rt&gt;よ&lt;/rt&gt;&lt;/ruby&gt;せる&lt;br&gt;&lt;div class=""audio""&gt;[sound:とりよせる.mp3]&lt;/div&gt;")</f>
        <v>&lt;ruby&gt;取&lt;rt&gt;と&lt;/rt&gt;&lt;/ruby&gt;り&lt;ruby&gt;寄&lt;rt&gt;よ&lt;/rt&gt;&lt;/ruby&gt;せる&lt;br&gt;&lt;div class="audio"&gt;[sound:とりよせる.mp3]&lt;/div&gt;</v>
      </c>
      <c r="H3578" s="3" t="str">
        <f t="shared" si="1"/>
        <v>(v): đặt hàng</v>
      </c>
      <c r="I3578" s="6" t="s">
        <v>19528</v>
      </c>
      <c r="J3578" s="6" t="s">
        <v>19529</v>
      </c>
      <c r="K3578" s="7">
        <f t="shared" si="2"/>
        <v>0.2952788247</v>
      </c>
    </row>
    <row r="3579">
      <c r="A3579" s="4">
        <v>3579.0</v>
      </c>
      <c r="B3579" s="5" t="s">
        <v>19530</v>
      </c>
      <c r="C3579" s="5" t="s">
        <v>19531</v>
      </c>
      <c r="D3579" s="5" t="s">
        <v>19530</v>
      </c>
      <c r="E3579" s="6" t="s">
        <v>74</v>
      </c>
      <c r="F3579" s="6" t="s">
        <v>19532</v>
      </c>
      <c r="G3579" s="3" t="str">
        <f>IFERROR(__xludf.DUMMYFUNCTION("REGEXREPLACE(
D3579,
""([一-龯々]+)\[([^\]]+)\]"",
""&lt;ruby&gt;$1&lt;rt&gt;$2&lt;/rt&gt;&lt;/ruby&gt;""
)&amp;""&lt;br&gt;&lt;div class=""""audio""""&gt;[sound:""&amp;C3579&amp;"".mp3]&lt;/div&gt;"""),"カクテル&lt;br&gt;&lt;div class=""audio""&gt;[sound:かくてる.mp3]&lt;/div&gt;")</f>
        <v>カクテル&lt;br&gt;&lt;div class="audio"&gt;[sound:かくてる.mp3]&lt;/div&gt;</v>
      </c>
      <c r="H3579" s="3" t="str">
        <f t="shared" si="1"/>
        <v>(n): cocktail</v>
      </c>
      <c r="I3579" s="6" t="s">
        <v>19533</v>
      </c>
      <c r="J3579" s="6" t="s">
        <v>19534</v>
      </c>
      <c r="K3579" s="7">
        <f t="shared" si="2"/>
        <v>0.8396834378</v>
      </c>
    </row>
    <row r="3580">
      <c r="A3580" s="4">
        <v>3580.0</v>
      </c>
      <c r="B3580" s="5" t="s">
        <v>19535</v>
      </c>
      <c r="C3580" s="5" t="s">
        <v>19535</v>
      </c>
      <c r="D3580" s="5" t="s">
        <v>19535</v>
      </c>
      <c r="E3580" s="6" t="s">
        <v>85</v>
      </c>
      <c r="F3580" s="6" t="s">
        <v>19536</v>
      </c>
      <c r="G3580" s="3" t="str">
        <f>IFERROR(__xludf.DUMMYFUNCTION("REGEXREPLACE(
D3580,
""([一-龯々]+)\[([^\]]+)\]"",
""&lt;ruby&gt;$1&lt;rt&gt;$2&lt;/rt&gt;&lt;/ruby&gt;""
)&amp;""&lt;br&gt;&lt;div class=""""audio""""&gt;[sound:""&amp;C3580&amp;"".mp3]&lt;/div&gt;"""),"がっちり&lt;br&gt;&lt;div class=""audio""&gt;[sound:がっちり.mp3]&lt;/div&gt;")</f>
        <v>がっちり&lt;br&gt;&lt;div class="audio"&gt;[sound:がっちり.mp3]&lt;/div&gt;</v>
      </c>
      <c r="H3580" s="3" t="str">
        <f t="shared" si="1"/>
        <v>(adv): chặt chẽ</v>
      </c>
      <c r="I3580" s="6" t="s">
        <v>19537</v>
      </c>
      <c r="J3580" s="6" t="s">
        <v>19538</v>
      </c>
      <c r="K3580" s="7">
        <f t="shared" si="2"/>
        <v>0.005574006193</v>
      </c>
    </row>
    <row r="3581">
      <c r="A3581" s="4">
        <v>3581.0</v>
      </c>
      <c r="B3581" s="5" t="s">
        <v>19539</v>
      </c>
      <c r="C3581" s="5" t="s">
        <v>19540</v>
      </c>
      <c r="D3581" s="5" t="s">
        <v>19539</v>
      </c>
      <c r="E3581" s="6" t="s">
        <v>74</v>
      </c>
      <c r="F3581" s="6" t="s">
        <v>8282</v>
      </c>
      <c r="G3581" s="3" t="str">
        <f>IFERROR(__xludf.DUMMYFUNCTION("REGEXREPLACE(
D3581,
""([一-龯々]+)\[([^\]]+)\]"",
""&lt;ruby&gt;$1&lt;rt&gt;$2&lt;/rt&gt;&lt;/ruby&gt;""
)&amp;""&lt;br&gt;&lt;div class=""""audio""""&gt;[sound:""&amp;C3581&amp;"".mp3]&lt;/div&gt;"""),"ジャンボ&lt;br&gt;&lt;div class=""audio""&gt;[sound:じゃんぼ.mp3]&lt;/div&gt;")</f>
        <v>ジャンボ&lt;br&gt;&lt;div class="audio"&gt;[sound:じゃんぼ.mp3]&lt;/div&gt;</v>
      </c>
      <c r="H3581" s="3" t="str">
        <f t="shared" si="1"/>
        <v>(n): khổng lồ</v>
      </c>
      <c r="I3581" s="6" t="s">
        <v>19541</v>
      </c>
      <c r="J3581" s="6" t="s">
        <v>19542</v>
      </c>
      <c r="K3581" s="7">
        <f t="shared" si="2"/>
        <v>0.03909593993</v>
      </c>
    </row>
    <row r="3582">
      <c r="A3582" s="4">
        <v>3582.0</v>
      </c>
      <c r="B3582" s="5" t="s">
        <v>19543</v>
      </c>
      <c r="C3582" s="5" t="s">
        <v>19543</v>
      </c>
      <c r="D3582" s="5" t="s">
        <v>19543</v>
      </c>
      <c r="E3582" s="6" t="s">
        <v>85</v>
      </c>
      <c r="F3582" s="6" t="s">
        <v>19544</v>
      </c>
      <c r="G3582" s="3" t="str">
        <f>IFERROR(__xludf.DUMMYFUNCTION("REGEXREPLACE(
D3582,
""([一-龯々]+)\[([^\]]+)\]"",
""&lt;ruby&gt;$1&lt;rt&gt;$2&lt;/rt&gt;&lt;/ruby&gt;""
)&amp;""&lt;br&gt;&lt;div class=""""audio""""&gt;[sound:""&amp;C3582&amp;"".mp3]&lt;/div&gt;"""),"ひたすら&lt;br&gt;&lt;div class=""audio""&gt;[sound:ひたすら.mp3]&lt;/div&gt;")</f>
        <v>ひたすら&lt;br&gt;&lt;div class="audio"&gt;[sound:ひたすら.mp3]&lt;/div&gt;</v>
      </c>
      <c r="H3582" s="3" t="str">
        <f t="shared" si="1"/>
        <v>(adv): chỉ biết</v>
      </c>
      <c r="I3582" s="6" t="s">
        <v>19545</v>
      </c>
      <c r="J3582" s="6" t="s">
        <v>19546</v>
      </c>
      <c r="K3582" s="7">
        <f t="shared" si="2"/>
        <v>0.5297694096</v>
      </c>
    </row>
    <row r="3583">
      <c r="A3583" s="4">
        <v>3583.0</v>
      </c>
      <c r="B3583" s="5" t="s">
        <v>19547</v>
      </c>
      <c r="C3583" s="5" t="s">
        <v>19547</v>
      </c>
      <c r="D3583" s="5" t="s">
        <v>19547</v>
      </c>
      <c r="E3583" s="6" t="s">
        <v>85</v>
      </c>
      <c r="F3583" s="6" t="s">
        <v>19548</v>
      </c>
      <c r="G3583" s="3" t="str">
        <f>IFERROR(__xludf.DUMMYFUNCTION("REGEXREPLACE(
D3583,
""([一-龯々]+)\[([^\]]+)\]"",
""&lt;ruby&gt;$1&lt;rt&gt;$2&lt;/rt&gt;&lt;/ruby&gt;""
)&amp;""&lt;br&gt;&lt;div class=""""audio""""&gt;[sound:""&amp;C3583&amp;"".mp3]&lt;/div&gt;"""),"もはや&lt;br&gt;&lt;div class=""audio""&gt;[sound:もはや.mp3]&lt;/div&gt;")</f>
        <v>もはや&lt;br&gt;&lt;div class="audio"&gt;[sound:もはや.mp3]&lt;/div&gt;</v>
      </c>
      <c r="H3583" s="3" t="str">
        <f t="shared" si="1"/>
        <v>(adv): đã...rồi</v>
      </c>
      <c r="I3583" s="6" t="s">
        <v>19549</v>
      </c>
      <c r="J3583" s="6" t="s">
        <v>19550</v>
      </c>
      <c r="K3583" s="7">
        <f t="shared" si="2"/>
        <v>0.799524094</v>
      </c>
    </row>
    <row r="3584">
      <c r="A3584" s="4">
        <v>3584.0</v>
      </c>
      <c r="B3584" s="5" t="s">
        <v>19551</v>
      </c>
      <c r="C3584" s="5" t="s">
        <v>19552</v>
      </c>
      <c r="D3584" s="5" t="s">
        <v>19553</v>
      </c>
      <c r="E3584" s="6" t="s">
        <v>74</v>
      </c>
      <c r="F3584" s="6" t="s">
        <v>19554</v>
      </c>
      <c r="G3584" s="3" t="str">
        <f>IFERROR(__xludf.DUMMYFUNCTION("REGEXREPLACE(
D3584,
""([一-龯々]+)\[([^\]]+)\]"",
""&lt;ruby&gt;$1&lt;rt&gt;$2&lt;/rt&gt;&lt;/ruby&gt;""
)&amp;""&lt;br&gt;&lt;div class=""""audio""""&gt;[sound:""&amp;C3584&amp;"".mp3]&lt;/div&gt;"""),"&lt;ruby&gt;一見&lt;rt&gt;いっけん&lt;/rt&gt;&lt;/ruby&gt;&lt;br&gt;&lt;div class=""audio""&gt;[sound:いっけん.mp3]&lt;/div&gt;")</f>
        <v>&lt;ruby&gt;一見&lt;rt&gt;いっけん&lt;/rt&gt;&lt;/ruby&gt;&lt;br&gt;&lt;div class="audio"&gt;[sound:いっけん.mp3]&lt;/div&gt;</v>
      </c>
      <c r="H3584" s="3" t="str">
        <f t="shared" si="1"/>
        <v>(n): nhìn qua</v>
      </c>
      <c r="I3584" s="6" t="s">
        <v>19555</v>
      </c>
      <c r="J3584" s="6" t="s">
        <v>19556</v>
      </c>
      <c r="K3584" s="7">
        <f t="shared" si="2"/>
        <v>0.7564940318</v>
      </c>
    </row>
    <row r="3585">
      <c r="A3585" s="4">
        <v>3585.0</v>
      </c>
      <c r="B3585" s="5" t="s">
        <v>19557</v>
      </c>
      <c r="C3585" s="5" t="s">
        <v>19558</v>
      </c>
      <c r="D3585" s="5" t="s">
        <v>19559</v>
      </c>
      <c r="E3585" s="6" t="s">
        <v>74</v>
      </c>
      <c r="F3585" s="6" t="s">
        <v>19560</v>
      </c>
      <c r="G3585" s="3" t="str">
        <f>IFERROR(__xludf.DUMMYFUNCTION("REGEXREPLACE(
D3585,
""([一-龯々]+)\[([^\]]+)\]"",
""&lt;ruby&gt;$1&lt;rt&gt;$2&lt;/rt&gt;&lt;/ruby&gt;""
)&amp;""&lt;br&gt;&lt;div class=""""audio""""&gt;[sound:""&amp;C3585&amp;"".mp3]&lt;/div&gt;"""),"&lt;ruby&gt;一部分&lt;rt&gt;いちぶぶん&lt;/rt&gt;&lt;/ruby&gt;&lt;br&gt;&lt;div class=""audio""&gt;[sound:いちぶぶん.mp3]&lt;/div&gt;")</f>
        <v>&lt;ruby&gt;一部分&lt;rt&gt;いちぶぶん&lt;/rt&gt;&lt;/ruby&gt;&lt;br&gt;&lt;div class="audio"&gt;[sound:いちぶぶん.mp3]&lt;/div&gt;</v>
      </c>
      <c r="H3585" s="3" t="str">
        <f t="shared" si="1"/>
        <v>(n): một phần</v>
      </c>
      <c r="I3585" s="6" t="s">
        <v>19561</v>
      </c>
      <c r="J3585" s="6" t="s">
        <v>19562</v>
      </c>
      <c r="K3585" s="7">
        <f t="shared" si="2"/>
        <v>0.7443796868</v>
      </c>
    </row>
    <row r="3586">
      <c r="A3586" s="4">
        <v>3586.0</v>
      </c>
      <c r="B3586" s="5" t="s">
        <v>19563</v>
      </c>
      <c r="C3586" s="5" t="s">
        <v>19564</v>
      </c>
      <c r="D3586" s="5" t="s">
        <v>19565</v>
      </c>
      <c r="E3586" s="6" t="s">
        <v>24</v>
      </c>
      <c r="F3586" s="6" t="s">
        <v>4000</v>
      </c>
      <c r="G3586" s="3" t="str">
        <f>IFERROR(__xludf.DUMMYFUNCTION("REGEXREPLACE(
D3586,
""([一-龯々]+)\[([^\]]+)\]"",
""&lt;ruby&gt;$1&lt;rt&gt;$2&lt;/rt&gt;&lt;/ruby&gt;""
)&amp;""&lt;br&gt;&lt;div class=""""audio""""&gt;[sound:""&amp;C3586&amp;"".mp3]&lt;/div&gt;"""),"&lt;ruby&gt;両立&lt;rt&gt;りょうりつ&lt;/rt&gt;&lt;/ruby&gt;&lt;br&gt;&lt;div class=""audio""&gt;[sound:りょうりつ.mp3]&lt;/div&gt;")</f>
        <v>&lt;ruby&gt;両立&lt;rt&gt;りょうりつ&lt;/rt&gt;&lt;/ruby&gt;&lt;br&gt;&lt;div class="audio"&gt;[sound:りょうりつ.mp3]&lt;/div&gt;</v>
      </c>
      <c r="H3586" s="3" t="str">
        <f t="shared" si="1"/>
        <v>(v): cân bằng</v>
      </c>
      <c r="I3586" s="6" t="s">
        <v>19566</v>
      </c>
      <c r="J3586" s="6" t="s">
        <v>19567</v>
      </c>
      <c r="K3586" s="7">
        <f t="shared" si="2"/>
        <v>0.3434354267</v>
      </c>
    </row>
    <row r="3587">
      <c r="A3587" s="4">
        <v>3587.0</v>
      </c>
      <c r="B3587" s="5" t="s">
        <v>19568</v>
      </c>
      <c r="C3587" s="5" t="s">
        <v>19569</v>
      </c>
      <c r="D3587" s="5" t="s">
        <v>19570</v>
      </c>
      <c r="E3587" s="6" t="s">
        <v>24</v>
      </c>
      <c r="F3587" s="6" t="s">
        <v>19571</v>
      </c>
      <c r="G3587" s="3" t="str">
        <f>IFERROR(__xludf.DUMMYFUNCTION("REGEXREPLACE(
D3587,
""([一-龯々]+)\[([^\]]+)\]"",
""&lt;ruby&gt;$1&lt;rt&gt;$2&lt;/rt&gt;&lt;/ruby&gt;""
)&amp;""&lt;br&gt;&lt;div class=""""audio""""&gt;[sound:""&amp;C3587&amp;"".mp3]&lt;/div&gt;"""),"&lt;ruby&gt;交&lt;rt&gt;まじ&lt;/rt&gt;&lt;/ruby&gt;える&lt;br&gt;&lt;div class=""audio""&gt;[sound:まじえる.mp3]&lt;/div&gt;")</f>
        <v>&lt;ruby&gt;交&lt;rt&gt;まじ&lt;/rt&gt;&lt;/ruby&gt;える&lt;br&gt;&lt;div class="audio"&gt;[sound:まじえる.mp3]&lt;/div&gt;</v>
      </c>
      <c r="H3587" s="3" t="str">
        <f t="shared" si="1"/>
        <v>(v): trộn lẫn</v>
      </c>
      <c r="I3587" s="6" t="s">
        <v>19572</v>
      </c>
      <c r="J3587" s="6" t="s">
        <v>19573</v>
      </c>
      <c r="K3587" s="7">
        <f t="shared" si="2"/>
        <v>0.3426585652</v>
      </c>
    </row>
    <row r="3588">
      <c r="A3588" s="4">
        <v>3588.0</v>
      </c>
      <c r="B3588" s="5" t="s">
        <v>19574</v>
      </c>
      <c r="C3588" s="5" t="s">
        <v>19575</v>
      </c>
      <c r="D3588" s="5" t="s">
        <v>19576</v>
      </c>
      <c r="E3588" s="6" t="s">
        <v>74</v>
      </c>
      <c r="F3588" s="6" t="s">
        <v>3574</v>
      </c>
      <c r="G3588" s="3" t="str">
        <f>IFERROR(__xludf.DUMMYFUNCTION("REGEXREPLACE(
D3588,
""([一-龯々]+)\[([^\]]+)\]"",
""&lt;ruby&gt;$1&lt;rt&gt;$2&lt;/rt&gt;&lt;/ruby&gt;""
)&amp;""&lt;br&gt;&lt;div class=""""audio""""&gt;[sound:""&amp;C3588&amp;"".mp3]&lt;/div&gt;"""),"&lt;ruby&gt;傍&lt;rt&gt;かたわ&lt;/rt&gt;&lt;/ruby&gt;ら&lt;br&gt;&lt;div class=""audio""&gt;[sound:かたわら.mp3]&lt;/div&gt;")</f>
        <v>&lt;ruby&gt;傍&lt;rt&gt;かたわ&lt;/rt&gt;&lt;/ruby&gt;ら&lt;br&gt;&lt;div class="audio"&gt;[sound:かたわら.mp3]&lt;/div&gt;</v>
      </c>
      <c r="H3588" s="3" t="str">
        <f t="shared" si="1"/>
        <v>(n): bên cạnh</v>
      </c>
      <c r="I3588" s="6" t="s">
        <v>19577</v>
      </c>
      <c r="J3588" s="6" t="s">
        <v>19578</v>
      </c>
      <c r="K3588" s="7">
        <f t="shared" si="2"/>
        <v>0.09647480401</v>
      </c>
    </row>
    <row r="3589">
      <c r="A3589" s="4">
        <v>3589.0</v>
      </c>
      <c r="B3589" s="5" t="s">
        <v>19579</v>
      </c>
      <c r="C3589" s="5" t="s">
        <v>6854</v>
      </c>
      <c r="D3589" s="5" t="s">
        <v>19580</v>
      </c>
      <c r="E3589" s="6" t="s">
        <v>74</v>
      </c>
      <c r="F3589" s="6" t="s">
        <v>19581</v>
      </c>
      <c r="G3589" s="3" t="str">
        <f>IFERROR(__xludf.DUMMYFUNCTION("REGEXREPLACE(
D3589,
""([一-龯々]+)\[([^\]]+)\]"",
""&lt;ruby&gt;$1&lt;rt&gt;$2&lt;/rt&gt;&lt;/ruby&gt;""
)&amp;""&lt;br&gt;&lt;div class=""""audio""""&gt;[sound:""&amp;C3589&amp;"".mp3]&lt;/div&gt;"""),"&lt;ruby&gt;公立&lt;rt&gt;こうりつ&lt;/rt&gt;&lt;/ruby&gt;&lt;br&gt;&lt;div class=""audio""&gt;[sound:こうりつ.mp3]&lt;/div&gt;")</f>
        <v>&lt;ruby&gt;公立&lt;rt&gt;こうりつ&lt;/rt&gt;&lt;/ruby&gt;&lt;br&gt;&lt;div class="audio"&gt;[sound:こうりつ.mp3]&lt;/div&gt;</v>
      </c>
      <c r="H3589" s="3" t="str">
        <f t="shared" si="1"/>
        <v>(n): công lập</v>
      </c>
      <c r="I3589" s="6" t="s">
        <v>19582</v>
      </c>
      <c r="J3589" s="6" t="s">
        <v>19583</v>
      </c>
      <c r="K3589" s="7">
        <f t="shared" si="2"/>
        <v>0.2082967006</v>
      </c>
    </row>
    <row r="3590">
      <c r="A3590" s="4">
        <v>3590.0</v>
      </c>
      <c r="B3590" s="5" t="s">
        <v>19584</v>
      </c>
      <c r="C3590" s="5" t="s">
        <v>19585</v>
      </c>
      <c r="D3590" s="5" t="s">
        <v>19586</v>
      </c>
      <c r="E3590" s="6" t="s">
        <v>24</v>
      </c>
      <c r="F3590" s="6" t="s">
        <v>19587</v>
      </c>
      <c r="G3590" s="3" t="str">
        <f>IFERROR(__xludf.DUMMYFUNCTION("REGEXREPLACE(
D3590,
""([一-龯々]+)\[([^\]]+)\]"",
""&lt;ruby&gt;$1&lt;rt&gt;$2&lt;/rt&gt;&lt;/ruby&gt;""
)&amp;""&lt;br&gt;&lt;div class=""""audio""""&gt;[sound:""&amp;C3590&amp;"".mp3]&lt;/div&gt;"""),"&lt;ruby&gt;冴&lt;rt&gt;さ&lt;/rt&gt;&lt;/ruby&gt;える&lt;br&gt;&lt;div class=""audio""&gt;[sound:さえる.mp3]&lt;/div&gt;")</f>
        <v>&lt;ruby&gt;冴&lt;rt&gt;さ&lt;/rt&gt;&lt;/ruby&gt;える&lt;br&gt;&lt;div class="audio"&gt;[sound:さえる.mp3]&lt;/div&gt;</v>
      </c>
      <c r="H3590" s="3" t="str">
        <f t="shared" si="1"/>
        <v>(v): tỉnh táo</v>
      </c>
      <c r="I3590" s="6" t="s">
        <v>19588</v>
      </c>
      <c r="J3590" s="6" t="s">
        <v>19589</v>
      </c>
      <c r="K3590" s="7">
        <f t="shared" si="2"/>
        <v>0.7051437586</v>
      </c>
    </row>
    <row r="3591">
      <c r="A3591" s="4">
        <v>3591.0</v>
      </c>
      <c r="B3591" s="5" t="s">
        <v>19590</v>
      </c>
      <c r="C3591" s="5" t="s">
        <v>16541</v>
      </c>
      <c r="D3591" s="5" t="s">
        <v>19591</v>
      </c>
      <c r="E3591" s="6" t="s">
        <v>74</v>
      </c>
      <c r="F3591" s="6" t="s">
        <v>19592</v>
      </c>
      <c r="G3591" s="3" t="str">
        <f>IFERROR(__xludf.DUMMYFUNCTION("REGEXREPLACE(
D3591,
""([一-龯々]+)\[([^\]]+)\]"",
""&lt;ruby&gt;$1&lt;rt&gt;$2&lt;/rt&gt;&lt;/ruby&gt;""
)&amp;""&lt;br&gt;&lt;div class=""""audio""""&gt;[sound:""&amp;C3591&amp;"".mp3]&lt;/div&gt;"""),"&lt;ruby&gt;刃&lt;rt&gt;は&lt;/rt&gt;&lt;/ruby&gt;&lt;br&gt;&lt;div class=""audio""&gt;[sound:は.mp3]&lt;/div&gt;")</f>
        <v>&lt;ruby&gt;刃&lt;rt&gt;は&lt;/rt&gt;&lt;/ruby&gt;&lt;br&gt;&lt;div class="audio"&gt;[sound:は.mp3]&lt;/div&gt;</v>
      </c>
      <c r="H3591" s="3" t="str">
        <f t="shared" si="1"/>
        <v>(n): lưỡi dao</v>
      </c>
      <c r="I3591" s="6" t="s">
        <v>19593</v>
      </c>
      <c r="J3591" s="6" t="s">
        <v>19594</v>
      </c>
      <c r="K3591" s="7">
        <f t="shared" si="2"/>
        <v>0.9654677568</v>
      </c>
    </row>
    <row r="3592">
      <c r="A3592" s="4">
        <v>3592.0</v>
      </c>
      <c r="B3592" s="5" t="s">
        <v>19595</v>
      </c>
      <c r="C3592" s="5" t="s">
        <v>19596</v>
      </c>
      <c r="D3592" s="5" t="s">
        <v>19597</v>
      </c>
      <c r="E3592" s="6" t="s">
        <v>74</v>
      </c>
      <c r="F3592" s="6" t="s">
        <v>6391</v>
      </c>
      <c r="G3592" s="3" t="str">
        <f>IFERROR(__xludf.DUMMYFUNCTION("REGEXREPLACE(
D3592,
""([一-龯々]+)\[([^\]]+)\]"",
""&lt;ruby&gt;$1&lt;rt&gt;$2&lt;/rt&gt;&lt;/ruby&gt;""
)&amp;""&lt;br&gt;&lt;div class=""""audio""""&gt;[sound:""&amp;C3592&amp;"".mp3]&lt;/div&gt;"""),"&lt;ruby&gt;効&lt;rt&gt;き&lt;/rt&gt;&lt;/ruby&gt;き&lt;ruby&gt;目&lt;rt&gt;め&lt;/rt&gt;&lt;/ruby&gt;&lt;br&gt;&lt;div class=""audio""&gt;[sound:ききめ.mp3]&lt;/div&gt;")</f>
        <v>&lt;ruby&gt;効&lt;rt&gt;き&lt;/rt&gt;&lt;/ruby&gt;き&lt;ruby&gt;目&lt;rt&gt;め&lt;/rt&gt;&lt;/ruby&gt;&lt;br&gt;&lt;div class="audio"&gt;[sound:ききめ.mp3]&lt;/div&gt;</v>
      </c>
      <c r="H3592" s="3" t="str">
        <f t="shared" si="1"/>
        <v>(n): hiệu quả</v>
      </c>
      <c r="I3592" s="6" t="s">
        <v>19598</v>
      </c>
      <c r="J3592" s="6" t="s">
        <v>17756</v>
      </c>
      <c r="K3592" s="7">
        <f t="shared" si="2"/>
        <v>0.4303664039</v>
      </c>
    </row>
    <row r="3593">
      <c r="A3593" s="4">
        <v>3593.0</v>
      </c>
      <c r="B3593" s="5" t="s">
        <v>19599</v>
      </c>
      <c r="C3593" s="5" t="s">
        <v>19600</v>
      </c>
      <c r="D3593" s="5" t="s">
        <v>19601</v>
      </c>
      <c r="E3593" s="6" t="s">
        <v>74</v>
      </c>
      <c r="F3593" s="6" t="s">
        <v>19602</v>
      </c>
      <c r="G3593" s="3" t="str">
        <f>IFERROR(__xludf.DUMMYFUNCTION("REGEXREPLACE(
D3593,
""([一-龯々]+)\[([^\]]+)\]"",
""&lt;ruby&gt;$1&lt;rt&gt;$2&lt;/rt&gt;&lt;/ruby&gt;""
)&amp;""&lt;br&gt;&lt;div class=""""audio""""&gt;[sound:""&amp;C3593&amp;"".mp3]&lt;/div&gt;"""),"&lt;ruby&gt;動力&lt;rt&gt;どうりょく&lt;/rt&gt;&lt;/ruby&gt;&lt;br&gt;&lt;div class=""audio""&gt;[sound:どうりょく.mp3]&lt;/div&gt;")</f>
        <v>&lt;ruby&gt;動力&lt;rt&gt;どうりょく&lt;/rt&gt;&lt;/ruby&gt;&lt;br&gt;&lt;div class="audio"&gt;[sound:どうりょく.mp3]&lt;/div&gt;</v>
      </c>
      <c r="H3593" s="3" t="str">
        <f t="shared" si="1"/>
        <v>(n): động lực</v>
      </c>
      <c r="I3593" s="6" t="s">
        <v>19603</v>
      </c>
      <c r="J3593" s="6" t="s">
        <v>19604</v>
      </c>
      <c r="K3593" s="7">
        <f t="shared" si="2"/>
        <v>0.4231264127</v>
      </c>
    </row>
    <row r="3594">
      <c r="A3594" s="4">
        <v>3594.0</v>
      </c>
      <c r="B3594" s="5" t="s">
        <v>19605</v>
      </c>
      <c r="C3594" s="5" t="s">
        <v>19606</v>
      </c>
      <c r="D3594" s="5" t="s">
        <v>19607</v>
      </c>
      <c r="E3594" s="6" t="s">
        <v>74</v>
      </c>
      <c r="F3594" s="6" t="s">
        <v>19608</v>
      </c>
      <c r="G3594" s="3" t="str">
        <f>IFERROR(__xludf.DUMMYFUNCTION("REGEXREPLACE(
D3594,
""([一-龯々]+)\[([^\]]+)\]"",
""&lt;ruby&gt;$1&lt;rt&gt;$2&lt;/rt&gt;&lt;/ruby&gt;""
)&amp;""&lt;br&gt;&lt;div class=""""audio""""&gt;[sound:""&amp;C3594&amp;"".mp3]&lt;/div&gt;"""),"&lt;ruby&gt;勧誘&lt;rt&gt;かんゆう&lt;/rt&gt;&lt;/ruby&gt;&lt;br&gt;&lt;div class=""audio""&gt;[sound:かんゆう.mp3]&lt;/div&gt;")</f>
        <v>&lt;ruby&gt;勧誘&lt;rt&gt;かんゆう&lt;/rt&gt;&lt;/ruby&gt;&lt;br&gt;&lt;div class="audio"&gt;[sound:かんゆう.mp3]&lt;/div&gt;</v>
      </c>
      <c r="H3594" s="3" t="str">
        <f t="shared" si="1"/>
        <v>(n): sự dụ dỗ</v>
      </c>
      <c r="I3594" s="6" t="s">
        <v>19609</v>
      </c>
      <c r="J3594" s="6" t="s">
        <v>19610</v>
      </c>
      <c r="K3594" s="7">
        <f t="shared" si="2"/>
        <v>0.1509555034</v>
      </c>
    </row>
    <row r="3595">
      <c r="A3595" s="4">
        <v>3595.0</v>
      </c>
      <c r="B3595" s="5" t="s">
        <v>19611</v>
      </c>
      <c r="C3595" s="5" t="s">
        <v>19612</v>
      </c>
      <c r="D3595" s="5" t="s">
        <v>19613</v>
      </c>
      <c r="E3595" s="6" t="s">
        <v>24</v>
      </c>
      <c r="F3595" s="6" t="s">
        <v>19614</v>
      </c>
      <c r="G3595" s="3" t="str">
        <f>IFERROR(__xludf.DUMMYFUNCTION("REGEXREPLACE(
D3595,
""([一-龯々]+)\[([^\]]+)\]"",
""&lt;ruby&gt;$1&lt;rt&gt;$2&lt;/rt&gt;&lt;/ruby&gt;""
)&amp;""&lt;br&gt;&lt;div class=""""audio""""&gt;[sound:""&amp;C3595&amp;"".mp3]&lt;/div&gt;"""),"&lt;ruby&gt;化&lt;rt&gt;ば&lt;/rt&gt;&lt;/ruby&gt;ける&lt;br&gt;&lt;div class=""audio""&gt;[sound:ばける.mp3]&lt;/div&gt;")</f>
        <v>&lt;ruby&gt;化&lt;rt&gt;ば&lt;/rt&gt;&lt;/ruby&gt;ける&lt;br&gt;&lt;div class="audio"&gt;[sound:ばける.mp3]&lt;/div&gt;</v>
      </c>
      <c r="H3595" s="3" t="str">
        <f t="shared" si="1"/>
        <v>(v): biến hóa</v>
      </c>
      <c r="I3595" s="6" t="s">
        <v>19615</v>
      </c>
      <c r="J3595" s="6" t="s">
        <v>19616</v>
      </c>
      <c r="K3595" s="7">
        <f t="shared" si="2"/>
        <v>0.7976957867</v>
      </c>
    </row>
    <row r="3596">
      <c r="A3596" s="4">
        <v>3596.0</v>
      </c>
      <c r="B3596" s="5" t="s">
        <v>19617</v>
      </c>
      <c r="C3596" s="5" t="s">
        <v>19618</v>
      </c>
      <c r="D3596" s="5" t="s">
        <v>19619</v>
      </c>
      <c r="E3596" s="6" t="s">
        <v>74</v>
      </c>
      <c r="F3596" s="6" t="s">
        <v>19620</v>
      </c>
      <c r="G3596" s="3" t="str">
        <f>IFERROR(__xludf.DUMMYFUNCTION("REGEXREPLACE(
D3596,
""([一-龯々]+)\[([^\]]+)\]"",
""&lt;ruby&gt;$1&lt;rt&gt;$2&lt;/rt&gt;&lt;/ruby&gt;""
)&amp;""&lt;br&gt;&lt;div class=""""audio""""&gt;[sound:""&amp;C3596&amp;"".mp3]&lt;/div&gt;"""),"&lt;ruby&gt;区切&lt;rt&gt;くぎ&lt;/rt&gt;&lt;/ruby&gt;り&lt;br&gt;&lt;div class=""audio""&gt;[sound:くぎり.mp3]&lt;/div&gt;")</f>
        <v>&lt;ruby&gt;区切&lt;rt&gt;くぎ&lt;/rt&gt;&lt;/ruby&gt;り&lt;br&gt;&lt;div class="audio"&gt;[sound:くぎり.mp3]&lt;/div&gt;</v>
      </c>
      <c r="H3596" s="3" t="str">
        <f t="shared" si="1"/>
        <v>(n): dấu ngăn</v>
      </c>
      <c r="I3596" s="6" t="s">
        <v>19621</v>
      </c>
      <c r="J3596" s="6" t="s">
        <v>19622</v>
      </c>
      <c r="K3596" s="7">
        <f t="shared" si="2"/>
        <v>0.4334069319</v>
      </c>
    </row>
    <row r="3597">
      <c r="A3597" s="4">
        <v>3597.0</v>
      </c>
      <c r="B3597" s="5" t="s">
        <v>19623</v>
      </c>
      <c r="C3597" s="5" t="s">
        <v>19624</v>
      </c>
      <c r="D3597" s="5" t="s">
        <v>19625</v>
      </c>
      <c r="E3597" s="6" t="s">
        <v>11</v>
      </c>
      <c r="F3597" s="6" t="s">
        <v>10115</v>
      </c>
      <c r="G3597" s="3" t="str">
        <f>IFERROR(__xludf.DUMMYFUNCTION("REGEXREPLACE(
D3597,
""([一-龯々]+)\[([^\]]+)\]"",
""&lt;ruby&gt;$1&lt;rt&gt;$2&lt;/rt&gt;&lt;/ruby&gt;""
)&amp;""&lt;br&gt;&lt;div class=""""audio""""&gt;[sound:""&amp;C3597&amp;"".mp3]&lt;/div&gt;"""),"&lt;ruby&gt;単一&lt;rt&gt;たんいつ&lt;/rt&gt;&lt;/ruby&gt;&lt;br&gt;&lt;div class=""audio""&gt;[sound:たんいつ.mp3]&lt;/div&gt;")</f>
        <v>&lt;ruby&gt;単一&lt;rt&gt;たんいつ&lt;/rt&gt;&lt;/ruby&gt;&lt;br&gt;&lt;div class="audio"&gt;[sound:たんいつ.mp3]&lt;/div&gt;</v>
      </c>
      <c r="H3597" s="3" t="str">
        <f t="shared" si="1"/>
        <v>(adj): duy nhất</v>
      </c>
      <c r="I3597" s="6" t="s">
        <v>19626</v>
      </c>
      <c r="J3597" s="6" t="s">
        <v>19627</v>
      </c>
      <c r="K3597" s="7">
        <f t="shared" si="2"/>
        <v>0.4945760975</v>
      </c>
    </row>
    <row r="3598">
      <c r="A3598" s="4">
        <v>3598.0</v>
      </c>
      <c r="B3598" s="5" t="s">
        <v>19628</v>
      </c>
      <c r="C3598" s="5" t="s">
        <v>19629</v>
      </c>
      <c r="D3598" s="5" t="s">
        <v>19630</v>
      </c>
      <c r="E3598" s="6" t="s">
        <v>24</v>
      </c>
      <c r="F3598" s="6" t="s">
        <v>19631</v>
      </c>
      <c r="G3598" s="3" t="str">
        <f>IFERROR(__xludf.DUMMYFUNCTION("REGEXREPLACE(
D3598,
""([一-龯々]+)\[([^\]]+)\]"",
""&lt;ruby&gt;$1&lt;rt&gt;$2&lt;/rt&gt;&lt;/ruby&gt;""
)&amp;""&lt;br&gt;&lt;div class=""""audio""""&gt;[sound:""&amp;C3598&amp;"".mp3]&lt;/div&gt;"""),"&lt;ruby&gt;即&lt;rt&gt;そく&lt;/rt&gt;&lt;/ruby&gt;する&lt;br&gt;&lt;div class=""audio""&gt;[sound:そくする.mp3]&lt;/div&gt;")</f>
        <v>&lt;ruby&gt;即&lt;rt&gt;そく&lt;/rt&gt;&lt;/ruby&gt;する&lt;br&gt;&lt;div class="audio"&gt;[sound:そくする.mp3]&lt;/div&gt;</v>
      </c>
      <c r="H3598" s="3" t="str">
        <f t="shared" si="1"/>
        <v>(v): theo sát</v>
      </c>
      <c r="I3598" s="6" t="s">
        <v>19632</v>
      </c>
      <c r="J3598" s="6" t="s">
        <v>19633</v>
      </c>
      <c r="K3598" s="7">
        <f t="shared" si="2"/>
        <v>0.07819105315</v>
      </c>
    </row>
    <row r="3599">
      <c r="A3599" s="4">
        <v>3599.0</v>
      </c>
      <c r="B3599" s="5" t="s">
        <v>19634</v>
      </c>
      <c r="C3599" s="5" t="s">
        <v>19635</v>
      </c>
      <c r="D3599" s="5" t="s">
        <v>19636</v>
      </c>
      <c r="E3599" s="6" t="s">
        <v>24</v>
      </c>
      <c r="F3599" s="6" t="s">
        <v>19637</v>
      </c>
      <c r="G3599" s="3" t="str">
        <f>IFERROR(__xludf.DUMMYFUNCTION("REGEXREPLACE(
D3599,
""([一-龯々]+)\[([^\]]+)\]"",
""&lt;ruby&gt;$1&lt;rt&gt;$2&lt;/rt&gt;&lt;/ruby&gt;""
)&amp;""&lt;br&gt;&lt;div class=""""audio""""&gt;[sound:""&amp;C3599&amp;"".mp3]&lt;/div&gt;"""),"&lt;ruby&gt;取&lt;rt&gt;と&lt;/rt&gt;&lt;/ruby&gt;り&lt;ruby&gt;立&lt;rt&gt;た&lt;/rt&gt;&lt;/ruby&gt;てる&lt;br&gt;&lt;div class=""audio""&gt;[sound:とりたてる.mp3]&lt;/div&gt;")</f>
        <v>&lt;ruby&gt;取&lt;rt&gt;と&lt;/rt&gt;&lt;/ruby&gt;り&lt;ruby&gt;立&lt;rt&gt;た&lt;/rt&gt;&lt;/ruby&gt;てる&lt;br&gt;&lt;div class="audio"&gt;[sound:とりたてる.mp3]&lt;/div&gt;</v>
      </c>
      <c r="H3599" s="3" t="str">
        <f t="shared" si="1"/>
        <v>(v): thu</v>
      </c>
      <c r="I3599" s="6" t="s">
        <v>19638</v>
      </c>
      <c r="J3599" s="6" t="s">
        <v>19639</v>
      </c>
      <c r="K3599" s="7">
        <f t="shared" si="2"/>
        <v>0.7229330721</v>
      </c>
    </row>
    <row r="3600">
      <c r="A3600" s="4">
        <v>3600.0</v>
      </c>
      <c r="B3600" s="5" t="s">
        <v>19640</v>
      </c>
      <c r="C3600" s="5" t="s">
        <v>19641</v>
      </c>
      <c r="D3600" s="5" t="s">
        <v>19642</v>
      </c>
      <c r="E3600" s="6" t="s">
        <v>24</v>
      </c>
      <c r="F3600" s="6" t="s">
        <v>5640</v>
      </c>
      <c r="G3600" s="3" t="str">
        <f>IFERROR(__xludf.DUMMYFUNCTION("REGEXREPLACE(
D3600,
""([一-龯々]+)\[([^\]]+)\]"",
""&lt;ruby&gt;$1&lt;rt&gt;$2&lt;/rt&gt;&lt;/ruby&gt;""
)&amp;""&lt;br&gt;&lt;div class=""""audio""""&gt;[sound:""&amp;C3600&amp;"".mp3]&lt;/div&gt;"""),"&lt;ruby&gt;取&lt;rt&gt;と&lt;/rt&gt;&lt;/ruby&gt;り&lt;ruby&gt;調&lt;rt&gt;しら&lt;/rt&gt;&lt;/ruby&gt;べる&lt;br&gt;&lt;div class=""audio""&gt;[sound:とりしらべる.mp3]&lt;/div&gt;")</f>
        <v>&lt;ruby&gt;取&lt;rt&gt;と&lt;/rt&gt;&lt;/ruby&gt;り&lt;ruby&gt;調&lt;rt&gt;しら&lt;/rt&gt;&lt;/ruby&gt;べる&lt;br&gt;&lt;div class="audio"&gt;[sound:とりしらべる.mp3]&lt;/div&gt;</v>
      </c>
      <c r="H3600" s="3" t="str">
        <f t="shared" si="1"/>
        <v>(v): điều tra</v>
      </c>
      <c r="I3600" s="6" t="s">
        <v>19643</v>
      </c>
      <c r="J3600" s="6" t="s">
        <v>19644</v>
      </c>
      <c r="K3600" s="7">
        <f t="shared" si="2"/>
        <v>0.07610574051</v>
      </c>
    </row>
    <row r="3601">
      <c r="A3601" s="4">
        <v>3601.0</v>
      </c>
      <c r="B3601" s="5" t="s">
        <v>19645</v>
      </c>
      <c r="C3601" s="5" t="s">
        <v>19646</v>
      </c>
      <c r="D3601" s="5" t="s">
        <v>19647</v>
      </c>
      <c r="E3601" s="6" t="s">
        <v>74</v>
      </c>
      <c r="F3601" s="6" t="s">
        <v>12706</v>
      </c>
      <c r="G3601" s="3" t="str">
        <f>IFERROR(__xludf.DUMMYFUNCTION("REGEXREPLACE(
D3601,
""([一-龯々]+)\[([^\]]+)\]"",
""&lt;ruby&gt;$1&lt;rt&gt;$2&lt;/rt&gt;&lt;/ruby&gt;""
)&amp;""&lt;br&gt;&lt;div class=""""audio""""&gt;[sound:""&amp;C3601&amp;"".mp3]&lt;/div&gt;"""),"&lt;ruby&gt;台本&lt;rt&gt;だいほん&lt;/rt&gt;&lt;/ruby&gt;&lt;br&gt;&lt;div class=""audio""&gt;[sound:だいほん.mp3]&lt;/div&gt;")</f>
        <v>&lt;ruby&gt;台本&lt;rt&gt;だいほん&lt;/rt&gt;&lt;/ruby&gt;&lt;br&gt;&lt;div class="audio"&gt;[sound:だいほん.mp3]&lt;/div&gt;</v>
      </c>
      <c r="H3601" s="3" t="str">
        <f t="shared" si="1"/>
        <v>(n): kịch bản</v>
      </c>
      <c r="I3601" s="6" t="s">
        <v>19648</v>
      </c>
      <c r="J3601" s="6" t="s">
        <v>19649</v>
      </c>
      <c r="K3601" s="7">
        <f t="shared" si="2"/>
        <v>0.3929578557</v>
      </c>
    </row>
    <row r="3602">
      <c r="A3602" s="4">
        <v>3602.0</v>
      </c>
      <c r="B3602" s="5" t="s">
        <v>19650</v>
      </c>
      <c r="C3602" s="5" t="s">
        <v>19651</v>
      </c>
      <c r="D3602" s="5" t="s">
        <v>19652</v>
      </c>
      <c r="E3602" s="6" t="s">
        <v>24</v>
      </c>
      <c r="F3602" s="6" t="s">
        <v>19653</v>
      </c>
      <c r="G3602" s="3" t="str">
        <f>IFERROR(__xludf.DUMMYFUNCTION("REGEXREPLACE(
D3602,
""([一-龯々]+)\[([^\]]+)\]"",
""&lt;ruby&gt;$1&lt;rt&gt;$2&lt;/rt&gt;&lt;/ruby&gt;""
)&amp;""&lt;br&gt;&lt;div class=""""audio""""&gt;[sound:""&amp;C3602&amp;"".mp3]&lt;/div&gt;"""),"&lt;ruby&gt;嘆&lt;rt&gt;なげ&lt;/rt&gt;&lt;/ruby&gt;く&lt;br&gt;&lt;div class=""audio""&gt;[sound:なげく.mp3]&lt;/div&gt;")</f>
        <v>&lt;ruby&gt;嘆&lt;rt&gt;なげ&lt;/rt&gt;&lt;/ruby&gt;く&lt;br&gt;&lt;div class="audio"&gt;[sound:なげく.mp3]&lt;/div&gt;</v>
      </c>
      <c r="H3602" s="3" t="str">
        <f t="shared" si="1"/>
        <v>(v): than vãn</v>
      </c>
      <c r="I3602" s="6" t="s">
        <v>19654</v>
      </c>
      <c r="J3602" s="6" t="s">
        <v>19655</v>
      </c>
      <c r="K3602" s="7">
        <f t="shared" si="2"/>
        <v>0.5695899823</v>
      </c>
    </row>
    <row r="3603">
      <c r="A3603" s="4">
        <v>3603.0</v>
      </c>
      <c r="B3603" s="5" t="s">
        <v>19656</v>
      </c>
      <c r="C3603" s="5" t="s">
        <v>19657</v>
      </c>
      <c r="D3603" s="5" t="s">
        <v>19658</v>
      </c>
      <c r="E3603" s="6" t="s">
        <v>74</v>
      </c>
      <c r="F3603" s="6" t="s">
        <v>16714</v>
      </c>
      <c r="G3603" s="3" t="str">
        <f>IFERROR(__xludf.DUMMYFUNCTION("REGEXREPLACE(
D3603,
""([一-龯々]+)\[([^\]]+)\]"",
""&lt;ruby&gt;$1&lt;rt&gt;$2&lt;/rt&gt;&lt;/ruby&gt;""
)&amp;""&lt;br&gt;&lt;div class=""""audio""""&gt;[sound:""&amp;C3603&amp;"".mp3]&lt;/div&gt;"""),"&lt;ruby&gt;土台&lt;rt&gt;どだい&lt;/rt&gt;&lt;/ruby&gt;&lt;br&gt;&lt;div class=""audio""&gt;[sound:どだい.mp3]&lt;/div&gt;")</f>
        <v>&lt;ruby&gt;土台&lt;rt&gt;どだい&lt;/rt&gt;&lt;/ruby&gt;&lt;br&gt;&lt;div class="audio"&gt;[sound:どだい.mp3]&lt;/div&gt;</v>
      </c>
      <c r="H3603" s="3" t="str">
        <f t="shared" si="1"/>
        <v>(n): nền tảng</v>
      </c>
      <c r="I3603" s="6" t="s">
        <v>19659</v>
      </c>
      <c r="J3603" s="6" t="s">
        <v>19660</v>
      </c>
      <c r="K3603" s="7">
        <f t="shared" si="2"/>
        <v>0.2025419176</v>
      </c>
    </row>
    <row r="3604">
      <c r="A3604" s="4">
        <v>3604.0</v>
      </c>
      <c r="B3604" s="5" t="s">
        <v>19661</v>
      </c>
      <c r="C3604" s="5" t="s">
        <v>19662</v>
      </c>
      <c r="D3604" s="5" t="s">
        <v>19663</v>
      </c>
      <c r="E3604" s="6" t="s">
        <v>74</v>
      </c>
      <c r="F3604" s="6" t="s">
        <v>19664</v>
      </c>
      <c r="G3604" s="3" t="str">
        <f>IFERROR(__xludf.DUMMYFUNCTION("REGEXREPLACE(
D3604,
""([一-龯々]+)\[([^\]]+)\]"",
""&lt;ruby&gt;$1&lt;rt&gt;$2&lt;/rt&gt;&lt;/ruby&gt;""
)&amp;""&lt;br&gt;&lt;div class=""""audio""""&gt;[sound:""&amp;C3604&amp;"".mp3]&lt;/div&gt;"""),"&lt;ruby&gt;地形&lt;rt&gt;ちけい&lt;/rt&gt;&lt;/ruby&gt;&lt;br&gt;&lt;div class=""audio""&gt;[sound:ちけい.mp3]&lt;/div&gt;")</f>
        <v>&lt;ruby&gt;地形&lt;rt&gt;ちけい&lt;/rt&gt;&lt;/ruby&gt;&lt;br&gt;&lt;div class="audio"&gt;[sound:ちけい.mp3]&lt;/div&gt;</v>
      </c>
      <c r="H3604" s="3" t="str">
        <f t="shared" si="1"/>
        <v>(n): địa hình</v>
      </c>
      <c r="I3604" s="6" t="s">
        <v>19665</v>
      </c>
      <c r="J3604" s="6" t="s">
        <v>19666</v>
      </c>
      <c r="K3604" s="7">
        <f t="shared" si="2"/>
        <v>0.3235850562</v>
      </c>
    </row>
    <row r="3605">
      <c r="A3605" s="4">
        <v>3605.0</v>
      </c>
      <c r="B3605" s="5" t="s">
        <v>19667</v>
      </c>
      <c r="C3605" s="5" t="s">
        <v>19668</v>
      </c>
      <c r="D3605" s="5" t="s">
        <v>19669</v>
      </c>
      <c r="E3605" s="6" t="s">
        <v>74</v>
      </c>
      <c r="F3605" s="6" t="s">
        <v>19670</v>
      </c>
      <c r="G3605" s="3" t="str">
        <f>IFERROR(__xludf.DUMMYFUNCTION("REGEXREPLACE(
D3605,
""([一-龯々]+)\[([^\]]+)\]"",
""&lt;ruby&gt;$1&lt;rt&gt;$2&lt;/rt&gt;&lt;/ruby&gt;""
)&amp;""&lt;br&gt;&lt;div class=""""audio""""&gt;[sound:""&amp;C3605&amp;"".mp3]&lt;/div&gt;"""),"&lt;ruby&gt;地獄&lt;rt&gt;じごく&lt;/rt&gt;&lt;/ruby&gt;&lt;br&gt;&lt;div class=""audio""&gt;[sound:じごく.mp3]&lt;/div&gt;")</f>
        <v>&lt;ruby&gt;地獄&lt;rt&gt;じごく&lt;/rt&gt;&lt;/ruby&gt;&lt;br&gt;&lt;div class="audio"&gt;[sound:じごく.mp3]&lt;/div&gt;</v>
      </c>
      <c r="H3605" s="3" t="str">
        <f t="shared" si="1"/>
        <v>(n): địa ngục</v>
      </c>
      <c r="I3605" s="6" t="s">
        <v>19671</v>
      </c>
      <c r="J3605" s="6" t="s">
        <v>19672</v>
      </c>
      <c r="K3605" s="7">
        <f t="shared" si="2"/>
        <v>0.1362778972</v>
      </c>
    </row>
    <row r="3606">
      <c r="A3606" s="4">
        <v>3606.0</v>
      </c>
      <c r="B3606" s="5" t="s">
        <v>19673</v>
      </c>
      <c r="C3606" s="5" t="s">
        <v>19674</v>
      </c>
      <c r="D3606" s="5" t="s">
        <v>19675</v>
      </c>
      <c r="E3606" s="6" t="s">
        <v>74</v>
      </c>
      <c r="F3606" s="6" t="s">
        <v>19676</v>
      </c>
      <c r="G3606" s="3" t="str">
        <f>IFERROR(__xludf.DUMMYFUNCTION("REGEXREPLACE(
D3606,
""([一-龯々]+)\[([^\]]+)\]"",
""&lt;ruby&gt;$1&lt;rt&gt;$2&lt;/rt&gt;&lt;/ruby&gt;""
)&amp;""&lt;br&gt;&lt;div class=""""audio""""&gt;[sound:""&amp;C3606&amp;"".mp3]&lt;/div&gt;"""),"&lt;ruby&gt;外観&lt;rt&gt;がいかん&lt;/rt&gt;&lt;/ruby&gt;&lt;br&gt;&lt;div class=""audio""&gt;[sound:がいかん.mp3]&lt;/div&gt;")</f>
        <v>&lt;ruby&gt;外観&lt;rt&gt;がいかん&lt;/rt&gt;&lt;/ruby&gt;&lt;br&gt;&lt;div class="audio"&gt;[sound:がいかん.mp3]&lt;/div&gt;</v>
      </c>
      <c r="H3606" s="3" t="str">
        <f t="shared" si="1"/>
        <v>(n): diện mạo</v>
      </c>
      <c r="I3606" s="6" t="s">
        <v>19677</v>
      </c>
      <c r="J3606" s="6" t="s">
        <v>19678</v>
      </c>
      <c r="K3606" s="7">
        <f t="shared" si="2"/>
        <v>0.264076179</v>
      </c>
    </row>
    <row r="3607">
      <c r="A3607" s="4">
        <v>3607.0</v>
      </c>
      <c r="B3607" s="5" t="s">
        <v>19679</v>
      </c>
      <c r="C3607" s="5" t="s">
        <v>19680</v>
      </c>
      <c r="D3607" s="5" t="s">
        <v>19681</v>
      </c>
      <c r="E3607" s="6" t="s">
        <v>74</v>
      </c>
      <c r="F3607" s="6" t="s">
        <v>19682</v>
      </c>
      <c r="G3607" s="3" t="str">
        <f>IFERROR(__xludf.DUMMYFUNCTION("REGEXREPLACE(
D3607,
""([一-龯々]+)\[([^\]]+)\]"",
""&lt;ruby&gt;$1&lt;rt&gt;$2&lt;/rt&gt;&lt;/ruby&gt;""
)&amp;""&lt;br&gt;&lt;div class=""""audio""""&gt;[sound:""&amp;C3607&amp;"".mp3]&lt;/div&gt;"""),"&lt;ruby&gt;天下&lt;rt&gt;てんか&lt;/rt&gt;&lt;/ruby&gt;&lt;br&gt;&lt;div class=""audio""&gt;[sound:てんか.mp3]&lt;/div&gt;")</f>
        <v>&lt;ruby&gt;天下&lt;rt&gt;てんか&lt;/rt&gt;&lt;/ruby&gt;&lt;br&gt;&lt;div class="audio"&gt;[sound:てんか.mp3]&lt;/div&gt;</v>
      </c>
      <c r="H3607" s="3" t="str">
        <f t="shared" si="1"/>
        <v>(n): thiên hạ</v>
      </c>
      <c r="I3607" s="6" t="s">
        <v>19683</v>
      </c>
      <c r="J3607" s="6" t="s">
        <v>19684</v>
      </c>
      <c r="K3607" s="7">
        <f t="shared" si="2"/>
        <v>0.3022008513</v>
      </c>
    </row>
    <row r="3608">
      <c r="A3608" s="4">
        <v>3608.0</v>
      </c>
      <c r="B3608" s="5" t="s">
        <v>19685</v>
      </c>
      <c r="C3608" s="5" t="s">
        <v>19686</v>
      </c>
      <c r="D3608" s="5" t="s">
        <v>19687</v>
      </c>
      <c r="E3608" s="6" t="s">
        <v>74</v>
      </c>
      <c r="F3608" s="6" t="s">
        <v>19688</v>
      </c>
      <c r="G3608" s="3" t="str">
        <f>IFERROR(__xludf.DUMMYFUNCTION("REGEXREPLACE(
D3608,
""([一-龯々]+)\[([^\]]+)\]"",
""&lt;ruby&gt;$1&lt;rt&gt;$2&lt;/rt&gt;&lt;/ruby&gt;""
)&amp;""&lt;br&gt;&lt;div class=""""audio""""&gt;[sound:""&amp;C3608&amp;"".mp3]&lt;/div&gt;"""),"&lt;ruby&gt;天地&lt;rt&gt;てんち&lt;/rt&gt;&lt;/ruby&gt;&lt;br&gt;&lt;div class=""audio""&gt;[sound:てんち.mp3]&lt;/div&gt;")</f>
        <v>&lt;ruby&gt;天地&lt;rt&gt;てんち&lt;/rt&gt;&lt;/ruby&gt;&lt;br&gt;&lt;div class="audio"&gt;[sound:てんち.mp3]&lt;/div&gt;</v>
      </c>
      <c r="H3608" s="3" t="str">
        <f t="shared" si="1"/>
        <v>(n): trời đất</v>
      </c>
      <c r="I3608" s="6" t="s">
        <v>19689</v>
      </c>
      <c r="J3608" s="6" t="s">
        <v>19690</v>
      </c>
      <c r="K3608" s="7">
        <f t="shared" si="2"/>
        <v>0.8134878971</v>
      </c>
    </row>
    <row r="3609">
      <c r="A3609" s="4">
        <v>3609.0</v>
      </c>
      <c r="B3609" s="5" t="s">
        <v>19691</v>
      </c>
      <c r="C3609" s="5" t="s">
        <v>19692</v>
      </c>
      <c r="D3609" s="5" t="s">
        <v>19693</v>
      </c>
      <c r="E3609" s="6" t="s">
        <v>11</v>
      </c>
      <c r="F3609" s="6" t="s">
        <v>19694</v>
      </c>
      <c r="G3609" s="3" t="str">
        <f>IFERROR(__xludf.DUMMYFUNCTION("REGEXREPLACE(
D3609,
""([一-龯々]+)\[([^\]]+)\]"",
""&lt;ruby&gt;$1&lt;rt&gt;$2&lt;/rt&gt;&lt;/ruby&gt;""
)&amp;""&lt;br&gt;&lt;div class=""""audio""""&gt;[sound:""&amp;C3609&amp;"".mp3]&lt;/div&gt;"""),"&lt;ruby&gt;完&lt;rt&gt;かん&lt;/rt&gt;&lt;/ruby&gt;ぺき&lt;br&gt;&lt;div class=""audio""&gt;[sound:かんぺき.mp3]&lt;/div&gt;")</f>
        <v>&lt;ruby&gt;完&lt;rt&gt;かん&lt;/rt&gt;&lt;/ruby&gt;ぺき&lt;br&gt;&lt;div class="audio"&gt;[sound:かんぺき.mp3]&lt;/div&gt;</v>
      </c>
      <c r="H3609" s="3" t="str">
        <f t="shared" si="1"/>
        <v>(adj): hoàn hảo</v>
      </c>
      <c r="I3609" s="6" t="s">
        <v>19695</v>
      </c>
      <c r="J3609" s="6" t="s">
        <v>19696</v>
      </c>
      <c r="K3609" s="7">
        <f t="shared" si="2"/>
        <v>0.8521683988</v>
      </c>
    </row>
    <row r="3610">
      <c r="A3610" s="4">
        <v>3610.0</v>
      </c>
      <c r="B3610" s="5" t="s">
        <v>19697</v>
      </c>
      <c r="C3610" s="5" t="s">
        <v>19698</v>
      </c>
      <c r="D3610" s="5" t="s">
        <v>19699</v>
      </c>
      <c r="E3610" s="6" t="s">
        <v>74</v>
      </c>
      <c r="F3610" s="6" t="s">
        <v>19700</v>
      </c>
      <c r="G3610" s="3" t="str">
        <f>IFERROR(__xludf.DUMMYFUNCTION("REGEXREPLACE(
D3610,
""([一-龯々]+)\[([^\]]+)\]"",
""&lt;ruby&gt;$1&lt;rt&gt;$2&lt;/rt&gt;&lt;/ruby&gt;""
)&amp;""&lt;br&gt;&lt;div class=""""audio""""&gt;[sound:""&amp;C3610&amp;"".mp3]&lt;/div&gt;"""),"&lt;ruby&gt;欲望&lt;rt&gt;よくぼう&lt;/rt&gt;&lt;/ruby&gt;&lt;br&gt;&lt;div class=""audio""&gt;[sound:よくぼう.mp3]&lt;/div&gt;")</f>
        <v>&lt;ruby&gt;欲望&lt;rt&gt;よくぼう&lt;/rt&gt;&lt;/ruby&gt;&lt;br&gt;&lt;div class="audio"&gt;[sound:よくぼう.mp3]&lt;/div&gt;</v>
      </c>
      <c r="H3610" s="3" t="str">
        <f t="shared" si="1"/>
        <v>(n): dục vọng</v>
      </c>
      <c r="I3610" s="6" t="s">
        <v>19701</v>
      </c>
      <c r="J3610" s="6" t="s">
        <v>19702</v>
      </c>
      <c r="K3610" s="7">
        <f t="shared" si="2"/>
        <v>0.3423959992</v>
      </c>
    </row>
    <row r="3611">
      <c r="A3611" s="4">
        <v>3611.0</v>
      </c>
      <c r="B3611" s="5" t="s">
        <v>19703</v>
      </c>
      <c r="C3611" s="5" t="s">
        <v>19704</v>
      </c>
      <c r="D3611" s="5" t="s">
        <v>19705</v>
      </c>
      <c r="E3611" s="6" t="s">
        <v>11</v>
      </c>
      <c r="F3611" s="6" t="s">
        <v>19706</v>
      </c>
      <c r="G3611" s="3" t="str">
        <f>IFERROR(__xludf.DUMMYFUNCTION("REGEXREPLACE(
D3611,
""([一-龯々]+)\[([^\]]+)\]"",
""&lt;ruby&gt;$1&lt;rt&gt;$2&lt;/rt&gt;&lt;/ruby&gt;""
)&amp;""&lt;br&gt;&lt;div class=""""audio""""&gt;[sound:""&amp;C3611&amp;"".mp3]&lt;/div&gt;"""),"&lt;ruby&gt;活発&lt;rt&gt;かっぱつ&lt;/rt&gt;&lt;/ruby&gt;&lt;br&gt;&lt;div class=""audio""&gt;[sound:かっぱつ.mp3]&lt;/div&gt;")</f>
        <v>&lt;ruby&gt;活発&lt;rt&gt;かっぱつ&lt;/rt&gt;&lt;/ruby&gt;&lt;br&gt;&lt;div class="audio"&gt;[sound:かっぱつ.mp3]&lt;/div&gt;</v>
      </c>
      <c r="H3611" s="3" t="str">
        <f t="shared" si="1"/>
        <v>(adj): hoạt bát</v>
      </c>
      <c r="I3611" s="6" t="s">
        <v>19707</v>
      </c>
      <c r="J3611" s="6" t="s">
        <v>19708</v>
      </c>
      <c r="K3611" s="7">
        <f t="shared" si="2"/>
        <v>0.854813701</v>
      </c>
    </row>
    <row r="3612">
      <c r="A3612" s="4">
        <v>3612.0</v>
      </c>
      <c r="B3612" s="5" t="s">
        <v>19709</v>
      </c>
      <c r="C3612" s="5" t="s">
        <v>15948</v>
      </c>
      <c r="D3612" s="5" t="s">
        <v>19710</v>
      </c>
      <c r="E3612" s="6" t="s">
        <v>24</v>
      </c>
      <c r="F3612" s="6" t="s">
        <v>19711</v>
      </c>
      <c r="G3612" s="3" t="str">
        <f>IFERROR(__xludf.DUMMYFUNCTION("REGEXREPLACE(
D3612,
""([一-龯々]+)\[([^\]]+)\]"",
""&lt;ruby&gt;$1&lt;rt&gt;$2&lt;/rt&gt;&lt;/ruby&gt;""
)&amp;""&lt;br&gt;&lt;div class=""""audio""""&gt;[sound:""&amp;C3612&amp;"".mp3]&lt;/div&gt;"""),"&lt;ruby&gt;犯&lt;rt&gt;おか&lt;/rt&gt;&lt;/ruby&gt;す&lt;br&gt;&lt;div class=""audio""&gt;[sound:おかす.mp3]&lt;/div&gt;")</f>
        <v>&lt;ruby&gt;犯&lt;rt&gt;おか&lt;/rt&gt;&lt;/ruby&gt;す&lt;br&gt;&lt;div class="audio"&gt;[sound:おかす.mp3]&lt;/div&gt;</v>
      </c>
      <c r="H3612" s="3" t="str">
        <f t="shared" si="1"/>
        <v>(v): phạm</v>
      </c>
      <c r="I3612" s="6" t="s">
        <v>19712</v>
      </c>
      <c r="J3612" s="6" t="s">
        <v>19713</v>
      </c>
      <c r="K3612" s="7">
        <f t="shared" si="2"/>
        <v>0.946442535</v>
      </c>
    </row>
    <row r="3613">
      <c r="A3613" s="4">
        <v>3613.0</v>
      </c>
      <c r="B3613" s="5" t="s">
        <v>19714</v>
      </c>
      <c r="C3613" s="5" t="s">
        <v>19715</v>
      </c>
      <c r="D3613" s="5" t="s">
        <v>19716</v>
      </c>
      <c r="E3613" s="6" t="s">
        <v>11</v>
      </c>
      <c r="F3613" s="6" t="s">
        <v>19717</v>
      </c>
      <c r="G3613" s="3" t="str">
        <f>IFERROR(__xludf.DUMMYFUNCTION("REGEXREPLACE(
D3613,
""([一-龯々]+)\[([^\]]+)\]"",
""&lt;ruby&gt;$1&lt;rt&gt;$2&lt;/rt&gt;&lt;/ruby&gt;""
)&amp;""&lt;br&gt;&lt;div class=""""audio""""&gt;[sound:""&amp;C3613&amp;"".mp3]&lt;/div&gt;"""),"&lt;ruby&gt;華&lt;rt&gt;はな&lt;/rt&gt;&lt;/ruby&gt;やか&lt;br&gt;&lt;div class=""audio""&gt;[sound:はなやか.mp3]&lt;/div&gt;")</f>
        <v>&lt;ruby&gt;華&lt;rt&gt;はな&lt;/rt&gt;&lt;/ruby&gt;やか&lt;br&gt;&lt;div class="audio"&gt;[sound:はなやか.mp3]&lt;/div&gt;</v>
      </c>
      <c r="H3613" s="3" t="str">
        <f t="shared" si="1"/>
        <v>(adj): lộng lẫy</v>
      </c>
      <c r="I3613" s="6" t="s">
        <v>19718</v>
      </c>
      <c r="J3613" s="6" t="s">
        <v>19719</v>
      </c>
      <c r="K3613" s="7">
        <f t="shared" si="2"/>
        <v>0.3032869036</v>
      </c>
    </row>
    <row r="3614">
      <c r="A3614" s="4">
        <v>3614.0</v>
      </c>
      <c r="B3614" s="5" t="s">
        <v>19720</v>
      </c>
      <c r="C3614" s="5" t="s">
        <v>19721</v>
      </c>
      <c r="D3614" s="5" t="s">
        <v>19722</v>
      </c>
      <c r="E3614" s="6" t="s">
        <v>74</v>
      </c>
      <c r="F3614" s="6" t="s">
        <v>19723</v>
      </c>
      <c r="G3614" s="3" t="str">
        <f>IFERROR(__xludf.DUMMYFUNCTION("REGEXREPLACE(
D3614,
""([一-龯々]+)\[([^\]]+)\]"",
""&lt;ruby&gt;$1&lt;rt&gt;$2&lt;/rt&gt;&lt;/ruby&gt;""
)&amp;""&lt;br&gt;&lt;div class=""""audio""""&gt;[sound:""&amp;C3614&amp;"".mp3]&lt;/div&gt;"""),"&lt;ruby&gt;蛋白質&lt;rt&gt;たんぱくしつ&lt;/rt&gt;&lt;/ruby&gt;&lt;br&gt;&lt;div class=""audio""&gt;[sound:たんぱくしつ.mp3]&lt;/div&gt;")</f>
        <v>&lt;ruby&gt;蛋白質&lt;rt&gt;たんぱくしつ&lt;/rt&gt;&lt;/ruby&gt;&lt;br&gt;&lt;div class="audio"&gt;[sound:たんぱくしつ.mp3]&lt;/div&gt;</v>
      </c>
      <c r="H3614" s="3" t="str">
        <f t="shared" si="1"/>
        <v>(n): chất đạm</v>
      </c>
      <c r="I3614" s="6" t="s">
        <v>19724</v>
      </c>
      <c r="J3614" s="6" t="s">
        <v>19725</v>
      </c>
      <c r="K3614" s="7">
        <f t="shared" si="2"/>
        <v>0.6539047332</v>
      </c>
    </row>
    <row r="3615">
      <c r="A3615" s="4">
        <v>3615.0</v>
      </c>
      <c r="B3615" s="5" t="s">
        <v>19726</v>
      </c>
      <c r="C3615" s="5" t="s">
        <v>19727</v>
      </c>
      <c r="D3615" s="5" t="s">
        <v>19728</v>
      </c>
      <c r="E3615" s="6" t="s">
        <v>74</v>
      </c>
      <c r="F3615" s="6" t="s">
        <v>19729</v>
      </c>
      <c r="G3615" s="3" t="str">
        <f>IFERROR(__xludf.DUMMYFUNCTION("REGEXREPLACE(
D3615,
""([一-龯々]+)\[([^\]]+)\]"",
""&lt;ruby&gt;$1&lt;rt&gt;$2&lt;/rt&gt;&lt;/ruby&gt;""
)&amp;""&lt;br&gt;&lt;div class=""""audio""""&gt;[sound:""&amp;C3615&amp;"".mp3]&lt;/div&gt;"""),"&lt;ruby&gt;規範&lt;rt&gt;きはん&lt;/rt&gt;&lt;/ruby&gt;&lt;br&gt;&lt;div class=""audio""&gt;[sound:きはん.mp3]&lt;/div&gt;")</f>
        <v>&lt;ruby&gt;規範&lt;rt&gt;きはん&lt;/rt&gt;&lt;/ruby&gt;&lt;br&gt;&lt;div class="audio"&gt;[sound:きはん.mp3]&lt;/div&gt;</v>
      </c>
      <c r="H3615" s="3" t="str">
        <f t="shared" si="1"/>
        <v>(n): quy phạm</v>
      </c>
      <c r="I3615" s="6" t="s">
        <v>19730</v>
      </c>
      <c r="J3615" s="6" t="s">
        <v>19731</v>
      </c>
      <c r="K3615" s="7">
        <f t="shared" si="2"/>
        <v>0.7843504652</v>
      </c>
    </row>
    <row r="3616">
      <c r="A3616" s="4">
        <v>3616.0</v>
      </c>
      <c r="B3616" s="5" t="s">
        <v>19732</v>
      </c>
      <c r="C3616" s="5" t="s">
        <v>19733</v>
      </c>
      <c r="D3616" s="5" t="s">
        <v>19734</v>
      </c>
      <c r="E3616" s="6" t="s">
        <v>74</v>
      </c>
      <c r="F3616" s="6" t="s">
        <v>14713</v>
      </c>
      <c r="G3616" s="3" t="str">
        <f>IFERROR(__xludf.DUMMYFUNCTION("REGEXREPLACE(
D3616,
""([一-龯々]+)\[([^\]]+)\]"",
""&lt;ruby&gt;$1&lt;rt&gt;$2&lt;/rt&gt;&lt;/ruby&gt;""
)&amp;""&lt;br&gt;&lt;div class=""""audio""""&gt;[sound:""&amp;C3616&amp;"".mp3]&lt;/div&gt;"""),"&lt;ruby&gt;観衆&lt;rt&gt;かんしゅう&lt;/rt&gt;&lt;/ruby&gt;&lt;br&gt;&lt;div class=""audio""&gt;[sound:かんしゅう.mp3]&lt;/div&gt;")</f>
        <v>&lt;ruby&gt;観衆&lt;rt&gt;かんしゅう&lt;/rt&gt;&lt;/ruby&gt;&lt;br&gt;&lt;div class="audio"&gt;[sound:かんしゅう.mp3]&lt;/div&gt;</v>
      </c>
      <c r="H3616" s="3" t="str">
        <f t="shared" si="1"/>
        <v>(n): khán giả</v>
      </c>
      <c r="I3616" s="6" t="s">
        <v>19735</v>
      </c>
      <c r="J3616" s="6" t="s">
        <v>19736</v>
      </c>
      <c r="K3616" s="7">
        <f t="shared" si="2"/>
        <v>0.8592069583</v>
      </c>
    </row>
    <row r="3617">
      <c r="A3617" s="4">
        <v>3617.0</v>
      </c>
      <c r="B3617" s="5" t="s">
        <v>19737</v>
      </c>
      <c r="C3617" s="5" t="s">
        <v>19738</v>
      </c>
      <c r="D3617" s="5" t="s">
        <v>19739</v>
      </c>
      <c r="E3617" s="6" t="s">
        <v>74</v>
      </c>
      <c r="F3617" s="6" t="s">
        <v>5746</v>
      </c>
      <c r="G3617" s="3" t="str">
        <f>IFERROR(__xludf.DUMMYFUNCTION("REGEXREPLACE(
D3617,
""([一-龯々]+)\[([^\]]+)\]"",
""&lt;ruby&gt;$1&lt;rt&gt;$2&lt;/rt&gt;&lt;/ruby&gt;""
)&amp;""&lt;br&gt;&lt;div class=""""audio""""&gt;[sound:""&amp;C3617&amp;"".mp3]&lt;/div&gt;"""),"&lt;ruby&gt;趣旨&lt;rt&gt;しゅし&lt;/rt&gt;&lt;/ruby&gt;&lt;br&gt;&lt;div class=""audio""&gt;[sound:しゅし.mp3]&lt;/div&gt;")</f>
        <v>&lt;ruby&gt;趣旨&lt;rt&gt;しゅし&lt;/rt&gt;&lt;/ruby&gt;&lt;br&gt;&lt;div class="audio"&gt;[sound:しゅし.mp3]&lt;/div&gt;</v>
      </c>
      <c r="H3617" s="3" t="str">
        <f t="shared" si="1"/>
        <v>(n): mục đích</v>
      </c>
      <c r="I3617" s="6" t="s">
        <v>19740</v>
      </c>
      <c r="J3617" s="6" t="s">
        <v>19741</v>
      </c>
      <c r="K3617" s="7">
        <f t="shared" si="2"/>
        <v>0.7547536846</v>
      </c>
    </row>
    <row r="3618">
      <c r="A3618" s="4">
        <v>3618.0</v>
      </c>
      <c r="B3618" s="5" t="s">
        <v>19742</v>
      </c>
      <c r="C3618" s="5" t="s">
        <v>6963</v>
      </c>
      <c r="D3618" s="5" t="s">
        <v>19743</v>
      </c>
      <c r="E3618" s="6" t="s">
        <v>74</v>
      </c>
      <c r="F3618" s="6" t="s">
        <v>13238</v>
      </c>
      <c r="G3618" s="3" t="str">
        <f>IFERROR(__xludf.DUMMYFUNCTION("REGEXREPLACE(
D3618,
""([一-龯々]+)\[([^\]]+)\]"",
""&lt;ruby&gt;$1&lt;rt&gt;$2&lt;/rt&gt;&lt;/ruby&gt;""
)&amp;""&lt;br&gt;&lt;div class=""""audio""""&gt;[sound:""&amp;C3618&amp;"".mp3]&lt;/div&gt;"""),"&lt;ruby&gt;造&lt;rt&gt;つく&lt;/rt&gt;&lt;/ruby&gt;り&lt;br&gt;&lt;div class=""audio""&gt;[sound:つくり.mp3]&lt;/div&gt;")</f>
        <v>&lt;ruby&gt;造&lt;rt&gt;つく&lt;/rt&gt;&lt;/ruby&gt;り&lt;br&gt;&lt;div class="audio"&gt;[sound:つくり.mp3]&lt;/div&gt;</v>
      </c>
      <c r="H3618" s="3" t="str">
        <f t="shared" si="1"/>
        <v>(n): cấu trúc</v>
      </c>
      <c r="I3618" s="6" t="s">
        <v>19744</v>
      </c>
      <c r="J3618" s="6" t="s">
        <v>19745</v>
      </c>
      <c r="K3618" s="7">
        <f t="shared" si="2"/>
        <v>0.3750353719</v>
      </c>
    </row>
    <row r="3619">
      <c r="A3619" s="4">
        <v>3619.0</v>
      </c>
      <c r="B3619" s="5" t="s">
        <v>19746</v>
      </c>
      <c r="C3619" s="5" t="s">
        <v>19747</v>
      </c>
      <c r="D3619" s="5" t="s">
        <v>19748</v>
      </c>
      <c r="E3619" s="6" t="s">
        <v>74</v>
      </c>
      <c r="F3619" s="6" t="s">
        <v>7323</v>
      </c>
      <c r="G3619" s="3" t="str">
        <f>IFERROR(__xludf.DUMMYFUNCTION("REGEXREPLACE(
D3619,
""([一-龯々]+)\[([^\]]+)\]"",
""&lt;ruby&gt;$1&lt;rt&gt;$2&lt;/rt&gt;&lt;/ruby&gt;""
)&amp;""&lt;br&gt;&lt;div class=""""audio""""&gt;[sound:""&amp;C3619&amp;"".mp3]&lt;/div&gt;"""),"&lt;ruby&gt;運賃&lt;rt&gt;うんちん&lt;/rt&gt;&lt;/ruby&gt;&lt;br&gt;&lt;div class=""audio""&gt;[sound:うんちん.mp3]&lt;/div&gt;")</f>
        <v>&lt;ruby&gt;運賃&lt;rt&gt;うんちん&lt;/rt&gt;&lt;/ruby&gt;&lt;br&gt;&lt;div class="audio"&gt;[sound:うんちん.mp3]&lt;/div&gt;</v>
      </c>
      <c r="H3619" s="3" t="str">
        <f t="shared" si="1"/>
        <v>(n): cước phí</v>
      </c>
      <c r="I3619" s="6" t="s">
        <v>19749</v>
      </c>
      <c r="J3619" s="6" t="s">
        <v>19750</v>
      </c>
      <c r="K3619" s="7">
        <f t="shared" si="2"/>
        <v>0.3622565408</v>
      </c>
    </row>
    <row r="3620">
      <c r="A3620" s="4">
        <v>3620.0</v>
      </c>
      <c r="B3620" s="5" t="s">
        <v>19751</v>
      </c>
      <c r="C3620" s="5" t="s">
        <v>19752</v>
      </c>
      <c r="D3620" s="5" t="s">
        <v>19753</v>
      </c>
      <c r="E3620" s="6" t="s">
        <v>74</v>
      </c>
      <c r="F3620" s="6" t="s">
        <v>19754</v>
      </c>
      <c r="G3620" s="3" t="str">
        <f>IFERROR(__xludf.DUMMYFUNCTION("REGEXREPLACE(
D3620,
""([一-龯々]+)\[([^\]]+)\]"",
""&lt;ruby&gt;$1&lt;rt&gt;$2&lt;/rt&gt;&lt;/ruby&gt;""
)&amp;""&lt;br&gt;&lt;div class=""""audio""""&gt;[sound:""&amp;C3620&amp;"".mp3]&lt;/div&gt;"""),"&lt;ruby&gt;野生&lt;rt&gt;やせい&lt;/rt&gt;&lt;/ruby&gt;&lt;br&gt;&lt;div class=""audio""&gt;[sound:やせい.mp3]&lt;/div&gt;")</f>
        <v>&lt;ruby&gt;野生&lt;rt&gt;やせい&lt;/rt&gt;&lt;/ruby&gt;&lt;br&gt;&lt;div class="audio"&gt;[sound:やせい.mp3]&lt;/div&gt;</v>
      </c>
      <c r="H3620" s="3" t="str">
        <f t="shared" si="1"/>
        <v>(n): hoang dã</v>
      </c>
      <c r="I3620" s="6" t="s">
        <v>19755</v>
      </c>
      <c r="J3620" s="6" t="s">
        <v>19756</v>
      </c>
      <c r="K3620" s="7">
        <f t="shared" si="2"/>
        <v>0.6929992961</v>
      </c>
    </row>
    <row r="3621">
      <c r="A3621" s="4">
        <v>3621.0</v>
      </c>
      <c r="B3621" s="5" t="s">
        <v>19757</v>
      </c>
      <c r="C3621" s="5" t="s">
        <v>19758</v>
      </c>
      <c r="D3621" s="5" t="s">
        <v>19759</v>
      </c>
      <c r="E3621" s="6" t="s">
        <v>74</v>
      </c>
      <c r="F3621" s="6" t="s">
        <v>19760</v>
      </c>
      <c r="G3621" s="3" t="str">
        <f>IFERROR(__xludf.DUMMYFUNCTION("REGEXREPLACE(
D3621,
""([一-龯々]+)\[([^\]]+)\]"",
""&lt;ruby&gt;$1&lt;rt&gt;$2&lt;/rt&gt;&lt;/ruby&gt;""
)&amp;""&lt;br&gt;&lt;div class=""""audio""""&gt;[sound:""&amp;C3621&amp;"".mp3]&lt;/div&gt;"""),"&lt;ruby&gt;闇&lt;rt&gt;やみ&lt;/rt&gt;&lt;/ruby&gt;&lt;br&gt;&lt;div class=""audio""&gt;[sound:やみ.mp3]&lt;/div&gt;")</f>
        <v>&lt;ruby&gt;闇&lt;rt&gt;やみ&lt;/rt&gt;&lt;/ruby&gt;&lt;br&gt;&lt;div class="audio"&gt;[sound:やみ.mp3]&lt;/div&gt;</v>
      </c>
      <c r="H3621" s="3" t="str">
        <f t="shared" si="1"/>
        <v>(n): bóng tối</v>
      </c>
      <c r="I3621" s="6" t="s">
        <v>19761</v>
      </c>
      <c r="J3621" s="6" t="s">
        <v>19762</v>
      </c>
      <c r="K3621" s="7">
        <f t="shared" si="2"/>
        <v>0.5123934276</v>
      </c>
    </row>
    <row r="3622">
      <c r="A3622" s="4">
        <v>3622.0</v>
      </c>
      <c r="B3622" s="5" t="s">
        <v>19763</v>
      </c>
      <c r="C3622" s="5" t="s">
        <v>19764</v>
      </c>
      <c r="D3622" s="5" t="s">
        <v>19765</v>
      </c>
      <c r="E3622" s="6" t="s">
        <v>24</v>
      </c>
      <c r="F3622" s="6" t="s">
        <v>19766</v>
      </c>
      <c r="G3622" s="3" t="str">
        <f>IFERROR(__xludf.DUMMYFUNCTION("REGEXREPLACE(
D3622,
""([一-龯々]+)\[([^\]]+)\]"",
""&lt;ruby&gt;$1&lt;rt&gt;$2&lt;/rt&gt;&lt;/ruby&gt;""
)&amp;""&lt;br&gt;&lt;div class=""""audio""""&gt;[sound:""&amp;C3622&amp;"".mp3]&lt;/div&gt;"""),"&lt;ruby&gt;阻&lt;rt&gt;はば&lt;/rt&gt;&lt;/ruby&gt;む&lt;br&gt;&lt;div class=""audio""&gt;[sound:はばむ.mp3]&lt;/div&gt;")</f>
        <v>&lt;ruby&gt;阻&lt;rt&gt;はば&lt;/rt&gt;&lt;/ruby&gt;む&lt;br&gt;&lt;div class="audio"&gt;[sound:はばむ.mp3]&lt;/div&gt;</v>
      </c>
      <c r="H3622" s="3" t="str">
        <f t="shared" si="1"/>
        <v>(v): ngăn cản</v>
      </c>
      <c r="I3622" s="6" t="s">
        <v>19767</v>
      </c>
      <c r="J3622" s="6" t="s">
        <v>19768</v>
      </c>
      <c r="K3622" s="7">
        <f t="shared" si="2"/>
        <v>0.3604904363</v>
      </c>
    </row>
    <row r="3623">
      <c r="A3623" s="4">
        <v>3623.0</v>
      </c>
      <c r="B3623" s="5" t="s">
        <v>19769</v>
      </c>
      <c r="C3623" s="5" t="s">
        <v>19769</v>
      </c>
      <c r="D3623" s="5" t="s">
        <v>19769</v>
      </c>
      <c r="E3623" s="6" t="s">
        <v>85</v>
      </c>
      <c r="F3623" s="6" t="s">
        <v>19770</v>
      </c>
      <c r="G3623" s="3" t="str">
        <f>IFERROR(__xludf.DUMMYFUNCTION("REGEXREPLACE(
D3623,
""([一-龯々]+)\[([^\]]+)\]"",
""&lt;ruby&gt;$1&lt;rt&gt;$2&lt;/rt&gt;&lt;/ruby&gt;""
)&amp;""&lt;br&gt;&lt;div class=""""audio""""&gt;[sound:""&amp;C3623&amp;"".mp3]&lt;/div&gt;"""),"いざ&lt;br&gt;&lt;div class=""audio""&gt;[sound:いざ.mp3]&lt;/div&gt;")</f>
        <v>いざ&lt;br&gt;&lt;div class="audio"&gt;[sound:いざ.mp3]&lt;/div&gt;</v>
      </c>
      <c r="H3623" s="3" t="str">
        <f t="shared" si="1"/>
        <v>(adv): đến lúc</v>
      </c>
      <c r="I3623" s="6" t="s">
        <v>19771</v>
      </c>
      <c r="J3623" s="6" t="s">
        <v>19772</v>
      </c>
      <c r="K3623" s="7">
        <f t="shared" si="2"/>
        <v>0.5713879052</v>
      </c>
    </row>
    <row r="3624">
      <c r="A3624" s="4">
        <v>3624.0</v>
      </c>
      <c r="B3624" s="5" t="s">
        <v>19773</v>
      </c>
      <c r="C3624" s="5" t="s">
        <v>19774</v>
      </c>
      <c r="D3624" s="5" t="s">
        <v>19773</v>
      </c>
      <c r="E3624" s="6" t="s">
        <v>74</v>
      </c>
      <c r="F3624" s="6" t="s">
        <v>19775</v>
      </c>
      <c r="G3624" s="3" t="str">
        <f>IFERROR(__xludf.DUMMYFUNCTION("REGEXREPLACE(
D3624,
""([一-龯々]+)\[([^\]]+)\]"",
""&lt;ruby&gt;$1&lt;rt&gt;$2&lt;/rt&gt;&lt;/ruby&gt;""
)&amp;""&lt;br&gt;&lt;div class=""""audio""""&gt;[sound:""&amp;C3624&amp;"".mp3]&lt;/div&gt;"""),"カルテ&lt;br&gt;&lt;div class=""audio""&gt;[sound:かるて.mp3]&lt;/div&gt;")</f>
        <v>カルテ&lt;br&gt;&lt;div class="audio"&gt;[sound:かるて.mp3]&lt;/div&gt;</v>
      </c>
      <c r="H3624" s="3" t="str">
        <f t="shared" si="1"/>
        <v>(n): bệnh án</v>
      </c>
      <c r="I3624" s="6" t="s">
        <v>19776</v>
      </c>
      <c r="J3624" s="6" t="s">
        <v>19777</v>
      </c>
      <c r="K3624" s="7">
        <f t="shared" si="2"/>
        <v>0.4181533761</v>
      </c>
    </row>
    <row r="3625">
      <c r="A3625" s="4">
        <v>3625.0</v>
      </c>
      <c r="B3625" s="5" t="s">
        <v>19778</v>
      </c>
      <c r="C3625" s="5" t="s">
        <v>19779</v>
      </c>
      <c r="D3625" s="5" t="s">
        <v>19778</v>
      </c>
      <c r="E3625" s="6" t="s">
        <v>74</v>
      </c>
      <c r="F3625" s="6" t="s">
        <v>795</v>
      </c>
      <c r="G3625" s="3" t="str">
        <f>IFERROR(__xludf.DUMMYFUNCTION("REGEXREPLACE(
D3625,
""([一-龯々]+)\[([^\]]+)\]"",
""&lt;ruby&gt;$1&lt;rt&gt;$2&lt;/rt&gt;&lt;/ruby&gt;""
)&amp;""&lt;br&gt;&lt;div class=""""audio""""&gt;[sound:""&amp;C3625&amp;"".mp3]&lt;/div&gt;"""),"セクション&lt;br&gt;&lt;div class=""audio""&gt;[sound:せくしょん.mp3]&lt;/div&gt;")</f>
        <v>セクション&lt;br&gt;&lt;div class="audio"&gt;[sound:せくしょん.mp3]&lt;/div&gt;</v>
      </c>
      <c r="H3625" s="3" t="str">
        <f t="shared" si="1"/>
        <v>(n): bộ phận</v>
      </c>
      <c r="I3625" s="6" t="s">
        <v>19780</v>
      </c>
      <c r="J3625" s="6" t="s">
        <v>19781</v>
      </c>
      <c r="K3625" s="7">
        <f t="shared" si="2"/>
        <v>0.06699188035</v>
      </c>
    </row>
    <row r="3626">
      <c r="A3626" s="4">
        <v>3626.0</v>
      </c>
      <c r="B3626" s="5" t="s">
        <v>19782</v>
      </c>
      <c r="C3626" s="5" t="s">
        <v>19783</v>
      </c>
      <c r="D3626" s="5" t="s">
        <v>19782</v>
      </c>
      <c r="E3626" s="6" t="s">
        <v>74</v>
      </c>
      <c r="F3626" s="6" t="s">
        <v>19784</v>
      </c>
      <c r="G3626" s="3" t="str">
        <f>IFERROR(__xludf.DUMMYFUNCTION("REGEXREPLACE(
D3626,
""([一-龯々]+)\[([^\]]+)\]"",
""&lt;ruby&gt;$1&lt;rt&gt;$2&lt;/rt&gt;&lt;/ruby&gt;""
)&amp;""&lt;br&gt;&lt;div class=""""audio""""&gt;[sound:""&amp;C3626&amp;"".mp3]&lt;/div&gt;"""),"セレモニー&lt;br&gt;&lt;div class=""audio""&gt;[sound:せれもにー.mp3]&lt;/div&gt;")</f>
        <v>セレモニー&lt;br&gt;&lt;div class="audio"&gt;[sound:せれもにー.mp3]&lt;/div&gt;</v>
      </c>
      <c r="H3626" s="3" t="str">
        <f t="shared" si="1"/>
        <v>(n): nghi lễ</v>
      </c>
      <c r="I3626" s="6" t="s">
        <v>19785</v>
      </c>
      <c r="J3626" s="6" t="s">
        <v>19786</v>
      </c>
      <c r="K3626" s="7">
        <f t="shared" si="2"/>
        <v>0.5249562461</v>
      </c>
    </row>
    <row r="3627">
      <c r="A3627" s="4">
        <v>3627.0</v>
      </c>
      <c r="B3627" s="5" t="s">
        <v>19787</v>
      </c>
      <c r="C3627" s="5" t="s">
        <v>19787</v>
      </c>
      <c r="D3627" s="5" t="s">
        <v>19787</v>
      </c>
      <c r="E3627" s="6" t="s">
        <v>85</v>
      </c>
      <c r="F3627" s="6" t="s">
        <v>19788</v>
      </c>
      <c r="G3627" s="3" t="str">
        <f>IFERROR(__xludf.DUMMYFUNCTION("REGEXREPLACE(
D3627,
""([一-龯々]+)\[([^\]]+)\]"",
""&lt;ruby&gt;$1&lt;rt&gt;$2&lt;/rt&gt;&lt;/ruby&gt;""
)&amp;""&lt;br&gt;&lt;div class=""""audio""""&gt;[sound:""&amp;C3627&amp;"".mp3]&lt;/div&gt;"""),"なにより&lt;br&gt;&lt;div class=""audio""&gt;[sound:なにより.mp3]&lt;/div&gt;")</f>
        <v>なにより&lt;br&gt;&lt;div class="audio"&gt;[sound:なにより.mp3]&lt;/div&gt;</v>
      </c>
      <c r="H3627" s="3" t="str">
        <f t="shared" si="1"/>
        <v>(adv): hơn hết</v>
      </c>
      <c r="I3627" s="6" t="s">
        <v>19789</v>
      </c>
      <c r="J3627" s="6" t="s">
        <v>19790</v>
      </c>
      <c r="K3627" s="7">
        <f t="shared" si="2"/>
        <v>0.8119997276</v>
      </c>
    </row>
    <row r="3628">
      <c r="A3628" s="4">
        <v>3628.0</v>
      </c>
      <c r="B3628" s="5" t="s">
        <v>19791</v>
      </c>
      <c r="C3628" s="5" t="s">
        <v>19792</v>
      </c>
      <c r="D3628" s="5" t="s">
        <v>19793</v>
      </c>
      <c r="E3628" s="6" t="s">
        <v>74</v>
      </c>
      <c r="F3628" s="6" t="s">
        <v>19794</v>
      </c>
      <c r="G3628" s="3" t="str">
        <f>IFERROR(__xludf.DUMMYFUNCTION("REGEXREPLACE(
D3628,
""([一-龯々]+)\[([^\]]+)\]"",
""&lt;ruby&gt;$1&lt;rt&gt;$2&lt;/rt&gt;&lt;/ruby&gt;""
)&amp;""&lt;br&gt;&lt;div class=""""audio""""&gt;[sound:""&amp;C3628&amp;"".mp3]&lt;/div&gt;"""),"&lt;ruby&gt;一括&lt;rt&gt;いっかつ&lt;/rt&gt;&lt;/ruby&gt;&lt;br&gt;&lt;div class=""audio""&gt;[sound:いっかつ.mp3]&lt;/div&gt;")</f>
        <v>&lt;ruby&gt;一括&lt;rt&gt;いっかつ&lt;/rt&gt;&lt;/ruby&gt;&lt;br&gt;&lt;div class="audio"&gt;[sound:いっかつ.mp3]&lt;/div&gt;</v>
      </c>
      <c r="H3628" s="3" t="str">
        <f t="shared" si="1"/>
        <v>(n): gộp lại</v>
      </c>
      <c r="I3628" s="6" t="s">
        <v>19795</v>
      </c>
      <c r="J3628" s="6" t="s">
        <v>19796</v>
      </c>
      <c r="K3628" s="7">
        <f t="shared" si="2"/>
        <v>0.231120776</v>
      </c>
    </row>
    <row r="3629">
      <c r="A3629" s="4">
        <v>3629.0</v>
      </c>
      <c r="B3629" s="5" t="s">
        <v>19797</v>
      </c>
      <c r="C3629" s="5" t="s">
        <v>19798</v>
      </c>
      <c r="D3629" s="5" t="s">
        <v>19799</v>
      </c>
      <c r="E3629" s="6" t="s">
        <v>74</v>
      </c>
      <c r="F3629" s="6" t="s">
        <v>19800</v>
      </c>
      <c r="G3629" s="3" t="str">
        <f>IFERROR(__xludf.DUMMYFUNCTION("REGEXREPLACE(
D3629,
""([一-龯々]+)\[([^\]]+)\]"",
""&lt;ruby&gt;$1&lt;rt&gt;$2&lt;/rt&gt;&lt;/ruby&gt;""
)&amp;""&lt;br&gt;&lt;div class=""""audio""""&gt;[sound:""&amp;C3629&amp;"".mp3]&lt;/div&gt;"""),"&lt;ruby&gt;不振&lt;rt&gt;ふしん&lt;/rt&gt;&lt;/ruby&gt;&lt;br&gt;&lt;div class=""audio""&gt;[sound:ふしん.mp3]&lt;/div&gt;")</f>
        <v>&lt;ruby&gt;不振&lt;rt&gt;ふしん&lt;/rt&gt;&lt;/ruby&gt;&lt;br&gt;&lt;div class="audio"&gt;[sound:ふしん.mp3]&lt;/div&gt;</v>
      </c>
      <c r="H3629" s="3" t="str">
        <f t="shared" si="1"/>
        <v>(n): trì trệ</v>
      </c>
      <c r="I3629" s="6" t="s">
        <v>19801</v>
      </c>
      <c r="J3629" s="6" t="s">
        <v>19802</v>
      </c>
      <c r="K3629" s="7">
        <f t="shared" si="2"/>
        <v>0.542474318</v>
      </c>
    </row>
    <row r="3630">
      <c r="A3630" s="4">
        <v>3630.0</v>
      </c>
      <c r="B3630" s="5" t="s">
        <v>19803</v>
      </c>
      <c r="C3630" s="5" t="s">
        <v>19804</v>
      </c>
      <c r="D3630" s="5" t="s">
        <v>19805</v>
      </c>
      <c r="E3630" s="6" t="s">
        <v>74</v>
      </c>
      <c r="F3630" s="6" t="s">
        <v>1320</v>
      </c>
      <c r="G3630" s="3" t="str">
        <f>IFERROR(__xludf.DUMMYFUNCTION("REGEXREPLACE(
D3630,
""([一-龯々]+)\[([^\]]+)\]"",
""&lt;ruby&gt;$1&lt;rt&gt;$2&lt;/rt&gt;&lt;/ruby&gt;""
)&amp;""&lt;br&gt;&lt;div class=""""audio""""&gt;[sound:""&amp;C3630&amp;"".mp3]&lt;/div&gt;"""),"&lt;ruby&gt;仕上&lt;rt&gt;しあ&lt;/rt&gt;&lt;/ruby&gt;がり&lt;br&gt;&lt;div class=""audio""&gt;[sound:しあがり.mp3]&lt;/div&gt;")</f>
        <v>&lt;ruby&gt;仕上&lt;rt&gt;しあ&lt;/rt&gt;&lt;/ruby&gt;がり&lt;br&gt;&lt;div class="audio"&gt;[sound:しあがり.mp3]&lt;/div&gt;</v>
      </c>
      <c r="H3630" s="3" t="str">
        <f t="shared" si="1"/>
        <v>(n): kết quả</v>
      </c>
      <c r="I3630" s="6" t="s">
        <v>19806</v>
      </c>
      <c r="J3630" s="6" t="s">
        <v>19807</v>
      </c>
      <c r="K3630" s="7">
        <f t="shared" si="2"/>
        <v>0.1761464743</v>
      </c>
    </row>
    <row r="3631">
      <c r="A3631" s="4">
        <v>3631.0</v>
      </c>
      <c r="B3631" s="5" t="s">
        <v>19808</v>
      </c>
      <c r="C3631" s="5" t="s">
        <v>19809</v>
      </c>
      <c r="D3631" s="5" t="s">
        <v>19810</v>
      </c>
      <c r="E3631" s="6" t="s">
        <v>74</v>
      </c>
      <c r="F3631" s="6" t="s">
        <v>6332</v>
      </c>
      <c r="G3631" s="3" t="str">
        <f>IFERROR(__xludf.DUMMYFUNCTION("REGEXREPLACE(
D3631,
""([一-龯々]+)\[([^\]]+)\]"",
""&lt;ruby&gt;$1&lt;rt&gt;$2&lt;/rt&gt;&lt;/ruby&gt;""
)&amp;""&lt;br&gt;&lt;div class=""""audio""""&gt;[sound:""&amp;C3631&amp;"".mp3]&lt;/div&gt;"""),"&lt;ruby&gt;値打&lt;rt&gt;ねう&lt;/rt&gt;&lt;/ruby&gt;ち&lt;br&gt;&lt;div class=""audio""&gt;[sound:ねうち.mp3]&lt;/div&gt;")</f>
        <v>&lt;ruby&gt;値打&lt;rt&gt;ねう&lt;/rt&gt;&lt;/ruby&gt;ち&lt;br&gt;&lt;div class="audio"&gt;[sound:ねうち.mp3]&lt;/div&gt;</v>
      </c>
      <c r="H3631" s="3" t="str">
        <f t="shared" si="1"/>
        <v>(n): giá trị</v>
      </c>
      <c r="I3631" s="6" t="s">
        <v>19811</v>
      </c>
      <c r="J3631" s="6" t="s">
        <v>19812</v>
      </c>
      <c r="K3631" s="7">
        <f t="shared" si="2"/>
        <v>0.9001361191</v>
      </c>
    </row>
    <row r="3632">
      <c r="A3632" s="4">
        <v>3632.0</v>
      </c>
      <c r="B3632" s="5" t="s">
        <v>19813</v>
      </c>
      <c r="C3632" s="5" t="s">
        <v>19814</v>
      </c>
      <c r="D3632" s="5" t="s">
        <v>19815</v>
      </c>
      <c r="E3632" s="6" t="s">
        <v>24</v>
      </c>
      <c r="F3632" s="6" t="s">
        <v>3657</v>
      </c>
      <c r="G3632" s="3" t="str">
        <f>IFERROR(__xludf.DUMMYFUNCTION("REGEXREPLACE(
D3632,
""([一-龯々]+)\[([^\]]+)\]"",
""&lt;ruby&gt;$1&lt;rt&gt;$2&lt;/rt&gt;&lt;/ruby&gt;""
)&amp;""&lt;br&gt;&lt;div class=""""audio""""&gt;[sound:""&amp;C3632&amp;"".mp3]&lt;/div&gt;"""),"&lt;ruby&gt;催&lt;rt&gt;もよお&lt;/rt&gt;&lt;/ruby&gt;す&lt;br&gt;&lt;div class=""audio""&gt;[sound:もよおす.mp3]&lt;/div&gt;")</f>
        <v>&lt;ruby&gt;催&lt;rt&gt;もよお&lt;/rt&gt;&lt;/ruby&gt;す&lt;br&gt;&lt;div class="audio"&gt;[sound:もよおす.mp3]&lt;/div&gt;</v>
      </c>
      <c r="H3632" s="3" t="str">
        <f t="shared" si="1"/>
        <v>(v): tổ chức</v>
      </c>
      <c r="I3632" s="6" t="s">
        <v>19816</v>
      </c>
      <c r="J3632" s="6" t="s">
        <v>19817</v>
      </c>
      <c r="K3632" s="7">
        <f t="shared" si="2"/>
        <v>0.2009741403</v>
      </c>
    </row>
    <row r="3633">
      <c r="A3633" s="4">
        <v>3633.0</v>
      </c>
      <c r="B3633" s="5" t="s">
        <v>19818</v>
      </c>
      <c r="C3633" s="5" t="s">
        <v>19819</v>
      </c>
      <c r="D3633" s="5" t="s">
        <v>19820</v>
      </c>
      <c r="E3633" s="6" t="s">
        <v>74</v>
      </c>
      <c r="F3633" s="6" t="s">
        <v>19821</v>
      </c>
      <c r="G3633" s="3" t="str">
        <f>IFERROR(__xludf.DUMMYFUNCTION("REGEXREPLACE(
D3633,
""([一-龯々]+)\[([^\]]+)\]"",
""&lt;ruby&gt;$1&lt;rt&gt;$2&lt;/rt&gt;&lt;/ruby&gt;""
)&amp;""&lt;br&gt;&lt;div class=""""audio""""&gt;[sound:""&amp;C3633&amp;"".mp3]&lt;/div&gt;"""),"&lt;ruby&gt;写&lt;rt&gt;うつ&lt;/rt&gt;&lt;/ruby&gt;し&lt;br&gt;&lt;div class=""audio""&gt;[sound:うつし.mp3]&lt;/div&gt;")</f>
        <v>&lt;ruby&gt;写&lt;rt&gt;うつ&lt;/rt&gt;&lt;/ruby&gt;し&lt;br&gt;&lt;div class="audio"&gt;[sound:うつし.mp3]&lt;/div&gt;</v>
      </c>
      <c r="H3633" s="3" t="str">
        <f t="shared" si="1"/>
        <v>(n): bản sao</v>
      </c>
      <c r="I3633" s="6" t="s">
        <v>19822</v>
      </c>
      <c r="J3633" s="6" t="s">
        <v>19823</v>
      </c>
      <c r="K3633" s="7">
        <f t="shared" si="2"/>
        <v>0.06485756213</v>
      </c>
    </row>
    <row r="3634">
      <c r="A3634" s="4">
        <v>3634.0</v>
      </c>
      <c r="B3634" s="5" t="s">
        <v>19824</v>
      </c>
      <c r="C3634" s="5" t="s">
        <v>19825</v>
      </c>
      <c r="D3634" s="5" t="s">
        <v>19826</v>
      </c>
      <c r="E3634" s="6" t="s">
        <v>74</v>
      </c>
      <c r="F3634" s="6" t="s">
        <v>19827</v>
      </c>
      <c r="G3634" s="3" t="str">
        <f>IFERROR(__xludf.DUMMYFUNCTION("REGEXREPLACE(
D3634,
""([一-龯々]+)\[([^\]]+)\]"",
""&lt;ruby&gt;$1&lt;rt&gt;$2&lt;/rt&gt;&lt;/ruby&gt;""
)&amp;""&lt;br&gt;&lt;div class=""""audio""""&gt;[sound:""&amp;C3634&amp;"".mp3]&lt;/div&gt;"""),"&lt;ruby&gt;前例&lt;rt&gt;ぜんれい&lt;/rt&gt;&lt;/ruby&gt;&lt;br&gt;&lt;div class=""audio""&gt;[sound:ぜんれい.mp3]&lt;/div&gt;")</f>
        <v>&lt;ruby&gt;前例&lt;rt&gt;ぜんれい&lt;/rt&gt;&lt;/ruby&gt;&lt;br&gt;&lt;div class="audio"&gt;[sound:ぜんれい.mp3]&lt;/div&gt;</v>
      </c>
      <c r="H3634" s="3" t="str">
        <f t="shared" si="1"/>
        <v>(n): tiền lệ</v>
      </c>
      <c r="I3634" s="6" t="s">
        <v>19828</v>
      </c>
      <c r="J3634" s="6" t="s">
        <v>19829</v>
      </c>
      <c r="K3634" s="7">
        <f t="shared" si="2"/>
        <v>0.2092394157</v>
      </c>
    </row>
    <row r="3635">
      <c r="A3635" s="4">
        <v>3635.0</v>
      </c>
      <c r="B3635" s="5" t="s">
        <v>19830</v>
      </c>
      <c r="C3635" s="5" t="s">
        <v>19831</v>
      </c>
      <c r="D3635" s="5" t="s">
        <v>19832</v>
      </c>
      <c r="E3635" s="6" t="s">
        <v>85</v>
      </c>
      <c r="F3635" s="6" t="s">
        <v>2803</v>
      </c>
      <c r="G3635" s="3" t="str">
        <f>IFERROR(__xludf.DUMMYFUNCTION("REGEXREPLACE(
D3635,
""([一-龯々]+)\[([^\]]+)\]"",
""&lt;ruby&gt;$1&lt;rt&gt;$2&lt;/rt&gt;&lt;/ruby&gt;""
)&amp;""&lt;br&gt;&lt;div class=""""audio""""&gt;[sound:""&amp;C3635&amp;"".mp3]&lt;/div&gt;"""),"&lt;ruby&gt;努&lt;rt&gt;つと&lt;/rt&gt;&lt;/ruby&gt;めて&lt;br&gt;&lt;div class=""audio""&gt;[sound:つとめて.mp3]&lt;/div&gt;")</f>
        <v>&lt;ruby&gt;努&lt;rt&gt;つと&lt;/rt&gt;&lt;/ruby&gt;めて&lt;br&gt;&lt;div class="audio"&gt;[sound:つとめて.mp3]&lt;/div&gt;</v>
      </c>
      <c r="H3635" s="3" t="str">
        <f t="shared" si="1"/>
        <v>(adv): cố gắng</v>
      </c>
      <c r="I3635" s="6" t="s">
        <v>19833</v>
      </c>
      <c r="J3635" s="6" t="s">
        <v>19834</v>
      </c>
      <c r="K3635" s="7">
        <f t="shared" si="2"/>
        <v>0.6808395935</v>
      </c>
    </row>
    <row r="3636">
      <c r="A3636" s="4">
        <v>3636.0</v>
      </c>
      <c r="B3636" s="5" t="s">
        <v>19835</v>
      </c>
      <c r="C3636" s="5" t="s">
        <v>19836</v>
      </c>
      <c r="D3636" s="5" t="s">
        <v>19837</v>
      </c>
      <c r="E3636" s="6" t="s">
        <v>74</v>
      </c>
      <c r="F3636" s="6" t="s">
        <v>1845</v>
      </c>
      <c r="G3636" s="3" t="str">
        <f>IFERROR(__xludf.DUMMYFUNCTION("REGEXREPLACE(
D3636,
""([一-龯々]+)\[([^\]]+)\]"",
""&lt;ruby&gt;$1&lt;rt&gt;$2&lt;/rt&gt;&lt;/ruby&gt;""
)&amp;""&lt;br&gt;&lt;div class=""""audio""""&gt;[sound:""&amp;C3636&amp;"".mp3]&lt;/div&gt;"""),"&lt;ruby&gt;区画&lt;rt&gt;くかく&lt;/rt&gt;&lt;/ruby&gt;&lt;br&gt;&lt;div class=""audio""&gt;[sound:くかく.mp3]&lt;/div&gt;")</f>
        <v>&lt;ruby&gt;区画&lt;rt&gt;くかく&lt;/rt&gt;&lt;/ruby&gt;&lt;br&gt;&lt;div class="audio"&gt;[sound:くかく.mp3]&lt;/div&gt;</v>
      </c>
      <c r="H3636" s="3" t="str">
        <f t="shared" si="1"/>
        <v>(n): khu vực</v>
      </c>
      <c r="I3636" s="6" t="s">
        <v>19838</v>
      </c>
      <c r="J3636" s="6" t="s">
        <v>19839</v>
      </c>
      <c r="K3636" s="7">
        <f t="shared" si="2"/>
        <v>0.4099492675</v>
      </c>
    </row>
    <row r="3637">
      <c r="A3637" s="4">
        <v>3637.0</v>
      </c>
      <c r="B3637" s="5" t="s">
        <v>19840</v>
      </c>
      <c r="C3637" s="5" t="s">
        <v>19841</v>
      </c>
      <c r="D3637" s="5" t="s">
        <v>19842</v>
      </c>
      <c r="E3637" s="6" t="s">
        <v>74</v>
      </c>
      <c r="F3637" s="6" t="s">
        <v>19843</v>
      </c>
      <c r="G3637" s="3" t="str">
        <f>IFERROR(__xludf.DUMMYFUNCTION("REGEXREPLACE(
D3637,
""([一-龯々]+)\[([^\]]+)\]"",
""&lt;ruby&gt;$1&lt;rt&gt;$2&lt;/rt&gt;&lt;/ruby&gt;""
)&amp;""&lt;br&gt;&lt;div class=""""audio""""&gt;[sound:""&amp;C3637&amp;"".mp3]&lt;/div&gt;"""),"&lt;ruby&gt;印鑑&lt;rt&gt;いんかん&lt;/rt&gt;&lt;/ruby&gt;&lt;br&gt;&lt;div class=""audio""&gt;[sound:いんかん.mp3]&lt;/div&gt;")</f>
        <v>&lt;ruby&gt;印鑑&lt;rt&gt;いんかん&lt;/rt&gt;&lt;/ruby&gt;&lt;br&gt;&lt;div class="audio"&gt;[sound:いんかん.mp3]&lt;/div&gt;</v>
      </c>
      <c r="H3637" s="3" t="str">
        <f t="shared" si="1"/>
        <v>(n): con dấu</v>
      </c>
      <c r="I3637" s="6" t="s">
        <v>19844</v>
      </c>
      <c r="J3637" s="6" t="s">
        <v>19845</v>
      </c>
      <c r="K3637" s="7">
        <f t="shared" si="2"/>
        <v>0.7440223794</v>
      </c>
    </row>
    <row r="3638">
      <c r="A3638" s="4">
        <v>3638.0</v>
      </c>
      <c r="B3638" s="5" t="s">
        <v>19846</v>
      </c>
      <c r="C3638" s="5" t="s">
        <v>19847</v>
      </c>
      <c r="D3638" s="5" t="s">
        <v>19848</v>
      </c>
      <c r="E3638" s="6" t="s">
        <v>74</v>
      </c>
      <c r="F3638" s="6" t="s">
        <v>19849</v>
      </c>
      <c r="G3638" s="3" t="str">
        <f>IFERROR(__xludf.DUMMYFUNCTION("REGEXREPLACE(
D3638,
""([一-龯々]+)\[([^\]]+)\]"",
""&lt;ruby&gt;$1&lt;rt&gt;$2&lt;/rt&gt;&lt;/ruby&gt;""
)&amp;""&lt;br&gt;&lt;div class=""""audio""""&gt;[sound:""&amp;C3638&amp;"".mp3]&lt;/div&gt;"""),"&lt;ruby&gt;収支&lt;rt&gt;しゅうし&lt;/rt&gt;&lt;/ruby&gt;&lt;br&gt;&lt;div class=""audio""&gt;[sound:しゅうし.mp3]&lt;/div&gt;")</f>
        <v>&lt;ruby&gt;収支&lt;rt&gt;しゅうし&lt;/rt&gt;&lt;/ruby&gt;&lt;br&gt;&lt;div class="audio"&gt;[sound:しゅうし.mp3]&lt;/div&gt;</v>
      </c>
      <c r="H3638" s="3" t="str">
        <f t="shared" si="1"/>
        <v>(n): thu chi</v>
      </c>
      <c r="I3638" s="6" t="s">
        <v>19850</v>
      </c>
      <c r="J3638" s="6" t="s">
        <v>19851</v>
      </c>
      <c r="K3638" s="7">
        <f t="shared" si="2"/>
        <v>0.4682820041</v>
      </c>
    </row>
    <row r="3639">
      <c r="A3639" s="4">
        <v>3639.0</v>
      </c>
      <c r="B3639" s="5" t="s">
        <v>19852</v>
      </c>
      <c r="C3639" s="5" t="s">
        <v>19853</v>
      </c>
      <c r="D3639" s="5" t="s">
        <v>19854</v>
      </c>
      <c r="E3639" s="6" t="s">
        <v>24</v>
      </c>
      <c r="F3639" s="6" t="s">
        <v>19855</v>
      </c>
      <c r="G3639" s="3" t="str">
        <f>IFERROR(__xludf.DUMMYFUNCTION("REGEXREPLACE(
D3639,
""([一-龯々]+)\[([^\]]+)\]"",
""&lt;ruby&gt;$1&lt;rt&gt;$2&lt;/rt&gt;&lt;/ruby&gt;""
)&amp;""&lt;br&gt;&lt;div class=""""audio""""&gt;[sound:""&amp;C3639&amp;"".mp3]&lt;/div&gt;"""),"&lt;ruby&gt;受&lt;rt&gt;う&lt;/rt&gt;&lt;/ruby&gt;け&lt;ruby&gt;継&lt;rt&gt;つ&lt;/rt&gt;&lt;/ruby&gt;ぐ&lt;br&gt;&lt;div class=""audio""&gt;[sound:うけつぐ.mp3]&lt;/div&gt;")</f>
        <v>&lt;ruby&gt;受&lt;rt&gt;う&lt;/rt&gt;&lt;/ruby&gt;け&lt;ruby&gt;継&lt;rt&gt;つ&lt;/rt&gt;&lt;/ruby&gt;ぐ&lt;br&gt;&lt;div class="audio"&gt;[sound:うけつぐ.mp3]&lt;/div&gt;</v>
      </c>
      <c r="H3639" s="3" t="str">
        <f t="shared" si="1"/>
        <v>(v): kế thừa</v>
      </c>
      <c r="I3639" s="6" t="s">
        <v>19856</v>
      </c>
      <c r="J3639" s="6" t="s">
        <v>19857</v>
      </c>
      <c r="K3639" s="7">
        <f t="shared" si="2"/>
        <v>0.6069185654</v>
      </c>
    </row>
    <row r="3640">
      <c r="A3640" s="4">
        <v>3640.0</v>
      </c>
      <c r="B3640" s="5" t="s">
        <v>19858</v>
      </c>
      <c r="C3640" s="5" t="s">
        <v>19859</v>
      </c>
      <c r="D3640" s="5" t="s">
        <v>19860</v>
      </c>
      <c r="E3640" s="6" t="s">
        <v>74</v>
      </c>
      <c r="F3640" s="6" t="s">
        <v>19861</v>
      </c>
      <c r="G3640" s="3" t="str">
        <f>IFERROR(__xludf.DUMMYFUNCTION("REGEXREPLACE(
D3640,
""([一-龯々]+)\[([^\]]+)\]"",
""&lt;ruby&gt;$1&lt;rt&gt;$2&lt;/rt&gt;&lt;/ruby&gt;""
)&amp;""&lt;br&gt;&lt;div class=""""audio""""&gt;[sound:""&amp;C3640&amp;"".mp3]&lt;/div&gt;"""),"&lt;ruby&gt;司法&lt;rt&gt;しほう&lt;/rt&gt;&lt;/ruby&gt;&lt;br&gt;&lt;div class=""audio""&gt;[sound:しほう.mp3]&lt;/div&gt;")</f>
        <v>&lt;ruby&gt;司法&lt;rt&gt;しほう&lt;/rt&gt;&lt;/ruby&gt;&lt;br&gt;&lt;div class="audio"&gt;[sound:しほう.mp3]&lt;/div&gt;</v>
      </c>
      <c r="H3640" s="3" t="str">
        <f t="shared" si="1"/>
        <v>(n): tư pháp</v>
      </c>
      <c r="I3640" s="6" t="s">
        <v>19862</v>
      </c>
      <c r="J3640" s="6" t="s">
        <v>19863</v>
      </c>
      <c r="K3640" s="7">
        <f t="shared" si="2"/>
        <v>0.3061956427</v>
      </c>
    </row>
    <row r="3641">
      <c r="A3641" s="4">
        <v>3641.0</v>
      </c>
      <c r="B3641" s="5" t="s">
        <v>19864</v>
      </c>
      <c r="C3641" s="5" t="s">
        <v>19865</v>
      </c>
      <c r="D3641" s="5" t="s">
        <v>19866</v>
      </c>
      <c r="E3641" s="6" t="s">
        <v>74</v>
      </c>
      <c r="F3641" s="6" t="s">
        <v>19867</v>
      </c>
      <c r="G3641" s="3" t="str">
        <f>IFERROR(__xludf.DUMMYFUNCTION("REGEXREPLACE(
D3641,
""([一-龯々]+)\[([^\]]+)\]"",
""&lt;ruby&gt;$1&lt;rt&gt;$2&lt;/rt&gt;&lt;/ruby&gt;""
)&amp;""&lt;br&gt;&lt;div class=""""audio""""&gt;[sound:""&amp;C3641&amp;"".mp3]&lt;/div&gt;"""),"&lt;ruby&gt;名簿&lt;rt&gt;めいぼ&lt;/rt&gt;&lt;/ruby&gt;&lt;br&gt;&lt;div class=""audio""&gt;[sound:めいぼ.mp3]&lt;/div&gt;")</f>
        <v>&lt;ruby&gt;名簿&lt;rt&gt;めいぼ&lt;/rt&gt;&lt;/ruby&gt;&lt;br&gt;&lt;div class="audio"&gt;[sound:めいぼ.mp3]&lt;/div&gt;</v>
      </c>
      <c r="H3641" s="3" t="str">
        <f t="shared" si="1"/>
        <v>(n): danh bạ</v>
      </c>
      <c r="I3641" s="6" t="s">
        <v>19868</v>
      </c>
      <c r="J3641" s="6" t="s">
        <v>19869</v>
      </c>
      <c r="K3641" s="7">
        <f t="shared" si="2"/>
        <v>0.1917992983</v>
      </c>
    </row>
    <row r="3642">
      <c r="A3642" s="4">
        <v>3642.0</v>
      </c>
      <c r="B3642" s="5" t="s">
        <v>19870</v>
      </c>
      <c r="C3642" s="5" t="s">
        <v>19871</v>
      </c>
      <c r="D3642" s="5" t="s">
        <v>19872</v>
      </c>
      <c r="E3642" s="6" t="s">
        <v>74</v>
      </c>
      <c r="F3642" s="6" t="s">
        <v>19873</v>
      </c>
      <c r="G3642" s="3" t="str">
        <f>IFERROR(__xludf.DUMMYFUNCTION("REGEXREPLACE(
D3642,
""([一-龯々]+)\[([^\]]+)\]"",
""&lt;ruby&gt;$1&lt;rt&gt;$2&lt;/rt&gt;&lt;/ruby&gt;""
)&amp;""&lt;br&gt;&lt;div class=""""audio""""&gt;[sound:""&amp;C3642&amp;"".mp3]&lt;/div&gt;"""),"&lt;ruby&gt;名誉&lt;rt&gt;めいよ&lt;/rt&gt;&lt;/ruby&gt;&lt;br&gt;&lt;div class=""audio""&gt;[sound:めいよ.mp3]&lt;/div&gt;")</f>
        <v>&lt;ruby&gt;名誉&lt;rt&gt;めいよ&lt;/rt&gt;&lt;/ruby&gt;&lt;br&gt;&lt;div class="audio"&gt;[sound:めいよ.mp3]&lt;/div&gt;</v>
      </c>
      <c r="H3642" s="3" t="str">
        <f t="shared" si="1"/>
        <v>(n): danh dự</v>
      </c>
      <c r="I3642" s="6" t="s">
        <v>19874</v>
      </c>
      <c r="J3642" s="6" t="s">
        <v>19875</v>
      </c>
      <c r="K3642" s="7">
        <f t="shared" si="2"/>
        <v>0.3818902973</v>
      </c>
    </row>
    <row r="3643">
      <c r="A3643" s="4">
        <v>3643.0</v>
      </c>
      <c r="B3643" s="5" t="s">
        <v>19876</v>
      </c>
      <c r="C3643" s="5" t="s">
        <v>19877</v>
      </c>
      <c r="D3643" s="5" t="s">
        <v>19878</v>
      </c>
      <c r="E3643" s="6" t="s">
        <v>24</v>
      </c>
      <c r="F3643" s="6" t="s">
        <v>19879</v>
      </c>
      <c r="G3643" s="3" t="str">
        <f>IFERROR(__xludf.DUMMYFUNCTION("REGEXREPLACE(
D3643,
""([一-龯々]+)\[([^\]]+)\]"",
""&lt;ruby&gt;$1&lt;rt&gt;$2&lt;/rt&gt;&lt;/ruby&gt;""
)&amp;""&lt;br&gt;&lt;div class=""""audio""""&gt;[sound:""&amp;C3643&amp;"".mp3]&lt;/div&gt;"""),"&lt;ruby&gt;呟&lt;rt&gt;つぶや&lt;/rt&gt;&lt;/ruby&gt;く&lt;br&gt;&lt;div class=""audio""&gt;[sound:つぶやく.mp3]&lt;/div&gt;")</f>
        <v>&lt;ruby&gt;呟&lt;rt&gt;つぶや&lt;/rt&gt;&lt;/ruby&gt;く&lt;br&gt;&lt;div class="audio"&gt;[sound:つぶやく.mp3]&lt;/div&gt;</v>
      </c>
      <c r="H3643" s="3" t="str">
        <f t="shared" si="1"/>
        <v>(v): lầm bầm</v>
      </c>
      <c r="I3643" s="6" t="s">
        <v>19880</v>
      </c>
      <c r="J3643" s="6" t="s">
        <v>19881</v>
      </c>
      <c r="K3643" s="7">
        <f t="shared" si="2"/>
        <v>0.3185815731</v>
      </c>
    </row>
    <row r="3644">
      <c r="A3644" s="4">
        <v>3644.0</v>
      </c>
      <c r="B3644" s="5" t="s">
        <v>19882</v>
      </c>
      <c r="C3644" s="5" t="s">
        <v>19883</v>
      </c>
      <c r="D3644" s="5" t="s">
        <v>19884</v>
      </c>
      <c r="E3644" s="6" t="s">
        <v>85</v>
      </c>
      <c r="F3644" s="6" t="s">
        <v>19885</v>
      </c>
      <c r="G3644" s="3" t="str">
        <f>IFERROR(__xludf.DUMMYFUNCTION("REGEXREPLACE(
D3644,
""([一-龯々]+)\[([^\]]+)\]"",
""&lt;ruby&gt;$1&lt;rt&gt;$2&lt;/rt&gt;&lt;/ruby&gt;""
)&amp;""&lt;br&gt;&lt;div class=""""audio""""&gt;[sound:""&amp;C3644&amp;"".mp3]&lt;/div&gt;"""),"&lt;ruby&gt;大方&lt;rt&gt;おおかた&lt;/rt&gt;&lt;/ruby&gt;&lt;br&gt;&lt;div class=""audio""&gt;[sound:おおかた.mp3]&lt;/div&gt;")</f>
        <v>&lt;ruby&gt;大方&lt;rt&gt;おおかた&lt;/rt&gt;&lt;/ruby&gt;&lt;br&gt;&lt;div class="audio"&gt;[sound:おおかた.mp3]&lt;/div&gt;</v>
      </c>
      <c r="H3644" s="3" t="str">
        <f t="shared" si="1"/>
        <v>(adv): hầu hết</v>
      </c>
      <c r="I3644" s="6" t="s">
        <v>19886</v>
      </c>
      <c r="J3644" s="6" t="s">
        <v>19887</v>
      </c>
      <c r="K3644" s="7">
        <f t="shared" si="2"/>
        <v>0.3667889318</v>
      </c>
    </row>
    <row r="3645">
      <c r="A3645" s="4">
        <v>3645.0</v>
      </c>
      <c r="B3645" s="5" t="s">
        <v>19888</v>
      </c>
      <c r="C3645" s="5" t="s">
        <v>19889</v>
      </c>
      <c r="D3645" s="5" t="s">
        <v>19890</v>
      </c>
      <c r="E3645" s="6" t="s">
        <v>74</v>
      </c>
      <c r="F3645" s="6" t="s">
        <v>19891</v>
      </c>
      <c r="G3645" s="3" t="str">
        <f>IFERROR(__xludf.DUMMYFUNCTION("REGEXREPLACE(
D3645,
""([一-龯々]+)\[([^\]]+)\]"",
""&lt;ruby&gt;$1&lt;rt&gt;$2&lt;/rt&gt;&lt;/ruby&gt;""
)&amp;""&lt;br&gt;&lt;div class=""""audio""""&gt;[sound:""&amp;C3645&amp;"".mp3]&lt;/div&gt;"""),"&lt;ruby&gt;定食&lt;rt&gt;ていしょく&lt;/rt&gt;&lt;/ruby&gt;&lt;br&gt;&lt;div class=""audio""&gt;[sound:ていしょく.mp3]&lt;/div&gt;")</f>
        <v>&lt;ruby&gt;定食&lt;rt&gt;ていしょく&lt;/rt&gt;&lt;/ruby&gt;&lt;br&gt;&lt;div class="audio"&gt;[sound:ていしょく.mp3]&lt;/div&gt;</v>
      </c>
      <c r="H3645" s="3" t="str">
        <f t="shared" si="1"/>
        <v>(n): phần ăn</v>
      </c>
      <c r="I3645" s="6" t="s">
        <v>19892</v>
      </c>
      <c r="J3645" s="6" t="s">
        <v>19893</v>
      </c>
      <c r="K3645" s="7">
        <f t="shared" si="2"/>
        <v>0.8875549297</v>
      </c>
    </row>
    <row r="3646">
      <c r="A3646" s="4">
        <v>3646.0</v>
      </c>
      <c r="B3646" s="5" t="s">
        <v>19894</v>
      </c>
      <c r="C3646" s="5" t="s">
        <v>19895</v>
      </c>
      <c r="D3646" s="5" t="s">
        <v>19896</v>
      </c>
      <c r="E3646" s="6" t="s">
        <v>74</v>
      </c>
      <c r="F3646" s="6" t="s">
        <v>19897</v>
      </c>
      <c r="G3646" s="3" t="str">
        <f>IFERROR(__xludf.DUMMYFUNCTION("REGEXREPLACE(
D3646,
""([一-龯々]+)\[([^\]]+)\]"",
""&lt;ruby&gt;$1&lt;rt&gt;$2&lt;/rt&gt;&lt;/ruby&gt;""
)&amp;""&lt;br&gt;&lt;div class=""""audio""""&gt;[sound:""&amp;C3646&amp;"".mp3]&lt;/div&gt;"""),"&lt;ruby&gt;汚&lt;rt&gt;よご&lt;/rt&gt;&lt;/ruby&gt;れ&lt;br&gt;&lt;div class=""audio""&gt;[sound:よごれ.mp3]&lt;/div&gt;")</f>
        <v>&lt;ruby&gt;汚&lt;rt&gt;よご&lt;/rt&gt;&lt;/ruby&gt;れ&lt;br&gt;&lt;div class="audio"&gt;[sound:よごれ.mp3]&lt;/div&gt;</v>
      </c>
      <c r="H3646" s="3" t="str">
        <f t="shared" si="1"/>
        <v>(n): vết bẩn</v>
      </c>
      <c r="I3646" s="6" t="s">
        <v>19898</v>
      </c>
      <c r="J3646" s="6" t="s">
        <v>19899</v>
      </c>
      <c r="K3646" s="7">
        <f t="shared" si="2"/>
        <v>0.1885850752</v>
      </c>
    </row>
    <row r="3647">
      <c r="A3647" s="4">
        <v>3647.0</v>
      </c>
      <c r="B3647" s="5" t="s">
        <v>19900</v>
      </c>
      <c r="C3647" s="5" t="s">
        <v>19901</v>
      </c>
      <c r="D3647" s="5" t="s">
        <v>19902</v>
      </c>
      <c r="E3647" s="6" t="s">
        <v>74</v>
      </c>
      <c r="F3647" s="6" t="s">
        <v>19903</v>
      </c>
      <c r="G3647" s="3" t="str">
        <f>IFERROR(__xludf.DUMMYFUNCTION("REGEXREPLACE(
D3647,
""([一-龯々]+)\[([^\]]+)\]"",
""&lt;ruby&gt;$1&lt;rt&gt;$2&lt;/rt&gt;&lt;/ruby&gt;""
)&amp;""&lt;br&gt;&lt;div class=""""audio""""&gt;[sound:""&amp;C3647&amp;"".mp3]&lt;/div&gt;"""),"&lt;ruby&gt;自我&lt;rt&gt;じが&lt;/rt&gt;&lt;/ruby&gt;&lt;br&gt;&lt;div class=""audio""&gt;[sound:じが.mp3]&lt;/div&gt;")</f>
        <v>&lt;ruby&gt;自我&lt;rt&gt;じが&lt;/rt&gt;&lt;/ruby&gt;&lt;br&gt;&lt;div class="audio"&gt;[sound:じが.mp3]&lt;/div&gt;</v>
      </c>
      <c r="H3647" s="3" t="str">
        <f t="shared" si="1"/>
        <v>(n): cái tôi</v>
      </c>
      <c r="I3647" s="6" t="s">
        <v>19904</v>
      </c>
      <c r="J3647" s="6" t="s">
        <v>19905</v>
      </c>
      <c r="K3647" s="7">
        <f t="shared" si="2"/>
        <v>0.600067801</v>
      </c>
    </row>
    <row r="3648">
      <c r="A3648" s="4">
        <v>3648.0</v>
      </c>
      <c r="B3648" s="5" t="s">
        <v>19906</v>
      </c>
      <c r="C3648" s="5" t="s">
        <v>156</v>
      </c>
      <c r="D3648" s="5" t="s">
        <v>19907</v>
      </c>
      <c r="E3648" s="6" t="s">
        <v>74</v>
      </c>
      <c r="F3648" s="6" t="s">
        <v>7968</v>
      </c>
      <c r="G3648" s="3" t="str">
        <f>IFERROR(__xludf.DUMMYFUNCTION("REGEXREPLACE(
D3648,
""([一-龯々]+)\[([^\]]+)\]"",
""&lt;ruby&gt;$1&lt;rt&gt;$2&lt;/rt&gt;&lt;/ruby&gt;""
)&amp;""&lt;br&gt;&lt;div class=""""audio""""&gt;[sound:""&amp;C3648&amp;"".mp3]&lt;/div&gt;"""),"&lt;ruby&gt;荷&lt;rt&gt;に&lt;/rt&gt;&lt;/ruby&gt;&lt;br&gt;&lt;div class=""audio""&gt;[sound:に.mp3]&lt;/div&gt;")</f>
        <v>&lt;ruby&gt;荷&lt;rt&gt;に&lt;/rt&gt;&lt;/ruby&gt;&lt;br&gt;&lt;div class="audio"&gt;[sound:に.mp3]&lt;/div&gt;</v>
      </c>
      <c r="H3648" s="3" t="str">
        <f t="shared" si="1"/>
        <v>(n): hành lý</v>
      </c>
      <c r="I3648" s="6" t="s">
        <v>19908</v>
      </c>
      <c r="J3648" s="6" t="s">
        <v>19909</v>
      </c>
      <c r="K3648" s="7">
        <f t="shared" si="2"/>
        <v>0.4551909266</v>
      </c>
    </row>
    <row r="3649">
      <c r="A3649" s="4">
        <v>3649.0</v>
      </c>
      <c r="B3649" s="5" t="s">
        <v>19910</v>
      </c>
      <c r="C3649" s="5" t="s">
        <v>19911</v>
      </c>
      <c r="D3649" s="5" t="s">
        <v>19912</v>
      </c>
      <c r="E3649" s="6" t="s">
        <v>74</v>
      </c>
      <c r="F3649" s="6" t="s">
        <v>19913</v>
      </c>
      <c r="G3649" s="3" t="str">
        <f>IFERROR(__xludf.DUMMYFUNCTION("REGEXREPLACE(
D3649,
""([一-龯々]+)\[([^\]]+)\]"",
""&lt;ruby&gt;$1&lt;rt&gt;$2&lt;/rt&gt;&lt;/ruby&gt;""
)&amp;""&lt;br&gt;&lt;div class=""""audio""""&gt;[sound:""&amp;C3649&amp;"".mp3]&lt;/div&gt;"""),"&lt;ruby&gt;規約&lt;rt&gt;きやく&lt;/rt&gt;&lt;/ruby&gt;&lt;br&gt;&lt;div class=""audio""&gt;[sound:きやく.mp3]&lt;/div&gt;")</f>
        <v>&lt;ruby&gt;規約&lt;rt&gt;きやく&lt;/rt&gt;&lt;/ruby&gt;&lt;br&gt;&lt;div class="audio"&gt;[sound:きやく.mp3]&lt;/div&gt;</v>
      </c>
      <c r="H3649" s="3" t="str">
        <f t="shared" si="1"/>
        <v>(n): điều lệ</v>
      </c>
      <c r="I3649" s="6" t="s">
        <v>19914</v>
      </c>
      <c r="J3649" s="6" t="s">
        <v>19915</v>
      </c>
      <c r="K3649" s="7">
        <f t="shared" si="2"/>
        <v>0.2464122848</v>
      </c>
    </row>
    <row r="3650">
      <c r="A3650" s="4">
        <v>3650.0</v>
      </c>
      <c r="B3650" s="5" t="s">
        <v>19916</v>
      </c>
      <c r="C3650" s="5" t="s">
        <v>19917</v>
      </c>
      <c r="D3650" s="5" t="s">
        <v>19918</v>
      </c>
      <c r="E3650" s="6" t="s">
        <v>74</v>
      </c>
      <c r="F3650" s="6" t="s">
        <v>19919</v>
      </c>
      <c r="G3650" s="3" t="str">
        <f>IFERROR(__xludf.DUMMYFUNCTION("REGEXREPLACE(
D3650,
""([一-龯々]+)\[([^\]]+)\]"",
""&lt;ruby&gt;$1&lt;rt&gt;$2&lt;/rt&gt;&lt;/ruby&gt;""
)&amp;""&lt;br&gt;&lt;div class=""""audio""""&gt;[sound:""&amp;C3650&amp;"".mp3]&lt;/div&gt;"""),"&lt;ruby&gt;語彙&lt;rt&gt;ごい&lt;/rt&gt;&lt;/ruby&gt;&lt;br&gt;&lt;div class=""audio""&gt;[sound:ごい.mp3]&lt;/div&gt;")</f>
        <v>&lt;ruby&gt;語彙&lt;rt&gt;ごい&lt;/rt&gt;&lt;/ruby&gt;&lt;br&gt;&lt;div class="audio"&gt;[sound:ごい.mp3]&lt;/div&gt;</v>
      </c>
      <c r="H3650" s="3" t="str">
        <f t="shared" si="1"/>
        <v>(n): từ vựng</v>
      </c>
      <c r="I3650" s="6" t="s">
        <v>19920</v>
      </c>
      <c r="J3650" s="6" t="s">
        <v>19921</v>
      </c>
      <c r="K3650" s="7">
        <f t="shared" si="2"/>
        <v>0.6813581575</v>
      </c>
    </row>
    <row r="3651">
      <c r="A3651" s="4">
        <v>3651.0</v>
      </c>
      <c r="B3651" s="5" t="s">
        <v>19922</v>
      </c>
      <c r="C3651" s="5" t="s">
        <v>19923</v>
      </c>
      <c r="D3651" s="5" t="s">
        <v>19924</v>
      </c>
      <c r="E3651" s="6" t="s">
        <v>74</v>
      </c>
      <c r="F3651" s="6" t="s">
        <v>12906</v>
      </c>
      <c r="G3651" s="3" t="str">
        <f>IFERROR(__xludf.DUMMYFUNCTION("REGEXREPLACE(
D3651,
""([一-龯々]+)\[([^\]]+)\]"",
""&lt;ruby&gt;$1&lt;rt&gt;$2&lt;/rt&gt;&lt;/ruby&gt;""
)&amp;""&lt;br&gt;&lt;div class=""""audio""""&gt;[sound:""&amp;C3651&amp;"".mp3]&lt;/div&gt;"""),"&lt;ruby&gt;議案&lt;rt&gt;ぎあん&lt;/rt&gt;&lt;/ruby&gt;&lt;br&gt;&lt;div class=""audio""&gt;[sound:ぎあん.mp3]&lt;/div&gt;")</f>
        <v>&lt;ruby&gt;議案&lt;rt&gt;ぎあん&lt;/rt&gt;&lt;/ruby&gt;&lt;br&gt;&lt;div class="audio"&gt;[sound:ぎあん.mp3]&lt;/div&gt;</v>
      </c>
      <c r="H3651" s="3" t="str">
        <f t="shared" si="1"/>
        <v>(n): dự luật</v>
      </c>
      <c r="I3651" s="6" t="s">
        <v>19925</v>
      </c>
      <c r="J3651" s="6" t="s">
        <v>19926</v>
      </c>
      <c r="K3651" s="7">
        <f t="shared" si="2"/>
        <v>0.08647280661</v>
      </c>
    </row>
    <row r="3652">
      <c r="A3652" s="4">
        <v>3652.0</v>
      </c>
      <c r="B3652" s="5" t="s">
        <v>19927</v>
      </c>
      <c r="C3652" s="5" t="s">
        <v>19928</v>
      </c>
      <c r="D3652" s="5" t="s">
        <v>19929</v>
      </c>
      <c r="E3652" s="6" t="s">
        <v>74</v>
      </c>
      <c r="F3652" s="6" t="s">
        <v>6995</v>
      </c>
      <c r="G3652" s="3" t="str">
        <f>IFERROR(__xludf.DUMMYFUNCTION("REGEXREPLACE(
D3652,
""([一-龯々]+)\[([^\]]+)\]"",
""&lt;ruby&gt;$1&lt;rt&gt;$2&lt;/rt&gt;&lt;/ruby&gt;""
)&amp;""&lt;br&gt;&lt;div class=""""audio""""&gt;[sound:""&amp;C3652&amp;"".mp3]&lt;/div&gt;"""),"&lt;ruby&gt;財&lt;rt&gt;ざい&lt;/rt&gt;&lt;/ruby&gt;&lt;br&gt;&lt;div class=""audio""&gt;[sound:ざい.mp3]&lt;/div&gt;")</f>
        <v>&lt;ruby&gt;財&lt;rt&gt;ざい&lt;/rt&gt;&lt;/ruby&gt;&lt;br&gt;&lt;div class="audio"&gt;[sound:ざい.mp3]&lt;/div&gt;</v>
      </c>
      <c r="H3652" s="3" t="str">
        <f t="shared" si="1"/>
        <v>(n): tài sản</v>
      </c>
      <c r="I3652" s="6" t="s">
        <v>19930</v>
      </c>
      <c r="J3652" s="6" t="s">
        <v>19931</v>
      </c>
      <c r="K3652" s="7">
        <f t="shared" si="2"/>
        <v>0.4497255465</v>
      </c>
    </row>
    <row r="3653">
      <c r="A3653" s="4">
        <v>3653.0</v>
      </c>
      <c r="B3653" s="5" t="s">
        <v>19932</v>
      </c>
      <c r="C3653" s="5" t="s">
        <v>19933</v>
      </c>
      <c r="D3653" s="5" t="s">
        <v>19934</v>
      </c>
      <c r="E3653" s="6" t="s">
        <v>74</v>
      </c>
      <c r="F3653" s="6" t="s">
        <v>19935</v>
      </c>
      <c r="G3653" s="3" t="str">
        <f>IFERROR(__xludf.DUMMYFUNCTION("REGEXREPLACE(
D3653,
""([一-龯々]+)\[([^\]]+)\]"",
""&lt;ruby&gt;$1&lt;rt&gt;$2&lt;/rt&gt;&lt;/ruby&gt;""
)&amp;""&lt;br&gt;&lt;div class=""""audio""""&gt;[sound:""&amp;C3653&amp;"".mp3]&lt;/div&gt;"""),"&lt;ruby&gt;貨幣&lt;rt&gt;かへい&lt;/rt&gt;&lt;/ruby&gt;&lt;br&gt;&lt;div class=""audio""&gt;[sound:かへい.mp3]&lt;/div&gt;")</f>
        <v>&lt;ruby&gt;貨幣&lt;rt&gt;かへい&lt;/rt&gt;&lt;/ruby&gt;&lt;br&gt;&lt;div class="audio"&gt;[sound:かへい.mp3]&lt;/div&gt;</v>
      </c>
      <c r="H3653" s="3" t="str">
        <f t="shared" si="1"/>
        <v>(n): tiền tệ</v>
      </c>
      <c r="I3653" s="6" t="s">
        <v>19936</v>
      </c>
      <c r="J3653" s="6" t="s">
        <v>19937</v>
      </c>
      <c r="K3653" s="7">
        <f t="shared" si="2"/>
        <v>0.9454332706</v>
      </c>
    </row>
    <row r="3654">
      <c r="A3654" s="4">
        <v>3654.0</v>
      </c>
      <c r="B3654" s="5" t="s">
        <v>19938</v>
      </c>
      <c r="C3654" s="5" t="s">
        <v>19939</v>
      </c>
      <c r="D3654" s="5" t="s">
        <v>19940</v>
      </c>
      <c r="E3654" s="6" t="s">
        <v>74</v>
      </c>
      <c r="F3654" s="6" t="s">
        <v>19941</v>
      </c>
      <c r="G3654" s="3" t="str">
        <f>IFERROR(__xludf.DUMMYFUNCTION("REGEXREPLACE(
D3654,
""([一-龯々]+)\[([^\]]+)\]"",
""&lt;ruby&gt;$1&lt;rt&gt;$2&lt;/rt&gt;&lt;/ruby&gt;""
)&amp;""&lt;br&gt;&lt;div class=""""audio""""&gt;[sound:""&amp;C3654&amp;"".mp3]&lt;/div&gt;"""),"&lt;ruby&gt;軌道&lt;rt&gt;きどう&lt;/rt&gt;&lt;/ruby&gt;&lt;br&gt;&lt;div class=""audio""&gt;[sound:きどう.mp3]&lt;/div&gt;")</f>
        <v>&lt;ruby&gt;軌道&lt;rt&gt;きどう&lt;/rt&gt;&lt;/ruby&gt;&lt;br&gt;&lt;div class="audio"&gt;[sound:きどう.mp3]&lt;/div&gt;</v>
      </c>
      <c r="H3654" s="3" t="str">
        <f t="shared" si="1"/>
        <v>(n): quỹ đạo</v>
      </c>
      <c r="I3654" s="6" t="s">
        <v>19942</v>
      </c>
      <c r="J3654" s="6" t="s">
        <v>19943</v>
      </c>
      <c r="K3654" s="7">
        <f t="shared" si="2"/>
        <v>0.4215732831</v>
      </c>
    </row>
    <row r="3655">
      <c r="A3655" s="4">
        <v>3655.0</v>
      </c>
      <c r="B3655" s="5" t="s">
        <v>19944</v>
      </c>
      <c r="C3655" s="5" t="s">
        <v>19945</v>
      </c>
      <c r="D3655" s="5" t="s">
        <v>19946</v>
      </c>
      <c r="E3655" s="6" t="s">
        <v>24</v>
      </c>
      <c r="F3655" s="6" t="s">
        <v>11545</v>
      </c>
      <c r="G3655" s="3" t="str">
        <f>IFERROR(__xludf.DUMMYFUNCTION("REGEXREPLACE(
D3655,
""([一-龯々]+)\[([^\]]+)\]"",
""&lt;ruby&gt;$1&lt;rt&gt;$2&lt;/rt&gt;&lt;/ruby&gt;""
)&amp;""&lt;br&gt;&lt;div class=""""audio""""&gt;[sound:""&amp;C3655&amp;"".mp3]&lt;/div&gt;"""),"&lt;ruby&gt;連&lt;rt&gt;つら&lt;/rt&gt;&lt;/ruby&gt;なる&lt;br&gt;&lt;div class=""audio""&gt;[sound:つらなる.mp3]&lt;/div&gt;")</f>
        <v>&lt;ruby&gt;連&lt;rt&gt;つら&lt;/rt&gt;&lt;/ruby&gt;なる&lt;br&gt;&lt;div class="audio"&gt;[sound:つらなる.mp3]&lt;/div&gt;</v>
      </c>
      <c r="H3655" s="3" t="str">
        <f t="shared" si="1"/>
        <v>(v): kéo dài</v>
      </c>
      <c r="I3655" s="6" t="s">
        <v>19947</v>
      </c>
      <c r="J3655" s="6" t="s">
        <v>19948</v>
      </c>
      <c r="K3655" s="7">
        <f t="shared" si="2"/>
        <v>0.7472898018</v>
      </c>
    </row>
    <row r="3656">
      <c r="A3656" s="4">
        <v>3656.0</v>
      </c>
      <c r="B3656" s="5" t="s">
        <v>19949</v>
      </c>
      <c r="C3656" s="5" t="s">
        <v>19950</v>
      </c>
      <c r="D3656" s="5" t="s">
        <v>19951</v>
      </c>
      <c r="E3656" s="6" t="s">
        <v>74</v>
      </c>
      <c r="F3656" s="6" t="s">
        <v>19952</v>
      </c>
      <c r="G3656" s="3" t="str">
        <f>IFERROR(__xludf.DUMMYFUNCTION("REGEXREPLACE(
D3656,
""([一-龯々]+)\[([^\]]+)\]"",
""&lt;ruby&gt;$1&lt;rt&gt;$2&lt;/rt&gt;&lt;/ruby&gt;""
)&amp;""&lt;br&gt;&lt;div class=""""audio""""&gt;[sound:""&amp;C3656&amp;"".mp3]&lt;/div&gt;"""),"&lt;ruby&gt;運輸&lt;rt&gt;うんゆ&lt;/rt&gt;&lt;/ruby&gt;&lt;br&gt;&lt;div class=""audio""&gt;[sound:うんゆ.mp3]&lt;/div&gt;")</f>
        <v>&lt;ruby&gt;運輸&lt;rt&gt;うんゆ&lt;/rt&gt;&lt;/ruby&gt;&lt;br&gt;&lt;div class="audio"&gt;[sound:うんゆ.mp3]&lt;/div&gt;</v>
      </c>
      <c r="H3656" s="3" t="str">
        <f t="shared" si="1"/>
        <v>(n): vận tải</v>
      </c>
      <c r="I3656" s="6" t="s">
        <v>19953</v>
      </c>
      <c r="J3656" s="6" t="s">
        <v>19954</v>
      </c>
      <c r="K3656" s="7">
        <f t="shared" si="2"/>
        <v>0.8182724843</v>
      </c>
    </row>
    <row r="3657">
      <c r="A3657" s="4">
        <v>3657.0</v>
      </c>
      <c r="B3657" s="5" t="s">
        <v>19955</v>
      </c>
      <c r="C3657" s="5" t="s">
        <v>19956</v>
      </c>
      <c r="D3657" s="5" t="s">
        <v>19957</v>
      </c>
      <c r="E3657" s="6" t="s">
        <v>74</v>
      </c>
      <c r="F3657" s="6" t="s">
        <v>19958</v>
      </c>
      <c r="G3657" s="3" t="str">
        <f>IFERROR(__xludf.DUMMYFUNCTION("REGEXREPLACE(
D3657,
""([一-龯々]+)\[([^\]]+)\]"",
""&lt;ruby&gt;$1&lt;rt&gt;$2&lt;/rt&gt;&lt;/ruby&gt;""
)&amp;""&lt;br&gt;&lt;div class=""""audio""""&gt;[sound:""&amp;C3657&amp;"".mp3]&lt;/div&gt;"""),"&lt;ruby&gt;遺跡&lt;rt&gt;いせき&lt;/rt&gt;&lt;/ruby&gt;&lt;br&gt;&lt;div class=""audio""&gt;[sound:いせき.mp3]&lt;/div&gt;")</f>
        <v>&lt;ruby&gt;遺跡&lt;rt&gt;いせき&lt;/rt&gt;&lt;/ruby&gt;&lt;br&gt;&lt;div class="audio"&gt;[sound:いせき.mp3]&lt;/div&gt;</v>
      </c>
      <c r="H3657" s="3" t="str">
        <f t="shared" si="1"/>
        <v>(n): di tích</v>
      </c>
      <c r="I3657" s="6" t="s">
        <v>19959</v>
      </c>
      <c r="J3657" s="6" t="s">
        <v>19960</v>
      </c>
      <c r="K3657" s="7">
        <f t="shared" si="2"/>
        <v>0.9195371507</v>
      </c>
    </row>
    <row r="3658">
      <c r="A3658" s="4">
        <v>3658.0</v>
      </c>
      <c r="B3658" s="5" t="s">
        <v>19961</v>
      </c>
      <c r="C3658" s="5" t="s">
        <v>19962</v>
      </c>
      <c r="D3658" s="5" t="s">
        <v>19963</v>
      </c>
      <c r="E3658" s="6" t="s">
        <v>74</v>
      </c>
      <c r="F3658" s="6" t="s">
        <v>19964</v>
      </c>
      <c r="G3658" s="3" t="str">
        <f>IFERROR(__xludf.DUMMYFUNCTION("REGEXREPLACE(
D3658,
""([一-龯々]+)\[([^\]]+)\]"",
""&lt;ruby&gt;$1&lt;rt&gt;$2&lt;/rt&gt;&lt;/ruby&gt;""
)&amp;""&lt;br&gt;&lt;div class=""""audio""""&gt;[sound:""&amp;C3658&amp;"".mp3]&lt;/div&gt;"""),"&lt;ruby&gt;驚異&lt;rt&gt;きょうい&lt;/rt&gt;&lt;/ruby&gt;&lt;br&gt;&lt;div class=""audio""&gt;[sound:きょうい.mp3]&lt;/div&gt;")</f>
        <v>&lt;ruby&gt;驚異&lt;rt&gt;きょうい&lt;/rt&gt;&lt;/ruby&gt;&lt;br&gt;&lt;div class="audio"&gt;[sound:きょうい.mp3]&lt;/div&gt;</v>
      </c>
      <c r="H3658" s="3" t="str">
        <f t="shared" si="1"/>
        <v>(n): kỳ quan</v>
      </c>
      <c r="I3658" s="6" t="s">
        <v>19965</v>
      </c>
      <c r="J3658" s="6" t="s">
        <v>19966</v>
      </c>
      <c r="K3658" s="7">
        <f t="shared" si="2"/>
        <v>0.7990633884</v>
      </c>
    </row>
    <row r="3659">
      <c r="A3659" s="4">
        <v>3659.0</v>
      </c>
      <c r="B3659" s="5" t="s">
        <v>19967</v>
      </c>
      <c r="C3659" s="5" t="s">
        <v>19967</v>
      </c>
      <c r="D3659" s="5" t="s">
        <v>19967</v>
      </c>
      <c r="E3659" s="6" t="s">
        <v>90</v>
      </c>
      <c r="F3659" s="6" t="s">
        <v>19968</v>
      </c>
      <c r="G3659" s="3" t="str">
        <f>IFERROR(__xludf.DUMMYFUNCTION("REGEXREPLACE(
D3659,
""([一-龯々]+)\[([^\]]+)\]"",
""&lt;ruby&gt;$1&lt;rt&gt;$2&lt;/rt&gt;&lt;/ruby&gt;""
)&amp;""&lt;br&gt;&lt;div class=""""audio""""&gt;[sound:""&amp;C3659&amp;"".mp3]&lt;/div&gt;"""),"だと&lt;br&gt;&lt;div class=""audio""&gt;[sound:だと.mp3]&lt;/div&gt;")</f>
        <v>だと&lt;br&gt;&lt;div class="audio"&gt;[sound:だと.mp3]&lt;/div&gt;</v>
      </c>
      <c r="H3659" s="3" t="str">
        <f t="shared" si="1"/>
        <v>(conj): nếu là</v>
      </c>
      <c r="I3659" s="6" t="s">
        <v>19969</v>
      </c>
      <c r="J3659" s="6" t="s">
        <v>19970</v>
      </c>
      <c r="K3659" s="7">
        <f t="shared" si="2"/>
        <v>0.482756136</v>
      </c>
    </row>
    <row r="3660">
      <c r="A3660" s="4">
        <v>3660.0</v>
      </c>
      <c r="B3660" s="5" t="s">
        <v>19971</v>
      </c>
      <c r="C3660" s="5" t="s">
        <v>19972</v>
      </c>
      <c r="D3660" s="5" t="s">
        <v>19971</v>
      </c>
      <c r="E3660" s="6" t="s">
        <v>74</v>
      </c>
      <c r="F3660" s="6" t="s">
        <v>19973</v>
      </c>
      <c r="G3660" s="3" t="str">
        <f>IFERROR(__xludf.DUMMYFUNCTION("REGEXREPLACE(
D3660,
""([一-龯々]+)\[([^\]]+)\]"",
""&lt;ruby&gt;$1&lt;rt&gt;$2&lt;/rt&gt;&lt;/ruby&gt;""
)&amp;""&lt;br&gt;&lt;div class=""""audio""""&gt;[sound:""&amp;C3660&amp;"".mp3]&lt;/div&gt;"""),"パンク&lt;br&gt;&lt;div class=""audio""&gt;[sound:ぱんく.mp3]&lt;/div&gt;")</f>
        <v>パンク&lt;br&gt;&lt;div class="audio"&gt;[sound:ぱんく.mp3]&lt;/div&gt;</v>
      </c>
      <c r="H3660" s="3" t="str">
        <f t="shared" si="1"/>
        <v>(n): nổ lốp</v>
      </c>
      <c r="I3660" s="6" t="s">
        <v>19974</v>
      </c>
      <c r="J3660" s="6" t="s">
        <v>19975</v>
      </c>
      <c r="K3660" s="7">
        <f t="shared" si="2"/>
        <v>0.8192624782</v>
      </c>
    </row>
    <row r="3661">
      <c r="A3661" s="4">
        <v>3661.0</v>
      </c>
      <c r="B3661" s="5" t="s">
        <v>19976</v>
      </c>
      <c r="C3661" s="5" t="s">
        <v>19977</v>
      </c>
      <c r="D3661" s="5" t="s">
        <v>19978</v>
      </c>
      <c r="E3661" s="6" t="s">
        <v>74</v>
      </c>
      <c r="F3661" s="6" t="s">
        <v>19979</v>
      </c>
      <c r="G3661" s="3" t="str">
        <f>IFERROR(__xludf.DUMMYFUNCTION("REGEXREPLACE(
D3661,
""([一-龯々]+)\[([^\]]+)\]"",
""&lt;ruby&gt;$1&lt;rt&gt;$2&lt;/rt&gt;&lt;/ruby&gt;""
)&amp;""&lt;br&gt;&lt;div class=""""audio""""&gt;[sound:""&amp;C3661&amp;"".mp3]&lt;/div&gt;"""),"&lt;ruby&gt;信者&lt;rt&gt;しんじゃ&lt;/rt&gt;&lt;/ruby&gt;&lt;br&gt;&lt;div class=""audio""&gt;[sound:しんじゃ.mp3]&lt;/div&gt;")</f>
        <v>&lt;ruby&gt;信者&lt;rt&gt;しんじゃ&lt;/rt&gt;&lt;/ruby&gt;&lt;br&gt;&lt;div class="audio"&gt;[sound:しんじゃ.mp3]&lt;/div&gt;</v>
      </c>
      <c r="H3661" s="3" t="str">
        <f t="shared" si="1"/>
        <v>(n): tín đồ</v>
      </c>
      <c r="I3661" s="6" t="s">
        <v>19980</v>
      </c>
      <c r="J3661" s="6" t="s">
        <v>19981</v>
      </c>
      <c r="K3661" s="7">
        <f t="shared" si="2"/>
        <v>0.4516238313</v>
      </c>
    </row>
    <row r="3662">
      <c r="A3662" s="4">
        <v>3662.0</v>
      </c>
      <c r="B3662" s="5" t="s">
        <v>19982</v>
      </c>
      <c r="C3662" s="5" t="s">
        <v>19983</v>
      </c>
      <c r="D3662" s="5" t="s">
        <v>19984</v>
      </c>
      <c r="E3662" s="6" t="s">
        <v>85</v>
      </c>
      <c r="F3662" s="6" t="s">
        <v>14469</v>
      </c>
      <c r="G3662" s="3" t="str">
        <f>IFERROR(__xludf.DUMMYFUNCTION("REGEXREPLACE(
D3662,
""([一-龯々]+)\[([^\]]+)\]"",
""&lt;ruby&gt;$1&lt;rt&gt;$2&lt;/rt&gt;&lt;/ruby&gt;""
)&amp;""&lt;br&gt;&lt;div class=""""audio""""&gt;[sound:""&amp;C3662&amp;"".mp3]&lt;/div&gt;"""),"&lt;ruby&gt;元来&lt;rt&gt;がんらい&lt;/rt&gt;&lt;/ruby&gt;&lt;br&gt;&lt;div class=""audio""&gt;[sound:がんらい.mp3]&lt;/div&gt;")</f>
        <v>&lt;ruby&gt;元来&lt;rt&gt;がんらい&lt;/rt&gt;&lt;/ruby&gt;&lt;br&gt;&lt;div class="audio"&gt;[sound:がんらい.mp3]&lt;/div&gt;</v>
      </c>
      <c r="H3662" s="3" t="str">
        <f t="shared" si="1"/>
        <v>(adv): vốn dĩ</v>
      </c>
      <c r="I3662" s="6" t="s">
        <v>19985</v>
      </c>
      <c r="J3662" s="6" t="s">
        <v>19986</v>
      </c>
      <c r="K3662" s="7">
        <f t="shared" si="2"/>
        <v>0.1482931763</v>
      </c>
    </row>
    <row r="3663">
      <c r="A3663" s="4">
        <v>3663.0</v>
      </c>
      <c r="B3663" s="5" t="s">
        <v>19987</v>
      </c>
      <c r="C3663" s="5" t="s">
        <v>19988</v>
      </c>
      <c r="D3663" s="5" t="s">
        <v>19989</v>
      </c>
      <c r="E3663" s="6" t="s">
        <v>74</v>
      </c>
      <c r="F3663" s="6" t="s">
        <v>9802</v>
      </c>
      <c r="G3663" s="3" t="str">
        <f>IFERROR(__xludf.DUMMYFUNCTION("REGEXREPLACE(
D3663,
""([一-龯々]+)\[([^\]]+)\]"",
""&lt;ruby&gt;$1&lt;rt&gt;$2&lt;/rt&gt;&lt;/ruby&gt;""
)&amp;""&lt;br&gt;&lt;div class=""""audio""""&gt;[sound:""&amp;C3663&amp;"".mp3]&lt;/div&gt;"""),"&lt;ruby&gt;周期&lt;rt&gt;しゅうき&lt;/rt&gt;&lt;/ruby&gt;&lt;br&gt;&lt;div class=""audio""&gt;[sound:しゅうき.mp3]&lt;/div&gt;")</f>
        <v>&lt;ruby&gt;周期&lt;rt&gt;しゅうき&lt;/rt&gt;&lt;/ruby&gt;&lt;br&gt;&lt;div class="audio"&gt;[sound:しゅうき.mp3]&lt;/div&gt;</v>
      </c>
      <c r="H3663" s="3" t="str">
        <f t="shared" si="1"/>
        <v>(n): chu kỳ</v>
      </c>
      <c r="I3663" s="6" t="s">
        <v>19990</v>
      </c>
      <c r="J3663" s="6" t="s">
        <v>9804</v>
      </c>
      <c r="K3663" s="7">
        <f t="shared" si="2"/>
        <v>0.1349155681</v>
      </c>
    </row>
    <row r="3664">
      <c r="A3664" s="4">
        <v>3664.0</v>
      </c>
      <c r="B3664" s="5" t="s">
        <v>19991</v>
      </c>
      <c r="C3664" s="5" t="s">
        <v>19992</v>
      </c>
      <c r="D3664" s="5" t="s">
        <v>19993</v>
      </c>
      <c r="E3664" s="6" t="s">
        <v>11</v>
      </c>
      <c r="F3664" s="6" t="s">
        <v>19994</v>
      </c>
      <c r="G3664" s="3" t="str">
        <f>IFERROR(__xludf.DUMMYFUNCTION("REGEXREPLACE(
D3664,
""([一-龯々]+)\[([^\]]+)\]"",
""&lt;ruby&gt;$1&lt;rt&gt;$2&lt;/rt&gt;&lt;/ruby&gt;""
)&amp;""&lt;br&gt;&lt;div class=""""audio""""&gt;[sound:""&amp;C3664&amp;"".mp3]&lt;/div&gt;"""),"&lt;ruby&gt;大胆&lt;rt&gt;だいたん&lt;/rt&gt;&lt;/ruby&gt;&lt;br&gt;&lt;div class=""audio""&gt;[sound:だいたん.mp3]&lt;/div&gt;")</f>
        <v>&lt;ruby&gt;大胆&lt;rt&gt;だいたん&lt;/rt&gt;&lt;/ruby&gt;&lt;br&gt;&lt;div class="audio"&gt;[sound:だいたん.mp3]&lt;/div&gt;</v>
      </c>
      <c r="H3664" s="3" t="str">
        <f t="shared" si="1"/>
        <v>(adj): gan dạ</v>
      </c>
      <c r="I3664" s="6" t="s">
        <v>19995</v>
      </c>
      <c r="J3664" s="6" t="s">
        <v>19996</v>
      </c>
      <c r="K3664" s="7">
        <f t="shared" si="2"/>
        <v>0.9201916287</v>
      </c>
    </row>
    <row r="3665">
      <c r="A3665" s="4">
        <v>3665.0</v>
      </c>
      <c r="B3665" s="5" t="s">
        <v>19997</v>
      </c>
      <c r="C3665" s="5" t="s">
        <v>19998</v>
      </c>
      <c r="D3665" s="5" t="s">
        <v>19999</v>
      </c>
      <c r="E3665" s="6" t="s">
        <v>74</v>
      </c>
      <c r="F3665" s="6" t="s">
        <v>20000</v>
      </c>
      <c r="G3665" s="3" t="str">
        <f>IFERROR(__xludf.DUMMYFUNCTION("REGEXREPLACE(
D3665,
""([一-龯々]+)\[([^\]]+)\]"",
""&lt;ruby&gt;$1&lt;rt&gt;$2&lt;/rt&gt;&lt;/ruby&gt;""
)&amp;""&lt;br&gt;&lt;div class=""""audio""""&gt;[sound:""&amp;C3665&amp;"".mp3]&lt;/div&gt;"""),"&lt;ruby&gt;武力&lt;rt&gt;ぶりょく&lt;/rt&gt;&lt;/ruby&gt;&lt;br&gt;&lt;div class=""audio""&gt;[sound:ぶりょく.mp3]&lt;/div&gt;")</f>
        <v>&lt;ruby&gt;武力&lt;rt&gt;ぶりょく&lt;/rt&gt;&lt;/ruby&gt;&lt;br&gt;&lt;div class="audio"&gt;[sound:ぶりょく.mp3]&lt;/div&gt;</v>
      </c>
      <c r="H3665" s="3" t="str">
        <f t="shared" si="1"/>
        <v>(n): vũ lực</v>
      </c>
      <c r="I3665" s="6" t="s">
        <v>20001</v>
      </c>
      <c r="J3665" s="6" t="s">
        <v>20002</v>
      </c>
      <c r="K3665" s="7">
        <f t="shared" si="2"/>
        <v>0.9503164419</v>
      </c>
    </row>
    <row r="3666">
      <c r="A3666" s="4">
        <v>3666.0</v>
      </c>
      <c r="B3666" s="5" t="s">
        <v>20003</v>
      </c>
      <c r="C3666" s="5" t="s">
        <v>20004</v>
      </c>
      <c r="D3666" s="5" t="s">
        <v>20005</v>
      </c>
      <c r="E3666" s="6" t="s">
        <v>74</v>
      </c>
      <c r="F3666" s="6" t="s">
        <v>20006</v>
      </c>
      <c r="G3666" s="3" t="str">
        <f>IFERROR(__xludf.DUMMYFUNCTION("REGEXREPLACE(
D3666,
""([一-龯々]+)\[([^\]]+)\]"",
""&lt;ruby&gt;$1&lt;rt&gt;$2&lt;/rt&gt;&lt;/ruby&gt;""
)&amp;""&lt;br&gt;&lt;div class=""""audio""""&gt;[sound:""&amp;C3666&amp;"".mp3]&lt;/div&gt;"""),"&lt;ruby&gt;細胞&lt;rt&gt;さいぼう&lt;/rt&gt;&lt;/ruby&gt;&lt;br&gt;&lt;div class=""audio""&gt;[sound:さいぼう.mp3]&lt;/div&gt;")</f>
        <v>&lt;ruby&gt;細胞&lt;rt&gt;さいぼう&lt;/rt&gt;&lt;/ruby&gt;&lt;br&gt;&lt;div class="audio"&gt;[sound:さいぼう.mp3]&lt;/div&gt;</v>
      </c>
      <c r="H3666" s="3" t="str">
        <f t="shared" si="1"/>
        <v>(n): tế bào</v>
      </c>
      <c r="I3666" s="6" t="s">
        <v>20007</v>
      </c>
      <c r="J3666" s="6" t="s">
        <v>20008</v>
      </c>
      <c r="K3666" s="7">
        <f t="shared" si="2"/>
        <v>0.3697146148</v>
      </c>
    </row>
    <row r="3667">
      <c r="A3667" s="4">
        <v>3667.0</v>
      </c>
      <c r="B3667" s="5" t="s">
        <v>20009</v>
      </c>
      <c r="C3667" s="5" t="s">
        <v>20010</v>
      </c>
      <c r="D3667" s="5" t="s">
        <v>20011</v>
      </c>
      <c r="E3667" s="6" t="s">
        <v>74</v>
      </c>
      <c r="F3667" s="6" t="s">
        <v>20012</v>
      </c>
      <c r="G3667" s="3" t="str">
        <f>IFERROR(__xludf.DUMMYFUNCTION("REGEXREPLACE(
D3667,
""([一-龯々]+)\[([^\]]+)\]"",
""&lt;ruby&gt;$1&lt;rt&gt;$2&lt;/rt&gt;&lt;/ruby&gt;""
)&amp;""&lt;br&gt;&lt;div class=""""audio""""&gt;[sound:""&amp;C3667&amp;"".mp3]&lt;/div&gt;"""),"&lt;ruby&gt;織物&lt;rt&gt;おりもの&lt;/rt&gt;&lt;/ruby&gt;&lt;br&gt;&lt;div class=""audio""&gt;[sound:おりもの.mp3]&lt;/div&gt;")</f>
        <v>&lt;ruby&gt;織物&lt;rt&gt;おりもの&lt;/rt&gt;&lt;/ruby&gt;&lt;br&gt;&lt;div class="audio"&gt;[sound:おりもの.mp3]&lt;/div&gt;</v>
      </c>
      <c r="H3667" s="3" t="str">
        <f t="shared" si="1"/>
        <v>(n): đồ dệt</v>
      </c>
      <c r="I3667" s="6" t="s">
        <v>20013</v>
      </c>
      <c r="J3667" s="6" t="s">
        <v>20014</v>
      </c>
      <c r="K3667" s="7">
        <f t="shared" si="2"/>
        <v>0.8373771087</v>
      </c>
    </row>
    <row r="3668">
      <c r="A3668" s="4">
        <v>3668.0</v>
      </c>
      <c r="B3668" s="5" t="s">
        <v>20015</v>
      </c>
      <c r="C3668" s="5" t="s">
        <v>20016</v>
      </c>
      <c r="D3668" s="5" t="s">
        <v>20017</v>
      </c>
      <c r="E3668" s="6" t="s">
        <v>74</v>
      </c>
      <c r="F3668" s="6" t="s">
        <v>20018</v>
      </c>
      <c r="G3668" s="3" t="str">
        <f>IFERROR(__xludf.DUMMYFUNCTION("REGEXREPLACE(
D3668,
""([一-龯々]+)\[([^\]]+)\]"",
""&lt;ruby&gt;$1&lt;rt&gt;$2&lt;/rt&gt;&lt;/ruby&gt;""
)&amp;""&lt;br&gt;&lt;div class=""""audio""""&gt;[sound:""&amp;C3668&amp;"".mp3]&lt;/div&gt;"""),"&lt;ruby&gt;落下&lt;rt&gt;らっか&lt;/rt&gt;&lt;/ruby&gt;&lt;br&gt;&lt;div class=""audio""&gt;[sound:らっか.mp3]&lt;/div&gt;")</f>
        <v>&lt;ruby&gt;落下&lt;rt&gt;らっか&lt;/rt&gt;&lt;/ruby&gt;&lt;br&gt;&lt;div class="audio"&gt;[sound:らっか.mp3]&lt;/div&gt;</v>
      </c>
      <c r="H3668" s="3" t="str">
        <f t="shared" si="1"/>
        <v>(n): sự rơi</v>
      </c>
      <c r="I3668" s="6" t="s">
        <v>20019</v>
      </c>
      <c r="J3668" s="6" t="s">
        <v>20020</v>
      </c>
      <c r="K3668" s="7">
        <f t="shared" si="2"/>
        <v>0.8422540002</v>
      </c>
    </row>
    <row r="3669">
      <c r="A3669" s="4">
        <v>3669.0</v>
      </c>
      <c r="B3669" s="5" t="s">
        <v>20021</v>
      </c>
      <c r="C3669" s="5" t="s">
        <v>20022</v>
      </c>
      <c r="D3669" s="5" t="s">
        <v>20023</v>
      </c>
      <c r="E3669" s="6" t="s">
        <v>24</v>
      </c>
      <c r="F3669" s="6" t="s">
        <v>20024</v>
      </c>
      <c r="G3669" s="3" t="str">
        <f>IFERROR(__xludf.DUMMYFUNCTION("REGEXREPLACE(
D3669,
""([一-龯々]+)\[([^\]]+)\]"",
""&lt;ruby&gt;$1&lt;rt&gt;$2&lt;/rt&gt;&lt;/ruby&gt;""
)&amp;""&lt;br&gt;&lt;div class=""""audio""""&gt;[sound:""&amp;C3669&amp;"".mp3]&lt;/div&gt;"""),"&lt;ruby&gt;衰&lt;rt&gt;おとろ&lt;/rt&gt;&lt;/ruby&gt;える&lt;br&gt;&lt;div class=""audio""&gt;[sound:おとろえる.mp3]&lt;/div&gt;")</f>
        <v>&lt;ruby&gt;衰&lt;rt&gt;おとろ&lt;/rt&gt;&lt;/ruby&gt;える&lt;br&gt;&lt;div class="audio"&gt;[sound:おとろえる.mp3]&lt;/div&gt;</v>
      </c>
      <c r="H3669" s="3" t="str">
        <f t="shared" si="1"/>
        <v>(v): yếu đi</v>
      </c>
      <c r="I3669" s="6" t="s">
        <v>20025</v>
      </c>
      <c r="J3669" s="6" t="s">
        <v>20026</v>
      </c>
      <c r="K3669" s="7">
        <f t="shared" si="2"/>
        <v>0.3339326328</v>
      </c>
    </row>
    <row r="3670">
      <c r="A3670" s="4">
        <v>3670.0</v>
      </c>
      <c r="B3670" s="5" t="s">
        <v>20027</v>
      </c>
      <c r="C3670" s="5" t="s">
        <v>20028</v>
      </c>
      <c r="D3670" s="5" t="s">
        <v>20029</v>
      </c>
      <c r="E3670" s="6" t="s">
        <v>24</v>
      </c>
      <c r="F3670" s="6" t="s">
        <v>20030</v>
      </c>
      <c r="G3670" s="3" t="str">
        <f>IFERROR(__xludf.DUMMYFUNCTION("REGEXREPLACE(
D3670,
""([一-龯々]+)\[([^\]]+)\]"",
""&lt;ruby&gt;$1&lt;rt&gt;$2&lt;/rt&gt;&lt;/ruby&gt;""
)&amp;""&lt;br&gt;&lt;div class=""""audio""""&gt;[sound:""&amp;C3670&amp;"".mp3]&lt;/div&gt;"""),"&lt;ruby&gt;赴&lt;rt&gt;おもむ&lt;/rt&gt;&lt;/ruby&gt;く&lt;br&gt;&lt;div class=""audio""&gt;[sound:おもむく.mp3]&lt;/div&gt;")</f>
        <v>&lt;ruby&gt;赴&lt;rt&gt;おもむ&lt;/rt&gt;&lt;/ruby&gt;く&lt;br&gt;&lt;div class="audio"&gt;[sound:おもむく.mp3]&lt;/div&gt;</v>
      </c>
      <c r="H3670" s="3" t="str">
        <f t="shared" si="1"/>
        <v>(v): đi tới</v>
      </c>
      <c r="I3670" s="6" t="s">
        <v>20031</v>
      </c>
      <c r="J3670" s="6" t="s">
        <v>20032</v>
      </c>
      <c r="K3670" s="7">
        <f t="shared" si="2"/>
        <v>0.1509500967</v>
      </c>
    </row>
    <row r="3671">
      <c r="A3671" s="4">
        <v>3671.0</v>
      </c>
      <c r="B3671" s="5" t="s">
        <v>20033</v>
      </c>
      <c r="C3671" s="5" t="s">
        <v>20034</v>
      </c>
      <c r="D3671" s="5" t="s">
        <v>20035</v>
      </c>
      <c r="E3671" s="6" t="s">
        <v>24</v>
      </c>
      <c r="F3671" s="6" t="s">
        <v>15057</v>
      </c>
      <c r="G3671" s="3" t="str">
        <f>IFERROR(__xludf.DUMMYFUNCTION("REGEXREPLACE(
D3671,
""([一-龯々]+)\[([^\]]+)\]"",
""&lt;ruby&gt;$1&lt;rt&gt;$2&lt;/rt&gt;&lt;/ruby&gt;""
)&amp;""&lt;br&gt;&lt;div class=""""audio""""&gt;[sound:""&amp;C3671&amp;"".mp3]&lt;/div&gt;"""),"&lt;ruby&gt;遠&lt;rt&gt;とお&lt;/rt&gt;&lt;/ruby&gt;ざかる&lt;br&gt;&lt;div class=""audio""&gt;[sound:とおざかる.mp3]&lt;/div&gt;")</f>
        <v>&lt;ruby&gt;遠&lt;rt&gt;とお&lt;/rt&gt;&lt;/ruby&gt;ざかる&lt;br&gt;&lt;div class="audio"&gt;[sound:とおざかる.mp3]&lt;/div&gt;</v>
      </c>
      <c r="H3671" s="3" t="str">
        <f t="shared" si="1"/>
        <v>(v): rời xa</v>
      </c>
      <c r="I3671" s="6" t="s">
        <v>20036</v>
      </c>
      <c r="J3671" s="6" t="s">
        <v>20037</v>
      </c>
      <c r="K3671" s="7">
        <f t="shared" si="2"/>
        <v>0.9060711993</v>
      </c>
    </row>
    <row r="3672">
      <c r="A3672" s="4">
        <v>3672.0</v>
      </c>
      <c r="B3672" s="5" t="s">
        <v>20038</v>
      </c>
      <c r="C3672" s="5" t="s">
        <v>20039</v>
      </c>
      <c r="D3672" s="5" t="s">
        <v>20040</v>
      </c>
      <c r="E3672" s="6" t="s">
        <v>11</v>
      </c>
      <c r="F3672" s="6" t="s">
        <v>20041</v>
      </c>
      <c r="G3672" s="3" t="str">
        <f>IFERROR(__xludf.DUMMYFUNCTION("REGEXREPLACE(
D3672,
""([一-龯々]+)\[([^\]]+)\]"",
""&lt;ruby&gt;$1&lt;rt&gt;$2&lt;/rt&gt;&lt;/ruby&gt;""
)&amp;""&lt;br&gt;&lt;div class=""""audio""""&gt;[sound:""&amp;C3672&amp;"".mp3]&lt;/div&gt;"""),"&lt;ruby&gt;遥&lt;rt&gt;はる&lt;/rt&gt;&lt;/ruby&gt;か&lt;br&gt;&lt;div class=""audio""&gt;[sound:はるか.mp3]&lt;/div&gt;")</f>
        <v>&lt;ruby&gt;遥&lt;rt&gt;はる&lt;/rt&gt;&lt;/ruby&gt;か&lt;br&gt;&lt;div class="audio"&gt;[sound:はるか.mp3]&lt;/div&gt;</v>
      </c>
      <c r="H3672" s="3" t="str">
        <f t="shared" si="1"/>
        <v>(adj): xa xôi</v>
      </c>
      <c r="I3672" s="6" t="s">
        <v>20042</v>
      </c>
      <c r="J3672" s="6" t="s">
        <v>20043</v>
      </c>
      <c r="K3672" s="7">
        <f t="shared" si="2"/>
        <v>0.3633259833</v>
      </c>
    </row>
    <row r="3673">
      <c r="A3673" s="4">
        <v>3673.0</v>
      </c>
      <c r="B3673" s="5" t="s">
        <v>20044</v>
      </c>
      <c r="C3673" s="5" t="s">
        <v>20045</v>
      </c>
      <c r="D3673" s="5" t="s">
        <v>20046</v>
      </c>
      <c r="E3673" s="6" t="s">
        <v>74</v>
      </c>
      <c r="F3673" s="6" t="s">
        <v>20047</v>
      </c>
      <c r="G3673" s="3" t="str">
        <f>IFERROR(__xludf.DUMMYFUNCTION("REGEXREPLACE(
D3673,
""([一-龯々]+)\[([^\]]+)\]"",
""&lt;ruby&gt;$1&lt;rt&gt;$2&lt;/rt&gt;&lt;/ruby&gt;""
)&amp;""&lt;br&gt;&lt;div class=""""audio""""&gt;[sound:""&amp;C3673&amp;"".mp3]&lt;/div&gt;"""),"&lt;ruby&gt;野心&lt;rt&gt;やしん&lt;/rt&gt;&lt;/ruby&gt;&lt;br&gt;&lt;div class=""audio""&gt;[sound:やしん.mp3]&lt;/div&gt;")</f>
        <v>&lt;ruby&gt;野心&lt;rt&gt;やしん&lt;/rt&gt;&lt;/ruby&gt;&lt;br&gt;&lt;div class="audio"&gt;[sound:やしん.mp3]&lt;/div&gt;</v>
      </c>
      <c r="H3673" s="3" t="str">
        <f t="shared" si="1"/>
        <v>(n): dã tâm</v>
      </c>
      <c r="I3673" s="6" t="s">
        <v>20048</v>
      </c>
      <c r="J3673" s="6" t="s">
        <v>20049</v>
      </c>
      <c r="K3673" s="7">
        <f t="shared" si="2"/>
        <v>0.4207397752</v>
      </c>
    </row>
    <row r="3674">
      <c r="A3674" s="4">
        <v>3674.0</v>
      </c>
      <c r="B3674" s="5" t="s">
        <v>20050</v>
      </c>
      <c r="C3674" s="5" t="s">
        <v>20051</v>
      </c>
      <c r="D3674" s="5" t="s">
        <v>20052</v>
      </c>
      <c r="E3674" s="6" t="s">
        <v>74</v>
      </c>
      <c r="F3674" s="6" t="s">
        <v>20053</v>
      </c>
      <c r="G3674" s="3" t="str">
        <f>IFERROR(__xludf.DUMMYFUNCTION("REGEXREPLACE(
D3674,
""([一-龯々]+)\[([^\]]+)\]"",
""&lt;ruby&gt;$1&lt;rt&gt;$2&lt;/rt&gt;&lt;/ruby&gt;""
)&amp;""&lt;br&gt;&lt;div class=""""audio""""&gt;[sound:""&amp;C3674&amp;"".mp3]&lt;/div&gt;"""),"&lt;ruby&gt;閲覧&lt;rt&gt;えつらん&lt;/rt&gt;&lt;/ruby&gt;&lt;br&gt;&lt;div class=""audio""&gt;[sound:えつらん.mp3]&lt;/div&gt;")</f>
        <v>&lt;ruby&gt;閲覧&lt;rt&gt;えつらん&lt;/rt&gt;&lt;/ruby&gt;&lt;br&gt;&lt;div class="audio"&gt;[sound:えつらん.mp3]&lt;/div&gt;</v>
      </c>
      <c r="H3674" s="3" t="str">
        <f t="shared" si="1"/>
        <v>(n): sự xem</v>
      </c>
      <c r="I3674" s="6" t="s">
        <v>20054</v>
      </c>
      <c r="J3674" s="6" t="s">
        <v>20055</v>
      </c>
      <c r="K3674" s="7">
        <f t="shared" si="2"/>
        <v>0.9341963318</v>
      </c>
    </row>
    <row r="3675">
      <c r="A3675" s="4">
        <v>3675.0</v>
      </c>
      <c r="B3675" s="5" t="s">
        <v>20056</v>
      </c>
      <c r="C3675" s="5" t="s">
        <v>20057</v>
      </c>
      <c r="D3675" s="5" t="s">
        <v>20056</v>
      </c>
      <c r="E3675" s="6" t="s">
        <v>74</v>
      </c>
      <c r="F3675" s="6" t="s">
        <v>20058</v>
      </c>
      <c r="G3675" s="3" t="str">
        <f>IFERROR(__xludf.DUMMYFUNCTION("REGEXREPLACE(
D3675,
""([一-龯々]+)\[([^\]]+)\]"",
""&lt;ruby&gt;$1&lt;rt&gt;$2&lt;/rt&gt;&lt;/ruby&gt;""
)&amp;""&lt;br&gt;&lt;div class=""""audio""""&gt;[sound:""&amp;C3675&amp;"".mp3]&lt;/div&gt;"""),"アラブ&lt;br&gt;&lt;div class=""audio""&gt;[sound:あらぶ.mp3]&lt;/div&gt;")</f>
        <v>アラブ&lt;br&gt;&lt;div class="audio"&gt;[sound:あらぶ.mp3]&lt;/div&gt;</v>
      </c>
      <c r="H3675" s="3" t="str">
        <f t="shared" si="1"/>
        <v>(n): ả rập</v>
      </c>
      <c r="I3675" s="6" t="s">
        <v>20059</v>
      </c>
      <c r="J3675" s="6" t="s">
        <v>20060</v>
      </c>
      <c r="K3675" s="7">
        <f t="shared" si="2"/>
        <v>0.4078749057</v>
      </c>
    </row>
    <row r="3676">
      <c r="A3676" s="4">
        <v>3676.0</v>
      </c>
      <c r="B3676" s="5" t="s">
        <v>20061</v>
      </c>
      <c r="C3676" s="5" t="s">
        <v>20062</v>
      </c>
      <c r="D3676" s="5" t="s">
        <v>20061</v>
      </c>
      <c r="E3676" s="6" t="s">
        <v>74</v>
      </c>
      <c r="F3676" s="6" t="s">
        <v>20063</v>
      </c>
      <c r="G3676" s="3" t="str">
        <f>IFERROR(__xludf.DUMMYFUNCTION("REGEXREPLACE(
D3676,
""([一-龯々]+)\[([^\]]+)\]"",
""&lt;ruby&gt;$1&lt;rt&gt;$2&lt;/rt&gt;&lt;/ruby&gt;""
)&amp;""&lt;br&gt;&lt;div class=""""audio""""&gt;[sound:""&amp;C3676&amp;"".mp3]&lt;/div&gt;"""),"ゼリー&lt;br&gt;&lt;div class=""audio""&gt;[sound:ぜりー.mp3]&lt;/div&gt;")</f>
        <v>ゼリー&lt;br&gt;&lt;div class="audio"&gt;[sound:ぜりー.mp3]&lt;/div&gt;</v>
      </c>
      <c r="H3676" s="3" t="str">
        <f t="shared" si="1"/>
        <v>(n): thạch</v>
      </c>
      <c r="I3676" s="6" t="s">
        <v>20064</v>
      </c>
      <c r="J3676" s="6" t="s">
        <v>20065</v>
      </c>
      <c r="K3676" s="7">
        <f t="shared" si="2"/>
        <v>0.6414171418</v>
      </c>
    </row>
    <row r="3677">
      <c r="A3677" s="4">
        <v>3677.0</v>
      </c>
      <c r="B3677" s="5" t="s">
        <v>20066</v>
      </c>
      <c r="C3677" s="5" t="s">
        <v>20066</v>
      </c>
      <c r="D3677" s="5" t="s">
        <v>20066</v>
      </c>
      <c r="E3677" s="6" t="s">
        <v>85</v>
      </c>
      <c r="F3677" s="6" t="s">
        <v>7212</v>
      </c>
      <c r="G3677" s="3" t="str">
        <f>IFERROR(__xludf.DUMMYFUNCTION("REGEXREPLACE(
D3677,
""([一-龯々]+)\[([^\]]+)\]"",
""&lt;ruby&gt;$1&lt;rt&gt;$2&lt;/rt&gt;&lt;/ruby&gt;""
)&amp;""&lt;br&gt;&lt;div class=""""audio""""&gt;[sound:""&amp;C3677&amp;"".mp3]&lt;/div&gt;"""),"もしかして&lt;br&gt;&lt;div class=""audio""&gt;[sound:もしかして.mp3]&lt;/div&gt;")</f>
        <v>もしかして&lt;br&gt;&lt;div class="audio"&gt;[sound:もしかして.mp3]&lt;/div&gt;</v>
      </c>
      <c r="H3677" s="3" t="str">
        <f t="shared" si="1"/>
        <v>(adv): có lẽ</v>
      </c>
      <c r="I3677" s="6" t="s">
        <v>20067</v>
      </c>
      <c r="J3677" s="6" t="s">
        <v>20068</v>
      </c>
      <c r="K3677" s="7">
        <f t="shared" si="2"/>
        <v>0.3632440032</v>
      </c>
    </row>
    <row r="3678">
      <c r="A3678" s="4">
        <v>3678.0</v>
      </c>
      <c r="B3678" s="5" t="s">
        <v>20069</v>
      </c>
      <c r="C3678" s="5" t="s">
        <v>20070</v>
      </c>
      <c r="D3678" s="5" t="s">
        <v>20071</v>
      </c>
      <c r="E3678" s="6" t="s">
        <v>74</v>
      </c>
      <c r="F3678" s="6" t="s">
        <v>20072</v>
      </c>
      <c r="G3678" s="3" t="str">
        <f>IFERROR(__xludf.DUMMYFUNCTION("REGEXREPLACE(
D3678,
""([一-龯々]+)\[([^\]]+)\]"",
""&lt;ruby&gt;$1&lt;rt&gt;$2&lt;/rt&gt;&lt;/ruby&gt;""
)&amp;""&lt;br&gt;&lt;div class=""""audio""""&gt;[sound:""&amp;C3678&amp;"".mp3]&lt;/div&gt;"""),"&lt;ruby&gt;侍&lt;rt&gt;さむらい&lt;/rt&gt;&lt;/ruby&gt;&lt;br&gt;&lt;div class=""audio""&gt;[sound:さむらい.mp3]&lt;/div&gt;")</f>
        <v>&lt;ruby&gt;侍&lt;rt&gt;さむらい&lt;/rt&gt;&lt;/ruby&gt;&lt;br&gt;&lt;div class="audio"&gt;[sound:さむらい.mp3]&lt;/div&gt;</v>
      </c>
      <c r="H3678" s="3" t="str">
        <f t="shared" si="1"/>
        <v>(n): võ sĩ</v>
      </c>
      <c r="I3678" s="6" t="s">
        <v>20073</v>
      </c>
      <c r="J3678" s="6" t="s">
        <v>20074</v>
      </c>
      <c r="K3678" s="7">
        <f t="shared" si="2"/>
        <v>0.23424926</v>
      </c>
    </row>
    <row r="3679">
      <c r="A3679" s="4">
        <v>3679.0</v>
      </c>
      <c r="B3679" s="5" t="s">
        <v>20075</v>
      </c>
      <c r="C3679" s="5" t="s">
        <v>20076</v>
      </c>
      <c r="D3679" s="5" t="s">
        <v>20077</v>
      </c>
      <c r="E3679" s="6" t="s">
        <v>74</v>
      </c>
      <c r="F3679" s="6" t="s">
        <v>4042</v>
      </c>
      <c r="G3679" s="3" t="str">
        <f>IFERROR(__xludf.DUMMYFUNCTION("REGEXREPLACE(
D3679,
""([一-龯々]+)\[([^\]]+)\]"",
""&lt;ruby&gt;$1&lt;rt&gt;$2&lt;/rt&gt;&lt;/ruby&gt;""
)&amp;""&lt;br&gt;&lt;div class=""""audio""""&gt;[sound:""&amp;C3679&amp;"".mp3]&lt;/div&gt;"""),"&lt;ruby&gt;言&lt;rt&gt;い&lt;/rt&gt;&lt;/ruby&gt;い&lt;ruby&gt;訳&lt;rt&gt;わけ&lt;/rt&gt;&lt;/ruby&gt;&lt;br&gt;&lt;div class=""audio""&gt;[sound:いいわけ.mp3]&lt;/div&gt;")</f>
        <v>&lt;ruby&gt;言&lt;rt&gt;い&lt;/rt&gt;&lt;/ruby&gt;い&lt;ruby&gt;訳&lt;rt&gt;わけ&lt;/rt&gt;&lt;/ruby&gt;&lt;br&gt;&lt;div class="audio"&gt;[sound:いいわけ.mp3]&lt;/div&gt;</v>
      </c>
      <c r="H3679" s="3" t="str">
        <f t="shared" si="1"/>
        <v>(n): lý do</v>
      </c>
      <c r="I3679" s="6" t="s">
        <v>20078</v>
      </c>
      <c r="J3679" s="6" t="s">
        <v>20079</v>
      </c>
      <c r="K3679" s="7">
        <f t="shared" si="2"/>
        <v>0.1347975515</v>
      </c>
    </row>
    <row r="3680">
      <c r="A3680" s="4">
        <v>3680.0</v>
      </c>
      <c r="B3680" s="5" t="s">
        <v>20080</v>
      </c>
      <c r="C3680" s="5" t="s">
        <v>20081</v>
      </c>
      <c r="D3680" s="5" t="s">
        <v>20082</v>
      </c>
      <c r="E3680" s="6" t="s">
        <v>11</v>
      </c>
      <c r="F3680" s="6" t="s">
        <v>20083</v>
      </c>
      <c r="G3680" s="3" t="str">
        <f>IFERROR(__xludf.DUMMYFUNCTION("REGEXREPLACE(
D3680,
""([一-龯々]+)\[([^\]]+)\]"",
""&lt;ruby&gt;$1&lt;rt&gt;$2&lt;/rt&gt;&lt;/ruby&gt;""
)&amp;""&lt;br&gt;&lt;div class=""""audio""""&gt;[sound:""&amp;C3680&amp;"".mp3]&lt;/div&gt;"""),"&lt;ruby&gt;貧乏&lt;rt&gt;びんぼう&lt;/rt&gt;&lt;/ruby&gt;&lt;br&gt;&lt;div class=""audio""&gt;[sound:びんぼう.mp3]&lt;/div&gt;")</f>
        <v>&lt;ruby&gt;貧乏&lt;rt&gt;びんぼう&lt;/rt&gt;&lt;/ruby&gt;&lt;br&gt;&lt;div class="audio"&gt;[sound:びんぼう.mp3]&lt;/div&gt;</v>
      </c>
      <c r="H3680" s="3" t="str">
        <f t="shared" si="1"/>
        <v>(adj): nghèo</v>
      </c>
      <c r="I3680" s="6" t="s">
        <v>20084</v>
      </c>
      <c r="J3680" s="6" t="s">
        <v>20085</v>
      </c>
      <c r="K3680" s="7">
        <f t="shared" si="2"/>
        <v>0.3568362291</v>
      </c>
    </row>
    <row r="3681">
      <c r="A3681" s="4">
        <v>3681.0</v>
      </c>
      <c r="B3681" s="5" t="s">
        <v>20086</v>
      </c>
      <c r="C3681" s="5" t="s">
        <v>20086</v>
      </c>
      <c r="D3681" s="5" t="s">
        <v>20086</v>
      </c>
      <c r="E3681" s="6" t="s">
        <v>90</v>
      </c>
      <c r="F3681" s="6" t="s">
        <v>2299</v>
      </c>
      <c r="G3681" s="3" t="str">
        <f>IFERROR(__xludf.DUMMYFUNCTION("REGEXREPLACE(
D3681,
""([一-龯々]+)\[([^\]]+)\]"",
""&lt;ruby&gt;$1&lt;rt&gt;$2&lt;/rt&gt;&lt;/ruby&gt;""
)&amp;""&lt;br&gt;&lt;div class=""""audio""""&gt;[sound:""&amp;C3681&amp;"".mp3]&lt;/div&gt;"""),"もしくは&lt;br&gt;&lt;div class=""audio""&gt;[sound:もしくは.mp3]&lt;/div&gt;")</f>
        <v>もしくは&lt;br&gt;&lt;div class="audio"&gt;[sound:もしくは.mp3]&lt;/div&gt;</v>
      </c>
      <c r="H3681" s="3" t="str">
        <f t="shared" si="1"/>
        <v>(conj): hoặc</v>
      </c>
      <c r="I3681" s="6" t="s">
        <v>20087</v>
      </c>
      <c r="J3681" s="6" t="s">
        <v>20088</v>
      </c>
      <c r="K3681" s="7">
        <f t="shared" si="2"/>
        <v>0.9582090146</v>
      </c>
    </row>
    <row r="3682">
      <c r="A3682" s="4">
        <v>3682.0</v>
      </c>
      <c r="B3682" s="5" t="s">
        <v>20089</v>
      </c>
      <c r="C3682" s="5" t="s">
        <v>20090</v>
      </c>
      <c r="D3682" s="5" t="s">
        <v>20091</v>
      </c>
      <c r="E3682" s="6" t="s">
        <v>74</v>
      </c>
      <c r="F3682" s="6" t="s">
        <v>20092</v>
      </c>
      <c r="G3682" s="3" t="str">
        <f>IFERROR(__xludf.DUMMYFUNCTION("REGEXREPLACE(
D3682,
""([一-龯々]+)\[([^\]]+)\]"",
""&lt;ruby&gt;$1&lt;rt&gt;$2&lt;/rt&gt;&lt;/ruby&gt;""
)&amp;""&lt;br&gt;&lt;div class=""""audio""""&gt;[sound:""&amp;C3682&amp;"".mp3]&lt;/div&gt;"""),"&lt;ruby&gt;回路&lt;rt&gt;かいろ&lt;/rt&gt;&lt;/ruby&gt;&lt;br&gt;&lt;div class=""audio""&gt;[sound:かいろ.mp3]&lt;/div&gt;")</f>
        <v>&lt;ruby&gt;回路&lt;rt&gt;かいろ&lt;/rt&gt;&lt;/ruby&gt;&lt;br&gt;&lt;div class="audio"&gt;[sound:かいろ.mp3]&lt;/div&gt;</v>
      </c>
      <c r="H3682" s="3" t="str">
        <f t="shared" si="1"/>
        <v>(n): mạch</v>
      </c>
      <c r="I3682" s="6" t="s">
        <v>20093</v>
      </c>
      <c r="J3682" s="6" t="s">
        <v>20094</v>
      </c>
      <c r="K3682" s="7">
        <f t="shared" si="2"/>
        <v>0.7758088197</v>
      </c>
    </row>
    <row r="3683">
      <c r="A3683" s="4">
        <v>3683.0</v>
      </c>
      <c r="B3683" s="5" t="s">
        <v>20095</v>
      </c>
      <c r="C3683" s="5" t="s">
        <v>20096</v>
      </c>
      <c r="D3683" s="5" t="s">
        <v>20097</v>
      </c>
      <c r="E3683" s="6" t="s">
        <v>24</v>
      </c>
      <c r="F3683" s="6" t="s">
        <v>254</v>
      </c>
      <c r="G3683" s="3" t="str">
        <f>IFERROR(__xludf.DUMMYFUNCTION("REGEXREPLACE(
D3683,
""([一-龯々]+)\[([^\]]+)\]"",
""&lt;ruby&gt;$1&lt;rt&gt;$2&lt;/rt&gt;&lt;/ruby&gt;""
)&amp;""&lt;br&gt;&lt;div class=""""audio""""&gt;[sound:""&amp;C3683&amp;"".mp3]&lt;/div&gt;"""),"&lt;ruby&gt;垂&lt;rt&gt;た&lt;/rt&gt;&lt;/ruby&gt;れる&lt;br&gt;&lt;div class=""audio""&gt;[sound:たれる.mp3]&lt;/div&gt;")</f>
        <v>&lt;ruby&gt;垂&lt;rt&gt;た&lt;/rt&gt;&lt;/ruby&gt;れる&lt;br&gt;&lt;div class="audio"&gt;[sound:たれる.mp3]&lt;/div&gt;</v>
      </c>
      <c r="H3683" s="3" t="str">
        <f t="shared" si="1"/>
        <v>(v): treo</v>
      </c>
      <c r="I3683" s="6" t="s">
        <v>20098</v>
      </c>
      <c r="J3683" s="6" t="s">
        <v>20099</v>
      </c>
      <c r="K3683" s="7">
        <f t="shared" si="2"/>
        <v>0.9584887419</v>
      </c>
    </row>
    <row r="3684">
      <c r="A3684" s="4">
        <v>3684.0</v>
      </c>
      <c r="B3684" s="5" t="s">
        <v>20100</v>
      </c>
      <c r="C3684" s="5" t="s">
        <v>20101</v>
      </c>
      <c r="D3684" s="5" t="s">
        <v>20102</v>
      </c>
      <c r="E3684" s="6" t="s">
        <v>24</v>
      </c>
      <c r="F3684" s="6" t="s">
        <v>13756</v>
      </c>
      <c r="G3684" s="3" t="str">
        <f>IFERROR(__xludf.DUMMYFUNCTION("REGEXREPLACE(
D3684,
""([一-龯々]+)\[([^\]]+)\]"",
""&lt;ruby&gt;$1&lt;rt&gt;$2&lt;/rt&gt;&lt;/ruby&gt;""
)&amp;""&lt;br&gt;&lt;div class=""""audio""""&gt;[sound:""&amp;C3684&amp;"".mp3]&lt;/div&gt;"""),"&lt;ruby&gt;埋&lt;rt&gt;う&lt;/rt&gt;&lt;/ruby&gt;め&lt;ruby&gt;込&lt;rt&gt;こ&lt;/rt&gt;&lt;/ruby&gt;む&lt;br&gt;&lt;div class=""audio""&gt;[sound:うめこむ.mp3]&lt;/div&gt;")</f>
        <v>&lt;ruby&gt;埋&lt;rt&gt;う&lt;/rt&gt;&lt;/ruby&gt;め&lt;ruby&gt;込&lt;rt&gt;こ&lt;/rt&gt;&lt;/ruby&gt;む&lt;br&gt;&lt;div class="audio"&gt;[sound:うめこむ.mp3]&lt;/div&gt;</v>
      </c>
      <c r="H3684" s="3" t="str">
        <f t="shared" si="1"/>
        <v>(v): chôn</v>
      </c>
      <c r="I3684" s="6" t="s">
        <v>20103</v>
      </c>
      <c r="J3684" s="6" t="s">
        <v>20104</v>
      </c>
      <c r="K3684" s="7">
        <f t="shared" si="2"/>
        <v>0.413703493</v>
      </c>
    </row>
    <row r="3685">
      <c r="A3685" s="4">
        <v>3685.0</v>
      </c>
      <c r="B3685" s="5" t="s">
        <v>20105</v>
      </c>
      <c r="C3685" s="5" t="s">
        <v>20106</v>
      </c>
      <c r="D3685" s="5" t="s">
        <v>20107</v>
      </c>
      <c r="E3685" s="6" t="s">
        <v>24</v>
      </c>
      <c r="F3685" s="6" t="s">
        <v>13045</v>
      </c>
      <c r="G3685" s="3" t="str">
        <f>IFERROR(__xludf.DUMMYFUNCTION("REGEXREPLACE(
D3685,
""([一-龯々]+)\[([^\]]+)\]"",
""&lt;ruby&gt;$1&lt;rt&gt;$2&lt;/rt&gt;&lt;/ruby&gt;""
)&amp;""&lt;br&gt;&lt;div class=""""audio""""&gt;[sound:""&amp;C3685&amp;"".mp3]&lt;/div&gt;"""),"&lt;ruby&gt;演&lt;rt&gt;えん&lt;/rt&gt;&lt;/ruby&gt;ずる&lt;br&gt;&lt;div class=""audio""&gt;[sound:えんずる.mp3]&lt;/div&gt;")</f>
        <v>&lt;ruby&gt;演&lt;rt&gt;えん&lt;/rt&gt;&lt;/ruby&gt;ずる&lt;br&gt;&lt;div class="audio"&gt;[sound:えんずる.mp3]&lt;/div&gt;</v>
      </c>
      <c r="H3685" s="3" t="str">
        <f t="shared" si="1"/>
        <v>(v): diễn</v>
      </c>
      <c r="I3685" s="6" t="s">
        <v>20108</v>
      </c>
      <c r="J3685" s="6" t="s">
        <v>20109</v>
      </c>
      <c r="K3685" s="7">
        <f t="shared" si="2"/>
        <v>0.6142950646</v>
      </c>
    </row>
    <row r="3686">
      <c r="A3686" s="4">
        <v>3686.0</v>
      </c>
      <c r="B3686" s="5" t="s">
        <v>20110</v>
      </c>
      <c r="C3686" s="5" t="s">
        <v>20111</v>
      </c>
      <c r="D3686" s="5" t="s">
        <v>20112</v>
      </c>
      <c r="E3686" s="6" t="s">
        <v>74</v>
      </c>
      <c r="F3686" s="6" t="s">
        <v>3801</v>
      </c>
      <c r="G3686" s="3" t="str">
        <f>IFERROR(__xludf.DUMMYFUNCTION("REGEXREPLACE(
D3686,
""([一-龯々]+)\[([^\]]+)\]"",
""&lt;ruby&gt;$1&lt;rt&gt;$2&lt;/rt&gt;&lt;/ruby&gt;""
)&amp;""&lt;br&gt;&lt;div class=""""audio""""&gt;[sound:""&amp;C3686&amp;"".mp3]&lt;/div&gt;"""),"&lt;ruby&gt;用紙&lt;rt&gt;ようし&lt;/rt&gt;&lt;/ruby&gt;&lt;br&gt;&lt;div class=""audio""&gt;[sound:ようし.mp3]&lt;/div&gt;")</f>
        <v>&lt;ruby&gt;用紙&lt;rt&gt;ようし&lt;/rt&gt;&lt;/ruby&gt;&lt;br&gt;&lt;div class="audio"&gt;[sound:ようし.mp3]&lt;/div&gt;</v>
      </c>
      <c r="H3686" s="3" t="str">
        <f t="shared" si="1"/>
        <v>(n): giấy</v>
      </c>
      <c r="I3686" s="6" t="s">
        <v>20113</v>
      </c>
      <c r="J3686" s="6" t="s">
        <v>20114</v>
      </c>
      <c r="K3686" s="7">
        <f t="shared" si="2"/>
        <v>0.1892295394</v>
      </c>
    </row>
    <row r="3687">
      <c r="A3687" s="4">
        <v>3687.0</v>
      </c>
      <c r="B3687" s="5" t="s">
        <v>20115</v>
      </c>
      <c r="C3687" s="5" t="s">
        <v>20116</v>
      </c>
      <c r="D3687" s="5" t="s">
        <v>20117</v>
      </c>
      <c r="E3687" s="6" t="s">
        <v>74</v>
      </c>
      <c r="F3687" s="6" t="s">
        <v>20092</v>
      </c>
      <c r="G3687" s="3" t="str">
        <f>IFERROR(__xludf.DUMMYFUNCTION("REGEXREPLACE(
D3687,
""([一-龯々]+)\[([^\]]+)\]"",
""&lt;ruby&gt;$1&lt;rt&gt;$2&lt;/rt&gt;&lt;/ruby&gt;""
)&amp;""&lt;br&gt;&lt;div class=""""audio""""&gt;[sound:""&amp;C3687&amp;"".mp3]&lt;/div&gt;"""),"&lt;ruby&gt;脈&lt;rt&gt;みゃく&lt;/rt&gt;&lt;/ruby&gt;&lt;br&gt;&lt;div class=""audio""&gt;[sound:みゃく.mp3]&lt;/div&gt;")</f>
        <v>&lt;ruby&gt;脈&lt;rt&gt;みゃく&lt;/rt&gt;&lt;/ruby&gt;&lt;br&gt;&lt;div class="audio"&gt;[sound:みゃく.mp3]&lt;/div&gt;</v>
      </c>
      <c r="H3687" s="3" t="str">
        <f t="shared" si="1"/>
        <v>(n): mạch</v>
      </c>
      <c r="I3687" s="6" t="s">
        <v>20118</v>
      </c>
      <c r="J3687" s="6" t="s">
        <v>20119</v>
      </c>
      <c r="K3687" s="7">
        <f t="shared" si="2"/>
        <v>0.4431511454</v>
      </c>
    </row>
    <row r="3688">
      <c r="A3688" s="4">
        <v>3688.0</v>
      </c>
      <c r="B3688" s="5" t="s">
        <v>20120</v>
      </c>
      <c r="C3688" s="5" t="s">
        <v>20121</v>
      </c>
      <c r="D3688" s="5" t="s">
        <v>20122</v>
      </c>
      <c r="E3688" s="6" t="s">
        <v>74</v>
      </c>
      <c r="F3688" s="6" t="s">
        <v>20123</v>
      </c>
      <c r="G3688" s="3" t="str">
        <f>IFERROR(__xludf.DUMMYFUNCTION("REGEXREPLACE(
D3688,
""([一-龯々]+)\[([^\]]+)\]"",
""&lt;ruby&gt;$1&lt;rt&gt;$2&lt;/rt&gt;&lt;/ruby&gt;""
)&amp;""&lt;br&gt;&lt;div class=""""audio""""&gt;[sound:""&amp;C3688&amp;"".mp3]&lt;/div&gt;"""),"&lt;ruby&gt;鉄鋼&lt;rt&gt;てっこう&lt;/rt&gt;&lt;/ruby&gt;&lt;br&gt;&lt;div class=""audio""&gt;[sound:てっこう.mp3]&lt;/div&gt;")</f>
        <v>&lt;ruby&gt;鉄鋼&lt;rt&gt;てっこう&lt;/rt&gt;&lt;/ruby&gt;&lt;br&gt;&lt;div class="audio"&gt;[sound:てっこう.mp3]&lt;/div&gt;</v>
      </c>
      <c r="H3688" s="3" t="str">
        <f t="shared" si="1"/>
        <v>(n): thép</v>
      </c>
      <c r="I3688" s="6" t="s">
        <v>20124</v>
      </c>
      <c r="J3688" s="6" t="s">
        <v>20125</v>
      </c>
      <c r="K3688" s="7">
        <f t="shared" si="2"/>
        <v>0.2900730606</v>
      </c>
    </row>
    <row r="3689">
      <c r="A3689" s="4">
        <v>3689.0</v>
      </c>
      <c r="B3689" s="5" t="s">
        <v>20126</v>
      </c>
      <c r="C3689" s="5" t="s">
        <v>20127</v>
      </c>
      <c r="D3689" s="5" t="s">
        <v>20128</v>
      </c>
      <c r="E3689" s="6" t="s">
        <v>11</v>
      </c>
      <c r="F3689" s="6" t="s">
        <v>20129</v>
      </c>
      <c r="G3689" s="3" t="str">
        <f>IFERROR(__xludf.DUMMYFUNCTION("REGEXREPLACE(
D3689,
""([一-龯々]+)\[([^\]]+)\]"",
""&lt;ruby&gt;$1&lt;rt&gt;$2&lt;/rt&gt;&lt;/ruby&gt;""
)&amp;""&lt;br&gt;&lt;div class=""""audio""""&gt;[sound:""&amp;C3689&amp;"".mp3]&lt;/div&gt;"""),"&lt;ruby&gt;静的&lt;rt&gt;せいてき&lt;/rt&gt;&lt;/ruby&gt;&lt;br&gt;&lt;div class=""audio""&gt;[sound:せいてき.mp3]&lt;/div&gt;")</f>
        <v>&lt;ruby&gt;静的&lt;rt&gt;せいてき&lt;/rt&gt;&lt;/ruby&gt;&lt;br&gt;&lt;div class="audio"&gt;[sound:せいてき.mp3]&lt;/div&gt;</v>
      </c>
      <c r="H3689" s="3" t="str">
        <f t="shared" si="1"/>
        <v>(adj): tĩnh</v>
      </c>
      <c r="I3689" s="6" t="s">
        <v>20130</v>
      </c>
      <c r="J3689" s="6" t="s">
        <v>20131</v>
      </c>
      <c r="K3689" s="7">
        <f t="shared" si="2"/>
        <v>0.8656547518</v>
      </c>
    </row>
    <row r="3690">
      <c r="A3690" s="4">
        <v>3690.0</v>
      </c>
      <c r="B3690" s="5" t="s">
        <v>20132</v>
      </c>
      <c r="C3690" s="5" t="s">
        <v>20133</v>
      </c>
      <c r="D3690" s="5" t="s">
        <v>20132</v>
      </c>
      <c r="E3690" s="6" t="s">
        <v>74</v>
      </c>
      <c r="F3690" s="6" t="s">
        <v>20134</v>
      </c>
      <c r="G3690" s="3" t="str">
        <f>IFERROR(__xludf.DUMMYFUNCTION("REGEXREPLACE(
D3690,
""([一-龯々]+)\[([^\]]+)\]"",
""&lt;ruby&gt;$1&lt;rt&gt;$2&lt;/rt&gt;&lt;/ruby&gt;""
)&amp;""&lt;br&gt;&lt;div class=""""audio""""&gt;[sound:""&amp;C3690&amp;"".mp3]&lt;/div&gt;"""),"ブーツ&lt;br&gt;&lt;div class=""audio""&gt;[sound:ぶーつ.mp3]&lt;/div&gt;")</f>
        <v>ブーツ&lt;br&gt;&lt;div class="audio"&gt;[sound:ぶーつ.mp3]&lt;/div&gt;</v>
      </c>
      <c r="H3690" s="3" t="str">
        <f t="shared" si="1"/>
        <v>(n): ủng</v>
      </c>
      <c r="I3690" s="6" t="s">
        <v>20135</v>
      </c>
      <c r="J3690" s="6" t="s">
        <v>20136</v>
      </c>
      <c r="K3690" s="7">
        <f t="shared" si="2"/>
        <v>0.6806411759</v>
      </c>
    </row>
    <row r="3691">
      <c r="A3691" s="4">
        <v>3691.0</v>
      </c>
      <c r="B3691" s="5" t="s">
        <v>20137</v>
      </c>
      <c r="C3691" s="5" t="s">
        <v>20138</v>
      </c>
      <c r="D3691" s="5" t="s">
        <v>20137</v>
      </c>
      <c r="E3691" s="6" t="s">
        <v>74</v>
      </c>
      <c r="F3691" s="6" t="s">
        <v>9226</v>
      </c>
      <c r="G3691" s="3" t="str">
        <f>IFERROR(__xludf.DUMMYFUNCTION("REGEXREPLACE(
D3691,
""([一-龯々]+)\[([^\]]+)\]"",
""&lt;ruby&gt;$1&lt;rt&gt;$2&lt;/rt&gt;&lt;/ruby&gt;""
)&amp;""&lt;br&gt;&lt;div class=""""audio""""&gt;[sound:""&amp;C3691&amp;"".mp3]&lt;/div&gt;"""),"ライス&lt;br&gt;&lt;div class=""audio""&gt;[sound:らいす.mp3]&lt;/div&gt;")</f>
        <v>ライス&lt;br&gt;&lt;div class="audio"&gt;[sound:らいす.mp3]&lt;/div&gt;</v>
      </c>
      <c r="H3691" s="3" t="str">
        <f t="shared" si="1"/>
        <v>(n): cơm</v>
      </c>
      <c r="I3691" s="6" t="s">
        <v>20139</v>
      </c>
      <c r="J3691" s="6" t="s">
        <v>20140</v>
      </c>
      <c r="K3691" s="7">
        <f t="shared" si="2"/>
        <v>0.154510678</v>
      </c>
    </row>
    <row r="3692">
      <c r="A3692" s="4">
        <v>3692.0</v>
      </c>
      <c r="B3692" s="5" t="s">
        <v>20141</v>
      </c>
      <c r="C3692" s="5" t="s">
        <v>20142</v>
      </c>
      <c r="D3692" s="5" t="s">
        <v>20141</v>
      </c>
      <c r="E3692" s="6" t="s">
        <v>74</v>
      </c>
      <c r="F3692" s="6" t="s">
        <v>20143</v>
      </c>
      <c r="G3692" s="3" t="str">
        <f>IFERROR(__xludf.DUMMYFUNCTION("REGEXREPLACE(
D3692,
""([一-龯々]+)\[([^\]]+)\]"",
""&lt;ruby&gt;$1&lt;rt&gt;$2&lt;/rt&gt;&lt;/ruby&gt;""
)&amp;""&lt;br&gt;&lt;div class=""""audio""""&gt;[sound:""&amp;C3692&amp;"".mp3]&lt;/div&gt;"""),"ランプ&lt;br&gt;&lt;div class=""audio""&gt;[sound:らんぷ.mp3]&lt;/div&gt;")</f>
        <v>ランプ&lt;br&gt;&lt;div class="audio"&gt;[sound:らんぷ.mp3]&lt;/div&gt;</v>
      </c>
      <c r="H3692" s="3" t="str">
        <f t="shared" si="1"/>
        <v>(n): đèn</v>
      </c>
      <c r="I3692" s="6" t="s">
        <v>20144</v>
      </c>
      <c r="J3692" s="6" t="s">
        <v>354</v>
      </c>
      <c r="K3692" s="7">
        <f t="shared" si="2"/>
        <v>0.3808120839</v>
      </c>
    </row>
    <row r="3693">
      <c r="A3693" s="4">
        <v>3693.0</v>
      </c>
      <c r="B3693" s="5" t="s">
        <v>20145</v>
      </c>
      <c r="C3693" s="5" t="s">
        <v>20146</v>
      </c>
      <c r="D3693" s="5" t="s">
        <v>20147</v>
      </c>
      <c r="E3693" s="6" t="s">
        <v>24</v>
      </c>
      <c r="F3693" s="6" t="s">
        <v>20148</v>
      </c>
      <c r="G3693" s="3" t="str">
        <f>IFERROR(__xludf.DUMMYFUNCTION("REGEXREPLACE(
D3693,
""([一-龯々]+)\[([^\]]+)\]"",
""&lt;ruby&gt;$1&lt;rt&gt;$2&lt;/rt&gt;&lt;/ruby&gt;""
)&amp;""&lt;br&gt;&lt;div class=""""audio""""&gt;[sound:""&amp;C3693&amp;"".mp3]&lt;/div&gt;"""),"&lt;ruby&gt;剥&lt;rt&gt;は&lt;/rt&gt;&lt;/ruby&gt;ぐ&lt;br&gt;&lt;div class=""audio""&gt;[sound:はぐ.mp3]&lt;/div&gt;")</f>
        <v>&lt;ruby&gt;剥&lt;rt&gt;は&lt;/rt&gt;&lt;/ruby&gt;ぐ&lt;br&gt;&lt;div class="audio"&gt;[sound:はぐ.mp3]&lt;/div&gt;</v>
      </c>
      <c r="H3693" s="3" t="str">
        <f t="shared" si="1"/>
        <v>(v): lột</v>
      </c>
      <c r="I3693" s="6" t="s">
        <v>20149</v>
      </c>
      <c r="J3693" s="6" t="s">
        <v>20150</v>
      </c>
      <c r="K3693" s="7">
        <f t="shared" si="2"/>
        <v>0.5825169172</v>
      </c>
    </row>
    <row r="3694">
      <c r="A3694" s="4">
        <v>3694.0</v>
      </c>
      <c r="B3694" s="5" t="s">
        <v>20151</v>
      </c>
      <c r="C3694" s="5" t="s">
        <v>20152</v>
      </c>
      <c r="D3694" s="5" t="s">
        <v>20153</v>
      </c>
      <c r="E3694" s="6" t="s">
        <v>74</v>
      </c>
      <c r="F3694" s="6" t="s">
        <v>20154</v>
      </c>
      <c r="G3694" s="3" t="str">
        <f>IFERROR(__xludf.DUMMYFUNCTION("REGEXREPLACE(
D3694,
""([一-龯々]+)\[([^\]]+)\]"",
""&lt;ruby&gt;$1&lt;rt&gt;$2&lt;/rt&gt;&lt;/ruby&gt;""
)&amp;""&lt;br&gt;&lt;div class=""""audio""""&gt;[sound:""&amp;C3694&amp;"".mp3]&lt;/div&gt;"""),"&lt;ruby&gt;基金&lt;rt&gt;ききん&lt;/rt&gt;&lt;/ruby&gt;&lt;br&gt;&lt;div class=""audio""&gt;[sound:ききん.mp3]&lt;/div&gt;")</f>
        <v>&lt;ruby&gt;基金&lt;rt&gt;ききん&lt;/rt&gt;&lt;/ruby&gt;&lt;br&gt;&lt;div class="audio"&gt;[sound:ききん.mp3]&lt;/div&gt;</v>
      </c>
      <c r="H3694" s="3" t="str">
        <f t="shared" si="1"/>
        <v>(n): quỹ</v>
      </c>
      <c r="I3694" s="6" t="s">
        <v>20155</v>
      </c>
      <c r="J3694" s="6" t="s">
        <v>20156</v>
      </c>
      <c r="K3694" s="7">
        <f t="shared" si="2"/>
        <v>0.1753712592</v>
      </c>
    </row>
    <row r="3695">
      <c r="A3695" s="4">
        <v>3695.0</v>
      </c>
      <c r="B3695" s="5" t="s">
        <v>20157</v>
      </c>
      <c r="C3695" s="5" t="s">
        <v>20158</v>
      </c>
      <c r="D3695" s="5" t="s">
        <v>20159</v>
      </c>
      <c r="E3695" s="6" t="s">
        <v>74</v>
      </c>
      <c r="F3695" s="6" t="s">
        <v>20160</v>
      </c>
      <c r="G3695" s="3" t="str">
        <f>IFERROR(__xludf.DUMMYFUNCTION("REGEXREPLACE(
D3695,
""([一-龯々]+)\[([^\]]+)\]"",
""&lt;ruby&gt;$1&lt;rt&gt;$2&lt;/rt&gt;&lt;/ruby&gt;""
)&amp;""&lt;br&gt;&lt;div class=""""audio""""&gt;[sound:""&amp;C3695&amp;"".mp3]&lt;/div&gt;"""),"&lt;ruby&gt;陣&lt;rt&gt;じん&lt;/rt&gt;&lt;/ruby&gt;&lt;br&gt;&lt;div class=""audio""&gt;[sound:じん.mp3]&lt;/div&gt;")</f>
        <v>&lt;ruby&gt;陣&lt;rt&gt;じん&lt;/rt&gt;&lt;/ruby&gt;&lt;br&gt;&lt;div class="audio"&gt;[sound:じん.mp3]&lt;/div&gt;</v>
      </c>
      <c r="H3695" s="3" t="str">
        <f t="shared" si="1"/>
        <v>(n): phe</v>
      </c>
      <c r="I3695" s="6" t="s">
        <v>20161</v>
      </c>
      <c r="J3695" s="6" t="s">
        <v>20162</v>
      </c>
      <c r="K3695" s="7">
        <f t="shared" si="2"/>
        <v>0.3183168491</v>
      </c>
    </row>
    <row r="3696">
      <c r="A3696" s="4">
        <v>3696.0</v>
      </c>
      <c r="B3696" s="5" t="s">
        <v>20163</v>
      </c>
      <c r="C3696" s="5" t="s">
        <v>20163</v>
      </c>
      <c r="D3696" s="5" t="s">
        <v>20163</v>
      </c>
      <c r="E3696" s="6" t="s">
        <v>74</v>
      </c>
      <c r="F3696" s="6" t="s">
        <v>20164</v>
      </c>
      <c r="G3696" s="3" t="str">
        <f>IFERROR(__xludf.DUMMYFUNCTION("REGEXREPLACE(
D3696,
""([一-龯々]+)\[([^\]]+)\]"",
""&lt;ruby&gt;$1&lt;rt&gt;$2&lt;/rt&gt;&lt;/ruby&gt;""
)&amp;""&lt;br&gt;&lt;div class=""""audio""""&gt;[sound:""&amp;C3696&amp;"".mp3]&lt;/div&gt;"""),"おむつ&lt;br&gt;&lt;div class=""audio""&gt;[sound:おむつ.mp3]&lt;/div&gt;")</f>
        <v>おむつ&lt;br&gt;&lt;div class="audio"&gt;[sound:おむつ.mp3]&lt;/div&gt;</v>
      </c>
      <c r="H3696" s="3" t="str">
        <f t="shared" si="1"/>
        <v>(n): tã</v>
      </c>
      <c r="I3696" s="6" t="s">
        <v>20165</v>
      </c>
      <c r="J3696" s="6" t="s">
        <v>20166</v>
      </c>
      <c r="K3696" s="7">
        <f t="shared" si="2"/>
        <v>0.8385163809</v>
      </c>
    </row>
    <row r="3697">
      <c r="A3697" s="4">
        <v>3697.0</v>
      </c>
      <c r="B3697" s="5" t="s">
        <v>20167</v>
      </c>
      <c r="C3697" s="5" t="s">
        <v>20168</v>
      </c>
      <c r="D3697" s="5" t="s">
        <v>20169</v>
      </c>
      <c r="E3697" s="6" t="s">
        <v>74</v>
      </c>
      <c r="F3697" s="6" t="s">
        <v>4937</v>
      </c>
      <c r="G3697" s="3" t="str">
        <f>IFERROR(__xludf.DUMMYFUNCTION("REGEXREPLACE(
D3697,
""([一-龯々]+)\[([^\]]+)\]"",
""&lt;ruby&gt;$1&lt;rt&gt;$2&lt;/rt&gt;&lt;/ruby&gt;""
)&amp;""&lt;br&gt;&lt;div class=""""audio""""&gt;[sound:""&amp;C3697&amp;"".mp3]&lt;/div&gt;"""),"&lt;ruby&gt;旅館&lt;rt&gt;りょかん&lt;/rt&gt;&lt;/ruby&gt;&lt;br&gt;&lt;div class=""audio""&gt;[sound:りょかん.mp3]&lt;/div&gt;")</f>
        <v>&lt;ruby&gt;旅館&lt;rt&gt;りょかん&lt;/rt&gt;&lt;/ruby&gt;&lt;br&gt;&lt;div class="audio"&gt;[sound:りょかん.mp3]&lt;/div&gt;</v>
      </c>
      <c r="H3697" s="3" t="str">
        <f t="shared" si="1"/>
        <v>(n): nhà trọ</v>
      </c>
      <c r="I3697" s="6" t="s">
        <v>20170</v>
      </c>
      <c r="J3697" s="6" t="s">
        <v>20171</v>
      </c>
      <c r="K3697" s="7">
        <f t="shared" si="2"/>
        <v>0.4487352716</v>
      </c>
    </row>
    <row r="3698">
      <c r="A3698" s="4">
        <v>3698.0</v>
      </c>
      <c r="B3698" s="5" t="s">
        <v>20172</v>
      </c>
      <c r="C3698" s="5" t="s">
        <v>20173</v>
      </c>
      <c r="D3698" s="5" t="s">
        <v>20174</v>
      </c>
      <c r="E3698" s="6" t="s">
        <v>74</v>
      </c>
      <c r="F3698" s="6" t="s">
        <v>20175</v>
      </c>
      <c r="G3698" s="3" t="str">
        <f>IFERROR(__xludf.DUMMYFUNCTION("REGEXREPLACE(
D3698,
""([一-龯々]+)\[([^\]]+)\]"",
""&lt;ruby&gt;$1&lt;rt&gt;$2&lt;/rt&gt;&lt;/ruby&gt;""
)&amp;""&lt;br&gt;&lt;div class=""""audio""""&gt;[sound:""&amp;C3698&amp;"".mp3]&lt;/div&gt;"""),"&lt;ruby&gt;次第&lt;rt&gt;しだい&lt;/rt&gt;&lt;/ruby&gt;&lt;br&gt;&lt;div class=""audio""&gt;[sound:しだい.mp3]&lt;/div&gt;")</f>
        <v>&lt;ruby&gt;次第&lt;rt&gt;しだい&lt;/rt&gt;&lt;/ruby&gt;&lt;br&gt;&lt;div class="audio"&gt;[sound:しだい.mp3]&lt;/div&gt;</v>
      </c>
      <c r="H3698" s="3" t="str">
        <f t="shared" si="1"/>
        <v>(n): tùy thuộc</v>
      </c>
      <c r="I3698" s="6" t="s">
        <v>20176</v>
      </c>
      <c r="J3698" s="6" t="s">
        <v>20177</v>
      </c>
      <c r="K3698" s="7">
        <f t="shared" si="2"/>
        <v>0.922859084</v>
      </c>
    </row>
    <row r="3699">
      <c r="A3699" s="4">
        <v>3699.0</v>
      </c>
      <c r="B3699" s="5" t="s">
        <v>20178</v>
      </c>
      <c r="C3699" s="5" t="s">
        <v>20179</v>
      </c>
      <c r="D3699" s="5" t="s">
        <v>20180</v>
      </c>
      <c r="E3699" s="6" t="s">
        <v>74</v>
      </c>
      <c r="F3699" s="6" t="s">
        <v>20181</v>
      </c>
      <c r="G3699" s="3" t="str">
        <f>IFERROR(__xludf.DUMMYFUNCTION("REGEXREPLACE(
D3699,
""([一-龯々]+)\[([^\]]+)\]"",
""&lt;ruby&gt;$1&lt;rt&gt;$2&lt;/rt&gt;&lt;/ruby&gt;""
)&amp;""&lt;br&gt;&lt;div class=""""audio""""&gt;[sound:""&amp;C3699&amp;"".mp3]&lt;/div&gt;"""),"&lt;ruby&gt;死亡&lt;rt&gt;しぼう&lt;/rt&gt;&lt;/ruby&gt;&lt;br&gt;&lt;div class=""audio""&gt;[sound:しぼう.mp3]&lt;/div&gt;")</f>
        <v>&lt;ruby&gt;死亡&lt;rt&gt;しぼう&lt;/rt&gt;&lt;/ruby&gt;&lt;br&gt;&lt;div class="audio"&gt;[sound:しぼう.mp3]&lt;/div&gt;</v>
      </c>
      <c r="H3699" s="3" t="str">
        <f t="shared" si="1"/>
        <v>(n): tử vong</v>
      </c>
      <c r="I3699" s="6" t="s">
        <v>20182</v>
      </c>
      <c r="J3699" s="6" t="s">
        <v>20183</v>
      </c>
      <c r="K3699" s="7">
        <f t="shared" si="2"/>
        <v>0.3539164887</v>
      </c>
    </row>
    <row r="3700">
      <c r="A3700" s="4">
        <v>3700.0</v>
      </c>
      <c r="B3700" s="5" t="s">
        <v>20184</v>
      </c>
      <c r="C3700" s="5" t="s">
        <v>20185</v>
      </c>
      <c r="D3700" s="5" t="s">
        <v>20186</v>
      </c>
      <c r="E3700" s="6" t="s">
        <v>74</v>
      </c>
      <c r="F3700" s="6" t="s">
        <v>20187</v>
      </c>
      <c r="G3700" s="3" t="str">
        <f>IFERROR(__xludf.DUMMYFUNCTION("REGEXREPLACE(
D3700,
""([一-龯々]+)\[([^\]]+)\]"",
""&lt;ruby&gt;$1&lt;rt&gt;$2&lt;/rt&gt;&lt;/ruby&gt;""
)&amp;""&lt;br&gt;&lt;div class=""""audio""""&gt;[sound:""&amp;C3700&amp;"".mp3]&lt;/div&gt;"""),"&lt;ruby&gt;晴&lt;rt&gt;は&lt;/rt&gt;&lt;/ruby&gt;れ&lt;br&gt;&lt;div class=""audio""&gt;[sound:はれ.mp3]&lt;/div&gt;")</f>
        <v>&lt;ruby&gt;晴&lt;rt&gt;は&lt;/rt&gt;&lt;/ruby&gt;れ&lt;br&gt;&lt;div class="audio"&gt;[sound:はれ.mp3]&lt;/div&gt;</v>
      </c>
      <c r="H3700" s="3" t="str">
        <f t="shared" si="1"/>
        <v>(n): trời nắng</v>
      </c>
      <c r="I3700" s="6" t="s">
        <v>20188</v>
      </c>
      <c r="J3700" s="6" t="s">
        <v>20189</v>
      </c>
      <c r="K3700" s="7">
        <f t="shared" si="2"/>
        <v>0.4851246833</v>
      </c>
    </row>
    <row r="3701">
      <c r="A3701" s="4">
        <v>3701.0</v>
      </c>
      <c r="B3701" s="5" t="s">
        <v>20190</v>
      </c>
      <c r="C3701" s="5" t="s">
        <v>4541</v>
      </c>
      <c r="D3701" s="5" t="s">
        <v>20191</v>
      </c>
      <c r="E3701" s="6" t="s">
        <v>74</v>
      </c>
      <c r="F3701" s="6" t="s">
        <v>20192</v>
      </c>
      <c r="G3701" s="3" t="str">
        <f>IFERROR(__xludf.DUMMYFUNCTION("REGEXREPLACE(
D3701,
""([一-龯々]+)\[([^\]]+)\]"",
""&lt;ruby&gt;$1&lt;rt&gt;$2&lt;/rt&gt;&lt;/ruby&gt;""
)&amp;""&lt;br&gt;&lt;div class=""""audio""""&gt;[sound:""&amp;C3701&amp;"".mp3]&lt;/div&gt;"""),"&lt;ruby&gt;教会&lt;rt&gt;きょうかい&lt;/rt&gt;&lt;/ruby&gt;&lt;br&gt;&lt;div class=""audio""&gt;[sound:きょうかい.mp3]&lt;/div&gt;")</f>
        <v>&lt;ruby&gt;教会&lt;rt&gt;きょうかい&lt;/rt&gt;&lt;/ruby&gt;&lt;br&gt;&lt;div class="audio"&gt;[sound:きょうかい.mp3]&lt;/div&gt;</v>
      </c>
      <c r="H3701" s="3" t="str">
        <f t="shared" si="1"/>
        <v>(n): nhà thờ</v>
      </c>
      <c r="I3701" s="6" t="s">
        <v>20193</v>
      </c>
      <c r="J3701" s="6" t="s">
        <v>20194</v>
      </c>
      <c r="K3701" s="7">
        <f t="shared" si="2"/>
        <v>0.8514742835</v>
      </c>
    </row>
    <row r="3702">
      <c r="A3702" s="4">
        <v>3702.0</v>
      </c>
      <c r="B3702" s="5" t="s">
        <v>20195</v>
      </c>
      <c r="C3702" s="5" t="s">
        <v>20196</v>
      </c>
      <c r="D3702" s="5" t="s">
        <v>20197</v>
      </c>
      <c r="E3702" s="6" t="s">
        <v>74</v>
      </c>
      <c r="F3702" s="6" t="s">
        <v>20198</v>
      </c>
      <c r="G3702" s="3" t="str">
        <f>IFERROR(__xludf.DUMMYFUNCTION("REGEXREPLACE(
D3702,
""([一-龯々]+)\[([^\]]+)\]"",
""&lt;ruby&gt;$1&lt;rt&gt;$2&lt;/rt&gt;&lt;/ruby&gt;""
)&amp;""&lt;br&gt;&lt;div class=""""audio""""&gt;[sound:""&amp;C3702&amp;"".mp3]&lt;/div&gt;"""),"&lt;ruby&gt;桜&lt;rt&gt;さくら&lt;/rt&gt;&lt;/ruby&gt;&lt;br&gt;&lt;div class=""audio""&gt;[sound:さくら.mp3]&lt;/div&gt;")</f>
        <v>&lt;ruby&gt;桜&lt;rt&gt;さくら&lt;/rt&gt;&lt;/ruby&gt;&lt;br&gt;&lt;div class="audio"&gt;[sound:さくら.mp3]&lt;/div&gt;</v>
      </c>
      <c r="H3702" s="3" t="str">
        <f t="shared" si="1"/>
        <v>(n): hoa anh đào</v>
      </c>
      <c r="I3702" s="6" t="s">
        <v>20199</v>
      </c>
      <c r="J3702" s="6" t="s">
        <v>20200</v>
      </c>
      <c r="K3702" s="7">
        <f t="shared" si="2"/>
        <v>0.4467590356</v>
      </c>
    </row>
    <row r="3703">
      <c r="A3703" s="4">
        <v>3703.0</v>
      </c>
      <c r="B3703" s="5" t="s">
        <v>20201</v>
      </c>
      <c r="C3703" s="5" t="s">
        <v>210</v>
      </c>
      <c r="D3703" s="5" t="s">
        <v>20202</v>
      </c>
      <c r="E3703" s="6" t="s">
        <v>24</v>
      </c>
      <c r="F3703" s="6" t="s">
        <v>4880</v>
      </c>
      <c r="G3703" s="3" t="str">
        <f>IFERROR(__xludf.DUMMYFUNCTION("REGEXREPLACE(
D3703,
""([一-龯々]+)\[([^\]]+)\]"",
""&lt;ruby&gt;$1&lt;rt&gt;$2&lt;/rt&gt;&lt;/ruby&gt;""
)&amp;""&lt;br&gt;&lt;div class=""""audio""""&gt;[sound:""&amp;C3703&amp;"".mp3]&lt;/div&gt;"""),"&lt;ruby&gt;採&lt;rt&gt;と&lt;/rt&gt;&lt;/ruby&gt;る&lt;br&gt;&lt;div class=""audio""&gt;[sound:とる.mp3]&lt;/div&gt;")</f>
        <v>&lt;ruby&gt;採&lt;rt&gt;と&lt;/rt&gt;&lt;/ruby&gt;る&lt;br&gt;&lt;div class="audio"&gt;[sound:とる.mp3]&lt;/div&gt;</v>
      </c>
      <c r="H3703" s="3" t="str">
        <f t="shared" si="1"/>
        <v>(v): thu hoạch</v>
      </c>
      <c r="I3703" s="6" t="s">
        <v>20203</v>
      </c>
      <c r="J3703" s="6" t="s">
        <v>20204</v>
      </c>
      <c r="K3703" s="7">
        <f t="shared" si="2"/>
        <v>0.3367645041</v>
      </c>
    </row>
    <row r="3704">
      <c r="A3704" s="4">
        <v>3704.0</v>
      </c>
      <c r="B3704" s="5" t="s">
        <v>20205</v>
      </c>
      <c r="C3704" s="5" t="s">
        <v>20206</v>
      </c>
      <c r="D3704" s="5" t="s">
        <v>20207</v>
      </c>
      <c r="E3704" s="6" t="s">
        <v>11</v>
      </c>
      <c r="F3704" s="6" t="s">
        <v>7632</v>
      </c>
      <c r="G3704" s="3" t="str">
        <f>IFERROR(__xludf.DUMMYFUNCTION("REGEXREPLACE(
D3704,
""([一-龯々]+)\[([^\]]+)\]"",
""&lt;ruby&gt;$1&lt;rt&gt;$2&lt;/rt&gt;&lt;/ruby&gt;""
)&amp;""&lt;br&gt;&lt;div class=""""audio""""&gt;[sound:""&amp;C3704&amp;"".mp3]&lt;/div&gt;"""),"&lt;ruby&gt;密&lt;rt&gt;ひそ&lt;/rt&gt;&lt;/ruby&gt;か&lt;br&gt;&lt;div class=""audio""&gt;[sound:ひそか.mp3]&lt;/div&gt;")</f>
        <v>&lt;ruby&gt;密&lt;rt&gt;ひそ&lt;/rt&gt;&lt;/ruby&gt;か&lt;br&gt;&lt;div class="audio"&gt;[sound:ひそか.mp3]&lt;/div&gt;</v>
      </c>
      <c r="H3704" s="3" t="str">
        <f t="shared" si="1"/>
        <v>(adj): bí mật</v>
      </c>
      <c r="I3704" s="6" t="s">
        <v>20208</v>
      </c>
      <c r="J3704" s="6" t="s">
        <v>20209</v>
      </c>
      <c r="K3704" s="7">
        <f t="shared" si="2"/>
        <v>0.3405269917</v>
      </c>
    </row>
    <row r="3705">
      <c r="A3705" s="4">
        <v>3705.0</v>
      </c>
      <c r="B3705" s="5" t="s">
        <v>20210</v>
      </c>
      <c r="C3705" s="5" t="s">
        <v>20211</v>
      </c>
      <c r="D3705" s="5" t="s">
        <v>20212</v>
      </c>
      <c r="E3705" s="6" t="s">
        <v>74</v>
      </c>
      <c r="F3705" s="6" t="s">
        <v>20213</v>
      </c>
      <c r="G3705" s="3" t="str">
        <f>IFERROR(__xludf.DUMMYFUNCTION("REGEXREPLACE(
D3705,
""([一-龯々]+)\[([^\]]+)\]"",
""&lt;ruby&gt;$1&lt;rt&gt;$2&lt;/rt&gt;&lt;/ruby&gt;""
)&amp;""&lt;br&gt;&lt;div class=""""audio""""&gt;[sound:""&amp;C3705&amp;"".mp3]&lt;/div&gt;"""),"&lt;ruby&gt;可決&lt;rt&gt;かけつ&lt;/rt&gt;&lt;/ruby&gt;&lt;br&gt;&lt;div class=""audio""&gt;[sound:かけつ.mp3]&lt;/div&gt;")</f>
        <v>&lt;ruby&gt;可決&lt;rt&gt;かけつ&lt;/rt&gt;&lt;/ruby&gt;&lt;br&gt;&lt;div class="audio"&gt;[sound:かけつ.mp3]&lt;/div&gt;</v>
      </c>
      <c r="H3705" s="3" t="str">
        <f t="shared" si="1"/>
        <v>(n): phê duyệt</v>
      </c>
      <c r="I3705" s="6" t="s">
        <v>20214</v>
      </c>
      <c r="J3705" s="6" t="s">
        <v>20215</v>
      </c>
      <c r="K3705" s="7">
        <f t="shared" si="2"/>
        <v>0.0596493223</v>
      </c>
    </row>
    <row r="3706">
      <c r="A3706" s="4">
        <v>3706.0</v>
      </c>
      <c r="B3706" s="5" t="s">
        <v>20216</v>
      </c>
      <c r="C3706" s="5" t="s">
        <v>20217</v>
      </c>
      <c r="D3706" s="5" t="s">
        <v>20218</v>
      </c>
      <c r="E3706" s="6" t="s">
        <v>74</v>
      </c>
      <c r="F3706" s="6" t="s">
        <v>20219</v>
      </c>
      <c r="G3706" s="3" t="str">
        <f>IFERROR(__xludf.DUMMYFUNCTION("REGEXREPLACE(
D3706,
""([一-龯々]+)\[([^\]]+)\]"",
""&lt;ruby&gt;$1&lt;rt&gt;$2&lt;/rt&gt;&lt;/ruby&gt;""
)&amp;""&lt;br&gt;&lt;div class=""""audio""""&gt;[sound:""&amp;C3706&amp;"".mp3]&lt;/div&gt;"""),"&lt;ruby&gt;新聞社&lt;rt&gt;しんぶんしゃ&lt;/rt&gt;&lt;/ruby&gt;&lt;br&gt;&lt;div class=""audio""&gt;[sound:しんぶんしゃ.mp3]&lt;/div&gt;")</f>
        <v>&lt;ruby&gt;新聞社&lt;rt&gt;しんぶんしゃ&lt;/rt&gt;&lt;/ruby&gt;&lt;br&gt;&lt;div class="audio"&gt;[sound:しんぶんしゃ.mp3]&lt;/div&gt;</v>
      </c>
      <c r="H3706" s="3" t="str">
        <f t="shared" si="1"/>
        <v>(n): tòa soạn báo</v>
      </c>
      <c r="I3706" s="6" t="s">
        <v>20220</v>
      </c>
      <c r="J3706" s="6" t="s">
        <v>20221</v>
      </c>
      <c r="K3706" s="7">
        <f t="shared" si="2"/>
        <v>0.02568813764</v>
      </c>
    </row>
    <row r="3707">
      <c r="A3707" s="4">
        <v>3707.0</v>
      </c>
      <c r="B3707" s="5" t="s">
        <v>20222</v>
      </c>
      <c r="C3707" s="5" t="s">
        <v>20223</v>
      </c>
      <c r="D3707" s="5" t="s">
        <v>20224</v>
      </c>
      <c r="E3707" s="6" t="s">
        <v>24</v>
      </c>
      <c r="F3707" s="6" t="s">
        <v>20225</v>
      </c>
      <c r="G3707" s="3" t="str">
        <f>IFERROR(__xludf.DUMMYFUNCTION("REGEXREPLACE(
D3707,
""([一-龯々]+)\[([^\]]+)\]"",
""&lt;ruby&gt;$1&lt;rt&gt;$2&lt;/rt&gt;&lt;/ruby&gt;""
)&amp;""&lt;br&gt;&lt;div class=""""audio""""&gt;[sound:""&amp;C3707&amp;"".mp3]&lt;/div&gt;"""),"&lt;ruby&gt;揃&lt;rt&gt;そろ&lt;/rt&gt;&lt;/ruby&gt;える&lt;br&gt;&lt;div class=""audio""&gt;[sound:そろえる.mp3]&lt;/div&gt;")</f>
        <v>&lt;ruby&gt;揃&lt;rt&gt;そろ&lt;/rt&gt;&lt;/ruby&gt;える&lt;br&gt;&lt;div class="audio"&gt;[sound:そろえる.mp3]&lt;/div&gt;</v>
      </c>
      <c r="H3707" s="3" t="str">
        <f t="shared" si="1"/>
        <v>(v): chuẩn bị sẵn</v>
      </c>
      <c r="I3707" s="6" t="s">
        <v>20226</v>
      </c>
      <c r="J3707" s="6" t="s">
        <v>20227</v>
      </c>
      <c r="K3707" s="7">
        <f t="shared" si="2"/>
        <v>0.6283054145</v>
      </c>
    </row>
    <row r="3708">
      <c r="A3708" s="4">
        <v>3708.0</v>
      </c>
      <c r="B3708" s="5" t="s">
        <v>20228</v>
      </c>
      <c r="C3708" s="5" t="s">
        <v>20229</v>
      </c>
      <c r="D3708" s="5" t="s">
        <v>20230</v>
      </c>
      <c r="E3708" s="6" t="s">
        <v>11</v>
      </c>
      <c r="F3708" s="6" t="s">
        <v>6391</v>
      </c>
      <c r="G3708" s="3" t="str">
        <f>IFERROR(__xludf.DUMMYFUNCTION("REGEXREPLACE(
D3708,
""([一-龯々]+)\[([^\]]+)\]"",
""&lt;ruby&gt;$1&lt;rt&gt;$2&lt;/rt&gt;&lt;/ruby&gt;""
)&amp;""&lt;br&gt;&lt;div class=""""audio""""&gt;[sound:""&amp;C3708&amp;"".mp3]&lt;/div&gt;"""),"&lt;ruby&gt;有効&lt;rt&gt;ゆうこう&lt;/rt&gt;&lt;/ruby&gt;&lt;br&gt;&lt;div class=""audio""&gt;[sound:ゆうこう.mp3]&lt;/div&gt;")</f>
        <v>&lt;ruby&gt;有効&lt;rt&gt;ゆうこう&lt;/rt&gt;&lt;/ruby&gt;&lt;br&gt;&lt;div class="audio"&gt;[sound:ゆうこう.mp3]&lt;/div&gt;</v>
      </c>
      <c r="H3708" s="3" t="str">
        <f t="shared" si="1"/>
        <v>(adj): hiệu quả</v>
      </c>
      <c r="I3708" s="6" t="s">
        <v>20231</v>
      </c>
      <c r="J3708" s="6" t="s">
        <v>20232</v>
      </c>
      <c r="K3708" s="7">
        <f t="shared" si="2"/>
        <v>0.1943445654</v>
      </c>
    </row>
    <row r="3709">
      <c r="A3709" s="4">
        <v>3709.0</v>
      </c>
      <c r="B3709" s="5" t="s">
        <v>20233</v>
      </c>
      <c r="C3709" s="5" t="s">
        <v>20234</v>
      </c>
      <c r="D3709" s="5" t="s">
        <v>20235</v>
      </c>
      <c r="E3709" s="6" t="s">
        <v>74</v>
      </c>
      <c r="F3709" s="6" t="s">
        <v>20236</v>
      </c>
      <c r="G3709" s="3" t="str">
        <f>IFERROR(__xludf.DUMMYFUNCTION("REGEXREPLACE(
D3709,
""([一-龯々]+)\[([^\]]+)\]"",
""&lt;ruby&gt;$1&lt;rt&gt;$2&lt;/rt&gt;&lt;/ruby&gt;""
)&amp;""&lt;br&gt;&lt;div class=""""audio""""&gt;[sound:""&amp;C3709&amp;"".mp3]&lt;/div&gt;"""),"&lt;ruby&gt;昼間&lt;rt&gt;ひるま&lt;/rt&gt;&lt;/ruby&gt;&lt;br&gt;&lt;div class=""audio""&gt;[sound:ひるま.mp3]&lt;/div&gt;")</f>
        <v>&lt;ruby&gt;昼間&lt;rt&gt;ひるま&lt;/rt&gt;&lt;/ruby&gt;&lt;br&gt;&lt;div class="audio"&gt;[sound:ひるま.mp3]&lt;/div&gt;</v>
      </c>
      <c r="H3709" s="3" t="str">
        <f t="shared" si="1"/>
        <v>(n): ban ngày</v>
      </c>
      <c r="I3709" s="6" t="s">
        <v>20237</v>
      </c>
      <c r="J3709" s="6" t="s">
        <v>20238</v>
      </c>
      <c r="K3709" s="7">
        <f t="shared" si="2"/>
        <v>0.4554342196</v>
      </c>
    </row>
    <row r="3710">
      <c r="A3710" s="4">
        <v>3710.0</v>
      </c>
      <c r="B3710" s="5" t="s">
        <v>20239</v>
      </c>
      <c r="C3710" s="5" t="s">
        <v>20240</v>
      </c>
      <c r="D3710" s="5" t="s">
        <v>20241</v>
      </c>
      <c r="E3710" s="6" t="s">
        <v>85</v>
      </c>
      <c r="F3710" s="6" t="s">
        <v>162</v>
      </c>
      <c r="G3710" s="3" t="str">
        <f>IFERROR(__xludf.DUMMYFUNCTION("REGEXREPLACE(
D3710,
""([一-龯々]+)\[([^\]]+)\]"",
""&lt;ruby&gt;$1&lt;rt&gt;$2&lt;/rt&gt;&lt;/ruby&gt;""
)&amp;""&lt;br&gt;&lt;div class=""""audio""""&gt;[sound:""&amp;C3710&amp;"".mp3]&lt;/div&gt;"""),"&lt;ruby&gt;既&lt;rt&gt;すで&lt;/rt&gt;&lt;/ruby&gt;に&lt;br&gt;&lt;div class=""audio""&gt;[sound:すでに.mp3]&lt;/div&gt;")</f>
        <v>&lt;ruby&gt;既&lt;rt&gt;すで&lt;/rt&gt;&lt;/ruby&gt;に&lt;br&gt;&lt;div class="audio"&gt;[sound:すでに.mp3]&lt;/div&gt;</v>
      </c>
      <c r="H3710" s="3" t="str">
        <f t="shared" si="1"/>
        <v>(adv): đã</v>
      </c>
      <c r="I3710" s="6" t="s">
        <v>20242</v>
      </c>
      <c r="J3710" s="6" t="s">
        <v>20243</v>
      </c>
      <c r="K3710" s="7">
        <f t="shared" si="2"/>
        <v>0.5980811731</v>
      </c>
    </row>
    <row r="3711">
      <c r="A3711" s="4">
        <v>3711.0</v>
      </c>
      <c r="B3711" s="5" t="s">
        <v>20244</v>
      </c>
      <c r="C3711" s="5" t="s">
        <v>20245</v>
      </c>
      <c r="D3711" s="5" t="s">
        <v>20246</v>
      </c>
      <c r="E3711" s="6" t="s">
        <v>74</v>
      </c>
      <c r="F3711" s="6" t="s">
        <v>20247</v>
      </c>
      <c r="G3711" s="3" t="str">
        <f>IFERROR(__xludf.DUMMYFUNCTION("REGEXREPLACE(
D3711,
""([一-龯々]+)\[([^\]]+)\]"",
""&lt;ruby&gt;$1&lt;rt&gt;$2&lt;/rt&gt;&lt;/ruby&gt;""
)&amp;""&lt;br&gt;&lt;div class=""""audio""""&gt;[sound:""&amp;C3711&amp;"".mp3]&lt;/div&gt;"""),"&lt;ruby&gt;故障&lt;rt&gt;こしょう&lt;/rt&gt;&lt;/ruby&gt;&lt;br&gt;&lt;div class=""audio""&gt;[sound:こしょう.mp3]&lt;/div&gt;")</f>
        <v>&lt;ruby&gt;故障&lt;rt&gt;こしょう&lt;/rt&gt;&lt;/ruby&gt;&lt;br&gt;&lt;div class="audio"&gt;[sound:こしょう.mp3]&lt;/div&gt;</v>
      </c>
      <c r="H3711" s="3" t="str">
        <f t="shared" si="1"/>
        <v>(n): hỏng hóc</v>
      </c>
      <c r="I3711" s="6" t="s">
        <v>20248</v>
      </c>
      <c r="J3711" s="6" t="s">
        <v>20249</v>
      </c>
      <c r="K3711" s="7">
        <f t="shared" si="2"/>
        <v>0.752479802</v>
      </c>
    </row>
    <row r="3712">
      <c r="A3712" s="4">
        <v>3712.0</v>
      </c>
      <c r="B3712" s="5" t="s">
        <v>20250</v>
      </c>
      <c r="C3712" s="5" t="s">
        <v>20251</v>
      </c>
      <c r="D3712" s="5" t="s">
        <v>20252</v>
      </c>
      <c r="E3712" s="6" t="s">
        <v>74</v>
      </c>
      <c r="F3712" s="6" t="s">
        <v>6928</v>
      </c>
      <c r="G3712" s="3" t="str">
        <f>IFERROR(__xludf.DUMMYFUNCTION("REGEXREPLACE(
D3712,
""([一-龯々]+)\[([^\]]+)\]"",
""&lt;ruby&gt;$1&lt;rt&gt;$2&lt;/rt&gt;&lt;/ruby&gt;""
)&amp;""&lt;br&gt;&lt;div class=""""audio""""&gt;[sound:""&amp;C3712&amp;"".mp3]&lt;/div&gt;"""),"&lt;ruby&gt;株&lt;rt&gt;かぶ&lt;/rt&gt;&lt;/ruby&gt;&lt;br&gt;&lt;div class=""audio""&gt;[sound:かぶ.mp3]&lt;/div&gt;")</f>
        <v>&lt;ruby&gt;株&lt;rt&gt;かぶ&lt;/rt&gt;&lt;/ruby&gt;&lt;br&gt;&lt;div class="audio"&gt;[sound:かぶ.mp3]&lt;/div&gt;</v>
      </c>
      <c r="H3712" s="3" t="str">
        <f t="shared" si="1"/>
        <v>(n): cổ phiếu</v>
      </c>
      <c r="I3712" s="6" t="s">
        <v>20253</v>
      </c>
      <c r="J3712" s="6" t="s">
        <v>20254</v>
      </c>
      <c r="K3712" s="7">
        <f t="shared" si="2"/>
        <v>0.4331928312</v>
      </c>
    </row>
    <row r="3713">
      <c r="A3713" s="4">
        <v>3713.0</v>
      </c>
      <c r="B3713" s="5" t="s">
        <v>20255</v>
      </c>
      <c r="C3713" s="5" t="s">
        <v>20256</v>
      </c>
      <c r="D3713" s="5" t="s">
        <v>20257</v>
      </c>
      <c r="E3713" s="6" t="s">
        <v>85</v>
      </c>
      <c r="F3713" s="6" t="s">
        <v>20258</v>
      </c>
      <c r="G3713" s="3" t="str">
        <f>IFERROR(__xludf.DUMMYFUNCTION("REGEXREPLACE(
D3713,
""([一-龯々]+)\[([^\]]+)\]"",
""&lt;ruby&gt;$1&lt;rt&gt;$2&lt;/rt&gt;&lt;/ruby&gt;""
)&amp;""&lt;br&gt;&lt;div class=""""audio""""&gt;[sound:""&amp;C3713&amp;"".mp3]&lt;/div&gt;"""),"&lt;ruby&gt;比較的&lt;rt&gt;ひかくてき&lt;/rt&gt;&lt;/ruby&gt;&lt;br&gt;&lt;div class=""audio""&gt;[sound:ひかくてき.mp3]&lt;/div&gt;")</f>
        <v>&lt;ruby&gt;比較的&lt;rt&gt;ひかくてき&lt;/rt&gt;&lt;/ruby&gt;&lt;br&gt;&lt;div class="audio"&gt;[sound:ひかくてき.mp3]&lt;/div&gt;</v>
      </c>
      <c r="H3713" s="3" t="str">
        <f t="shared" si="1"/>
        <v>(adv): tương đối</v>
      </c>
      <c r="I3713" s="6" t="s">
        <v>20259</v>
      </c>
      <c r="J3713" s="6" t="s">
        <v>20260</v>
      </c>
      <c r="K3713" s="7">
        <f t="shared" si="2"/>
        <v>0.6270938782</v>
      </c>
    </row>
    <row r="3714">
      <c r="A3714" s="4">
        <v>3714.0</v>
      </c>
      <c r="B3714" s="5" t="s">
        <v>20261</v>
      </c>
      <c r="C3714" s="5" t="s">
        <v>20262</v>
      </c>
      <c r="D3714" s="5" t="s">
        <v>20263</v>
      </c>
      <c r="E3714" s="6" t="s">
        <v>74</v>
      </c>
      <c r="F3714" s="6" t="s">
        <v>20264</v>
      </c>
      <c r="G3714" s="3" t="str">
        <f>IFERROR(__xludf.DUMMYFUNCTION("REGEXREPLACE(
D3714,
""([一-龯々]+)\[([^\]]+)\]"",
""&lt;ruby&gt;$1&lt;rt&gt;$2&lt;/rt&gt;&lt;/ruby&gt;""
)&amp;""&lt;br&gt;&lt;div class=""""audio""""&gt;[sound:""&amp;C3714&amp;"".mp3]&lt;/div&gt;"""),"&lt;ruby&gt;感触&lt;rt&gt;かんしょく&lt;/rt&gt;&lt;/ruby&gt;&lt;br&gt;&lt;div class=""audio""&gt;[sound:かんしょく.mp3]&lt;/div&gt;")</f>
        <v>&lt;ruby&gt;感触&lt;rt&gt;かんしょく&lt;/rt&gt;&lt;/ruby&gt;&lt;br&gt;&lt;div class="audio"&gt;[sound:かんしょく.mp3]&lt;/div&gt;</v>
      </c>
      <c r="H3714" s="3" t="str">
        <f t="shared" si="1"/>
        <v>(n): cảm giác chạm</v>
      </c>
      <c r="I3714" s="6" t="s">
        <v>20265</v>
      </c>
      <c r="J3714" s="6" t="s">
        <v>20266</v>
      </c>
      <c r="K3714" s="7">
        <f t="shared" si="2"/>
        <v>0.09887446591</v>
      </c>
    </row>
    <row r="3715">
      <c r="A3715" s="4">
        <v>3715.0</v>
      </c>
      <c r="B3715" s="5" t="s">
        <v>20267</v>
      </c>
      <c r="C3715" s="5" t="s">
        <v>20268</v>
      </c>
      <c r="D3715" s="5" t="s">
        <v>20269</v>
      </c>
      <c r="E3715" s="6" t="s">
        <v>74</v>
      </c>
      <c r="F3715" s="6" t="s">
        <v>20270</v>
      </c>
      <c r="G3715" s="3" t="str">
        <f>IFERROR(__xludf.DUMMYFUNCTION("REGEXREPLACE(
D3715,
""([一-龯々]+)\[([^\]]+)\]"",
""&lt;ruby&gt;$1&lt;rt&gt;$2&lt;/rt&gt;&lt;/ruby&gt;""
)&amp;""&lt;br&gt;&lt;div class=""""audio""""&gt;[sound:""&amp;C3715&amp;"".mp3]&lt;/div&gt;"""),"&lt;ruby&gt;成熟&lt;rt&gt;せいじゅく&lt;/rt&gt;&lt;/ruby&gt;&lt;br&gt;&lt;div class=""audio""&gt;[sound:せいじゅく.mp3]&lt;/div&gt;")</f>
        <v>&lt;ruby&gt;成熟&lt;rt&gt;せいじゅく&lt;/rt&gt;&lt;/ruby&gt;&lt;br&gt;&lt;div class="audio"&gt;[sound:せいじゅく.mp3]&lt;/div&gt;</v>
      </c>
      <c r="H3715" s="3" t="str">
        <f t="shared" si="1"/>
        <v>(n): trưởng thành</v>
      </c>
      <c r="I3715" s="6" t="s">
        <v>20271</v>
      </c>
      <c r="J3715" s="6" t="s">
        <v>20272</v>
      </c>
      <c r="K3715" s="7">
        <f t="shared" si="2"/>
        <v>0.0951802855</v>
      </c>
    </row>
    <row r="3716">
      <c r="A3716" s="4">
        <v>3716.0</v>
      </c>
      <c r="B3716" s="5" t="s">
        <v>20273</v>
      </c>
      <c r="C3716" s="5" t="s">
        <v>20274</v>
      </c>
      <c r="D3716" s="5" t="s">
        <v>20275</v>
      </c>
      <c r="E3716" s="6" t="s">
        <v>74</v>
      </c>
      <c r="F3716" s="6" t="s">
        <v>20276</v>
      </c>
      <c r="G3716" s="3" t="str">
        <f>IFERROR(__xludf.DUMMYFUNCTION("REGEXREPLACE(
D3716,
""([一-龯々]+)\[([^\]]+)\]"",
""&lt;ruby&gt;$1&lt;rt&gt;$2&lt;/rt&gt;&lt;/ruby&gt;""
)&amp;""&lt;br&gt;&lt;div class=""""audio""""&gt;[sound:""&amp;C3716&amp;"".mp3]&lt;/div&gt;"""),"&lt;ruby&gt;期日&lt;rt&gt;きじつ&lt;/rt&gt;&lt;/ruby&gt;&lt;br&gt;&lt;div class=""audio""&gt;[sound:きじつ.mp3]&lt;/div&gt;")</f>
        <v>&lt;ruby&gt;期日&lt;rt&gt;きじつ&lt;/rt&gt;&lt;/ruby&gt;&lt;br&gt;&lt;div class="audio"&gt;[sound:きじつ.mp3]&lt;/div&gt;</v>
      </c>
      <c r="H3716" s="3" t="str">
        <f t="shared" si="1"/>
        <v>(n): ngày kỳ hạn</v>
      </c>
      <c r="I3716" s="6" t="s">
        <v>20277</v>
      </c>
      <c r="J3716" s="6" t="s">
        <v>20278</v>
      </c>
      <c r="K3716" s="7">
        <f t="shared" si="2"/>
        <v>0.02812033646</v>
      </c>
    </row>
    <row r="3717">
      <c r="A3717" s="4">
        <v>3717.0</v>
      </c>
      <c r="B3717" s="5" t="s">
        <v>20279</v>
      </c>
      <c r="C3717" s="5" t="s">
        <v>20280</v>
      </c>
      <c r="D3717" s="5" t="s">
        <v>20281</v>
      </c>
      <c r="E3717" s="6" t="s">
        <v>74</v>
      </c>
      <c r="F3717" s="6" t="s">
        <v>20282</v>
      </c>
      <c r="G3717" s="3" t="str">
        <f>IFERROR(__xludf.DUMMYFUNCTION("REGEXREPLACE(
D3717,
""([一-龯々]+)\[([^\]]+)\]"",
""&lt;ruby&gt;$1&lt;rt&gt;$2&lt;/rt&gt;&lt;/ruby&gt;""
)&amp;""&lt;br&gt;&lt;div class=""""audio""""&gt;[sound:""&amp;C3717&amp;"".mp3]&lt;/div&gt;"""),"&lt;ruby&gt;対談&lt;rt&gt;たいだん&lt;/rt&gt;&lt;/ruby&gt;&lt;br&gt;&lt;div class=""audio""&gt;[sound:たいだん.mp3]&lt;/div&gt;")</f>
        <v>&lt;ruby&gt;対談&lt;rt&gt;たいだん&lt;/rt&gt;&lt;/ruby&gt;&lt;br&gt;&lt;div class="audio"&gt;[sound:たいだん.mp3]&lt;/div&gt;</v>
      </c>
      <c r="H3717" s="3" t="str">
        <f t="shared" si="1"/>
        <v>(n): đàm thoại</v>
      </c>
      <c r="I3717" s="6" t="s">
        <v>20283</v>
      </c>
      <c r="J3717" s="6" t="s">
        <v>20284</v>
      </c>
      <c r="K3717" s="7">
        <f t="shared" si="2"/>
        <v>0.3315956792</v>
      </c>
    </row>
    <row r="3718">
      <c r="A3718" s="4">
        <v>3718.0</v>
      </c>
      <c r="B3718" s="5" t="s">
        <v>20285</v>
      </c>
      <c r="C3718" s="5" t="s">
        <v>20286</v>
      </c>
      <c r="D3718" s="5" t="s">
        <v>20287</v>
      </c>
      <c r="E3718" s="6" t="s">
        <v>74</v>
      </c>
      <c r="F3718" s="6" t="s">
        <v>9996</v>
      </c>
      <c r="G3718" s="3" t="str">
        <f>IFERROR(__xludf.DUMMYFUNCTION("REGEXREPLACE(
D3718,
""([一-龯々]+)\[([^\]]+)\]"",
""&lt;ruby&gt;$1&lt;rt&gt;$2&lt;/rt&gt;&lt;/ruby&gt;""
)&amp;""&lt;br&gt;&lt;div class=""""audio""""&gt;[sound:""&amp;C3718&amp;"".mp3]&lt;/div&gt;"""),"&lt;ruby&gt;心情&lt;rt&gt;しんじょう&lt;/rt&gt;&lt;/ruby&gt;&lt;br&gt;&lt;div class=""audio""&gt;[sound:しんじょう.mp3]&lt;/div&gt;")</f>
        <v>&lt;ruby&gt;心情&lt;rt&gt;しんじょう&lt;/rt&gt;&lt;/ruby&gt;&lt;br&gt;&lt;div class="audio"&gt;[sound:しんじょう.mp3]&lt;/div&gt;</v>
      </c>
      <c r="H3718" s="3" t="str">
        <f t="shared" si="1"/>
        <v>(n): tâm trạng</v>
      </c>
      <c r="I3718" s="6" t="s">
        <v>20288</v>
      </c>
      <c r="J3718" s="6" t="s">
        <v>20289</v>
      </c>
      <c r="K3718" s="7">
        <f t="shared" si="2"/>
        <v>0.7562466619</v>
      </c>
    </row>
    <row r="3719">
      <c r="A3719" s="4">
        <v>3719.0</v>
      </c>
      <c r="B3719" s="5" t="s">
        <v>20290</v>
      </c>
      <c r="C3719" s="5" t="s">
        <v>20291</v>
      </c>
      <c r="D3719" s="5" t="s">
        <v>20292</v>
      </c>
      <c r="E3719" s="6" t="s">
        <v>74</v>
      </c>
      <c r="F3719" s="6" t="s">
        <v>8165</v>
      </c>
      <c r="G3719" s="3" t="str">
        <f>IFERROR(__xludf.DUMMYFUNCTION("REGEXREPLACE(
D3719,
""([一-龯々]+)\[([^\]]+)\]"",
""&lt;ruby&gt;$1&lt;rt&gt;$2&lt;/rt&gt;&lt;/ruby&gt;""
)&amp;""&lt;br&gt;&lt;div class=""""audio""""&gt;[sound:""&amp;C3719&amp;"".mp3]&lt;/div&gt;"""),"&lt;ruby&gt;採択&lt;rt&gt;さいたく&lt;/rt&gt;&lt;/ruby&gt;&lt;br&gt;&lt;div class=""audio""&gt;[sound:さいたく.mp3]&lt;/div&gt;")</f>
        <v>&lt;ruby&gt;採択&lt;rt&gt;さいたく&lt;/rt&gt;&lt;/ruby&gt;&lt;br&gt;&lt;div class="audio"&gt;[sound:さいたく.mp3]&lt;/div&gt;</v>
      </c>
      <c r="H3719" s="3" t="str">
        <f t="shared" si="1"/>
        <v>(n): lựa chọn</v>
      </c>
      <c r="I3719" s="6" t="s">
        <v>20293</v>
      </c>
      <c r="J3719" s="6" t="s">
        <v>20294</v>
      </c>
      <c r="K3719" s="7">
        <f t="shared" si="2"/>
        <v>0.1563014683</v>
      </c>
    </row>
    <row r="3720">
      <c r="A3720" s="4">
        <v>3720.0</v>
      </c>
      <c r="B3720" s="5" t="s">
        <v>20295</v>
      </c>
      <c r="C3720" s="5" t="s">
        <v>20296</v>
      </c>
      <c r="D3720" s="5" t="s">
        <v>20297</v>
      </c>
      <c r="E3720" s="6" t="s">
        <v>74</v>
      </c>
      <c r="F3720" s="6" t="s">
        <v>16389</v>
      </c>
      <c r="G3720" s="3" t="str">
        <f>IFERROR(__xludf.DUMMYFUNCTION("REGEXREPLACE(
D3720,
""([一-龯々]+)\[([^\]]+)\]"",
""&lt;ruby&gt;$1&lt;rt&gt;$2&lt;/rt&gt;&lt;/ruby&gt;""
)&amp;""&lt;br&gt;&lt;div class=""""audio""""&gt;[sound:""&amp;C3720&amp;"".mp3]&lt;/div&gt;"""),"&lt;ruby&gt;救&lt;rt&gt;すく&lt;/rt&gt;&lt;/ruby&gt;い&lt;br&gt;&lt;div class=""audio""&gt;[sound:すくい.mp3]&lt;/div&gt;")</f>
        <v>&lt;ruby&gt;救&lt;rt&gt;すく&lt;/rt&gt;&lt;/ruby&gt;い&lt;br&gt;&lt;div class="audio"&gt;[sound:すくい.mp3]&lt;/div&gt;</v>
      </c>
      <c r="H3720" s="3" t="str">
        <f t="shared" si="1"/>
        <v>(n): cứu giúp</v>
      </c>
      <c r="I3720" s="6" t="s">
        <v>20298</v>
      </c>
      <c r="J3720" s="6" t="s">
        <v>20299</v>
      </c>
      <c r="K3720" s="7">
        <f t="shared" si="2"/>
        <v>0.1855505608</v>
      </c>
    </row>
    <row r="3721">
      <c r="A3721" s="4">
        <v>3721.0</v>
      </c>
      <c r="B3721" s="5" t="s">
        <v>20300</v>
      </c>
      <c r="C3721" s="5" t="s">
        <v>20301</v>
      </c>
      <c r="D3721" s="5" t="s">
        <v>20302</v>
      </c>
      <c r="E3721" s="6" t="s">
        <v>74</v>
      </c>
      <c r="F3721" s="6" t="s">
        <v>3044</v>
      </c>
      <c r="G3721" s="3" t="str">
        <f>IFERROR(__xludf.DUMMYFUNCTION("REGEXREPLACE(
D3721,
""([一-龯々]+)\[([^\]]+)\]"",
""&lt;ruby&gt;$1&lt;rt&gt;$2&lt;/rt&gt;&lt;/ruby&gt;""
)&amp;""&lt;br&gt;&lt;div class=""""audio""""&gt;[sound:""&amp;C3721&amp;"".mp3]&lt;/div&gt;"""),"&lt;ruby&gt;敗北&lt;rt&gt;はいぼく&lt;/rt&gt;&lt;/ruby&gt;&lt;br&gt;&lt;div class=""audio""&gt;[sound:はいぼく.mp3]&lt;/div&gt;")</f>
        <v>&lt;ruby&gt;敗北&lt;rt&gt;はいぼく&lt;/rt&gt;&lt;/ruby&gt;&lt;br&gt;&lt;div class="audio"&gt;[sound:はいぼく.mp3]&lt;/div&gt;</v>
      </c>
      <c r="H3721" s="3" t="str">
        <f t="shared" si="1"/>
        <v>(n): thất bại</v>
      </c>
      <c r="I3721" s="6" t="s">
        <v>20303</v>
      </c>
      <c r="J3721" s="6" t="s">
        <v>20304</v>
      </c>
      <c r="K3721" s="7">
        <f t="shared" si="2"/>
        <v>0.691898162</v>
      </c>
    </row>
    <row r="3722">
      <c r="A3722" s="4">
        <v>3722.0</v>
      </c>
      <c r="B3722" s="5" t="s">
        <v>20305</v>
      </c>
      <c r="C3722" s="5" t="s">
        <v>20306</v>
      </c>
      <c r="D3722" s="5" t="s">
        <v>20307</v>
      </c>
      <c r="E3722" s="6" t="s">
        <v>74</v>
      </c>
      <c r="F3722" s="6" t="s">
        <v>20308</v>
      </c>
      <c r="G3722" s="3" t="str">
        <f>IFERROR(__xludf.DUMMYFUNCTION("REGEXREPLACE(
D3722,
""([一-龯々]+)\[([^\]]+)\]"",
""&lt;ruby&gt;$1&lt;rt&gt;$2&lt;/rt&gt;&lt;/ruby&gt;""
)&amp;""&lt;br&gt;&lt;div class=""""audio""""&gt;[sound:""&amp;C3722&amp;"".mp3]&lt;/div&gt;"""),"&lt;ruby&gt;弾力&lt;rt&gt;だんりょく&lt;/rt&gt;&lt;/ruby&gt;&lt;br&gt;&lt;div class=""audio""&gt;[sound:だんりょく.mp3]&lt;/div&gt;")</f>
        <v>&lt;ruby&gt;弾力&lt;rt&gt;だんりょく&lt;/rt&gt;&lt;/ruby&gt;&lt;br&gt;&lt;div class="audio"&gt;[sound:だんりょく.mp3]&lt;/div&gt;</v>
      </c>
      <c r="H3722" s="3" t="str">
        <f t="shared" si="1"/>
        <v>(n): đàn hồi</v>
      </c>
      <c r="I3722" s="6" t="s">
        <v>20309</v>
      </c>
      <c r="J3722" s="6" t="s">
        <v>20310</v>
      </c>
      <c r="K3722" s="7">
        <f t="shared" si="2"/>
        <v>0.8034035603</v>
      </c>
    </row>
    <row r="3723">
      <c r="A3723" s="4">
        <v>3723.0</v>
      </c>
      <c r="B3723" s="5" t="s">
        <v>20311</v>
      </c>
      <c r="C3723" s="5" t="s">
        <v>20312</v>
      </c>
      <c r="D3723" s="5" t="s">
        <v>20313</v>
      </c>
      <c r="E3723" s="6" t="s">
        <v>74</v>
      </c>
      <c r="F3723" s="6" t="s">
        <v>20314</v>
      </c>
      <c r="G3723" s="3" t="str">
        <f>IFERROR(__xludf.DUMMYFUNCTION("REGEXREPLACE(
D3723,
""([一-龯々]+)\[([^\]]+)\]"",
""&lt;ruby&gt;$1&lt;rt&gt;$2&lt;/rt&gt;&lt;/ruby&gt;""
)&amp;""&lt;br&gt;&lt;div class=""""audio""""&gt;[sound:""&amp;C3723&amp;"".mp3]&lt;/div&gt;"""),"&lt;ruby&gt;必然&lt;rt&gt;ひつぜん&lt;/rt&gt;&lt;/ruby&gt;&lt;br&gt;&lt;div class=""audio""&gt;[sound:ひつぜん.mp3]&lt;/div&gt;")</f>
        <v>&lt;ruby&gt;必然&lt;rt&gt;ひつぜん&lt;/rt&gt;&lt;/ruby&gt;&lt;br&gt;&lt;div class="audio"&gt;[sound:ひつぜん.mp3]&lt;/div&gt;</v>
      </c>
      <c r="H3723" s="3" t="str">
        <f t="shared" si="1"/>
        <v>(n): tất yếu</v>
      </c>
      <c r="I3723" s="6" t="s">
        <v>20315</v>
      </c>
      <c r="J3723" s="6" t="s">
        <v>20316</v>
      </c>
      <c r="K3723" s="7">
        <f t="shared" si="2"/>
        <v>0.8935993585</v>
      </c>
    </row>
    <row r="3724">
      <c r="A3724" s="4">
        <v>3724.0</v>
      </c>
      <c r="B3724" s="5" t="s">
        <v>20317</v>
      </c>
      <c r="C3724" s="5" t="s">
        <v>20318</v>
      </c>
      <c r="D3724" s="5" t="s">
        <v>20319</v>
      </c>
      <c r="E3724" s="6" t="s">
        <v>74</v>
      </c>
      <c r="F3724" s="6" t="s">
        <v>20320</v>
      </c>
      <c r="G3724" s="3" t="str">
        <f>IFERROR(__xludf.DUMMYFUNCTION("REGEXREPLACE(
D3724,
""([一-龯々]+)\[([^\]]+)\]"",
""&lt;ruby&gt;$1&lt;rt&gt;$2&lt;/rt&gt;&lt;/ruby&gt;""
)&amp;""&lt;br&gt;&lt;div class=""""audio""""&gt;[sound:""&amp;C3724&amp;"".mp3]&lt;/div&gt;"""),"&lt;ruby&gt;改定&lt;rt&gt;かいてい&lt;/rt&gt;&lt;/ruby&gt;&lt;br&gt;&lt;div class=""audio""&gt;[sound:かいてい.mp3]&lt;/div&gt;")</f>
        <v>&lt;ruby&gt;改定&lt;rt&gt;かいてい&lt;/rt&gt;&lt;/ruby&gt;&lt;br&gt;&lt;div class="audio"&gt;[sound:かいてい.mp3]&lt;/div&gt;</v>
      </c>
      <c r="H3724" s="3" t="str">
        <f t="shared" si="1"/>
        <v>(n): sửa đổi</v>
      </c>
      <c r="I3724" s="6" t="s">
        <v>20321</v>
      </c>
      <c r="J3724" s="6" t="s">
        <v>20322</v>
      </c>
      <c r="K3724" s="7">
        <f t="shared" si="2"/>
        <v>0.6699356701</v>
      </c>
    </row>
    <row r="3725">
      <c r="A3725" s="4">
        <v>3725.0</v>
      </c>
      <c r="B3725" s="5" t="s">
        <v>20323</v>
      </c>
      <c r="C3725" s="5" t="s">
        <v>20324</v>
      </c>
      <c r="D3725" s="5" t="s">
        <v>20325</v>
      </c>
      <c r="E3725" s="6" t="s">
        <v>11</v>
      </c>
      <c r="F3725" s="6" t="s">
        <v>2848</v>
      </c>
      <c r="G3725" s="3" t="str">
        <f>IFERROR(__xludf.DUMMYFUNCTION("REGEXREPLACE(
D3725,
""([一-龯々]+)\[([^\]]+)\]"",
""&lt;ruby&gt;$1&lt;rt&gt;$2&lt;/rt&gt;&lt;/ruby&gt;""
)&amp;""&lt;br&gt;&lt;div class=""""audio""""&gt;[sound:""&amp;C3725&amp;"".mp3]&lt;/div&gt;"""),"&lt;ruby&gt;明白&lt;rt&gt;めいはく&lt;/rt&gt;&lt;/ruby&gt;&lt;br&gt;&lt;div class=""audio""&gt;[sound:めいはく.mp3]&lt;/div&gt;")</f>
        <v>&lt;ruby&gt;明白&lt;rt&gt;めいはく&lt;/rt&gt;&lt;/ruby&gt;&lt;br&gt;&lt;div class="audio"&gt;[sound:めいはく.mp3]&lt;/div&gt;</v>
      </c>
      <c r="H3725" s="3" t="str">
        <f t="shared" si="1"/>
        <v>(adj): rõ ràng</v>
      </c>
      <c r="I3725" s="6" t="s">
        <v>20326</v>
      </c>
      <c r="J3725" s="6" t="s">
        <v>20327</v>
      </c>
      <c r="K3725" s="7">
        <f t="shared" si="2"/>
        <v>0.5065109013</v>
      </c>
    </row>
    <row r="3726">
      <c r="A3726" s="4">
        <v>3726.0</v>
      </c>
      <c r="B3726" s="5" t="s">
        <v>20328</v>
      </c>
      <c r="C3726" s="5" t="s">
        <v>20329</v>
      </c>
      <c r="D3726" s="5" t="s">
        <v>20330</v>
      </c>
      <c r="E3726" s="6" t="s">
        <v>74</v>
      </c>
      <c r="F3726" s="6" t="s">
        <v>20331</v>
      </c>
      <c r="G3726" s="3" t="str">
        <f>IFERROR(__xludf.DUMMYFUNCTION("REGEXREPLACE(
D3726,
""([一-龯々]+)\[([^\]]+)\]"",
""&lt;ruby&gt;$1&lt;rt&gt;$2&lt;/rt&gt;&lt;/ruby&gt;""
)&amp;""&lt;br&gt;&lt;div class=""""audio""""&gt;[sound:""&amp;C3726&amp;"".mp3]&lt;/div&gt;"""),"&lt;ruby&gt;所在&lt;rt&gt;しょざい&lt;/rt&gt;&lt;/ruby&gt;&lt;br&gt;&lt;div class=""audio""&gt;[sound:しょざい.mp3]&lt;/div&gt;")</f>
        <v>&lt;ruby&gt;所在&lt;rt&gt;しょざい&lt;/rt&gt;&lt;/ruby&gt;&lt;br&gt;&lt;div class="audio"&gt;[sound:しょざい.mp3]&lt;/div&gt;</v>
      </c>
      <c r="H3726" s="3" t="str">
        <f t="shared" si="1"/>
        <v>(n): nơi ở</v>
      </c>
      <c r="I3726" s="6" t="s">
        <v>20332</v>
      </c>
      <c r="J3726" s="6" t="s">
        <v>20333</v>
      </c>
      <c r="K3726" s="7">
        <f t="shared" si="2"/>
        <v>0.3934010828</v>
      </c>
    </row>
    <row r="3727">
      <c r="A3727" s="4">
        <v>3727.0</v>
      </c>
      <c r="B3727" s="5" t="s">
        <v>20334</v>
      </c>
      <c r="C3727" s="5" t="s">
        <v>20335</v>
      </c>
      <c r="D3727" s="5" t="s">
        <v>20336</v>
      </c>
      <c r="E3727" s="6" t="s">
        <v>24</v>
      </c>
      <c r="F3727" s="6" t="s">
        <v>20337</v>
      </c>
      <c r="G3727" s="3" t="str">
        <f>IFERROR(__xludf.DUMMYFUNCTION("REGEXREPLACE(
D3727,
""([一-龯々]+)\[([^\]]+)\]"",
""&lt;ruby&gt;$1&lt;rt&gt;$2&lt;/rt&gt;&lt;/ruby&gt;""
)&amp;""&lt;br&gt;&lt;div class=""""audio""""&gt;[sound:""&amp;C3727&amp;"".mp3]&lt;/div&gt;"""),"&lt;ruby&gt;帯&lt;rt&gt;お&lt;/rt&gt;&lt;/ruby&gt;びる&lt;br&gt;&lt;div class=""audio""&gt;[sound:おびる.mp3]&lt;/div&gt;")</f>
        <v>&lt;ruby&gt;帯&lt;rt&gt;お&lt;/rt&gt;&lt;/ruby&gt;びる&lt;br&gt;&lt;div class="audio"&gt;[sound:おびる.mp3]&lt;/div&gt;</v>
      </c>
      <c r="H3727" s="3" t="str">
        <f t="shared" si="1"/>
        <v>(v): mang</v>
      </c>
      <c r="I3727" s="6" t="s">
        <v>20338</v>
      </c>
      <c r="J3727" s="6" t="s">
        <v>20339</v>
      </c>
      <c r="K3727" s="7">
        <f t="shared" si="2"/>
        <v>0.1633954111</v>
      </c>
    </row>
    <row r="3728">
      <c r="A3728" s="4">
        <v>3728.0</v>
      </c>
      <c r="B3728" s="5" t="s">
        <v>20340</v>
      </c>
      <c r="C3728" s="5" t="s">
        <v>20341</v>
      </c>
      <c r="D3728" s="5" t="s">
        <v>20342</v>
      </c>
      <c r="E3728" s="6" t="s">
        <v>24</v>
      </c>
      <c r="F3728" s="6" t="s">
        <v>113</v>
      </c>
      <c r="G3728" s="3" t="str">
        <f>IFERROR(__xludf.DUMMYFUNCTION("REGEXREPLACE(
D3728,
""([一-龯々]+)\[([^\]]+)\]"",
""&lt;ruby&gt;$1&lt;rt&gt;$2&lt;/rt&gt;&lt;/ruby&gt;""
)&amp;""&lt;br&gt;&lt;div class=""""audio""""&gt;[sound:""&amp;C3728&amp;"".mp3]&lt;/div&gt;"""),"&lt;ruby&gt;施&lt;rt&gt;ほどこ&lt;/rt&gt;&lt;/ruby&gt;す&lt;br&gt;&lt;div class=""audio""&gt;[sound:ほどこす.mp3]&lt;/div&gt;")</f>
        <v>&lt;ruby&gt;施&lt;rt&gt;ほどこ&lt;/rt&gt;&lt;/ruby&gt;す&lt;br&gt;&lt;div class="audio"&gt;[sound:ほどこす.mp3]&lt;/div&gt;</v>
      </c>
      <c r="H3728" s="3" t="str">
        <f t="shared" si="1"/>
        <v>(v): cho</v>
      </c>
      <c r="I3728" s="6" t="s">
        <v>20343</v>
      </c>
      <c r="J3728" s="6" t="s">
        <v>20344</v>
      </c>
      <c r="K3728" s="7">
        <f t="shared" si="2"/>
        <v>0.2174639785</v>
      </c>
    </row>
    <row r="3729">
      <c r="A3729" s="4">
        <v>3729.0</v>
      </c>
      <c r="B3729" s="5" t="s">
        <v>20345</v>
      </c>
      <c r="C3729" s="5" t="s">
        <v>20346</v>
      </c>
      <c r="D3729" s="5" t="s">
        <v>20347</v>
      </c>
      <c r="E3729" s="6" t="s">
        <v>74</v>
      </c>
      <c r="F3729" s="6" t="s">
        <v>2320</v>
      </c>
      <c r="G3729" s="3" t="str">
        <f>IFERROR(__xludf.DUMMYFUNCTION("REGEXREPLACE(
D3729,
""([一-龯々]+)\[([^\]]+)\]"",
""&lt;ruby&gt;$1&lt;rt&gt;$2&lt;/rt&gt;&lt;/ruby&gt;""
)&amp;""&lt;br&gt;&lt;div class=""""audio""""&gt;[sound:""&amp;C3729&amp;"".mp3]&lt;/div&gt;"""),"&lt;ruby&gt;暮&lt;rt&gt;く&lt;/rt&gt;&lt;/ruby&gt;らし&lt;br&gt;&lt;div class=""audio""&gt;[sound:くらし.mp3]&lt;/div&gt;")</f>
        <v>&lt;ruby&gt;暮&lt;rt&gt;く&lt;/rt&gt;&lt;/ruby&gt;らし&lt;br&gt;&lt;div class="audio"&gt;[sound:くらし.mp3]&lt;/div&gt;</v>
      </c>
      <c r="H3729" s="3" t="str">
        <f t="shared" si="1"/>
        <v>(n): cuộc sống</v>
      </c>
      <c r="I3729" s="6" t="s">
        <v>20348</v>
      </c>
      <c r="J3729" s="6" t="s">
        <v>20349</v>
      </c>
      <c r="K3729" s="7">
        <f t="shared" si="2"/>
        <v>0.2178652425</v>
      </c>
    </row>
    <row r="3730">
      <c r="A3730" s="4">
        <v>3730.0</v>
      </c>
      <c r="B3730" s="5" t="s">
        <v>20350</v>
      </c>
      <c r="C3730" s="5" t="s">
        <v>20351</v>
      </c>
      <c r="D3730" s="5" t="s">
        <v>20352</v>
      </c>
      <c r="E3730" s="6" t="s">
        <v>74</v>
      </c>
      <c r="F3730" s="6" t="s">
        <v>20353</v>
      </c>
      <c r="G3730" s="3" t="str">
        <f>IFERROR(__xludf.DUMMYFUNCTION("REGEXREPLACE(
D3730,
""([一-龯々]+)\[([^\]]+)\]"",
""&lt;ruby&gt;$1&lt;rt&gt;$2&lt;/rt&gt;&lt;/ruby&gt;""
)&amp;""&lt;br&gt;&lt;div class=""""audio""""&gt;[sound:""&amp;C3730&amp;"".mp3]&lt;/div&gt;"""),"&lt;ruby&gt;映画館&lt;rt&gt;えいがかん&lt;/rt&gt;&lt;/ruby&gt;&lt;br&gt;&lt;div class=""audio""&gt;[sound:えいがかん.mp3]&lt;/div&gt;")</f>
        <v>&lt;ruby&gt;映画館&lt;rt&gt;えいがかん&lt;/rt&gt;&lt;/ruby&gt;&lt;br&gt;&lt;div class="audio"&gt;[sound:えいがかん.mp3]&lt;/div&gt;</v>
      </c>
      <c r="H3730" s="3" t="str">
        <f t="shared" si="1"/>
        <v>(n): rạp chiếu phim</v>
      </c>
      <c r="I3730" s="6" t="s">
        <v>20354</v>
      </c>
      <c r="J3730" s="6" t="s">
        <v>20355</v>
      </c>
      <c r="K3730" s="7">
        <f t="shared" si="2"/>
        <v>0.2442585944</v>
      </c>
    </row>
    <row r="3731">
      <c r="A3731" s="4">
        <v>3731.0</v>
      </c>
      <c r="B3731" s="5" t="s">
        <v>20356</v>
      </c>
      <c r="C3731" s="5" t="s">
        <v>20357</v>
      </c>
      <c r="D3731" s="5" t="s">
        <v>20358</v>
      </c>
      <c r="E3731" s="6" t="s">
        <v>85</v>
      </c>
      <c r="F3731" s="6" t="s">
        <v>949</v>
      </c>
      <c r="G3731" s="3" t="str">
        <f>IFERROR(__xludf.DUMMYFUNCTION("REGEXREPLACE(
D3731,
""([一-龯々]+)\[([^\]]+)\]"",
""&lt;ruby&gt;$1&lt;rt&gt;$2&lt;/rt&gt;&lt;/ruby&gt;""
)&amp;""&lt;br&gt;&lt;div class=""""audio""""&gt;[sound:""&amp;C3731&amp;"".mp3]&lt;/div&gt;"""),"&lt;ruby&gt;早速&lt;rt&gt;さっそく&lt;/rt&gt;&lt;/ruby&gt;&lt;br&gt;&lt;div class=""audio""&gt;[sound:さっそく.mp3]&lt;/div&gt;")</f>
        <v>&lt;ruby&gt;早速&lt;rt&gt;さっそく&lt;/rt&gt;&lt;/ruby&gt;&lt;br&gt;&lt;div class="audio"&gt;[sound:さっそく.mp3]&lt;/div&gt;</v>
      </c>
      <c r="H3731" s="3" t="str">
        <f t="shared" si="1"/>
        <v>(adv): ngay lập tức</v>
      </c>
      <c r="I3731" s="6" t="s">
        <v>20359</v>
      </c>
      <c r="J3731" s="6" t="s">
        <v>20360</v>
      </c>
      <c r="K3731" s="7">
        <f t="shared" si="2"/>
        <v>0.3852308422</v>
      </c>
    </row>
    <row r="3732">
      <c r="A3732" s="4">
        <v>3732.0</v>
      </c>
      <c r="B3732" s="5" t="s">
        <v>20361</v>
      </c>
      <c r="C3732" s="5" t="s">
        <v>20362</v>
      </c>
      <c r="D3732" s="5" t="s">
        <v>20363</v>
      </c>
      <c r="E3732" s="6" t="s">
        <v>24</v>
      </c>
      <c r="F3732" s="6" t="s">
        <v>20364</v>
      </c>
      <c r="G3732" s="3" t="str">
        <f>IFERROR(__xludf.DUMMYFUNCTION("REGEXREPLACE(
D3732,
""([一-龯々]+)\[([^\]]+)\]"",
""&lt;ruby&gt;$1&lt;rt&gt;$2&lt;/rt&gt;&lt;/ruby&gt;""
)&amp;""&lt;br&gt;&lt;div class=""""audio""""&gt;[sound:""&amp;C3732&amp;"".mp3]&lt;/div&gt;"""),"&lt;ruby&gt;気&lt;rt&gt;き&lt;/rt&gt;&lt;/ruby&gt;に&lt;ruby&gt;入&lt;rt&gt;い&lt;/rt&gt;&lt;/ruby&gt;る&lt;br&gt;&lt;div class=""audio""&gt;[sound:きにいる.mp3]&lt;/div&gt;")</f>
        <v>&lt;ruby&gt;気&lt;rt&gt;き&lt;/rt&gt;&lt;/ruby&gt;に&lt;ruby&gt;入&lt;rt&gt;い&lt;/rt&gt;&lt;/ruby&gt;る&lt;br&gt;&lt;div class="audio"&gt;[sound:きにいる.mp3]&lt;/div&gt;</v>
      </c>
      <c r="H3732" s="3" t="str">
        <f t="shared" si="1"/>
        <v>(v): yêu thích</v>
      </c>
      <c r="I3732" s="6" t="s">
        <v>20365</v>
      </c>
      <c r="J3732" s="6" t="s">
        <v>20366</v>
      </c>
      <c r="K3732" s="7">
        <f t="shared" si="2"/>
        <v>0.7775466084</v>
      </c>
    </row>
    <row r="3733">
      <c r="A3733" s="4">
        <v>3733.0</v>
      </c>
      <c r="B3733" s="5" t="s">
        <v>20367</v>
      </c>
      <c r="C3733" s="5" t="s">
        <v>20368</v>
      </c>
      <c r="D3733" s="5" t="s">
        <v>20369</v>
      </c>
      <c r="E3733" s="6" t="s">
        <v>74</v>
      </c>
      <c r="F3733" s="6" t="s">
        <v>20370</v>
      </c>
      <c r="G3733" s="3" t="str">
        <f>IFERROR(__xludf.DUMMYFUNCTION("REGEXREPLACE(
D3733,
""([一-龯々]+)\[([^\]]+)\]"",
""&lt;ruby&gt;$1&lt;rt&gt;$2&lt;/rt&gt;&lt;/ruby&gt;""
)&amp;""&lt;br&gt;&lt;div class=""""audio""""&gt;[sound:""&amp;C3733&amp;"".mp3]&lt;/div&gt;"""),"&lt;ruby&gt;正面&lt;rt&gt;しょうめん&lt;/rt&gt;&lt;/ruby&gt;&lt;br&gt;&lt;div class=""audio""&gt;[sound:しょうめん.mp3]&lt;/div&gt;")</f>
        <v>&lt;ruby&gt;正面&lt;rt&gt;しょうめん&lt;/rt&gt;&lt;/ruby&gt;&lt;br&gt;&lt;div class="audio"&gt;[sound:しょうめん.mp3]&lt;/div&gt;</v>
      </c>
      <c r="H3733" s="3" t="str">
        <f t="shared" si="1"/>
        <v>(n): chính diện</v>
      </c>
      <c r="I3733" s="6" t="s">
        <v>20371</v>
      </c>
      <c r="J3733" s="6" t="s">
        <v>20372</v>
      </c>
      <c r="K3733" s="7">
        <f t="shared" si="2"/>
        <v>0.9112299391</v>
      </c>
    </row>
    <row r="3734">
      <c r="A3734" s="4">
        <v>3734.0</v>
      </c>
      <c r="B3734" s="5" t="s">
        <v>20373</v>
      </c>
      <c r="C3734" s="5" t="s">
        <v>20374</v>
      </c>
      <c r="D3734" s="5" t="s">
        <v>20375</v>
      </c>
      <c r="E3734" s="6" t="s">
        <v>11</v>
      </c>
      <c r="F3734" s="6" t="s">
        <v>20376</v>
      </c>
      <c r="G3734" s="3" t="str">
        <f>IFERROR(__xludf.DUMMYFUNCTION("REGEXREPLACE(
D3734,
""([一-龯々]+)\[([^\]]+)\]"",
""&lt;ruby&gt;$1&lt;rt&gt;$2&lt;/rt&gt;&lt;/ruby&gt;""
)&amp;""&lt;br&gt;&lt;div class=""""audio""""&gt;[sound:""&amp;C3734&amp;"".mp3]&lt;/div&gt;"""),"&lt;ruby&gt;最低&lt;rt&gt;さいてい&lt;/rt&gt;&lt;/ruby&gt;&lt;br&gt;&lt;div class=""audio""&gt;[sound:さいてい.mp3]&lt;/div&gt;")</f>
        <v>&lt;ruby&gt;最低&lt;rt&gt;さいてい&lt;/rt&gt;&lt;/ruby&gt;&lt;br&gt;&lt;div class="audio"&gt;[sound:さいてい.mp3]&lt;/div&gt;</v>
      </c>
      <c r="H3734" s="3" t="str">
        <f t="shared" si="1"/>
        <v>(adj): thấp nhất</v>
      </c>
      <c r="I3734" s="6" t="s">
        <v>20377</v>
      </c>
      <c r="J3734" s="6" t="s">
        <v>20378</v>
      </c>
      <c r="K3734" s="7">
        <f t="shared" si="2"/>
        <v>0.687122755</v>
      </c>
    </row>
    <row r="3735">
      <c r="A3735" s="4">
        <v>3735.0</v>
      </c>
      <c r="B3735" s="5" t="s">
        <v>20379</v>
      </c>
      <c r="C3735" s="5" t="s">
        <v>20380</v>
      </c>
      <c r="D3735" s="5" t="s">
        <v>20381</v>
      </c>
      <c r="E3735" s="6" t="s">
        <v>74</v>
      </c>
      <c r="F3735" s="6" t="s">
        <v>20320</v>
      </c>
      <c r="G3735" s="3" t="str">
        <f>IFERROR(__xludf.DUMMYFUNCTION("REGEXREPLACE(
D3735,
""([一-龯々]+)\[([^\]]+)\]"",
""&lt;ruby&gt;$1&lt;rt&gt;$2&lt;/rt&gt;&lt;/ruby&gt;""
)&amp;""&lt;br&gt;&lt;div class=""""audio""""&gt;[sound:""&amp;C3735&amp;"".mp3]&lt;/div&gt;"""),"&lt;ruby&gt;改正&lt;rt&gt;かいせい&lt;/rt&gt;&lt;/ruby&gt;&lt;br&gt;&lt;div class=""audio""&gt;[sound:かいせい.mp3]&lt;/div&gt;")</f>
        <v>&lt;ruby&gt;改正&lt;rt&gt;かいせい&lt;/rt&gt;&lt;/ruby&gt;&lt;br&gt;&lt;div class="audio"&gt;[sound:かいせい.mp3]&lt;/div&gt;</v>
      </c>
      <c r="H3735" s="3" t="str">
        <f t="shared" si="1"/>
        <v>(n): sửa đổi</v>
      </c>
      <c r="I3735" s="6" t="s">
        <v>20382</v>
      </c>
      <c r="J3735" s="6" t="s">
        <v>20383</v>
      </c>
      <c r="K3735" s="7">
        <f t="shared" si="2"/>
        <v>0.3358975263</v>
      </c>
    </row>
    <row r="3736">
      <c r="A3736" s="4">
        <v>3736.0</v>
      </c>
      <c r="B3736" s="5" t="s">
        <v>20384</v>
      </c>
      <c r="C3736" s="5" t="s">
        <v>20385</v>
      </c>
      <c r="D3736" s="5" t="s">
        <v>20386</v>
      </c>
      <c r="E3736" s="6" t="s">
        <v>11</v>
      </c>
      <c r="F3736" s="6" t="s">
        <v>20387</v>
      </c>
      <c r="G3736" s="3" t="str">
        <f>IFERROR(__xludf.DUMMYFUNCTION("REGEXREPLACE(
D3736,
""([一-龯々]+)\[([^\]]+)\]"",
""&lt;ruby&gt;$1&lt;rt&gt;$2&lt;/rt&gt;&lt;/ruby&gt;""
)&amp;""&lt;br&gt;&lt;div class=""""audio""""&gt;[sound:""&amp;C3736&amp;"".mp3]&lt;/div&gt;"""),"&lt;ruby&gt;柔&lt;rt&gt;やわ&lt;/rt&gt;&lt;/ruby&gt;らかい&lt;br&gt;&lt;div class=""audio""&gt;[sound:やわらかい.mp3]&lt;/div&gt;")</f>
        <v>&lt;ruby&gt;柔&lt;rt&gt;やわ&lt;/rt&gt;&lt;/ruby&gt;らかい&lt;br&gt;&lt;div class="audio"&gt;[sound:やわらかい.mp3]&lt;/div&gt;</v>
      </c>
      <c r="H3736" s="3" t="str">
        <f t="shared" si="1"/>
        <v>(adj): mềm</v>
      </c>
      <c r="I3736" s="6" t="s">
        <v>20388</v>
      </c>
      <c r="J3736" s="6" t="s">
        <v>20389</v>
      </c>
      <c r="K3736" s="7">
        <f t="shared" si="2"/>
        <v>0.5424402917</v>
      </c>
    </row>
    <row r="3737">
      <c r="A3737" s="4">
        <v>3737.0</v>
      </c>
      <c r="B3737" s="5" t="s">
        <v>20390</v>
      </c>
      <c r="C3737" s="5" t="s">
        <v>4262</v>
      </c>
      <c r="D3737" s="5" t="s">
        <v>20391</v>
      </c>
      <c r="E3737" s="6" t="s">
        <v>24</v>
      </c>
      <c r="F3737" s="6" t="s">
        <v>20392</v>
      </c>
      <c r="G3737" s="3" t="str">
        <f>IFERROR(__xludf.DUMMYFUNCTION("REGEXREPLACE(
D3737,
""([一-龯々]+)\[([^\]]+)\]"",
""&lt;ruby&gt;$1&lt;rt&gt;$2&lt;/rt&gt;&lt;/ruby&gt;""
)&amp;""&lt;br&gt;&lt;div class=""""audio""""&gt;[sound:""&amp;C3737&amp;"".mp3]&lt;/div&gt;"""),"&lt;ruby&gt;撃&lt;rt&gt;う&lt;/rt&gt;&lt;/ruby&gt;つ&lt;br&gt;&lt;div class=""audio""&gt;[sound:うつ.mp3]&lt;/div&gt;")</f>
        <v>&lt;ruby&gt;撃&lt;rt&gt;う&lt;/rt&gt;&lt;/ruby&gt;つ&lt;br&gt;&lt;div class="audio"&gt;[sound:うつ.mp3]&lt;/div&gt;</v>
      </c>
      <c r="H3737" s="3" t="str">
        <f t="shared" si="1"/>
        <v>(v): bắn</v>
      </c>
      <c r="I3737" s="6" t="s">
        <v>20393</v>
      </c>
      <c r="J3737" s="6" t="s">
        <v>20394</v>
      </c>
      <c r="K3737" s="7">
        <f t="shared" si="2"/>
        <v>0.6973523319</v>
      </c>
    </row>
    <row r="3738">
      <c r="A3738" s="4">
        <v>3738.0</v>
      </c>
      <c r="B3738" s="5" t="s">
        <v>20395</v>
      </c>
      <c r="C3738" s="5" t="s">
        <v>20396</v>
      </c>
      <c r="D3738" s="5" t="s">
        <v>20397</v>
      </c>
      <c r="E3738" s="6" t="s">
        <v>74</v>
      </c>
      <c r="F3738" s="6" t="s">
        <v>20398</v>
      </c>
      <c r="G3738" s="3" t="str">
        <f>IFERROR(__xludf.DUMMYFUNCTION("REGEXREPLACE(
D3738,
""([一-龯々]+)\[([^\]]+)\]"",
""&lt;ruby&gt;$1&lt;rt&gt;$2&lt;/rt&gt;&lt;/ruby&gt;""
)&amp;""&lt;br&gt;&lt;div class=""""audio""""&gt;[sound:""&amp;C3738&amp;"".mp3]&lt;/div&gt;"""),"&lt;ruby&gt;庶民&lt;rt&gt;しょみん&lt;/rt&gt;&lt;/ruby&gt;&lt;br&gt;&lt;div class=""audio""&gt;[sound:しょみん.mp3]&lt;/div&gt;")</f>
        <v>&lt;ruby&gt;庶民&lt;rt&gt;しょみん&lt;/rt&gt;&lt;/ruby&gt;&lt;br&gt;&lt;div class="audio"&gt;[sound:しょみん.mp3]&lt;/div&gt;</v>
      </c>
      <c r="H3738" s="3" t="str">
        <f t="shared" si="1"/>
        <v>(n): thường dân</v>
      </c>
      <c r="I3738" s="6" t="s">
        <v>20399</v>
      </c>
      <c r="J3738" s="6" t="s">
        <v>20400</v>
      </c>
      <c r="K3738" s="7">
        <f t="shared" si="2"/>
        <v>0.3419995471</v>
      </c>
    </row>
    <row r="3739">
      <c r="A3739" s="4">
        <v>3739.0</v>
      </c>
      <c r="B3739" s="5" t="s">
        <v>20401</v>
      </c>
      <c r="C3739" s="5" t="s">
        <v>20402</v>
      </c>
      <c r="D3739" s="5" t="s">
        <v>20403</v>
      </c>
      <c r="E3739" s="6" t="s">
        <v>11</v>
      </c>
      <c r="F3739" s="6" t="s">
        <v>14838</v>
      </c>
      <c r="G3739" s="3" t="str">
        <f>IFERROR(__xludf.DUMMYFUNCTION("REGEXREPLACE(
D3739,
""([一-龯々]+)\[([^\]]+)\]"",
""&lt;ruby&gt;$1&lt;rt&gt;$2&lt;/rt&gt;&lt;/ruby&gt;""
)&amp;""&lt;br&gt;&lt;div class=""""audio""""&gt;[sound:""&amp;C3739&amp;"".mp3]&lt;/div&gt;"""),"&lt;ruby&gt;対等&lt;rt&gt;たいとう&lt;/rt&gt;&lt;/ruby&gt;&lt;br&gt;&lt;div class=""audio""&gt;[sound:たいとう.mp3]&lt;/div&gt;")</f>
        <v>&lt;ruby&gt;対等&lt;rt&gt;たいとう&lt;/rt&gt;&lt;/ruby&gt;&lt;br&gt;&lt;div class="audio"&gt;[sound:たいとう.mp3]&lt;/div&gt;</v>
      </c>
      <c r="H3739" s="3" t="str">
        <f t="shared" si="1"/>
        <v>(adj): bình đẳng</v>
      </c>
      <c r="I3739" s="6" t="s">
        <v>20404</v>
      </c>
      <c r="J3739" s="6" t="s">
        <v>20405</v>
      </c>
      <c r="K3739" s="7">
        <f t="shared" si="2"/>
        <v>0.4128415331</v>
      </c>
    </row>
    <row r="3740">
      <c r="A3740" s="4">
        <v>3740.0</v>
      </c>
      <c r="B3740" s="5" t="s">
        <v>20406</v>
      </c>
      <c r="C3740" s="5" t="s">
        <v>20407</v>
      </c>
      <c r="D3740" s="5" t="s">
        <v>20408</v>
      </c>
      <c r="E3740" s="6" t="s">
        <v>74</v>
      </c>
      <c r="F3740" s="6" t="s">
        <v>20409</v>
      </c>
      <c r="G3740" s="3" t="str">
        <f>IFERROR(__xludf.DUMMYFUNCTION("REGEXREPLACE(
D3740,
""([一-龯々]+)\[([^\]]+)\]"",
""&lt;ruby&gt;$1&lt;rt&gt;$2&lt;/rt&gt;&lt;/ruby&gt;""
)&amp;""&lt;br&gt;&lt;div class=""""audio""""&gt;[sound:""&amp;C3740&amp;"".mp3]&lt;/div&gt;"""),"&lt;ruby&gt;振動&lt;rt&gt;しんどう&lt;/rt&gt;&lt;/ruby&gt;&lt;br&gt;&lt;div class=""audio""&gt;[sound:しんどう.mp3]&lt;/div&gt;")</f>
        <v>&lt;ruby&gt;振動&lt;rt&gt;しんどう&lt;/rt&gt;&lt;/ruby&gt;&lt;br&gt;&lt;div class="audio"&gt;[sound:しんどう.mp3]&lt;/div&gt;</v>
      </c>
      <c r="H3740" s="3" t="str">
        <f t="shared" si="1"/>
        <v>(n): rung động</v>
      </c>
      <c r="I3740" s="6" t="s">
        <v>20410</v>
      </c>
      <c r="J3740" s="6" t="s">
        <v>20411</v>
      </c>
      <c r="K3740" s="7">
        <f t="shared" si="2"/>
        <v>0.8552473306</v>
      </c>
    </row>
    <row r="3741">
      <c r="A3741" s="4">
        <v>3741.0</v>
      </c>
      <c r="B3741" s="5" t="s">
        <v>20412</v>
      </c>
      <c r="C3741" s="5" t="s">
        <v>20413</v>
      </c>
      <c r="D3741" s="5" t="s">
        <v>20414</v>
      </c>
      <c r="E3741" s="6" t="s">
        <v>74</v>
      </c>
      <c r="F3741" s="6" t="s">
        <v>20415</v>
      </c>
      <c r="G3741" s="3" t="str">
        <f>IFERROR(__xludf.DUMMYFUNCTION("REGEXREPLACE(
D3741,
""([一-龯々]+)\[([^\]]+)\]"",
""&lt;ruby&gt;$1&lt;rt&gt;$2&lt;/rt&gt;&lt;/ruby&gt;""
)&amp;""&lt;br&gt;&lt;div class=""""audio""""&gt;[sound:""&amp;C3741&amp;"".mp3]&lt;/div&gt;"""),"&lt;ruby&gt;扉&lt;rt&gt;とびら&lt;/rt&gt;&lt;/ruby&gt;&lt;br&gt;&lt;div class=""audio""&gt;[sound:とびら.mp3]&lt;/div&gt;")</f>
        <v>&lt;ruby&gt;扉&lt;rt&gt;とびら&lt;/rt&gt;&lt;/ruby&gt;&lt;br&gt;&lt;div class="audio"&gt;[sound:とびら.mp3]&lt;/div&gt;</v>
      </c>
      <c r="H3741" s="3" t="str">
        <f t="shared" si="1"/>
        <v>(n): cánh cửa</v>
      </c>
      <c r="I3741" s="6" t="s">
        <v>20416</v>
      </c>
      <c r="J3741" s="6" t="s">
        <v>20417</v>
      </c>
      <c r="K3741" s="7">
        <f t="shared" si="2"/>
        <v>0.9696995757</v>
      </c>
    </row>
    <row r="3742">
      <c r="A3742" s="4">
        <v>3742.0</v>
      </c>
      <c r="B3742" s="5" t="s">
        <v>20418</v>
      </c>
      <c r="C3742" s="5" t="s">
        <v>20419</v>
      </c>
      <c r="D3742" s="5" t="s">
        <v>20420</v>
      </c>
      <c r="E3742" s="6" t="s">
        <v>74</v>
      </c>
      <c r="F3742" s="6" t="s">
        <v>6076</v>
      </c>
      <c r="G3742" s="3" t="str">
        <f>IFERROR(__xludf.DUMMYFUNCTION("REGEXREPLACE(
D3742,
""([一-龯々]+)\[([^\]]+)\]"",
""&lt;ruby&gt;$1&lt;rt&gt;$2&lt;/rt&gt;&lt;/ruby&gt;""
)&amp;""&lt;br&gt;&lt;div class=""""audio""""&gt;[sound:""&amp;C3742&amp;"".mp3]&lt;/div&gt;"""),"&lt;ruby&gt;情緒&lt;rt&gt;じょうちょ&lt;/rt&gt;&lt;/ruby&gt;&lt;br&gt;&lt;div class=""audio""&gt;[sound:じょうちょ.mp3]&lt;/div&gt;")</f>
        <v>&lt;ruby&gt;情緒&lt;rt&gt;じょうちょ&lt;/rt&gt;&lt;/ruby&gt;&lt;br&gt;&lt;div class="audio"&gt;[sound:じょうちょ.mp3]&lt;/div&gt;</v>
      </c>
      <c r="H3742" s="3" t="str">
        <f t="shared" si="1"/>
        <v>(n): cảm xúc</v>
      </c>
      <c r="I3742" s="6" t="s">
        <v>20421</v>
      </c>
      <c r="J3742" s="6" t="s">
        <v>20422</v>
      </c>
      <c r="K3742" s="7">
        <f t="shared" si="2"/>
        <v>0.6035802485</v>
      </c>
    </row>
    <row r="3743">
      <c r="A3743" s="4">
        <v>3743.0</v>
      </c>
      <c r="B3743" s="5" t="s">
        <v>20423</v>
      </c>
      <c r="C3743" s="5" t="s">
        <v>20424</v>
      </c>
      <c r="D3743" s="5" t="s">
        <v>20425</v>
      </c>
      <c r="E3743" s="6" t="s">
        <v>74</v>
      </c>
      <c r="F3743" s="6" t="s">
        <v>20426</v>
      </c>
      <c r="G3743" s="3" t="str">
        <f>IFERROR(__xludf.DUMMYFUNCTION("REGEXREPLACE(
D3743,
""([一-龯々]+)\[([^\]]+)\]"",
""&lt;ruby&gt;$1&lt;rt&gt;$2&lt;/rt&gt;&lt;/ruby&gt;""
)&amp;""&lt;br&gt;&lt;div class=""""audio""""&gt;[sound:""&amp;C3743&amp;"".mp3]&lt;/div&gt;"""),"&lt;ruby&gt;居住&lt;rt&gt;きょじゅう&lt;/rt&gt;&lt;/ruby&gt;&lt;br&gt;&lt;div class=""audio""&gt;[sound:きょじゅう.mp3]&lt;/div&gt;")</f>
        <v>&lt;ruby&gt;居住&lt;rt&gt;きょじゅう&lt;/rt&gt;&lt;/ruby&gt;&lt;br&gt;&lt;div class="audio"&gt;[sound:きょじゅう.mp3]&lt;/div&gt;</v>
      </c>
      <c r="H3743" s="3" t="str">
        <f t="shared" si="1"/>
        <v>(n): cư trú</v>
      </c>
      <c r="I3743" s="6" t="s">
        <v>20427</v>
      </c>
      <c r="J3743" s="6" t="s">
        <v>20428</v>
      </c>
      <c r="K3743" s="7">
        <f t="shared" si="2"/>
        <v>0.7977560631</v>
      </c>
    </row>
    <row r="3744">
      <c r="A3744" s="4">
        <v>3744.0</v>
      </c>
      <c r="B3744" s="5" t="s">
        <v>20429</v>
      </c>
      <c r="C3744" s="5" t="s">
        <v>20430</v>
      </c>
      <c r="D3744" s="5" t="s">
        <v>20431</v>
      </c>
      <c r="E3744" s="6" t="s">
        <v>24</v>
      </c>
      <c r="F3744" s="6" t="s">
        <v>20432</v>
      </c>
      <c r="G3744" s="3" t="str">
        <f>IFERROR(__xludf.DUMMYFUNCTION("REGEXREPLACE(
D3744,
""([一-龯々]+)\[([^\]]+)\]"",
""&lt;ruby&gt;$1&lt;rt&gt;$2&lt;/rt&gt;&lt;/ruby&gt;""
)&amp;""&lt;br&gt;&lt;div class=""""audio""""&gt;[sound:""&amp;C3744&amp;"".mp3]&lt;/div&gt;"""),"&lt;ruby&gt;弾&lt;rt&gt;はず&lt;/rt&gt;&lt;/ruby&gt;む&lt;br&gt;&lt;div class=""audio""&gt;[sound:はずむ.mp3]&lt;/div&gt;")</f>
        <v>&lt;ruby&gt;弾&lt;rt&gt;はず&lt;/rt&gt;&lt;/ruby&gt;む&lt;br&gt;&lt;div class="audio"&gt;[sound:はずむ.mp3]&lt;/div&gt;</v>
      </c>
      <c r="H3744" s="3" t="str">
        <f t="shared" si="1"/>
        <v>(v): nảy</v>
      </c>
      <c r="I3744" s="6" t="s">
        <v>20433</v>
      </c>
      <c r="J3744" s="6" t="s">
        <v>20434</v>
      </c>
      <c r="K3744" s="7">
        <f t="shared" si="2"/>
        <v>0.1226657347</v>
      </c>
    </row>
    <row r="3745">
      <c r="A3745" s="4">
        <v>3745.0</v>
      </c>
      <c r="B3745" s="5" t="s">
        <v>20435</v>
      </c>
      <c r="C3745" s="5" t="s">
        <v>20436</v>
      </c>
      <c r="D3745" s="5" t="s">
        <v>20437</v>
      </c>
      <c r="E3745" s="6" t="s">
        <v>74</v>
      </c>
      <c r="F3745" s="6" t="s">
        <v>17101</v>
      </c>
      <c r="G3745" s="3" t="str">
        <f>IFERROR(__xludf.DUMMYFUNCTION("REGEXREPLACE(
D3745,
""([一-龯々]+)\[([^\]]+)\]"",
""&lt;ruby&gt;$1&lt;rt&gt;$2&lt;/rt&gt;&lt;/ruby&gt;""
)&amp;""&lt;br&gt;&lt;div class=""""audio""""&gt;[sound:""&amp;C3745&amp;"".mp3]&lt;/div&gt;"""),"&lt;ruby&gt;日程&lt;rt&gt;にってい&lt;/rt&gt;&lt;/ruby&gt;&lt;br&gt;&lt;div class=""audio""&gt;[sound:にってい.mp3]&lt;/div&gt;")</f>
        <v>&lt;ruby&gt;日程&lt;rt&gt;にってい&lt;/rt&gt;&lt;/ruby&gt;&lt;br&gt;&lt;div class="audio"&gt;[sound:にってい.mp3]&lt;/div&gt;</v>
      </c>
      <c r="H3745" s="3" t="str">
        <f t="shared" si="1"/>
        <v>(n): lịch trình</v>
      </c>
      <c r="I3745" s="6" t="s">
        <v>20438</v>
      </c>
      <c r="J3745" s="6" t="s">
        <v>20439</v>
      </c>
      <c r="K3745" s="7">
        <f t="shared" si="2"/>
        <v>0.3211211507</v>
      </c>
    </row>
    <row r="3746">
      <c r="A3746" s="4">
        <v>3746.0</v>
      </c>
      <c r="B3746" s="5" t="s">
        <v>20440</v>
      </c>
      <c r="C3746" s="5" t="s">
        <v>10715</v>
      </c>
      <c r="D3746" s="5" t="s">
        <v>20441</v>
      </c>
      <c r="E3746" s="6" t="s">
        <v>74</v>
      </c>
      <c r="F3746" s="6" t="s">
        <v>20442</v>
      </c>
      <c r="G3746" s="3" t="str">
        <f>IFERROR(__xludf.DUMMYFUNCTION("REGEXREPLACE(
D3746,
""([一-龯々]+)\[([^\]]+)\]"",
""&lt;ruby&gt;$1&lt;rt&gt;$2&lt;/rt&gt;&lt;/ruby&gt;""
)&amp;""&lt;br&gt;&lt;div class=""""audio""""&gt;[sound:""&amp;C3746&amp;"".mp3]&lt;/div&gt;"""),"&lt;ruby&gt;支店&lt;rt&gt;してん&lt;/rt&gt;&lt;/ruby&gt;&lt;br&gt;&lt;div class=""audio""&gt;[sound:してん.mp3]&lt;/div&gt;")</f>
        <v>&lt;ruby&gt;支店&lt;rt&gt;してん&lt;/rt&gt;&lt;/ruby&gt;&lt;br&gt;&lt;div class="audio"&gt;[sound:してん.mp3]&lt;/div&gt;</v>
      </c>
      <c r="H3746" s="3" t="str">
        <f t="shared" si="1"/>
        <v>(n): chi nhánh</v>
      </c>
      <c r="I3746" s="6" t="s">
        <v>20443</v>
      </c>
      <c r="J3746" s="6" t="s">
        <v>20444</v>
      </c>
      <c r="K3746" s="7">
        <f t="shared" si="2"/>
        <v>0.4839445916</v>
      </c>
    </row>
    <row r="3747">
      <c r="A3747" s="4">
        <v>3747.0</v>
      </c>
      <c r="B3747" s="5" t="s">
        <v>20445</v>
      </c>
      <c r="C3747" s="5" t="s">
        <v>20446</v>
      </c>
      <c r="D3747" s="5" t="s">
        <v>20447</v>
      </c>
      <c r="E3747" s="6" t="s">
        <v>74</v>
      </c>
      <c r="F3747" s="6" t="s">
        <v>20448</v>
      </c>
      <c r="G3747" s="3" t="str">
        <f>IFERROR(__xludf.DUMMYFUNCTION("REGEXREPLACE(
D3747,
""([一-龯々]+)\[([^\]]+)\]"",
""&lt;ruby&gt;$1&lt;rt&gt;$2&lt;/rt&gt;&lt;/ruby&gt;""
)&amp;""&lt;br&gt;&lt;div class=""""audio""""&gt;[sound:""&amp;C3747&amp;"".mp3]&lt;/div&gt;"""),"&lt;ruby&gt;普及&lt;rt&gt;ふきゅう&lt;/rt&gt;&lt;/ruby&gt;&lt;br&gt;&lt;div class=""audio""&gt;[sound:ふきゅう.mp3]&lt;/div&gt;")</f>
        <v>&lt;ruby&gt;普及&lt;rt&gt;ふきゅう&lt;/rt&gt;&lt;/ruby&gt;&lt;br&gt;&lt;div class="audio"&gt;[sound:ふきゅう.mp3]&lt;/div&gt;</v>
      </c>
      <c r="H3747" s="3" t="str">
        <f t="shared" si="1"/>
        <v>(n): phổ cập</v>
      </c>
      <c r="I3747" s="6" t="s">
        <v>20449</v>
      </c>
      <c r="J3747" s="6" t="s">
        <v>20450</v>
      </c>
      <c r="K3747" s="7">
        <f t="shared" si="2"/>
        <v>0.6982508424</v>
      </c>
    </row>
    <row r="3748">
      <c r="A3748" s="4">
        <v>3748.0</v>
      </c>
      <c r="B3748" s="5" t="s">
        <v>20451</v>
      </c>
      <c r="C3748" s="5" t="s">
        <v>20452</v>
      </c>
      <c r="D3748" s="5" t="s">
        <v>20453</v>
      </c>
      <c r="E3748" s="6" t="s">
        <v>24</v>
      </c>
      <c r="F3748" s="6" t="s">
        <v>20454</v>
      </c>
      <c r="G3748" s="3" t="str">
        <f>IFERROR(__xludf.DUMMYFUNCTION("REGEXREPLACE(
D3748,
""([一-龯々]+)\[([^\]]+)\]"",
""&lt;ruby&gt;$1&lt;rt&gt;$2&lt;/rt&gt;&lt;/ruby&gt;""
)&amp;""&lt;br&gt;&lt;div class=""""audio""""&gt;[sound:""&amp;C3748&amp;"".mp3]&lt;/div&gt;"""),"&lt;ruby&gt;探&lt;rt&gt;さぐ&lt;/rt&gt;&lt;/ruby&gt;る&lt;br&gt;&lt;div class=""audio""&gt;[sound:さぐる.mp3]&lt;/div&gt;")</f>
        <v>&lt;ruby&gt;探&lt;rt&gt;さぐ&lt;/rt&gt;&lt;/ruby&gt;る&lt;br&gt;&lt;div class="audio"&gt;[sound:さぐる.mp3]&lt;/div&gt;</v>
      </c>
      <c r="H3748" s="3" t="str">
        <f t="shared" si="1"/>
        <v>(v): dò xét</v>
      </c>
      <c r="I3748" s="6" t="s">
        <v>20455</v>
      </c>
      <c r="J3748" s="6" t="s">
        <v>20456</v>
      </c>
      <c r="K3748" s="7">
        <f t="shared" si="2"/>
        <v>0.8012458006</v>
      </c>
    </row>
    <row r="3749">
      <c r="A3749" s="4">
        <v>3749.0</v>
      </c>
      <c r="B3749" s="5" t="s">
        <v>20457</v>
      </c>
      <c r="C3749" s="5" t="s">
        <v>20458</v>
      </c>
      <c r="D3749" s="5" t="s">
        <v>20459</v>
      </c>
      <c r="E3749" s="6" t="s">
        <v>74</v>
      </c>
      <c r="F3749" s="6" t="s">
        <v>20460</v>
      </c>
      <c r="G3749" s="3" t="str">
        <f>IFERROR(__xludf.DUMMYFUNCTION("REGEXREPLACE(
D3749,
""([一-龯々]+)\[([^\]]+)\]"",
""&lt;ruby&gt;$1&lt;rt&gt;$2&lt;/rt&gt;&lt;/ruby&gt;""
)&amp;""&lt;br&gt;&lt;div class=""""audio""""&gt;[sound:""&amp;C3749&amp;"".mp3]&lt;/div&gt;"""),"&lt;ruby&gt;末&lt;rt&gt;すえ&lt;/rt&gt;&lt;/ruby&gt;&lt;br&gt;&lt;div class=""audio""&gt;[sound:すえ.mp3]&lt;/div&gt;")</f>
        <v>&lt;ruby&gt;末&lt;rt&gt;すえ&lt;/rt&gt;&lt;/ruby&gt;&lt;br&gt;&lt;div class="audio"&gt;[sound:すえ.mp3]&lt;/div&gt;</v>
      </c>
      <c r="H3749" s="3" t="str">
        <f t="shared" si="1"/>
        <v>(n): cuối</v>
      </c>
      <c r="I3749" s="6" t="s">
        <v>20461</v>
      </c>
      <c r="J3749" s="6" t="s">
        <v>20462</v>
      </c>
      <c r="K3749" s="7">
        <f t="shared" si="2"/>
        <v>0.3549479514</v>
      </c>
    </row>
    <row r="3750">
      <c r="A3750" s="4">
        <v>3750.0</v>
      </c>
      <c r="B3750" s="5" t="s">
        <v>20463</v>
      </c>
      <c r="C3750" s="5" t="s">
        <v>20464</v>
      </c>
      <c r="D3750" s="5" t="s">
        <v>20465</v>
      </c>
      <c r="E3750" s="6" t="s">
        <v>24</v>
      </c>
      <c r="F3750" s="6" t="s">
        <v>20466</v>
      </c>
      <c r="G3750" s="3" t="str">
        <f>IFERROR(__xludf.DUMMYFUNCTION("REGEXREPLACE(
D3750,
""([一-龯々]+)\[([^\]]+)\]"",
""&lt;ruby&gt;$1&lt;rt&gt;$2&lt;/rt&gt;&lt;/ruby&gt;""
)&amp;""&lt;br&gt;&lt;div class=""""audio""""&gt;[sound:""&amp;C3750&amp;"".mp3]&lt;/div&gt;"""),"&lt;ruby&gt;植&lt;rt&gt;う&lt;/rt&gt;&lt;/ruby&gt;える&lt;br&gt;&lt;div class=""audio""&gt;[sound:うえる.mp3]&lt;/div&gt;")</f>
        <v>&lt;ruby&gt;植&lt;rt&gt;う&lt;/rt&gt;&lt;/ruby&gt;える&lt;br&gt;&lt;div class="audio"&gt;[sound:うえる.mp3]&lt;/div&gt;</v>
      </c>
      <c r="H3750" s="3" t="str">
        <f t="shared" si="1"/>
        <v>(v): trồng</v>
      </c>
      <c r="I3750" s="6" t="s">
        <v>20467</v>
      </c>
      <c r="J3750" s="6" t="s">
        <v>20468</v>
      </c>
      <c r="K3750" s="7">
        <f t="shared" si="2"/>
        <v>0.1294326629</v>
      </c>
    </row>
    <row r="3751">
      <c r="A3751" s="4">
        <v>3751.0</v>
      </c>
      <c r="B3751" s="5" t="s">
        <v>20469</v>
      </c>
      <c r="C3751" s="5" t="s">
        <v>20470</v>
      </c>
      <c r="D3751" s="5" t="s">
        <v>20471</v>
      </c>
      <c r="E3751" s="6" t="s">
        <v>24</v>
      </c>
      <c r="F3751" s="6" t="s">
        <v>4493</v>
      </c>
      <c r="G3751" s="3" t="str">
        <f>IFERROR(__xludf.DUMMYFUNCTION("REGEXREPLACE(
D3751,
""([一-龯々]+)\[([^\]]+)\]"",
""&lt;ruby&gt;$1&lt;rt&gt;$2&lt;/rt&gt;&lt;/ruby&gt;""
)&amp;""&lt;br&gt;&lt;div class=""""audio""""&gt;[sound:""&amp;C3751&amp;"".mp3]&lt;/div&gt;"""),"&lt;ruby&gt;堪&lt;rt&gt;こら&lt;/rt&gt;&lt;/ruby&gt;える&lt;br&gt;&lt;div class=""audio""&gt;[sound:こらえる.mp3]&lt;/div&gt;")</f>
        <v>&lt;ruby&gt;堪&lt;rt&gt;こら&lt;/rt&gt;&lt;/ruby&gt;える&lt;br&gt;&lt;div class="audio"&gt;[sound:こらえる.mp3]&lt;/div&gt;</v>
      </c>
      <c r="H3751" s="3" t="str">
        <f t="shared" si="1"/>
        <v>(v): chịu đựng</v>
      </c>
      <c r="I3751" s="6" t="s">
        <v>20472</v>
      </c>
      <c r="J3751" s="6" t="s">
        <v>20473</v>
      </c>
      <c r="K3751" s="7">
        <f t="shared" si="2"/>
        <v>0.2488049795</v>
      </c>
    </row>
    <row r="3752">
      <c r="A3752" s="4">
        <v>3752.0</v>
      </c>
      <c r="B3752" s="5" t="s">
        <v>20474</v>
      </c>
      <c r="C3752" s="5" t="s">
        <v>20475</v>
      </c>
      <c r="D3752" s="5" t="s">
        <v>20476</v>
      </c>
      <c r="E3752" s="6" t="s">
        <v>74</v>
      </c>
      <c r="F3752" s="6" t="s">
        <v>492</v>
      </c>
      <c r="G3752" s="3" t="str">
        <f>IFERROR(__xludf.DUMMYFUNCTION("REGEXREPLACE(
D3752,
""([一-龯々]+)\[([^\]]+)\]"",
""&lt;ruby&gt;$1&lt;rt&gt;$2&lt;/rt&gt;&lt;/ruby&gt;""
)&amp;""&lt;br&gt;&lt;div class=""""audio""""&gt;[sound:""&amp;C3752&amp;"".mp3]&lt;/div&gt;"""),"&lt;ruby&gt;万人&lt;rt&gt;ばんにん&lt;/rt&gt;&lt;/ruby&gt;&lt;br&gt;&lt;div class=""audio""&gt;[sound:ばんにん.mp3]&lt;/div&gt;")</f>
        <v>&lt;ruby&gt;万人&lt;rt&gt;ばんにん&lt;/rt&gt;&lt;/ruby&gt;&lt;br&gt;&lt;div class="audio"&gt;[sound:ばんにん.mp3]&lt;/div&gt;</v>
      </c>
      <c r="H3752" s="3" t="str">
        <f t="shared" si="1"/>
        <v>(n): mọi người</v>
      </c>
      <c r="I3752" s="6" t="s">
        <v>20477</v>
      </c>
      <c r="J3752" s="6" t="s">
        <v>20478</v>
      </c>
      <c r="K3752" s="7">
        <f t="shared" si="2"/>
        <v>0.3745417641</v>
      </c>
    </row>
    <row r="3753">
      <c r="A3753" s="4">
        <v>3753.0</v>
      </c>
      <c r="B3753" s="5" t="s">
        <v>20479</v>
      </c>
      <c r="C3753" s="5" t="s">
        <v>20480</v>
      </c>
      <c r="D3753" s="5" t="s">
        <v>20481</v>
      </c>
      <c r="E3753" s="6" t="s">
        <v>24</v>
      </c>
      <c r="F3753" s="6" t="s">
        <v>20482</v>
      </c>
      <c r="G3753" s="3" t="str">
        <f>IFERROR(__xludf.DUMMYFUNCTION("REGEXREPLACE(
D3753,
""([一-龯々]+)\[([^\]]+)\]"",
""&lt;ruby&gt;$1&lt;rt&gt;$2&lt;/rt&gt;&lt;/ruby&gt;""
)&amp;""&lt;br&gt;&lt;div class=""""audio""""&gt;[sound:""&amp;C3753&amp;"".mp3]&lt;/div&gt;"""),"&lt;ruby&gt;違&lt;rt&gt;たが&lt;/rt&gt;&lt;/ruby&gt;える&lt;br&gt;&lt;div class=""audio""&gt;[sound:たがえる.mp3]&lt;/div&gt;")</f>
        <v>&lt;ruby&gt;違&lt;rt&gt;たが&lt;/rt&gt;&lt;/ruby&gt;える&lt;br&gt;&lt;div class="audio"&gt;[sound:たがえる.mp3]&lt;/div&gt;</v>
      </c>
      <c r="H3753" s="3" t="str">
        <f t="shared" si="1"/>
        <v>(v): làm khác</v>
      </c>
      <c r="I3753" s="6" t="s">
        <v>20483</v>
      </c>
      <c r="J3753" s="6" t="s">
        <v>20484</v>
      </c>
      <c r="K3753" s="7">
        <f t="shared" si="2"/>
        <v>0.2319895531</v>
      </c>
    </row>
    <row r="3754">
      <c r="A3754" s="4">
        <v>3754.0</v>
      </c>
      <c r="B3754" s="5" t="s">
        <v>20485</v>
      </c>
      <c r="C3754" s="5" t="s">
        <v>20486</v>
      </c>
      <c r="D3754" s="5" t="s">
        <v>20487</v>
      </c>
      <c r="E3754" s="6" t="s">
        <v>74</v>
      </c>
      <c r="F3754" s="6" t="s">
        <v>20488</v>
      </c>
      <c r="G3754" s="3" t="str">
        <f>IFERROR(__xludf.DUMMYFUNCTION("REGEXREPLACE(
D3754,
""([一-龯々]+)\[([^\]]+)\]"",
""&lt;ruby&gt;$1&lt;rt&gt;$2&lt;/rt&gt;&lt;/ruby&gt;""
)&amp;""&lt;br&gt;&lt;div class=""""audio""""&gt;[sound:""&amp;C3754&amp;"".mp3]&lt;/div&gt;"""),"&lt;ruby&gt;名作&lt;rt&gt;めいさく&lt;/rt&gt;&lt;/ruby&gt;&lt;br&gt;&lt;div class=""audio""&gt;[sound:めいさく.mp3]&lt;/div&gt;")</f>
        <v>&lt;ruby&gt;名作&lt;rt&gt;めいさく&lt;/rt&gt;&lt;/ruby&gt;&lt;br&gt;&lt;div class="audio"&gt;[sound:めいさく.mp3]&lt;/div&gt;</v>
      </c>
      <c r="H3754" s="3" t="str">
        <f t="shared" si="1"/>
        <v>(n): tác phẩm nổi tiếng</v>
      </c>
      <c r="I3754" s="6" t="s">
        <v>20489</v>
      </c>
      <c r="J3754" s="6" t="s">
        <v>20490</v>
      </c>
      <c r="K3754" s="7">
        <f t="shared" si="2"/>
        <v>0.5057343975</v>
      </c>
    </row>
    <row r="3755">
      <c r="A3755" s="4">
        <v>3755.0</v>
      </c>
      <c r="B3755" s="5" t="s">
        <v>20491</v>
      </c>
      <c r="C3755" s="5" t="s">
        <v>20492</v>
      </c>
      <c r="D3755" s="5" t="s">
        <v>20493</v>
      </c>
      <c r="E3755" s="6" t="s">
        <v>74</v>
      </c>
      <c r="F3755" s="6" t="s">
        <v>19500</v>
      </c>
      <c r="G3755" s="3" t="str">
        <f>IFERROR(__xludf.DUMMYFUNCTION("REGEXREPLACE(
D3755,
""([一-龯々]+)\[([^\]]+)\]"",
""&lt;ruby&gt;$1&lt;rt&gt;$2&lt;/rt&gt;&lt;/ruby&gt;""
)&amp;""&lt;br&gt;&lt;div class=""""audio""""&gt;[sound:""&amp;C3755&amp;"".mp3]&lt;/div&gt;"""),"&lt;ruby&gt;古里&lt;rt&gt;ふるさと&lt;/rt&gt;&lt;/ruby&gt;&lt;br&gt;&lt;div class=""audio""&gt;[sound:ふるさと.mp3]&lt;/div&gt;")</f>
        <v>&lt;ruby&gt;古里&lt;rt&gt;ふるさと&lt;/rt&gt;&lt;/ruby&gt;&lt;br&gt;&lt;div class="audio"&gt;[sound:ふるさと.mp3]&lt;/div&gt;</v>
      </c>
      <c r="H3755" s="3" t="str">
        <f t="shared" si="1"/>
        <v>(n): quê hương</v>
      </c>
      <c r="I3755" s="6" t="s">
        <v>20494</v>
      </c>
      <c r="J3755" s="6" t="s">
        <v>20495</v>
      </c>
      <c r="K3755" s="7">
        <f t="shared" si="2"/>
        <v>0.7117813022</v>
      </c>
    </row>
    <row r="3756">
      <c r="A3756" s="4">
        <v>3756.0</v>
      </c>
      <c r="B3756" s="5" t="s">
        <v>20496</v>
      </c>
      <c r="C3756" s="5" t="s">
        <v>20497</v>
      </c>
      <c r="D3756" s="5" t="s">
        <v>20498</v>
      </c>
      <c r="E3756" s="6" t="s">
        <v>11</v>
      </c>
      <c r="F3756" s="6" t="s">
        <v>13903</v>
      </c>
      <c r="G3756" s="3" t="str">
        <f>IFERROR(__xludf.DUMMYFUNCTION("REGEXREPLACE(
D3756,
""([一-龯々]+)\[([^\]]+)\]"",
""&lt;ruby&gt;$1&lt;rt&gt;$2&lt;/rt&gt;&lt;/ruby&gt;""
)&amp;""&lt;br&gt;&lt;div class=""""audio""""&gt;[sound:""&amp;C3756&amp;"".mp3]&lt;/div&gt;"""),"&lt;ruby&gt;惜&lt;rt&gt;お&lt;/rt&gt;&lt;/ruby&gt;しい&lt;br&gt;&lt;div class=""audio""&gt;[sound:おしい.mp3]&lt;/div&gt;")</f>
        <v>&lt;ruby&gt;惜&lt;rt&gt;お&lt;/rt&gt;&lt;/ruby&gt;しい&lt;br&gt;&lt;div class="audio"&gt;[sound:おしい.mp3]&lt;/div&gt;</v>
      </c>
      <c r="H3756" s="3" t="str">
        <f t="shared" si="1"/>
        <v>(adj): đáng tiếc</v>
      </c>
      <c r="I3756" s="6" t="s">
        <v>20499</v>
      </c>
      <c r="J3756" s="6" t="s">
        <v>20500</v>
      </c>
      <c r="K3756" s="7">
        <f t="shared" si="2"/>
        <v>0.9934306646</v>
      </c>
    </row>
    <row r="3757">
      <c r="A3757" s="4">
        <v>3757.0</v>
      </c>
      <c r="B3757" s="5" t="s">
        <v>20501</v>
      </c>
      <c r="C3757" s="5" t="s">
        <v>20502</v>
      </c>
      <c r="D3757" s="5" t="s">
        <v>20503</v>
      </c>
      <c r="E3757" s="6" t="s">
        <v>74</v>
      </c>
      <c r="F3757" s="6" t="s">
        <v>20504</v>
      </c>
      <c r="G3757" s="3" t="str">
        <f>IFERROR(__xludf.DUMMYFUNCTION("REGEXREPLACE(
D3757,
""([一-龯々]+)\[([^\]]+)\]"",
""&lt;ruby&gt;$1&lt;rt&gt;$2&lt;/rt&gt;&lt;/ruby&gt;""
)&amp;""&lt;br&gt;&lt;div class=""""audio""""&gt;[sound:""&amp;C3757&amp;"".mp3]&lt;/div&gt;"""),"&lt;ruby&gt;商社&lt;rt&gt;しょうしゃ&lt;/rt&gt;&lt;/ruby&gt;&lt;br&gt;&lt;div class=""audio""&gt;[sound:しょうしゃ.mp3]&lt;/div&gt;")</f>
        <v>&lt;ruby&gt;商社&lt;rt&gt;しょうしゃ&lt;/rt&gt;&lt;/ruby&gt;&lt;br&gt;&lt;div class="audio"&gt;[sound:しょうしゃ.mp3]&lt;/div&gt;</v>
      </c>
      <c r="H3757" s="3" t="str">
        <f t="shared" si="1"/>
        <v>(n): công ty thương mại</v>
      </c>
      <c r="I3757" s="6" t="s">
        <v>20505</v>
      </c>
      <c r="J3757" s="6" t="s">
        <v>20506</v>
      </c>
      <c r="K3757" s="7">
        <f t="shared" si="2"/>
        <v>0.5575859778</v>
      </c>
    </row>
    <row r="3758">
      <c r="A3758" s="4">
        <v>3758.0</v>
      </c>
      <c r="B3758" s="5" t="s">
        <v>20507</v>
      </c>
      <c r="C3758" s="5" t="s">
        <v>20508</v>
      </c>
      <c r="D3758" s="5" t="s">
        <v>20509</v>
      </c>
      <c r="E3758" s="6" t="s">
        <v>74</v>
      </c>
      <c r="F3758" s="6" t="s">
        <v>20510</v>
      </c>
      <c r="G3758" s="3" t="str">
        <f>IFERROR(__xludf.DUMMYFUNCTION("REGEXREPLACE(
D3758,
""([一-龯々]+)\[([^\]]+)\]"",
""&lt;ruby&gt;$1&lt;rt&gt;$2&lt;/rt&gt;&lt;/ruby&gt;""
)&amp;""&lt;br&gt;&lt;div class=""""audio""""&gt;[sound:""&amp;C3758&amp;"".mp3]&lt;/div&gt;"""),"&lt;ruby&gt;実感&lt;rt&gt;じっかん&lt;/rt&gt;&lt;/ruby&gt;&lt;br&gt;&lt;div class=""audio""&gt;[sound:じっかん.mp3]&lt;/div&gt;")</f>
        <v>&lt;ruby&gt;実感&lt;rt&gt;じっかん&lt;/rt&gt;&lt;/ruby&gt;&lt;br&gt;&lt;div class="audio"&gt;[sound:じっかん.mp3]&lt;/div&gt;</v>
      </c>
      <c r="H3758" s="3" t="str">
        <f t="shared" si="1"/>
        <v>(n): cảm giác thực</v>
      </c>
      <c r="I3758" s="6" t="s">
        <v>20511</v>
      </c>
      <c r="J3758" s="6" t="s">
        <v>20512</v>
      </c>
      <c r="K3758" s="7">
        <f t="shared" si="2"/>
        <v>0.3282536516</v>
      </c>
    </row>
    <row r="3759">
      <c r="A3759" s="4">
        <v>3759.0</v>
      </c>
      <c r="B3759" s="5" t="s">
        <v>20513</v>
      </c>
      <c r="C3759" s="5" t="s">
        <v>20514</v>
      </c>
      <c r="D3759" s="5" t="s">
        <v>20515</v>
      </c>
      <c r="E3759" s="6" t="s">
        <v>74</v>
      </c>
      <c r="F3759" s="6" t="s">
        <v>6844</v>
      </c>
      <c r="G3759" s="3" t="str">
        <f>IFERROR(__xludf.DUMMYFUNCTION("REGEXREPLACE(
D3759,
""([一-龯々]+)\[([^\]]+)\]"",
""&lt;ruby&gt;$1&lt;rt&gt;$2&lt;/rt&gt;&lt;/ruby&gt;""
)&amp;""&lt;br&gt;&lt;div class=""""audio""""&gt;[sound:""&amp;C3759&amp;"".mp3]&lt;/div&gt;"""),"&lt;ruby&gt;面接&lt;rt&gt;めんせつ&lt;/rt&gt;&lt;/ruby&gt;&lt;br&gt;&lt;div class=""audio""&gt;[sound:めんせつ.mp3]&lt;/div&gt;")</f>
        <v>&lt;ruby&gt;面接&lt;rt&gt;めんせつ&lt;/rt&gt;&lt;/ruby&gt;&lt;br&gt;&lt;div class="audio"&gt;[sound:めんせつ.mp3]&lt;/div&gt;</v>
      </c>
      <c r="H3759" s="3" t="str">
        <f t="shared" si="1"/>
        <v>(n): phỏng vấn</v>
      </c>
      <c r="I3759" s="6" t="s">
        <v>20516</v>
      </c>
      <c r="J3759" s="6" t="s">
        <v>20517</v>
      </c>
      <c r="K3759" s="7">
        <f t="shared" si="2"/>
        <v>0.3350995291</v>
      </c>
    </row>
    <row r="3760">
      <c r="A3760" s="4">
        <v>3760.0</v>
      </c>
      <c r="B3760" s="5" t="s">
        <v>20518</v>
      </c>
      <c r="C3760" s="5" t="s">
        <v>20519</v>
      </c>
      <c r="D3760" s="5" t="s">
        <v>20520</v>
      </c>
      <c r="E3760" s="6" t="s">
        <v>74</v>
      </c>
      <c r="F3760" s="6" t="s">
        <v>20521</v>
      </c>
      <c r="G3760" s="3" t="str">
        <f>IFERROR(__xludf.DUMMYFUNCTION("REGEXREPLACE(
D3760,
""([一-龯々]+)\[([^\]]+)\]"",
""&lt;ruby&gt;$1&lt;rt&gt;$2&lt;/rt&gt;&lt;/ruby&gt;""
)&amp;""&lt;br&gt;&lt;div class=""""audio""""&gt;[sound:""&amp;C3760&amp;"".mp3]&lt;/div&gt;"""),"&lt;ruby&gt;陸&lt;rt&gt;りく&lt;/rt&gt;&lt;/ruby&gt;&lt;br&gt;&lt;div class=""audio""&gt;[sound:りく.mp3]&lt;/div&gt;")</f>
        <v>&lt;ruby&gt;陸&lt;rt&gt;りく&lt;/rt&gt;&lt;/ruby&gt;&lt;br&gt;&lt;div class="audio"&gt;[sound:りく.mp3]&lt;/div&gt;</v>
      </c>
      <c r="H3760" s="3" t="str">
        <f t="shared" si="1"/>
        <v>(n): đất liền</v>
      </c>
      <c r="I3760" s="6" t="s">
        <v>20522</v>
      </c>
      <c r="J3760" s="6" t="s">
        <v>20523</v>
      </c>
      <c r="K3760" s="7">
        <f t="shared" si="2"/>
        <v>0.11300267</v>
      </c>
    </row>
    <row r="3761">
      <c r="A3761" s="4">
        <v>3761.0</v>
      </c>
      <c r="B3761" s="5" t="s">
        <v>20524</v>
      </c>
      <c r="C3761" s="5" t="s">
        <v>20525</v>
      </c>
      <c r="D3761" s="5" t="s">
        <v>20526</v>
      </c>
      <c r="E3761" s="6" t="s">
        <v>24</v>
      </c>
      <c r="F3761" s="6" t="s">
        <v>20527</v>
      </c>
      <c r="G3761" s="3" t="str">
        <f>IFERROR(__xludf.DUMMYFUNCTION("REGEXREPLACE(
D3761,
""([一-龯々]+)\[([^\]]+)\]"",
""&lt;ruby&gt;$1&lt;rt&gt;$2&lt;/rt&gt;&lt;/ruby&gt;""
)&amp;""&lt;br&gt;&lt;div class=""""audio""""&gt;[sound:""&amp;C3761&amp;"".mp3]&lt;/div&gt;"""),"&lt;ruby&gt;黙&lt;rt&gt;だま&lt;/rt&gt;&lt;/ruby&gt;る&lt;br&gt;&lt;div class=""audio""&gt;[sound:だまる.mp3]&lt;/div&gt;")</f>
        <v>&lt;ruby&gt;黙&lt;rt&gt;だま&lt;/rt&gt;&lt;/ruby&gt;る&lt;br&gt;&lt;div class="audio"&gt;[sound:だまる.mp3]&lt;/div&gt;</v>
      </c>
      <c r="H3761" s="3" t="str">
        <f t="shared" si="1"/>
        <v>(v): im lặng</v>
      </c>
      <c r="I3761" s="6" t="s">
        <v>20528</v>
      </c>
      <c r="J3761" s="6" t="s">
        <v>20529</v>
      </c>
      <c r="K3761" s="7">
        <f t="shared" si="2"/>
        <v>0.1318156674</v>
      </c>
    </row>
    <row r="3762">
      <c r="A3762" s="4">
        <v>3762.0</v>
      </c>
      <c r="B3762" s="5" t="s">
        <v>20530</v>
      </c>
      <c r="C3762" s="5" t="s">
        <v>20531</v>
      </c>
      <c r="D3762" s="5" t="s">
        <v>20532</v>
      </c>
      <c r="E3762" s="6" t="s">
        <v>74</v>
      </c>
      <c r="F3762" s="6" t="s">
        <v>2680</v>
      </c>
      <c r="G3762" s="3" t="str">
        <f>IFERROR(__xludf.DUMMYFUNCTION("REGEXREPLACE(
D3762,
""([一-龯々]+)\[([^\]]+)\]"",
""&lt;ruby&gt;$1&lt;rt&gt;$2&lt;/rt&gt;&lt;/ruby&gt;""
)&amp;""&lt;br&gt;&lt;div class=""""audio""""&gt;[sound:""&amp;C3762&amp;"".mp3]&lt;/div&gt;"""),"&lt;ruby&gt;首都&lt;rt&gt;しゅと&lt;/rt&gt;&lt;/ruby&gt;&lt;br&gt;&lt;div class=""audio""&gt;[sound:しゅと.mp3]&lt;/div&gt;")</f>
        <v>&lt;ruby&gt;首都&lt;rt&gt;しゅと&lt;/rt&gt;&lt;/ruby&gt;&lt;br&gt;&lt;div class="audio"&gt;[sound:しゅと.mp3]&lt;/div&gt;</v>
      </c>
      <c r="H3762" s="3" t="str">
        <f t="shared" si="1"/>
        <v>(n): thủ đô</v>
      </c>
      <c r="I3762" s="6" t="s">
        <v>20533</v>
      </c>
      <c r="J3762" s="6" t="s">
        <v>20534</v>
      </c>
      <c r="K3762" s="7">
        <f t="shared" si="2"/>
        <v>0.3040614124</v>
      </c>
    </row>
    <row r="3763">
      <c r="A3763" s="4">
        <v>3763.0</v>
      </c>
      <c r="B3763" s="5" t="s">
        <v>20535</v>
      </c>
      <c r="C3763" s="5" t="s">
        <v>20536</v>
      </c>
      <c r="D3763" s="5" t="s">
        <v>20537</v>
      </c>
      <c r="E3763" s="6" t="s">
        <v>24</v>
      </c>
      <c r="F3763" s="6" t="s">
        <v>20538</v>
      </c>
      <c r="G3763" s="3" t="str">
        <f>IFERROR(__xludf.DUMMYFUNCTION("REGEXREPLACE(
D3763,
""([一-龯々]+)\[([^\]]+)\]"",
""&lt;ruby&gt;$1&lt;rt&gt;$2&lt;/rt&gt;&lt;/ruby&gt;""
)&amp;""&lt;br&gt;&lt;div class=""""audio""""&gt;[sound:""&amp;C3763&amp;"".mp3]&lt;/div&gt;"""),"&lt;ruby&gt;響&lt;rt&gt;ひび&lt;/rt&gt;&lt;/ruby&gt;く&lt;br&gt;&lt;div class=""audio""&gt;[sound:ひびく.mp3]&lt;/div&gt;")</f>
        <v>&lt;ruby&gt;響&lt;rt&gt;ひび&lt;/rt&gt;&lt;/ruby&gt;く&lt;br&gt;&lt;div class="audio"&gt;[sound:ひびく.mp3]&lt;/div&gt;</v>
      </c>
      <c r="H3763" s="3" t="str">
        <f t="shared" si="1"/>
        <v>(v): vang vọng</v>
      </c>
      <c r="I3763" s="6" t="s">
        <v>20539</v>
      </c>
      <c r="J3763" s="6" t="s">
        <v>20540</v>
      </c>
      <c r="K3763" s="7">
        <f t="shared" si="2"/>
        <v>0.5952370607</v>
      </c>
    </row>
    <row r="3764">
      <c r="A3764" s="4">
        <v>3764.0</v>
      </c>
      <c r="B3764" s="5" t="s">
        <v>20541</v>
      </c>
      <c r="C3764" s="5" t="s">
        <v>8516</v>
      </c>
      <c r="D3764" s="5" t="s">
        <v>20542</v>
      </c>
      <c r="E3764" s="6" t="s">
        <v>74</v>
      </c>
      <c r="F3764" s="6" t="s">
        <v>20543</v>
      </c>
      <c r="G3764" s="3" t="str">
        <f>IFERROR(__xludf.DUMMYFUNCTION("REGEXREPLACE(
D3764,
""([一-龯々]+)\[([^\]]+)\]"",
""&lt;ruby&gt;$1&lt;rt&gt;$2&lt;/rt&gt;&lt;/ruby&gt;""
)&amp;""&lt;br&gt;&lt;div class=""""audio""""&gt;[sound:""&amp;C3764&amp;"".mp3]&lt;/div&gt;"""),"&lt;ruby&gt;無視&lt;rt&gt;むし&lt;/rt&gt;&lt;/ruby&gt;&lt;br&gt;&lt;div class=""audio""&gt;[sound:むし.mp3]&lt;/div&gt;")</f>
        <v>&lt;ruby&gt;無視&lt;rt&gt;むし&lt;/rt&gt;&lt;/ruby&gt;&lt;br&gt;&lt;div class="audio"&gt;[sound:むし.mp3]&lt;/div&gt;</v>
      </c>
      <c r="H3764" s="3" t="str">
        <f t="shared" si="1"/>
        <v>(n): phớt lờ</v>
      </c>
      <c r="I3764" s="6" t="s">
        <v>20544</v>
      </c>
      <c r="J3764" s="6" t="s">
        <v>20545</v>
      </c>
      <c r="K3764" s="7">
        <f t="shared" si="2"/>
        <v>0.02681026541</v>
      </c>
    </row>
    <row r="3765">
      <c r="A3765" s="4">
        <v>3765.0</v>
      </c>
      <c r="B3765" s="5" t="s">
        <v>20546</v>
      </c>
      <c r="C3765" s="5" t="s">
        <v>20547</v>
      </c>
      <c r="D3765" s="5" t="s">
        <v>20548</v>
      </c>
      <c r="E3765" s="6" t="s">
        <v>74</v>
      </c>
      <c r="F3765" s="6" t="s">
        <v>6722</v>
      </c>
      <c r="G3765" s="3" t="str">
        <f>IFERROR(__xludf.DUMMYFUNCTION("REGEXREPLACE(
D3765,
""([一-龯々]+)\[([^\]]+)\]"",
""&lt;ruby&gt;$1&lt;rt&gt;$2&lt;/rt&gt;&lt;/ruby&gt;""
)&amp;""&lt;br&gt;&lt;div class=""""audio""""&gt;[sound:""&amp;C3765&amp;"".mp3]&lt;/div&gt;"""),"&lt;ruby&gt;優勝&lt;rt&gt;ゆうしょう&lt;/rt&gt;&lt;/ruby&gt;&lt;br&gt;&lt;div class=""audio""&gt;[sound:ゆうしょう.mp3]&lt;/div&gt;")</f>
        <v>&lt;ruby&gt;優勝&lt;rt&gt;ゆうしょう&lt;/rt&gt;&lt;/ruby&gt;&lt;br&gt;&lt;div class="audio"&gt;[sound:ゆうしょう.mp3]&lt;/div&gt;</v>
      </c>
      <c r="H3765" s="3" t="str">
        <f t="shared" si="1"/>
        <v>(n): chiến thắng</v>
      </c>
      <c r="I3765" s="6" t="s">
        <v>20549</v>
      </c>
      <c r="J3765" s="6" t="s">
        <v>20550</v>
      </c>
      <c r="K3765" s="7">
        <f t="shared" si="2"/>
        <v>0.1611570049</v>
      </c>
    </row>
    <row r="3766">
      <c r="A3766" s="4">
        <v>3766.0</v>
      </c>
      <c r="B3766" s="5" t="s">
        <v>20551</v>
      </c>
      <c r="C3766" s="5" t="s">
        <v>20179</v>
      </c>
      <c r="D3766" s="5" t="s">
        <v>20552</v>
      </c>
      <c r="E3766" s="6" t="s">
        <v>74</v>
      </c>
      <c r="F3766" s="6" t="s">
        <v>20553</v>
      </c>
      <c r="G3766" s="3" t="str">
        <f>IFERROR(__xludf.DUMMYFUNCTION("REGEXREPLACE(
D3766,
""([一-龯々]+)\[([^\]]+)\]"",
""&lt;ruby&gt;$1&lt;rt&gt;$2&lt;/rt&gt;&lt;/ruby&gt;""
)&amp;""&lt;br&gt;&lt;div class=""""audio""""&gt;[sound:""&amp;C3766&amp;"".mp3]&lt;/div&gt;"""),"&lt;ruby&gt;志望&lt;rt&gt;しぼう&lt;/rt&gt;&lt;/ruby&gt;&lt;br&gt;&lt;div class=""audio""&gt;[sound:しぼう.mp3]&lt;/div&gt;")</f>
        <v>&lt;ruby&gt;志望&lt;rt&gt;しぼう&lt;/rt&gt;&lt;/ruby&gt;&lt;br&gt;&lt;div class="audio"&gt;[sound:しぼう.mp3]&lt;/div&gt;</v>
      </c>
      <c r="H3766" s="3" t="str">
        <f t="shared" si="1"/>
        <v>(n): nguyện vọng</v>
      </c>
      <c r="I3766" s="6" t="s">
        <v>20554</v>
      </c>
      <c r="J3766" s="6" t="s">
        <v>20555</v>
      </c>
      <c r="K3766" s="7">
        <f t="shared" si="2"/>
        <v>0.1472608714</v>
      </c>
    </row>
    <row r="3767">
      <c r="A3767" s="4">
        <v>3767.0</v>
      </c>
      <c r="B3767" s="5" t="s">
        <v>20556</v>
      </c>
      <c r="C3767" s="5" t="s">
        <v>20557</v>
      </c>
      <c r="D3767" s="5" t="s">
        <v>20558</v>
      </c>
      <c r="E3767" s="6" t="s">
        <v>74</v>
      </c>
      <c r="F3767" s="6" t="s">
        <v>20559</v>
      </c>
      <c r="G3767" s="3" t="str">
        <f>IFERROR(__xludf.DUMMYFUNCTION("REGEXREPLACE(
D3767,
""([一-龯々]+)\[([^\]]+)\]"",
""&lt;ruby&gt;$1&lt;rt&gt;$2&lt;/rt&gt;&lt;/ruby&gt;""
)&amp;""&lt;br&gt;&lt;div class=""""audio""""&gt;[sound:""&amp;C3767&amp;"".mp3]&lt;/div&gt;"""),"&lt;ruby&gt;電力&lt;rt&gt;でんりょく&lt;/rt&gt;&lt;/ruby&gt;&lt;br&gt;&lt;div class=""audio""&gt;[sound:でんりょく.mp3]&lt;/div&gt;")</f>
        <v>&lt;ruby&gt;電力&lt;rt&gt;でんりょく&lt;/rt&gt;&lt;/ruby&gt;&lt;br&gt;&lt;div class="audio"&gt;[sound:でんりょく.mp3]&lt;/div&gt;</v>
      </c>
      <c r="H3767" s="3" t="str">
        <f t="shared" si="1"/>
        <v>(n): điện lực</v>
      </c>
      <c r="I3767" s="6" t="s">
        <v>20560</v>
      </c>
      <c r="J3767" s="6" t="s">
        <v>20561</v>
      </c>
      <c r="K3767" s="7">
        <f t="shared" si="2"/>
        <v>0.5825453496</v>
      </c>
    </row>
    <row r="3768">
      <c r="A3768" s="4">
        <v>3768.0</v>
      </c>
      <c r="B3768" s="5" t="s">
        <v>20562</v>
      </c>
      <c r="C3768" s="5" t="s">
        <v>20563</v>
      </c>
      <c r="D3768" s="5" t="s">
        <v>20564</v>
      </c>
      <c r="E3768" s="6" t="s">
        <v>74</v>
      </c>
      <c r="F3768" s="6" t="s">
        <v>20565</v>
      </c>
      <c r="G3768" s="3" t="str">
        <f>IFERROR(__xludf.DUMMYFUNCTION("REGEXREPLACE(
D3768,
""([一-龯々]+)\[([^\]]+)\]"",
""&lt;ruby&gt;$1&lt;rt&gt;$2&lt;/rt&gt;&lt;/ruby&gt;""
)&amp;""&lt;br&gt;&lt;div class=""""audio""""&gt;[sound:""&amp;C3768&amp;"".mp3]&lt;/div&gt;"""),"&lt;ruby&gt;誇&lt;rt&gt;ほこ&lt;/rt&gt;&lt;/ruby&gt;り&lt;br&gt;&lt;div class=""audio""&gt;[sound:ほこり.mp3]&lt;/div&gt;")</f>
        <v>&lt;ruby&gt;誇&lt;rt&gt;ほこ&lt;/rt&gt;&lt;/ruby&gt;り&lt;br&gt;&lt;div class="audio"&gt;[sound:ほこり.mp3]&lt;/div&gt;</v>
      </c>
      <c r="H3768" s="3" t="str">
        <f t="shared" si="1"/>
        <v>(n): niềm tự hào</v>
      </c>
      <c r="I3768" s="6" t="s">
        <v>20566</v>
      </c>
      <c r="J3768" s="6" t="s">
        <v>20567</v>
      </c>
      <c r="K3768" s="7">
        <f t="shared" si="2"/>
        <v>0.6728965589</v>
      </c>
    </row>
    <row r="3769">
      <c r="A3769" s="4">
        <v>3769.0</v>
      </c>
      <c r="B3769" s="5" t="s">
        <v>20568</v>
      </c>
      <c r="C3769" s="5" t="s">
        <v>20569</v>
      </c>
      <c r="D3769" s="5" t="s">
        <v>20570</v>
      </c>
      <c r="E3769" s="6" t="s">
        <v>74</v>
      </c>
      <c r="F3769" s="6" t="s">
        <v>20571</v>
      </c>
      <c r="G3769" s="3" t="str">
        <f>IFERROR(__xludf.DUMMYFUNCTION("REGEXREPLACE(
D3769,
""([一-龯々]+)\[([^\]]+)\]"",
""&lt;ruby&gt;$1&lt;rt&gt;$2&lt;/rt&gt;&lt;/ruby&gt;""
)&amp;""&lt;br&gt;&lt;div class=""""audio""""&gt;[sound:""&amp;C3769&amp;"".mp3]&lt;/div&gt;"""),"&lt;ruby&gt;便&lt;rt&gt;びん&lt;/rt&gt;&lt;/ruby&gt;&lt;br&gt;&lt;div class=""audio""&gt;[sound:びん.mp3]&lt;/div&gt;")</f>
        <v>&lt;ruby&gt;便&lt;rt&gt;びん&lt;/rt&gt;&lt;/ruby&gt;&lt;br&gt;&lt;div class="audio"&gt;[sound:びん.mp3]&lt;/div&gt;</v>
      </c>
      <c r="H3769" s="3" t="str">
        <f t="shared" si="1"/>
        <v>(n): chuyến bay</v>
      </c>
      <c r="I3769" s="6" t="s">
        <v>20572</v>
      </c>
      <c r="J3769" s="6" t="s">
        <v>20573</v>
      </c>
      <c r="K3769" s="7">
        <f t="shared" si="2"/>
        <v>0.7613457367</v>
      </c>
    </row>
    <row r="3770">
      <c r="A3770" s="4">
        <v>3770.0</v>
      </c>
      <c r="B3770" s="5" t="s">
        <v>20574</v>
      </c>
      <c r="C3770" s="5" t="s">
        <v>20575</v>
      </c>
      <c r="D3770" s="5" t="s">
        <v>20576</v>
      </c>
      <c r="E3770" s="6" t="s">
        <v>74</v>
      </c>
      <c r="F3770" s="6" t="s">
        <v>20577</v>
      </c>
      <c r="G3770" s="3" t="str">
        <f>IFERROR(__xludf.DUMMYFUNCTION("REGEXREPLACE(
D3770,
""([一-龯々]+)\[([^\]]+)\]"",
""&lt;ruby&gt;$1&lt;rt&gt;$2&lt;/rt&gt;&lt;/ruby&gt;""
)&amp;""&lt;br&gt;&lt;div class=""""audio""""&gt;[sound:""&amp;C3770&amp;"".mp3]&lt;/div&gt;"""),"&lt;ruby&gt;解放&lt;rt&gt;かいほう&lt;/rt&gt;&lt;/ruby&gt;&lt;br&gt;&lt;div class=""audio""&gt;[sound:かいほう.mp3]&lt;/div&gt;")</f>
        <v>&lt;ruby&gt;解放&lt;rt&gt;かいほう&lt;/rt&gt;&lt;/ruby&gt;&lt;br&gt;&lt;div class="audio"&gt;[sound:かいほう.mp3]&lt;/div&gt;</v>
      </c>
      <c r="H3770" s="3" t="str">
        <f t="shared" si="1"/>
        <v>(n): giải phóng</v>
      </c>
      <c r="I3770" s="6" t="s">
        <v>20578</v>
      </c>
      <c r="J3770" s="6" t="s">
        <v>20579</v>
      </c>
      <c r="K3770" s="7">
        <f t="shared" si="2"/>
        <v>0.6313445688</v>
      </c>
    </row>
    <row r="3771">
      <c r="A3771" s="4">
        <v>3771.0</v>
      </c>
      <c r="B3771" s="5" t="s">
        <v>20580</v>
      </c>
      <c r="C3771" s="5" t="s">
        <v>20581</v>
      </c>
      <c r="D3771" s="5" t="s">
        <v>20580</v>
      </c>
      <c r="E3771" s="6" t="s">
        <v>74</v>
      </c>
      <c r="F3771" s="6" t="s">
        <v>20582</v>
      </c>
      <c r="G3771" s="3" t="str">
        <f>IFERROR(__xludf.DUMMYFUNCTION("REGEXREPLACE(
D3771,
""([一-龯々]+)\[([^\]]+)\]"",
""&lt;ruby&gt;$1&lt;rt&gt;$2&lt;/rt&gt;&lt;/ruby&gt;""
)&amp;""&lt;br&gt;&lt;div class=""""audio""""&gt;[sound:""&amp;C3771&amp;"".mp3]&lt;/div&gt;"""),"ネックレス&lt;br&gt;&lt;div class=""audio""&gt;[sound:ねっくれす.mp3]&lt;/div&gt;")</f>
        <v>ネックレス&lt;br&gt;&lt;div class="audio"&gt;[sound:ねっくれす.mp3]&lt;/div&gt;</v>
      </c>
      <c r="H3771" s="3" t="str">
        <f t="shared" si="1"/>
        <v>(n): vòng cổ</v>
      </c>
      <c r="I3771" s="6" t="s">
        <v>20583</v>
      </c>
      <c r="J3771" s="6" t="s">
        <v>20584</v>
      </c>
      <c r="K3771" s="7">
        <f t="shared" si="2"/>
        <v>0.9704412697</v>
      </c>
    </row>
    <row r="3772">
      <c r="A3772" s="4">
        <v>3772.0</v>
      </c>
      <c r="B3772" s="5" t="s">
        <v>20585</v>
      </c>
      <c r="C3772" s="5" t="s">
        <v>20586</v>
      </c>
      <c r="D3772" s="5" t="s">
        <v>20587</v>
      </c>
      <c r="E3772" s="6" t="s">
        <v>74</v>
      </c>
      <c r="F3772" s="6" t="s">
        <v>20588</v>
      </c>
      <c r="G3772" s="3" t="str">
        <f>IFERROR(__xludf.DUMMYFUNCTION("REGEXREPLACE(
D3772,
""([一-龯々]+)\[([^\]]+)\]"",
""&lt;ruby&gt;$1&lt;rt&gt;$2&lt;/rt&gt;&lt;/ruby&gt;""
)&amp;""&lt;br&gt;&lt;div class=""""audio""""&gt;[sound:""&amp;C3772&amp;"".mp3]&lt;/div&gt;"""),"&lt;ruby&gt;後悔&lt;rt&gt;こうかい&lt;/rt&gt;&lt;/ruby&gt;&lt;br&gt;&lt;div class=""audio""&gt;[sound:こうかい.mp3]&lt;/div&gt;")</f>
        <v>&lt;ruby&gt;後悔&lt;rt&gt;こうかい&lt;/rt&gt;&lt;/ruby&gt;&lt;br&gt;&lt;div class="audio"&gt;[sound:こうかい.mp3]&lt;/div&gt;</v>
      </c>
      <c r="H3772" s="3" t="str">
        <f t="shared" si="1"/>
        <v>(n): hối hận</v>
      </c>
      <c r="I3772" s="6" t="s">
        <v>20589</v>
      </c>
      <c r="J3772" s="6" t="s">
        <v>20590</v>
      </c>
      <c r="K3772" s="7">
        <f t="shared" si="2"/>
        <v>0.4659055255</v>
      </c>
    </row>
    <row r="3773">
      <c r="A3773" s="4">
        <v>3773.0</v>
      </c>
      <c r="B3773" s="5" t="s">
        <v>20591</v>
      </c>
      <c r="C3773" s="5" t="s">
        <v>778</v>
      </c>
      <c r="D3773" s="5" t="s">
        <v>20592</v>
      </c>
      <c r="E3773" s="6" t="s">
        <v>24</v>
      </c>
      <c r="F3773" s="6" t="s">
        <v>7984</v>
      </c>
      <c r="G3773" s="3" t="str">
        <f>IFERROR(__xludf.DUMMYFUNCTION("REGEXREPLACE(
D3773,
""([一-龯々]+)\[([^\]]+)\]"",
""&lt;ruby&gt;$1&lt;rt&gt;$2&lt;/rt&gt;&lt;/ruby&gt;""
)&amp;""&lt;br&gt;&lt;div class=""""audio""""&gt;[sound:""&amp;C3773&amp;"".mp3]&lt;/div&gt;"""),"&lt;ruby&gt;突&lt;rt&gt;つ&lt;/rt&gt;&lt;/ruby&gt;く&lt;br&gt;&lt;div class=""audio""&gt;[sound:つく.mp3]&lt;/div&gt;")</f>
        <v>&lt;ruby&gt;突&lt;rt&gt;つ&lt;/rt&gt;&lt;/ruby&gt;く&lt;br&gt;&lt;div class="audio"&gt;[sound:つく.mp3]&lt;/div&gt;</v>
      </c>
      <c r="H3773" s="3" t="str">
        <f t="shared" si="1"/>
        <v>(v): đâm</v>
      </c>
      <c r="I3773" s="6" t="s">
        <v>20593</v>
      </c>
      <c r="J3773" s="6" t="s">
        <v>20594</v>
      </c>
      <c r="K3773" s="7">
        <f t="shared" si="2"/>
        <v>0.9688658378</v>
      </c>
    </row>
    <row r="3774">
      <c r="A3774" s="4">
        <v>3774.0</v>
      </c>
      <c r="B3774" s="5" t="s">
        <v>20595</v>
      </c>
      <c r="C3774" s="5" t="s">
        <v>20596</v>
      </c>
      <c r="D3774" s="5" t="s">
        <v>20597</v>
      </c>
      <c r="E3774" s="6" t="s">
        <v>74</v>
      </c>
      <c r="F3774" s="6" t="s">
        <v>20598</v>
      </c>
      <c r="G3774" s="3" t="str">
        <f>IFERROR(__xludf.DUMMYFUNCTION("REGEXREPLACE(
D3774,
""([一-龯々]+)\[([^\]]+)\]"",
""&lt;ruby&gt;$1&lt;rt&gt;$2&lt;/rt&gt;&lt;/ruby&gt;""
)&amp;""&lt;br&gt;&lt;div class=""""audio""""&gt;[sound:""&amp;C3774&amp;"".mp3]&lt;/div&gt;"""),"&lt;ruby&gt;喫茶店&lt;rt&gt;きっさてん&lt;/rt&gt;&lt;/ruby&gt;&lt;br&gt;&lt;div class=""audio""&gt;[sound:きっさてん.mp3]&lt;/div&gt;")</f>
        <v>&lt;ruby&gt;喫茶店&lt;rt&gt;きっさてん&lt;/rt&gt;&lt;/ruby&gt;&lt;br&gt;&lt;div class="audio"&gt;[sound:きっさてん.mp3]&lt;/div&gt;</v>
      </c>
      <c r="H3774" s="3" t="str">
        <f t="shared" si="1"/>
        <v>(n): quán cà phê</v>
      </c>
      <c r="I3774" s="6" t="s">
        <v>20599</v>
      </c>
      <c r="J3774" s="6" t="s">
        <v>20600</v>
      </c>
      <c r="K3774" s="7">
        <f t="shared" si="2"/>
        <v>0.1501316325</v>
      </c>
    </row>
    <row r="3775">
      <c r="A3775" s="4">
        <v>3775.0</v>
      </c>
      <c r="B3775" s="5" t="s">
        <v>20601</v>
      </c>
      <c r="C3775" s="5" t="s">
        <v>20602</v>
      </c>
      <c r="D3775" s="5" t="s">
        <v>20603</v>
      </c>
      <c r="E3775" s="6" t="s">
        <v>24</v>
      </c>
      <c r="F3775" s="6" t="s">
        <v>9027</v>
      </c>
      <c r="G3775" s="3" t="str">
        <f>IFERROR(__xludf.DUMMYFUNCTION("REGEXREPLACE(
D3775,
""([一-龯々]+)\[([^\]]+)\]"",
""&lt;ruby&gt;$1&lt;rt&gt;$2&lt;/rt&gt;&lt;/ruby&gt;""
)&amp;""&lt;br&gt;&lt;div class=""""audio""""&gt;[sound:""&amp;C3775&amp;"".mp3]&lt;/div&gt;"""),"&lt;ruby&gt;可愛&lt;rt&gt;かわい&lt;/rt&gt;&lt;/ruby&gt;がる&lt;br&gt;&lt;div class=""audio""&gt;[sound:かわいがる.mp3]&lt;/div&gt;")</f>
        <v>&lt;ruby&gt;可愛&lt;rt&gt;かわい&lt;/rt&gt;&lt;/ruby&gt;がる&lt;br&gt;&lt;div class="audio"&gt;[sound:かわいがる.mp3]&lt;/div&gt;</v>
      </c>
      <c r="H3775" s="3" t="str">
        <f t="shared" si="1"/>
        <v>(v): yêu thương</v>
      </c>
      <c r="I3775" s="6" t="s">
        <v>20604</v>
      </c>
      <c r="J3775" s="6" t="s">
        <v>20605</v>
      </c>
      <c r="K3775" s="7">
        <f t="shared" si="2"/>
        <v>0.3508521251</v>
      </c>
    </row>
    <row r="3776">
      <c r="A3776" s="4">
        <v>3776.0</v>
      </c>
      <c r="B3776" s="5" t="s">
        <v>20606</v>
      </c>
      <c r="C3776" s="5" t="s">
        <v>20607</v>
      </c>
      <c r="D3776" s="5" t="s">
        <v>20608</v>
      </c>
      <c r="E3776" s="6" t="s">
        <v>24</v>
      </c>
      <c r="F3776" s="6" t="s">
        <v>20609</v>
      </c>
      <c r="G3776" s="3" t="str">
        <f>IFERROR(__xludf.DUMMYFUNCTION("REGEXREPLACE(
D3776,
""([一-龯々]+)\[([^\]]+)\]"",
""&lt;ruby&gt;$1&lt;rt&gt;$2&lt;/rt&gt;&lt;/ruby&gt;""
)&amp;""&lt;br&gt;&lt;div class=""""audio""""&gt;[sound:""&amp;C3776&amp;"".mp3]&lt;/div&gt;"""),"&lt;ruby&gt;見上&lt;rt&gt;みあ&lt;/rt&gt;&lt;/ruby&gt;げる&lt;br&gt;&lt;div class=""audio""&gt;[sound:みあげる.mp3]&lt;/div&gt;")</f>
        <v>&lt;ruby&gt;見上&lt;rt&gt;みあ&lt;/rt&gt;&lt;/ruby&gt;げる&lt;br&gt;&lt;div class="audio"&gt;[sound:みあげる.mp3]&lt;/div&gt;</v>
      </c>
      <c r="H3776" s="3" t="str">
        <f t="shared" si="1"/>
        <v>(v): ngước lên</v>
      </c>
      <c r="I3776" s="6" t="s">
        <v>20610</v>
      </c>
      <c r="J3776" s="6" t="s">
        <v>20611</v>
      </c>
      <c r="K3776" s="7">
        <f t="shared" si="2"/>
        <v>0.1957102842</v>
      </c>
    </row>
    <row r="3777">
      <c r="A3777" s="4">
        <v>3777.0</v>
      </c>
      <c r="B3777" s="5" t="s">
        <v>20612</v>
      </c>
      <c r="C3777" s="5" t="s">
        <v>20613</v>
      </c>
      <c r="D3777" s="5" t="s">
        <v>20614</v>
      </c>
      <c r="E3777" s="6" t="s">
        <v>24</v>
      </c>
      <c r="F3777" s="6" t="s">
        <v>20615</v>
      </c>
      <c r="G3777" s="3" t="str">
        <f>IFERROR(__xludf.DUMMYFUNCTION("REGEXREPLACE(
D3777,
""([一-龯々]+)\[([^\]]+)\]"",
""&lt;ruby&gt;$1&lt;rt&gt;$2&lt;/rt&gt;&lt;/ruby&gt;""
)&amp;""&lt;br&gt;&lt;div class=""""audio""""&gt;[sound:""&amp;C3777&amp;"".mp3]&lt;/div&gt;"""),"&lt;ruby&gt;兼&lt;rt&gt;か&lt;/rt&gt;&lt;/ruby&gt;ねる&lt;br&gt;&lt;div class=""audio""&gt;[sound:かねる.mp3]&lt;/div&gt;")</f>
        <v>&lt;ruby&gt;兼&lt;rt&gt;か&lt;/rt&gt;&lt;/ruby&gt;ねる&lt;br&gt;&lt;div class="audio"&gt;[sound:かねる.mp3]&lt;/div&gt;</v>
      </c>
      <c r="H3777" s="3" t="str">
        <f t="shared" si="1"/>
        <v>(v): kiêm nhiệm</v>
      </c>
      <c r="I3777" s="6" t="s">
        <v>20616</v>
      </c>
      <c r="J3777" s="6" t="s">
        <v>20617</v>
      </c>
      <c r="K3777" s="7">
        <f t="shared" si="2"/>
        <v>0.02245719202</v>
      </c>
    </row>
    <row r="3778">
      <c r="A3778" s="4">
        <v>3778.0</v>
      </c>
      <c r="B3778" s="5" t="s">
        <v>20618</v>
      </c>
      <c r="C3778" s="5" t="s">
        <v>20619</v>
      </c>
      <c r="D3778" s="5" t="s">
        <v>20620</v>
      </c>
      <c r="E3778" s="6" t="s">
        <v>11</v>
      </c>
      <c r="F3778" s="6" t="s">
        <v>20621</v>
      </c>
      <c r="G3778" s="3" t="str">
        <f>IFERROR(__xludf.DUMMYFUNCTION("REGEXREPLACE(
D3778,
""([一-龯々]+)\[([^\]]+)\]"",
""&lt;ruby&gt;$1&lt;rt&gt;$2&lt;/rt&gt;&lt;/ruby&gt;""
)&amp;""&lt;br&gt;&lt;div class=""""audio""""&gt;[sound:""&amp;C3778&amp;"".mp3]&lt;/div&gt;"""),"&lt;ruby&gt;純粋&lt;rt&gt;じゅんすい&lt;/rt&gt;&lt;/ruby&gt;&lt;br&gt;&lt;div class=""audio""&gt;[sound:じゅんすい.mp3]&lt;/div&gt;")</f>
        <v>&lt;ruby&gt;純粋&lt;rt&gt;じゅんすい&lt;/rt&gt;&lt;/ruby&gt;&lt;br&gt;&lt;div class="audio"&gt;[sound:じゅんすい.mp3]&lt;/div&gt;</v>
      </c>
      <c r="H3778" s="3" t="str">
        <f t="shared" si="1"/>
        <v>(adj): trong sáng</v>
      </c>
      <c r="I3778" s="6" t="s">
        <v>20622</v>
      </c>
      <c r="J3778" s="6" t="s">
        <v>20623</v>
      </c>
      <c r="K3778" s="7">
        <f t="shared" si="2"/>
        <v>0.8731313261</v>
      </c>
    </row>
    <row r="3779">
      <c r="A3779" s="4">
        <v>3779.0</v>
      </c>
      <c r="B3779" s="5" t="s">
        <v>20624</v>
      </c>
      <c r="C3779" s="5" t="s">
        <v>20625</v>
      </c>
      <c r="D3779" s="5" t="s">
        <v>20626</v>
      </c>
      <c r="E3779" s="6" t="s">
        <v>24</v>
      </c>
      <c r="F3779" s="6" t="s">
        <v>20627</v>
      </c>
      <c r="G3779" s="3" t="str">
        <f>IFERROR(__xludf.DUMMYFUNCTION("REGEXREPLACE(
D3779,
""([一-龯々]+)\[([^\]]+)\]"",
""&lt;ruby&gt;$1&lt;rt&gt;$2&lt;/rt&gt;&lt;/ruby&gt;""
)&amp;""&lt;br&gt;&lt;div class=""""audio""""&gt;[sound:""&amp;C3779&amp;"".mp3]&lt;/div&gt;"""),"&lt;ruby&gt;隠&lt;rt&gt;かく&lt;/rt&gt;&lt;/ruby&gt;す&lt;br&gt;&lt;div class=""audio""&gt;[sound:かくす.mp3]&lt;/div&gt;")</f>
        <v>&lt;ruby&gt;隠&lt;rt&gt;かく&lt;/rt&gt;&lt;/ruby&gt;す&lt;br&gt;&lt;div class="audio"&gt;[sound:かくす.mp3]&lt;/div&gt;</v>
      </c>
      <c r="H3779" s="3" t="str">
        <f t="shared" si="1"/>
        <v>(v): che giấu</v>
      </c>
      <c r="I3779" s="6" t="s">
        <v>20628</v>
      </c>
      <c r="J3779" s="6" t="s">
        <v>20629</v>
      </c>
      <c r="K3779" s="7">
        <f t="shared" si="2"/>
        <v>0.7153640003</v>
      </c>
    </row>
    <row r="3780">
      <c r="A3780" s="4">
        <v>3780.0</v>
      </c>
      <c r="B3780" s="5" t="s">
        <v>20630</v>
      </c>
      <c r="C3780" s="5" t="s">
        <v>20631</v>
      </c>
      <c r="D3780" s="5" t="s">
        <v>20632</v>
      </c>
      <c r="E3780" s="6" t="s">
        <v>74</v>
      </c>
      <c r="F3780" s="6" t="s">
        <v>20633</v>
      </c>
      <c r="G3780" s="3" t="str">
        <f>IFERROR(__xludf.DUMMYFUNCTION("REGEXREPLACE(
D3780,
""([一-龯々]+)\[([^\]]+)\]"",
""&lt;ruby&gt;$1&lt;rt&gt;$2&lt;/rt&gt;&lt;/ruby&gt;""
)&amp;""&lt;br&gt;&lt;div class=""""audio""""&gt;[sound:""&amp;C3780&amp;"".mp3]&lt;/div&gt;"""),"&lt;ruby&gt;祝日&lt;rt&gt;しゅくじつ&lt;/rt&gt;&lt;/ruby&gt;&lt;br&gt;&lt;div class=""audio""&gt;[sound:しゅくじつ.mp3]&lt;/div&gt;")</f>
        <v>&lt;ruby&gt;祝日&lt;rt&gt;しゅくじつ&lt;/rt&gt;&lt;/ruby&gt;&lt;br&gt;&lt;div class="audio"&gt;[sound:しゅくじつ.mp3]&lt;/div&gt;</v>
      </c>
      <c r="H3780" s="3" t="str">
        <f t="shared" si="1"/>
        <v>(n): ngày lễ</v>
      </c>
      <c r="I3780" s="6" t="s">
        <v>20634</v>
      </c>
      <c r="J3780" s="6" t="s">
        <v>20635</v>
      </c>
      <c r="K3780" s="7">
        <f t="shared" si="2"/>
        <v>0.2253775285</v>
      </c>
    </row>
    <row r="3781">
      <c r="A3781" s="4">
        <v>3781.0</v>
      </c>
      <c r="B3781" s="5" t="s">
        <v>20636</v>
      </c>
      <c r="C3781" s="5" t="s">
        <v>20637</v>
      </c>
      <c r="D3781" s="5" t="s">
        <v>20638</v>
      </c>
      <c r="E3781" s="6" t="s">
        <v>74</v>
      </c>
      <c r="F3781" s="6" t="s">
        <v>20639</v>
      </c>
      <c r="G3781" s="3" t="str">
        <f>IFERROR(__xludf.DUMMYFUNCTION("REGEXREPLACE(
D3781,
""([一-龯々]+)\[([^\]]+)\]"",
""&lt;ruby&gt;$1&lt;rt&gt;$2&lt;/rt&gt;&lt;/ruby&gt;""
)&amp;""&lt;br&gt;&lt;div class=""""audio""""&gt;[sound:""&amp;C3781&amp;"".mp3]&lt;/div&gt;"""),"&lt;ruby&gt;幼児&lt;rt&gt;ようじ&lt;/rt&gt;&lt;/ruby&gt;&lt;br&gt;&lt;div class=""audio""&gt;[sound:ようじ.mp3]&lt;/div&gt;")</f>
        <v>&lt;ruby&gt;幼児&lt;rt&gt;ようじ&lt;/rt&gt;&lt;/ruby&gt;&lt;br&gt;&lt;div class="audio"&gt;[sound:ようじ.mp3]&lt;/div&gt;</v>
      </c>
      <c r="H3781" s="3" t="str">
        <f t="shared" si="1"/>
        <v>(n): trẻ em</v>
      </c>
      <c r="I3781" s="6" t="s">
        <v>20640</v>
      </c>
      <c r="J3781" s="6" t="s">
        <v>20641</v>
      </c>
      <c r="K3781" s="7">
        <f t="shared" si="2"/>
        <v>0.3762182947</v>
      </c>
    </row>
    <row r="3782">
      <c r="A3782" s="4">
        <v>3782.0</v>
      </c>
      <c r="B3782" s="5" t="s">
        <v>20642</v>
      </c>
      <c r="C3782" s="5" t="s">
        <v>20643</v>
      </c>
      <c r="D3782" s="5" t="s">
        <v>20644</v>
      </c>
      <c r="E3782" s="6" t="s">
        <v>74</v>
      </c>
      <c r="F3782" s="6" t="s">
        <v>20645</v>
      </c>
      <c r="G3782" s="3" t="str">
        <f>IFERROR(__xludf.DUMMYFUNCTION("REGEXREPLACE(
D3782,
""([一-龯々]+)\[([^\]]+)\]"",
""&lt;ruby&gt;$1&lt;rt&gt;$2&lt;/rt&gt;&lt;/ruby&gt;""
)&amp;""&lt;br&gt;&lt;div class=""""audio""""&gt;[sound:""&amp;C3782&amp;"".mp3]&lt;/div&gt;"""),"&lt;ruby&gt;順番&lt;rt&gt;じゅんばん&lt;/rt&gt;&lt;/ruby&gt;&lt;br&gt;&lt;div class=""audio""&gt;[sound:じゅんばん.mp3]&lt;/div&gt;")</f>
        <v>&lt;ruby&gt;順番&lt;rt&gt;じゅんばん&lt;/rt&gt;&lt;/ruby&gt;&lt;br&gt;&lt;div class="audio"&gt;[sound:じゅんばん.mp3]&lt;/div&gt;</v>
      </c>
      <c r="H3782" s="3" t="str">
        <f t="shared" si="1"/>
        <v>(n): lượt</v>
      </c>
      <c r="I3782" s="6" t="s">
        <v>20646</v>
      </c>
      <c r="J3782" s="6" t="s">
        <v>20647</v>
      </c>
      <c r="K3782" s="7">
        <f t="shared" si="2"/>
        <v>0.601686349</v>
      </c>
    </row>
    <row r="3783">
      <c r="A3783" s="4">
        <v>3783.0</v>
      </c>
      <c r="B3783" s="5" t="s">
        <v>20648</v>
      </c>
      <c r="C3783" s="5" t="s">
        <v>20649</v>
      </c>
      <c r="D3783" s="5" t="s">
        <v>20650</v>
      </c>
      <c r="E3783" s="6" t="s">
        <v>85</v>
      </c>
      <c r="F3783" s="6" t="s">
        <v>604</v>
      </c>
      <c r="G3783" s="3" t="str">
        <f>IFERROR(__xludf.DUMMYFUNCTION("REGEXREPLACE(
D3783,
""([一-龯々]+)\[([^\]]+)\]"",
""&lt;ruby&gt;$1&lt;rt&gt;$2&lt;/rt&gt;&lt;/ruby&gt;""
)&amp;""&lt;br&gt;&lt;div class=""""audio""""&gt;[sound:""&amp;C3783&amp;"".mp3]&lt;/div&gt;"""),"&lt;ruby&gt;随分&lt;rt&gt;ずいぶん&lt;/rt&gt;&lt;/ruby&gt;&lt;br&gt;&lt;div class=""audio""&gt;[sound:ずいぶん.mp3]&lt;/div&gt;")</f>
        <v>&lt;ruby&gt;随分&lt;rt&gt;ずいぶん&lt;/rt&gt;&lt;/ruby&gt;&lt;br&gt;&lt;div class="audio"&gt;[sound:ずいぶん.mp3]&lt;/div&gt;</v>
      </c>
      <c r="H3783" s="3" t="str">
        <f t="shared" si="1"/>
        <v>(adv): rất</v>
      </c>
      <c r="I3783" s="6" t="s">
        <v>20651</v>
      </c>
      <c r="J3783" s="6" t="s">
        <v>20652</v>
      </c>
      <c r="K3783" s="7">
        <f t="shared" si="2"/>
        <v>0.5148433382</v>
      </c>
    </row>
    <row r="3784">
      <c r="A3784" s="4">
        <v>3784.0</v>
      </c>
      <c r="B3784" s="5" t="s">
        <v>20653</v>
      </c>
      <c r="C3784" s="5" t="s">
        <v>20654</v>
      </c>
      <c r="D3784" s="5" t="s">
        <v>20655</v>
      </c>
      <c r="E3784" s="6" t="s">
        <v>74</v>
      </c>
      <c r="F3784" s="6" t="s">
        <v>20656</v>
      </c>
      <c r="G3784" s="3" t="str">
        <f>IFERROR(__xludf.DUMMYFUNCTION("REGEXREPLACE(
D3784,
""([一-龯々]+)\[([^\]]+)\]"",
""&lt;ruby&gt;$1&lt;rt&gt;$2&lt;/rt&gt;&lt;/ruby&gt;""
)&amp;""&lt;br&gt;&lt;div class=""""audio""""&gt;[sound:""&amp;C3784&amp;"".mp3]&lt;/div&gt;"""),"&lt;ruby&gt;勝負&lt;rt&gt;しょうぶ&lt;/rt&gt;&lt;/ruby&gt;&lt;br&gt;&lt;div class=""audio""&gt;[sound:しょうぶ.mp3]&lt;/div&gt;")</f>
        <v>&lt;ruby&gt;勝負&lt;rt&gt;しょうぶ&lt;/rt&gt;&lt;/ruby&gt;&lt;br&gt;&lt;div class="audio"&gt;[sound:しょうぶ.mp3]&lt;/div&gt;</v>
      </c>
      <c r="H3784" s="3" t="str">
        <f t="shared" si="1"/>
        <v>(n): thắng thua</v>
      </c>
      <c r="I3784" s="6" t="s">
        <v>20657</v>
      </c>
      <c r="J3784" s="6" t="s">
        <v>20658</v>
      </c>
      <c r="K3784" s="7">
        <f t="shared" si="2"/>
        <v>0.3199200509</v>
      </c>
    </row>
    <row r="3785">
      <c r="A3785" s="4">
        <v>3785.0</v>
      </c>
      <c r="B3785" s="5" t="s">
        <v>20659</v>
      </c>
      <c r="C3785" s="5" t="s">
        <v>20660</v>
      </c>
      <c r="D3785" s="5" t="s">
        <v>20661</v>
      </c>
      <c r="E3785" s="6" t="s">
        <v>74</v>
      </c>
      <c r="F3785" s="6" t="s">
        <v>20662</v>
      </c>
      <c r="G3785" s="3" t="str">
        <f>IFERROR(__xludf.DUMMYFUNCTION("REGEXREPLACE(
D3785,
""([一-龯々]+)\[([^\]]+)\]"",
""&lt;ruby&gt;$1&lt;rt&gt;$2&lt;/rt&gt;&lt;/ruby&gt;""
)&amp;""&lt;br&gt;&lt;div class=""""audio""""&gt;[sound:""&amp;C3785&amp;"".mp3]&lt;/div&gt;"""),"&lt;ruby&gt;屋上&lt;rt&gt;おくじょう&lt;/rt&gt;&lt;/ruby&gt;&lt;br&gt;&lt;div class=""audio""&gt;[sound:おくじょう.mp3]&lt;/div&gt;")</f>
        <v>&lt;ruby&gt;屋上&lt;rt&gt;おくじょう&lt;/rt&gt;&lt;/ruby&gt;&lt;br&gt;&lt;div class="audio"&gt;[sound:おくじょう.mp3]&lt;/div&gt;</v>
      </c>
      <c r="H3785" s="3" t="str">
        <f t="shared" si="1"/>
        <v>(n): sân thượng</v>
      </c>
      <c r="I3785" s="6" t="s">
        <v>20663</v>
      </c>
      <c r="J3785" s="6" t="s">
        <v>20664</v>
      </c>
      <c r="K3785" s="7">
        <f t="shared" si="2"/>
        <v>0.7623276567</v>
      </c>
    </row>
    <row r="3786">
      <c r="A3786" s="4">
        <v>3786.0</v>
      </c>
      <c r="B3786" s="5" t="s">
        <v>20665</v>
      </c>
      <c r="C3786" s="5" t="s">
        <v>5444</v>
      </c>
      <c r="D3786" s="5" t="s">
        <v>20666</v>
      </c>
      <c r="E3786" s="6" t="s">
        <v>24</v>
      </c>
      <c r="F3786" s="6" t="s">
        <v>20667</v>
      </c>
      <c r="G3786" s="3" t="str">
        <f>IFERROR(__xludf.DUMMYFUNCTION("REGEXREPLACE(
D3786,
""([一-龯々]+)\[([^\]]+)\]"",
""&lt;ruby&gt;$1&lt;rt&gt;$2&lt;/rt&gt;&lt;/ruby&gt;""
)&amp;""&lt;br&gt;&lt;div class=""""audio""""&gt;[sound:""&amp;C3786&amp;"".mp3]&lt;/div&gt;"""),"&lt;ruby&gt;映&lt;rt&gt;うつ&lt;/rt&gt;&lt;/ruby&gt;る&lt;br&gt;&lt;div class=""audio""&gt;[sound:うつる.mp3]&lt;/div&gt;")</f>
        <v>&lt;ruby&gt;映&lt;rt&gt;うつ&lt;/rt&gt;&lt;/ruby&gt;る&lt;br&gt;&lt;div class="audio"&gt;[sound:うつる.mp3]&lt;/div&gt;</v>
      </c>
      <c r="H3786" s="3" t="str">
        <f t="shared" si="1"/>
        <v>(v): phản chiếu</v>
      </c>
      <c r="I3786" s="6" t="s">
        <v>20668</v>
      </c>
      <c r="J3786" s="6" t="s">
        <v>20669</v>
      </c>
      <c r="K3786" s="7">
        <f t="shared" si="2"/>
        <v>0.8590078139</v>
      </c>
    </row>
    <row r="3787">
      <c r="A3787" s="4">
        <v>3787.0</v>
      </c>
      <c r="B3787" s="5" t="s">
        <v>20670</v>
      </c>
      <c r="C3787" s="5" t="s">
        <v>20671</v>
      </c>
      <c r="D3787" s="5" t="s">
        <v>20672</v>
      </c>
      <c r="E3787" s="6" t="s">
        <v>11</v>
      </c>
      <c r="F3787" s="6" t="s">
        <v>20673</v>
      </c>
      <c r="G3787" s="3" t="str">
        <f>IFERROR(__xludf.DUMMYFUNCTION("REGEXREPLACE(
D3787,
""([一-龯々]+)\[([^\]]+)\]"",
""&lt;ruby&gt;$1&lt;rt&gt;$2&lt;/rt&gt;&lt;/ruby&gt;""
)&amp;""&lt;br&gt;&lt;div class=""""audio""""&gt;[sound:""&amp;C3787&amp;"".mp3]&lt;/div&gt;"""),"&lt;ruby&gt;憎&lt;rt&gt;にく&lt;/rt&gt;&lt;/ruby&gt;い&lt;br&gt;&lt;div class=""audio""&gt;[sound:にくい.mp3]&lt;/div&gt;")</f>
        <v>&lt;ruby&gt;憎&lt;rt&gt;にく&lt;/rt&gt;&lt;/ruby&gt;い&lt;br&gt;&lt;div class="audio"&gt;[sound:にくい.mp3]&lt;/div&gt;</v>
      </c>
      <c r="H3787" s="3" t="str">
        <f t="shared" si="1"/>
        <v>(adj): đáng ghét</v>
      </c>
      <c r="I3787" s="6" t="s">
        <v>20674</v>
      </c>
      <c r="J3787" s="6" t="s">
        <v>20675</v>
      </c>
      <c r="K3787" s="7">
        <f t="shared" si="2"/>
        <v>0.03987153812</v>
      </c>
    </row>
    <row r="3788">
      <c r="A3788" s="4">
        <v>3788.0</v>
      </c>
      <c r="B3788" s="5" t="s">
        <v>20676</v>
      </c>
      <c r="C3788" s="5" t="s">
        <v>20677</v>
      </c>
      <c r="D3788" s="5" t="s">
        <v>20678</v>
      </c>
      <c r="E3788" s="6" t="s">
        <v>74</v>
      </c>
      <c r="F3788" s="6" t="s">
        <v>20679</v>
      </c>
      <c r="G3788" s="3" t="str">
        <f>IFERROR(__xludf.DUMMYFUNCTION("REGEXREPLACE(
D3788,
""([一-龯々]+)\[([^\]]+)\]"",
""&lt;ruby&gt;$1&lt;rt&gt;$2&lt;/rt&gt;&lt;/ruby&gt;""
)&amp;""&lt;br&gt;&lt;div class=""""audio""""&gt;[sound:""&amp;C3788&amp;"".mp3]&lt;/div&gt;"""),"&lt;ruby&gt;興奮&lt;rt&gt;こうふん&lt;/rt&gt;&lt;/ruby&gt;&lt;br&gt;&lt;div class=""audio""&gt;[sound:こうふん.mp3]&lt;/div&gt;")</f>
        <v>&lt;ruby&gt;興奮&lt;rt&gt;こうふん&lt;/rt&gt;&lt;/ruby&gt;&lt;br&gt;&lt;div class="audio"&gt;[sound:こうふん.mp3]&lt;/div&gt;</v>
      </c>
      <c r="H3788" s="3" t="str">
        <f t="shared" si="1"/>
        <v>(n): hưng phấn</v>
      </c>
      <c r="I3788" s="6" t="s">
        <v>20680</v>
      </c>
      <c r="J3788" s="6" t="s">
        <v>20681</v>
      </c>
      <c r="K3788" s="7">
        <f t="shared" si="2"/>
        <v>0.4421712589</v>
      </c>
    </row>
    <row r="3789">
      <c r="A3789" s="4">
        <v>3789.0</v>
      </c>
      <c r="B3789" s="5" t="s">
        <v>20682</v>
      </c>
      <c r="C3789" s="5" t="s">
        <v>20683</v>
      </c>
      <c r="D3789" s="5" t="s">
        <v>20684</v>
      </c>
      <c r="E3789" s="6" t="s">
        <v>74</v>
      </c>
      <c r="F3789" s="6" t="s">
        <v>20685</v>
      </c>
      <c r="G3789" s="3" t="str">
        <f>IFERROR(__xludf.DUMMYFUNCTION("REGEXREPLACE(
D3789,
""([一-龯々]+)\[([^\]]+)\]"",
""&lt;ruby&gt;$1&lt;rt&gt;$2&lt;/rt&gt;&lt;/ruby&gt;""
)&amp;""&lt;br&gt;&lt;div class=""""audio""""&gt;[sound:""&amp;C3789&amp;"".mp3]&lt;/div&gt;"""),"&lt;ruby&gt;引退&lt;rt&gt;いんたい&lt;/rt&gt;&lt;/ruby&gt;&lt;br&gt;&lt;div class=""audio""&gt;[sound:いんたい.mp3]&lt;/div&gt;")</f>
        <v>&lt;ruby&gt;引退&lt;rt&gt;いんたい&lt;/rt&gt;&lt;/ruby&gt;&lt;br&gt;&lt;div class="audio"&gt;[sound:いんたい.mp3]&lt;/div&gt;</v>
      </c>
      <c r="H3789" s="3" t="str">
        <f t="shared" si="1"/>
        <v>(n): nghỉ hưu</v>
      </c>
      <c r="I3789" s="6" t="s">
        <v>20686</v>
      </c>
      <c r="J3789" s="6" t="s">
        <v>20687</v>
      </c>
      <c r="K3789" s="7">
        <f t="shared" si="2"/>
        <v>0.6341029012</v>
      </c>
    </row>
    <row r="3790">
      <c r="A3790" s="4">
        <v>3790.0</v>
      </c>
      <c r="B3790" s="5" t="s">
        <v>20688</v>
      </c>
      <c r="C3790" s="5" t="s">
        <v>20689</v>
      </c>
      <c r="D3790" s="5" t="s">
        <v>20690</v>
      </c>
      <c r="E3790" s="6" t="s">
        <v>24</v>
      </c>
      <c r="F3790" s="6" t="s">
        <v>20691</v>
      </c>
      <c r="G3790" s="3" t="str">
        <f>IFERROR(__xludf.DUMMYFUNCTION("REGEXREPLACE(
D3790,
""([一-龯々]+)\[([^\]]+)\]"",
""&lt;ruby&gt;$1&lt;rt&gt;$2&lt;/rt&gt;&lt;/ruby&gt;""
)&amp;""&lt;br&gt;&lt;div class=""""audio""""&gt;[sound:""&amp;C3790&amp;"".mp3]&lt;/div&gt;"""),"&lt;ruby&gt;浮&lt;rt&gt;うか&lt;/rt&gt;&lt;/ruby&gt;ぶ&lt;br&gt;&lt;div class=""audio""&gt;[sound:うかぶ.mp3]&lt;/div&gt;")</f>
        <v>&lt;ruby&gt;浮&lt;rt&gt;うか&lt;/rt&gt;&lt;/ruby&gt;ぶ&lt;br&gt;&lt;div class="audio"&gt;[sound:うかぶ.mp3]&lt;/div&gt;</v>
      </c>
      <c r="H3790" s="3" t="str">
        <f t="shared" si="1"/>
        <v>(v): hiện ra</v>
      </c>
      <c r="I3790" s="6" t="s">
        <v>20692</v>
      </c>
      <c r="J3790" s="6" t="s">
        <v>20693</v>
      </c>
      <c r="K3790" s="7">
        <f t="shared" si="2"/>
        <v>0.5802208845</v>
      </c>
    </row>
    <row r="3791">
      <c r="A3791" s="4">
        <v>3791.0</v>
      </c>
      <c r="B3791" s="5" t="s">
        <v>20694</v>
      </c>
      <c r="C3791" s="5" t="s">
        <v>20695</v>
      </c>
      <c r="D3791" s="5" t="s">
        <v>20696</v>
      </c>
      <c r="E3791" s="6" t="s">
        <v>74</v>
      </c>
      <c r="F3791" s="6" t="s">
        <v>20697</v>
      </c>
      <c r="G3791" s="3" t="str">
        <f>IFERROR(__xludf.DUMMYFUNCTION("REGEXREPLACE(
D3791,
""([一-龯々]+)\[([^\]]+)\]"",
""&lt;ruby&gt;$1&lt;rt&gt;$2&lt;/rt&gt;&lt;/ruby&gt;""
)&amp;""&lt;br&gt;&lt;div class=""""audio""""&gt;[sound:""&amp;C3791&amp;"".mp3]&lt;/div&gt;"""),"&lt;ruby&gt;出席&lt;rt&gt;しゅっせき&lt;/rt&gt;&lt;/ruby&gt;&lt;br&gt;&lt;div class=""audio""&gt;[sound:しゅっせき.mp3]&lt;/div&gt;")</f>
        <v>&lt;ruby&gt;出席&lt;rt&gt;しゅっせき&lt;/rt&gt;&lt;/ruby&gt;&lt;br&gt;&lt;div class="audio"&gt;[sound:しゅっせき.mp3]&lt;/div&gt;</v>
      </c>
      <c r="H3791" s="3" t="str">
        <f t="shared" si="1"/>
        <v>(n): có mặt</v>
      </c>
      <c r="I3791" s="6" t="s">
        <v>20698</v>
      </c>
      <c r="J3791" s="6" t="s">
        <v>20699</v>
      </c>
      <c r="K3791" s="7">
        <f t="shared" si="2"/>
        <v>0.8301531896</v>
      </c>
    </row>
    <row r="3792">
      <c r="A3792" s="4">
        <v>3792.0</v>
      </c>
      <c r="B3792" s="5" t="s">
        <v>20700</v>
      </c>
      <c r="C3792" s="5" t="s">
        <v>3101</v>
      </c>
      <c r="D3792" s="5" t="s">
        <v>20701</v>
      </c>
      <c r="E3792" s="6" t="s">
        <v>74</v>
      </c>
      <c r="F3792" s="6" t="s">
        <v>6545</v>
      </c>
      <c r="G3792" s="3" t="str">
        <f>IFERROR(__xludf.DUMMYFUNCTION("REGEXREPLACE(
D3792,
""([一-龯々]+)\[([^\]]+)\]"",
""&lt;ruby&gt;$1&lt;rt&gt;$2&lt;/rt&gt;&lt;/ruby&gt;""
)&amp;""&lt;br&gt;&lt;div class=""""audio""""&gt;[sound:""&amp;C3792&amp;"".mp3]&lt;/div&gt;"""),"&lt;ruby&gt;糸&lt;rt&gt;いと&lt;/rt&gt;&lt;/ruby&gt;&lt;br&gt;&lt;div class=""audio""&gt;[sound:いと.mp3]&lt;/div&gt;")</f>
        <v>&lt;ruby&gt;糸&lt;rt&gt;いと&lt;/rt&gt;&lt;/ruby&gt;&lt;br&gt;&lt;div class="audio"&gt;[sound:いと.mp3]&lt;/div&gt;</v>
      </c>
      <c r="H3792" s="3" t="str">
        <f t="shared" si="1"/>
        <v>(n): chỉ</v>
      </c>
      <c r="I3792" s="6" t="s">
        <v>20702</v>
      </c>
      <c r="J3792" s="6" t="s">
        <v>20703</v>
      </c>
      <c r="K3792" s="7">
        <f t="shared" si="2"/>
        <v>0.7632486794</v>
      </c>
    </row>
    <row r="3793">
      <c r="A3793" s="4">
        <v>3793.0</v>
      </c>
      <c r="B3793" s="5" t="s">
        <v>20704</v>
      </c>
      <c r="C3793" s="5" t="s">
        <v>15769</v>
      </c>
      <c r="D3793" s="5" t="s">
        <v>20705</v>
      </c>
      <c r="E3793" s="6" t="s">
        <v>74</v>
      </c>
      <c r="F3793" s="6" t="s">
        <v>20706</v>
      </c>
      <c r="G3793" s="3" t="str">
        <f>IFERROR(__xludf.DUMMYFUNCTION("REGEXREPLACE(
D3793,
""([一-龯々]+)\[([^\]]+)\]"",
""&lt;ruby&gt;$1&lt;rt&gt;$2&lt;/rt&gt;&lt;/ruby&gt;""
)&amp;""&lt;br&gt;&lt;div class=""""audio""""&gt;[sound:""&amp;C3793&amp;"".mp3]&lt;/div&gt;"""),"&lt;ruby&gt;政党&lt;rt&gt;せいとう&lt;/rt&gt;&lt;/ruby&gt;&lt;br&gt;&lt;div class=""audio""&gt;[sound:せいとう.mp3]&lt;/div&gt;")</f>
        <v>&lt;ruby&gt;政党&lt;rt&gt;せいとう&lt;/rt&gt;&lt;/ruby&gt;&lt;br&gt;&lt;div class="audio"&gt;[sound:せいとう.mp3]&lt;/div&gt;</v>
      </c>
      <c r="H3793" s="3" t="str">
        <f t="shared" si="1"/>
        <v>(n): chính đảng</v>
      </c>
      <c r="I3793" s="6" t="s">
        <v>20707</v>
      </c>
      <c r="J3793" s="6" t="s">
        <v>20708</v>
      </c>
      <c r="K3793" s="7">
        <f t="shared" si="2"/>
        <v>0.4890618849</v>
      </c>
    </row>
    <row r="3794">
      <c r="A3794" s="4">
        <v>3794.0</v>
      </c>
      <c r="B3794" s="5" t="s">
        <v>20709</v>
      </c>
      <c r="C3794" s="5" t="s">
        <v>20710</v>
      </c>
      <c r="D3794" s="5" t="s">
        <v>20711</v>
      </c>
      <c r="E3794" s="6" t="s">
        <v>74</v>
      </c>
      <c r="F3794" s="6" t="s">
        <v>8351</v>
      </c>
      <c r="G3794" s="3" t="str">
        <f>IFERROR(__xludf.DUMMYFUNCTION("REGEXREPLACE(
D3794,
""([一-龯々]+)\[([^\]]+)\]"",
""&lt;ruby&gt;$1&lt;rt&gt;$2&lt;/rt&gt;&lt;/ruby&gt;""
)&amp;""&lt;br&gt;&lt;div class=""""audio""""&gt;[sound:""&amp;C3794&amp;"".mp3]&lt;/div&gt;"""),"&lt;ruby&gt;芸能&lt;rt&gt;げいのう&lt;/rt&gt;&lt;/ruby&gt;&lt;br&gt;&lt;div class=""audio""&gt;[sound:げいのう.mp3]&lt;/div&gt;")</f>
        <v>&lt;ruby&gt;芸能&lt;rt&gt;げいのう&lt;/rt&gt;&lt;/ruby&gt;&lt;br&gt;&lt;div class="audio"&gt;[sound:げいのう.mp3]&lt;/div&gt;</v>
      </c>
      <c r="H3794" s="3" t="str">
        <f t="shared" si="1"/>
        <v>(n): nghệ thuật</v>
      </c>
      <c r="I3794" s="6" t="s">
        <v>20712</v>
      </c>
      <c r="J3794" s="6" t="s">
        <v>20713</v>
      </c>
      <c r="K3794" s="7">
        <f t="shared" si="2"/>
        <v>0.007798666815</v>
      </c>
    </row>
    <row r="3795">
      <c r="A3795" s="4">
        <v>3795.0</v>
      </c>
      <c r="B3795" s="5" t="s">
        <v>20714</v>
      </c>
      <c r="C3795" s="5" t="s">
        <v>14131</v>
      </c>
      <c r="D3795" s="5" t="s">
        <v>20715</v>
      </c>
      <c r="E3795" s="6" t="s">
        <v>74</v>
      </c>
      <c r="F3795" s="6" t="s">
        <v>20716</v>
      </c>
      <c r="G3795" s="3" t="str">
        <f>IFERROR(__xludf.DUMMYFUNCTION("REGEXREPLACE(
D3795,
""([一-龯々]+)\[([^\]]+)\]"",
""&lt;ruby&gt;$1&lt;rt&gt;$2&lt;/rt&gt;&lt;/ruby&gt;""
)&amp;""&lt;br&gt;&lt;div class=""""audio""""&gt;[sound:""&amp;C3795&amp;"".mp3]&lt;/div&gt;"""),"&lt;ruby&gt;補償&lt;rt&gt;ほしょう&lt;/rt&gt;&lt;/ruby&gt;&lt;br&gt;&lt;div class=""audio""&gt;[sound:ほしょう.mp3]&lt;/div&gt;")</f>
        <v>&lt;ruby&gt;補償&lt;rt&gt;ほしょう&lt;/rt&gt;&lt;/ruby&gt;&lt;br&gt;&lt;div class="audio"&gt;[sound:ほしょう.mp3]&lt;/div&gt;</v>
      </c>
      <c r="H3795" s="3" t="str">
        <f t="shared" si="1"/>
        <v>(n): bồi thường</v>
      </c>
      <c r="I3795" s="6" t="s">
        <v>20717</v>
      </c>
      <c r="J3795" s="6" t="s">
        <v>18886</v>
      </c>
      <c r="K3795" s="7">
        <f t="shared" si="2"/>
        <v>0.4431286564</v>
      </c>
    </row>
    <row r="3796">
      <c r="A3796" s="4">
        <v>3796.0</v>
      </c>
      <c r="B3796" s="5" t="s">
        <v>20718</v>
      </c>
      <c r="C3796" s="5" t="s">
        <v>20719</v>
      </c>
      <c r="D3796" s="5" t="s">
        <v>20720</v>
      </c>
      <c r="E3796" s="6" t="s">
        <v>74</v>
      </c>
      <c r="F3796" s="6" t="s">
        <v>1868</v>
      </c>
      <c r="G3796" s="3" t="str">
        <f>IFERROR(__xludf.DUMMYFUNCTION("REGEXREPLACE(
D3796,
""([一-龯々]+)\[([^\]]+)\]"",
""&lt;ruby&gt;$1&lt;rt&gt;$2&lt;/rt&gt;&lt;/ruby&gt;""
)&amp;""&lt;br&gt;&lt;div class=""""audio""""&gt;[sound:""&amp;C3796&amp;"".mp3]&lt;/div&gt;"""),"&lt;ruby&gt;天候&lt;rt&gt;てんこう&lt;/rt&gt;&lt;/ruby&gt;&lt;br&gt;&lt;div class=""audio""&gt;[sound:てんこう.mp3]&lt;/div&gt;")</f>
        <v>&lt;ruby&gt;天候&lt;rt&gt;てんこう&lt;/rt&gt;&lt;/ruby&gt;&lt;br&gt;&lt;div class="audio"&gt;[sound:てんこう.mp3]&lt;/div&gt;</v>
      </c>
      <c r="H3796" s="3" t="str">
        <f t="shared" si="1"/>
        <v>(n): thời tiết</v>
      </c>
      <c r="I3796" s="6" t="s">
        <v>20721</v>
      </c>
      <c r="J3796" s="6" t="s">
        <v>20722</v>
      </c>
      <c r="K3796" s="7">
        <f t="shared" si="2"/>
        <v>0.9524567263</v>
      </c>
    </row>
    <row r="3797">
      <c r="A3797" s="4">
        <v>3797.0</v>
      </c>
      <c r="B3797" s="5" t="s">
        <v>20723</v>
      </c>
      <c r="C3797" s="5" t="s">
        <v>20724</v>
      </c>
      <c r="D3797" s="5" t="s">
        <v>20725</v>
      </c>
      <c r="E3797" s="6" t="s">
        <v>24</v>
      </c>
      <c r="F3797" s="6" t="s">
        <v>20726</v>
      </c>
      <c r="G3797" s="3" t="str">
        <f>IFERROR(__xludf.DUMMYFUNCTION("REGEXREPLACE(
D3797,
""([一-龯々]+)\[([^\]]+)\]"",
""&lt;ruby&gt;$1&lt;rt&gt;$2&lt;/rt&gt;&lt;/ruby&gt;""
)&amp;""&lt;br&gt;&lt;div class=""""audio""""&gt;[sound:""&amp;C3797&amp;"".mp3]&lt;/div&gt;"""),"&lt;ruby&gt;立&lt;rt&gt;た&lt;/rt&gt;&lt;/ruby&gt;ち&lt;ruby&gt;止&lt;rt&gt;ど&lt;/rt&gt;&lt;/ruby&gt;まる&lt;br&gt;&lt;div class=""audio""&gt;[sound:たちどまる.mp3]&lt;/div&gt;")</f>
        <v>&lt;ruby&gt;立&lt;rt&gt;た&lt;/rt&gt;&lt;/ruby&gt;ち&lt;ruby&gt;止&lt;rt&gt;ど&lt;/rt&gt;&lt;/ruby&gt;まる&lt;br&gt;&lt;div class="audio"&gt;[sound:たちどまる.mp3]&lt;/div&gt;</v>
      </c>
      <c r="H3797" s="3" t="str">
        <f t="shared" si="1"/>
        <v>(v): đứng lại</v>
      </c>
      <c r="I3797" s="6" t="s">
        <v>20727</v>
      </c>
      <c r="J3797" s="6" t="s">
        <v>20728</v>
      </c>
      <c r="K3797" s="7">
        <f t="shared" si="2"/>
        <v>0.8968455028</v>
      </c>
    </row>
    <row r="3798">
      <c r="A3798" s="4">
        <v>3798.0</v>
      </c>
      <c r="B3798" s="5" t="s">
        <v>20729</v>
      </c>
      <c r="C3798" s="5" t="s">
        <v>20730</v>
      </c>
      <c r="D3798" s="5" t="s">
        <v>20731</v>
      </c>
      <c r="E3798" s="6" t="s">
        <v>11</v>
      </c>
      <c r="F3798" s="6" t="s">
        <v>20732</v>
      </c>
      <c r="G3798" s="3" t="str">
        <f>IFERROR(__xludf.DUMMYFUNCTION("REGEXREPLACE(
D3798,
""([一-龯々]+)\[([^\]]+)\]"",
""&lt;ruby&gt;$1&lt;rt&gt;$2&lt;/rt&gt;&lt;/ruby&gt;""
)&amp;""&lt;br&gt;&lt;div class=""""audio""""&gt;[sound:""&amp;C3798&amp;"".mp3]&lt;/div&gt;"""),"&lt;ruby&gt;夢中&lt;rt&gt;むちゅう&lt;/rt&gt;&lt;/ruby&gt;&lt;br&gt;&lt;div class=""audio""&gt;[sound:むちゅう.mp3]&lt;/div&gt;")</f>
        <v>&lt;ruby&gt;夢中&lt;rt&gt;むちゅう&lt;/rt&gt;&lt;/ruby&gt;&lt;br&gt;&lt;div class="audio"&gt;[sound:むちゅう.mp3]&lt;/div&gt;</v>
      </c>
      <c r="H3798" s="3" t="str">
        <f t="shared" si="1"/>
        <v>(adj): say mê</v>
      </c>
      <c r="I3798" s="6" t="s">
        <v>20733</v>
      </c>
      <c r="J3798" s="6" t="s">
        <v>20734</v>
      </c>
      <c r="K3798" s="7">
        <f t="shared" si="2"/>
        <v>0.04326905774</v>
      </c>
    </row>
    <row r="3799">
      <c r="A3799" s="4">
        <v>3799.0</v>
      </c>
      <c r="B3799" s="5" t="s">
        <v>20735</v>
      </c>
      <c r="C3799" s="5" t="s">
        <v>20736</v>
      </c>
      <c r="D3799" s="5" t="s">
        <v>20737</v>
      </c>
      <c r="E3799" s="6" t="s">
        <v>11</v>
      </c>
      <c r="F3799" s="6" t="s">
        <v>20738</v>
      </c>
      <c r="G3799" s="3" t="str">
        <f>IFERROR(__xludf.DUMMYFUNCTION("REGEXREPLACE(
D3799,
""([一-龯々]+)\[([^\]]+)\]"",
""&lt;ruby&gt;$1&lt;rt&gt;$2&lt;/rt&gt;&lt;/ruby&gt;""
)&amp;""&lt;br&gt;&lt;div class=""""audio""""&gt;[sound:""&amp;C3799&amp;"".mp3]&lt;/div&gt;"""),"&lt;ruby&gt;涼&lt;rt&gt;すず&lt;/rt&gt;&lt;/ruby&gt;しい&lt;br&gt;&lt;div class=""audio""&gt;[sound:すずしい.mp3]&lt;/div&gt;")</f>
        <v>&lt;ruby&gt;涼&lt;rt&gt;すず&lt;/rt&gt;&lt;/ruby&gt;しい&lt;br&gt;&lt;div class="audio"&gt;[sound:すずしい.mp3]&lt;/div&gt;</v>
      </c>
      <c r="H3799" s="3" t="str">
        <f t="shared" si="1"/>
        <v>(adj): mát mẻ</v>
      </c>
      <c r="I3799" s="6" t="s">
        <v>20739</v>
      </c>
      <c r="J3799" s="6" t="s">
        <v>20740</v>
      </c>
      <c r="K3799" s="7">
        <f t="shared" si="2"/>
        <v>0.1903418989</v>
      </c>
    </row>
    <row r="3800">
      <c r="A3800" s="4">
        <v>3800.0</v>
      </c>
      <c r="B3800" s="5" t="s">
        <v>20741</v>
      </c>
      <c r="C3800" s="5" t="s">
        <v>20742</v>
      </c>
      <c r="D3800" s="5" t="s">
        <v>20743</v>
      </c>
      <c r="E3800" s="6" t="s">
        <v>74</v>
      </c>
      <c r="F3800" s="6" t="s">
        <v>20744</v>
      </c>
      <c r="G3800" s="3" t="str">
        <f>IFERROR(__xludf.DUMMYFUNCTION("REGEXREPLACE(
D3800,
""([一-龯々]+)\[([^\]]+)\]"",
""&lt;ruby&gt;$1&lt;rt&gt;$2&lt;/rt&gt;&lt;/ruby&gt;""
)&amp;""&lt;br&gt;&lt;div class=""""audio""""&gt;[sound:""&amp;C3800&amp;"".mp3]&lt;/div&gt;"""),"&lt;ruby&gt;天然&lt;rt&gt;てんねん&lt;/rt&gt;&lt;/ruby&gt;&lt;br&gt;&lt;div class=""audio""&gt;[sound:てんねん.mp3]&lt;/div&gt;")</f>
        <v>&lt;ruby&gt;天然&lt;rt&gt;てんねん&lt;/rt&gt;&lt;/ruby&gt;&lt;br&gt;&lt;div class="audio"&gt;[sound:てんねん.mp3]&lt;/div&gt;</v>
      </c>
      <c r="H3800" s="3" t="str">
        <f t="shared" si="1"/>
        <v>(n): thiên nhiên</v>
      </c>
      <c r="I3800" s="6" t="s">
        <v>20745</v>
      </c>
      <c r="J3800" s="6" t="s">
        <v>20746</v>
      </c>
      <c r="K3800" s="7">
        <f t="shared" si="2"/>
        <v>0.5351107851</v>
      </c>
    </row>
    <row r="3801">
      <c r="A3801" s="4">
        <v>3801.0</v>
      </c>
      <c r="B3801" s="5" t="s">
        <v>20747</v>
      </c>
      <c r="C3801" s="5" t="s">
        <v>20748</v>
      </c>
      <c r="D3801" s="5" t="s">
        <v>20749</v>
      </c>
      <c r="E3801" s="6" t="s">
        <v>74</v>
      </c>
      <c r="F3801" s="6" t="s">
        <v>20750</v>
      </c>
      <c r="G3801" s="3" t="str">
        <f>IFERROR(__xludf.DUMMYFUNCTION("REGEXREPLACE(
D3801,
""([一-龯々]+)\[([^\]]+)\]"",
""&lt;ruby&gt;$1&lt;rt&gt;$2&lt;/rt&gt;&lt;/ruby&gt;""
)&amp;""&lt;br&gt;&lt;div class=""""audio""""&gt;[sound:""&amp;C3801&amp;"".mp3]&lt;/div&gt;"""),"&lt;ruby&gt;家具&lt;rt&gt;かぐ&lt;/rt&gt;&lt;/ruby&gt;&lt;br&gt;&lt;div class=""audio""&gt;[sound:かぐ.mp3]&lt;/div&gt;")</f>
        <v>&lt;ruby&gt;家具&lt;rt&gt;かぐ&lt;/rt&gt;&lt;/ruby&gt;&lt;br&gt;&lt;div class="audio"&gt;[sound:かぐ.mp3]&lt;/div&gt;</v>
      </c>
      <c r="H3801" s="3" t="str">
        <f t="shared" si="1"/>
        <v>(n): đồ nội thất</v>
      </c>
      <c r="I3801" s="6" t="s">
        <v>20751</v>
      </c>
      <c r="J3801" s="6" t="s">
        <v>20752</v>
      </c>
      <c r="K3801" s="7">
        <f t="shared" si="2"/>
        <v>0.5383070124</v>
      </c>
    </row>
    <row r="3802">
      <c r="A3802" s="4">
        <v>3802.0</v>
      </c>
      <c r="B3802" s="5" t="s">
        <v>20753</v>
      </c>
      <c r="C3802" s="5" t="s">
        <v>20754</v>
      </c>
      <c r="D3802" s="5" t="s">
        <v>20755</v>
      </c>
      <c r="E3802" s="6" t="s">
        <v>74</v>
      </c>
      <c r="F3802" s="6" t="s">
        <v>20756</v>
      </c>
      <c r="G3802" s="3" t="str">
        <f>IFERROR(__xludf.DUMMYFUNCTION("REGEXREPLACE(
D3802,
""([一-龯々]+)\[([^\]]+)\]"",
""&lt;ruby&gt;$1&lt;rt&gt;$2&lt;/rt&gt;&lt;/ruby&gt;""
)&amp;""&lt;br&gt;&lt;div class=""""audio""""&gt;[sound:""&amp;C3802&amp;"".mp3]&lt;/div&gt;"""),"&lt;ruby&gt;谷&lt;rt&gt;たに&lt;/rt&gt;&lt;/ruby&gt;&lt;br&gt;&lt;div class=""audio""&gt;[sound:たに.mp3]&lt;/div&gt;")</f>
        <v>&lt;ruby&gt;谷&lt;rt&gt;たに&lt;/rt&gt;&lt;/ruby&gt;&lt;br&gt;&lt;div class="audio"&gt;[sound:たに.mp3]&lt;/div&gt;</v>
      </c>
      <c r="H3802" s="3" t="str">
        <f t="shared" si="1"/>
        <v>(n): thung lũng</v>
      </c>
      <c r="I3802" s="6" t="s">
        <v>20757</v>
      </c>
      <c r="J3802" s="6" t="s">
        <v>20758</v>
      </c>
      <c r="K3802" s="7">
        <f t="shared" si="2"/>
        <v>0.3578375465</v>
      </c>
    </row>
    <row r="3803">
      <c r="A3803" s="4">
        <v>3803.0</v>
      </c>
      <c r="B3803" s="5" t="s">
        <v>20759</v>
      </c>
      <c r="C3803" s="5" t="s">
        <v>20760</v>
      </c>
      <c r="D3803" s="5" t="s">
        <v>20761</v>
      </c>
      <c r="E3803" s="6" t="s">
        <v>24</v>
      </c>
      <c r="F3803" s="6" t="s">
        <v>20762</v>
      </c>
      <c r="G3803" s="3" t="str">
        <f>IFERROR(__xludf.DUMMYFUNCTION("REGEXREPLACE(
D3803,
""([一-龯々]+)\[([^\]]+)\]"",
""&lt;ruby&gt;$1&lt;rt&gt;$2&lt;/rt&gt;&lt;/ruby&gt;""
)&amp;""&lt;br&gt;&lt;div class=""""audio""""&gt;[sound:""&amp;C3803&amp;"".mp3]&lt;/div&gt;"""),"&lt;ruby&gt;怒鳴&lt;rt&gt;どな&lt;/rt&gt;&lt;/ruby&gt;る&lt;br&gt;&lt;div class=""audio""&gt;[sound:どなる.mp3]&lt;/div&gt;")</f>
        <v>&lt;ruby&gt;怒鳴&lt;rt&gt;どな&lt;/rt&gt;&lt;/ruby&gt;る&lt;br&gt;&lt;div class="audio"&gt;[sound:どなる.mp3]&lt;/div&gt;</v>
      </c>
      <c r="H3803" s="3" t="str">
        <f t="shared" si="1"/>
        <v>(v): gào thét</v>
      </c>
      <c r="I3803" s="6" t="s">
        <v>20763</v>
      </c>
      <c r="J3803" s="6" t="s">
        <v>20764</v>
      </c>
      <c r="K3803" s="7">
        <f t="shared" si="2"/>
        <v>0.3846849641</v>
      </c>
    </row>
    <row r="3804">
      <c r="A3804" s="4">
        <v>3804.0</v>
      </c>
      <c r="B3804" s="5" t="s">
        <v>20765</v>
      </c>
      <c r="C3804" s="5" t="s">
        <v>14108</v>
      </c>
      <c r="D3804" s="5" t="s">
        <v>20766</v>
      </c>
      <c r="E3804" s="6" t="s">
        <v>24</v>
      </c>
      <c r="F3804" s="6" t="s">
        <v>13462</v>
      </c>
      <c r="G3804" s="3" t="str">
        <f>IFERROR(__xludf.DUMMYFUNCTION("REGEXREPLACE(
D3804,
""([一-龯々]+)\[([^\]]+)\]"",
""&lt;ruby&gt;$1&lt;rt&gt;$2&lt;/rt&gt;&lt;/ruby&gt;""
)&amp;""&lt;br&gt;&lt;div class=""""audio""""&gt;[sound:""&amp;C3804&amp;"".mp3]&lt;/div&gt;"""),"&lt;ruby&gt;臨&lt;rt&gt;のぞ&lt;/rt&gt;&lt;/ruby&gt;む&lt;br&gt;&lt;div class=""audio""&gt;[sound:のぞむ.mp3]&lt;/div&gt;")</f>
        <v>&lt;ruby&gt;臨&lt;rt&gt;のぞ&lt;/rt&gt;&lt;/ruby&gt;む&lt;br&gt;&lt;div class="audio"&gt;[sound:のぞむ.mp3]&lt;/div&gt;</v>
      </c>
      <c r="H3804" s="3" t="str">
        <f t="shared" si="1"/>
        <v>(v): đối diện</v>
      </c>
      <c r="I3804" s="6" t="s">
        <v>20767</v>
      </c>
      <c r="J3804" s="6" t="s">
        <v>20768</v>
      </c>
      <c r="K3804" s="7">
        <f t="shared" si="2"/>
        <v>0.7366486875</v>
      </c>
    </row>
    <row r="3805">
      <c r="A3805" s="4">
        <v>3805.0</v>
      </c>
      <c r="B3805" s="5" t="s">
        <v>20769</v>
      </c>
      <c r="C3805" s="5" t="s">
        <v>20770</v>
      </c>
      <c r="D3805" s="5" t="s">
        <v>20771</v>
      </c>
      <c r="E3805" s="6" t="s">
        <v>24</v>
      </c>
      <c r="F3805" s="6" t="s">
        <v>20772</v>
      </c>
      <c r="G3805" s="3" t="str">
        <f>IFERROR(__xludf.DUMMYFUNCTION("REGEXREPLACE(
D3805,
""([一-龯々]+)\[([^\]]+)\]"",
""&lt;ruby&gt;$1&lt;rt&gt;$2&lt;/rt&gt;&lt;/ruby&gt;""
)&amp;""&lt;br&gt;&lt;div class=""""audio""""&gt;[sound:""&amp;C3805&amp;"".mp3]&lt;/div&gt;"""),"&lt;ruby&gt;挟&lt;rt&gt;はさ&lt;/rt&gt;&lt;/ruby&gt;まる&lt;br&gt;&lt;div class=""audio""&gt;[sound:はさまる.mp3]&lt;/div&gt;")</f>
        <v>&lt;ruby&gt;挟&lt;rt&gt;はさ&lt;/rt&gt;&lt;/ruby&gt;まる&lt;br&gt;&lt;div class="audio"&gt;[sound:はさまる.mp3]&lt;/div&gt;</v>
      </c>
      <c r="H3805" s="3" t="str">
        <f t="shared" si="1"/>
        <v>(v): bị kẹp</v>
      </c>
      <c r="I3805" s="6" t="s">
        <v>20773</v>
      </c>
      <c r="J3805" s="6" t="s">
        <v>20774</v>
      </c>
      <c r="K3805" s="7">
        <f t="shared" si="2"/>
        <v>0.1997682949</v>
      </c>
    </row>
    <row r="3806">
      <c r="A3806" s="4">
        <v>3806.0</v>
      </c>
      <c r="B3806" s="5" t="s">
        <v>20775</v>
      </c>
      <c r="C3806" s="5" t="s">
        <v>20776</v>
      </c>
      <c r="D3806" s="5" t="s">
        <v>20777</v>
      </c>
      <c r="E3806" s="6" t="s">
        <v>74</v>
      </c>
      <c r="F3806" s="6" t="s">
        <v>20778</v>
      </c>
      <c r="G3806" s="3" t="str">
        <f>IFERROR(__xludf.DUMMYFUNCTION("REGEXREPLACE(
D3806,
""([一-龯々]+)\[([^\]]+)\]"",
""&lt;ruby&gt;$1&lt;rt&gt;$2&lt;/rt&gt;&lt;/ruby&gt;""
)&amp;""&lt;br&gt;&lt;div class=""""audio""""&gt;[sound:""&amp;C3806&amp;"".mp3]&lt;/div&gt;"""),"&lt;ruby&gt;自治&lt;rt&gt;じち&lt;/rt&gt;&lt;/ruby&gt;&lt;br&gt;&lt;div class=""audio""&gt;[sound:じち.mp3]&lt;/div&gt;")</f>
        <v>&lt;ruby&gt;自治&lt;rt&gt;じち&lt;/rt&gt;&lt;/ruby&gt;&lt;br&gt;&lt;div class="audio"&gt;[sound:じち.mp3]&lt;/div&gt;</v>
      </c>
      <c r="H3806" s="3" t="str">
        <f t="shared" si="1"/>
        <v>(n): tự trị</v>
      </c>
      <c r="I3806" s="6" t="s">
        <v>20779</v>
      </c>
      <c r="J3806" s="6" t="s">
        <v>20780</v>
      </c>
      <c r="K3806" s="7">
        <f t="shared" si="2"/>
        <v>0.02257658853</v>
      </c>
    </row>
    <row r="3807">
      <c r="A3807" s="4">
        <v>3807.0</v>
      </c>
      <c r="B3807" s="5" t="s">
        <v>20781</v>
      </c>
      <c r="C3807" s="5" t="s">
        <v>20782</v>
      </c>
      <c r="D3807" s="5" t="s">
        <v>20783</v>
      </c>
      <c r="E3807" s="6" t="s">
        <v>85</v>
      </c>
      <c r="F3807" s="6" t="s">
        <v>5214</v>
      </c>
      <c r="G3807" s="3" t="str">
        <f>IFERROR(__xludf.DUMMYFUNCTION("REGEXREPLACE(
D3807,
""([一-龯々]+)\[([^\]]+)\]"",
""&lt;ruby&gt;$1&lt;rt&gt;$2&lt;/rt&gt;&lt;/ruby&gt;""
)&amp;""&lt;br&gt;&lt;div class=""""audio""""&gt;[sound:""&amp;C3807&amp;"".mp3]&lt;/div&gt;"""),"&lt;ruby&gt;大抵&lt;rt&gt;たいてい&lt;/rt&gt;&lt;/ruby&gt;&lt;br&gt;&lt;div class=""audio""&gt;[sound:たいてい.mp3]&lt;/div&gt;")</f>
        <v>&lt;ruby&gt;大抵&lt;rt&gt;たいてい&lt;/rt&gt;&lt;/ruby&gt;&lt;br&gt;&lt;div class="audio"&gt;[sound:たいてい.mp3]&lt;/div&gt;</v>
      </c>
      <c r="H3807" s="3" t="str">
        <f t="shared" si="1"/>
        <v>(adv): thông thường</v>
      </c>
      <c r="I3807" s="6" t="s">
        <v>20784</v>
      </c>
      <c r="J3807" s="6" t="s">
        <v>20785</v>
      </c>
      <c r="K3807" s="7">
        <f t="shared" si="2"/>
        <v>0.2324608264</v>
      </c>
    </row>
    <row r="3808">
      <c r="A3808" s="4">
        <v>3808.0</v>
      </c>
      <c r="B3808" s="5" t="s">
        <v>20786</v>
      </c>
      <c r="C3808" s="5" t="s">
        <v>20787</v>
      </c>
      <c r="D3808" s="5" t="s">
        <v>20788</v>
      </c>
      <c r="E3808" s="6" t="s">
        <v>74</v>
      </c>
      <c r="F3808" s="6" t="s">
        <v>7850</v>
      </c>
      <c r="G3808" s="3" t="str">
        <f>IFERROR(__xludf.DUMMYFUNCTION("REGEXREPLACE(
D3808,
""([一-龯々]+)\[([^\]]+)\]"",
""&lt;ruby&gt;$1&lt;rt&gt;$2&lt;/rt&gt;&lt;/ruby&gt;""
)&amp;""&lt;br&gt;&lt;div class=""""audio""""&gt;[sound:""&amp;C3808&amp;"".mp3]&lt;/div&gt;"""),"&lt;ruby&gt;区別&lt;rt&gt;くべつ&lt;/rt&gt;&lt;/ruby&gt;&lt;br&gt;&lt;div class=""audio""&gt;[sound:くべつ.mp3]&lt;/div&gt;")</f>
        <v>&lt;ruby&gt;区別&lt;rt&gt;くべつ&lt;/rt&gt;&lt;/ruby&gt;&lt;br&gt;&lt;div class="audio"&gt;[sound:くべつ.mp3]&lt;/div&gt;</v>
      </c>
      <c r="H3808" s="3" t="str">
        <f t="shared" si="1"/>
        <v>(n): phân biệt</v>
      </c>
      <c r="I3808" s="6" t="s">
        <v>20789</v>
      </c>
      <c r="J3808" s="6" t="s">
        <v>20790</v>
      </c>
      <c r="K3808" s="7">
        <f t="shared" si="2"/>
        <v>0.7675273889</v>
      </c>
    </row>
    <row r="3809">
      <c r="A3809" s="4">
        <v>3809.0</v>
      </c>
      <c r="B3809" s="5" t="s">
        <v>20791</v>
      </c>
      <c r="C3809" s="5" t="s">
        <v>20792</v>
      </c>
      <c r="D3809" s="5" t="s">
        <v>20793</v>
      </c>
      <c r="E3809" s="6" t="s">
        <v>74</v>
      </c>
      <c r="F3809" s="6" t="s">
        <v>8381</v>
      </c>
      <c r="G3809" s="3" t="str">
        <f>IFERROR(__xludf.DUMMYFUNCTION("REGEXREPLACE(
D3809,
""([一-龯々]+)\[([^\]]+)\]"",
""&lt;ruby&gt;$1&lt;rt&gt;$2&lt;/rt&gt;&lt;/ruby&gt;""
)&amp;""&lt;br&gt;&lt;div class=""""audio""""&gt;[sound:""&amp;C3809&amp;"".mp3]&lt;/div&gt;"""),"&lt;ruby&gt;登場&lt;rt&gt;とうじょう&lt;/rt&gt;&lt;/ruby&gt;&lt;br&gt;&lt;div class=""audio""&gt;[sound:とうじょう.mp3]&lt;/div&gt;")</f>
        <v>&lt;ruby&gt;登場&lt;rt&gt;とうじょう&lt;/rt&gt;&lt;/ruby&gt;&lt;br&gt;&lt;div class="audio"&gt;[sound:とうじょう.mp3]&lt;/div&gt;</v>
      </c>
      <c r="H3809" s="3" t="str">
        <f t="shared" si="1"/>
        <v>(n): xuất hiện</v>
      </c>
      <c r="I3809" s="6" t="s">
        <v>20794</v>
      </c>
      <c r="J3809" s="6" t="s">
        <v>20795</v>
      </c>
      <c r="K3809" s="7">
        <f t="shared" si="2"/>
        <v>0.4603882633</v>
      </c>
    </row>
    <row r="3810">
      <c r="A3810" s="4">
        <v>3810.0</v>
      </c>
      <c r="B3810" s="5" t="s">
        <v>20796</v>
      </c>
      <c r="C3810" s="5" t="s">
        <v>20797</v>
      </c>
      <c r="D3810" s="5" t="s">
        <v>20796</v>
      </c>
      <c r="E3810" s="6" t="s">
        <v>74</v>
      </c>
      <c r="F3810" s="6" t="s">
        <v>20798</v>
      </c>
      <c r="G3810" s="3" t="str">
        <f>IFERROR(__xludf.DUMMYFUNCTION("REGEXREPLACE(
D3810,
""([一-龯々]+)\[([^\]]+)\]"",
""&lt;ruby&gt;$1&lt;rt&gt;$2&lt;/rt&gt;&lt;/ruby&gt;""
)&amp;""&lt;br&gt;&lt;div class=""""audio""""&gt;[sound:""&amp;C3810&amp;"".mp3]&lt;/div&gt;"""),"ブラシ&lt;br&gt;&lt;div class=""audio""&gt;[sound:ぶらし.mp3]&lt;/div&gt;")</f>
        <v>ブラシ&lt;br&gt;&lt;div class="audio"&gt;[sound:ぶらし.mp3]&lt;/div&gt;</v>
      </c>
      <c r="H3810" s="3" t="str">
        <f t="shared" si="1"/>
        <v>(n): bàn chải</v>
      </c>
      <c r="I3810" s="6" t="s">
        <v>20799</v>
      </c>
      <c r="J3810" s="6" t="s">
        <v>20800</v>
      </c>
      <c r="K3810" s="7">
        <f t="shared" si="2"/>
        <v>0.2830898604</v>
      </c>
    </row>
    <row r="3811">
      <c r="A3811" s="4">
        <v>3811.0</v>
      </c>
      <c r="B3811" s="5" t="s">
        <v>20801</v>
      </c>
      <c r="C3811" s="5" t="s">
        <v>20802</v>
      </c>
      <c r="D3811" s="5" t="s">
        <v>20803</v>
      </c>
      <c r="E3811" s="6" t="s">
        <v>74</v>
      </c>
      <c r="F3811" s="6" t="s">
        <v>20804</v>
      </c>
      <c r="G3811" s="3" t="str">
        <f>IFERROR(__xludf.DUMMYFUNCTION("REGEXREPLACE(
D3811,
""([一-龯々]+)\[([^\]]+)\]"",
""&lt;ruby&gt;$1&lt;rt&gt;$2&lt;/rt&gt;&lt;/ruby&gt;""
)&amp;""&lt;br&gt;&lt;div class=""""audio""""&gt;[sound:""&amp;C3811&amp;"".mp3]&lt;/div&gt;"""),"&lt;ruby&gt;感激&lt;rt&gt;かんげき&lt;/rt&gt;&lt;/ruby&gt;&lt;br&gt;&lt;div class=""audio""&gt;[sound:かんげき.mp3]&lt;/div&gt;")</f>
        <v>&lt;ruby&gt;感激&lt;rt&gt;かんげき&lt;/rt&gt;&lt;/ruby&gt;&lt;br&gt;&lt;div class="audio"&gt;[sound:かんげき.mp3]&lt;/div&gt;</v>
      </c>
      <c r="H3811" s="3" t="str">
        <f t="shared" si="1"/>
        <v>(n): cảm kích</v>
      </c>
      <c r="I3811" s="6" t="s">
        <v>20805</v>
      </c>
      <c r="J3811" s="6" t="s">
        <v>20806</v>
      </c>
      <c r="K3811" s="7">
        <f t="shared" si="2"/>
        <v>0.7512764731</v>
      </c>
    </row>
    <row r="3812">
      <c r="A3812" s="4">
        <v>3812.0</v>
      </c>
      <c r="B3812" s="5" t="s">
        <v>20807</v>
      </c>
      <c r="C3812" s="5" t="s">
        <v>20808</v>
      </c>
      <c r="D3812" s="5" t="s">
        <v>20809</v>
      </c>
      <c r="E3812" s="6" t="s">
        <v>24</v>
      </c>
      <c r="F3812" s="6" t="s">
        <v>20810</v>
      </c>
      <c r="G3812" s="3" t="str">
        <f>IFERROR(__xludf.DUMMYFUNCTION("REGEXREPLACE(
D3812,
""([一-龯々]+)\[([^\]]+)\]"",
""&lt;ruby&gt;$1&lt;rt&gt;$2&lt;/rt&gt;&lt;/ruby&gt;""
)&amp;""&lt;br&gt;&lt;div class=""""audio""""&gt;[sound:""&amp;C3812&amp;"".mp3]&lt;/div&gt;"""),"&lt;ruby&gt;蓄&lt;rt&gt;たくわ&lt;/rt&gt;&lt;/ruby&gt;える&lt;br&gt;&lt;div class=""audio""&gt;[sound:たくわえる.mp3]&lt;/div&gt;")</f>
        <v>&lt;ruby&gt;蓄&lt;rt&gt;たくわ&lt;/rt&gt;&lt;/ruby&gt;える&lt;br&gt;&lt;div class="audio"&gt;[sound:たくわえる.mp3]&lt;/div&gt;</v>
      </c>
      <c r="H3812" s="3" t="str">
        <f t="shared" si="1"/>
        <v>(v): tích lũy</v>
      </c>
      <c r="I3812" s="6" t="s">
        <v>20811</v>
      </c>
      <c r="J3812" s="6" t="s">
        <v>6736</v>
      </c>
      <c r="K3812" s="7">
        <f t="shared" si="2"/>
        <v>0.9457862598</v>
      </c>
    </row>
    <row r="3813">
      <c r="A3813" s="4">
        <v>3813.0</v>
      </c>
      <c r="B3813" s="5" t="s">
        <v>20812</v>
      </c>
      <c r="C3813" s="5" t="s">
        <v>20813</v>
      </c>
      <c r="D3813" s="5" t="s">
        <v>20814</v>
      </c>
      <c r="E3813" s="6" t="s">
        <v>24</v>
      </c>
      <c r="F3813" s="6" t="s">
        <v>20815</v>
      </c>
      <c r="G3813" s="3" t="str">
        <f>IFERROR(__xludf.DUMMYFUNCTION("REGEXREPLACE(
D3813,
""([一-龯々]+)\[([^\]]+)\]"",
""&lt;ruby&gt;$1&lt;rt&gt;$2&lt;/rt&gt;&lt;/ruby&gt;""
)&amp;""&lt;br&gt;&lt;div class=""""audio""""&gt;[sound:""&amp;C3813&amp;"".mp3]&lt;/div&gt;"""),"&lt;ruby&gt;目立&lt;rt&gt;めだ&lt;/rt&gt;&lt;/ruby&gt;つ&lt;br&gt;&lt;div class=""audio""&gt;[sound:めだつ.mp3]&lt;/div&gt;")</f>
        <v>&lt;ruby&gt;目立&lt;rt&gt;めだ&lt;/rt&gt;&lt;/ruby&gt;つ&lt;br&gt;&lt;div class="audio"&gt;[sound:めだつ.mp3]&lt;/div&gt;</v>
      </c>
      <c r="H3813" s="3" t="str">
        <f t="shared" si="1"/>
        <v>(v): nổi bật</v>
      </c>
      <c r="I3813" s="6" t="s">
        <v>20816</v>
      </c>
      <c r="J3813" s="6" t="s">
        <v>20817</v>
      </c>
      <c r="K3813" s="7">
        <f t="shared" si="2"/>
        <v>0.7607847283</v>
      </c>
    </row>
    <row r="3814">
      <c r="A3814" s="4">
        <v>3814.0</v>
      </c>
      <c r="B3814" s="5" t="s">
        <v>20818</v>
      </c>
      <c r="C3814" s="5" t="s">
        <v>2836</v>
      </c>
      <c r="D3814" s="5" t="s">
        <v>20819</v>
      </c>
      <c r="E3814" s="6" t="s">
        <v>74</v>
      </c>
      <c r="F3814" s="6" t="s">
        <v>20820</v>
      </c>
      <c r="G3814" s="3" t="str">
        <f>IFERROR(__xludf.DUMMYFUNCTION("REGEXREPLACE(
D3814,
""([一-龯々]+)\[([^\]]+)\]"",
""&lt;ruby&gt;$1&lt;rt&gt;$2&lt;/rt&gt;&lt;/ruby&gt;""
)&amp;""&lt;br&gt;&lt;div class=""""audio""""&gt;[sound:""&amp;C3814&amp;"".mp3]&lt;/div&gt;"""),"&lt;ruby&gt;風邪&lt;rt&gt;かぜ&lt;/rt&gt;&lt;/ruby&gt;&lt;br&gt;&lt;div class=""audio""&gt;[sound:かぜ.mp3]&lt;/div&gt;")</f>
        <v>&lt;ruby&gt;風邪&lt;rt&gt;かぜ&lt;/rt&gt;&lt;/ruby&gt;&lt;br&gt;&lt;div class="audio"&gt;[sound:かぜ.mp3]&lt;/div&gt;</v>
      </c>
      <c r="H3814" s="3" t="str">
        <f t="shared" si="1"/>
        <v>(n): cảm cúm</v>
      </c>
      <c r="I3814" s="6" t="s">
        <v>20821</v>
      </c>
      <c r="J3814" s="6" t="s">
        <v>20822</v>
      </c>
      <c r="K3814" s="7">
        <f t="shared" si="2"/>
        <v>0.3740677723</v>
      </c>
    </row>
    <row r="3815">
      <c r="A3815" s="4">
        <v>3815.0</v>
      </c>
      <c r="B3815" s="5" t="s">
        <v>20823</v>
      </c>
      <c r="C3815" s="5" t="s">
        <v>20824</v>
      </c>
      <c r="D3815" s="5" t="s">
        <v>20825</v>
      </c>
      <c r="E3815" s="6" t="s">
        <v>24</v>
      </c>
      <c r="F3815" s="6" t="s">
        <v>20826</v>
      </c>
      <c r="G3815" s="3" t="str">
        <f>IFERROR(__xludf.DUMMYFUNCTION("REGEXREPLACE(
D3815,
""([一-龯々]+)\[([^\]]+)\]"",
""&lt;ruby&gt;$1&lt;rt&gt;$2&lt;/rt&gt;&lt;/ruby&gt;""
)&amp;""&lt;br&gt;&lt;div class=""""audio""""&gt;[sound:""&amp;C3815&amp;"".mp3]&lt;/div&gt;"""),"&lt;ruby&gt;隠&lt;rt&gt;かく&lt;/rt&gt;&lt;/ruby&gt;れる&lt;br&gt;&lt;div class=""audio""&gt;[sound:かくれる.mp3]&lt;/div&gt;")</f>
        <v>&lt;ruby&gt;隠&lt;rt&gt;かく&lt;/rt&gt;&lt;/ruby&gt;れる&lt;br&gt;&lt;div class="audio"&gt;[sound:かくれる.mp3]&lt;/div&gt;</v>
      </c>
      <c r="H3815" s="3" t="str">
        <f t="shared" si="1"/>
        <v>(v): ẩn nấp</v>
      </c>
      <c r="I3815" s="6" t="s">
        <v>20827</v>
      </c>
      <c r="J3815" s="6" t="s">
        <v>20828</v>
      </c>
      <c r="K3815" s="7">
        <f t="shared" si="2"/>
        <v>0.9980985043</v>
      </c>
    </row>
    <row r="3816">
      <c r="A3816" s="4">
        <v>3816.0</v>
      </c>
      <c r="B3816" s="5" t="s">
        <v>20829</v>
      </c>
      <c r="C3816" s="5" t="s">
        <v>20830</v>
      </c>
      <c r="D3816" s="5" t="s">
        <v>20831</v>
      </c>
      <c r="E3816" s="6" t="s">
        <v>74</v>
      </c>
      <c r="F3816" s="6" t="s">
        <v>20832</v>
      </c>
      <c r="G3816" s="3" t="str">
        <f>IFERROR(__xludf.DUMMYFUNCTION("REGEXREPLACE(
D3816,
""([一-龯々]+)\[([^\]]+)\]"",
""&lt;ruby&gt;$1&lt;rt&gt;$2&lt;/rt&gt;&lt;/ruby&gt;""
)&amp;""&lt;br&gt;&lt;div class=""""audio""""&gt;[sound:""&amp;C3816&amp;"".mp3]&lt;/div&gt;"""),"&lt;ruby&gt;出会&lt;rt&gt;であ&lt;/rt&gt;&lt;/ruby&gt;い&lt;br&gt;&lt;div class=""audio""&gt;[sound:であい.mp3]&lt;/div&gt;")</f>
        <v>&lt;ruby&gt;出会&lt;rt&gt;であ&lt;/rt&gt;&lt;/ruby&gt;い&lt;br&gt;&lt;div class="audio"&gt;[sound:であい.mp3]&lt;/div&gt;</v>
      </c>
      <c r="H3816" s="3" t="str">
        <f t="shared" si="1"/>
        <v>(n): cuộc gặp gỡ</v>
      </c>
      <c r="I3816" s="6" t="s">
        <v>20833</v>
      </c>
      <c r="J3816" s="6" t="s">
        <v>20834</v>
      </c>
      <c r="K3816" s="7">
        <f t="shared" si="2"/>
        <v>0.4027908195</v>
      </c>
    </row>
    <row r="3817">
      <c r="A3817" s="4">
        <v>3817.0</v>
      </c>
      <c r="B3817" s="5" t="s">
        <v>20835</v>
      </c>
      <c r="C3817" s="5" t="s">
        <v>20836</v>
      </c>
      <c r="D3817" s="5" t="s">
        <v>20837</v>
      </c>
      <c r="E3817" s="6" t="s">
        <v>24</v>
      </c>
      <c r="F3817" s="6" t="s">
        <v>20838</v>
      </c>
      <c r="G3817" s="3" t="str">
        <f>IFERROR(__xludf.DUMMYFUNCTION("REGEXREPLACE(
D3817,
""([一-龯々]+)\[([^\]]+)\]"",
""&lt;ruby&gt;$1&lt;rt&gt;$2&lt;/rt&gt;&lt;/ruby&gt;""
)&amp;""&lt;br&gt;&lt;div class=""""audio""""&gt;[sound:""&amp;C3817&amp;"".mp3]&lt;/div&gt;"""),"&lt;ruby&gt;焼&lt;rt&gt;や&lt;/rt&gt;&lt;/ruby&gt;ける&lt;br&gt;&lt;div class=""audio""&gt;[sound:やける.mp3]&lt;/div&gt;")</f>
        <v>&lt;ruby&gt;焼&lt;rt&gt;や&lt;/rt&gt;&lt;/ruby&gt;ける&lt;br&gt;&lt;div class="audio"&gt;[sound:やける.mp3]&lt;/div&gt;</v>
      </c>
      <c r="H3817" s="3" t="str">
        <f t="shared" si="1"/>
        <v>(v): được nướng</v>
      </c>
      <c r="I3817" s="6" t="s">
        <v>20839</v>
      </c>
      <c r="J3817" s="6" t="s">
        <v>20840</v>
      </c>
      <c r="K3817" s="7">
        <f t="shared" si="2"/>
        <v>0.6474955895</v>
      </c>
    </row>
    <row r="3818">
      <c r="A3818" s="4">
        <v>3818.0</v>
      </c>
      <c r="B3818" s="5" t="s">
        <v>20841</v>
      </c>
      <c r="C3818" s="5" t="s">
        <v>10252</v>
      </c>
      <c r="D3818" s="5" t="s">
        <v>20842</v>
      </c>
      <c r="E3818" s="6" t="s">
        <v>74</v>
      </c>
      <c r="F3818" s="6" t="s">
        <v>16316</v>
      </c>
      <c r="G3818" s="3" t="str">
        <f>IFERROR(__xludf.DUMMYFUNCTION("REGEXREPLACE(
D3818,
""([一-龯々]+)\[([^\]]+)\]"",
""&lt;ruby&gt;$1&lt;rt&gt;$2&lt;/rt&gt;&lt;/ruby&gt;""
)&amp;""&lt;br&gt;&lt;div class=""""audio""""&gt;[sound:""&amp;C3818&amp;"".mp3]&lt;/div&gt;"""),"&lt;ruby&gt;見当&lt;rt&gt;けんとう&lt;/rt&gt;&lt;/ruby&gt;&lt;br&gt;&lt;div class=""audio""&gt;[sound:けんとう.mp3]&lt;/div&gt;")</f>
        <v>&lt;ruby&gt;見当&lt;rt&gt;けんとう&lt;/rt&gt;&lt;/ruby&gt;&lt;br&gt;&lt;div class="audio"&gt;[sound:けんとう.mp3]&lt;/div&gt;</v>
      </c>
      <c r="H3818" s="3" t="str">
        <f t="shared" si="1"/>
        <v>(n): phỏng đoán</v>
      </c>
      <c r="I3818" s="6" t="s">
        <v>20843</v>
      </c>
      <c r="J3818" s="6" t="s">
        <v>20844</v>
      </c>
      <c r="K3818" s="7">
        <f t="shared" si="2"/>
        <v>0.945908531</v>
      </c>
    </row>
    <row r="3819">
      <c r="A3819" s="4">
        <v>3819.0</v>
      </c>
      <c r="B3819" s="5" t="s">
        <v>20845</v>
      </c>
      <c r="C3819" s="5" t="s">
        <v>20846</v>
      </c>
      <c r="D3819" s="5" t="s">
        <v>20847</v>
      </c>
      <c r="E3819" s="6" t="s">
        <v>74</v>
      </c>
      <c r="F3819" s="6" t="s">
        <v>20848</v>
      </c>
      <c r="G3819" s="3" t="str">
        <f>IFERROR(__xludf.DUMMYFUNCTION("REGEXREPLACE(
D3819,
""([一-龯々]+)\[([^\]]+)\]"",
""&lt;ruby&gt;$1&lt;rt&gt;$2&lt;/rt&gt;&lt;/ruby&gt;""
)&amp;""&lt;br&gt;&lt;div class=""""audio""""&gt;[sound:""&amp;C3819&amp;"".mp3]&lt;/div&gt;"""),"&lt;ruby&gt;公式&lt;rt&gt;こうしき&lt;/rt&gt;&lt;/ruby&gt;&lt;br&gt;&lt;div class=""audio""&gt;[sound:こうしき.mp3]&lt;/div&gt;")</f>
        <v>&lt;ruby&gt;公式&lt;rt&gt;こうしき&lt;/rt&gt;&lt;/ruby&gt;&lt;br&gt;&lt;div class="audio"&gt;[sound:こうしき.mp3]&lt;/div&gt;</v>
      </c>
      <c r="H3819" s="3" t="str">
        <f t="shared" si="1"/>
        <v>(n): công thức</v>
      </c>
      <c r="I3819" s="6" t="s">
        <v>20849</v>
      </c>
      <c r="J3819" s="6" t="s">
        <v>20850</v>
      </c>
      <c r="K3819" s="7">
        <f t="shared" si="2"/>
        <v>0.4513738921</v>
      </c>
    </row>
    <row r="3820">
      <c r="A3820" s="4">
        <v>3820.0</v>
      </c>
      <c r="B3820" s="5" t="s">
        <v>20851</v>
      </c>
      <c r="C3820" s="5" t="s">
        <v>20852</v>
      </c>
      <c r="D3820" s="5" t="s">
        <v>20853</v>
      </c>
      <c r="E3820" s="6" t="s">
        <v>11</v>
      </c>
      <c r="F3820" s="6" t="s">
        <v>20854</v>
      </c>
      <c r="G3820" s="3" t="str">
        <f>IFERROR(__xludf.DUMMYFUNCTION("REGEXREPLACE(
D3820,
""([一-龯々]+)\[([^\]]+)\]"",
""&lt;ruby&gt;$1&lt;rt&gt;$2&lt;/rt&gt;&lt;/ruby&gt;""
)&amp;""&lt;br&gt;&lt;div class=""""audio""""&gt;[sound:""&amp;C3820&amp;"".mp3]&lt;/div&gt;"""),"&lt;ruby&gt;強気&lt;rt&gt;つよき&lt;/rt&gt;&lt;/ruby&gt;&lt;br&gt;&lt;div class=""audio""&gt;[sound:つよき.mp3]&lt;/div&gt;")</f>
        <v>&lt;ruby&gt;強気&lt;rt&gt;つよき&lt;/rt&gt;&lt;/ruby&gt;&lt;br&gt;&lt;div class="audio"&gt;[sound:つよき.mp3]&lt;/div&gt;</v>
      </c>
      <c r="H3820" s="3" t="str">
        <f t="shared" si="1"/>
        <v>(adj): kiên định</v>
      </c>
      <c r="I3820" s="6" t="s">
        <v>20855</v>
      </c>
      <c r="J3820" s="6" t="s">
        <v>20856</v>
      </c>
      <c r="K3820" s="7">
        <f t="shared" si="2"/>
        <v>0.3725535713</v>
      </c>
    </row>
    <row r="3821">
      <c r="A3821" s="4">
        <v>3821.0</v>
      </c>
      <c r="B3821" s="5" t="s">
        <v>20857</v>
      </c>
      <c r="C3821" s="5" t="s">
        <v>20858</v>
      </c>
      <c r="D3821" s="5" t="s">
        <v>20859</v>
      </c>
      <c r="E3821" s="6" t="s">
        <v>74</v>
      </c>
      <c r="F3821" s="6" t="s">
        <v>8986</v>
      </c>
      <c r="G3821" s="3" t="str">
        <f>IFERROR(__xludf.DUMMYFUNCTION("REGEXREPLACE(
D3821,
""([一-龯々]+)\[([^\]]+)\]"",
""&lt;ruby&gt;$1&lt;rt&gt;$2&lt;/rt&gt;&lt;/ruby&gt;""
)&amp;""&lt;br&gt;&lt;div class=""""audio""""&gt;[sound:""&amp;C3821&amp;"".mp3]&lt;/div&gt;"""),"&lt;ruby&gt;見学&lt;rt&gt;けんがく&lt;/rt&gt;&lt;/ruby&gt;&lt;br&gt;&lt;div class=""audio""&gt;[sound:けんがく.mp3]&lt;/div&gt;")</f>
        <v>&lt;ruby&gt;見学&lt;rt&gt;けんがく&lt;/rt&gt;&lt;/ruby&gt;&lt;br&gt;&lt;div class="audio"&gt;[sound:けんがく.mp3]&lt;/div&gt;</v>
      </c>
      <c r="H3821" s="3" t="str">
        <f t="shared" si="1"/>
        <v>(n): tham quan</v>
      </c>
      <c r="I3821" s="6" t="s">
        <v>20860</v>
      </c>
      <c r="J3821" s="6" t="s">
        <v>20861</v>
      </c>
      <c r="K3821" s="7">
        <f t="shared" si="2"/>
        <v>0.2505609791</v>
      </c>
    </row>
    <row r="3822">
      <c r="A3822" s="4">
        <v>3822.0</v>
      </c>
      <c r="B3822" s="5" t="s">
        <v>20862</v>
      </c>
      <c r="C3822" s="5" t="s">
        <v>20863</v>
      </c>
      <c r="D3822" s="5" t="s">
        <v>20864</v>
      </c>
      <c r="E3822" s="6" t="s">
        <v>74</v>
      </c>
      <c r="F3822" s="6" t="s">
        <v>14292</v>
      </c>
      <c r="G3822" s="3" t="str">
        <f>IFERROR(__xludf.DUMMYFUNCTION("REGEXREPLACE(
D3822,
""([一-龯々]+)\[([^\]]+)\]"",
""&lt;ruby&gt;$1&lt;rt&gt;$2&lt;/rt&gt;&lt;/ruby&gt;""
)&amp;""&lt;br&gt;&lt;div class=""""audio""""&gt;[sound:""&amp;C3822&amp;"".mp3]&lt;/div&gt;"""),"&lt;ruby&gt;修理&lt;rt&gt;しゅうり&lt;/rt&gt;&lt;/ruby&gt;&lt;br&gt;&lt;div class=""audio""&gt;[sound:しゅうり.mp3]&lt;/div&gt;")</f>
        <v>&lt;ruby&gt;修理&lt;rt&gt;しゅうり&lt;/rt&gt;&lt;/ruby&gt;&lt;br&gt;&lt;div class="audio"&gt;[sound:しゅうり.mp3]&lt;/div&gt;</v>
      </c>
      <c r="H3822" s="3" t="str">
        <f t="shared" si="1"/>
        <v>(n): sửa chữa</v>
      </c>
      <c r="I3822" s="6" t="s">
        <v>20865</v>
      </c>
      <c r="J3822" s="6" t="s">
        <v>20866</v>
      </c>
      <c r="K3822" s="7">
        <f t="shared" si="2"/>
        <v>0.7585859475</v>
      </c>
    </row>
    <row r="3823">
      <c r="A3823" s="4">
        <v>3823.0</v>
      </c>
      <c r="B3823" s="5" t="s">
        <v>20867</v>
      </c>
      <c r="C3823" s="5" t="s">
        <v>8186</v>
      </c>
      <c r="D3823" s="5" t="s">
        <v>20868</v>
      </c>
      <c r="E3823" s="6" t="s">
        <v>74</v>
      </c>
      <c r="F3823" s="6" t="s">
        <v>20869</v>
      </c>
      <c r="G3823" s="3" t="str">
        <f>IFERROR(__xludf.DUMMYFUNCTION("REGEXREPLACE(
D3823,
""([一-龯々]+)\[([^\]]+)\]"",
""&lt;ruby&gt;$1&lt;rt&gt;$2&lt;/rt&gt;&lt;/ruby&gt;""
)&amp;""&lt;br&gt;&lt;div class=""""audio""""&gt;[sound:""&amp;C3823&amp;"".mp3]&lt;/div&gt;"""),"&lt;ruby&gt;児童&lt;rt&gt;じどう&lt;/rt&gt;&lt;/ruby&gt;&lt;br&gt;&lt;div class=""audio""&gt;[sound:じどう.mp3]&lt;/div&gt;")</f>
        <v>&lt;ruby&gt;児童&lt;rt&gt;じどう&lt;/rt&gt;&lt;/ruby&gt;&lt;br&gt;&lt;div class="audio"&gt;[sound:じどう.mp3]&lt;/div&gt;</v>
      </c>
      <c r="H3823" s="3" t="str">
        <f t="shared" si="1"/>
        <v>(n): nhi đồng</v>
      </c>
      <c r="I3823" s="6" t="s">
        <v>20870</v>
      </c>
      <c r="J3823" s="6" t="s">
        <v>20871</v>
      </c>
      <c r="K3823" s="7">
        <f t="shared" si="2"/>
        <v>0.6069388165</v>
      </c>
    </row>
    <row r="3824">
      <c r="A3824" s="4">
        <v>3824.0</v>
      </c>
      <c r="B3824" s="5" t="s">
        <v>20872</v>
      </c>
      <c r="C3824" s="5" t="s">
        <v>20873</v>
      </c>
      <c r="D3824" s="5" t="s">
        <v>20874</v>
      </c>
      <c r="E3824" s="6" t="s">
        <v>74</v>
      </c>
      <c r="F3824" s="6" t="s">
        <v>20875</v>
      </c>
      <c r="G3824" s="3" t="str">
        <f>IFERROR(__xludf.DUMMYFUNCTION("REGEXREPLACE(
D3824,
""([一-龯々]+)\[([^\]]+)\]"",
""&lt;ruby&gt;$1&lt;rt&gt;$2&lt;/rt&gt;&lt;/ruby&gt;""
)&amp;""&lt;br&gt;&lt;div class=""""audio""""&gt;[sound:""&amp;C3824&amp;"".mp3]&lt;/div&gt;"""),"&lt;ruby&gt;締切&lt;rt&gt;しめきり&lt;/rt&gt;&lt;/ruby&gt;&lt;br&gt;&lt;div class=""audio""&gt;[sound:しめきり.mp3]&lt;/div&gt;")</f>
        <v>&lt;ruby&gt;締切&lt;rt&gt;しめきり&lt;/rt&gt;&lt;/ruby&gt;&lt;br&gt;&lt;div class="audio"&gt;[sound:しめきり.mp3]&lt;/div&gt;</v>
      </c>
      <c r="H3824" s="3" t="str">
        <f t="shared" si="1"/>
        <v>(n): hạn chót</v>
      </c>
      <c r="I3824" s="6" t="s">
        <v>20876</v>
      </c>
      <c r="J3824" s="6" t="s">
        <v>20877</v>
      </c>
      <c r="K3824" s="7">
        <f t="shared" si="2"/>
        <v>0.2261615041</v>
      </c>
    </row>
    <row r="3825">
      <c r="A3825" s="4">
        <v>3825.0</v>
      </c>
      <c r="B3825" s="5" t="s">
        <v>20878</v>
      </c>
      <c r="C3825" s="5" t="s">
        <v>14131</v>
      </c>
      <c r="D3825" s="5" t="s">
        <v>20879</v>
      </c>
      <c r="E3825" s="6" t="s">
        <v>74</v>
      </c>
      <c r="F3825" s="6" t="s">
        <v>14133</v>
      </c>
      <c r="G3825" s="3" t="str">
        <f>IFERROR(__xludf.DUMMYFUNCTION("REGEXREPLACE(
D3825,
""([一-龯々]+)\[([^\]]+)\]"",
""&lt;ruby&gt;$1&lt;rt&gt;$2&lt;/rt&gt;&lt;/ruby&gt;""
)&amp;""&lt;br&gt;&lt;div class=""""audio""""&gt;[sound:""&amp;C3825&amp;"".mp3]&lt;/div&gt;"""),"&lt;ruby&gt;保障&lt;rt&gt;ほしょう&lt;/rt&gt;&lt;/ruby&gt;&lt;br&gt;&lt;div class=""audio""&gt;[sound:ほしょう.mp3]&lt;/div&gt;")</f>
        <v>&lt;ruby&gt;保障&lt;rt&gt;ほしょう&lt;/rt&gt;&lt;/ruby&gt;&lt;br&gt;&lt;div class="audio"&gt;[sound:ほしょう.mp3]&lt;/div&gt;</v>
      </c>
      <c r="H3825" s="3" t="str">
        <f t="shared" si="1"/>
        <v>(n): bảo đảm</v>
      </c>
      <c r="I3825" s="6" t="s">
        <v>20880</v>
      </c>
      <c r="J3825" s="6" t="s">
        <v>20881</v>
      </c>
      <c r="K3825" s="7">
        <f t="shared" si="2"/>
        <v>0.4704530637</v>
      </c>
    </row>
    <row r="3826">
      <c r="A3826" s="4">
        <v>3826.0</v>
      </c>
      <c r="B3826" s="5" t="s">
        <v>20882</v>
      </c>
      <c r="C3826" s="5" t="s">
        <v>10000</v>
      </c>
      <c r="D3826" s="5" t="s">
        <v>20883</v>
      </c>
      <c r="E3826" s="6" t="s">
        <v>24</v>
      </c>
      <c r="F3826" s="6" t="s">
        <v>20884</v>
      </c>
      <c r="G3826" s="3" t="str">
        <f>IFERROR(__xludf.DUMMYFUNCTION("REGEXREPLACE(
D3826,
""([一-龯々]+)\[([^\]]+)\]"",
""&lt;ruby&gt;$1&lt;rt&gt;$2&lt;/rt&gt;&lt;/ruby&gt;""
)&amp;""&lt;br&gt;&lt;div class=""""audio""""&gt;[sound:""&amp;C3826&amp;"".mp3]&lt;/div&gt;"""),"&lt;ruby&gt;泊&lt;rt&gt;と&lt;/rt&gt;&lt;/ruby&gt;まる&lt;br&gt;&lt;div class=""audio""&gt;[sound:とまる.mp3]&lt;/div&gt;")</f>
        <v>&lt;ruby&gt;泊&lt;rt&gt;と&lt;/rt&gt;&lt;/ruby&gt;まる&lt;br&gt;&lt;div class="audio"&gt;[sound:とまる.mp3]&lt;/div&gt;</v>
      </c>
      <c r="H3826" s="3" t="str">
        <f t="shared" si="1"/>
        <v>(v): trọ lại</v>
      </c>
      <c r="I3826" s="6" t="s">
        <v>20885</v>
      </c>
      <c r="J3826" s="6" t="s">
        <v>20886</v>
      </c>
      <c r="K3826" s="7">
        <f t="shared" si="2"/>
        <v>0.78720463</v>
      </c>
    </row>
    <row r="3827">
      <c r="A3827" s="4">
        <v>3827.0</v>
      </c>
      <c r="B3827" s="5" t="s">
        <v>20887</v>
      </c>
      <c r="C3827" s="5" t="s">
        <v>20888</v>
      </c>
      <c r="D3827" s="5" t="s">
        <v>20889</v>
      </c>
      <c r="E3827" s="6" t="s">
        <v>24</v>
      </c>
      <c r="F3827" s="6" t="s">
        <v>20890</v>
      </c>
      <c r="G3827" s="3" t="str">
        <f>IFERROR(__xludf.DUMMYFUNCTION("REGEXREPLACE(
D3827,
""([一-龯々]+)\[([^\]]+)\]"",
""&lt;ruby&gt;$1&lt;rt&gt;$2&lt;/rt&gt;&lt;/ruby&gt;""
)&amp;""&lt;br&gt;&lt;div class=""""audio""""&gt;[sound:""&amp;C3827&amp;"".mp3]&lt;/div&gt;"""),"&lt;ruby&gt;頼&lt;rt&gt;たよ&lt;/rt&gt;&lt;/ruby&gt;る&lt;br&gt;&lt;div class=""audio""&gt;[sound:たよる.mp3]&lt;/div&gt;")</f>
        <v>&lt;ruby&gt;頼&lt;rt&gt;たよ&lt;/rt&gt;&lt;/ruby&gt;る&lt;br&gt;&lt;div class="audio"&gt;[sound:たよる.mp3]&lt;/div&gt;</v>
      </c>
      <c r="H3827" s="3" t="str">
        <f t="shared" si="1"/>
        <v>(v): dựa dẫm</v>
      </c>
      <c r="I3827" s="6" t="s">
        <v>20891</v>
      </c>
      <c r="J3827" s="6" t="s">
        <v>20892</v>
      </c>
      <c r="K3827" s="7">
        <f t="shared" si="2"/>
        <v>0.7195086482</v>
      </c>
    </row>
    <row r="3828">
      <c r="A3828" s="4">
        <v>3828.0</v>
      </c>
      <c r="B3828" s="5" t="s">
        <v>20893</v>
      </c>
      <c r="C3828" s="5" t="s">
        <v>20894</v>
      </c>
      <c r="D3828" s="5" t="s">
        <v>20895</v>
      </c>
      <c r="E3828" s="6" t="s">
        <v>24</v>
      </c>
      <c r="F3828" s="6" t="s">
        <v>20896</v>
      </c>
      <c r="G3828" s="3" t="str">
        <f>IFERROR(__xludf.DUMMYFUNCTION("REGEXREPLACE(
D3828,
""([一-龯々]+)\[([^\]]+)\]"",
""&lt;ruby&gt;$1&lt;rt&gt;$2&lt;/rt&gt;&lt;/ruby&gt;""
)&amp;""&lt;br&gt;&lt;div class=""""audio""""&gt;[sound:""&amp;C3828&amp;"".mp3]&lt;/div&gt;"""),"&lt;ruby&gt;詰&lt;rt&gt;つ&lt;/rt&gt;&lt;/ruby&gt;まる&lt;br&gt;&lt;div class=""audio""&gt;[sound:つまる.mp3]&lt;/div&gt;")</f>
        <v>&lt;ruby&gt;詰&lt;rt&gt;つ&lt;/rt&gt;&lt;/ruby&gt;まる&lt;br&gt;&lt;div class="audio"&gt;[sound:つまる.mp3]&lt;/div&gt;</v>
      </c>
      <c r="H3828" s="3" t="str">
        <f t="shared" si="1"/>
        <v>(v): bị tắc</v>
      </c>
      <c r="I3828" s="6" t="s">
        <v>20897</v>
      </c>
      <c r="J3828" s="6" t="s">
        <v>20898</v>
      </c>
      <c r="K3828" s="7">
        <f t="shared" si="2"/>
        <v>0.4802227941</v>
      </c>
    </row>
    <row r="3829">
      <c r="A3829" s="4">
        <v>3829.0</v>
      </c>
      <c r="B3829" s="5" t="s">
        <v>20899</v>
      </c>
      <c r="C3829" s="5" t="s">
        <v>20900</v>
      </c>
      <c r="D3829" s="5" t="s">
        <v>20901</v>
      </c>
      <c r="E3829" s="6" t="s">
        <v>11</v>
      </c>
      <c r="F3829" s="6" t="s">
        <v>20902</v>
      </c>
      <c r="G3829" s="3" t="str">
        <f>IFERROR(__xludf.DUMMYFUNCTION("REGEXREPLACE(
D3829,
""([一-龯々]+)\[([^\]]+)\]"",
""&lt;ruby&gt;$1&lt;rt&gt;$2&lt;/rt&gt;&lt;/ruby&gt;""
)&amp;""&lt;br&gt;&lt;div class=""""audio""""&gt;[sound:""&amp;C3829&amp;"".mp3]&lt;/div&gt;"""),"&lt;ruby&gt;密&lt;rt&gt;みつ&lt;/rt&gt;&lt;/ruby&gt;&lt;br&gt;&lt;div class=""audio""&gt;[sound:みつ.mp3]&lt;/div&gt;")</f>
        <v>&lt;ruby&gt;密&lt;rt&gt;みつ&lt;/rt&gt;&lt;/ruby&gt;&lt;br&gt;&lt;div class="audio"&gt;[sound:みつ.mp3]&lt;/div&gt;</v>
      </c>
      <c r="H3829" s="3" t="str">
        <f t="shared" si="1"/>
        <v>(adj): mật</v>
      </c>
      <c r="I3829" s="6" t="s">
        <v>20903</v>
      </c>
      <c r="J3829" s="6" t="s">
        <v>20904</v>
      </c>
      <c r="K3829" s="7">
        <f t="shared" si="2"/>
        <v>0.9257757904</v>
      </c>
    </row>
    <row r="3830">
      <c r="A3830" s="4">
        <v>3830.0</v>
      </c>
      <c r="B3830" s="5" t="s">
        <v>20905</v>
      </c>
      <c r="C3830" s="5" t="s">
        <v>20906</v>
      </c>
      <c r="D3830" s="5" t="s">
        <v>20907</v>
      </c>
      <c r="E3830" s="6" t="s">
        <v>74</v>
      </c>
      <c r="F3830" s="6" t="s">
        <v>20908</v>
      </c>
      <c r="G3830" s="3" t="str">
        <f>IFERROR(__xludf.DUMMYFUNCTION("REGEXREPLACE(
D3830,
""([一-龯々]+)\[([^\]]+)\]"",
""&lt;ruby&gt;$1&lt;rt&gt;$2&lt;/rt&gt;&lt;/ruby&gt;""
)&amp;""&lt;br&gt;&lt;div class=""""audio""""&gt;[sound:""&amp;C3830&amp;"".mp3]&lt;/div&gt;"""),"&lt;ruby&gt;段&lt;rt&gt;だん&lt;/rt&gt;&lt;/ruby&gt;&lt;br&gt;&lt;div class=""audio""&gt;[sound:だん.mp3]&lt;/div&gt;")</f>
        <v>&lt;ruby&gt;段&lt;rt&gt;だん&lt;/rt&gt;&lt;/ruby&gt;&lt;br&gt;&lt;div class="audio"&gt;[sound:だん.mp3]&lt;/div&gt;</v>
      </c>
      <c r="H3830" s="3" t="str">
        <f t="shared" si="1"/>
        <v>(n): bậc</v>
      </c>
      <c r="I3830" s="6" t="s">
        <v>20909</v>
      </c>
      <c r="J3830" s="6" t="s">
        <v>20910</v>
      </c>
      <c r="K3830" s="7">
        <f t="shared" si="2"/>
        <v>0.7791892586</v>
      </c>
    </row>
    <row r="3831">
      <c r="A3831" s="4">
        <v>3831.0</v>
      </c>
      <c r="B3831" s="5" t="s">
        <v>20911</v>
      </c>
      <c r="C3831" s="5" t="s">
        <v>20912</v>
      </c>
      <c r="D3831" s="5" t="s">
        <v>20913</v>
      </c>
      <c r="E3831" s="6" t="s">
        <v>74</v>
      </c>
      <c r="F3831" s="6" t="s">
        <v>20914</v>
      </c>
      <c r="G3831" s="3" t="str">
        <f>IFERROR(__xludf.DUMMYFUNCTION("REGEXREPLACE(
D3831,
""([一-龯々]+)\[([^\]]+)\]"",
""&lt;ruby&gt;$1&lt;rt&gt;$2&lt;/rt&gt;&lt;/ruby&gt;""
)&amp;""&lt;br&gt;&lt;div class=""""audio""""&gt;[sound:""&amp;C3831&amp;"".mp3]&lt;/div&gt;"""),"&lt;ruby&gt;牛&lt;rt&gt;うし&lt;/rt&gt;&lt;/ruby&gt;&lt;br&gt;&lt;div class=""audio""&gt;[sound:うし.mp3]&lt;/div&gt;")</f>
        <v>&lt;ruby&gt;牛&lt;rt&gt;うし&lt;/rt&gt;&lt;/ruby&gt;&lt;br&gt;&lt;div class="audio"&gt;[sound:うし.mp3]&lt;/div&gt;</v>
      </c>
      <c r="H3831" s="3" t="str">
        <f t="shared" si="1"/>
        <v>(n): bò</v>
      </c>
      <c r="I3831" s="6" t="s">
        <v>20915</v>
      </c>
      <c r="J3831" s="6" t="s">
        <v>20916</v>
      </c>
      <c r="K3831" s="7">
        <f t="shared" si="2"/>
        <v>0.1498628085</v>
      </c>
    </row>
    <row r="3832">
      <c r="A3832" s="4">
        <v>3832.0</v>
      </c>
      <c r="B3832" s="5" t="s">
        <v>20917</v>
      </c>
      <c r="C3832" s="5" t="s">
        <v>20918</v>
      </c>
      <c r="D3832" s="5" t="s">
        <v>20919</v>
      </c>
      <c r="E3832" s="6" t="s">
        <v>74</v>
      </c>
      <c r="F3832" s="6" t="s">
        <v>20920</v>
      </c>
      <c r="G3832" s="3" t="str">
        <f>IFERROR(__xludf.DUMMYFUNCTION("REGEXREPLACE(
D3832,
""([一-龯々]+)\[([^\]]+)\]"",
""&lt;ruby&gt;$1&lt;rt&gt;$2&lt;/rt&gt;&lt;/ruby&gt;""
)&amp;""&lt;br&gt;&lt;div class=""""audio""""&gt;[sound:""&amp;C3832&amp;"".mp3]&lt;/div&gt;"""),"&lt;ruby&gt;低下&lt;rt&gt;ていか&lt;/rt&gt;&lt;/ruby&gt;&lt;br&gt;&lt;div class=""audio""&gt;[sound:ていか.mp3]&lt;/div&gt;")</f>
        <v>&lt;ruby&gt;低下&lt;rt&gt;ていか&lt;/rt&gt;&lt;/ruby&gt;&lt;br&gt;&lt;div class="audio"&gt;[sound:ていか.mp3]&lt;/div&gt;</v>
      </c>
      <c r="H3832" s="3" t="str">
        <f t="shared" si="1"/>
        <v>(n): sự suy giảm</v>
      </c>
      <c r="I3832" s="6" t="s">
        <v>20921</v>
      </c>
      <c r="J3832" s="6" t="s">
        <v>20922</v>
      </c>
      <c r="K3832" s="7">
        <f t="shared" si="2"/>
        <v>0.9818775924</v>
      </c>
    </row>
    <row r="3833">
      <c r="A3833" s="4">
        <v>3833.0</v>
      </c>
      <c r="B3833" s="5" t="s">
        <v>20923</v>
      </c>
      <c r="C3833" s="5" t="s">
        <v>20924</v>
      </c>
      <c r="D3833" s="5" t="s">
        <v>20925</v>
      </c>
      <c r="E3833" s="6" t="s">
        <v>74</v>
      </c>
      <c r="F3833" s="6" t="s">
        <v>20926</v>
      </c>
      <c r="G3833" s="3" t="str">
        <f>IFERROR(__xludf.DUMMYFUNCTION("REGEXREPLACE(
D3833,
""([一-龯々]+)\[([^\]]+)\]"",
""&lt;ruby&gt;$1&lt;rt&gt;$2&lt;/rt&gt;&lt;/ruby&gt;""
)&amp;""&lt;br&gt;&lt;div class=""""audio""""&gt;[sound:""&amp;C3833&amp;"".mp3]&lt;/div&gt;"""),"&lt;ruby&gt;真中&lt;rt&gt;まんなか&lt;/rt&gt;&lt;/ruby&gt;&lt;br&gt;&lt;div class=""audio""&gt;[sound:まんなか.mp3]&lt;/div&gt;")</f>
        <v>&lt;ruby&gt;真中&lt;rt&gt;まんなか&lt;/rt&gt;&lt;/ruby&gt;&lt;br&gt;&lt;div class="audio"&gt;[sound:まんなか.mp3]&lt;/div&gt;</v>
      </c>
      <c r="H3833" s="3" t="str">
        <f t="shared" si="1"/>
        <v>(n): chính giữa</v>
      </c>
      <c r="I3833" s="6" t="s">
        <v>20927</v>
      </c>
      <c r="J3833" s="6" t="s">
        <v>20928</v>
      </c>
      <c r="K3833" s="7">
        <f t="shared" si="2"/>
        <v>0.4446018404</v>
      </c>
    </row>
    <row r="3834">
      <c r="A3834" s="4">
        <v>3834.0</v>
      </c>
      <c r="B3834" s="5" t="s">
        <v>20929</v>
      </c>
      <c r="C3834" s="5" t="s">
        <v>2881</v>
      </c>
      <c r="D3834" s="5" t="s">
        <v>20930</v>
      </c>
      <c r="E3834" s="6" t="s">
        <v>74</v>
      </c>
      <c r="F3834" s="6" t="s">
        <v>20931</v>
      </c>
      <c r="G3834" s="3" t="str">
        <f>IFERROR(__xludf.DUMMYFUNCTION("REGEXREPLACE(
D3834,
""([一-龯々]+)\[([^\]]+)\]"",
""&lt;ruby&gt;$1&lt;rt&gt;$2&lt;/rt&gt;&lt;/ruby&gt;""
)&amp;""&lt;br&gt;&lt;div class=""""audio""""&gt;[sound:""&amp;C3834&amp;"".mp3]&lt;/div&gt;"""),"&lt;ruby&gt;寮&lt;rt&gt;りょう&lt;/rt&gt;&lt;/ruby&gt;&lt;br&gt;&lt;div class=""audio""&gt;[sound:りょう.mp3]&lt;/div&gt;")</f>
        <v>&lt;ruby&gt;寮&lt;rt&gt;りょう&lt;/rt&gt;&lt;/ruby&gt;&lt;br&gt;&lt;div class="audio"&gt;[sound:りょう.mp3]&lt;/div&gt;</v>
      </c>
      <c r="H3834" s="3" t="str">
        <f t="shared" si="1"/>
        <v>(n): ký túc xá</v>
      </c>
      <c r="I3834" s="6" t="s">
        <v>20932</v>
      </c>
      <c r="J3834" s="6" t="s">
        <v>20933</v>
      </c>
      <c r="K3834" s="7">
        <f t="shared" si="2"/>
        <v>0.6048136208</v>
      </c>
    </row>
    <row r="3835">
      <c r="A3835" s="4">
        <v>3835.0</v>
      </c>
      <c r="B3835" s="5" t="s">
        <v>20934</v>
      </c>
      <c r="C3835" s="5" t="s">
        <v>20935</v>
      </c>
      <c r="D3835" s="5" t="s">
        <v>20936</v>
      </c>
      <c r="E3835" s="6" t="s">
        <v>74</v>
      </c>
      <c r="F3835" s="6" t="s">
        <v>20937</v>
      </c>
      <c r="G3835" s="3" t="str">
        <f>IFERROR(__xludf.DUMMYFUNCTION("REGEXREPLACE(
D3835,
""([一-龯々]+)\[([^\]]+)\]"",
""&lt;ruby&gt;$1&lt;rt&gt;$2&lt;/rt&gt;&lt;/ruby&gt;""
)&amp;""&lt;br&gt;&lt;div class=""""audio""""&gt;[sound:""&amp;C3835&amp;"".mp3]&lt;/div&gt;"""),"&lt;ruby&gt;矛盾&lt;rt&gt;むじゅん&lt;/rt&gt;&lt;/ruby&gt;&lt;br&gt;&lt;div class=""audio""&gt;[sound:むじゅん.mp3]&lt;/div&gt;")</f>
        <v>&lt;ruby&gt;矛盾&lt;rt&gt;むじゅん&lt;/rt&gt;&lt;/ruby&gt;&lt;br&gt;&lt;div class="audio"&gt;[sound:むじゅん.mp3]&lt;/div&gt;</v>
      </c>
      <c r="H3835" s="3" t="str">
        <f t="shared" si="1"/>
        <v>(n): mâu thuẫn</v>
      </c>
      <c r="I3835" s="6" t="s">
        <v>20938</v>
      </c>
      <c r="J3835" s="6" t="s">
        <v>20939</v>
      </c>
      <c r="K3835" s="7">
        <f t="shared" si="2"/>
        <v>0.9624080779</v>
      </c>
    </row>
    <row r="3836">
      <c r="A3836" s="4">
        <v>3836.0</v>
      </c>
      <c r="B3836" s="5" t="s">
        <v>20940</v>
      </c>
      <c r="C3836" s="5" t="s">
        <v>20941</v>
      </c>
      <c r="D3836" s="5" t="s">
        <v>20942</v>
      </c>
      <c r="E3836" s="6" t="s">
        <v>74</v>
      </c>
      <c r="F3836" s="6" t="s">
        <v>20943</v>
      </c>
      <c r="G3836" s="3" t="str">
        <f>IFERROR(__xludf.DUMMYFUNCTION("REGEXREPLACE(
D3836,
""([一-龯々]+)\[([^\]]+)\]"",
""&lt;ruby&gt;$1&lt;rt&gt;$2&lt;/rt&gt;&lt;/ruby&gt;""
)&amp;""&lt;br&gt;&lt;div class=""""audio""""&gt;[sound:""&amp;C3836&amp;"".mp3]&lt;/div&gt;"""),"&lt;ruby&gt;香&lt;rt&gt;かお&lt;/rt&gt;&lt;/ruby&gt;り&lt;br&gt;&lt;div class=""audio""&gt;[sound:かおり.mp3]&lt;/div&gt;")</f>
        <v>&lt;ruby&gt;香&lt;rt&gt;かお&lt;/rt&gt;&lt;/ruby&gt;り&lt;br&gt;&lt;div class="audio"&gt;[sound:かおり.mp3]&lt;/div&gt;</v>
      </c>
      <c r="H3836" s="3" t="str">
        <f t="shared" si="1"/>
        <v>(n): mùi hương</v>
      </c>
      <c r="I3836" s="6" t="s">
        <v>20944</v>
      </c>
      <c r="J3836" s="6" t="s">
        <v>20945</v>
      </c>
      <c r="K3836" s="7">
        <f t="shared" si="2"/>
        <v>0.3528009381</v>
      </c>
    </row>
    <row r="3837">
      <c r="A3837" s="4">
        <v>3837.0</v>
      </c>
      <c r="B3837" s="5" t="s">
        <v>20946</v>
      </c>
      <c r="C3837" s="5" t="s">
        <v>20947</v>
      </c>
      <c r="D3837" s="5" t="s">
        <v>20948</v>
      </c>
      <c r="E3837" s="6" t="s">
        <v>74</v>
      </c>
      <c r="F3837" s="6" t="s">
        <v>20949</v>
      </c>
      <c r="G3837" s="3" t="str">
        <f>IFERROR(__xludf.DUMMYFUNCTION("REGEXREPLACE(
D3837,
""([一-龯々]+)\[([^\]]+)\]"",
""&lt;ruby&gt;$1&lt;rt&gt;$2&lt;/rt&gt;&lt;/ruby&gt;""
)&amp;""&lt;br&gt;&lt;div class=""""audio""""&gt;[sound:""&amp;C3837&amp;"".mp3]&lt;/div&gt;"""),"&lt;ruby&gt;入学&lt;rt&gt;にゅうがく&lt;/rt&gt;&lt;/ruby&gt;&lt;br&gt;&lt;div class=""audio""&gt;[sound:にゅうがく.mp3]&lt;/div&gt;")</f>
        <v>&lt;ruby&gt;入学&lt;rt&gt;にゅうがく&lt;/rt&gt;&lt;/ruby&gt;&lt;br&gt;&lt;div class="audio"&gt;[sound:にゅうがく.mp3]&lt;/div&gt;</v>
      </c>
      <c r="H3837" s="3" t="str">
        <f t="shared" si="1"/>
        <v>(n): nhập học</v>
      </c>
      <c r="I3837" s="6" t="s">
        <v>20950</v>
      </c>
      <c r="J3837" s="6" t="s">
        <v>20951</v>
      </c>
      <c r="K3837" s="7">
        <f t="shared" si="2"/>
        <v>0.7700096499</v>
      </c>
    </row>
    <row r="3838">
      <c r="A3838" s="4">
        <v>3838.0</v>
      </c>
      <c r="B3838" s="5" t="s">
        <v>20952</v>
      </c>
      <c r="C3838" s="5" t="s">
        <v>20953</v>
      </c>
      <c r="D3838" s="5" t="s">
        <v>20954</v>
      </c>
      <c r="E3838" s="6" t="s">
        <v>24</v>
      </c>
      <c r="F3838" s="6" t="s">
        <v>16328</v>
      </c>
      <c r="G3838" s="3" t="str">
        <f>IFERROR(__xludf.DUMMYFUNCTION("REGEXREPLACE(
D3838,
""([一-龯々]+)\[([^\]]+)\]"",
""&lt;ruby&gt;$1&lt;rt&gt;$2&lt;/rt&gt;&lt;/ruby&gt;""
)&amp;""&lt;br&gt;&lt;div class=""""audio""""&gt;[sound:""&amp;C3838&amp;"".mp3]&lt;/div&gt;"""),"&lt;ruby&gt;慣&lt;rt&gt;な&lt;/rt&gt;&lt;/ruby&gt;らす&lt;br&gt;&lt;div class=""audio""&gt;[sound:ならす.mp3]&lt;/div&gt;")</f>
        <v>&lt;ruby&gt;慣&lt;rt&gt;な&lt;/rt&gt;&lt;/ruby&gt;らす&lt;br&gt;&lt;div class="audio"&gt;[sound:ならす.mp3]&lt;/div&gt;</v>
      </c>
      <c r="H3838" s="3" t="str">
        <f t="shared" si="1"/>
        <v>(v): làm quen</v>
      </c>
      <c r="I3838" s="6" t="s">
        <v>20955</v>
      </c>
      <c r="J3838" s="6" t="s">
        <v>20956</v>
      </c>
      <c r="K3838" s="7">
        <f t="shared" si="2"/>
        <v>0.4507827879</v>
      </c>
    </row>
    <row r="3839">
      <c r="A3839" s="4">
        <v>3839.0</v>
      </c>
      <c r="B3839" s="5" t="s">
        <v>20957</v>
      </c>
      <c r="C3839" s="5" t="s">
        <v>20958</v>
      </c>
      <c r="D3839" s="5" t="s">
        <v>20959</v>
      </c>
      <c r="E3839" s="6" t="s">
        <v>74</v>
      </c>
      <c r="F3839" s="6" t="s">
        <v>1233</v>
      </c>
      <c r="G3839" s="3" t="str">
        <f>IFERROR(__xludf.DUMMYFUNCTION("REGEXREPLACE(
D3839,
""([一-龯々]+)\[([^\]]+)\]"",
""&lt;ruby&gt;$1&lt;rt&gt;$2&lt;/rt&gt;&lt;/ruby&gt;""
)&amp;""&lt;br&gt;&lt;div class=""""audio""""&gt;[sound:""&amp;C3839&amp;"".mp3]&lt;/div&gt;"""),"&lt;ruby&gt;系統&lt;rt&gt;けいとう&lt;/rt&gt;&lt;/ruby&gt;&lt;br&gt;&lt;div class=""audio""&gt;[sound:けいとう.mp3]&lt;/div&gt;")</f>
        <v>&lt;ruby&gt;系統&lt;rt&gt;けいとう&lt;/rt&gt;&lt;/ruby&gt;&lt;br&gt;&lt;div class="audio"&gt;[sound:けいとう.mp3]&lt;/div&gt;</v>
      </c>
      <c r="H3839" s="3" t="str">
        <f t="shared" si="1"/>
        <v>(n): hệ thống</v>
      </c>
      <c r="I3839" s="6" t="s">
        <v>20960</v>
      </c>
      <c r="J3839" s="6" t="s">
        <v>20961</v>
      </c>
      <c r="K3839" s="7">
        <f t="shared" si="2"/>
        <v>0.2586248994</v>
      </c>
    </row>
    <row r="3840">
      <c r="A3840" s="4">
        <v>3840.0</v>
      </c>
      <c r="B3840" s="5" t="s">
        <v>20962</v>
      </c>
      <c r="C3840" s="5" t="s">
        <v>20179</v>
      </c>
      <c r="D3840" s="5" t="s">
        <v>20963</v>
      </c>
      <c r="E3840" s="6" t="s">
        <v>74</v>
      </c>
      <c r="F3840" s="6" t="s">
        <v>20964</v>
      </c>
      <c r="G3840" s="3" t="str">
        <f>IFERROR(__xludf.DUMMYFUNCTION("REGEXREPLACE(
D3840,
""([一-龯々]+)\[([^\]]+)\]"",
""&lt;ruby&gt;$1&lt;rt&gt;$2&lt;/rt&gt;&lt;/ruby&gt;""
)&amp;""&lt;br&gt;&lt;div class=""""audio""""&gt;[sound:""&amp;C3840&amp;"".mp3]&lt;/div&gt;"""),"&lt;ruby&gt;脂肪&lt;rt&gt;しぼう&lt;/rt&gt;&lt;/ruby&gt;&lt;br&gt;&lt;div class=""audio""&gt;[sound:しぼう.mp3]&lt;/div&gt;")</f>
        <v>&lt;ruby&gt;脂肪&lt;rt&gt;しぼう&lt;/rt&gt;&lt;/ruby&gt;&lt;br&gt;&lt;div class="audio"&gt;[sound:しぼう.mp3]&lt;/div&gt;</v>
      </c>
      <c r="H3840" s="3" t="str">
        <f t="shared" si="1"/>
        <v>(n): chất béo</v>
      </c>
      <c r="I3840" s="6" t="s">
        <v>20965</v>
      </c>
      <c r="J3840" s="6" t="s">
        <v>20966</v>
      </c>
      <c r="K3840" s="7">
        <f t="shared" si="2"/>
        <v>0.5607589712</v>
      </c>
    </row>
    <row r="3841">
      <c r="A3841" s="4">
        <v>3841.0</v>
      </c>
      <c r="B3841" s="5" t="s">
        <v>20967</v>
      </c>
      <c r="C3841" s="5" t="s">
        <v>20968</v>
      </c>
      <c r="D3841" s="5" t="s">
        <v>20969</v>
      </c>
      <c r="E3841" s="6" t="s">
        <v>74</v>
      </c>
      <c r="F3841" s="6" t="s">
        <v>20970</v>
      </c>
      <c r="G3841" s="3" t="str">
        <f>IFERROR(__xludf.DUMMYFUNCTION("REGEXREPLACE(
D3841,
""([一-龯々]+)\[([^\]]+)\]"",
""&lt;ruby&gt;$1&lt;rt&gt;$2&lt;/rt&gt;&lt;/ruby&gt;""
)&amp;""&lt;br&gt;&lt;div class=""""audio""""&gt;[sound:""&amp;C3841&amp;"".mp3]&lt;/div&gt;"""),"&lt;ruby&gt;西暦&lt;rt&gt;せいれき&lt;/rt&gt;&lt;/ruby&gt;&lt;br&gt;&lt;div class=""audio""&gt;[sound:せいれき.mp3]&lt;/div&gt;")</f>
        <v>&lt;ruby&gt;西暦&lt;rt&gt;せいれき&lt;/rt&gt;&lt;/ruby&gt;&lt;br&gt;&lt;div class="audio"&gt;[sound:せいれき.mp3]&lt;/div&gt;</v>
      </c>
      <c r="H3841" s="3" t="str">
        <f t="shared" si="1"/>
        <v>(n): tây lịch</v>
      </c>
      <c r="I3841" s="6" t="s">
        <v>20971</v>
      </c>
      <c r="J3841" s="6" t="s">
        <v>20972</v>
      </c>
      <c r="K3841" s="7">
        <f t="shared" si="2"/>
        <v>0.1943283628</v>
      </c>
    </row>
    <row r="3842">
      <c r="A3842" s="4">
        <v>3842.0</v>
      </c>
      <c r="B3842" s="5" t="s">
        <v>20973</v>
      </c>
      <c r="C3842" s="5" t="s">
        <v>20974</v>
      </c>
      <c r="D3842" s="5" t="s">
        <v>20975</v>
      </c>
      <c r="E3842" s="6" t="s">
        <v>74</v>
      </c>
      <c r="F3842" s="6" t="s">
        <v>20976</v>
      </c>
      <c r="G3842" s="3" t="str">
        <f>IFERROR(__xludf.DUMMYFUNCTION("REGEXREPLACE(
D3842,
""([一-龯々]+)\[([^\]]+)\]"",
""&lt;ruby&gt;$1&lt;rt&gt;$2&lt;/rt&gt;&lt;/ruby&gt;""
)&amp;""&lt;br&gt;&lt;div class=""""audio""""&gt;[sound:""&amp;C3842&amp;"".mp3]&lt;/div&gt;"""),"&lt;ruby&gt;大陸&lt;rt&gt;たいりく&lt;/rt&gt;&lt;/ruby&gt;&lt;br&gt;&lt;div class=""audio""&gt;[sound:たいりく.mp3]&lt;/div&gt;")</f>
        <v>&lt;ruby&gt;大陸&lt;rt&gt;たいりく&lt;/rt&gt;&lt;/ruby&gt;&lt;br&gt;&lt;div class="audio"&gt;[sound:たいりく.mp3]&lt;/div&gt;</v>
      </c>
      <c r="H3842" s="3" t="str">
        <f t="shared" si="1"/>
        <v>(n): đại lục</v>
      </c>
      <c r="I3842" s="6" t="s">
        <v>20977</v>
      </c>
      <c r="J3842" s="6" t="s">
        <v>20978</v>
      </c>
      <c r="K3842" s="7">
        <f t="shared" si="2"/>
        <v>0.02083864185</v>
      </c>
    </row>
    <row r="3843">
      <c r="A3843" s="4">
        <v>3843.0</v>
      </c>
      <c r="B3843" s="5" t="s">
        <v>20979</v>
      </c>
      <c r="C3843" s="5" t="s">
        <v>20980</v>
      </c>
      <c r="D3843" s="5" t="s">
        <v>20981</v>
      </c>
      <c r="E3843" s="6" t="s">
        <v>74</v>
      </c>
      <c r="F3843" s="6" t="s">
        <v>20982</v>
      </c>
      <c r="G3843" s="3" t="str">
        <f>IFERROR(__xludf.DUMMYFUNCTION("REGEXREPLACE(
D3843,
""([一-龯々]+)\[([^\]]+)\]"",
""&lt;ruby&gt;$1&lt;rt&gt;$2&lt;/rt&gt;&lt;/ruby&gt;""
)&amp;""&lt;br&gt;&lt;div class=""""audio""""&gt;[sound:""&amp;C3843&amp;"".mp3]&lt;/div&gt;"""),"&lt;ruby&gt;学力&lt;rt&gt;がくりょく&lt;/rt&gt;&lt;/ruby&gt;&lt;br&gt;&lt;div class=""audio""&gt;[sound:がくりょく.mp3]&lt;/div&gt;")</f>
        <v>&lt;ruby&gt;学力&lt;rt&gt;がくりょく&lt;/rt&gt;&lt;/ruby&gt;&lt;br&gt;&lt;div class="audio"&gt;[sound:がくりょく.mp3]&lt;/div&gt;</v>
      </c>
      <c r="H3843" s="3" t="str">
        <f t="shared" si="1"/>
        <v>(n): học lực</v>
      </c>
      <c r="I3843" s="6" t="s">
        <v>20983</v>
      </c>
      <c r="J3843" s="6" t="s">
        <v>20984</v>
      </c>
      <c r="K3843" s="7">
        <f t="shared" si="2"/>
        <v>0.2289707363</v>
      </c>
    </row>
    <row r="3844">
      <c r="A3844" s="4">
        <v>3844.0</v>
      </c>
      <c r="B3844" s="5" t="s">
        <v>20985</v>
      </c>
      <c r="C3844" s="5" t="s">
        <v>20986</v>
      </c>
      <c r="D3844" s="5" t="s">
        <v>20987</v>
      </c>
      <c r="E3844" s="6" t="s">
        <v>24</v>
      </c>
      <c r="F3844" s="6" t="s">
        <v>20988</v>
      </c>
      <c r="G3844" s="3" t="str">
        <f>IFERROR(__xludf.DUMMYFUNCTION("REGEXREPLACE(
D3844,
""([一-龯々]+)\[([^\]]+)\]"",
""&lt;ruby&gt;$1&lt;rt&gt;$2&lt;/rt&gt;&lt;/ruby&gt;""
)&amp;""&lt;br&gt;&lt;div class=""""audio""""&gt;[sound:""&amp;C3844&amp;"".mp3]&lt;/div&gt;"""),"&lt;ruby&gt;生&lt;rt&gt;しょう&lt;/rt&gt;&lt;/ruby&gt;ずる&lt;br&gt;&lt;div class=""audio""&gt;[sound:しょうずる.mp3]&lt;/div&gt;")</f>
        <v>&lt;ruby&gt;生&lt;rt&gt;しょう&lt;/rt&gt;&lt;/ruby&gt;ずる&lt;br&gt;&lt;div class="audio"&gt;[sound:しょうずる.mp3]&lt;/div&gt;</v>
      </c>
      <c r="H3844" s="3" t="str">
        <f t="shared" si="1"/>
        <v>(v): sinh ra</v>
      </c>
      <c r="I3844" s="6" t="s">
        <v>20989</v>
      </c>
      <c r="J3844" s="6" t="s">
        <v>20990</v>
      </c>
      <c r="K3844" s="7">
        <f t="shared" si="2"/>
        <v>0.1796612948</v>
      </c>
    </row>
    <row r="3845">
      <c r="A3845" s="4">
        <v>3845.0</v>
      </c>
      <c r="B3845" s="5" t="s">
        <v>20991</v>
      </c>
      <c r="C3845" s="5" t="s">
        <v>20992</v>
      </c>
      <c r="D3845" s="5" t="s">
        <v>20993</v>
      </c>
      <c r="E3845" s="6" t="s">
        <v>74</v>
      </c>
      <c r="F3845" s="6" t="s">
        <v>20994</v>
      </c>
      <c r="G3845" s="3" t="str">
        <f>IFERROR(__xludf.DUMMYFUNCTION("REGEXREPLACE(
D3845,
""([一-龯々]+)\[([^\]]+)\]"",
""&lt;ruby&gt;$1&lt;rt&gt;$2&lt;/rt&gt;&lt;/ruby&gt;""
)&amp;""&lt;br&gt;&lt;div class=""""audio""""&gt;[sound:""&amp;C3845&amp;"".mp3]&lt;/div&gt;"""),"&lt;ruby&gt;申請&lt;rt&gt;しんせい&lt;/rt&gt;&lt;/ruby&gt;&lt;br&gt;&lt;div class=""audio""&gt;[sound:しんせい.mp3]&lt;/div&gt;")</f>
        <v>&lt;ruby&gt;申請&lt;rt&gt;しんせい&lt;/rt&gt;&lt;/ruby&gt;&lt;br&gt;&lt;div class="audio"&gt;[sound:しんせい.mp3]&lt;/div&gt;</v>
      </c>
      <c r="H3845" s="3" t="str">
        <f t="shared" si="1"/>
        <v>(n): đơn xin</v>
      </c>
      <c r="I3845" s="6" t="s">
        <v>20995</v>
      </c>
      <c r="J3845" s="6" t="s">
        <v>20996</v>
      </c>
      <c r="K3845" s="7">
        <f t="shared" si="2"/>
        <v>0.03679452372</v>
      </c>
    </row>
    <row r="3846">
      <c r="A3846" s="4">
        <v>3846.0</v>
      </c>
      <c r="B3846" s="5" t="s">
        <v>20997</v>
      </c>
      <c r="C3846" s="5" t="s">
        <v>10580</v>
      </c>
      <c r="D3846" s="5" t="s">
        <v>20998</v>
      </c>
      <c r="E3846" s="6" t="s">
        <v>24</v>
      </c>
      <c r="F3846" s="6" t="s">
        <v>7035</v>
      </c>
      <c r="G3846" s="3" t="str">
        <f>IFERROR(__xludf.DUMMYFUNCTION("REGEXREPLACE(
D3846,
""([一-龯々]+)\[([^\]]+)\]"",
""&lt;ruby&gt;$1&lt;rt&gt;$2&lt;/rt&gt;&lt;/ruby&gt;""
)&amp;""&lt;br&gt;&lt;div class=""""audio""""&gt;[sound:""&amp;C3846&amp;"".mp3]&lt;/div&gt;"""),"&lt;ruby&gt;努&lt;rt&gt;つと&lt;/rt&gt;&lt;/ruby&gt;める&lt;br&gt;&lt;div class=""audio""&gt;[sound:つとめる.mp3]&lt;/div&gt;")</f>
        <v>&lt;ruby&gt;努&lt;rt&gt;つと&lt;/rt&gt;&lt;/ruby&gt;める&lt;br&gt;&lt;div class="audio"&gt;[sound:つとめる.mp3]&lt;/div&gt;</v>
      </c>
      <c r="H3846" s="3" t="str">
        <f t="shared" si="1"/>
        <v>(v): nỗ lực</v>
      </c>
      <c r="I3846" s="6" t="s">
        <v>20999</v>
      </c>
      <c r="J3846" s="6" t="s">
        <v>21000</v>
      </c>
      <c r="K3846" s="7">
        <f t="shared" si="2"/>
        <v>0.4278684175</v>
      </c>
    </row>
    <row r="3847">
      <c r="A3847" s="4">
        <v>3847.0</v>
      </c>
      <c r="B3847" s="5" t="s">
        <v>21001</v>
      </c>
      <c r="C3847" s="5" t="s">
        <v>21002</v>
      </c>
      <c r="D3847" s="5" t="s">
        <v>21003</v>
      </c>
      <c r="E3847" s="6" t="s">
        <v>85</v>
      </c>
      <c r="F3847" s="6" t="s">
        <v>14469</v>
      </c>
      <c r="G3847" s="3" t="str">
        <f>IFERROR(__xludf.DUMMYFUNCTION("REGEXREPLACE(
D3847,
""([一-龯々]+)\[([^\]]+)\]"",
""&lt;ruby&gt;$1&lt;rt&gt;$2&lt;/rt&gt;&lt;/ruby&gt;""
)&amp;""&lt;br&gt;&lt;div class=""""audio""""&gt;[sound:""&amp;C3847&amp;"".mp3]&lt;/div&gt;"""),"&lt;ruby&gt;本来&lt;rt&gt;ほんらい&lt;/rt&gt;&lt;/ruby&gt;&lt;br&gt;&lt;div class=""audio""&gt;[sound:ほんらい.mp3]&lt;/div&gt;")</f>
        <v>&lt;ruby&gt;本来&lt;rt&gt;ほんらい&lt;/rt&gt;&lt;/ruby&gt;&lt;br&gt;&lt;div class="audio"&gt;[sound:ほんらい.mp3]&lt;/div&gt;</v>
      </c>
      <c r="H3847" s="3" t="str">
        <f t="shared" si="1"/>
        <v>(adv): vốn dĩ</v>
      </c>
      <c r="I3847" s="6" t="s">
        <v>21004</v>
      </c>
      <c r="J3847" s="6" t="s">
        <v>21005</v>
      </c>
      <c r="K3847" s="7">
        <f t="shared" si="2"/>
        <v>0.0591354449</v>
      </c>
    </row>
    <row r="3848">
      <c r="A3848" s="4">
        <v>3848.0</v>
      </c>
      <c r="B3848" s="5" t="s">
        <v>21006</v>
      </c>
      <c r="C3848" s="5" t="s">
        <v>21007</v>
      </c>
      <c r="D3848" s="5" t="s">
        <v>21008</v>
      </c>
      <c r="E3848" s="6" t="s">
        <v>74</v>
      </c>
      <c r="F3848" s="6" t="s">
        <v>13002</v>
      </c>
      <c r="G3848" s="3" t="str">
        <f>IFERROR(__xludf.DUMMYFUNCTION("REGEXREPLACE(
D3848,
""([一-龯々]+)\[([^\]]+)\]"",
""&lt;ruby&gt;$1&lt;rt&gt;$2&lt;/rt&gt;&lt;/ruby&gt;""
)&amp;""&lt;br&gt;&lt;div class=""""audio""""&gt;[sound:""&amp;C3848&amp;"".mp3]&lt;/div&gt;"""),"&lt;ruby&gt;自慢&lt;rt&gt;じまん&lt;/rt&gt;&lt;/ruby&gt;&lt;br&gt;&lt;div class=""audio""&gt;[sound:じまん.mp3]&lt;/div&gt;")</f>
        <v>&lt;ruby&gt;自慢&lt;rt&gt;じまん&lt;/rt&gt;&lt;/ruby&gt;&lt;br&gt;&lt;div class="audio"&gt;[sound:じまん.mp3]&lt;/div&gt;</v>
      </c>
      <c r="H3848" s="3" t="str">
        <f t="shared" si="1"/>
        <v>(n): tự hào</v>
      </c>
      <c r="I3848" s="6" t="s">
        <v>21009</v>
      </c>
      <c r="J3848" s="6" t="s">
        <v>21010</v>
      </c>
      <c r="K3848" s="7">
        <f t="shared" si="2"/>
        <v>0.4976867413</v>
      </c>
    </row>
    <row r="3849">
      <c r="A3849" s="4">
        <v>3849.0</v>
      </c>
      <c r="B3849" s="5" t="s">
        <v>21011</v>
      </c>
      <c r="C3849" s="5" t="s">
        <v>21012</v>
      </c>
      <c r="D3849" s="5" t="s">
        <v>21013</v>
      </c>
      <c r="E3849" s="6" t="s">
        <v>24</v>
      </c>
      <c r="F3849" s="6" t="s">
        <v>21014</v>
      </c>
      <c r="G3849" s="3" t="str">
        <f>IFERROR(__xludf.DUMMYFUNCTION("REGEXREPLACE(
D3849,
""([一-龯々]+)\[([^\]]+)\]"",
""&lt;ruby&gt;$1&lt;rt&gt;$2&lt;/rt&gt;&lt;/ruby&gt;""
)&amp;""&lt;br&gt;&lt;div class=""""audio""""&gt;[sound:""&amp;C3849&amp;"".mp3]&lt;/div&gt;"""),"&lt;ruby&gt;飛&lt;rt&gt;と&lt;/rt&gt;&lt;/ruby&gt;び&lt;ruby&gt;出&lt;rt&gt;だ&lt;/rt&gt;&lt;/ruby&gt;す&lt;br&gt;&lt;div class=""audio""&gt;[sound:とびだす.mp3]&lt;/div&gt;")</f>
        <v>&lt;ruby&gt;飛&lt;rt&gt;と&lt;/rt&gt;&lt;/ruby&gt;び&lt;ruby&gt;出&lt;rt&gt;だ&lt;/rt&gt;&lt;/ruby&gt;す&lt;br&gt;&lt;div class="audio"&gt;[sound:とびだす.mp3]&lt;/div&gt;</v>
      </c>
      <c r="H3849" s="3" t="str">
        <f t="shared" si="1"/>
        <v>(v): lao ra</v>
      </c>
      <c r="I3849" s="6" t="s">
        <v>21015</v>
      </c>
      <c r="J3849" s="6" t="s">
        <v>21016</v>
      </c>
      <c r="K3849" s="7">
        <f t="shared" si="2"/>
        <v>0.2357685928</v>
      </c>
    </row>
    <row r="3850">
      <c r="A3850" s="4">
        <v>3850.0</v>
      </c>
      <c r="B3850" s="5" t="s">
        <v>21017</v>
      </c>
      <c r="C3850" s="5" t="s">
        <v>21018</v>
      </c>
      <c r="D3850" s="5" t="s">
        <v>21019</v>
      </c>
      <c r="E3850" s="6" t="s">
        <v>24</v>
      </c>
      <c r="F3850" s="6" t="s">
        <v>172</v>
      </c>
      <c r="G3850" s="3" t="str">
        <f>IFERROR(__xludf.DUMMYFUNCTION("REGEXREPLACE(
D3850,
""([一-龯々]+)\[([^\]]+)\]"",
""&lt;ruby&gt;$1&lt;rt&gt;$2&lt;/rt&gt;&lt;/ruby&gt;""
)&amp;""&lt;br&gt;&lt;div class=""""audio""""&gt;[sound:""&amp;C3850&amp;"".mp3]&lt;/div&gt;"""),"&lt;ruby&gt;拝見&lt;rt&gt;はいけん&lt;/rt&gt;&lt;/ruby&gt;&lt;br&gt;&lt;div class=""audio""&gt;[sound:はいけん.mp3]&lt;/div&gt;")</f>
        <v>&lt;ruby&gt;拝見&lt;rt&gt;はいけん&lt;/rt&gt;&lt;/ruby&gt;&lt;br&gt;&lt;div class="audio"&gt;[sound:はいけん.mp3]&lt;/div&gt;</v>
      </c>
      <c r="H3850" s="3" t="str">
        <f t="shared" si="1"/>
        <v>(v): xem</v>
      </c>
      <c r="I3850" s="6" t="s">
        <v>21020</v>
      </c>
      <c r="J3850" s="6" t="s">
        <v>21021</v>
      </c>
      <c r="K3850" s="7">
        <f t="shared" si="2"/>
        <v>0.3887521198</v>
      </c>
    </row>
    <row r="3851">
      <c r="A3851" s="4">
        <v>3851.0</v>
      </c>
      <c r="B3851" s="5" t="s">
        <v>21022</v>
      </c>
      <c r="C3851" s="5" t="s">
        <v>21023</v>
      </c>
      <c r="D3851" s="5" t="s">
        <v>21024</v>
      </c>
      <c r="E3851" s="6" t="s">
        <v>74</v>
      </c>
      <c r="F3851" s="6" t="s">
        <v>21025</v>
      </c>
      <c r="G3851" s="3" t="str">
        <f>IFERROR(__xludf.DUMMYFUNCTION("REGEXREPLACE(
D3851,
""([一-龯々]+)\[([^\]]+)\]"",
""&lt;ruby&gt;$1&lt;rt&gt;$2&lt;/rt&gt;&lt;/ruby&gt;""
)&amp;""&lt;br&gt;&lt;div class=""""audio""""&gt;[sound:""&amp;C3851&amp;"".mp3]&lt;/div&gt;"""),"&lt;ruby&gt;直流&lt;rt&gt;ちょくりゅう&lt;/rt&gt;&lt;/ruby&gt;&lt;br&gt;&lt;div class=""audio""&gt;[sound:ちょくりゅう.mp3]&lt;/div&gt;")</f>
        <v>&lt;ruby&gt;直流&lt;rt&gt;ちょくりゅう&lt;/rt&gt;&lt;/ruby&gt;&lt;br&gt;&lt;div class="audio"&gt;[sound:ちょくりゅう.mp3]&lt;/div&gt;</v>
      </c>
      <c r="H3851" s="3" t="str">
        <f t="shared" si="1"/>
        <v>(n): dòng điện một chiều</v>
      </c>
      <c r="I3851" s="6" t="s">
        <v>21026</v>
      </c>
      <c r="J3851" s="6" t="s">
        <v>21027</v>
      </c>
      <c r="K3851" s="7">
        <f t="shared" si="2"/>
        <v>0.6361137343</v>
      </c>
    </row>
    <row r="3852">
      <c r="A3852" s="4">
        <v>3852.0</v>
      </c>
      <c r="B3852" s="5" t="s">
        <v>21028</v>
      </c>
      <c r="C3852" s="5" t="s">
        <v>21029</v>
      </c>
      <c r="D3852" s="5" t="s">
        <v>21030</v>
      </c>
      <c r="E3852" s="6" t="s">
        <v>11</v>
      </c>
      <c r="F3852" s="6" t="s">
        <v>21031</v>
      </c>
      <c r="G3852" s="3" t="str">
        <f>IFERROR(__xludf.DUMMYFUNCTION("REGEXREPLACE(
D3852,
""([一-龯々]+)\[([^\]]+)\]"",
""&lt;ruby&gt;$1&lt;rt&gt;$2&lt;/rt&gt;&lt;/ruby&gt;""
)&amp;""&lt;br&gt;&lt;div class=""""audio""""&gt;[sound:""&amp;C3852&amp;"".mp3]&lt;/div&gt;"""),"&lt;ruby&gt;素直&lt;rt&gt;すなお&lt;/rt&gt;&lt;/ruby&gt;&lt;br&gt;&lt;div class=""audio""&gt;[sound:すなお.mp3]&lt;/div&gt;")</f>
        <v>&lt;ruby&gt;素直&lt;rt&gt;すなお&lt;/rt&gt;&lt;/ruby&gt;&lt;br&gt;&lt;div class="audio"&gt;[sound:すなお.mp3]&lt;/div&gt;</v>
      </c>
      <c r="H3852" s="3" t="str">
        <f t="shared" si="1"/>
        <v>(adj): ngoan ngoãn</v>
      </c>
      <c r="I3852" s="6" t="s">
        <v>21032</v>
      </c>
      <c r="J3852" s="6" t="s">
        <v>21033</v>
      </c>
      <c r="K3852" s="7">
        <f t="shared" si="2"/>
        <v>0.1379410822</v>
      </c>
    </row>
    <row r="3853">
      <c r="A3853" s="4">
        <v>3853.0</v>
      </c>
      <c r="B3853" s="5" t="s">
        <v>21034</v>
      </c>
      <c r="C3853" s="5" t="s">
        <v>21035</v>
      </c>
      <c r="D3853" s="5" t="s">
        <v>21036</v>
      </c>
      <c r="E3853" s="6" t="s">
        <v>24</v>
      </c>
      <c r="F3853" s="6" t="s">
        <v>17244</v>
      </c>
      <c r="G3853" s="3" t="str">
        <f>IFERROR(__xludf.DUMMYFUNCTION("REGEXREPLACE(
D3853,
""([一-龯々]+)\[([^\]]+)\]"",
""&lt;ruby&gt;$1&lt;rt&gt;$2&lt;/rt&gt;&lt;/ruby&gt;""
)&amp;""&lt;br&gt;&lt;div class=""""audio""""&gt;[sound:""&amp;C3853&amp;"".mp3]&lt;/div&gt;"""),"&lt;ruby&gt;光&lt;rt&gt;ひか&lt;/rt&gt;&lt;/ruby&gt;る&lt;br&gt;&lt;div class=""audio""&gt;[sound:ひかる.mp3]&lt;/div&gt;")</f>
        <v>&lt;ruby&gt;光&lt;rt&gt;ひか&lt;/rt&gt;&lt;/ruby&gt;る&lt;br&gt;&lt;div class="audio"&gt;[sound:ひかる.mp3]&lt;/div&gt;</v>
      </c>
      <c r="H3853" s="3" t="str">
        <f t="shared" si="1"/>
        <v>(v): tỏa sáng</v>
      </c>
      <c r="I3853" s="6" t="s">
        <v>21037</v>
      </c>
      <c r="J3853" s="6" t="s">
        <v>21038</v>
      </c>
      <c r="K3853" s="7">
        <f t="shared" si="2"/>
        <v>0.8393557124</v>
      </c>
    </row>
    <row r="3854">
      <c r="A3854" s="4">
        <v>3854.0</v>
      </c>
      <c r="B3854" s="5" t="s">
        <v>21039</v>
      </c>
      <c r="C3854" s="5" t="s">
        <v>21040</v>
      </c>
      <c r="D3854" s="5" t="s">
        <v>21041</v>
      </c>
      <c r="E3854" s="6" t="s">
        <v>74</v>
      </c>
      <c r="F3854" s="6" t="s">
        <v>21042</v>
      </c>
      <c r="G3854" s="3" t="str">
        <f>IFERROR(__xludf.DUMMYFUNCTION("REGEXREPLACE(
D3854,
""([一-龯々]+)\[([^\]]+)\]"",
""&lt;ruby&gt;$1&lt;rt&gt;$2&lt;/rt&gt;&lt;/ruby&gt;""
)&amp;""&lt;br&gt;&lt;div class=""""audio""""&gt;[sound:""&amp;C3854&amp;"".mp3]&lt;/div&gt;"""),"&lt;ruby&gt;刺激&lt;rt&gt;しげき&lt;/rt&gt;&lt;/ruby&gt;&lt;br&gt;&lt;div class=""audio""&gt;[sound:しげき.mp3]&lt;/div&gt;")</f>
        <v>&lt;ruby&gt;刺激&lt;rt&gt;しげき&lt;/rt&gt;&lt;/ruby&gt;&lt;br&gt;&lt;div class="audio"&gt;[sound:しげき.mp3]&lt;/div&gt;</v>
      </c>
      <c r="H3854" s="3" t="str">
        <f t="shared" si="1"/>
        <v>(n): kích thích</v>
      </c>
      <c r="I3854" s="6" t="s">
        <v>21043</v>
      </c>
      <c r="J3854" s="6" t="s">
        <v>21044</v>
      </c>
      <c r="K3854" s="7">
        <f t="shared" si="2"/>
        <v>0.6661935457</v>
      </c>
    </row>
    <row r="3855">
      <c r="A3855" s="4">
        <v>3855.0</v>
      </c>
      <c r="B3855" s="5" t="s">
        <v>21045</v>
      </c>
      <c r="C3855" s="5" t="s">
        <v>21046</v>
      </c>
      <c r="D3855" s="5" t="s">
        <v>21047</v>
      </c>
      <c r="E3855" s="6" t="s">
        <v>74</v>
      </c>
      <c r="F3855" s="6" t="s">
        <v>21048</v>
      </c>
      <c r="G3855" s="3" t="str">
        <f>IFERROR(__xludf.DUMMYFUNCTION("REGEXREPLACE(
D3855,
""([一-龯々]+)\[([^\]]+)\]"",
""&lt;ruby&gt;$1&lt;rt&gt;$2&lt;/rt&gt;&lt;/ruby&gt;""
)&amp;""&lt;br&gt;&lt;div class=""""audio""""&gt;[sound:""&amp;C3855&amp;"".mp3]&lt;/div&gt;"""),"&lt;ruby&gt;日付&lt;rt&gt;ひづけ&lt;/rt&gt;&lt;/ruby&gt;&lt;br&gt;&lt;div class=""audio""&gt;[sound:ひづけ.mp3]&lt;/div&gt;")</f>
        <v>&lt;ruby&gt;日付&lt;rt&gt;ひづけ&lt;/rt&gt;&lt;/ruby&gt;&lt;br&gt;&lt;div class="audio"&gt;[sound:ひづけ.mp3]&lt;/div&gt;</v>
      </c>
      <c r="H3855" s="3" t="str">
        <f t="shared" si="1"/>
        <v>(n): ngày tháng</v>
      </c>
      <c r="I3855" s="6" t="s">
        <v>21049</v>
      </c>
      <c r="J3855" s="6" t="s">
        <v>21050</v>
      </c>
      <c r="K3855" s="7">
        <f t="shared" si="2"/>
        <v>0.4653801636</v>
      </c>
    </row>
    <row r="3856">
      <c r="A3856" s="4">
        <v>3856.0</v>
      </c>
      <c r="B3856" s="5" t="s">
        <v>21051</v>
      </c>
      <c r="C3856" s="5" t="s">
        <v>21052</v>
      </c>
      <c r="D3856" s="5" t="s">
        <v>21053</v>
      </c>
      <c r="E3856" s="6" t="s">
        <v>11</v>
      </c>
      <c r="F3856" s="6" t="s">
        <v>21054</v>
      </c>
      <c r="G3856" s="3" t="str">
        <f>IFERROR(__xludf.DUMMYFUNCTION("REGEXREPLACE(
D3856,
""([一-龯々]+)\[([^\]]+)\]"",
""&lt;ruby&gt;$1&lt;rt&gt;$2&lt;/rt&gt;&lt;/ruby&gt;""
)&amp;""&lt;br&gt;&lt;div class=""""audio""""&gt;[sound:""&amp;C3856&amp;"".mp3]&lt;/div&gt;"""),"&lt;ruby&gt;妥当&lt;rt&gt;だとう&lt;/rt&gt;&lt;/ruby&gt;&lt;br&gt;&lt;div class=""audio""&gt;[sound:だとう.mp3]&lt;/div&gt;")</f>
        <v>&lt;ruby&gt;妥当&lt;rt&gt;だとう&lt;/rt&gt;&lt;/ruby&gt;&lt;br&gt;&lt;div class="audio"&gt;[sound:だとう.mp3]&lt;/div&gt;</v>
      </c>
      <c r="H3856" s="3" t="str">
        <f t="shared" si="1"/>
        <v>(adj): thỏa đáng</v>
      </c>
      <c r="I3856" s="6" t="s">
        <v>21055</v>
      </c>
      <c r="J3856" s="6" t="s">
        <v>21056</v>
      </c>
      <c r="K3856" s="7">
        <f t="shared" si="2"/>
        <v>0.2672392612</v>
      </c>
    </row>
    <row r="3857">
      <c r="A3857" s="4">
        <v>3857.0</v>
      </c>
      <c r="B3857" s="5" t="s">
        <v>21057</v>
      </c>
      <c r="C3857" s="5" t="s">
        <v>21058</v>
      </c>
      <c r="D3857" s="5" t="s">
        <v>21059</v>
      </c>
      <c r="E3857" s="6" t="s">
        <v>74</v>
      </c>
      <c r="F3857" s="6" t="s">
        <v>21060</v>
      </c>
      <c r="G3857" s="3" t="str">
        <f>IFERROR(__xludf.DUMMYFUNCTION("REGEXREPLACE(
D3857,
""([一-龯々]+)\[([^\]]+)\]"",
""&lt;ruby&gt;$1&lt;rt&gt;$2&lt;/rt&gt;&lt;/ruby&gt;""
)&amp;""&lt;br&gt;&lt;div class=""""audio""""&gt;[sound:""&amp;C3857&amp;"".mp3]&lt;/div&gt;"""),"&lt;ruby&gt;役者&lt;rt&gt;やくしゃ&lt;/rt&gt;&lt;/ruby&gt;&lt;br&gt;&lt;div class=""audio""&gt;[sound:やくしゃ.mp3]&lt;/div&gt;")</f>
        <v>&lt;ruby&gt;役者&lt;rt&gt;やくしゃ&lt;/rt&gt;&lt;/ruby&gt;&lt;br&gt;&lt;div class="audio"&gt;[sound:やくしゃ.mp3]&lt;/div&gt;</v>
      </c>
      <c r="H3857" s="3" t="str">
        <f t="shared" si="1"/>
        <v>(n): diễn viên</v>
      </c>
      <c r="I3857" s="6" t="s">
        <v>21061</v>
      </c>
      <c r="J3857" s="6" t="s">
        <v>21062</v>
      </c>
      <c r="K3857" s="7">
        <f t="shared" si="2"/>
        <v>0.8472199653</v>
      </c>
    </row>
    <row r="3858">
      <c r="A3858" s="4">
        <v>3858.0</v>
      </c>
      <c r="B3858" s="5" t="s">
        <v>21063</v>
      </c>
      <c r="C3858" s="5" t="s">
        <v>21064</v>
      </c>
      <c r="D3858" s="5" t="s">
        <v>21065</v>
      </c>
      <c r="E3858" s="6" t="s">
        <v>74</v>
      </c>
      <c r="F3858" s="6" t="s">
        <v>21066</v>
      </c>
      <c r="G3858" s="3" t="str">
        <f>IFERROR(__xludf.DUMMYFUNCTION("REGEXREPLACE(
D3858,
""([一-龯々]+)\[([^\]]+)\]"",
""&lt;ruby&gt;$1&lt;rt&gt;$2&lt;/rt&gt;&lt;/ruby&gt;""
)&amp;""&lt;br&gt;&lt;div class=""""audio""""&gt;[sound:""&amp;C3858&amp;"".mp3]&lt;/div&gt;"""),"&lt;ruby&gt;生命&lt;rt&gt;せいめい&lt;/rt&gt;&lt;/ruby&gt;&lt;br&gt;&lt;div class=""audio""&gt;[sound:せいめい.mp3]&lt;/div&gt;")</f>
        <v>&lt;ruby&gt;生命&lt;rt&gt;せいめい&lt;/rt&gt;&lt;/ruby&gt;&lt;br&gt;&lt;div class="audio"&gt;[sound:せいめい.mp3]&lt;/div&gt;</v>
      </c>
      <c r="H3858" s="3" t="str">
        <f t="shared" si="1"/>
        <v>(n): sinh mệnh</v>
      </c>
      <c r="I3858" s="6" t="s">
        <v>21067</v>
      </c>
      <c r="J3858" s="6" t="s">
        <v>21068</v>
      </c>
      <c r="K3858" s="7">
        <f t="shared" si="2"/>
        <v>0.4410370625</v>
      </c>
    </row>
    <row r="3859">
      <c r="A3859" s="4">
        <v>3859.0</v>
      </c>
      <c r="B3859" s="5" t="s">
        <v>21069</v>
      </c>
      <c r="C3859" s="5" t="s">
        <v>21070</v>
      </c>
      <c r="D3859" s="5" t="s">
        <v>21071</v>
      </c>
      <c r="E3859" s="6" t="s">
        <v>74</v>
      </c>
      <c r="F3859" s="6" t="s">
        <v>21072</v>
      </c>
      <c r="G3859" s="3" t="str">
        <f>IFERROR(__xludf.DUMMYFUNCTION("REGEXREPLACE(
D3859,
""([一-龯々]+)\[([^\]]+)\]"",
""&lt;ruby&gt;$1&lt;rt&gt;$2&lt;/rt&gt;&lt;/ruby&gt;""
)&amp;""&lt;br&gt;&lt;div class=""""audio""""&gt;[sound:""&amp;C3859&amp;"".mp3]&lt;/div&gt;"""),"&lt;ruby&gt;観念&lt;rt&gt;かんねん&lt;/rt&gt;&lt;/ruby&gt;&lt;br&gt;&lt;div class=""audio""&gt;[sound:かんねん.mp3]&lt;/div&gt;")</f>
        <v>&lt;ruby&gt;観念&lt;rt&gt;かんねん&lt;/rt&gt;&lt;/ruby&gt;&lt;br&gt;&lt;div class="audio"&gt;[sound:かんねん.mp3]&lt;/div&gt;</v>
      </c>
      <c r="H3859" s="3" t="str">
        <f t="shared" si="1"/>
        <v>(n): quan niệm</v>
      </c>
      <c r="I3859" s="6" t="s">
        <v>21073</v>
      </c>
      <c r="J3859" s="6" t="s">
        <v>21074</v>
      </c>
      <c r="K3859" s="7">
        <f t="shared" si="2"/>
        <v>0.3325223322</v>
      </c>
    </row>
    <row r="3860">
      <c r="A3860" s="4">
        <v>3860.0</v>
      </c>
      <c r="B3860" s="5" t="s">
        <v>21075</v>
      </c>
      <c r="C3860" s="5" t="s">
        <v>21076</v>
      </c>
      <c r="D3860" s="5" t="s">
        <v>21077</v>
      </c>
      <c r="E3860" s="6" t="s">
        <v>74</v>
      </c>
      <c r="F3860" s="6" t="s">
        <v>21078</v>
      </c>
      <c r="G3860" s="3" t="str">
        <f>IFERROR(__xludf.DUMMYFUNCTION("REGEXREPLACE(
D3860,
""([一-龯々]+)\[([^\]]+)\]"",
""&lt;ruby&gt;$1&lt;rt&gt;$2&lt;/rt&gt;&lt;/ruby&gt;""
)&amp;""&lt;br&gt;&lt;div class=""""audio""""&gt;[sound:""&amp;C3860&amp;"".mp3]&lt;/div&gt;"""),"&lt;ruby&gt;観測&lt;rt&gt;かんそく&lt;/rt&gt;&lt;/ruby&gt;&lt;br&gt;&lt;div class=""audio""&gt;[sound:かんそく.mp3]&lt;/div&gt;")</f>
        <v>&lt;ruby&gt;観測&lt;rt&gt;かんそく&lt;/rt&gt;&lt;/ruby&gt;&lt;br&gt;&lt;div class="audio"&gt;[sound:かんそく.mp3]&lt;/div&gt;</v>
      </c>
      <c r="H3860" s="3" t="str">
        <f t="shared" si="1"/>
        <v>(n): quan trắc</v>
      </c>
      <c r="I3860" s="6" t="s">
        <v>21079</v>
      </c>
      <c r="J3860" s="6" t="s">
        <v>21080</v>
      </c>
      <c r="K3860" s="7">
        <f t="shared" si="2"/>
        <v>0.785986514</v>
      </c>
    </row>
    <row r="3861">
      <c r="A3861" s="4">
        <v>3861.0</v>
      </c>
      <c r="B3861" s="5" t="s">
        <v>21081</v>
      </c>
      <c r="C3861" s="5" t="s">
        <v>21082</v>
      </c>
      <c r="D3861" s="5" t="s">
        <v>21083</v>
      </c>
      <c r="E3861" s="6" t="s">
        <v>24</v>
      </c>
      <c r="F3861" s="6" t="s">
        <v>8393</v>
      </c>
      <c r="G3861" s="3" t="str">
        <f>IFERROR(__xludf.DUMMYFUNCTION("REGEXREPLACE(
D3861,
""([一-龯々]+)\[([^\]]+)\]"",
""&lt;ruby&gt;$1&lt;rt&gt;$2&lt;/rt&gt;&lt;/ruby&gt;""
)&amp;""&lt;br&gt;&lt;div class=""""audio""""&gt;[sound:""&amp;C3861&amp;"".mp3]&lt;/div&gt;"""),"&lt;ruby&gt;逆&lt;rt&gt;さか&lt;/rt&gt;&lt;/ruby&gt;らう&lt;br&gt;&lt;div class=""audio""&gt;[sound:さからう.mp3]&lt;/div&gt;")</f>
        <v>&lt;ruby&gt;逆&lt;rt&gt;さか&lt;/rt&gt;&lt;/ruby&gt;らう&lt;br&gt;&lt;div class="audio"&gt;[sound:さからう.mp3]&lt;/div&gt;</v>
      </c>
      <c r="H3861" s="3" t="str">
        <f t="shared" si="1"/>
        <v>(v): ngược lại</v>
      </c>
      <c r="I3861" s="6" t="s">
        <v>21084</v>
      </c>
      <c r="J3861" s="6" t="s">
        <v>21085</v>
      </c>
      <c r="K3861" s="7">
        <f t="shared" si="2"/>
        <v>0.6815765361</v>
      </c>
    </row>
    <row r="3862">
      <c r="A3862" s="4">
        <v>3862.0</v>
      </c>
      <c r="B3862" s="5" t="s">
        <v>21086</v>
      </c>
      <c r="C3862" s="5" t="s">
        <v>21087</v>
      </c>
      <c r="D3862" s="5" t="s">
        <v>21088</v>
      </c>
      <c r="E3862" s="6" t="s">
        <v>74</v>
      </c>
      <c r="F3862" s="6" t="s">
        <v>21089</v>
      </c>
      <c r="G3862" s="3" t="str">
        <f>IFERROR(__xludf.DUMMYFUNCTION("REGEXREPLACE(
D3862,
""([一-龯々]+)\[([^\]]+)\]"",
""&lt;ruby&gt;$1&lt;rt&gt;$2&lt;/rt&gt;&lt;/ruby&gt;""
)&amp;""&lt;br&gt;&lt;div class=""""audio""""&gt;[sound:""&amp;C3862&amp;"".mp3]&lt;/div&gt;"""),"&lt;ruby&gt;応対&lt;rt&gt;おうたい&lt;/rt&gt;&lt;/ruby&gt;&lt;br&gt;&lt;div class=""audio""&gt;[sound:おうたい.mp3]&lt;/div&gt;")</f>
        <v>&lt;ruby&gt;応対&lt;rt&gt;おうたい&lt;/rt&gt;&lt;/ruby&gt;&lt;br&gt;&lt;div class="audio"&gt;[sound:おうたい.mp3]&lt;/div&gt;</v>
      </c>
      <c r="H3862" s="3" t="str">
        <f t="shared" si="1"/>
        <v>(n): tiếp đón</v>
      </c>
      <c r="I3862" s="6" t="s">
        <v>21090</v>
      </c>
      <c r="J3862" s="6" t="s">
        <v>21091</v>
      </c>
      <c r="K3862" s="7">
        <f t="shared" si="2"/>
        <v>0.4440800422</v>
      </c>
    </row>
    <row r="3863">
      <c r="A3863" s="4">
        <v>3863.0</v>
      </c>
      <c r="B3863" s="5" t="s">
        <v>21092</v>
      </c>
      <c r="C3863" s="5" t="s">
        <v>21093</v>
      </c>
      <c r="D3863" s="5" t="s">
        <v>21094</v>
      </c>
      <c r="E3863" s="6" t="s">
        <v>24</v>
      </c>
      <c r="F3863" s="6" t="s">
        <v>21095</v>
      </c>
      <c r="G3863" s="3" t="str">
        <f>IFERROR(__xludf.DUMMYFUNCTION("REGEXREPLACE(
D3863,
""([一-龯々]+)\[([^\]]+)\]"",
""&lt;ruby&gt;$1&lt;rt&gt;$2&lt;/rt&gt;&lt;/ruby&gt;""
)&amp;""&lt;br&gt;&lt;div class=""""audio""""&gt;[sound:""&amp;C3863&amp;"".mp3]&lt;/div&gt;"""),"&lt;ruby&gt;払&lt;rt&gt;はら&lt;/rt&gt;&lt;/ruby&gt;い&lt;ruby&gt;込&lt;rt&gt;こ&lt;/rt&gt;&lt;/ruby&gt;む&lt;br&gt;&lt;div class=""audio""&gt;[sound:はらいこむ.mp3]&lt;/div&gt;")</f>
        <v>&lt;ruby&gt;払&lt;rt&gt;はら&lt;/rt&gt;&lt;/ruby&gt;い&lt;ruby&gt;込&lt;rt&gt;こ&lt;/rt&gt;&lt;/ruby&gt;む&lt;br&gt;&lt;div class="audio"&gt;[sound:はらいこむ.mp3]&lt;/div&gt;</v>
      </c>
      <c r="H3863" s="3" t="str">
        <f t="shared" si="1"/>
        <v>(v): nộp tiền</v>
      </c>
      <c r="I3863" s="6" t="s">
        <v>21096</v>
      </c>
      <c r="J3863" s="6" t="s">
        <v>21097</v>
      </c>
      <c r="K3863" s="7">
        <f t="shared" si="2"/>
        <v>0.02100818969</v>
      </c>
    </row>
    <row r="3864">
      <c r="A3864" s="4">
        <v>3864.0</v>
      </c>
      <c r="B3864" s="5" t="s">
        <v>21098</v>
      </c>
      <c r="C3864" s="5" t="s">
        <v>21099</v>
      </c>
      <c r="D3864" s="5" t="s">
        <v>21100</v>
      </c>
      <c r="E3864" s="6" t="s">
        <v>24</v>
      </c>
      <c r="F3864" s="6" t="s">
        <v>21101</v>
      </c>
      <c r="G3864" s="3" t="str">
        <f>IFERROR(__xludf.DUMMYFUNCTION("REGEXREPLACE(
D3864,
""([一-龯々]+)\[([^\]]+)\]"",
""&lt;ruby&gt;$1&lt;rt&gt;$2&lt;/rt&gt;&lt;/ruby&gt;""
)&amp;""&lt;br&gt;&lt;div class=""""audio""""&gt;[sound:""&amp;C3864&amp;"".mp3]&lt;/div&gt;"""),"&lt;ruby&gt;飛&lt;rt&gt;と&lt;/rt&gt;&lt;/ruby&gt;び&lt;ruby&gt;込&lt;rt&gt;こ&lt;/rt&gt;&lt;/ruby&gt;む&lt;br&gt;&lt;div class=""audio""&gt;[sound:とびこむ.mp3]&lt;/div&gt;")</f>
        <v>&lt;ruby&gt;飛&lt;rt&gt;と&lt;/rt&gt;&lt;/ruby&gt;び&lt;ruby&gt;込&lt;rt&gt;こ&lt;/rt&gt;&lt;/ruby&gt;む&lt;br&gt;&lt;div class="audio"&gt;[sound:とびこむ.mp3]&lt;/div&gt;</v>
      </c>
      <c r="H3864" s="3" t="str">
        <f t="shared" si="1"/>
        <v>(v): nhảy vào</v>
      </c>
      <c r="I3864" s="6" t="s">
        <v>21102</v>
      </c>
      <c r="J3864" s="6" t="s">
        <v>21103</v>
      </c>
      <c r="K3864" s="7">
        <f t="shared" si="2"/>
        <v>0.1157664757</v>
      </c>
    </row>
    <row r="3865">
      <c r="A3865" s="4">
        <v>3865.0</v>
      </c>
      <c r="B3865" s="5" t="s">
        <v>21104</v>
      </c>
      <c r="C3865" s="5" t="s">
        <v>21105</v>
      </c>
      <c r="D3865" s="5" t="s">
        <v>21106</v>
      </c>
      <c r="E3865" s="6" t="s">
        <v>85</v>
      </c>
      <c r="F3865" s="6" t="s">
        <v>3348</v>
      </c>
      <c r="G3865" s="3" t="str">
        <f>IFERROR(__xludf.DUMMYFUNCTION("REGEXREPLACE(
D3865,
""([一-龯々]+)\[([^\]]+)\]"",
""&lt;ruby&gt;$1&lt;rt&gt;$2&lt;/rt&gt;&lt;/ruby&gt;""
)&amp;""&lt;br&gt;&lt;div class=""""audio""""&gt;[sound:""&amp;C3865&amp;"".mp3]&lt;/div&gt;"""),"&lt;ruby&gt;先程&lt;rt&gt;さきほど&lt;/rt&gt;&lt;/ruby&gt;&lt;br&gt;&lt;div class=""audio""&gt;[sound:さきほど.mp3]&lt;/div&gt;")</f>
        <v>&lt;ruby&gt;先程&lt;rt&gt;さきほど&lt;/rt&gt;&lt;/ruby&gt;&lt;br&gt;&lt;div class="audio"&gt;[sound:さきほど.mp3]&lt;/div&gt;</v>
      </c>
      <c r="H3865" s="3" t="str">
        <f t="shared" si="1"/>
        <v>(adv): vừa nãy</v>
      </c>
      <c r="I3865" s="6" t="s">
        <v>21107</v>
      </c>
      <c r="J3865" s="6" t="s">
        <v>21108</v>
      </c>
      <c r="K3865" s="7">
        <f t="shared" si="2"/>
        <v>0.5467920138</v>
      </c>
    </row>
    <row r="3866">
      <c r="A3866" s="4">
        <v>3866.0</v>
      </c>
      <c r="B3866" s="5" t="s">
        <v>21109</v>
      </c>
      <c r="C3866" s="5" t="s">
        <v>12200</v>
      </c>
      <c r="D3866" s="5" t="s">
        <v>21110</v>
      </c>
      <c r="E3866" s="6" t="s">
        <v>74</v>
      </c>
      <c r="F3866" s="6" t="s">
        <v>21111</v>
      </c>
      <c r="G3866" s="3" t="str">
        <f>IFERROR(__xludf.DUMMYFUNCTION("REGEXREPLACE(
D3866,
""([一-龯々]+)\[([^\]]+)\]"",
""&lt;ruby&gt;$1&lt;rt&gt;$2&lt;/rt&gt;&lt;/ruby&gt;""
)&amp;""&lt;br&gt;&lt;div class=""""audio""""&gt;[sound:""&amp;C3866&amp;"".mp3]&lt;/div&gt;"""),"&lt;ruby&gt;公表&lt;rt&gt;こうひょう&lt;/rt&gt;&lt;/ruby&gt;&lt;br&gt;&lt;div class=""audio""&gt;[sound:こうひょう.mp3]&lt;/div&gt;")</f>
        <v>&lt;ruby&gt;公表&lt;rt&gt;こうひょう&lt;/rt&gt;&lt;/ruby&gt;&lt;br&gt;&lt;div class="audio"&gt;[sound:こうひょう.mp3]&lt;/div&gt;</v>
      </c>
      <c r="H3866" s="3" t="str">
        <f t="shared" si="1"/>
        <v>(n): công bố</v>
      </c>
      <c r="I3866" s="6" t="s">
        <v>21112</v>
      </c>
      <c r="J3866" s="6" t="s">
        <v>21113</v>
      </c>
      <c r="K3866" s="7">
        <f t="shared" si="2"/>
        <v>0.2281489545</v>
      </c>
    </row>
    <row r="3867">
      <c r="A3867" s="4">
        <v>3867.0</v>
      </c>
      <c r="B3867" s="5" t="s">
        <v>21114</v>
      </c>
      <c r="C3867" s="5" t="s">
        <v>21115</v>
      </c>
      <c r="D3867" s="5" t="s">
        <v>21116</v>
      </c>
      <c r="E3867" s="6" t="s">
        <v>24</v>
      </c>
      <c r="F3867" s="6" t="s">
        <v>21117</v>
      </c>
      <c r="G3867" s="3" t="str">
        <f>IFERROR(__xludf.DUMMYFUNCTION("REGEXREPLACE(
D3867,
""([一-龯々]+)\[([^\]]+)\]"",
""&lt;ruby&gt;$1&lt;rt&gt;$2&lt;/rt&gt;&lt;/ruby&gt;""
)&amp;""&lt;br&gt;&lt;div class=""""audio""""&gt;[sound:""&amp;C3867&amp;"".mp3]&lt;/div&gt;"""),"&lt;ruby&gt;引&lt;rt&gt;ひ&lt;/rt&gt;&lt;/ruby&gt;っ&lt;ruby&gt;込&lt;rt&gt;こ&lt;/rt&gt;&lt;/ruby&gt;む&lt;br&gt;&lt;div class=""audio""&gt;[sound:ひっこむ.mp3]&lt;/div&gt;")</f>
        <v>&lt;ruby&gt;引&lt;rt&gt;ひ&lt;/rt&gt;&lt;/ruby&gt;っ&lt;ruby&gt;込&lt;rt&gt;こ&lt;/rt&gt;&lt;/ruby&gt;む&lt;br&gt;&lt;div class="audio"&gt;[sound:ひっこむ.mp3]&lt;/div&gt;</v>
      </c>
      <c r="H3867" s="3" t="str">
        <f t="shared" si="1"/>
        <v>(v): lùi vào</v>
      </c>
      <c r="I3867" s="6" t="s">
        <v>21118</v>
      </c>
      <c r="J3867" s="6" t="s">
        <v>21119</v>
      </c>
      <c r="K3867" s="7">
        <f t="shared" si="2"/>
        <v>0.8323340628</v>
      </c>
    </row>
    <row r="3868">
      <c r="A3868" s="4">
        <v>3868.0</v>
      </c>
      <c r="B3868" s="5" t="s">
        <v>21120</v>
      </c>
      <c r="C3868" s="5" t="s">
        <v>21121</v>
      </c>
      <c r="D3868" s="5" t="s">
        <v>21122</v>
      </c>
      <c r="E3868" s="6" t="s">
        <v>74</v>
      </c>
      <c r="F3868" s="6" t="s">
        <v>21123</v>
      </c>
      <c r="G3868" s="3" t="str">
        <f>IFERROR(__xludf.DUMMYFUNCTION("REGEXREPLACE(
D3868,
""([一-龯々]+)\[([^\]]+)\]"",
""&lt;ruby&gt;$1&lt;rt&gt;$2&lt;/rt&gt;&lt;/ruby&gt;""
)&amp;""&lt;br&gt;&lt;div class=""""audio""""&gt;[sound:""&amp;C3868&amp;"".mp3]&lt;/div&gt;"""),"&lt;ruby&gt;物事&lt;rt&gt;ものごと&lt;/rt&gt;&lt;/ruby&gt;&lt;br&gt;&lt;div class=""audio""&gt;[sound:ものごと.mp3]&lt;/div&gt;")</f>
        <v>&lt;ruby&gt;物事&lt;rt&gt;ものごと&lt;/rt&gt;&lt;/ruby&gt;&lt;br&gt;&lt;div class="audio"&gt;[sound:ものごと.mp3]&lt;/div&gt;</v>
      </c>
      <c r="H3868" s="3" t="str">
        <f t="shared" si="1"/>
        <v>(n): sự việc</v>
      </c>
      <c r="I3868" s="6" t="s">
        <v>21124</v>
      </c>
      <c r="J3868" s="6" t="s">
        <v>21125</v>
      </c>
      <c r="K3868" s="7">
        <f t="shared" si="2"/>
        <v>0.33112642</v>
      </c>
    </row>
    <row r="3869">
      <c r="A3869" s="4">
        <v>3869.0</v>
      </c>
      <c r="B3869" s="5" t="s">
        <v>21126</v>
      </c>
      <c r="C3869" s="5" t="s">
        <v>21127</v>
      </c>
      <c r="D3869" s="5" t="s">
        <v>21128</v>
      </c>
      <c r="E3869" s="6" t="s">
        <v>11</v>
      </c>
      <c r="F3869" s="6" t="s">
        <v>21129</v>
      </c>
      <c r="G3869" s="3" t="str">
        <f>IFERROR(__xludf.DUMMYFUNCTION("REGEXREPLACE(
D3869,
""([一-龯々]+)\[([^\]]+)\]"",
""&lt;ruby&gt;$1&lt;rt&gt;$2&lt;/rt&gt;&lt;/ruby&gt;""
)&amp;""&lt;br&gt;&lt;div class=""""audio""""&gt;[sound:""&amp;C3869&amp;"".mp3]&lt;/div&gt;"""),"&lt;ruby&gt;貴重&lt;rt&gt;きちょう&lt;/rt&gt;&lt;/ruby&gt;&lt;br&gt;&lt;div class=""audio""&gt;[sound:きちょう.mp3]&lt;/div&gt;")</f>
        <v>&lt;ruby&gt;貴重&lt;rt&gt;きちょう&lt;/rt&gt;&lt;/ruby&gt;&lt;br&gt;&lt;div class="audio"&gt;[sound:きちょう.mp3]&lt;/div&gt;</v>
      </c>
      <c r="H3869" s="3" t="str">
        <f t="shared" si="1"/>
        <v>(adj): quý giá</v>
      </c>
      <c r="I3869" s="6" t="s">
        <v>21130</v>
      </c>
      <c r="J3869" s="6" t="s">
        <v>21131</v>
      </c>
      <c r="K3869" s="7">
        <f t="shared" si="2"/>
        <v>0.07471770544</v>
      </c>
    </row>
    <row r="3870">
      <c r="A3870" s="4">
        <v>3870.0</v>
      </c>
      <c r="B3870" s="5" t="s">
        <v>21132</v>
      </c>
      <c r="C3870" s="5" t="s">
        <v>21133</v>
      </c>
      <c r="D3870" s="5" t="s">
        <v>21134</v>
      </c>
      <c r="E3870" s="6" t="s">
        <v>24</v>
      </c>
      <c r="F3870" s="6" t="s">
        <v>18488</v>
      </c>
      <c r="G3870" s="3" t="str">
        <f>IFERROR(__xludf.DUMMYFUNCTION("REGEXREPLACE(
D3870,
""([一-龯々]+)\[([^\]]+)\]"",
""&lt;ruby&gt;$1&lt;rt&gt;$2&lt;/rt&gt;&lt;/ruby&gt;""
)&amp;""&lt;br&gt;&lt;div class=""""audio""""&gt;[sound:""&amp;C3870&amp;"".mp3]&lt;/div&gt;"""),"&lt;ruby&gt;倒&lt;rt&gt;たお&lt;/rt&gt;&lt;/ruby&gt;す&lt;br&gt;&lt;div class=""audio""&gt;[sound:たおす.mp3]&lt;/div&gt;")</f>
        <v>&lt;ruby&gt;倒&lt;rt&gt;たお&lt;/rt&gt;&lt;/ruby&gt;す&lt;br&gt;&lt;div class="audio"&gt;[sound:たおす.mp3]&lt;/div&gt;</v>
      </c>
      <c r="H3870" s="3" t="str">
        <f t="shared" si="1"/>
        <v>(v): làm đổ</v>
      </c>
      <c r="I3870" s="6" t="s">
        <v>21135</v>
      </c>
      <c r="J3870" s="6" t="s">
        <v>21136</v>
      </c>
      <c r="K3870" s="7">
        <f t="shared" si="2"/>
        <v>0.9192145583</v>
      </c>
    </row>
    <row r="3871">
      <c r="A3871" s="4">
        <v>3871.0</v>
      </c>
      <c r="B3871" s="5" t="s">
        <v>21137</v>
      </c>
      <c r="C3871" s="5" t="s">
        <v>21138</v>
      </c>
      <c r="D3871" s="5" t="s">
        <v>21139</v>
      </c>
      <c r="E3871" s="6" t="s">
        <v>24</v>
      </c>
      <c r="F3871" s="6" t="s">
        <v>21140</v>
      </c>
      <c r="G3871" s="3" t="str">
        <f>IFERROR(__xludf.DUMMYFUNCTION("REGEXREPLACE(
D3871,
""([一-龯々]+)\[([^\]]+)\]"",
""&lt;ruby&gt;$1&lt;rt&gt;$2&lt;/rt&gt;&lt;/ruby&gt;""
)&amp;""&lt;br&gt;&lt;div class=""""audio""""&gt;[sound:""&amp;C3871&amp;"".mp3]&lt;/div&gt;"""),"&lt;ruby&gt;騒&lt;rt&gt;さわ&lt;/rt&gt;&lt;/ruby&gt;ぐ&lt;br&gt;&lt;div class=""audio""&gt;[sound:さわぐ.mp3]&lt;/div&gt;")</f>
        <v>&lt;ruby&gt;騒&lt;rt&gt;さわ&lt;/rt&gt;&lt;/ruby&gt;ぐ&lt;br&gt;&lt;div class="audio"&gt;[sound:さわぐ.mp3]&lt;/div&gt;</v>
      </c>
      <c r="H3871" s="3" t="str">
        <f t="shared" si="1"/>
        <v>(v): làm ồn</v>
      </c>
      <c r="I3871" s="6" t="s">
        <v>21141</v>
      </c>
      <c r="J3871" s="6" t="s">
        <v>21142</v>
      </c>
      <c r="K3871" s="7">
        <f t="shared" si="2"/>
        <v>0.7456197916</v>
      </c>
    </row>
    <row r="3872">
      <c r="A3872" s="4">
        <v>3872.0</v>
      </c>
      <c r="B3872" s="5" t="s">
        <v>21143</v>
      </c>
      <c r="C3872" s="5" t="s">
        <v>21144</v>
      </c>
      <c r="D3872" s="5" t="s">
        <v>21145</v>
      </c>
      <c r="E3872" s="6" t="s">
        <v>85</v>
      </c>
      <c r="F3872" s="6" t="s">
        <v>533</v>
      </c>
      <c r="G3872" s="3" t="str">
        <f>IFERROR(__xludf.DUMMYFUNCTION("REGEXREPLACE(
D3872,
""([一-龯々]+)\[([^\]]+)\]"",
""&lt;ruby&gt;$1&lt;rt&gt;$2&lt;/rt&gt;&lt;/ruby&gt;""
)&amp;""&lt;br&gt;&lt;div class=""""audio""""&gt;[sound:""&amp;C3872&amp;"".mp3]&lt;/div&gt;"""),"&lt;ruby&gt;大&lt;rt&gt;おお&lt;/rt&gt;&lt;/ruby&gt;いに&lt;br&gt;&lt;div class=""audio""&gt;[sound:おおいに.mp3]&lt;/div&gt;")</f>
        <v>&lt;ruby&gt;大&lt;rt&gt;おお&lt;/rt&gt;&lt;/ruby&gt;いに&lt;br&gt;&lt;div class="audio"&gt;[sound:おおいに.mp3]&lt;/div&gt;</v>
      </c>
      <c r="H3872" s="3" t="str">
        <f t="shared" si="1"/>
        <v>(adv): nhiều</v>
      </c>
      <c r="I3872" s="6" t="s">
        <v>21146</v>
      </c>
      <c r="J3872" s="6" t="s">
        <v>21147</v>
      </c>
      <c r="K3872" s="7">
        <f t="shared" si="2"/>
        <v>0.4181831802</v>
      </c>
    </row>
    <row r="3873">
      <c r="A3873" s="4">
        <v>3873.0</v>
      </c>
      <c r="B3873" s="5" t="s">
        <v>21148</v>
      </c>
      <c r="C3873" s="5" t="s">
        <v>253</v>
      </c>
      <c r="D3873" s="5" t="s">
        <v>21149</v>
      </c>
      <c r="E3873" s="6" t="s">
        <v>24</v>
      </c>
      <c r="F3873" s="6" t="s">
        <v>9167</v>
      </c>
      <c r="G3873" s="3" t="str">
        <f>IFERROR(__xludf.DUMMYFUNCTION("REGEXREPLACE(
D3873,
""([一-龯々]+)\[([^\]]+)\]"",
""&lt;ruby&gt;$1&lt;rt&gt;$2&lt;/rt&gt;&lt;/ruby&gt;""
)&amp;""&lt;br&gt;&lt;div class=""""audio""""&gt;[sound:""&amp;C3873&amp;"".mp3]&lt;/div&gt;"""),"&lt;ruby&gt;欠&lt;rt&gt;か&lt;/rt&gt;&lt;/ruby&gt;ける&lt;br&gt;&lt;div class=""audio""&gt;[sound:かける.mp3]&lt;/div&gt;")</f>
        <v>&lt;ruby&gt;欠&lt;rt&gt;か&lt;/rt&gt;&lt;/ruby&gt;ける&lt;br&gt;&lt;div class="audio"&gt;[sound:かける.mp3]&lt;/div&gt;</v>
      </c>
      <c r="H3873" s="3" t="str">
        <f t="shared" si="1"/>
        <v>(v): thiếu</v>
      </c>
      <c r="I3873" s="6" t="s">
        <v>21150</v>
      </c>
      <c r="J3873" s="6" t="s">
        <v>21151</v>
      </c>
      <c r="K3873" s="7">
        <f t="shared" si="2"/>
        <v>0.9468270053</v>
      </c>
    </row>
    <row r="3874">
      <c r="A3874" s="4">
        <v>3874.0</v>
      </c>
      <c r="B3874" s="5" t="s">
        <v>21152</v>
      </c>
      <c r="C3874" s="5" t="s">
        <v>21153</v>
      </c>
      <c r="D3874" s="5" t="s">
        <v>21154</v>
      </c>
      <c r="E3874" s="6" t="s">
        <v>11</v>
      </c>
      <c r="F3874" s="6" t="s">
        <v>21155</v>
      </c>
      <c r="G3874" s="3" t="str">
        <f>IFERROR(__xludf.DUMMYFUNCTION("REGEXREPLACE(
D3874,
""([一-龯々]+)\[([^\]]+)\]"",
""&lt;ruby&gt;$1&lt;rt&gt;$2&lt;/rt&gt;&lt;/ruby&gt;""
)&amp;""&lt;br&gt;&lt;div class=""""audio""""&gt;[sound:""&amp;C3874&amp;"".mp3]&lt;/div&gt;"""),"&lt;ruby&gt;等&lt;rt&gt;ひと&lt;/rt&gt;&lt;/ruby&gt;しい&lt;br&gt;&lt;div class=""audio""&gt;[sound:ひとしい.mp3]&lt;/div&gt;")</f>
        <v>&lt;ruby&gt;等&lt;rt&gt;ひと&lt;/rt&gt;&lt;/ruby&gt;しい&lt;br&gt;&lt;div class="audio"&gt;[sound:ひとしい.mp3]&lt;/div&gt;</v>
      </c>
      <c r="H3874" s="3" t="str">
        <f t="shared" si="1"/>
        <v>(adj): bằng</v>
      </c>
      <c r="I3874" s="6" t="s">
        <v>21156</v>
      </c>
      <c r="J3874" s="6" t="s">
        <v>21157</v>
      </c>
      <c r="K3874" s="7">
        <f t="shared" si="2"/>
        <v>0.1495797791</v>
      </c>
    </row>
    <row r="3875">
      <c r="A3875" s="4">
        <v>3875.0</v>
      </c>
      <c r="B3875" s="5" t="s">
        <v>21158</v>
      </c>
      <c r="C3875" s="5" t="s">
        <v>21159</v>
      </c>
      <c r="D3875" s="5" t="s">
        <v>21160</v>
      </c>
      <c r="E3875" s="6" t="s">
        <v>74</v>
      </c>
      <c r="F3875" s="6" t="s">
        <v>13113</v>
      </c>
      <c r="G3875" s="3" t="str">
        <f>IFERROR(__xludf.DUMMYFUNCTION("REGEXREPLACE(
D3875,
""([一-龯々]+)\[([^\]]+)\]"",
""&lt;ruby&gt;$1&lt;rt&gt;$2&lt;/rt&gt;&lt;/ruby&gt;""
)&amp;""&lt;br&gt;&lt;div class=""""audio""""&gt;[sound:""&amp;C3875&amp;"".mp3]&lt;/div&gt;"""),"&lt;ruby&gt;貿易&lt;rt&gt;ぼうえき&lt;/rt&gt;&lt;/ruby&gt;&lt;br&gt;&lt;div class=""audio""&gt;[sound:ぼうえき.mp3]&lt;/div&gt;")</f>
        <v>&lt;ruby&gt;貿易&lt;rt&gt;ぼうえき&lt;/rt&gt;&lt;/ruby&gt;&lt;br&gt;&lt;div class="audio"&gt;[sound:ぼうえき.mp3]&lt;/div&gt;</v>
      </c>
      <c r="H3875" s="3" t="str">
        <f t="shared" si="1"/>
        <v>(n): thương mại</v>
      </c>
      <c r="I3875" s="6" t="s">
        <v>21161</v>
      </c>
      <c r="J3875" s="6" t="s">
        <v>21162</v>
      </c>
      <c r="K3875" s="7">
        <f t="shared" si="2"/>
        <v>0.8007880519</v>
      </c>
    </row>
    <row r="3876">
      <c r="A3876" s="4">
        <v>3876.0</v>
      </c>
      <c r="B3876" s="5" t="s">
        <v>21163</v>
      </c>
      <c r="C3876" s="5" t="s">
        <v>21164</v>
      </c>
      <c r="D3876" s="5" t="s">
        <v>21165</v>
      </c>
      <c r="E3876" s="6" t="s">
        <v>74</v>
      </c>
      <c r="F3876" s="6" t="s">
        <v>17127</v>
      </c>
      <c r="G3876" s="3" t="str">
        <f>IFERROR(__xludf.DUMMYFUNCTION("REGEXREPLACE(
D3876,
""([一-龯々]+)\[([^\]]+)\]"",
""&lt;ruby&gt;$1&lt;rt&gt;$2&lt;/rt&gt;&lt;/ruby&gt;""
)&amp;""&lt;br&gt;&lt;div class=""""audio""""&gt;[sound:""&amp;C3876&amp;"".mp3]&lt;/div&gt;"""),"&lt;ruby&gt;国境&lt;rt&gt;こっきょう&lt;/rt&gt;&lt;/ruby&gt;&lt;br&gt;&lt;div class=""audio""&gt;[sound:こっきょう.mp3]&lt;/div&gt;")</f>
        <v>&lt;ruby&gt;国境&lt;rt&gt;こっきょう&lt;/rt&gt;&lt;/ruby&gt;&lt;br&gt;&lt;div class="audio"&gt;[sound:こっきょう.mp3]&lt;/div&gt;</v>
      </c>
      <c r="H3876" s="3" t="str">
        <f t="shared" si="1"/>
        <v>(n): biên giới</v>
      </c>
      <c r="I3876" s="6" t="s">
        <v>21166</v>
      </c>
      <c r="J3876" s="6" t="s">
        <v>21167</v>
      </c>
      <c r="K3876" s="7">
        <f t="shared" si="2"/>
        <v>0.3850556788</v>
      </c>
    </row>
    <row r="3877">
      <c r="A3877" s="4">
        <v>3877.0</v>
      </c>
      <c r="B3877" s="5" t="s">
        <v>21168</v>
      </c>
      <c r="C3877" s="5" t="s">
        <v>21169</v>
      </c>
      <c r="D3877" s="5" t="s">
        <v>21170</v>
      </c>
      <c r="E3877" s="6" t="s">
        <v>24</v>
      </c>
      <c r="F3877" s="6" t="s">
        <v>12655</v>
      </c>
      <c r="G3877" s="3" t="str">
        <f>IFERROR(__xludf.DUMMYFUNCTION("REGEXREPLACE(
D3877,
""([一-龯々]+)\[([^\]]+)\]"",
""&lt;ruby&gt;$1&lt;rt&gt;$2&lt;/rt&gt;&lt;/ruby&gt;""
)&amp;""&lt;br&gt;&lt;div class=""""audio""""&gt;[sound:""&amp;C3877&amp;"".mp3]&lt;/div&gt;"""),"&lt;ruby&gt;承&lt;rt&gt;うけたまわ&lt;/rt&gt;&lt;/ruby&gt;る&lt;br&gt;&lt;div class=""audio""&gt;[sound:うけたまわる.mp3]&lt;/div&gt;")</f>
        <v>&lt;ruby&gt;承&lt;rt&gt;うけたまわ&lt;/rt&gt;&lt;/ruby&gt;る&lt;br&gt;&lt;div class="audio"&gt;[sound:うけたまわる.mp3]&lt;/div&gt;</v>
      </c>
      <c r="H3877" s="3" t="str">
        <f t="shared" si="1"/>
        <v>(v): tiếp nhận</v>
      </c>
      <c r="I3877" s="6" t="s">
        <v>21171</v>
      </c>
      <c r="J3877" s="6" t="s">
        <v>21172</v>
      </c>
      <c r="K3877" s="7">
        <f t="shared" si="2"/>
        <v>0.6344221223</v>
      </c>
    </row>
    <row r="3878">
      <c r="A3878" s="4">
        <v>3878.0</v>
      </c>
      <c r="B3878" s="5" t="s">
        <v>21173</v>
      </c>
      <c r="C3878" s="5" t="s">
        <v>21174</v>
      </c>
      <c r="D3878" s="5" t="s">
        <v>21175</v>
      </c>
      <c r="E3878" s="6" t="s">
        <v>74</v>
      </c>
      <c r="F3878" s="6" t="s">
        <v>14398</v>
      </c>
      <c r="G3878" s="3" t="str">
        <f>IFERROR(__xludf.DUMMYFUNCTION("REGEXREPLACE(
D3878,
""([一-龯々]+)\[([^\]]+)\]"",
""&lt;ruby&gt;$1&lt;rt&gt;$2&lt;/rt&gt;&lt;/ruby&gt;""
)&amp;""&lt;br&gt;&lt;div class=""""audio""""&gt;[sound:""&amp;C3878&amp;"".mp3]&lt;/div&gt;"""),"&lt;ruby&gt;節約&lt;rt&gt;せつやく&lt;/rt&gt;&lt;/ruby&gt;&lt;br&gt;&lt;div class=""audio""&gt;[sound:せつやく.mp3]&lt;/div&gt;")</f>
        <v>&lt;ruby&gt;節約&lt;rt&gt;せつやく&lt;/rt&gt;&lt;/ruby&gt;&lt;br&gt;&lt;div class="audio"&gt;[sound:せつやく.mp3]&lt;/div&gt;</v>
      </c>
      <c r="H3878" s="3" t="str">
        <f t="shared" si="1"/>
        <v>(n): tiết kiệm</v>
      </c>
      <c r="I3878" s="6" t="s">
        <v>21176</v>
      </c>
      <c r="J3878" s="6" t="s">
        <v>21177</v>
      </c>
      <c r="K3878" s="7">
        <f t="shared" si="2"/>
        <v>0.6466815405</v>
      </c>
    </row>
    <row r="3879">
      <c r="A3879" s="4">
        <v>3879.0</v>
      </c>
      <c r="B3879" s="5" t="s">
        <v>21178</v>
      </c>
      <c r="C3879" s="5" t="s">
        <v>21179</v>
      </c>
      <c r="D3879" s="5" t="s">
        <v>21180</v>
      </c>
      <c r="E3879" s="6" t="s">
        <v>74</v>
      </c>
      <c r="F3879" s="6" t="s">
        <v>21181</v>
      </c>
      <c r="G3879" s="3" t="str">
        <f>IFERROR(__xludf.DUMMYFUNCTION("REGEXREPLACE(
D3879,
""([一-龯々]+)\[([^\]]+)\]"",
""&lt;ruby&gt;$1&lt;rt&gt;$2&lt;/rt&gt;&lt;/ruby&gt;""
)&amp;""&lt;br&gt;&lt;div class=""""audio""""&gt;[sound:""&amp;C3879&amp;"".mp3]&lt;/div&gt;"""),"&lt;ruby&gt;美人&lt;rt&gt;びじん&lt;/rt&gt;&lt;/ruby&gt;&lt;br&gt;&lt;div class=""audio""&gt;[sound:びじん.mp3]&lt;/div&gt;")</f>
        <v>&lt;ruby&gt;美人&lt;rt&gt;びじん&lt;/rt&gt;&lt;/ruby&gt;&lt;br&gt;&lt;div class="audio"&gt;[sound:びじん.mp3]&lt;/div&gt;</v>
      </c>
      <c r="H3879" s="3" t="str">
        <f t="shared" si="1"/>
        <v>(n): người đẹp</v>
      </c>
      <c r="I3879" s="6" t="s">
        <v>21182</v>
      </c>
      <c r="J3879" s="6" t="s">
        <v>21183</v>
      </c>
      <c r="K3879" s="7">
        <f t="shared" si="2"/>
        <v>0.6927851416</v>
      </c>
    </row>
    <row r="3880">
      <c r="A3880" s="4">
        <v>3880.0</v>
      </c>
      <c r="B3880" s="5" t="s">
        <v>21184</v>
      </c>
      <c r="C3880" s="5" t="s">
        <v>21185</v>
      </c>
      <c r="D3880" s="5" t="s">
        <v>21186</v>
      </c>
      <c r="E3880" s="6" t="s">
        <v>74</v>
      </c>
      <c r="F3880" s="6" t="s">
        <v>21187</v>
      </c>
      <c r="G3880" s="3" t="str">
        <f>IFERROR(__xludf.DUMMYFUNCTION("REGEXREPLACE(
D3880,
""([一-龯々]+)\[([^\]]+)\]"",
""&lt;ruby&gt;$1&lt;rt&gt;$2&lt;/rt&gt;&lt;/ruby&gt;""
)&amp;""&lt;br&gt;&lt;div class=""""audio""""&gt;[sound:""&amp;C3880&amp;"".mp3]&lt;/div&gt;"""),"&lt;ruby&gt;葉書&lt;rt&gt;はがき&lt;/rt&gt;&lt;/ruby&gt;&lt;br&gt;&lt;div class=""audio""&gt;[sound:はがき.mp3]&lt;/div&gt;")</f>
        <v>&lt;ruby&gt;葉書&lt;rt&gt;はがき&lt;/rt&gt;&lt;/ruby&gt;&lt;br&gt;&lt;div class="audio"&gt;[sound:はがき.mp3]&lt;/div&gt;</v>
      </c>
      <c r="H3880" s="3" t="str">
        <f t="shared" si="1"/>
        <v>(n): bưu thiếp</v>
      </c>
      <c r="I3880" s="6" t="s">
        <v>21188</v>
      </c>
      <c r="J3880" s="6" t="s">
        <v>21189</v>
      </c>
      <c r="K3880" s="7">
        <f t="shared" si="2"/>
        <v>0.7977630059</v>
      </c>
    </row>
    <row r="3881">
      <c r="A3881" s="4">
        <v>3881.0</v>
      </c>
      <c r="B3881" s="5" t="s">
        <v>21190</v>
      </c>
      <c r="C3881" s="5" t="s">
        <v>21191</v>
      </c>
      <c r="D3881" s="5" t="s">
        <v>21192</v>
      </c>
      <c r="E3881" s="6" t="s">
        <v>11</v>
      </c>
      <c r="F3881" s="6" t="s">
        <v>2844</v>
      </c>
      <c r="G3881" s="3" t="str">
        <f>IFERROR(__xludf.DUMMYFUNCTION("REGEXREPLACE(
D3881,
""([一-龯々]+)\[([^\]]+)\]"",
""&lt;ruby&gt;$1&lt;rt&gt;$2&lt;/rt&gt;&lt;/ruby&gt;""
)&amp;""&lt;br&gt;&lt;div class=""""audio""""&gt;[sound:""&amp;C3881&amp;"".mp3]&lt;/div&gt;"""),"&lt;ruby&gt;単純&lt;rt&gt;たんじゅん&lt;/rt&gt;&lt;/ruby&gt;&lt;br&gt;&lt;div class=""audio""&gt;[sound:たんじゅん.mp3]&lt;/div&gt;")</f>
        <v>&lt;ruby&gt;単純&lt;rt&gt;たんじゅん&lt;/rt&gt;&lt;/ruby&gt;&lt;br&gt;&lt;div class="audio"&gt;[sound:たんじゅん.mp3]&lt;/div&gt;</v>
      </c>
      <c r="H3881" s="3" t="str">
        <f t="shared" si="1"/>
        <v>(adj): đơn giản</v>
      </c>
      <c r="I3881" s="6" t="s">
        <v>21193</v>
      </c>
      <c r="J3881" s="6" t="s">
        <v>21194</v>
      </c>
      <c r="K3881" s="7">
        <f t="shared" si="2"/>
        <v>0.004621895521</v>
      </c>
    </row>
    <row r="3882">
      <c r="A3882" s="4">
        <v>3882.0</v>
      </c>
      <c r="B3882" s="5" t="s">
        <v>21195</v>
      </c>
      <c r="C3882" s="5" t="s">
        <v>13977</v>
      </c>
      <c r="D3882" s="5" t="s">
        <v>21196</v>
      </c>
      <c r="E3882" s="6" t="s">
        <v>74</v>
      </c>
      <c r="F3882" s="6" t="s">
        <v>3144</v>
      </c>
      <c r="G3882" s="3" t="str">
        <f>IFERROR(__xludf.DUMMYFUNCTION("REGEXREPLACE(
D3882,
""([一-龯々]+)\[([^\]]+)\]"",
""&lt;ruby&gt;$1&lt;rt&gt;$2&lt;/rt&gt;&lt;/ruby&gt;""
)&amp;""&lt;br&gt;&lt;div class=""""audio""""&gt;[sound:""&amp;C3882&amp;"".mp3]&lt;/div&gt;"""),"&lt;ruby&gt;拘束&lt;rt&gt;こうそく&lt;/rt&gt;&lt;/ruby&gt;&lt;br&gt;&lt;div class=""audio""&gt;[sound:こうそく.mp3]&lt;/div&gt;")</f>
        <v>&lt;ruby&gt;拘束&lt;rt&gt;こうそく&lt;/rt&gt;&lt;/ruby&gt;&lt;br&gt;&lt;div class="audio"&gt;[sound:こうそく.mp3]&lt;/div&gt;</v>
      </c>
      <c r="H3882" s="3" t="str">
        <f t="shared" si="1"/>
        <v>(n): giới hạn</v>
      </c>
      <c r="I3882" s="6" t="s">
        <v>21197</v>
      </c>
      <c r="J3882" s="6" t="s">
        <v>21198</v>
      </c>
      <c r="K3882" s="7">
        <f t="shared" si="2"/>
        <v>0.1278054227</v>
      </c>
    </row>
    <row r="3883">
      <c r="A3883" s="4">
        <v>3883.0</v>
      </c>
      <c r="B3883" s="5" t="s">
        <v>21199</v>
      </c>
      <c r="C3883" s="5" t="s">
        <v>21200</v>
      </c>
      <c r="D3883" s="5" t="s">
        <v>21201</v>
      </c>
      <c r="E3883" s="6" t="s">
        <v>11</v>
      </c>
      <c r="F3883" s="6" t="s">
        <v>21202</v>
      </c>
      <c r="G3883" s="3" t="str">
        <f>IFERROR(__xludf.DUMMYFUNCTION("REGEXREPLACE(
D3883,
""([一-龯々]+)\[([^\]]+)\]"",
""&lt;ruby&gt;$1&lt;rt&gt;$2&lt;/rt&gt;&lt;/ruby&gt;""
)&amp;""&lt;br&gt;&lt;div class=""""audio""""&gt;[sound:""&amp;C3883&amp;"".mp3]&lt;/div&gt;"""),"&lt;ruby&gt;無駄&lt;rt&gt;むだ&lt;/rt&gt;&lt;/ruby&gt;&lt;br&gt;&lt;div class=""audio""&gt;[sound:むだ.mp3]&lt;/div&gt;")</f>
        <v>&lt;ruby&gt;無駄&lt;rt&gt;むだ&lt;/rt&gt;&lt;/ruby&gt;&lt;br&gt;&lt;div class="audio"&gt;[sound:むだ.mp3]&lt;/div&gt;</v>
      </c>
      <c r="H3883" s="3" t="str">
        <f t="shared" si="1"/>
        <v>(adj): lãng phí</v>
      </c>
      <c r="I3883" s="6" t="s">
        <v>21203</v>
      </c>
      <c r="J3883" s="6" t="s">
        <v>21204</v>
      </c>
      <c r="K3883" s="7">
        <f t="shared" si="2"/>
        <v>0.6238708195</v>
      </c>
    </row>
    <row r="3884">
      <c r="A3884" s="4">
        <v>3884.0</v>
      </c>
      <c r="B3884" s="5" t="s">
        <v>21205</v>
      </c>
      <c r="C3884" s="5" t="s">
        <v>21206</v>
      </c>
      <c r="D3884" s="5" t="s">
        <v>21207</v>
      </c>
      <c r="E3884" s="6" t="s">
        <v>74</v>
      </c>
      <c r="F3884" s="6" t="s">
        <v>21208</v>
      </c>
      <c r="G3884" s="3" t="str">
        <f>IFERROR(__xludf.DUMMYFUNCTION("REGEXREPLACE(
D3884,
""([一-龯々]+)\[([^\]]+)\]"",
""&lt;ruby&gt;$1&lt;rt&gt;$2&lt;/rt&gt;&lt;/ruby&gt;""
)&amp;""&lt;br&gt;&lt;div class=""""audio""""&gt;[sound:""&amp;C3884&amp;"".mp3]&lt;/div&gt;"""),"&lt;ruby&gt;読書&lt;rt&gt;どくしょ&lt;/rt&gt;&lt;/ruby&gt;&lt;br&gt;&lt;div class=""audio""&gt;[sound:どくしょ.mp3]&lt;/div&gt;")</f>
        <v>&lt;ruby&gt;読書&lt;rt&gt;どくしょ&lt;/rt&gt;&lt;/ruby&gt;&lt;br&gt;&lt;div class="audio"&gt;[sound:どくしょ.mp3]&lt;/div&gt;</v>
      </c>
      <c r="H3884" s="3" t="str">
        <f t="shared" si="1"/>
        <v>(n): đọc sách</v>
      </c>
      <c r="I3884" s="6" t="s">
        <v>21209</v>
      </c>
      <c r="J3884" s="6" t="s">
        <v>21210</v>
      </c>
      <c r="K3884" s="7">
        <f t="shared" si="2"/>
        <v>0.07010989375</v>
      </c>
    </row>
    <row r="3885">
      <c r="A3885" s="4">
        <v>3885.0</v>
      </c>
      <c r="B3885" s="5" t="s">
        <v>21211</v>
      </c>
      <c r="C3885" s="5" t="s">
        <v>21212</v>
      </c>
      <c r="D3885" s="5" t="s">
        <v>21213</v>
      </c>
      <c r="E3885" s="6" t="s">
        <v>74</v>
      </c>
      <c r="F3885" s="6" t="s">
        <v>3044</v>
      </c>
      <c r="G3885" s="3" t="str">
        <f>IFERROR(__xludf.DUMMYFUNCTION("REGEXREPLACE(
D3885,
""([一-龯々]+)\[([^\]]+)\]"",
""&lt;ruby&gt;$1&lt;rt&gt;$2&lt;/rt&gt;&lt;/ruby&gt;""
)&amp;""&lt;br&gt;&lt;div class=""""audio""""&gt;[sound:""&amp;C3885&amp;"".mp3]&lt;/div&gt;"""),"&lt;ruby&gt;負&lt;rt&gt;ま&lt;/rt&gt;&lt;/ruby&gt;け&lt;br&gt;&lt;div class=""audio""&gt;[sound:まけ.mp3]&lt;/div&gt;")</f>
        <v>&lt;ruby&gt;負&lt;rt&gt;ま&lt;/rt&gt;&lt;/ruby&gt;け&lt;br&gt;&lt;div class="audio"&gt;[sound:まけ.mp3]&lt;/div&gt;</v>
      </c>
      <c r="H3885" s="3" t="str">
        <f t="shared" si="1"/>
        <v>(n): thất bại</v>
      </c>
      <c r="I3885" s="6" t="s">
        <v>21214</v>
      </c>
      <c r="J3885" s="6" t="s">
        <v>21215</v>
      </c>
      <c r="K3885" s="7">
        <f t="shared" si="2"/>
        <v>0.3025367362</v>
      </c>
    </row>
    <row r="3886">
      <c r="A3886" s="4">
        <v>3886.0</v>
      </c>
      <c r="B3886" s="5" t="s">
        <v>21216</v>
      </c>
      <c r="C3886" s="5" t="s">
        <v>21217</v>
      </c>
      <c r="D3886" s="5" t="s">
        <v>21218</v>
      </c>
      <c r="E3886" s="6" t="s">
        <v>74</v>
      </c>
      <c r="F3886" s="6" t="s">
        <v>15240</v>
      </c>
      <c r="G3886" s="3" t="str">
        <f>IFERROR(__xludf.DUMMYFUNCTION("REGEXREPLACE(
D3886,
""([一-龯々]+)\[([^\]]+)\]"",
""&lt;ruby&gt;$1&lt;rt&gt;$2&lt;/rt&gt;&lt;/ruby&gt;""
)&amp;""&lt;br&gt;&lt;div class=""""audio""""&gt;[sound:""&amp;C3886&amp;"".mp3]&lt;/div&gt;"""),"&lt;ruby&gt;貸&lt;rt&gt;か&lt;/rt&gt;&lt;/ruby&gt;し&lt;ruby&gt;出&lt;rt&gt;だ&lt;/rt&gt;&lt;/ruby&gt;し&lt;br&gt;&lt;div class=""audio""&gt;[sound:かしだし.mp3]&lt;/div&gt;")</f>
        <v>&lt;ruby&gt;貸&lt;rt&gt;か&lt;/rt&gt;&lt;/ruby&gt;し&lt;ruby&gt;出&lt;rt&gt;だ&lt;/rt&gt;&lt;/ruby&gt;し&lt;br&gt;&lt;div class="audio"&gt;[sound:かしだし.mp3]&lt;/div&gt;</v>
      </c>
      <c r="H3886" s="3" t="str">
        <f t="shared" si="1"/>
        <v>(n): cho mượn</v>
      </c>
      <c r="I3886" s="6" t="s">
        <v>21219</v>
      </c>
      <c r="J3886" s="6" t="s">
        <v>21220</v>
      </c>
      <c r="K3886" s="7">
        <f t="shared" si="2"/>
        <v>0.7340202935</v>
      </c>
    </row>
    <row r="3887">
      <c r="A3887" s="4">
        <v>3887.0</v>
      </c>
      <c r="B3887" s="5" t="s">
        <v>21221</v>
      </c>
      <c r="C3887" s="5" t="s">
        <v>21222</v>
      </c>
      <c r="D3887" s="5" t="s">
        <v>21223</v>
      </c>
      <c r="E3887" s="6" t="s">
        <v>74</v>
      </c>
      <c r="F3887" s="6" t="s">
        <v>21224</v>
      </c>
      <c r="G3887" s="3" t="str">
        <f>IFERROR(__xludf.DUMMYFUNCTION("REGEXREPLACE(
D3887,
""([一-龯々]+)\[([^\]]+)\]"",
""&lt;ruby&gt;$1&lt;rt&gt;$2&lt;/rt&gt;&lt;/ruby&gt;""
)&amp;""&lt;br&gt;&lt;div class=""""audio""""&gt;[sound:""&amp;C3887&amp;"".mp3]&lt;/div&gt;"""),"&lt;ruby&gt;夜間&lt;rt&gt;やかん&lt;/rt&gt;&lt;/ruby&gt;&lt;br&gt;&lt;div class=""audio""&gt;[sound:やかん.mp3]&lt;/div&gt;")</f>
        <v>&lt;ruby&gt;夜間&lt;rt&gt;やかん&lt;/rt&gt;&lt;/ruby&gt;&lt;br&gt;&lt;div class="audio"&gt;[sound:やかん.mp3]&lt;/div&gt;</v>
      </c>
      <c r="H3887" s="3" t="str">
        <f t="shared" si="1"/>
        <v>(n): ban đêm</v>
      </c>
      <c r="I3887" s="6" t="s">
        <v>21225</v>
      </c>
      <c r="J3887" s="6" t="s">
        <v>21226</v>
      </c>
      <c r="K3887" s="7">
        <f t="shared" si="2"/>
        <v>0.1768250481</v>
      </c>
    </row>
    <row r="3888">
      <c r="A3888" s="4">
        <v>3888.0</v>
      </c>
      <c r="B3888" s="5" t="s">
        <v>21227</v>
      </c>
      <c r="C3888" s="5" t="s">
        <v>21228</v>
      </c>
      <c r="D3888" s="5" t="s">
        <v>21229</v>
      </c>
      <c r="E3888" s="6" t="s">
        <v>74</v>
      </c>
      <c r="F3888" s="6" t="s">
        <v>21230</v>
      </c>
      <c r="G3888" s="3" t="str">
        <f>IFERROR(__xludf.DUMMYFUNCTION("REGEXREPLACE(
D3888,
""([一-龯々]+)\[([^\]]+)\]"",
""&lt;ruby&gt;$1&lt;rt&gt;$2&lt;/rt&gt;&lt;/ruby&gt;""
)&amp;""&lt;br&gt;&lt;div class=""""audio""""&gt;[sound:""&amp;C3888&amp;"".mp3]&lt;/div&gt;"""),"&lt;ruby&gt;悪口&lt;rt&gt;わるぐち&lt;/rt&gt;&lt;/ruby&gt;&lt;br&gt;&lt;div class=""audio""&gt;[sound:わるぐち.mp3]&lt;/div&gt;")</f>
        <v>&lt;ruby&gt;悪口&lt;rt&gt;わるぐち&lt;/rt&gt;&lt;/ruby&gt;&lt;br&gt;&lt;div class="audio"&gt;[sound:わるぐち.mp3]&lt;/div&gt;</v>
      </c>
      <c r="H3888" s="3" t="str">
        <f t="shared" si="1"/>
        <v>(n): nói xấu</v>
      </c>
      <c r="I3888" s="6" t="s">
        <v>21231</v>
      </c>
      <c r="J3888" s="6" t="s">
        <v>21232</v>
      </c>
      <c r="K3888" s="7">
        <f t="shared" si="2"/>
        <v>0.4972139924</v>
      </c>
    </row>
    <row r="3889">
      <c r="A3889" s="4">
        <v>3889.0</v>
      </c>
      <c r="B3889" s="5" t="s">
        <v>21233</v>
      </c>
      <c r="C3889" s="5" t="s">
        <v>21234</v>
      </c>
      <c r="D3889" s="5" t="s">
        <v>21235</v>
      </c>
      <c r="E3889" s="6" t="s">
        <v>24</v>
      </c>
      <c r="F3889" s="6" t="s">
        <v>21236</v>
      </c>
      <c r="G3889" s="3" t="str">
        <f>IFERROR(__xludf.DUMMYFUNCTION("REGEXREPLACE(
D3889,
""([一-龯々]+)\[([^\]]+)\]"",
""&lt;ruby&gt;$1&lt;rt&gt;$2&lt;/rt&gt;&lt;/ruby&gt;""
)&amp;""&lt;br&gt;&lt;div class=""""audio""""&gt;[sound:""&amp;C3889&amp;"".mp3]&lt;/div&gt;"""),"&lt;ruby&gt;溜&lt;rt&gt;た&lt;/rt&gt;&lt;/ruby&gt;まる&lt;br&gt;&lt;div class=""audio""&gt;[sound:たまる.mp3]&lt;/div&gt;")</f>
        <v>&lt;ruby&gt;溜&lt;rt&gt;た&lt;/rt&gt;&lt;/ruby&gt;まる&lt;br&gt;&lt;div class="audio"&gt;[sound:たまる.mp3]&lt;/div&gt;</v>
      </c>
      <c r="H3889" s="3" t="str">
        <f t="shared" si="1"/>
        <v>(v): tích tụ</v>
      </c>
      <c r="I3889" s="6" t="s">
        <v>21237</v>
      </c>
      <c r="J3889" s="6" t="s">
        <v>3686</v>
      </c>
      <c r="K3889" s="7">
        <f t="shared" si="2"/>
        <v>0.9389827851</v>
      </c>
    </row>
    <row r="3890">
      <c r="A3890" s="4">
        <v>3890.0</v>
      </c>
      <c r="B3890" s="5" t="s">
        <v>21238</v>
      </c>
      <c r="C3890" s="5" t="s">
        <v>21239</v>
      </c>
      <c r="D3890" s="5" t="s">
        <v>21240</v>
      </c>
      <c r="E3890" s="6" t="s">
        <v>74</v>
      </c>
      <c r="F3890" s="6" t="s">
        <v>21241</v>
      </c>
      <c r="G3890" s="3" t="str">
        <f>IFERROR(__xludf.DUMMYFUNCTION("REGEXREPLACE(
D3890,
""([一-龯々]+)\[([^\]]+)\]"",
""&lt;ruby&gt;$1&lt;rt&gt;$2&lt;/rt&gt;&lt;/ruby&gt;""
)&amp;""&lt;br&gt;&lt;div class=""""audio""""&gt;[sound:""&amp;C3890&amp;"".mp3]&lt;/div&gt;"""),"&lt;ruby&gt;縮小&lt;rt&gt;しゅくしょう&lt;/rt&gt;&lt;/ruby&gt;&lt;br&gt;&lt;div class=""audio""&gt;[sound:しゅくしょう.mp3]&lt;/div&gt;")</f>
        <v>&lt;ruby&gt;縮小&lt;rt&gt;しゅくしょう&lt;/rt&gt;&lt;/ruby&gt;&lt;br&gt;&lt;div class="audio"&gt;[sound:しゅくしょう.mp3]&lt;/div&gt;</v>
      </c>
      <c r="H3890" s="3" t="str">
        <f t="shared" si="1"/>
        <v>(n): thu nhỏ</v>
      </c>
      <c r="I3890" s="6" t="s">
        <v>21242</v>
      </c>
      <c r="J3890" s="6" t="s">
        <v>21243</v>
      </c>
      <c r="K3890" s="7">
        <f t="shared" si="2"/>
        <v>0.2258975014</v>
      </c>
    </row>
    <row r="3891">
      <c r="A3891" s="4">
        <v>3891.0</v>
      </c>
      <c r="B3891" s="5" t="s">
        <v>21244</v>
      </c>
      <c r="C3891" s="5" t="s">
        <v>21245</v>
      </c>
      <c r="D3891" s="5" t="s">
        <v>21246</v>
      </c>
      <c r="E3891" s="6" t="s">
        <v>74</v>
      </c>
      <c r="F3891" s="6" t="s">
        <v>7880</v>
      </c>
      <c r="G3891" s="3" t="str">
        <f>IFERROR(__xludf.DUMMYFUNCTION("REGEXREPLACE(
D3891,
""([一-龯々]+)\[([^\]]+)\]"",
""&lt;ruby&gt;$1&lt;rt&gt;$2&lt;/rt&gt;&lt;/ruby&gt;""
)&amp;""&lt;br&gt;&lt;div class=""""audio""""&gt;[sound:""&amp;C3891&amp;"".mp3]&lt;/div&gt;"""),"&lt;ruby&gt;繋&lt;rt&gt;つな&lt;/rt&gt;&lt;/ruby&gt;がり&lt;br&gt;&lt;div class=""audio""&gt;[sound:つながり.mp3]&lt;/div&gt;")</f>
        <v>&lt;ruby&gt;繋&lt;rt&gt;つな&lt;/rt&gt;&lt;/ruby&gt;がり&lt;br&gt;&lt;div class="audio"&gt;[sound:つながり.mp3]&lt;/div&gt;</v>
      </c>
      <c r="H3891" s="3" t="str">
        <f t="shared" si="1"/>
        <v>(n): kết nối</v>
      </c>
      <c r="I3891" s="6" t="s">
        <v>21247</v>
      </c>
      <c r="J3891" s="6" t="s">
        <v>21248</v>
      </c>
      <c r="K3891" s="7">
        <f t="shared" si="2"/>
        <v>0.3439899965</v>
      </c>
    </row>
    <row r="3892">
      <c r="A3892" s="4">
        <v>3892.0</v>
      </c>
      <c r="B3892" s="5" t="s">
        <v>21249</v>
      </c>
      <c r="C3892" s="5" t="s">
        <v>18314</v>
      </c>
      <c r="D3892" s="5" t="s">
        <v>21250</v>
      </c>
      <c r="E3892" s="6" t="s">
        <v>74</v>
      </c>
      <c r="F3892" s="6" t="s">
        <v>19935</v>
      </c>
      <c r="G3892" s="3" t="str">
        <f>IFERROR(__xludf.DUMMYFUNCTION("REGEXREPLACE(
D3892,
""([一-龯々]+)\[([^\]]+)\]"",
""&lt;ruby&gt;$1&lt;rt&gt;$2&lt;/rt&gt;&lt;/ruby&gt;""
)&amp;""&lt;br&gt;&lt;div class=""""audio""""&gt;[sound:""&amp;C3892&amp;"".mp3]&lt;/div&gt;"""),"&lt;ruby&gt;通貨&lt;rt&gt;つうか&lt;/rt&gt;&lt;/ruby&gt;&lt;br&gt;&lt;div class=""audio""&gt;[sound:つうか.mp3]&lt;/div&gt;")</f>
        <v>&lt;ruby&gt;通貨&lt;rt&gt;つうか&lt;/rt&gt;&lt;/ruby&gt;&lt;br&gt;&lt;div class="audio"&gt;[sound:つうか.mp3]&lt;/div&gt;</v>
      </c>
      <c r="H3892" s="3" t="str">
        <f t="shared" si="1"/>
        <v>(n): tiền tệ</v>
      </c>
      <c r="I3892" s="6" t="s">
        <v>21251</v>
      </c>
      <c r="J3892" s="6" t="s">
        <v>21252</v>
      </c>
      <c r="K3892" s="7">
        <f t="shared" si="2"/>
        <v>0.5897123443</v>
      </c>
    </row>
    <row r="3893">
      <c r="A3893" s="4">
        <v>3893.0</v>
      </c>
      <c r="B3893" s="5" t="s">
        <v>21253</v>
      </c>
      <c r="C3893" s="5" t="s">
        <v>21254</v>
      </c>
      <c r="D3893" s="5" t="s">
        <v>21255</v>
      </c>
      <c r="E3893" s="6" t="s">
        <v>74</v>
      </c>
      <c r="F3893" s="6" t="s">
        <v>21256</v>
      </c>
      <c r="G3893" s="3" t="str">
        <f>IFERROR(__xludf.DUMMYFUNCTION("REGEXREPLACE(
D3893,
""([一-龯々]+)\[([^\]]+)\]"",
""&lt;ruby&gt;$1&lt;rt&gt;$2&lt;/rt&gt;&lt;/ruby&gt;""
)&amp;""&lt;br&gt;&lt;div class=""""audio""""&gt;[sound:""&amp;C3893&amp;"".mp3]&lt;/div&gt;"""),"&lt;ruby&gt;出場&lt;rt&gt;しゅつじょう&lt;/rt&gt;&lt;/ruby&gt;&lt;br&gt;&lt;div class=""audio""&gt;[sound:しゅつじょう.mp3]&lt;/div&gt;")</f>
        <v>&lt;ruby&gt;出場&lt;rt&gt;しゅつじょう&lt;/rt&gt;&lt;/ruby&gt;&lt;br&gt;&lt;div class="audio"&gt;[sound:しゅつじょう.mp3]&lt;/div&gt;</v>
      </c>
      <c r="H3893" s="3" t="str">
        <f t="shared" si="1"/>
        <v>(n): ra sân</v>
      </c>
      <c r="I3893" s="6" t="s">
        <v>21257</v>
      </c>
      <c r="J3893" s="6" t="s">
        <v>21258</v>
      </c>
      <c r="K3893" s="7">
        <f t="shared" si="2"/>
        <v>0.5882824161</v>
      </c>
    </row>
    <row r="3894">
      <c r="A3894" s="4">
        <v>3894.0</v>
      </c>
      <c r="B3894" s="5" t="s">
        <v>21259</v>
      </c>
      <c r="C3894" s="5" t="s">
        <v>21260</v>
      </c>
      <c r="D3894" s="5" t="s">
        <v>21261</v>
      </c>
      <c r="E3894" s="6" t="s">
        <v>74</v>
      </c>
      <c r="F3894" s="6" t="s">
        <v>21262</v>
      </c>
      <c r="G3894" s="3" t="str">
        <f>IFERROR(__xludf.DUMMYFUNCTION("REGEXREPLACE(
D3894,
""([一-龯々]+)\[([^\]]+)\]"",
""&lt;ruby&gt;$1&lt;rt&gt;$2&lt;/rt&gt;&lt;/ruby&gt;""
)&amp;""&lt;br&gt;&lt;div class=""""audio""""&gt;[sound:""&amp;C3894&amp;"".mp3]&lt;/div&gt;"""),"&lt;ruby&gt;火曜日&lt;rt&gt;かようび&lt;/rt&gt;&lt;/ruby&gt;&lt;br&gt;&lt;div class=""audio""&gt;[sound:かようび.mp3]&lt;/div&gt;")</f>
        <v>&lt;ruby&gt;火曜日&lt;rt&gt;かようび&lt;/rt&gt;&lt;/ruby&gt;&lt;br&gt;&lt;div class="audio"&gt;[sound:かようび.mp3]&lt;/div&gt;</v>
      </c>
      <c r="H3894" s="3" t="str">
        <f t="shared" si="1"/>
        <v>(n): thứ ba</v>
      </c>
      <c r="I3894" s="6" t="s">
        <v>21263</v>
      </c>
      <c r="J3894" s="6" t="s">
        <v>21264</v>
      </c>
      <c r="K3894" s="7">
        <f t="shared" si="2"/>
        <v>0.5590870016</v>
      </c>
    </row>
    <row r="3895">
      <c r="A3895" s="4">
        <v>3895.0</v>
      </c>
      <c r="B3895" s="5" t="s">
        <v>21265</v>
      </c>
      <c r="C3895" s="5" t="s">
        <v>21266</v>
      </c>
      <c r="D3895" s="5" t="s">
        <v>21267</v>
      </c>
      <c r="E3895" s="6" t="s">
        <v>74</v>
      </c>
      <c r="F3895" s="6" t="s">
        <v>21268</v>
      </c>
      <c r="G3895" s="3" t="str">
        <f>IFERROR(__xludf.DUMMYFUNCTION("REGEXREPLACE(
D3895,
""([一-龯々]+)\[([^\]]+)\]"",
""&lt;ruby&gt;$1&lt;rt&gt;$2&lt;/rt&gt;&lt;/ruby&gt;""
)&amp;""&lt;br&gt;&lt;div class=""""audio""""&gt;[sound:""&amp;C3895&amp;"".mp3]&lt;/div&gt;"""),"&lt;ruby&gt;留学&lt;rt&gt;りゅうがく&lt;/rt&gt;&lt;/ruby&gt;&lt;br&gt;&lt;div class=""audio""&gt;[sound:りゅうがく.mp3]&lt;/div&gt;")</f>
        <v>&lt;ruby&gt;留学&lt;rt&gt;りゅうがく&lt;/rt&gt;&lt;/ruby&gt;&lt;br&gt;&lt;div class="audio"&gt;[sound:りゅうがく.mp3]&lt;/div&gt;</v>
      </c>
      <c r="H3895" s="3" t="str">
        <f t="shared" si="1"/>
        <v>(n): du học</v>
      </c>
      <c r="I3895" s="6" t="s">
        <v>21269</v>
      </c>
      <c r="J3895" s="6" t="s">
        <v>21270</v>
      </c>
      <c r="K3895" s="7">
        <f t="shared" si="2"/>
        <v>0.8753854759</v>
      </c>
    </row>
    <row r="3896">
      <c r="A3896" s="4">
        <v>3896.0</v>
      </c>
      <c r="B3896" s="5" t="s">
        <v>21271</v>
      </c>
      <c r="C3896" s="5" t="s">
        <v>21272</v>
      </c>
      <c r="D3896" s="5" t="s">
        <v>21273</v>
      </c>
      <c r="E3896" s="6" t="s">
        <v>74</v>
      </c>
      <c r="F3896" s="6" t="s">
        <v>21274</v>
      </c>
      <c r="G3896" s="3" t="str">
        <f>IFERROR(__xludf.DUMMYFUNCTION("REGEXREPLACE(
D3896,
""([一-龯々]+)\[([^\]]+)\]"",
""&lt;ruby&gt;$1&lt;rt&gt;$2&lt;/rt&gt;&lt;/ruby&gt;""
)&amp;""&lt;br&gt;&lt;div class=""""audio""""&gt;[sound:""&amp;C3896&amp;"".mp3]&lt;/div&gt;"""),"&lt;ruby&gt;弟子&lt;rt&gt;でし&lt;/rt&gt;&lt;/ruby&gt;&lt;br&gt;&lt;div class=""audio""&gt;[sound:でし.mp3]&lt;/div&gt;")</f>
        <v>&lt;ruby&gt;弟子&lt;rt&gt;でし&lt;/rt&gt;&lt;/ruby&gt;&lt;br&gt;&lt;div class="audio"&gt;[sound:でし.mp3]&lt;/div&gt;</v>
      </c>
      <c r="H3896" s="3" t="str">
        <f t="shared" si="1"/>
        <v>(n): đệ tử</v>
      </c>
      <c r="I3896" s="6" t="s">
        <v>21275</v>
      </c>
      <c r="J3896" s="6" t="s">
        <v>21276</v>
      </c>
      <c r="K3896" s="7">
        <f t="shared" si="2"/>
        <v>0.7393172429</v>
      </c>
    </row>
    <row r="3897">
      <c r="A3897" s="4">
        <v>3897.0</v>
      </c>
      <c r="B3897" s="5" t="s">
        <v>21277</v>
      </c>
      <c r="C3897" s="5" t="s">
        <v>21278</v>
      </c>
      <c r="D3897" s="5" t="s">
        <v>21279</v>
      </c>
      <c r="E3897" s="6" t="s">
        <v>24</v>
      </c>
      <c r="F3897" s="6" t="s">
        <v>246</v>
      </c>
      <c r="G3897" s="3" t="str">
        <f>IFERROR(__xludf.DUMMYFUNCTION("REGEXREPLACE(
D3897,
""([一-龯々]+)\[([^\]]+)\]"",
""&lt;ruby&gt;$1&lt;rt&gt;$2&lt;/rt&gt;&lt;/ruby&gt;""
)&amp;""&lt;br&gt;&lt;div class=""""audio""""&gt;[sound:""&amp;C3897&amp;"".mp3]&lt;/div&gt;"""),"&lt;ruby&gt;似合&lt;rt&gt;にあ&lt;/rt&gt;&lt;/ruby&gt;う&lt;br&gt;&lt;div class=""audio""&gt;[sound:にあう.mp3]&lt;/div&gt;")</f>
        <v>&lt;ruby&gt;似合&lt;rt&gt;にあ&lt;/rt&gt;&lt;/ruby&gt;う&lt;br&gt;&lt;div class="audio"&gt;[sound:にあう.mp3]&lt;/div&gt;</v>
      </c>
      <c r="H3897" s="3" t="str">
        <f t="shared" si="1"/>
        <v>(v): hợp</v>
      </c>
      <c r="I3897" s="6" t="s">
        <v>21280</v>
      </c>
      <c r="J3897" s="6" t="s">
        <v>21281</v>
      </c>
      <c r="K3897" s="7">
        <f t="shared" si="2"/>
        <v>0.3321431524</v>
      </c>
    </row>
    <row r="3898">
      <c r="A3898" s="4">
        <v>3898.0</v>
      </c>
      <c r="B3898" s="5" t="s">
        <v>21282</v>
      </c>
      <c r="C3898" s="5" t="s">
        <v>21283</v>
      </c>
      <c r="D3898" s="5" t="s">
        <v>21284</v>
      </c>
      <c r="E3898" s="6" t="s">
        <v>24</v>
      </c>
      <c r="F3898" s="6" t="s">
        <v>21285</v>
      </c>
      <c r="G3898" s="3" t="str">
        <f>IFERROR(__xludf.DUMMYFUNCTION("REGEXREPLACE(
D3898,
""([一-龯々]+)\[([^\]]+)\]"",
""&lt;ruby&gt;$1&lt;rt&gt;$2&lt;/rt&gt;&lt;/ruby&gt;""
)&amp;""&lt;br&gt;&lt;div class=""""audio""""&gt;[sound:""&amp;C3898&amp;"".mp3]&lt;/div&gt;"""),"&lt;ruby&gt;埋&lt;rt&gt;う&lt;/rt&gt;&lt;/ruby&gt;まる&lt;br&gt;&lt;div class=""audio""&gt;[sound:うまる.mp3]&lt;/div&gt;")</f>
        <v>&lt;ruby&gt;埋&lt;rt&gt;う&lt;/rt&gt;&lt;/ruby&gt;まる&lt;br&gt;&lt;div class="audio"&gt;[sound:うまる.mp3]&lt;/div&gt;</v>
      </c>
      <c r="H3898" s="3" t="str">
        <f t="shared" si="1"/>
        <v>(v): bị chôn lấp</v>
      </c>
      <c r="I3898" s="6" t="s">
        <v>21286</v>
      </c>
      <c r="J3898" s="6" t="s">
        <v>21287</v>
      </c>
      <c r="K3898" s="7">
        <f t="shared" si="2"/>
        <v>0.2595810527</v>
      </c>
    </row>
    <row r="3899">
      <c r="A3899" s="4">
        <v>3899.0</v>
      </c>
      <c r="B3899" s="5" t="s">
        <v>21288</v>
      </c>
      <c r="C3899" s="5" t="s">
        <v>21289</v>
      </c>
      <c r="D3899" s="5" t="s">
        <v>21290</v>
      </c>
      <c r="E3899" s="6" t="s">
        <v>74</v>
      </c>
      <c r="F3899" s="6" t="s">
        <v>2540</v>
      </c>
      <c r="G3899" s="3" t="str">
        <f>IFERROR(__xludf.DUMMYFUNCTION("REGEXREPLACE(
D3899,
""([一-龯々]+)\[([^\]]+)\]"",
""&lt;ruby&gt;$1&lt;rt&gt;$2&lt;/rt&gt;&lt;/ruby&gt;""
)&amp;""&lt;br&gt;&lt;div class=""""audio""""&gt;[sound:""&amp;C3899&amp;"".mp3]&lt;/div&gt;"""),"&lt;ruby&gt;寸法&lt;rt&gt;すんぽう&lt;/rt&gt;&lt;/ruby&gt;&lt;br&gt;&lt;div class=""audio""&gt;[sound:すんぽう.mp3]&lt;/div&gt;")</f>
        <v>&lt;ruby&gt;寸法&lt;rt&gt;すんぽう&lt;/rt&gt;&lt;/ruby&gt;&lt;br&gt;&lt;div class="audio"&gt;[sound:すんぽう.mp3]&lt;/div&gt;</v>
      </c>
      <c r="H3899" s="3" t="str">
        <f t="shared" si="1"/>
        <v>(n): kích thước</v>
      </c>
      <c r="I3899" s="6" t="s">
        <v>21291</v>
      </c>
      <c r="J3899" s="6" t="s">
        <v>21292</v>
      </c>
      <c r="K3899" s="7">
        <f t="shared" si="2"/>
        <v>0.7937071878</v>
      </c>
    </row>
    <row r="3900">
      <c r="A3900" s="4">
        <v>3900.0</v>
      </c>
      <c r="B3900" s="5" t="s">
        <v>21293</v>
      </c>
      <c r="C3900" s="5" t="s">
        <v>21294</v>
      </c>
      <c r="D3900" s="5" t="s">
        <v>21295</v>
      </c>
      <c r="E3900" s="6" t="s">
        <v>24</v>
      </c>
      <c r="F3900" s="6" t="s">
        <v>10453</v>
      </c>
      <c r="G3900" s="3" t="str">
        <f>IFERROR(__xludf.DUMMYFUNCTION("REGEXREPLACE(
D3900,
""([一-龯々]+)\[([^\]]+)\]"",
""&lt;ruby&gt;$1&lt;rt&gt;$2&lt;/rt&gt;&lt;/ruby&gt;""
)&amp;""&lt;br&gt;&lt;div class=""""audio""""&gt;[sound:""&amp;C3900&amp;"".mp3]&lt;/div&gt;"""),"&lt;ruby&gt;論&lt;rt&gt;ろん&lt;/rt&gt;&lt;/ruby&gt;ずる&lt;br&gt;&lt;div class=""audio""&gt;[sound:ろんずる.mp3]&lt;/div&gt;")</f>
        <v>&lt;ruby&gt;論&lt;rt&gt;ろん&lt;/rt&gt;&lt;/ruby&gt;ずる&lt;br&gt;&lt;div class="audio"&gt;[sound:ろんずる.mp3]&lt;/div&gt;</v>
      </c>
      <c r="H3900" s="3" t="str">
        <f t="shared" si="1"/>
        <v>(v): tranh luận</v>
      </c>
      <c r="I3900" s="6" t="s">
        <v>21296</v>
      </c>
      <c r="J3900" s="6" t="s">
        <v>21297</v>
      </c>
      <c r="K3900" s="7">
        <f t="shared" si="2"/>
        <v>0.6262744998</v>
      </c>
    </row>
    <row r="3901">
      <c r="A3901" s="4">
        <v>3901.0</v>
      </c>
      <c r="B3901" s="5" t="s">
        <v>21298</v>
      </c>
      <c r="C3901" s="5" t="s">
        <v>21299</v>
      </c>
      <c r="D3901" s="5" t="s">
        <v>21300</v>
      </c>
      <c r="E3901" s="6" t="s">
        <v>11</v>
      </c>
      <c r="F3901" s="6" t="s">
        <v>21301</v>
      </c>
      <c r="G3901" s="3" t="str">
        <f>IFERROR(__xludf.DUMMYFUNCTION("REGEXREPLACE(
D3901,
""([一-龯々]+)\[([^\]]+)\]"",
""&lt;ruby&gt;$1&lt;rt&gt;$2&lt;/rt&gt;&lt;/ruby&gt;""
)&amp;""&lt;br&gt;&lt;div class=""""audio""""&gt;[sound:""&amp;C3901&amp;"".mp3]&lt;/div&gt;"""),"&lt;ruby&gt;豪華&lt;rt&gt;ごうか&lt;/rt&gt;&lt;/ruby&gt;&lt;br&gt;&lt;div class=""audio""&gt;[sound:ごうか.mp3]&lt;/div&gt;")</f>
        <v>&lt;ruby&gt;豪華&lt;rt&gt;ごうか&lt;/rt&gt;&lt;/ruby&gt;&lt;br&gt;&lt;div class="audio"&gt;[sound:ごうか.mp3]&lt;/div&gt;</v>
      </c>
      <c r="H3901" s="3" t="str">
        <f t="shared" si="1"/>
        <v>(adj): sang trọng</v>
      </c>
      <c r="I3901" s="6" t="s">
        <v>21302</v>
      </c>
      <c r="J3901" s="6" t="s">
        <v>21303</v>
      </c>
      <c r="K3901" s="7">
        <f t="shared" si="2"/>
        <v>0.973303337</v>
      </c>
    </row>
    <row r="3902">
      <c r="A3902" s="4">
        <v>3902.0</v>
      </c>
      <c r="B3902" s="5" t="s">
        <v>21304</v>
      </c>
      <c r="C3902" s="5" t="s">
        <v>21305</v>
      </c>
      <c r="D3902" s="5" t="s">
        <v>21306</v>
      </c>
      <c r="E3902" s="6" t="s">
        <v>74</v>
      </c>
      <c r="F3902" s="6" t="s">
        <v>21307</v>
      </c>
      <c r="G3902" s="3" t="str">
        <f>IFERROR(__xludf.DUMMYFUNCTION("REGEXREPLACE(
D3902,
""([一-龯々]+)\[([^\]]+)\]"",
""&lt;ruby&gt;$1&lt;rt&gt;$2&lt;/rt&gt;&lt;/ruby&gt;""
)&amp;""&lt;br&gt;&lt;div class=""""audio""""&gt;[sound:""&amp;C3902&amp;"".mp3]&lt;/div&gt;"""),"&lt;ruby&gt;通用&lt;rt&gt;つうよう&lt;/rt&gt;&lt;/ruby&gt;&lt;br&gt;&lt;div class=""audio""&gt;[sound:つうよう.mp3]&lt;/div&gt;")</f>
        <v>&lt;ruby&gt;通用&lt;rt&gt;つうよう&lt;/rt&gt;&lt;/ruby&gt;&lt;br&gt;&lt;div class="audio"&gt;[sound:つうよう.mp3]&lt;/div&gt;</v>
      </c>
      <c r="H3902" s="3" t="str">
        <f t="shared" si="1"/>
        <v>(n): thông dụng</v>
      </c>
      <c r="I3902" s="6" t="s">
        <v>21308</v>
      </c>
      <c r="J3902" s="6" t="s">
        <v>21309</v>
      </c>
      <c r="K3902" s="7">
        <f t="shared" si="2"/>
        <v>0.2265032862</v>
      </c>
    </row>
    <row r="3903">
      <c r="A3903" s="4">
        <v>3903.0</v>
      </c>
      <c r="B3903" s="5" t="s">
        <v>21310</v>
      </c>
      <c r="C3903" s="5" t="s">
        <v>21311</v>
      </c>
      <c r="D3903" s="5" t="s">
        <v>21312</v>
      </c>
      <c r="E3903" s="6" t="s">
        <v>74</v>
      </c>
      <c r="F3903" s="6" t="s">
        <v>21313</v>
      </c>
      <c r="G3903" s="3" t="str">
        <f>IFERROR(__xludf.DUMMYFUNCTION("REGEXREPLACE(
D3903,
""([一-龯々]+)\[([^\]]+)\]"",
""&lt;ruby&gt;$1&lt;rt&gt;$2&lt;/rt&gt;&lt;/ruby&gt;""
)&amp;""&lt;br&gt;&lt;div class=""""audio""""&gt;[sound:""&amp;C3903&amp;"".mp3]&lt;/div&gt;"""),"&lt;ruby&gt;学術&lt;rt&gt;がくじゅつ&lt;/rt&gt;&lt;/ruby&gt;&lt;br&gt;&lt;div class=""audio""&gt;[sound:がくじゅつ.mp3]&lt;/div&gt;")</f>
        <v>&lt;ruby&gt;学術&lt;rt&gt;がくじゅつ&lt;/rt&gt;&lt;/ruby&gt;&lt;br&gt;&lt;div class="audio"&gt;[sound:がくじゅつ.mp3]&lt;/div&gt;</v>
      </c>
      <c r="H3903" s="3" t="str">
        <f t="shared" si="1"/>
        <v>(n): học thuật</v>
      </c>
      <c r="I3903" s="6" t="s">
        <v>21314</v>
      </c>
      <c r="J3903" s="6" t="s">
        <v>21315</v>
      </c>
      <c r="K3903" s="7">
        <f t="shared" si="2"/>
        <v>0.2648364596</v>
      </c>
    </row>
    <row r="3904">
      <c r="A3904" s="4">
        <v>3904.0</v>
      </c>
      <c r="B3904" s="5" t="s">
        <v>21316</v>
      </c>
      <c r="C3904" s="5" t="s">
        <v>21317</v>
      </c>
      <c r="D3904" s="5" t="s">
        <v>21318</v>
      </c>
      <c r="E3904" s="6" t="s">
        <v>74</v>
      </c>
      <c r="F3904" s="6" t="s">
        <v>21319</v>
      </c>
      <c r="G3904" s="3" t="str">
        <f>IFERROR(__xludf.DUMMYFUNCTION("REGEXREPLACE(
D3904,
""([一-龯々]+)\[([^\]]+)\]"",
""&lt;ruby&gt;$1&lt;rt&gt;$2&lt;/rt&gt;&lt;/ruby&gt;""
)&amp;""&lt;br&gt;&lt;div class=""""audio""""&gt;[sound:""&amp;C3904&amp;"".mp3]&lt;/div&gt;"""),"&lt;ruby&gt;実用&lt;rt&gt;じつよう&lt;/rt&gt;&lt;/ruby&gt;&lt;br&gt;&lt;div class=""audio""&gt;[sound:じつよう.mp3]&lt;/div&gt;")</f>
        <v>&lt;ruby&gt;実用&lt;rt&gt;じつよう&lt;/rt&gt;&lt;/ruby&gt;&lt;br&gt;&lt;div class="audio"&gt;[sound:じつよう.mp3]&lt;/div&gt;</v>
      </c>
      <c r="H3904" s="3" t="str">
        <f t="shared" si="1"/>
        <v>(n): thực dụng</v>
      </c>
      <c r="I3904" s="6" t="s">
        <v>21320</v>
      </c>
      <c r="J3904" s="6" t="s">
        <v>21321</v>
      </c>
      <c r="K3904" s="7">
        <f t="shared" si="2"/>
        <v>0.06540977367</v>
      </c>
    </row>
    <row r="3905">
      <c r="A3905" s="4">
        <v>3905.0</v>
      </c>
      <c r="B3905" s="5" t="s">
        <v>21322</v>
      </c>
      <c r="C3905" s="5" t="s">
        <v>21323</v>
      </c>
      <c r="D3905" s="5" t="s">
        <v>21324</v>
      </c>
      <c r="E3905" s="6" t="s">
        <v>74</v>
      </c>
      <c r="F3905" s="6" t="s">
        <v>21325</v>
      </c>
      <c r="G3905" s="3" t="str">
        <f>IFERROR(__xludf.DUMMYFUNCTION("REGEXREPLACE(
D3905,
""([一-龯々]+)\[([^\]]+)\]"",
""&lt;ruby&gt;$1&lt;rt&gt;$2&lt;/rt&gt;&lt;/ruby&gt;""
)&amp;""&lt;br&gt;&lt;div class=""""audio""""&gt;[sound:""&amp;C3905&amp;"".mp3]&lt;/div&gt;"""),"&lt;ruby&gt;体重&lt;rt&gt;たいじゅう&lt;/rt&gt;&lt;/ruby&gt;&lt;br&gt;&lt;div class=""audio""&gt;[sound:たいじゅう.mp3]&lt;/div&gt;")</f>
        <v>&lt;ruby&gt;体重&lt;rt&gt;たいじゅう&lt;/rt&gt;&lt;/ruby&gt;&lt;br&gt;&lt;div class="audio"&gt;[sound:たいじゅう.mp3]&lt;/div&gt;</v>
      </c>
      <c r="H3905" s="3" t="str">
        <f t="shared" si="1"/>
        <v>(n): cân nặng</v>
      </c>
      <c r="I3905" s="6" t="s">
        <v>21326</v>
      </c>
      <c r="J3905" s="6" t="s">
        <v>21327</v>
      </c>
      <c r="K3905" s="7">
        <f t="shared" si="2"/>
        <v>0.1865770207</v>
      </c>
    </row>
    <row r="3906">
      <c r="A3906" s="4">
        <v>3906.0</v>
      </c>
      <c r="B3906" s="5" t="s">
        <v>21328</v>
      </c>
      <c r="C3906" s="5" t="s">
        <v>21329</v>
      </c>
      <c r="D3906" s="5" t="s">
        <v>21330</v>
      </c>
      <c r="E3906" s="6" t="s">
        <v>24</v>
      </c>
      <c r="F3906" s="6" t="s">
        <v>2192</v>
      </c>
      <c r="G3906" s="3" t="str">
        <f>IFERROR(__xludf.DUMMYFUNCTION("REGEXREPLACE(
D3906,
""([一-龯々]+)\[([^\]]+)\]"",
""&lt;ruby&gt;$1&lt;rt&gt;$2&lt;/rt&gt;&lt;/ruby&gt;""
)&amp;""&lt;br&gt;&lt;div class=""""audio""""&gt;[sound:""&amp;C3906&amp;"".mp3]&lt;/div&gt;"""),"&lt;ruby&gt;振&lt;rt&gt;ふ&lt;/rt&gt;&lt;/ruby&gt;り&lt;ruby&gt;向&lt;rt&gt;む&lt;/rt&gt;&lt;/ruby&gt;く&lt;br&gt;&lt;div class=""audio""&gt;[sound:ふりむく.mp3]&lt;/div&gt;")</f>
        <v>&lt;ruby&gt;振&lt;rt&gt;ふ&lt;/rt&gt;&lt;/ruby&gt;り&lt;ruby&gt;向&lt;rt&gt;む&lt;/rt&gt;&lt;/ruby&gt;く&lt;br&gt;&lt;div class="audio"&gt;[sound:ふりむく.mp3]&lt;/div&gt;</v>
      </c>
      <c r="H3906" s="3" t="str">
        <f t="shared" si="1"/>
        <v>(v): quay lại</v>
      </c>
      <c r="I3906" s="6" t="s">
        <v>21331</v>
      </c>
      <c r="J3906" s="6" t="s">
        <v>21332</v>
      </c>
      <c r="K3906" s="7">
        <f t="shared" si="2"/>
        <v>0.2045193183</v>
      </c>
    </row>
    <row r="3907">
      <c r="A3907" s="4">
        <v>3907.0</v>
      </c>
      <c r="B3907" s="5" t="s">
        <v>21333</v>
      </c>
      <c r="C3907" s="5" t="s">
        <v>21334</v>
      </c>
      <c r="D3907" s="5" t="s">
        <v>21335</v>
      </c>
      <c r="E3907" s="6" t="s">
        <v>74</v>
      </c>
      <c r="F3907" s="6" t="s">
        <v>21336</v>
      </c>
      <c r="G3907" s="3" t="str">
        <f>IFERROR(__xludf.DUMMYFUNCTION("REGEXREPLACE(
D3907,
""([一-龯々]+)\[([^\]]+)\]"",
""&lt;ruby&gt;$1&lt;rt&gt;$2&lt;/rt&gt;&lt;/ruby&gt;""
)&amp;""&lt;br&gt;&lt;div class=""""audio""""&gt;[sound:""&amp;C3907&amp;"".mp3]&lt;/div&gt;"""),"&lt;ruby&gt;減少&lt;rt&gt;げんしょう&lt;/rt&gt;&lt;/ruby&gt;&lt;br&gt;&lt;div class=""audio""&gt;[sound:げんしょう.mp3]&lt;/div&gt;")</f>
        <v>&lt;ruby&gt;減少&lt;rt&gt;げんしょう&lt;/rt&gt;&lt;/ruby&gt;&lt;br&gt;&lt;div class="audio"&gt;[sound:げんしょう.mp3]&lt;/div&gt;</v>
      </c>
      <c r="H3907" s="3" t="str">
        <f t="shared" si="1"/>
        <v>(n): giảm sút</v>
      </c>
      <c r="I3907" s="6" t="s">
        <v>21337</v>
      </c>
      <c r="J3907" s="6" t="s">
        <v>21338</v>
      </c>
      <c r="K3907" s="7">
        <f t="shared" si="2"/>
        <v>0.00956106649</v>
      </c>
    </row>
    <row r="3908">
      <c r="A3908" s="4">
        <v>3908.0</v>
      </c>
      <c r="B3908" s="5" t="s">
        <v>21339</v>
      </c>
      <c r="C3908" s="5" t="s">
        <v>21340</v>
      </c>
      <c r="D3908" s="5" t="s">
        <v>21341</v>
      </c>
      <c r="E3908" s="6" t="s">
        <v>74</v>
      </c>
      <c r="F3908" s="6" t="s">
        <v>21342</v>
      </c>
      <c r="G3908" s="3" t="str">
        <f>IFERROR(__xludf.DUMMYFUNCTION("REGEXREPLACE(
D3908,
""([一-龯々]+)\[([^\]]+)\]"",
""&lt;ruby&gt;$1&lt;rt&gt;$2&lt;/rt&gt;&lt;/ruby&gt;""
)&amp;""&lt;br&gt;&lt;div class=""""audio""""&gt;[sound:""&amp;C3908&amp;"".mp3]&lt;/div&gt;"""),"&lt;ruby&gt;解散&lt;rt&gt;かいさん&lt;/rt&gt;&lt;/ruby&gt;&lt;br&gt;&lt;div class=""audio""&gt;[sound:かいさん.mp3]&lt;/div&gt;")</f>
        <v>&lt;ruby&gt;解散&lt;rt&gt;かいさん&lt;/rt&gt;&lt;/ruby&gt;&lt;br&gt;&lt;div class="audio"&gt;[sound:かいさん.mp3]&lt;/div&gt;</v>
      </c>
      <c r="H3908" s="3" t="str">
        <f t="shared" si="1"/>
        <v>(n): giải tán</v>
      </c>
      <c r="I3908" s="6" t="s">
        <v>21343</v>
      </c>
      <c r="J3908" s="6" t="s">
        <v>21344</v>
      </c>
      <c r="K3908" s="7">
        <f t="shared" si="2"/>
        <v>0.1798315992</v>
      </c>
    </row>
    <row r="3909">
      <c r="A3909" s="4">
        <v>3909.0</v>
      </c>
      <c r="B3909" s="5" t="s">
        <v>21345</v>
      </c>
      <c r="C3909" s="5" t="s">
        <v>21346</v>
      </c>
      <c r="D3909" s="5" t="s">
        <v>21347</v>
      </c>
      <c r="E3909" s="6" t="s">
        <v>74</v>
      </c>
      <c r="F3909" s="6" t="s">
        <v>14900</v>
      </c>
      <c r="G3909" s="3" t="str">
        <f>IFERROR(__xludf.DUMMYFUNCTION("REGEXREPLACE(
D3909,
""([一-龯々]+)\[([^\]]+)\]"",
""&lt;ruby&gt;$1&lt;rt&gt;$2&lt;/rt&gt;&lt;/ruby&gt;""
)&amp;""&lt;br&gt;&lt;div class=""""audio""""&gt;[sound:""&amp;C3909&amp;"".mp3]&lt;/div&gt;"""),"&lt;ruby&gt;軍隊&lt;rt&gt;ぐんたい&lt;/rt&gt;&lt;/ruby&gt;&lt;br&gt;&lt;div class=""audio""&gt;[sound:ぐんたい.mp3]&lt;/div&gt;")</f>
        <v>&lt;ruby&gt;軍隊&lt;rt&gt;ぐんたい&lt;/rt&gt;&lt;/ruby&gt;&lt;br&gt;&lt;div class="audio"&gt;[sound:ぐんたい.mp3]&lt;/div&gt;</v>
      </c>
      <c r="H3909" s="3" t="str">
        <f t="shared" si="1"/>
        <v>(n): quân đội</v>
      </c>
      <c r="I3909" s="6" t="s">
        <v>21348</v>
      </c>
      <c r="J3909" s="6" t="s">
        <v>21349</v>
      </c>
      <c r="K3909" s="7">
        <f t="shared" si="2"/>
        <v>0.8751268784</v>
      </c>
    </row>
    <row r="3910">
      <c r="A3910" s="4">
        <v>3910.0</v>
      </c>
      <c r="B3910" s="5" t="s">
        <v>21350</v>
      </c>
      <c r="C3910" s="5" t="s">
        <v>21351</v>
      </c>
      <c r="D3910" s="5" t="s">
        <v>21352</v>
      </c>
      <c r="E3910" s="6" t="s">
        <v>74</v>
      </c>
      <c r="F3910" s="6" t="s">
        <v>21353</v>
      </c>
      <c r="G3910" s="3" t="str">
        <f>IFERROR(__xludf.DUMMYFUNCTION("REGEXREPLACE(
D3910,
""([一-龯々]+)\[([^\]]+)\]"",
""&lt;ruby&gt;$1&lt;rt&gt;$2&lt;/rt&gt;&lt;/ruby&gt;""
)&amp;""&lt;br&gt;&lt;div class=""""audio""""&gt;[sound:""&amp;C3910&amp;"".mp3]&lt;/div&gt;"""),"&lt;ruby&gt;警備&lt;rt&gt;けいび&lt;/rt&gt;&lt;/ruby&gt;&lt;br&gt;&lt;div class=""audio""&gt;[sound:けいび.mp3]&lt;/div&gt;")</f>
        <v>&lt;ruby&gt;警備&lt;rt&gt;けいび&lt;/rt&gt;&lt;/ruby&gt;&lt;br&gt;&lt;div class="audio"&gt;[sound:けいび.mp3]&lt;/div&gt;</v>
      </c>
      <c r="H3910" s="3" t="str">
        <f t="shared" si="1"/>
        <v>(n): an ninh</v>
      </c>
      <c r="I3910" s="6" t="s">
        <v>21354</v>
      </c>
      <c r="J3910" s="6" t="s">
        <v>21355</v>
      </c>
      <c r="K3910" s="7">
        <f t="shared" si="2"/>
        <v>0.1884725271</v>
      </c>
    </row>
    <row r="3911">
      <c r="A3911" s="4">
        <v>3911.0</v>
      </c>
      <c r="B3911" s="5" t="s">
        <v>21356</v>
      </c>
      <c r="C3911" s="5" t="s">
        <v>21357</v>
      </c>
      <c r="D3911" s="5" t="s">
        <v>21358</v>
      </c>
      <c r="E3911" s="6" t="s">
        <v>74</v>
      </c>
      <c r="F3911" s="6" t="s">
        <v>21359</v>
      </c>
      <c r="G3911" s="3" t="str">
        <f>IFERROR(__xludf.DUMMYFUNCTION("REGEXREPLACE(
D3911,
""([一-龯々]+)\[([^\]]+)\]"",
""&lt;ruby&gt;$1&lt;rt&gt;$2&lt;/rt&gt;&lt;/ruby&gt;""
)&amp;""&lt;br&gt;&lt;div class=""""audio""""&gt;[sound:""&amp;C3911&amp;"".mp3]&lt;/div&gt;"""),"&lt;ruby&gt;大半&lt;rt&gt;たいはん&lt;/rt&gt;&lt;/ruby&gt;&lt;br&gt;&lt;div class=""audio""&gt;[sound:たいはん.mp3]&lt;/div&gt;")</f>
        <v>&lt;ruby&gt;大半&lt;rt&gt;たいはん&lt;/rt&gt;&lt;/ruby&gt;&lt;br&gt;&lt;div class="audio"&gt;[sound:たいはん.mp3]&lt;/div&gt;</v>
      </c>
      <c r="H3911" s="3" t="str">
        <f t="shared" si="1"/>
        <v>(n): đa số</v>
      </c>
      <c r="I3911" s="6" t="s">
        <v>21360</v>
      </c>
      <c r="J3911" s="6" t="s">
        <v>21361</v>
      </c>
      <c r="K3911" s="7">
        <f t="shared" si="2"/>
        <v>0.09552718463</v>
      </c>
    </row>
    <row r="3912">
      <c r="A3912" s="4">
        <v>3912.0</v>
      </c>
      <c r="B3912" s="5" t="s">
        <v>21362</v>
      </c>
      <c r="C3912" s="5" t="s">
        <v>21363</v>
      </c>
      <c r="D3912" s="5" t="s">
        <v>21364</v>
      </c>
      <c r="E3912" s="6" t="s">
        <v>24</v>
      </c>
      <c r="F3912" s="6" t="s">
        <v>1657</v>
      </c>
      <c r="G3912" s="3" t="str">
        <f>IFERROR(__xludf.DUMMYFUNCTION("REGEXREPLACE(
D3912,
""([一-龯々]+)\[([^\]]+)\]"",
""&lt;ruby&gt;$1&lt;rt&gt;$2&lt;/rt&gt;&lt;/ruby&gt;""
)&amp;""&lt;br&gt;&lt;div class=""""audio""""&gt;[sound:""&amp;C3912&amp;"".mp3]&lt;/div&gt;"""),"&lt;ruby&gt;嫌&lt;rt&gt;いや&lt;/rt&gt;&lt;/ruby&gt;がる&lt;br&gt;&lt;div class=""audio""&gt;[sound:いやがる.mp3]&lt;/div&gt;")</f>
        <v>&lt;ruby&gt;嫌&lt;rt&gt;いや&lt;/rt&gt;&lt;/ruby&gt;がる&lt;br&gt;&lt;div class="audio"&gt;[sound:いやがる.mp3]&lt;/div&gt;</v>
      </c>
      <c r="H3912" s="3" t="str">
        <f t="shared" si="1"/>
        <v>(v): ghét</v>
      </c>
      <c r="I3912" s="6" t="s">
        <v>21365</v>
      </c>
      <c r="J3912" s="6" t="s">
        <v>21366</v>
      </c>
      <c r="K3912" s="7">
        <f t="shared" si="2"/>
        <v>0.8899928075</v>
      </c>
    </row>
    <row r="3913">
      <c r="A3913" s="4">
        <v>3913.0</v>
      </c>
      <c r="B3913" s="5" t="s">
        <v>21367</v>
      </c>
      <c r="C3913" s="5" t="s">
        <v>21368</v>
      </c>
      <c r="D3913" s="5" t="s">
        <v>21369</v>
      </c>
      <c r="E3913" s="6" t="s">
        <v>74</v>
      </c>
      <c r="F3913" s="6" t="s">
        <v>21370</v>
      </c>
      <c r="G3913" s="3" t="str">
        <f>IFERROR(__xludf.DUMMYFUNCTION("REGEXREPLACE(
D3913,
""([一-龯々]+)\[([^\]]+)\]"",
""&lt;ruby&gt;$1&lt;rt&gt;$2&lt;/rt&gt;&lt;/ruby&gt;""
)&amp;""&lt;br&gt;&lt;div class=""""audio""""&gt;[sound:""&amp;C3913&amp;"".mp3]&lt;/div&gt;"""),"&lt;ruby&gt;孫&lt;rt&gt;まご&lt;/rt&gt;&lt;/ruby&gt;&lt;br&gt;&lt;div class=""audio""&gt;[sound:まご.mp3]&lt;/div&gt;")</f>
        <v>&lt;ruby&gt;孫&lt;rt&gt;まご&lt;/rt&gt;&lt;/ruby&gt;&lt;br&gt;&lt;div class="audio"&gt;[sound:まご.mp3]&lt;/div&gt;</v>
      </c>
      <c r="H3913" s="3" t="str">
        <f t="shared" si="1"/>
        <v>(n): cháu</v>
      </c>
      <c r="I3913" s="6" t="s">
        <v>21371</v>
      </c>
      <c r="J3913" s="6" t="s">
        <v>21372</v>
      </c>
      <c r="K3913" s="7">
        <f t="shared" si="2"/>
        <v>0.9562385501</v>
      </c>
    </row>
    <row r="3914">
      <c r="A3914" s="4">
        <v>3914.0</v>
      </c>
      <c r="B3914" s="5" t="s">
        <v>21373</v>
      </c>
      <c r="C3914" s="5" t="s">
        <v>21374</v>
      </c>
      <c r="D3914" s="5" t="s">
        <v>21375</v>
      </c>
      <c r="E3914" s="6" t="s">
        <v>74</v>
      </c>
      <c r="F3914" s="6" t="s">
        <v>5777</v>
      </c>
      <c r="G3914" s="3" t="str">
        <f>IFERROR(__xludf.DUMMYFUNCTION("REGEXREPLACE(
D3914,
""([一-龯々]+)\[([^\]]+)\]"",
""&lt;ruby&gt;$1&lt;rt&gt;$2&lt;/rt&gt;&lt;/ruby&gt;""
)&amp;""&lt;br&gt;&lt;div class=""""audio""""&gt;[sound:""&amp;C3914&amp;"".mp3]&lt;/div&gt;"""),"&lt;ruby&gt;寺院&lt;rt&gt;じいん&lt;/rt&gt;&lt;/ruby&gt;&lt;br&gt;&lt;div class=""audio""&gt;[sound:じいん.mp3]&lt;/div&gt;")</f>
        <v>&lt;ruby&gt;寺院&lt;rt&gt;じいん&lt;/rt&gt;&lt;/ruby&gt;&lt;br&gt;&lt;div class="audio"&gt;[sound:じいん.mp3]&lt;/div&gt;</v>
      </c>
      <c r="H3914" s="3" t="str">
        <f t="shared" si="1"/>
        <v>(n): chùa</v>
      </c>
      <c r="I3914" s="6" t="s">
        <v>21376</v>
      </c>
      <c r="J3914" s="6" t="s">
        <v>21377</v>
      </c>
      <c r="K3914" s="7">
        <f t="shared" si="2"/>
        <v>0.4496067404</v>
      </c>
    </row>
    <row r="3915">
      <c r="A3915" s="4">
        <v>3915.0</v>
      </c>
      <c r="B3915" s="5" t="s">
        <v>21378</v>
      </c>
      <c r="C3915" s="5" t="s">
        <v>13833</v>
      </c>
      <c r="D3915" s="5" t="s">
        <v>21379</v>
      </c>
      <c r="E3915" s="6" t="s">
        <v>74</v>
      </c>
      <c r="F3915" s="6" t="s">
        <v>21380</v>
      </c>
      <c r="G3915" s="3" t="str">
        <f>IFERROR(__xludf.DUMMYFUNCTION("REGEXREPLACE(
D3915,
""([一-龯々]+)\[([^\]]+)\]"",
""&lt;ruby&gt;$1&lt;rt&gt;$2&lt;/rt&gt;&lt;/ruby&gt;""
)&amp;""&lt;br&gt;&lt;div class=""""audio""""&gt;[sound:""&amp;C3915&amp;"".mp3]&lt;/div&gt;"""),"&lt;ruby&gt;講演&lt;rt&gt;こうえん&lt;/rt&gt;&lt;/ruby&gt;&lt;br&gt;&lt;div class=""audio""&gt;[sound:こうえん.mp3]&lt;/div&gt;")</f>
        <v>&lt;ruby&gt;講演&lt;rt&gt;こうえん&lt;/rt&gt;&lt;/ruby&gt;&lt;br&gt;&lt;div class="audio"&gt;[sound:こうえん.mp3]&lt;/div&gt;</v>
      </c>
      <c r="H3915" s="3" t="str">
        <f t="shared" si="1"/>
        <v>(n): diễn thuyết</v>
      </c>
      <c r="I3915" s="6" t="s">
        <v>21381</v>
      </c>
      <c r="J3915" s="6" t="s">
        <v>21382</v>
      </c>
      <c r="K3915" s="7">
        <f t="shared" si="2"/>
        <v>0.2580120421</v>
      </c>
    </row>
    <row r="3916">
      <c r="A3916" s="4">
        <v>3916.0</v>
      </c>
      <c r="B3916" s="5" t="s">
        <v>21383</v>
      </c>
      <c r="C3916" s="5" t="s">
        <v>21384</v>
      </c>
      <c r="D3916" s="5" t="s">
        <v>21385</v>
      </c>
      <c r="E3916" s="6" t="s">
        <v>74</v>
      </c>
      <c r="F3916" s="6" t="s">
        <v>21386</v>
      </c>
      <c r="G3916" s="3" t="str">
        <f>IFERROR(__xludf.DUMMYFUNCTION("REGEXREPLACE(
D3916,
""([一-龯々]+)\[([^\]]+)\]"",
""&lt;ruby&gt;$1&lt;rt&gt;$2&lt;/rt&gt;&lt;/ruby&gt;""
)&amp;""&lt;br&gt;&lt;div class=""""audio""""&gt;[sound:""&amp;C3916&amp;"".mp3]&lt;/div&gt;"""),"&lt;ruby&gt;尾&lt;rt&gt;お&lt;/rt&gt;&lt;/ruby&gt;&lt;br&gt;&lt;div class=""audio""&gt;[sound:お.mp3]&lt;/div&gt;")</f>
        <v>&lt;ruby&gt;尾&lt;rt&gt;お&lt;/rt&gt;&lt;/ruby&gt;&lt;br&gt;&lt;div class="audio"&gt;[sound:お.mp3]&lt;/div&gt;</v>
      </c>
      <c r="H3916" s="3" t="str">
        <f t="shared" si="1"/>
        <v>(n): cái đuôi</v>
      </c>
      <c r="I3916" s="6" t="s">
        <v>21387</v>
      </c>
      <c r="J3916" s="6" t="s">
        <v>21388</v>
      </c>
      <c r="K3916" s="7">
        <f t="shared" si="2"/>
        <v>0.7106940535</v>
      </c>
    </row>
    <row r="3917">
      <c r="A3917" s="4">
        <v>3917.0</v>
      </c>
      <c r="B3917" s="5" t="s">
        <v>21389</v>
      </c>
      <c r="C3917" s="5" t="s">
        <v>21390</v>
      </c>
      <c r="D3917" s="5" t="s">
        <v>21391</v>
      </c>
      <c r="E3917" s="6" t="s">
        <v>74</v>
      </c>
      <c r="F3917" s="6" t="s">
        <v>2407</v>
      </c>
      <c r="G3917" s="3" t="str">
        <f>IFERROR(__xludf.DUMMYFUNCTION("REGEXREPLACE(
D3917,
""([一-龯々]+)\[([^\]]+)\]"",
""&lt;ruby&gt;$1&lt;rt&gt;$2&lt;/rt&gt;&lt;/ruby&gt;""
)&amp;""&lt;br&gt;&lt;div class=""""audio""""&gt;[sound:""&amp;C3917&amp;"".mp3]&lt;/div&gt;"""),"&lt;ruby&gt;無料&lt;rt&gt;むりょう&lt;/rt&gt;&lt;/ruby&gt;&lt;br&gt;&lt;div class=""audio""&gt;[sound:むりょう.mp3]&lt;/div&gt;")</f>
        <v>&lt;ruby&gt;無料&lt;rt&gt;むりょう&lt;/rt&gt;&lt;/ruby&gt;&lt;br&gt;&lt;div class="audio"&gt;[sound:むりょう.mp3]&lt;/div&gt;</v>
      </c>
      <c r="H3917" s="3" t="str">
        <f t="shared" si="1"/>
        <v>(n): miễn phí</v>
      </c>
      <c r="I3917" s="6" t="s">
        <v>21392</v>
      </c>
      <c r="J3917" s="6" t="s">
        <v>21393</v>
      </c>
      <c r="K3917" s="7">
        <f t="shared" si="2"/>
        <v>0.8135655413</v>
      </c>
    </row>
    <row r="3918">
      <c r="A3918" s="4">
        <v>3918.0</v>
      </c>
      <c r="B3918" s="5" t="s">
        <v>21394</v>
      </c>
      <c r="C3918" s="5" t="s">
        <v>21395</v>
      </c>
      <c r="D3918" s="5" t="s">
        <v>21396</v>
      </c>
      <c r="E3918" s="6" t="s">
        <v>74</v>
      </c>
      <c r="F3918" s="6" t="s">
        <v>21397</v>
      </c>
      <c r="G3918" s="3" t="str">
        <f>IFERROR(__xludf.DUMMYFUNCTION("REGEXREPLACE(
D3918,
""([一-龯々]+)\[([^\]]+)\]"",
""&lt;ruby&gt;$1&lt;rt&gt;$2&lt;/rt&gt;&lt;/ruby&gt;""
)&amp;""&lt;br&gt;&lt;div class=""""audio""""&gt;[sound:""&amp;C3918&amp;"".mp3]&lt;/div&gt;"""),"&lt;ruby&gt;競馬&lt;rt&gt;けいば&lt;/rt&gt;&lt;/ruby&gt;&lt;br&gt;&lt;div class=""audio""&gt;[sound:けいば.mp3]&lt;/div&gt;")</f>
        <v>&lt;ruby&gt;競馬&lt;rt&gt;けいば&lt;/rt&gt;&lt;/ruby&gt;&lt;br&gt;&lt;div class="audio"&gt;[sound:けいば.mp3]&lt;/div&gt;</v>
      </c>
      <c r="H3918" s="3" t="str">
        <f t="shared" si="1"/>
        <v>(n): đua ngựa</v>
      </c>
      <c r="I3918" s="6" t="s">
        <v>21398</v>
      </c>
      <c r="J3918" s="6" t="s">
        <v>21399</v>
      </c>
      <c r="K3918" s="7">
        <f t="shared" si="2"/>
        <v>0.7057449243</v>
      </c>
    </row>
    <row r="3919">
      <c r="A3919" s="4">
        <v>3919.0</v>
      </c>
      <c r="B3919" s="5" t="s">
        <v>21400</v>
      </c>
      <c r="C3919" s="5" t="s">
        <v>14355</v>
      </c>
      <c r="D3919" s="5" t="s">
        <v>21401</v>
      </c>
      <c r="E3919" s="6" t="s">
        <v>74</v>
      </c>
      <c r="F3919" s="6" t="s">
        <v>21402</v>
      </c>
      <c r="G3919" s="3" t="str">
        <f>IFERROR(__xludf.DUMMYFUNCTION("REGEXREPLACE(
D3919,
""([一-龯々]+)\[([^\]]+)\]"",
""&lt;ruby&gt;$1&lt;rt&gt;$2&lt;/rt&gt;&lt;/ruby&gt;""
)&amp;""&lt;br&gt;&lt;div class=""""audio""""&gt;[sound:""&amp;C3919&amp;"".mp3]&lt;/div&gt;"""),"&lt;ruby&gt;能&lt;rt&gt;のう&lt;/rt&gt;&lt;/ruby&gt;&lt;br&gt;&lt;div class=""audio""&gt;[sound:のう.mp3]&lt;/div&gt;")</f>
        <v>&lt;ruby&gt;能&lt;rt&gt;のう&lt;/rt&gt;&lt;/ruby&gt;&lt;br&gt;&lt;div class="audio"&gt;[sound:のう.mp3]&lt;/div&gt;</v>
      </c>
      <c r="H3919" s="3" t="str">
        <f t="shared" si="1"/>
        <v>(n): kịch noh</v>
      </c>
      <c r="I3919" s="6" t="s">
        <v>21403</v>
      </c>
      <c r="J3919" s="6" t="s">
        <v>21404</v>
      </c>
      <c r="K3919" s="7">
        <f t="shared" si="2"/>
        <v>0.8639282358</v>
      </c>
    </row>
    <row r="3920">
      <c r="A3920" s="4">
        <v>3920.0</v>
      </c>
      <c r="B3920" s="5" t="s">
        <v>21405</v>
      </c>
      <c r="C3920" s="5" t="s">
        <v>21406</v>
      </c>
      <c r="D3920" s="5" t="s">
        <v>21407</v>
      </c>
      <c r="E3920" s="6" t="s">
        <v>74</v>
      </c>
      <c r="F3920" s="6" t="s">
        <v>21408</v>
      </c>
      <c r="G3920" s="3" t="str">
        <f>IFERROR(__xludf.DUMMYFUNCTION("REGEXREPLACE(
D3920,
""([一-龯々]+)\[([^\]]+)\]"",
""&lt;ruby&gt;$1&lt;rt&gt;$2&lt;/rt&gt;&lt;/ruby&gt;""
)&amp;""&lt;br&gt;&lt;div class=""""audio""""&gt;[sound:""&amp;C3920&amp;"".mp3]&lt;/div&gt;"""),"&lt;ruby&gt;勢&lt;rt&gt;いきお&lt;/rt&gt;&lt;/ruby&gt;い&lt;br&gt;&lt;div class=""audio""&gt;[sound:いきおい.mp3]&lt;/div&gt;")</f>
        <v>&lt;ruby&gt;勢&lt;rt&gt;いきお&lt;/rt&gt;&lt;/ruby&gt;い&lt;br&gt;&lt;div class="audio"&gt;[sound:いきおい.mp3]&lt;/div&gt;</v>
      </c>
      <c r="H3920" s="3" t="str">
        <f t="shared" si="1"/>
        <v>(n): khí thế</v>
      </c>
      <c r="I3920" s="6" t="s">
        <v>21409</v>
      </c>
      <c r="J3920" s="6" t="s">
        <v>21410</v>
      </c>
      <c r="K3920" s="7">
        <f t="shared" si="2"/>
        <v>0.7597469582</v>
      </c>
    </row>
    <row r="3921">
      <c r="A3921" s="4">
        <v>3921.0</v>
      </c>
      <c r="B3921" s="5" t="s">
        <v>21411</v>
      </c>
      <c r="C3921" s="5" t="s">
        <v>21412</v>
      </c>
      <c r="D3921" s="5" t="s">
        <v>21413</v>
      </c>
      <c r="E3921" s="6" t="s">
        <v>24</v>
      </c>
      <c r="F3921" s="6" t="s">
        <v>21414</v>
      </c>
      <c r="G3921" s="3" t="str">
        <f>IFERROR(__xludf.DUMMYFUNCTION("REGEXREPLACE(
D3921,
""([一-龯々]+)\[([^\]]+)\]"",
""&lt;ruby&gt;$1&lt;rt&gt;$2&lt;/rt&gt;&lt;/ruby&gt;""
)&amp;""&lt;br&gt;&lt;div class=""""audio""""&gt;[sound:""&amp;C3921&amp;"".mp3]&lt;/div&gt;"""),"&lt;ruby&gt;心得&lt;rt&gt;こころえ&lt;/rt&gt;&lt;/ruby&gt;る&lt;br&gt;&lt;div class=""audio""&gt;[sound:こころえる.mp3]&lt;/div&gt;")</f>
        <v>&lt;ruby&gt;心得&lt;rt&gt;こころえ&lt;/rt&gt;&lt;/ruby&gt;る&lt;br&gt;&lt;div class="audio"&gt;[sound:こころえる.mp3]&lt;/div&gt;</v>
      </c>
      <c r="H3921" s="3" t="str">
        <f t="shared" si="1"/>
        <v>(v): am hiểu</v>
      </c>
      <c r="I3921" s="6" t="s">
        <v>21415</v>
      </c>
      <c r="J3921" s="6" t="s">
        <v>21416</v>
      </c>
      <c r="K3921" s="7">
        <f t="shared" si="2"/>
        <v>0.8217590272</v>
      </c>
    </row>
    <row r="3922">
      <c r="A3922" s="4">
        <v>3922.0</v>
      </c>
      <c r="B3922" s="5" t="s">
        <v>21417</v>
      </c>
      <c r="C3922" s="5" t="s">
        <v>21418</v>
      </c>
      <c r="D3922" s="5" t="s">
        <v>21419</v>
      </c>
      <c r="E3922" s="6" t="s">
        <v>74</v>
      </c>
      <c r="F3922" s="6" t="s">
        <v>21420</v>
      </c>
      <c r="G3922" s="3" t="str">
        <f>IFERROR(__xludf.DUMMYFUNCTION("REGEXREPLACE(
D3922,
""([一-龯々]+)\[([^\]]+)\]"",
""&lt;ruby&gt;$1&lt;rt&gt;$2&lt;/rt&gt;&lt;/ruby&gt;""
)&amp;""&lt;br&gt;&lt;div class=""""audio""""&gt;[sound:""&amp;C3922&amp;"".mp3]&lt;/div&gt;"""),"&lt;ruby&gt;海岸&lt;rt&gt;かいがん&lt;/rt&gt;&lt;/ruby&gt;&lt;br&gt;&lt;div class=""audio""&gt;[sound:かいがん.mp3]&lt;/div&gt;")</f>
        <v>&lt;ruby&gt;海岸&lt;rt&gt;かいがん&lt;/rt&gt;&lt;/ruby&gt;&lt;br&gt;&lt;div class="audio"&gt;[sound:かいがん.mp3]&lt;/div&gt;</v>
      </c>
      <c r="H3922" s="3" t="str">
        <f t="shared" si="1"/>
        <v>(n): bờ biển</v>
      </c>
      <c r="I3922" s="6" t="s">
        <v>21421</v>
      </c>
      <c r="J3922" s="6" t="s">
        <v>21422</v>
      </c>
      <c r="K3922" s="7">
        <f t="shared" si="2"/>
        <v>0.1970515383</v>
      </c>
    </row>
    <row r="3923">
      <c r="A3923" s="4">
        <v>3923.0</v>
      </c>
      <c r="B3923" s="5" t="s">
        <v>21423</v>
      </c>
      <c r="C3923" s="5" t="s">
        <v>21424</v>
      </c>
      <c r="D3923" s="5" t="s">
        <v>21425</v>
      </c>
      <c r="E3923" s="6" t="s">
        <v>74</v>
      </c>
      <c r="F3923" s="6" t="s">
        <v>16089</v>
      </c>
      <c r="G3923" s="3" t="str">
        <f>IFERROR(__xludf.DUMMYFUNCTION("REGEXREPLACE(
D3923,
""([一-龯々]+)\[([^\]]+)\]"",
""&lt;ruby&gt;$1&lt;rt&gt;$2&lt;/rt&gt;&lt;/ruby&gt;""
)&amp;""&lt;br&gt;&lt;div class=""""audio""""&gt;[sound:""&amp;C3923&amp;"".mp3]&lt;/div&gt;"""),"&lt;ruby&gt;独立&lt;rt&gt;どくりつ&lt;/rt&gt;&lt;/ruby&gt;&lt;br&gt;&lt;div class=""audio""&gt;[sound:どくりつ.mp3]&lt;/div&gt;")</f>
        <v>&lt;ruby&gt;独立&lt;rt&gt;どくりつ&lt;/rt&gt;&lt;/ruby&gt;&lt;br&gt;&lt;div class="audio"&gt;[sound:どくりつ.mp3]&lt;/div&gt;</v>
      </c>
      <c r="H3923" s="3" t="str">
        <f t="shared" si="1"/>
        <v>(n): độc lập</v>
      </c>
      <c r="I3923" s="6" t="s">
        <v>21426</v>
      </c>
      <c r="J3923" s="6" t="s">
        <v>21427</v>
      </c>
      <c r="K3923" s="7">
        <f t="shared" si="2"/>
        <v>0.2555399081</v>
      </c>
    </row>
    <row r="3924">
      <c r="A3924" s="4">
        <v>3924.0</v>
      </c>
      <c r="B3924" s="5" t="s">
        <v>21428</v>
      </c>
      <c r="C3924" s="5" t="s">
        <v>21429</v>
      </c>
      <c r="D3924" s="5" t="s">
        <v>21430</v>
      </c>
      <c r="E3924" s="6" t="s">
        <v>74</v>
      </c>
      <c r="F3924" s="6" t="s">
        <v>21431</v>
      </c>
      <c r="G3924" s="3" t="str">
        <f>IFERROR(__xludf.DUMMYFUNCTION("REGEXREPLACE(
D3924,
""([一-龯々]+)\[([^\]]+)\]"",
""&lt;ruby&gt;$1&lt;rt&gt;$2&lt;/rt&gt;&lt;/ruby&gt;""
)&amp;""&lt;br&gt;&lt;div class=""""audio""""&gt;[sound:""&amp;C3924&amp;"".mp3]&lt;/div&gt;"""),"&lt;ruby&gt;省略&lt;rt&gt;しょうりゃく&lt;/rt&gt;&lt;/ruby&gt;&lt;br&gt;&lt;div class=""audio""&gt;[sound:しょうりゃく.mp3]&lt;/div&gt;")</f>
        <v>&lt;ruby&gt;省略&lt;rt&gt;しょうりゃく&lt;/rt&gt;&lt;/ruby&gt;&lt;br&gt;&lt;div class="audio"&gt;[sound:しょうりゃく.mp3]&lt;/div&gt;</v>
      </c>
      <c r="H3924" s="3" t="str">
        <f t="shared" si="1"/>
        <v>(n): tóm tắt</v>
      </c>
      <c r="I3924" s="6" t="s">
        <v>21432</v>
      </c>
      <c r="J3924" s="6" t="s">
        <v>21433</v>
      </c>
      <c r="K3924" s="7">
        <f t="shared" si="2"/>
        <v>0.6993964956</v>
      </c>
    </row>
    <row r="3925">
      <c r="A3925" s="4">
        <v>3925.0</v>
      </c>
      <c r="B3925" s="5" t="s">
        <v>21434</v>
      </c>
      <c r="C3925" s="5" t="s">
        <v>21435</v>
      </c>
      <c r="D3925" s="5" t="s">
        <v>21436</v>
      </c>
      <c r="E3925" s="6" t="s">
        <v>74</v>
      </c>
      <c r="F3925" s="6" t="s">
        <v>21437</v>
      </c>
      <c r="G3925" s="3" t="str">
        <f>IFERROR(__xludf.DUMMYFUNCTION("REGEXREPLACE(
D3925,
""([一-龯々]+)\[([^\]]+)\]"",
""&lt;ruby&gt;$1&lt;rt&gt;$2&lt;/rt&gt;&lt;/ruby&gt;""
)&amp;""&lt;br&gt;&lt;div class=""""audio""""&gt;[sound:""&amp;C3925&amp;"".mp3]&lt;/div&gt;"""),"&lt;ruby&gt;礼儀&lt;rt&gt;れいぎ&lt;/rt&gt;&lt;/ruby&gt;&lt;br&gt;&lt;div class=""audio""&gt;[sound:れいぎ.mp3]&lt;/div&gt;")</f>
        <v>&lt;ruby&gt;礼儀&lt;rt&gt;れいぎ&lt;/rt&gt;&lt;/ruby&gt;&lt;br&gt;&lt;div class="audio"&gt;[sound:れいぎ.mp3]&lt;/div&gt;</v>
      </c>
      <c r="H3925" s="3" t="str">
        <f t="shared" si="1"/>
        <v>(n): lễ nghi</v>
      </c>
      <c r="I3925" s="6" t="s">
        <v>21438</v>
      </c>
      <c r="J3925" s="6" t="s">
        <v>21439</v>
      </c>
      <c r="K3925" s="7">
        <f t="shared" si="2"/>
        <v>0.6745919333</v>
      </c>
    </row>
    <row r="3926">
      <c r="A3926" s="4">
        <v>3926.0</v>
      </c>
      <c r="B3926" s="5" t="s">
        <v>21440</v>
      </c>
      <c r="C3926" s="5" t="s">
        <v>21441</v>
      </c>
      <c r="D3926" s="5" t="s">
        <v>21442</v>
      </c>
      <c r="E3926" s="6" t="s">
        <v>74</v>
      </c>
      <c r="F3926" s="6" t="s">
        <v>21443</v>
      </c>
      <c r="G3926" s="3" t="str">
        <f>IFERROR(__xludf.DUMMYFUNCTION("REGEXREPLACE(
D3926,
""([一-龯々]+)\[([^\]]+)\]"",
""&lt;ruby&gt;$1&lt;rt&gt;$2&lt;/rt&gt;&lt;/ruby&gt;""
)&amp;""&lt;br&gt;&lt;div class=""""audio""""&gt;[sound:""&amp;C3926&amp;"".mp3]&lt;/div&gt;"""),"&lt;ruby&gt;出口&lt;rt&gt;でぐち&lt;/rt&gt;&lt;/ruby&gt;&lt;br&gt;&lt;div class=""audio""&gt;[sound:でぐち.mp3]&lt;/div&gt;")</f>
        <v>&lt;ruby&gt;出口&lt;rt&gt;でぐち&lt;/rt&gt;&lt;/ruby&gt;&lt;br&gt;&lt;div class="audio"&gt;[sound:でぐち.mp3]&lt;/div&gt;</v>
      </c>
      <c r="H3926" s="3" t="str">
        <f t="shared" si="1"/>
        <v>(n): lối ra</v>
      </c>
      <c r="I3926" s="6" t="s">
        <v>21444</v>
      </c>
      <c r="J3926" s="6" t="s">
        <v>21445</v>
      </c>
      <c r="K3926" s="7">
        <f t="shared" si="2"/>
        <v>0.07451287601</v>
      </c>
    </row>
    <row r="3927">
      <c r="A3927" s="4">
        <v>3927.0</v>
      </c>
      <c r="B3927" s="5" t="s">
        <v>21446</v>
      </c>
      <c r="C3927" s="5" t="s">
        <v>21447</v>
      </c>
      <c r="D3927" s="5" t="s">
        <v>21448</v>
      </c>
      <c r="E3927" s="6" t="s">
        <v>74</v>
      </c>
      <c r="F3927" s="6" t="s">
        <v>21449</v>
      </c>
      <c r="G3927" s="3" t="str">
        <f>IFERROR(__xludf.DUMMYFUNCTION("REGEXREPLACE(
D3927,
""([一-龯々]+)\[([^\]]+)\]"",
""&lt;ruby&gt;$1&lt;rt&gt;$2&lt;/rt&gt;&lt;/ruby&gt;""
)&amp;""&lt;br&gt;&lt;div class=""""audio""""&gt;[sound:""&amp;C3927&amp;"".mp3]&lt;/div&gt;"""),"&lt;ruby&gt;復習&lt;rt&gt;ふくしゅう&lt;/rt&gt;&lt;/ruby&gt;&lt;br&gt;&lt;div class=""audio""&gt;[sound:ふくしゅう.mp3]&lt;/div&gt;")</f>
        <v>&lt;ruby&gt;復習&lt;rt&gt;ふくしゅう&lt;/rt&gt;&lt;/ruby&gt;&lt;br&gt;&lt;div class="audio"&gt;[sound:ふくしゅう.mp3]&lt;/div&gt;</v>
      </c>
      <c r="H3927" s="3" t="str">
        <f t="shared" si="1"/>
        <v>(n): ôn tập</v>
      </c>
      <c r="I3927" s="6" t="s">
        <v>21450</v>
      </c>
      <c r="J3927" s="6" t="s">
        <v>21451</v>
      </c>
      <c r="K3927" s="7">
        <f t="shared" si="2"/>
        <v>0.4886921977</v>
      </c>
    </row>
    <row r="3928">
      <c r="A3928" s="4">
        <v>3928.0</v>
      </c>
      <c r="B3928" s="5" t="s">
        <v>21452</v>
      </c>
      <c r="C3928" s="5" t="s">
        <v>21453</v>
      </c>
      <c r="D3928" s="5" t="s">
        <v>21454</v>
      </c>
      <c r="E3928" s="6" t="s">
        <v>74</v>
      </c>
      <c r="F3928" s="6" t="s">
        <v>21455</v>
      </c>
      <c r="G3928" s="3" t="str">
        <f>IFERROR(__xludf.DUMMYFUNCTION("REGEXREPLACE(
D3928,
""([一-龯々]+)\[([^\]]+)\]"",
""&lt;ruby&gt;$1&lt;rt&gt;$2&lt;/rt&gt;&lt;/ruby&gt;""
)&amp;""&lt;br&gt;&lt;div class=""""audio""""&gt;[sound:""&amp;C3928&amp;"".mp3]&lt;/div&gt;"""),"&lt;ruby&gt;池&lt;rt&gt;いけ&lt;/rt&gt;&lt;/ruby&gt;&lt;br&gt;&lt;div class=""audio""&gt;[sound:いけ.mp3]&lt;/div&gt;")</f>
        <v>&lt;ruby&gt;池&lt;rt&gt;いけ&lt;/rt&gt;&lt;/ruby&gt;&lt;br&gt;&lt;div class="audio"&gt;[sound:いけ.mp3]&lt;/div&gt;</v>
      </c>
      <c r="H3928" s="3" t="str">
        <f t="shared" si="1"/>
        <v>(n): cái ao</v>
      </c>
      <c r="I3928" s="6" t="s">
        <v>21456</v>
      </c>
      <c r="J3928" s="6" t="s">
        <v>21457</v>
      </c>
      <c r="K3928" s="7">
        <f t="shared" si="2"/>
        <v>0.05523525047</v>
      </c>
    </row>
    <row r="3929">
      <c r="A3929" s="4">
        <v>3929.0</v>
      </c>
      <c r="B3929" s="5" t="s">
        <v>21458</v>
      </c>
      <c r="C3929" s="5" t="s">
        <v>21459</v>
      </c>
      <c r="D3929" s="5" t="s">
        <v>21460</v>
      </c>
      <c r="E3929" s="6" t="s">
        <v>74</v>
      </c>
      <c r="F3929" s="6" t="s">
        <v>21461</v>
      </c>
      <c r="G3929" s="3" t="str">
        <f>IFERROR(__xludf.DUMMYFUNCTION("REGEXREPLACE(
D3929,
""([一-龯々]+)\[([^\]]+)\]"",
""&lt;ruby&gt;$1&lt;rt&gt;$2&lt;/rt&gt;&lt;/ruby&gt;""
)&amp;""&lt;br&gt;&lt;div class=""""audio""""&gt;[sound:""&amp;C3929&amp;"".mp3]&lt;/div&gt;"""),"&lt;ruby&gt;脇&lt;rt&gt;わき&lt;/rt&gt;&lt;/ruby&gt;&lt;br&gt;&lt;div class=""audio""&gt;[sound:わき.mp3]&lt;/div&gt;")</f>
        <v>&lt;ruby&gt;脇&lt;rt&gt;わき&lt;/rt&gt;&lt;/ruby&gt;&lt;br&gt;&lt;div class="audio"&gt;[sound:わき.mp3]&lt;/div&gt;</v>
      </c>
      <c r="H3929" s="3" t="str">
        <f t="shared" si="1"/>
        <v>(n): nách</v>
      </c>
      <c r="I3929" s="6" t="s">
        <v>21462</v>
      </c>
      <c r="J3929" s="6" t="s">
        <v>21463</v>
      </c>
      <c r="K3929" s="7">
        <f t="shared" si="2"/>
        <v>0.7291326606</v>
      </c>
    </row>
    <row r="3930">
      <c r="A3930" s="4">
        <v>3930.0</v>
      </c>
      <c r="B3930" s="5" t="s">
        <v>21464</v>
      </c>
      <c r="C3930" s="5" t="s">
        <v>21465</v>
      </c>
      <c r="D3930" s="5" t="s">
        <v>21466</v>
      </c>
      <c r="E3930" s="6" t="s">
        <v>24</v>
      </c>
      <c r="F3930" s="6" t="s">
        <v>21467</v>
      </c>
      <c r="G3930" s="3" t="str">
        <f>IFERROR(__xludf.DUMMYFUNCTION("REGEXREPLACE(
D3930,
""([一-龯々]+)\[([^\]]+)\]"",
""&lt;ruby&gt;$1&lt;rt&gt;$2&lt;/rt&gt;&lt;/ruby&gt;""
)&amp;""&lt;br&gt;&lt;div class=""""audio""""&gt;[sound:""&amp;C3930&amp;"".mp3]&lt;/div&gt;"""),"&lt;ruby&gt;絞&lt;rt&gt;しぼ&lt;/rt&gt;&lt;/ruby&gt;る&lt;br&gt;&lt;div class=""audio""&gt;[sound:しぼる.mp3]&lt;/div&gt;")</f>
        <v>&lt;ruby&gt;絞&lt;rt&gt;しぼ&lt;/rt&gt;&lt;/ruby&gt;る&lt;br&gt;&lt;div class="audio"&gt;[sound:しぼる.mp3]&lt;/div&gt;</v>
      </c>
      <c r="H3930" s="3" t="str">
        <f t="shared" si="1"/>
        <v>(v): vắt</v>
      </c>
      <c r="I3930" s="6" t="s">
        <v>21468</v>
      </c>
      <c r="J3930" s="6" t="s">
        <v>21469</v>
      </c>
      <c r="K3930" s="7">
        <f t="shared" si="2"/>
        <v>0.5600291155</v>
      </c>
    </row>
    <row r="3931">
      <c r="A3931" s="4">
        <v>3931.0</v>
      </c>
      <c r="B3931" s="5" t="s">
        <v>21470</v>
      </c>
      <c r="C3931" s="5" t="s">
        <v>21471</v>
      </c>
      <c r="D3931" s="5" t="s">
        <v>21472</v>
      </c>
      <c r="E3931" s="6" t="s">
        <v>74</v>
      </c>
      <c r="F3931" s="6" t="s">
        <v>2998</v>
      </c>
      <c r="G3931" s="3" t="str">
        <f>IFERROR(__xludf.DUMMYFUNCTION("REGEXREPLACE(
D3931,
""([一-龯々]+)\[([^\]]+)\]"",
""&lt;ruby&gt;$1&lt;rt&gt;$2&lt;/rt&gt;&lt;/ruby&gt;""
)&amp;""&lt;br&gt;&lt;div class=""""audio""""&gt;[sound:""&amp;C3931&amp;"".mp3]&lt;/div&gt;"""),"&lt;ruby&gt;夫人&lt;rt&gt;ふじん&lt;/rt&gt;&lt;/ruby&gt;&lt;br&gt;&lt;div class=""audio""&gt;[sound:ふじん.mp3]&lt;/div&gt;")</f>
        <v>&lt;ruby&gt;夫人&lt;rt&gt;ふじん&lt;/rt&gt;&lt;/ruby&gt;&lt;br&gt;&lt;div class="audio"&gt;[sound:ふじん.mp3]&lt;/div&gt;</v>
      </c>
      <c r="H3931" s="3" t="str">
        <f t="shared" si="1"/>
        <v>(n): vợ</v>
      </c>
      <c r="I3931" s="6" t="s">
        <v>21473</v>
      </c>
      <c r="J3931" s="6" t="s">
        <v>21474</v>
      </c>
      <c r="K3931" s="7">
        <f t="shared" si="2"/>
        <v>0.4149252664</v>
      </c>
    </row>
    <row r="3932">
      <c r="A3932" s="4">
        <v>3932.0</v>
      </c>
      <c r="B3932" s="5" t="s">
        <v>21475</v>
      </c>
      <c r="C3932" s="5" t="s">
        <v>21476</v>
      </c>
      <c r="D3932" s="5" t="s">
        <v>21477</v>
      </c>
      <c r="E3932" s="6" t="s">
        <v>74</v>
      </c>
      <c r="F3932" s="6" t="s">
        <v>21478</v>
      </c>
      <c r="G3932" s="3" t="str">
        <f>IFERROR(__xludf.DUMMYFUNCTION("REGEXREPLACE(
D3932,
""([一-龯々]+)\[([^\]]+)\]"",
""&lt;ruby&gt;$1&lt;rt&gt;$2&lt;/rt&gt;&lt;/ruby&gt;""
)&amp;""&lt;br&gt;&lt;div class=""""audio""""&gt;[sound:""&amp;C3932&amp;"".mp3]&lt;/div&gt;"""),"&lt;ruby&gt;幼稚園&lt;rt&gt;ようちえん&lt;/rt&gt;&lt;/ruby&gt;&lt;br&gt;&lt;div class=""audio""&gt;[sound:ようちえん.mp3]&lt;/div&gt;")</f>
        <v>&lt;ruby&gt;幼稚園&lt;rt&gt;ようちえん&lt;/rt&gt;&lt;/ruby&gt;&lt;br&gt;&lt;div class="audio"&gt;[sound:ようちえん.mp3]&lt;/div&gt;</v>
      </c>
      <c r="H3932" s="3" t="str">
        <f t="shared" si="1"/>
        <v>(n): trường mẫu giáo</v>
      </c>
      <c r="I3932" s="6" t="s">
        <v>21479</v>
      </c>
      <c r="J3932" s="6" t="s">
        <v>21480</v>
      </c>
      <c r="K3932" s="7">
        <f t="shared" si="2"/>
        <v>0.9872252267</v>
      </c>
    </row>
    <row r="3933">
      <c r="A3933" s="4">
        <v>3933.0</v>
      </c>
      <c r="B3933" s="5" t="s">
        <v>21481</v>
      </c>
      <c r="C3933" s="5" t="s">
        <v>21482</v>
      </c>
      <c r="D3933" s="5" t="s">
        <v>21483</v>
      </c>
      <c r="E3933" s="6" t="s">
        <v>24</v>
      </c>
      <c r="F3933" s="6" t="s">
        <v>21484</v>
      </c>
      <c r="G3933" s="3" t="str">
        <f>IFERROR(__xludf.DUMMYFUNCTION("REGEXREPLACE(
D3933,
""([一-龯々]+)\[([^\]]+)\]"",
""&lt;ruby&gt;$1&lt;rt&gt;$2&lt;/rt&gt;&lt;/ruby&gt;""
)&amp;""&lt;br&gt;&lt;div class=""""audio""""&gt;[sound:""&amp;C3933&amp;"".mp3]&lt;/div&gt;"""),"&lt;ruby&gt;近付&lt;rt&gt;ちかづ&lt;/rt&gt;&lt;/ruby&gt;ける&lt;br&gt;&lt;div class=""audio""&gt;[sound:ちかづける.mp3]&lt;/div&gt;")</f>
        <v>&lt;ruby&gt;近付&lt;rt&gt;ちかづ&lt;/rt&gt;&lt;/ruby&gt;ける&lt;br&gt;&lt;div class="audio"&gt;[sound:ちかづける.mp3]&lt;/div&gt;</v>
      </c>
      <c r="H3933" s="3" t="str">
        <f t="shared" si="1"/>
        <v>(v): mang lại gần</v>
      </c>
      <c r="I3933" s="6" t="s">
        <v>21485</v>
      </c>
      <c r="J3933" s="6" t="s">
        <v>21486</v>
      </c>
      <c r="K3933" s="7">
        <f t="shared" si="2"/>
        <v>0.2162181716</v>
      </c>
    </row>
    <row r="3934">
      <c r="A3934" s="4">
        <v>3934.0</v>
      </c>
      <c r="B3934" s="5" t="s">
        <v>21487</v>
      </c>
      <c r="C3934" s="5" t="s">
        <v>21488</v>
      </c>
      <c r="D3934" s="5" t="s">
        <v>21489</v>
      </c>
      <c r="E3934" s="6" t="s">
        <v>74</v>
      </c>
      <c r="F3934" s="6" t="s">
        <v>21490</v>
      </c>
      <c r="G3934" s="3" t="str">
        <f>IFERROR(__xludf.DUMMYFUNCTION("REGEXREPLACE(
D3934,
""([一-龯々]+)\[([^\]]+)\]"",
""&lt;ruby&gt;$1&lt;rt&gt;$2&lt;/rt&gt;&lt;/ruby&gt;""
)&amp;""&lt;br&gt;&lt;div class=""""audio""""&gt;[sound:""&amp;C3934&amp;"".mp3]&lt;/div&gt;"""),"&lt;ruby&gt;申&lt;rt&gt;もう&lt;/rt&gt;&lt;/ruby&gt;し&lt;ruby&gt;訳&lt;rt&gt;わけ&lt;/rt&gt;&lt;/ruby&gt;&lt;br&gt;&lt;div class=""audio""&gt;[sound:もうしわけ.mp3]&lt;/div&gt;")</f>
        <v>&lt;ruby&gt;申&lt;rt&gt;もう&lt;/rt&gt;&lt;/ruby&gt;し&lt;ruby&gt;訳&lt;rt&gt;わけ&lt;/rt&gt;&lt;/ruby&gt;&lt;br&gt;&lt;div class="audio"&gt;[sound:もうしわけ.mp3]&lt;/div&gt;</v>
      </c>
      <c r="H3934" s="3" t="str">
        <f t="shared" si="1"/>
        <v>(n): lời xin lỗi</v>
      </c>
      <c r="I3934" s="6" t="s">
        <v>21491</v>
      </c>
      <c r="J3934" s="6" t="s">
        <v>21492</v>
      </c>
      <c r="K3934" s="7">
        <f t="shared" si="2"/>
        <v>0.7950177323</v>
      </c>
    </row>
    <row r="3935">
      <c r="A3935" s="4">
        <v>3935.0</v>
      </c>
      <c r="B3935" s="5" t="s">
        <v>21493</v>
      </c>
      <c r="C3935" s="5" t="s">
        <v>21494</v>
      </c>
      <c r="D3935" s="5" t="s">
        <v>21495</v>
      </c>
      <c r="E3935" s="6" t="s">
        <v>74</v>
      </c>
      <c r="F3935" s="6" t="s">
        <v>21496</v>
      </c>
      <c r="G3935" s="3" t="str">
        <f>IFERROR(__xludf.DUMMYFUNCTION("REGEXREPLACE(
D3935,
""([一-龯々]+)\[([^\]]+)\]"",
""&lt;ruby&gt;$1&lt;rt&gt;$2&lt;/rt&gt;&lt;/ruby&gt;""
)&amp;""&lt;br&gt;&lt;div class=""""audio""""&gt;[sound:""&amp;C3935&amp;"".mp3]&lt;/div&gt;"""),"&lt;ruby&gt;試&lt;rt&gt;ため&lt;/rt&gt;&lt;/ruby&gt;し&lt;br&gt;&lt;div class=""audio""&gt;[sound:ためし.mp3]&lt;/div&gt;")</f>
        <v>&lt;ruby&gt;試&lt;rt&gt;ため&lt;/rt&gt;&lt;/ruby&gt;し&lt;br&gt;&lt;div class="audio"&gt;[sound:ためし.mp3]&lt;/div&gt;</v>
      </c>
      <c r="H3935" s="3" t="str">
        <f t="shared" si="1"/>
        <v>(n): thử nghiệm</v>
      </c>
      <c r="I3935" s="6" t="s">
        <v>21497</v>
      </c>
      <c r="J3935" s="6" t="s">
        <v>21498</v>
      </c>
      <c r="K3935" s="7">
        <f t="shared" si="2"/>
        <v>0.6476641224</v>
      </c>
    </row>
    <row r="3936">
      <c r="A3936" s="4">
        <v>3936.0</v>
      </c>
      <c r="B3936" s="5" t="s">
        <v>21499</v>
      </c>
      <c r="C3936" s="5" t="s">
        <v>21500</v>
      </c>
      <c r="D3936" s="5" t="s">
        <v>21501</v>
      </c>
      <c r="E3936" s="6" t="s">
        <v>74</v>
      </c>
      <c r="F3936" s="6" t="s">
        <v>6850</v>
      </c>
      <c r="G3936" s="3" t="str">
        <f>IFERROR(__xludf.DUMMYFUNCTION("REGEXREPLACE(
D3936,
""([一-龯々]+)\[([^\]]+)\]"",
""&lt;ruby&gt;$1&lt;rt&gt;$2&lt;/rt&gt;&lt;/ruby&gt;""
)&amp;""&lt;br&gt;&lt;div class=""""audio""""&gt;[sound:""&amp;C3936&amp;"".mp3]&lt;/div&gt;"""),"&lt;ruby&gt;公共&lt;rt&gt;こうきょう&lt;/rt&gt;&lt;/ruby&gt;&lt;br&gt;&lt;div class=""audio""&gt;[sound:こうきょう.mp3]&lt;/div&gt;")</f>
        <v>&lt;ruby&gt;公共&lt;rt&gt;こうきょう&lt;/rt&gt;&lt;/ruby&gt;&lt;br&gt;&lt;div class="audio"&gt;[sound:こうきょう.mp3]&lt;/div&gt;</v>
      </c>
      <c r="H3936" s="3" t="str">
        <f t="shared" si="1"/>
        <v>(n): công cộng</v>
      </c>
      <c r="I3936" s="6" t="s">
        <v>21502</v>
      </c>
      <c r="J3936" s="6" t="s">
        <v>21503</v>
      </c>
      <c r="K3936" s="7">
        <f t="shared" si="2"/>
        <v>0.1235753393</v>
      </c>
    </row>
    <row r="3937">
      <c r="A3937" s="4">
        <v>3937.0</v>
      </c>
      <c r="B3937" s="5" t="s">
        <v>21504</v>
      </c>
      <c r="C3937" s="5" t="s">
        <v>21505</v>
      </c>
      <c r="D3937" s="5" t="s">
        <v>21506</v>
      </c>
      <c r="E3937" s="6" t="s">
        <v>74</v>
      </c>
      <c r="F3937" s="6" t="s">
        <v>21507</v>
      </c>
      <c r="G3937" s="3" t="str">
        <f>IFERROR(__xludf.DUMMYFUNCTION("REGEXREPLACE(
D3937,
""([一-龯々]+)\[([^\]]+)\]"",
""&lt;ruby&gt;$1&lt;rt&gt;$2&lt;/rt&gt;&lt;/ruby&gt;""
)&amp;""&lt;br&gt;&lt;div class=""""audio""""&gt;[sound:""&amp;C3937&amp;"".mp3]&lt;/div&gt;"""),"&lt;ruby&gt;足元&lt;rt&gt;あしもと&lt;/rt&gt;&lt;/ruby&gt;&lt;br&gt;&lt;div class=""audio""&gt;[sound:あしもと.mp3]&lt;/div&gt;")</f>
        <v>&lt;ruby&gt;足元&lt;rt&gt;あしもと&lt;/rt&gt;&lt;/ruby&gt;&lt;br&gt;&lt;div class="audio"&gt;[sound:あしもと.mp3]&lt;/div&gt;</v>
      </c>
      <c r="H3937" s="3" t="str">
        <f t="shared" si="1"/>
        <v>(n): dưới chân</v>
      </c>
      <c r="I3937" s="6" t="s">
        <v>21508</v>
      </c>
      <c r="J3937" s="6" t="s">
        <v>21509</v>
      </c>
      <c r="K3937" s="7">
        <f t="shared" si="2"/>
        <v>0.9614224452</v>
      </c>
    </row>
    <row r="3938">
      <c r="A3938" s="4">
        <v>3938.0</v>
      </c>
      <c r="B3938" s="5" t="s">
        <v>21510</v>
      </c>
      <c r="C3938" s="5" t="s">
        <v>21511</v>
      </c>
      <c r="D3938" s="5" t="s">
        <v>21512</v>
      </c>
      <c r="E3938" s="6" t="s">
        <v>74</v>
      </c>
      <c r="F3938" s="6" t="s">
        <v>21513</v>
      </c>
      <c r="G3938" s="3" t="str">
        <f>IFERROR(__xludf.DUMMYFUNCTION("REGEXREPLACE(
D3938,
""([一-龯々]+)\[([^\]]+)\]"",
""&lt;ruby&gt;$1&lt;rt&gt;$2&lt;/rt&gt;&lt;/ruby&gt;""
)&amp;""&lt;br&gt;&lt;div class=""""audio""""&gt;[sound:""&amp;C3938&amp;"".mp3]&lt;/div&gt;"""),"&lt;ruby&gt;果物&lt;rt&gt;くだもの&lt;/rt&gt;&lt;/ruby&gt;&lt;br&gt;&lt;div class=""audio""&gt;[sound:くだもの.mp3]&lt;/div&gt;")</f>
        <v>&lt;ruby&gt;果物&lt;rt&gt;くだもの&lt;/rt&gt;&lt;/ruby&gt;&lt;br&gt;&lt;div class="audio"&gt;[sound:くだもの.mp3]&lt;/div&gt;</v>
      </c>
      <c r="H3938" s="3" t="str">
        <f t="shared" si="1"/>
        <v>(n): trái cây</v>
      </c>
      <c r="I3938" s="6" t="s">
        <v>21514</v>
      </c>
      <c r="J3938" s="6" t="s">
        <v>21515</v>
      </c>
      <c r="K3938" s="7">
        <f t="shared" si="2"/>
        <v>0.1586875374</v>
      </c>
    </row>
    <row r="3939">
      <c r="A3939" s="4">
        <v>3939.0</v>
      </c>
      <c r="B3939" s="5" t="s">
        <v>21516</v>
      </c>
      <c r="C3939" s="5" t="s">
        <v>21517</v>
      </c>
      <c r="D3939" s="5" t="s">
        <v>21518</v>
      </c>
      <c r="E3939" s="6" t="s">
        <v>74</v>
      </c>
      <c r="F3939" s="6" t="s">
        <v>21519</v>
      </c>
      <c r="G3939" s="3" t="str">
        <f>IFERROR(__xludf.DUMMYFUNCTION("REGEXREPLACE(
D3939,
""([一-龯々]+)\[([^\]]+)\]"",
""&lt;ruby&gt;$1&lt;rt&gt;$2&lt;/rt&gt;&lt;/ruby&gt;""
)&amp;""&lt;br&gt;&lt;div class=""""audio""""&gt;[sound:""&amp;C3939&amp;"".mp3]&lt;/div&gt;"""),"&lt;ruby&gt;警告&lt;rt&gt;けいこく&lt;/rt&gt;&lt;/ruby&gt;&lt;br&gt;&lt;div class=""audio""&gt;[sound:けいこく.mp3]&lt;/div&gt;")</f>
        <v>&lt;ruby&gt;警告&lt;rt&gt;けいこく&lt;/rt&gt;&lt;/ruby&gt;&lt;br&gt;&lt;div class="audio"&gt;[sound:けいこく.mp3]&lt;/div&gt;</v>
      </c>
      <c r="H3939" s="3" t="str">
        <f t="shared" si="1"/>
        <v>(n): cảnh cáo</v>
      </c>
      <c r="I3939" s="6" t="s">
        <v>21520</v>
      </c>
      <c r="J3939" s="6" t="s">
        <v>21521</v>
      </c>
      <c r="K3939" s="7">
        <f t="shared" si="2"/>
        <v>0.1997467844</v>
      </c>
    </row>
    <row r="3940">
      <c r="A3940" s="4">
        <v>3940.0</v>
      </c>
      <c r="B3940" s="5" t="s">
        <v>21522</v>
      </c>
      <c r="C3940" s="5" t="s">
        <v>21523</v>
      </c>
      <c r="D3940" s="5" t="s">
        <v>21524</v>
      </c>
      <c r="E3940" s="6" t="s">
        <v>74</v>
      </c>
      <c r="F3940" s="6" t="s">
        <v>21525</v>
      </c>
      <c r="G3940" s="3" t="str">
        <f>IFERROR(__xludf.DUMMYFUNCTION("REGEXREPLACE(
D3940,
""([一-龯々]+)\[([^\]]+)\]"",
""&lt;ruby&gt;$1&lt;rt&gt;$2&lt;/rt&gt;&lt;/ruby&gt;""
)&amp;""&lt;br&gt;&lt;div class=""""audio""""&gt;[sound:""&amp;C3940&amp;"".mp3]&lt;/div&gt;"""),"&lt;ruby&gt;体育&lt;rt&gt;たいいく&lt;/rt&gt;&lt;/ruby&gt;&lt;br&gt;&lt;div class=""audio""&gt;[sound:たいいく.mp3]&lt;/div&gt;")</f>
        <v>&lt;ruby&gt;体育&lt;rt&gt;たいいく&lt;/rt&gt;&lt;/ruby&gt;&lt;br&gt;&lt;div class="audio"&gt;[sound:たいいく.mp3]&lt;/div&gt;</v>
      </c>
      <c r="H3940" s="3" t="str">
        <f t="shared" si="1"/>
        <v>(n): thể dục</v>
      </c>
      <c r="I3940" s="6" t="s">
        <v>21526</v>
      </c>
      <c r="J3940" s="6" t="s">
        <v>21527</v>
      </c>
      <c r="K3940" s="7">
        <f t="shared" si="2"/>
        <v>0.510605652</v>
      </c>
    </row>
    <row r="3941">
      <c r="A3941" s="4">
        <v>3941.0</v>
      </c>
      <c r="B3941" s="5" t="s">
        <v>21528</v>
      </c>
      <c r="C3941" s="5" t="s">
        <v>21529</v>
      </c>
      <c r="D3941" s="5" t="s">
        <v>21530</v>
      </c>
      <c r="E3941" s="6" t="s">
        <v>74</v>
      </c>
      <c r="F3941" s="6" t="s">
        <v>13727</v>
      </c>
      <c r="G3941" s="3" t="str">
        <f>IFERROR(__xludf.DUMMYFUNCTION("REGEXREPLACE(
D3941,
""([一-龯々]+)\[([^\]]+)\]"",
""&lt;ruby&gt;$1&lt;rt&gt;$2&lt;/rt&gt;&lt;/ruby&gt;""
)&amp;""&lt;br&gt;&lt;div class=""""audio""""&gt;[sound:""&amp;C3941&amp;"".mp3]&lt;/div&gt;"""),"&lt;ruby&gt;作者&lt;rt&gt;さくしゃ&lt;/rt&gt;&lt;/ruby&gt;&lt;br&gt;&lt;div class=""audio""&gt;[sound:さくしゃ.mp3]&lt;/div&gt;")</f>
        <v>&lt;ruby&gt;作者&lt;rt&gt;さくしゃ&lt;/rt&gt;&lt;/ruby&gt;&lt;br&gt;&lt;div class="audio"&gt;[sound:さくしゃ.mp3]&lt;/div&gt;</v>
      </c>
      <c r="H3941" s="3" t="str">
        <f t="shared" si="1"/>
        <v>(n): tác giả</v>
      </c>
      <c r="I3941" s="6" t="s">
        <v>21531</v>
      </c>
      <c r="J3941" s="6" t="s">
        <v>21532</v>
      </c>
      <c r="K3941" s="7">
        <f t="shared" si="2"/>
        <v>0.2109109252</v>
      </c>
    </row>
    <row r="3942">
      <c r="A3942" s="4">
        <v>3942.0</v>
      </c>
      <c r="B3942" s="5" t="s">
        <v>21533</v>
      </c>
      <c r="C3942" s="5" t="s">
        <v>21534</v>
      </c>
      <c r="D3942" s="5" t="s">
        <v>21535</v>
      </c>
      <c r="E3942" s="6" t="s">
        <v>74</v>
      </c>
      <c r="F3942" s="6" t="s">
        <v>21536</v>
      </c>
      <c r="G3942" s="3" t="str">
        <f>IFERROR(__xludf.DUMMYFUNCTION("REGEXREPLACE(
D3942,
""([一-龯々]+)\[([^\]]+)\]"",
""&lt;ruby&gt;$1&lt;rt&gt;$2&lt;/rt&gt;&lt;/ruby&gt;""
)&amp;""&lt;br&gt;&lt;div class=""""audio""""&gt;[sound:""&amp;C3942&amp;"".mp3]&lt;/div&gt;"""),"&lt;ruby&gt;夕飯&lt;rt&gt;ゆうはん&lt;/rt&gt;&lt;/ruby&gt;&lt;br&gt;&lt;div class=""audio""&gt;[sound:ゆうはん.mp3]&lt;/div&gt;")</f>
        <v>&lt;ruby&gt;夕飯&lt;rt&gt;ゆうはん&lt;/rt&gt;&lt;/ruby&gt;&lt;br&gt;&lt;div class="audio"&gt;[sound:ゆうはん.mp3]&lt;/div&gt;</v>
      </c>
      <c r="H3942" s="3" t="str">
        <f t="shared" si="1"/>
        <v>(n): bữa tối</v>
      </c>
      <c r="I3942" s="6" t="s">
        <v>21537</v>
      </c>
      <c r="J3942" s="6" t="s">
        <v>21538</v>
      </c>
      <c r="K3942" s="7">
        <f t="shared" si="2"/>
        <v>0.1076491801</v>
      </c>
    </row>
    <row r="3943">
      <c r="A3943" s="4">
        <v>3943.0</v>
      </c>
      <c r="B3943" s="5" t="s">
        <v>21539</v>
      </c>
      <c r="C3943" s="5" t="s">
        <v>21540</v>
      </c>
      <c r="D3943" s="5" t="s">
        <v>21541</v>
      </c>
      <c r="E3943" s="6" t="s">
        <v>74</v>
      </c>
      <c r="F3943" s="6" t="s">
        <v>17394</v>
      </c>
      <c r="G3943" s="3" t="str">
        <f>IFERROR(__xludf.DUMMYFUNCTION("REGEXREPLACE(
D3943,
""([一-龯々]+)\[([^\]]+)\]"",
""&lt;ruby&gt;$1&lt;rt&gt;$2&lt;/rt&gt;&lt;/ruby&gt;""
)&amp;""&lt;br&gt;&lt;div class=""""audio""""&gt;[sound:""&amp;C3943&amp;"".mp3]&lt;/div&gt;"""),"&lt;ruby&gt;知恵&lt;rt&gt;ちえ&lt;/rt&gt;&lt;/ruby&gt;&lt;br&gt;&lt;div class=""audio""&gt;[sound:ちえ.mp3]&lt;/div&gt;")</f>
        <v>&lt;ruby&gt;知恵&lt;rt&gt;ちえ&lt;/rt&gt;&lt;/ruby&gt;&lt;br&gt;&lt;div class="audio"&gt;[sound:ちえ.mp3]&lt;/div&gt;</v>
      </c>
      <c r="H3943" s="3" t="str">
        <f t="shared" si="1"/>
        <v>(n): trí tuệ</v>
      </c>
      <c r="I3943" s="6" t="s">
        <v>21542</v>
      </c>
      <c r="J3943" s="6" t="s">
        <v>21543</v>
      </c>
      <c r="K3943" s="7">
        <f t="shared" si="2"/>
        <v>0.4828727433</v>
      </c>
    </row>
    <row r="3944">
      <c r="A3944" s="4">
        <v>3944.0</v>
      </c>
      <c r="B3944" s="5" t="s">
        <v>21544</v>
      </c>
      <c r="C3944" s="5" t="s">
        <v>21545</v>
      </c>
      <c r="D3944" s="5" t="s">
        <v>21546</v>
      </c>
      <c r="E3944" s="6" t="s">
        <v>11</v>
      </c>
      <c r="F3944" s="6" t="s">
        <v>15001</v>
      </c>
      <c r="G3944" s="3" t="str">
        <f>IFERROR(__xludf.DUMMYFUNCTION("REGEXREPLACE(
D3944,
""([一-龯々]+)\[([^\]]+)\]"",
""&lt;ruby&gt;$1&lt;rt&gt;$2&lt;/rt&gt;&lt;/ruby&gt;""
)&amp;""&lt;br&gt;&lt;div class=""""audio""""&gt;[sound:""&amp;C3944&amp;"".mp3]&lt;/div&gt;"""),"&lt;ruby&gt;過剰&lt;rt&gt;かじょう&lt;/rt&gt;&lt;/ruby&gt;&lt;br&gt;&lt;div class=""audio""&gt;[sound:かじょう.mp3]&lt;/div&gt;")</f>
        <v>&lt;ruby&gt;過剰&lt;rt&gt;かじょう&lt;/rt&gt;&lt;/ruby&gt;&lt;br&gt;&lt;div class="audio"&gt;[sound:かじょう.mp3]&lt;/div&gt;</v>
      </c>
      <c r="H3944" s="3" t="str">
        <f t="shared" si="1"/>
        <v>(adj): dư thừa</v>
      </c>
      <c r="I3944" s="6" t="s">
        <v>21547</v>
      </c>
      <c r="J3944" s="6" t="s">
        <v>21548</v>
      </c>
      <c r="K3944" s="7">
        <f t="shared" si="2"/>
        <v>0.08036249301</v>
      </c>
    </row>
    <row r="3945">
      <c r="A3945" s="4">
        <v>3945.0</v>
      </c>
      <c r="B3945" s="5" t="s">
        <v>21549</v>
      </c>
      <c r="C3945" s="5" t="s">
        <v>21550</v>
      </c>
      <c r="D3945" s="5" t="s">
        <v>21551</v>
      </c>
      <c r="E3945" s="6" t="s">
        <v>74</v>
      </c>
      <c r="F3945" s="6" t="s">
        <v>21552</v>
      </c>
      <c r="G3945" s="3" t="str">
        <f>IFERROR(__xludf.DUMMYFUNCTION("REGEXREPLACE(
D3945,
""([一-龯々]+)\[([^\]]+)\]"",
""&lt;ruby&gt;$1&lt;rt&gt;$2&lt;/rt&gt;&lt;/ruby&gt;""
)&amp;""&lt;br&gt;&lt;div class=""""audio""""&gt;[sound:""&amp;C3945&amp;"".mp3]&lt;/div&gt;"""),"&lt;ruby&gt;手帳&lt;rt&gt;てちょう&lt;/rt&gt;&lt;/ruby&gt;&lt;br&gt;&lt;div class=""audio""&gt;[sound:てちょう.mp3]&lt;/div&gt;")</f>
        <v>&lt;ruby&gt;手帳&lt;rt&gt;てちょう&lt;/rt&gt;&lt;/ruby&gt;&lt;br&gt;&lt;div class="audio"&gt;[sound:てちょう.mp3]&lt;/div&gt;</v>
      </c>
      <c r="H3945" s="3" t="str">
        <f t="shared" si="1"/>
        <v>(n): sổ tay</v>
      </c>
      <c r="I3945" s="6" t="s">
        <v>21553</v>
      </c>
      <c r="J3945" s="6" t="s">
        <v>21554</v>
      </c>
      <c r="K3945" s="7">
        <f t="shared" si="2"/>
        <v>0.2630171838</v>
      </c>
    </row>
    <row r="3946">
      <c r="A3946" s="4">
        <v>3946.0</v>
      </c>
      <c r="B3946" s="5" t="s">
        <v>21555</v>
      </c>
      <c r="C3946" s="5" t="s">
        <v>21556</v>
      </c>
      <c r="D3946" s="5" t="s">
        <v>21557</v>
      </c>
      <c r="E3946" s="6" t="s">
        <v>74</v>
      </c>
      <c r="F3946" s="6" t="s">
        <v>21558</v>
      </c>
      <c r="G3946" s="3" t="str">
        <f>IFERROR(__xludf.DUMMYFUNCTION("REGEXREPLACE(
D3946,
""([一-龯々]+)\[([^\]]+)\]"",
""&lt;ruby&gt;$1&lt;rt&gt;$2&lt;/rt&gt;&lt;/ruby&gt;""
)&amp;""&lt;br&gt;&lt;div class=""""audio""""&gt;[sound:""&amp;C3946&amp;"".mp3]&lt;/div&gt;"""),"&lt;ruby&gt;高度&lt;rt&gt;こうど&lt;/rt&gt;&lt;/ruby&gt;&lt;br&gt;&lt;div class=""audio""&gt;[sound:こうど.mp3]&lt;/div&gt;")</f>
        <v>&lt;ruby&gt;高度&lt;rt&gt;こうど&lt;/rt&gt;&lt;/ruby&gt;&lt;br&gt;&lt;div class="audio"&gt;[sound:こうど.mp3]&lt;/div&gt;</v>
      </c>
      <c r="H3946" s="3" t="str">
        <f t="shared" si="1"/>
        <v>(n): độ cao</v>
      </c>
      <c r="I3946" s="6" t="s">
        <v>21559</v>
      </c>
      <c r="J3946" s="6" t="s">
        <v>21560</v>
      </c>
      <c r="K3946" s="7">
        <f t="shared" si="2"/>
        <v>0.2652862018</v>
      </c>
    </row>
    <row r="3947">
      <c r="A3947" s="4">
        <v>3947.0</v>
      </c>
      <c r="B3947" s="5" t="s">
        <v>21561</v>
      </c>
      <c r="C3947" s="5" t="s">
        <v>21562</v>
      </c>
      <c r="D3947" s="5" t="s">
        <v>21563</v>
      </c>
      <c r="E3947" s="6" t="s">
        <v>24</v>
      </c>
      <c r="F3947" s="6" t="s">
        <v>21564</v>
      </c>
      <c r="G3947" s="3" t="str">
        <f>IFERROR(__xludf.DUMMYFUNCTION("REGEXREPLACE(
D3947,
""([一-龯々]+)\[([^\]]+)\]"",
""&lt;ruby&gt;$1&lt;rt&gt;$2&lt;/rt&gt;&lt;/ruby&gt;""
)&amp;""&lt;br&gt;&lt;div class=""""audio""""&gt;[sound:""&amp;C3947&amp;"".mp3]&lt;/div&gt;"""),"&lt;ruby&gt;怠&lt;rt&gt;おこた&lt;/rt&gt;&lt;/ruby&gt;る&lt;br&gt;&lt;div class=""audio""&gt;[sound:おこたる.mp3]&lt;/div&gt;")</f>
        <v>&lt;ruby&gt;怠&lt;rt&gt;おこた&lt;/rt&gt;&lt;/ruby&gt;る&lt;br&gt;&lt;div class="audio"&gt;[sound:おこたる.mp3]&lt;/div&gt;</v>
      </c>
      <c r="H3947" s="3" t="str">
        <f t="shared" si="1"/>
        <v>(v): lơ là</v>
      </c>
      <c r="I3947" s="6" t="s">
        <v>21565</v>
      </c>
      <c r="J3947" s="6" t="s">
        <v>21566</v>
      </c>
      <c r="K3947" s="7">
        <f t="shared" si="2"/>
        <v>0.919124403</v>
      </c>
    </row>
    <row r="3948">
      <c r="A3948" s="4">
        <v>3948.0</v>
      </c>
      <c r="B3948" s="5" t="s">
        <v>21567</v>
      </c>
      <c r="C3948" s="5" t="s">
        <v>16707</v>
      </c>
      <c r="D3948" s="5" t="s">
        <v>21568</v>
      </c>
      <c r="E3948" s="6" t="s">
        <v>24</v>
      </c>
      <c r="F3948" s="6" t="s">
        <v>21569</v>
      </c>
      <c r="G3948" s="3" t="str">
        <f>IFERROR(__xludf.DUMMYFUNCTION("REGEXREPLACE(
D3948,
""([一-龯々]+)\[([^\]]+)\]"",
""&lt;ruby&gt;$1&lt;rt&gt;$2&lt;/rt&gt;&lt;/ruby&gt;""
)&amp;""&lt;br&gt;&lt;div class=""""audio""""&gt;[sound:""&amp;C3948&amp;"".mp3]&lt;/div&gt;"""),"&lt;ruby&gt;彫&lt;rt&gt;ほ&lt;/rt&gt;&lt;/ruby&gt;る&lt;br&gt;&lt;div class=""audio""&gt;[sound:ほる.mp3]&lt;/div&gt;")</f>
        <v>&lt;ruby&gt;彫&lt;rt&gt;ほ&lt;/rt&gt;&lt;/ruby&gt;る&lt;br&gt;&lt;div class="audio"&gt;[sound:ほる.mp3]&lt;/div&gt;</v>
      </c>
      <c r="H3948" s="3" t="str">
        <f t="shared" si="1"/>
        <v>(v): khắc</v>
      </c>
      <c r="I3948" s="6" t="s">
        <v>21570</v>
      </c>
      <c r="J3948" s="6" t="s">
        <v>21571</v>
      </c>
      <c r="K3948" s="7">
        <f t="shared" si="2"/>
        <v>0.2926308367</v>
      </c>
    </row>
    <row r="3949">
      <c r="A3949" s="4">
        <v>3949.0</v>
      </c>
      <c r="B3949" s="5" t="s">
        <v>21572</v>
      </c>
      <c r="C3949" s="5" t="s">
        <v>21573</v>
      </c>
      <c r="D3949" s="5" t="s">
        <v>21574</v>
      </c>
      <c r="E3949" s="6" t="s">
        <v>11</v>
      </c>
      <c r="F3949" s="6" t="s">
        <v>21575</v>
      </c>
      <c r="G3949" s="3" t="str">
        <f>IFERROR(__xludf.DUMMYFUNCTION("REGEXREPLACE(
D3949,
""([一-龯々]+)\[([^\]]+)\]"",
""&lt;ruby&gt;$1&lt;rt&gt;$2&lt;/rt&gt;&lt;/ruby&gt;""
)&amp;""&lt;br&gt;&lt;div class=""""audio""""&gt;[sound:""&amp;C3949&amp;"".mp3]&lt;/div&gt;"""),"&lt;ruby&gt;新鮮&lt;rt&gt;しんせん&lt;/rt&gt;&lt;/ruby&gt;&lt;br&gt;&lt;div class=""audio""&gt;[sound:しんせん.mp3]&lt;/div&gt;")</f>
        <v>&lt;ruby&gt;新鮮&lt;rt&gt;しんせん&lt;/rt&gt;&lt;/ruby&gt;&lt;br&gt;&lt;div class="audio"&gt;[sound:しんせん.mp3]&lt;/div&gt;</v>
      </c>
      <c r="H3949" s="3" t="str">
        <f t="shared" si="1"/>
        <v>(adj): tươi</v>
      </c>
      <c r="I3949" s="6" t="s">
        <v>21576</v>
      </c>
      <c r="J3949" s="6" t="s">
        <v>21577</v>
      </c>
      <c r="K3949" s="7">
        <f t="shared" si="2"/>
        <v>0.8690733634</v>
      </c>
    </row>
    <row r="3950">
      <c r="A3950" s="4">
        <v>3950.0</v>
      </c>
      <c r="B3950" s="5" t="s">
        <v>21578</v>
      </c>
      <c r="C3950" s="5" t="s">
        <v>21579</v>
      </c>
      <c r="D3950" s="5" t="s">
        <v>21580</v>
      </c>
      <c r="E3950" s="6" t="s">
        <v>24</v>
      </c>
      <c r="F3950" s="6" t="s">
        <v>21581</v>
      </c>
      <c r="G3950" s="3" t="str">
        <f>IFERROR(__xludf.DUMMYFUNCTION("REGEXREPLACE(
D3950,
""([一-龯々]+)\[([^\]]+)\]"",
""&lt;ruby&gt;$1&lt;rt&gt;$2&lt;/rt&gt;&lt;/ruby&gt;""
)&amp;""&lt;br&gt;&lt;div class=""""audio""""&gt;[sound:""&amp;C3950&amp;"".mp3]&lt;/div&gt;"""),"&lt;ruby&gt;沈&lt;rt&gt;しず&lt;/rt&gt;&lt;/ruby&gt;む&lt;br&gt;&lt;div class=""audio""&gt;[sound:しずむ.mp3]&lt;/div&gt;")</f>
        <v>&lt;ruby&gt;沈&lt;rt&gt;しず&lt;/rt&gt;&lt;/ruby&gt;む&lt;br&gt;&lt;div class="audio"&gt;[sound:しずむ.mp3]&lt;/div&gt;</v>
      </c>
      <c r="H3950" s="3" t="str">
        <f t="shared" si="1"/>
        <v>(v): chìm</v>
      </c>
      <c r="I3950" s="6" t="s">
        <v>21582</v>
      </c>
      <c r="J3950" s="6" t="s">
        <v>21583</v>
      </c>
      <c r="K3950" s="7">
        <f t="shared" si="2"/>
        <v>0.5723187132</v>
      </c>
    </row>
    <row r="3951">
      <c r="A3951" s="4">
        <v>3951.0</v>
      </c>
      <c r="B3951" s="5" t="s">
        <v>21584</v>
      </c>
      <c r="C3951" s="5" t="s">
        <v>21585</v>
      </c>
      <c r="D3951" s="5" t="s">
        <v>21586</v>
      </c>
      <c r="E3951" s="6" t="s">
        <v>24</v>
      </c>
      <c r="F3951" s="6" t="s">
        <v>5996</v>
      </c>
      <c r="G3951" s="3" t="str">
        <f>IFERROR(__xludf.DUMMYFUNCTION("REGEXREPLACE(
D3951,
""([一-龯々]+)\[([^\]]+)\]"",
""&lt;ruby&gt;$1&lt;rt&gt;$2&lt;/rt&gt;&lt;/ruby&gt;""
)&amp;""&lt;br&gt;&lt;div class=""""audio""""&gt;[sound:""&amp;C3951&amp;"".mp3]&lt;/div&gt;"""),"&lt;ruby&gt;足&lt;rt&gt;た&lt;/rt&gt;&lt;/ruby&gt;す&lt;br&gt;&lt;div class=""audio""&gt;[sound:たす.mp3]&lt;/div&gt;")</f>
        <v>&lt;ruby&gt;足&lt;rt&gt;た&lt;/rt&gt;&lt;/ruby&gt;す&lt;br&gt;&lt;div class="audio"&gt;[sound:たす.mp3]&lt;/div&gt;</v>
      </c>
      <c r="H3951" s="3" t="str">
        <f t="shared" si="1"/>
        <v>(v): cộng</v>
      </c>
      <c r="I3951" s="6" t="s">
        <v>21587</v>
      </c>
      <c r="J3951" s="6" t="s">
        <v>21588</v>
      </c>
      <c r="K3951" s="7">
        <f t="shared" si="2"/>
        <v>0.6305341964</v>
      </c>
    </row>
    <row r="3952">
      <c r="A3952" s="4">
        <v>3952.0</v>
      </c>
      <c r="B3952" s="5" t="s">
        <v>21589</v>
      </c>
      <c r="C3952" s="5" t="s">
        <v>11497</v>
      </c>
      <c r="D3952" s="5" t="s">
        <v>21590</v>
      </c>
      <c r="E3952" s="6" t="s">
        <v>11</v>
      </c>
      <c r="F3952" s="6" t="s">
        <v>21591</v>
      </c>
      <c r="G3952" s="3" t="str">
        <f>IFERROR(__xludf.DUMMYFUNCTION("REGEXREPLACE(
D3952,
""([一-龯々]+)\[([^\]]+)\]"",
""&lt;ruby&gt;$1&lt;rt&gt;$2&lt;/rt&gt;&lt;/ruby&gt;""
)&amp;""&lt;br&gt;&lt;div class=""""audio""""&gt;[sound:""&amp;C3952&amp;"".mp3]&lt;/div&gt;"""),"&lt;ruby&gt;濃&lt;rt&gt;こ&lt;/rt&gt;&lt;/ruby&gt;い&lt;br&gt;&lt;div class=""audio""&gt;[sound:こい.mp3]&lt;/div&gt;")</f>
        <v>&lt;ruby&gt;濃&lt;rt&gt;こ&lt;/rt&gt;&lt;/ruby&gt;い&lt;br&gt;&lt;div class="audio"&gt;[sound:こい.mp3]&lt;/div&gt;</v>
      </c>
      <c r="H3952" s="3" t="str">
        <f t="shared" si="1"/>
        <v>(adj): đậm</v>
      </c>
      <c r="I3952" s="6" t="s">
        <v>21592</v>
      </c>
      <c r="J3952" s="6" t="s">
        <v>21593</v>
      </c>
      <c r="K3952" s="7">
        <f t="shared" si="2"/>
        <v>0.7691239804</v>
      </c>
    </row>
    <row r="3953">
      <c r="A3953" s="4">
        <v>3953.0</v>
      </c>
      <c r="B3953" s="5" t="s">
        <v>21594</v>
      </c>
      <c r="C3953" s="5" t="s">
        <v>21595</v>
      </c>
      <c r="D3953" s="5" t="s">
        <v>21596</v>
      </c>
      <c r="E3953" s="6" t="s">
        <v>24</v>
      </c>
      <c r="F3953" s="6" t="s">
        <v>21597</v>
      </c>
      <c r="G3953" s="3" t="str">
        <f>IFERROR(__xludf.DUMMYFUNCTION("REGEXREPLACE(
D3953,
""([一-龯々]+)\[([^\]]+)\]"",
""&lt;ruby&gt;$1&lt;rt&gt;$2&lt;/rt&gt;&lt;/ruby&gt;""
)&amp;""&lt;br&gt;&lt;div class=""""audio""""&gt;[sound:""&amp;C3953&amp;"".mp3]&lt;/div&gt;"""),"&lt;ruby&gt;被&lt;rt&gt;かぶ&lt;/rt&gt;&lt;/ruby&gt;せる&lt;br&gt;&lt;div class=""audio""&gt;[sound:かぶせる.mp3]&lt;/div&gt;")</f>
        <v>&lt;ruby&gt;被&lt;rt&gt;かぶ&lt;/rt&gt;&lt;/ruby&gt;せる&lt;br&gt;&lt;div class="audio"&gt;[sound:かぶせる.mp3]&lt;/div&gt;</v>
      </c>
      <c r="H3953" s="3" t="str">
        <f t="shared" si="1"/>
        <v>(v): phủ</v>
      </c>
      <c r="I3953" s="6" t="s">
        <v>21598</v>
      </c>
      <c r="J3953" s="6" t="s">
        <v>21599</v>
      </c>
      <c r="K3953" s="7">
        <f t="shared" si="2"/>
        <v>0.7859711445</v>
      </c>
    </row>
    <row r="3954">
      <c r="A3954" s="4">
        <v>3954.0</v>
      </c>
      <c r="B3954" s="5" t="s">
        <v>21600</v>
      </c>
      <c r="C3954" s="5" t="s">
        <v>21601</v>
      </c>
      <c r="D3954" s="5" t="s">
        <v>21602</v>
      </c>
      <c r="E3954" s="6" t="s">
        <v>24</v>
      </c>
      <c r="F3954" s="6" t="s">
        <v>21603</v>
      </c>
      <c r="G3954" s="3" t="str">
        <f>IFERROR(__xludf.DUMMYFUNCTION("REGEXREPLACE(
D3954,
""([一-龯々]+)\[([^\]]+)\]"",
""&lt;ruby&gt;$1&lt;rt&gt;$2&lt;/rt&gt;&lt;/ruby&gt;""
)&amp;""&lt;br&gt;&lt;div class=""""audio""""&gt;[sound:""&amp;C3954&amp;"".mp3]&lt;/div&gt;"""),"&lt;ruby&gt;膨&lt;rt&gt;ふく&lt;/rt&gt;&lt;/ruby&gt;らむ&lt;br&gt;&lt;div class=""audio""&gt;[sound:ふくらむ.mp3]&lt;/div&gt;")</f>
        <v>&lt;ruby&gt;膨&lt;rt&gt;ふく&lt;/rt&gt;&lt;/ruby&gt;らむ&lt;br&gt;&lt;div class="audio"&gt;[sound:ふくらむ.mp3]&lt;/div&gt;</v>
      </c>
      <c r="H3954" s="3" t="str">
        <f t="shared" si="1"/>
        <v>(v): phồng lên</v>
      </c>
      <c r="I3954" s="6" t="s">
        <v>21604</v>
      </c>
      <c r="J3954" s="6" t="s">
        <v>21605</v>
      </c>
      <c r="K3954" s="7">
        <f t="shared" si="2"/>
        <v>0.7992491894</v>
      </c>
    </row>
    <row r="3955">
      <c r="A3955" s="4">
        <v>3955.0</v>
      </c>
      <c r="B3955" s="5" t="s">
        <v>21606</v>
      </c>
      <c r="C3955" s="5" t="s">
        <v>21607</v>
      </c>
      <c r="D3955" s="5" t="s">
        <v>21608</v>
      </c>
      <c r="E3955" s="6" t="s">
        <v>74</v>
      </c>
      <c r="F3955" s="6" t="s">
        <v>2545</v>
      </c>
      <c r="G3955" s="3" t="str">
        <f>IFERROR(__xludf.DUMMYFUNCTION("REGEXREPLACE(
D3955,
""([一-龯々]+)\[([^\]]+)\]"",
""&lt;ruby&gt;$1&lt;rt&gt;$2&lt;/rt&gt;&lt;/ruby&gt;""
)&amp;""&lt;br&gt;&lt;div class=""""audio""""&gt;[sound:""&amp;C3955&amp;"".mp3]&lt;/div&gt;"""),"&lt;ruby&gt;評論&lt;rt&gt;ひょうろん&lt;/rt&gt;&lt;/ruby&gt;&lt;br&gt;&lt;div class=""audio""&gt;[sound:ひょうろん.mp3]&lt;/div&gt;")</f>
        <v>&lt;ruby&gt;評論&lt;rt&gt;ひょうろん&lt;/rt&gt;&lt;/ruby&gt;&lt;br&gt;&lt;div class="audio"&gt;[sound:ひょうろん.mp3]&lt;/div&gt;</v>
      </c>
      <c r="H3955" s="3" t="str">
        <f t="shared" si="1"/>
        <v>(n): bình luận</v>
      </c>
      <c r="I3955" s="6" t="s">
        <v>21609</v>
      </c>
      <c r="J3955" s="6" t="s">
        <v>21610</v>
      </c>
      <c r="K3955" s="7">
        <f t="shared" si="2"/>
        <v>0.5447409897</v>
      </c>
    </row>
    <row r="3956">
      <c r="A3956" s="4">
        <v>3956.0</v>
      </c>
      <c r="B3956" s="5" t="s">
        <v>21611</v>
      </c>
      <c r="C3956" s="5" t="s">
        <v>21612</v>
      </c>
      <c r="D3956" s="5" t="s">
        <v>21613</v>
      </c>
      <c r="E3956" s="6" t="s">
        <v>11</v>
      </c>
      <c r="F3956" s="6" t="s">
        <v>21614</v>
      </c>
      <c r="G3956" s="3" t="str">
        <f>IFERROR(__xludf.DUMMYFUNCTION("REGEXREPLACE(
D3956,
""([一-龯々]+)\[([^\]]+)\]"",
""&lt;ruby&gt;$1&lt;rt&gt;$2&lt;/rt&gt;&lt;/ruby&gt;""
)&amp;""&lt;br&gt;&lt;div class=""""audio""""&gt;[sound:""&amp;C3956&amp;"".mp3]&lt;/div&gt;"""),"&lt;ruby&gt;意地悪&lt;rt&gt;いじわる&lt;/rt&gt;&lt;/ruby&gt;&lt;br&gt;&lt;div class=""audio""&gt;[sound:いじわる.mp3]&lt;/div&gt;")</f>
        <v>&lt;ruby&gt;意地悪&lt;rt&gt;いじわる&lt;/rt&gt;&lt;/ruby&gt;&lt;br&gt;&lt;div class="audio"&gt;[sound:いじわる.mp3]&lt;/div&gt;</v>
      </c>
      <c r="H3956" s="3" t="str">
        <f t="shared" si="1"/>
        <v>(adj): xấu tính</v>
      </c>
      <c r="I3956" s="6" t="s">
        <v>21615</v>
      </c>
      <c r="J3956" s="6" t="s">
        <v>21616</v>
      </c>
      <c r="K3956" s="7">
        <f t="shared" si="2"/>
        <v>0.8050122743</v>
      </c>
    </row>
    <row r="3957">
      <c r="A3957" s="4">
        <v>3957.0</v>
      </c>
      <c r="B3957" s="5" t="s">
        <v>21617</v>
      </c>
      <c r="C3957" s="5" t="s">
        <v>21618</v>
      </c>
      <c r="D3957" s="5" t="s">
        <v>21619</v>
      </c>
      <c r="E3957" s="6" t="s">
        <v>74</v>
      </c>
      <c r="F3957" s="6" t="s">
        <v>21620</v>
      </c>
      <c r="G3957" s="3" t="str">
        <f>IFERROR(__xludf.DUMMYFUNCTION("REGEXREPLACE(
D3957,
""([一-龯々]+)\[([^\]]+)\]"",
""&lt;ruby&gt;$1&lt;rt&gt;$2&lt;/rt&gt;&lt;/ruby&gt;""
)&amp;""&lt;br&gt;&lt;div class=""""audio""""&gt;[sound:""&amp;C3957&amp;"".mp3]&lt;/div&gt;"""),"&lt;ruby&gt;往復&lt;rt&gt;おうふく&lt;/rt&gt;&lt;/ruby&gt;&lt;br&gt;&lt;div class=""audio""&gt;[sound:おうふく.mp3]&lt;/div&gt;")</f>
        <v>&lt;ruby&gt;往復&lt;rt&gt;おうふく&lt;/rt&gt;&lt;/ruby&gt;&lt;br&gt;&lt;div class="audio"&gt;[sound:おうふく.mp3]&lt;/div&gt;</v>
      </c>
      <c r="H3957" s="3" t="str">
        <f t="shared" si="1"/>
        <v>(n): khứ hồi</v>
      </c>
      <c r="I3957" s="6" t="s">
        <v>21621</v>
      </c>
      <c r="J3957" s="6" t="s">
        <v>21622</v>
      </c>
      <c r="K3957" s="7">
        <f t="shared" si="2"/>
        <v>0.4381252699</v>
      </c>
    </row>
    <row r="3958">
      <c r="A3958" s="4">
        <v>3958.0</v>
      </c>
      <c r="B3958" s="5" t="s">
        <v>21623</v>
      </c>
      <c r="C3958" s="5" t="s">
        <v>21624</v>
      </c>
      <c r="D3958" s="5" t="s">
        <v>21625</v>
      </c>
      <c r="E3958" s="6" t="s">
        <v>74</v>
      </c>
      <c r="F3958" s="6" t="s">
        <v>21626</v>
      </c>
      <c r="G3958" s="3" t="str">
        <f>IFERROR(__xludf.DUMMYFUNCTION("REGEXREPLACE(
D3958,
""([一-龯々]+)\[([^\]]+)\]"",
""&lt;ruby&gt;$1&lt;rt&gt;$2&lt;/rt&gt;&lt;/ruby&gt;""
)&amp;""&lt;br&gt;&lt;div class=""""audio""""&gt;[sound:""&amp;C3958&amp;"".mp3]&lt;/div&gt;"""),"&lt;ruby&gt;地理&lt;rt&gt;ちり&lt;/rt&gt;&lt;/ruby&gt;&lt;br&gt;&lt;div class=""audio""&gt;[sound:ちり.mp3]&lt;/div&gt;")</f>
        <v>&lt;ruby&gt;地理&lt;rt&gt;ちり&lt;/rt&gt;&lt;/ruby&gt;&lt;br&gt;&lt;div class="audio"&gt;[sound:ちり.mp3]&lt;/div&gt;</v>
      </c>
      <c r="H3958" s="3" t="str">
        <f t="shared" si="1"/>
        <v>(n): địa lý</v>
      </c>
      <c r="I3958" s="6" t="s">
        <v>21627</v>
      </c>
      <c r="J3958" s="6" t="s">
        <v>21628</v>
      </c>
      <c r="K3958" s="7">
        <f t="shared" si="2"/>
        <v>0.6168880634</v>
      </c>
    </row>
    <row r="3959">
      <c r="A3959" s="4">
        <v>3959.0</v>
      </c>
      <c r="B3959" s="5" t="s">
        <v>21629</v>
      </c>
      <c r="C3959" s="5" t="s">
        <v>21630</v>
      </c>
      <c r="D3959" s="5" t="s">
        <v>21631</v>
      </c>
      <c r="E3959" s="6" t="s">
        <v>24</v>
      </c>
      <c r="F3959" s="6" t="s">
        <v>21632</v>
      </c>
      <c r="G3959" s="3" t="str">
        <f>IFERROR(__xludf.DUMMYFUNCTION("REGEXREPLACE(
D3959,
""([一-龯々]+)\[([^\]]+)\]"",
""&lt;ruby&gt;$1&lt;rt&gt;$2&lt;/rt&gt;&lt;/ruby&gt;""
)&amp;""&lt;br&gt;&lt;div class=""""audio""""&gt;[sound:""&amp;C3959&amp;"".mp3]&lt;/div&gt;"""),"&lt;ruby&gt;担&lt;rt&gt;かつ&lt;/rt&gt;&lt;/ruby&gt;ぐ&lt;br&gt;&lt;div class=""audio""&gt;[sound:かつぐ.mp3]&lt;/div&gt;")</f>
        <v>&lt;ruby&gt;担&lt;rt&gt;かつ&lt;/rt&gt;&lt;/ruby&gt;ぐ&lt;br&gt;&lt;div class="audio"&gt;[sound:かつぐ.mp3]&lt;/div&gt;</v>
      </c>
      <c r="H3959" s="3" t="str">
        <f t="shared" si="1"/>
        <v>(v): khiêng</v>
      </c>
      <c r="I3959" s="6" t="s">
        <v>21633</v>
      </c>
      <c r="J3959" s="6" t="s">
        <v>21634</v>
      </c>
      <c r="K3959" s="7">
        <f t="shared" si="2"/>
        <v>0.7830988658</v>
      </c>
    </row>
    <row r="3960">
      <c r="A3960" s="4">
        <v>3960.0</v>
      </c>
      <c r="B3960" s="5" t="s">
        <v>21635</v>
      </c>
      <c r="C3960" s="5" t="s">
        <v>21636</v>
      </c>
      <c r="D3960" s="5" t="s">
        <v>21637</v>
      </c>
      <c r="E3960" s="6" t="s">
        <v>24</v>
      </c>
      <c r="F3960" s="6" t="s">
        <v>317</v>
      </c>
      <c r="G3960" s="3" t="str">
        <f>IFERROR(__xludf.DUMMYFUNCTION("REGEXREPLACE(
D3960,
""([一-龯々]+)\[([^\]]+)\]"",
""&lt;ruby&gt;$1&lt;rt&gt;$2&lt;/rt&gt;&lt;/ruby&gt;""
)&amp;""&lt;br&gt;&lt;div class=""""audio""""&gt;[sound:""&amp;C3960&amp;"".mp3]&lt;/div&gt;"""),"&lt;ruby&gt;引受&lt;rt&gt;ひきうけ&lt;/rt&gt;&lt;/ruby&gt;る&lt;br&gt;&lt;div class=""audio""&gt;[sound:ひきうける.mp3]&lt;/div&gt;")</f>
        <v>&lt;ruby&gt;引受&lt;rt&gt;ひきうけ&lt;/rt&gt;&lt;/ruby&gt;る&lt;br&gt;&lt;div class="audio"&gt;[sound:ひきうける.mp3]&lt;/div&gt;</v>
      </c>
      <c r="H3960" s="3" t="str">
        <f t="shared" si="1"/>
        <v>(v): nhận</v>
      </c>
      <c r="I3960" s="6" t="s">
        <v>21638</v>
      </c>
      <c r="J3960" s="6" t="s">
        <v>21639</v>
      </c>
      <c r="K3960" s="7">
        <f t="shared" si="2"/>
        <v>0.6165866571</v>
      </c>
    </row>
    <row r="3961">
      <c r="A3961" s="4">
        <v>3961.0</v>
      </c>
      <c r="B3961" s="5" t="s">
        <v>21640</v>
      </c>
      <c r="C3961" s="5" t="s">
        <v>14423</v>
      </c>
      <c r="D3961" s="5" t="s">
        <v>21641</v>
      </c>
      <c r="E3961" s="6" t="s">
        <v>74</v>
      </c>
      <c r="F3961" s="6" t="s">
        <v>21642</v>
      </c>
      <c r="G3961" s="3" t="str">
        <f>IFERROR(__xludf.DUMMYFUNCTION("REGEXREPLACE(
D3961,
""([一-龯々]+)\[([^\]]+)\]"",
""&lt;ruby&gt;$1&lt;rt&gt;$2&lt;/rt&gt;&lt;/ruby&gt;""
)&amp;""&lt;br&gt;&lt;div class=""""audio""""&gt;[sound:""&amp;C3961&amp;"".mp3]&lt;/div&gt;"""),"&lt;ruby&gt;玉&lt;rt&gt;たま&lt;/rt&gt;&lt;/ruby&gt;&lt;br&gt;&lt;div class=""audio""&gt;[sound:たま.mp3]&lt;/div&gt;")</f>
        <v>&lt;ruby&gt;玉&lt;rt&gt;たま&lt;/rt&gt;&lt;/ruby&gt;&lt;br&gt;&lt;div class="audio"&gt;[sound:たま.mp3]&lt;/div&gt;</v>
      </c>
      <c r="H3961" s="3" t="str">
        <f t="shared" si="1"/>
        <v>(n): viên</v>
      </c>
      <c r="I3961" s="6" t="s">
        <v>21643</v>
      </c>
      <c r="J3961" s="6" t="s">
        <v>21644</v>
      </c>
      <c r="K3961" s="7">
        <f t="shared" si="2"/>
        <v>0.3779573755</v>
      </c>
    </row>
    <row r="3962">
      <c r="A3962" s="4">
        <v>3962.0</v>
      </c>
      <c r="B3962" s="5" t="s">
        <v>21645</v>
      </c>
      <c r="C3962" s="5" t="s">
        <v>21646</v>
      </c>
      <c r="D3962" s="5" t="s">
        <v>21647</v>
      </c>
      <c r="E3962" s="6" t="s">
        <v>74</v>
      </c>
      <c r="F3962" s="6" t="s">
        <v>21648</v>
      </c>
      <c r="G3962" s="3" t="str">
        <f>IFERROR(__xludf.DUMMYFUNCTION("REGEXREPLACE(
D3962,
""([一-龯々]+)\[([^\]]+)\]"",
""&lt;ruby&gt;$1&lt;rt&gt;$2&lt;/rt&gt;&lt;/ruby&gt;""
)&amp;""&lt;br&gt;&lt;div class=""""audio""""&gt;[sound:""&amp;C3962&amp;"".mp3]&lt;/div&gt;"""),"&lt;ruby&gt;遅刻&lt;rt&gt;ちこく&lt;/rt&gt;&lt;/ruby&gt;&lt;br&gt;&lt;div class=""audio""&gt;[sound:ちこく.mp3]&lt;/div&gt;")</f>
        <v>&lt;ruby&gt;遅刻&lt;rt&gt;ちこく&lt;/rt&gt;&lt;/ruby&gt;&lt;br&gt;&lt;div class="audio"&gt;[sound:ちこく.mp3]&lt;/div&gt;</v>
      </c>
      <c r="H3962" s="3" t="str">
        <f t="shared" si="1"/>
        <v>(n): muộn</v>
      </c>
      <c r="I3962" s="6" t="s">
        <v>21649</v>
      </c>
      <c r="J3962" s="6" t="s">
        <v>21650</v>
      </c>
      <c r="K3962" s="7">
        <f t="shared" si="2"/>
        <v>0.72291432</v>
      </c>
    </row>
    <row r="3963">
      <c r="A3963" s="4">
        <v>3963.0</v>
      </c>
      <c r="B3963" s="5" t="s">
        <v>21651</v>
      </c>
      <c r="C3963" s="5" t="s">
        <v>21652</v>
      </c>
      <c r="D3963" s="5" t="s">
        <v>21653</v>
      </c>
      <c r="E3963" s="6" t="s">
        <v>24</v>
      </c>
      <c r="F3963" s="6" t="s">
        <v>21654</v>
      </c>
      <c r="G3963" s="3" t="str">
        <f>IFERROR(__xludf.DUMMYFUNCTION("REGEXREPLACE(
D3963,
""([一-龯々]+)\[([^\]]+)\]"",
""&lt;ruby&gt;$1&lt;rt&gt;$2&lt;/rt&gt;&lt;/ruby&gt;""
)&amp;""&lt;br&gt;&lt;div class=""""audio""""&gt;[sound:""&amp;C3963&amp;"".mp3]&lt;/div&gt;"""),"&lt;ruby&gt;恨&lt;rt&gt;うら&lt;/rt&gt;&lt;/ruby&gt;む&lt;br&gt;&lt;div class=""audio""&gt;[sound:うらむ.mp3]&lt;/div&gt;")</f>
        <v>&lt;ruby&gt;恨&lt;rt&gt;うら&lt;/rt&gt;&lt;/ruby&gt;む&lt;br&gt;&lt;div class="audio"&gt;[sound:うらむ.mp3]&lt;/div&gt;</v>
      </c>
      <c r="H3963" s="3" t="str">
        <f t="shared" si="1"/>
        <v>(v): hận</v>
      </c>
      <c r="I3963" s="6" t="s">
        <v>21655</v>
      </c>
      <c r="J3963" s="6" t="s">
        <v>21656</v>
      </c>
      <c r="K3963" s="7">
        <f t="shared" si="2"/>
        <v>0.3821725656</v>
      </c>
    </row>
    <row r="3964">
      <c r="A3964" s="4">
        <v>3964.0</v>
      </c>
      <c r="B3964" s="5" t="s">
        <v>21657</v>
      </c>
      <c r="C3964" s="5" t="s">
        <v>21658</v>
      </c>
      <c r="D3964" s="5" t="s">
        <v>21659</v>
      </c>
      <c r="E3964" s="6" t="s">
        <v>24</v>
      </c>
      <c r="F3964" s="6" t="s">
        <v>21660</v>
      </c>
      <c r="G3964" s="3" t="str">
        <f>IFERROR(__xludf.DUMMYFUNCTION("REGEXREPLACE(
D3964,
""([一-龯々]+)\[([^\]]+)\]"",
""&lt;ruby&gt;$1&lt;rt&gt;$2&lt;/rt&gt;&lt;/ruby&gt;""
)&amp;""&lt;br&gt;&lt;div class=""""audio""""&gt;[sound:""&amp;C3964&amp;"".mp3]&lt;/div&gt;"""),"&lt;ruby&gt;転&lt;rt&gt;ころ&lt;/rt&gt;&lt;/ruby&gt;ぶ&lt;br&gt;&lt;div class=""audio""&gt;[sound:ころぶ.mp3]&lt;/div&gt;")</f>
        <v>&lt;ruby&gt;転&lt;rt&gt;ころ&lt;/rt&gt;&lt;/ruby&gt;ぶ&lt;br&gt;&lt;div class="audio"&gt;[sound:ころぶ.mp3]&lt;/div&gt;</v>
      </c>
      <c r="H3964" s="3" t="str">
        <f t="shared" si="1"/>
        <v>(v): ngã</v>
      </c>
      <c r="I3964" s="6" t="s">
        <v>21661</v>
      </c>
      <c r="J3964" s="6" t="s">
        <v>21662</v>
      </c>
      <c r="K3964" s="7">
        <f t="shared" si="2"/>
        <v>0.06373446799</v>
      </c>
    </row>
    <row r="3965">
      <c r="A3965" s="4">
        <v>3965.0</v>
      </c>
      <c r="B3965" s="5" t="s">
        <v>21663</v>
      </c>
      <c r="C3965" s="5" t="s">
        <v>21664</v>
      </c>
      <c r="D3965" s="5" t="s">
        <v>21665</v>
      </c>
      <c r="E3965" s="6" t="s">
        <v>74</v>
      </c>
      <c r="F3965" s="6" t="s">
        <v>5021</v>
      </c>
      <c r="G3965" s="3" t="str">
        <f>IFERROR(__xludf.DUMMYFUNCTION("REGEXREPLACE(
D3965,
""([一-龯々]+)\[([^\]]+)\]"",
""&lt;ruby&gt;$1&lt;rt&gt;$2&lt;/rt&gt;&lt;/ruby&gt;""
)&amp;""&lt;br&gt;&lt;div class=""""audio""""&gt;[sound:""&amp;C3965&amp;"".mp3]&lt;/div&gt;"""),"&lt;ruby&gt;氷&lt;rt&gt;こおり&lt;/rt&gt;&lt;/ruby&gt;&lt;br&gt;&lt;div class=""audio""&gt;[sound:こおり.mp3]&lt;/div&gt;")</f>
        <v>&lt;ruby&gt;氷&lt;rt&gt;こおり&lt;/rt&gt;&lt;/ruby&gt;&lt;br&gt;&lt;div class="audio"&gt;[sound:こおり.mp3]&lt;/div&gt;</v>
      </c>
      <c r="H3965" s="3" t="str">
        <f t="shared" si="1"/>
        <v>(n): đá</v>
      </c>
      <c r="I3965" s="6" t="s">
        <v>21666</v>
      </c>
      <c r="J3965" s="6" t="s">
        <v>21667</v>
      </c>
      <c r="K3965" s="7">
        <f t="shared" si="2"/>
        <v>0.1217124487</v>
      </c>
    </row>
    <row r="3966">
      <c r="A3966" s="4">
        <v>3966.0</v>
      </c>
      <c r="B3966" s="5" t="s">
        <v>21668</v>
      </c>
      <c r="C3966" s="5" t="s">
        <v>21669</v>
      </c>
      <c r="D3966" s="5" t="s">
        <v>21670</v>
      </c>
      <c r="E3966" s="6" t="s">
        <v>74</v>
      </c>
      <c r="F3966" s="6" t="s">
        <v>19425</v>
      </c>
      <c r="G3966" s="3" t="str">
        <f>IFERROR(__xludf.DUMMYFUNCTION("REGEXREPLACE(
D3966,
""([一-龯々]+)\[([^\]]+)\]"",
""&lt;ruby&gt;$1&lt;rt&gt;$2&lt;/rt&gt;&lt;/ruby&gt;""
)&amp;""&lt;br&gt;&lt;div class=""""audio""""&gt;[sound:""&amp;C3966&amp;"".mp3]&lt;/div&gt;"""),"&lt;ruby&gt;連合&lt;rt&gt;れんごう&lt;/rt&gt;&lt;/ruby&gt;&lt;br&gt;&lt;div class=""audio""&gt;[sound:れんごう.mp3]&lt;/div&gt;")</f>
        <v>&lt;ruby&gt;連合&lt;rt&gt;れんごう&lt;/rt&gt;&lt;/ruby&gt;&lt;br&gt;&lt;div class="audio"&gt;[sound:れんごう.mp3]&lt;/div&gt;</v>
      </c>
      <c r="H3966" s="3" t="str">
        <f t="shared" si="1"/>
        <v>(n): liên minh</v>
      </c>
      <c r="I3966" s="6" t="s">
        <v>21671</v>
      </c>
      <c r="J3966" s="6" t="s">
        <v>21672</v>
      </c>
      <c r="K3966" s="7">
        <f t="shared" si="2"/>
        <v>0.2304342178</v>
      </c>
    </row>
    <row r="3967">
      <c r="A3967" s="4">
        <v>3967.0</v>
      </c>
      <c r="B3967" s="5" t="s">
        <v>21673</v>
      </c>
      <c r="C3967" s="5" t="s">
        <v>21674</v>
      </c>
      <c r="D3967" s="5" t="s">
        <v>21675</v>
      </c>
      <c r="E3967" s="6" t="s">
        <v>74</v>
      </c>
      <c r="F3967" s="6" t="s">
        <v>8941</v>
      </c>
      <c r="G3967" s="3" t="str">
        <f>IFERROR(__xludf.DUMMYFUNCTION("REGEXREPLACE(
D3967,
""([一-龯々]+)\[([^\]]+)\]"",
""&lt;ruby&gt;$1&lt;rt&gt;$2&lt;/rt&gt;&lt;/ruby&gt;""
)&amp;""&lt;br&gt;&lt;div class=""""audio""""&gt;[sound:""&amp;C3967&amp;"".mp3]&lt;/div&gt;"""),"&lt;ruby&gt;手入&lt;rt&gt;てい&lt;/rt&gt;&lt;/ruby&gt;れ&lt;br&gt;&lt;div class=""audio""&gt;[sound:ていれ.mp3]&lt;/div&gt;")</f>
        <v>&lt;ruby&gt;手入&lt;rt&gt;てい&lt;/rt&gt;&lt;/ruby&gt;れ&lt;br&gt;&lt;div class="audio"&gt;[sound:ていれ.mp3]&lt;/div&gt;</v>
      </c>
      <c r="H3967" s="3" t="str">
        <f t="shared" si="1"/>
        <v>(n): chăm sóc</v>
      </c>
      <c r="I3967" s="6" t="s">
        <v>21676</v>
      </c>
      <c r="J3967" s="6" t="s">
        <v>21677</v>
      </c>
      <c r="K3967" s="7">
        <f t="shared" si="2"/>
        <v>0.2403731976</v>
      </c>
    </row>
    <row r="3968">
      <c r="A3968" s="4">
        <v>3968.0</v>
      </c>
      <c r="B3968" s="5" t="s">
        <v>21678</v>
      </c>
      <c r="C3968" s="5" t="s">
        <v>1142</v>
      </c>
      <c r="D3968" s="5" t="s">
        <v>21679</v>
      </c>
      <c r="E3968" s="6" t="s">
        <v>85</v>
      </c>
      <c r="F3968" s="6" t="s">
        <v>21680</v>
      </c>
      <c r="G3968" s="3" t="str">
        <f>IFERROR(__xludf.DUMMYFUNCTION("REGEXREPLACE(
D3968,
""([一-龯々]+)\[([^\]]+)\]"",
""&lt;ruby&gt;$1&lt;rt&gt;$2&lt;/rt&gt;&lt;/ruby&gt;""
)&amp;""&lt;br&gt;&lt;div class=""""audio""""&gt;[sound:""&amp;C3968&amp;"".mp3]&lt;/div&gt;"""),"&lt;ruby&gt;独&lt;rt&gt;ひと&lt;/rt&gt;&lt;/ruby&gt;り&lt;br&gt;&lt;div class=""audio""&gt;[sound:ひとり.mp3]&lt;/div&gt;")</f>
        <v>&lt;ruby&gt;独&lt;rt&gt;ひと&lt;/rt&gt;&lt;/ruby&gt;り&lt;br&gt;&lt;div class="audio"&gt;[sound:ひとり.mp3]&lt;/div&gt;</v>
      </c>
      <c r="H3968" s="3" t="str">
        <f t="shared" si="1"/>
        <v>(adv): một mình</v>
      </c>
      <c r="I3968" s="6" t="s">
        <v>21681</v>
      </c>
      <c r="J3968" s="6" t="s">
        <v>21682</v>
      </c>
      <c r="K3968" s="7">
        <f t="shared" si="2"/>
        <v>0.3720387135</v>
      </c>
    </row>
    <row r="3969">
      <c r="A3969" s="4">
        <v>3969.0</v>
      </c>
      <c r="B3969" s="5" t="s">
        <v>21683</v>
      </c>
      <c r="C3969" s="5" t="s">
        <v>21684</v>
      </c>
      <c r="D3969" s="5" t="s">
        <v>21685</v>
      </c>
      <c r="E3969" s="6" t="s">
        <v>74</v>
      </c>
      <c r="F3969" s="6" t="s">
        <v>21686</v>
      </c>
      <c r="G3969" s="3" t="str">
        <f>IFERROR(__xludf.DUMMYFUNCTION("REGEXREPLACE(
D3969,
""([一-龯々]+)\[([^\]]+)\]"",
""&lt;ruby&gt;$1&lt;rt&gt;$2&lt;/rt&gt;&lt;/ruby&gt;""
)&amp;""&lt;br&gt;&lt;div class=""""audio""""&gt;[sound:""&amp;C3969&amp;"".mp3]&lt;/div&gt;"""),"&lt;ruby&gt;馬&lt;rt&gt;うま&lt;/rt&gt;&lt;/ruby&gt;&lt;br&gt;&lt;div class=""audio""&gt;[sound:うま.mp3]&lt;/div&gt;")</f>
        <v>&lt;ruby&gt;馬&lt;rt&gt;うま&lt;/rt&gt;&lt;/ruby&gt;&lt;br&gt;&lt;div class="audio"&gt;[sound:うま.mp3]&lt;/div&gt;</v>
      </c>
      <c r="H3969" s="3" t="str">
        <f t="shared" si="1"/>
        <v>(n): ngựa</v>
      </c>
      <c r="I3969" s="6" t="s">
        <v>21687</v>
      </c>
      <c r="J3969" s="6" t="s">
        <v>21688</v>
      </c>
      <c r="K3969" s="7">
        <f t="shared" si="2"/>
        <v>0.9813662378</v>
      </c>
    </row>
    <row r="3970">
      <c r="A3970" s="4">
        <v>3970.0</v>
      </c>
      <c r="B3970" s="5" t="s">
        <v>21689</v>
      </c>
      <c r="C3970" s="5" t="s">
        <v>21690</v>
      </c>
      <c r="D3970" s="5" t="s">
        <v>21691</v>
      </c>
      <c r="E3970" s="6" t="s">
        <v>11</v>
      </c>
      <c r="F3970" s="6" t="s">
        <v>14620</v>
      </c>
      <c r="G3970" s="3" t="str">
        <f>IFERROR(__xludf.DUMMYFUNCTION("REGEXREPLACE(
D3970,
""([一-龯々]+)\[([^\]]+)\]"",
""&lt;ruby&gt;$1&lt;rt&gt;$2&lt;/rt&gt;&lt;/ruby&gt;""
)&amp;""&lt;br&gt;&lt;div class=""""audio""""&gt;[sound:""&amp;C3970&amp;"".mp3]&lt;/div&gt;"""),"&lt;ruby&gt;恋&lt;rt&gt;こい&lt;/rt&gt;&lt;/ruby&gt;しい&lt;br&gt;&lt;div class=""audio""&gt;[sound:こいしい.mp3]&lt;/div&gt;")</f>
        <v>&lt;ruby&gt;恋&lt;rt&gt;こい&lt;/rt&gt;&lt;/ruby&gt;しい&lt;br&gt;&lt;div class="audio"&gt;[sound:こいしい.mp3]&lt;/div&gt;</v>
      </c>
      <c r="H3970" s="3" t="str">
        <f t="shared" si="1"/>
        <v>(adj): nhớ</v>
      </c>
      <c r="I3970" s="6" t="s">
        <v>21692</v>
      </c>
      <c r="J3970" s="6" t="s">
        <v>21693</v>
      </c>
      <c r="K3970" s="7">
        <f t="shared" si="2"/>
        <v>0.6387592734</v>
      </c>
    </row>
    <row r="3971">
      <c r="A3971" s="4">
        <v>3971.0</v>
      </c>
      <c r="B3971" s="5" t="s">
        <v>21694</v>
      </c>
      <c r="C3971" s="5" t="s">
        <v>20637</v>
      </c>
      <c r="D3971" s="5" t="s">
        <v>21695</v>
      </c>
      <c r="E3971" s="6" t="s">
        <v>74</v>
      </c>
      <c r="F3971" s="6" t="s">
        <v>746</v>
      </c>
      <c r="G3971" s="3" t="str">
        <f>IFERROR(__xludf.DUMMYFUNCTION("REGEXREPLACE(
D3971,
""([一-龯々]+)\[([^\]]+)\]"",
""&lt;ruby&gt;$1&lt;rt&gt;$2&lt;/rt&gt;&lt;/ruby&gt;""
)&amp;""&lt;br&gt;&lt;div class=""""audio""""&gt;[sound:""&amp;C3971&amp;"".mp3]&lt;/div&gt;"""),"&lt;ruby&gt;用事&lt;rt&gt;ようじ&lt;/rt&gt;&lt;/ruby&gt;&lt;br&gt;&lt;div class=""audio""&gt;[sound:ようじ.mp3]&lt;/div&gt;")</f>
        <v>&lt;ruby&gt;用事&lt;rt&gt;ようじ&lt;/rt&gt;&lt;/ruby&gt;&lt;br&gt;&lt;div class="audio"&gt;[sound:ようじ.mp3]&lt;/div&gt;</v>
      </c>
      <c r="H3971" s="3" t="str">
        <f t="shared" si="1"/>
        <v>(n): công việc</v>
      </c>
      <c r="I3971" s="6" t="s">
        <v>21696</v>
      </c>
      <c r="J3971" s="6" t="s">
        <v>21697</v>
      </c>
      <c r="K3971" s="7">
        <f t="shared" si="2"/>
        <v>0.6785592772</v>
      </c>
    </row>
    <row r="3972">
      <c r="A3972" s="4">
        <v>3972.0</v>
      </c>
      <c r="B3972" s="5" t="s">
        <v>21698</v>
      </c>
      <c r="C3972" s="5" t="s">
        <v>21699</v>
      </c>
      <c r="D3972" s="5" t="s">
        <v>21700</v>
      </c>
      <c r="E3972" s="6" t="s">
        <v>74</v>
      </c>
      <c r="F3972" s="6" t="s">
        <v>21701</v>
      </c>
      <c r="G3972" s="3" t="str">
        <f>IFERROR(__xludf.DUMMYFUNCTION("REGEXREPLACE(
D3972,
""([一-龯々]+)\[([^\]]+)\]"",
""&lt;ruby&gt;$1&lt;rt&gt;$2&lt;/rt&gt;&lt;/ruby&gt;""
)&amp;""&lt;br&gt;&lt;div class=""""audio""""&gt;[sound:""&amp;C3972&amp;"".mp3]&lt;/div&gt;"""),"&lt;ruby&gt;発売&lt;rt&gt;はつばい&lt;/rt&gt;&lt;/ruby&gt;&lt;br&gt;&lt;div class=""audio""&gt;[sound:はつばい.mp3]&lt;/div&gt;")</f>
        <v>&lt;ruby&gt;発売&lt;rt&gt;はつばい&lt;/rt&gt;&lt;/ruby&gt;&lt;br&gt;&lt;div class="audio"&gt;[sound:はつばい.mp3]&lt;/div&gt;</v>
      </c>
      <c r="H3972" s="3" t="str">
        <f t="shared" si="1"/>
        <v>(n): phát hành</v>
      </c>
      <c r="I3972" s="6" t="s">
        <v>21702</v>
      </c>
      <c r="J3972" s="6" t="s">
        <v>21703</v>
      </c>
      <c r="K3972" s="7">
        <f t="shared" si="2"/>
        <v>0.07169420139</v>
      </c>
    </row>
    <row r="3973">
      <c r="A3973" s="4">
        <v>3973.0</v>
      </c>
      <c r="B3973" s="5" t="s">
        <v>21704</v>
      </c>
      <c r="C3973" s="5" t="s">
        <v>21705</v>
      </c>
      <c r="D3973" s="5" t="s">
        <v>21706</v>
      </c>
      <c r="E3973" s="6" t="s">
        <v>74</v>
      </c>
      <c r="F3973" s="6" t="s">
        <v>21707</v>
      </c>
      <c r="G3973" s="3" t="str">
        <f>IFERROR(__xludf.DUMMYFUNCTION("REGEXREPLACE(
D3973,
""([一-龯々]+)\[([^\]]+)\]"",
""&lt;ruby&gt;$1&lt;rt&gt;$2&lt;/rt&gt;&lt;/ruby&gt;""
)&amp;""&lt;br&gt;&lt;div class=""""audio""""&gt;[sound:""&amp;C3973&amp;"".mp3]&lt;/div&gt;"""),"&lt;ruby&gt;診察&lt;rt&gt;しんさつ&lt;/rt&gt;&lt;/ruby&gt;&lt;br&gt;&lt;div class=""audio""&gt;[sound:しんさつ.mp3]&lt;/div&gt;")</f>
        <v>&lt;ruby&gt;診察&lt;rt&gt;しんさつ&lt;/rt&gt;&lt;/ruby&gt;&lt;br&gt;&lt;div class="audio"&gt;[sound:しんさつ.mp3]&lt;/div&gt;</v>
      </c>
      <c r="H3973" s="3" t="str">
        <f t="shared" si="1"/>
        <v>(n): khám bệnh</v>
      </c>
      <c r="I3973" s="6" t="s">
        <v>21708</v>
      </c>
      <c r="J3973" s="6" t="s">
        <v>21709</v>
      </c>
      <c r="K3973" s="7">
        <f t="shared" si="2"/>
        <v>0.7135769399</v>
      </c>
    </row>
    <row r="3974">
      <c r="A3974" s="4">
        <v>3974.0</v>
      </c>
      <c r="B3974" s="5" t="s">
        <v>21710</v>
      </c>
      <c r="C3974" s="5" t="s">
        <v>14379</v>
      </c>
      <c r="D3974" s="5" t="s">
        <v>21711</v>
      </c>
      <c r="E3974" s="6" t="s">
        <v>74</v>
      </c>
      <c r="F3974" s="6" t="s">
        <v>21712</v>
      </c>
      <c r="G3974" s="3" t="str">
        <f>IFERROR(__xludf.DUMMYFUNCTION("REGEXREPLACE(
D3974,
""([一-龯々]+)\[([^\]]+)\]"",
""&lt;ruby&gt;$1&lt;rt&gt;$2&lt;/rt&gt;&lt;/ruby&gt;""
)&amp;""&lt;br&gt;&lt;div class=""""audio""""&gt;[sound:""&amp;C3974&amp;"".mp3]&lt;/div&gt;"""),"&lt;ruby&gt;身長&lt;rt&gt;しんちょう&lt;/rt&gt;&lt;/ruby&gt;&lt;br&gt;&lt;div class=""audio""&gt;[sound:しんちょう.mp3]&lt;/div&gt;")</f>
        <v>&lt;ruby&gt;身長&lt;rt&gt;しんちょう&lt;/rt&gt;&lt;/ruby&gt;&lt;br&gt;&lt;div class="audio"&gt;[sound:しんちょう.mp3]&lt;/div&gt;</v>
      </c>
      <c r="H3974" s="3" t="str">
        <f t="shared" si="1"/>
        <v>(n): chiều cao</v>
      </c>
      <c r="I3974" s="6" t="s">
        <v>21713</v>
      </c>
      <c r="J3974" s="6" t="s">
        <v>21714</v>
      </c>
      <c r="K3974" s="7">
        <f t="shared" si="2"/>
        <v>0.2271319951</v>
      </c>
    </row>
    <row r="3975">
      <c r="A3975" s="4">
        <v>3975.0</v>
      </c>
      <c r="B3975" s="5" t="s">
        <v>21715</v>
      </c>
      <c r="C3975" s="5" t="s">
        <v>21716</v>
      </c>
      <c r="D3975" s="5" t="s">
        <v>21717</v>
      </c>
      <c r="E3975" s="6" t="s">
        <v>24</v>
      </c>
      <c r="F3975" s="6" t="s">
        <v>21718</v>
      </c>
      <c r="G3975" s="3" t="str">
        <f>IFERROR(__xludf.DUMMYFUNCTION("REGEXREPLACE(
D3975,
""([一-龯々]+)\[([^\]]+)\]"",
""&lt;ruby&gt;$1&lt;rt&gt;$2&lt;/rt&gt;&lt;/ruby&gt;""
)&amp;""&lt;br&gt;&lt;div class=""""audio""""&gt;[sound:""&amp;C3975&amp;"".mp3]&lt;/div&gt;"""),"&lt;ruby&gt;写&lt;rt&gt;うつ&lt;/rt&gt;&lt;/ruby&gt;す&lt;br&gt;&lt;div class=""audio""&gt;[sound:うつす.mp3]&lt;/div&gt;")</f>
        <v>&lt;ruby&gt;写&lt;rt&gt;うつ&lt;/rt&gt;&lt;/ruby&gt;す&lt;br&gt;&lt;div class="audio"&gt;[sound:うつす.mp3]&lt;/div&gt;</v>
      </c>
      <c r="H3975" s="3" t="str">
        <f t="shared" si="1"/>
        <v>(v): chụp ảnh</v>
      </c>
      <c r="I3975" s="6" t="s">
        <v>21719</v>
      </c>
      <c r="J3975" s="6" t="s">
        <v>21720</v>
      </c>
      <c r="K3975" s="7">
        <f t="shared" si="2"/>
        <v>0.1567473316</v>
      </c>
    </row>
    <row r="3976">
      <c r="A3976" s="4">
        <v>3976.0</v>
      </c>
      <c r="B3976" s="5" t="s">
        <v>21721</v>
      </c>
      <c r="C3976" s="5" t="s">
        <v>21722</v>
      </c>
      <c r="D3976" s="5" t="s">
        <v>21723</v>
      </c>
      <c r="E3976" s="6" t="s">
        <v>74</v>
      </c>
      <c r="F3976" s="6" t="s">
        <v>6899</v>
      </c>
      <c r="G3976" s="3" t="str">
        <f>IFERROR(__xludf.DUMMYFUNCTION("REGEXREPLACE(
D3976,
""([一-龯々]+)\[([^\]]+)\]"",
""&lt;ruby&gt;$1&lt;rt&gt;$2&lt;/rt&gt;&lt;/ruby&gt;""
)&amp;""&lt;br&gt;&lt;div class=""""audio""""&gt;[sound:""&amp;C3976&amp;"".mp3]&lt;/div&gt;"""),"&lt;ruby&gt;印&lt;rt&gt;しるし&lt;/rt&gt;&lt;/ruby&gt;&lt;br&gt;&lt;div class=""audio""&gt;[sound:しるし.mp3]&lt;/div&gt;")</f>
        <v>&lt;ruby&gt;印&lt;rt&gt;しるし&lt;/rt&gt;&lt;/ruby&gt;&lt;br&gt;&lt;div class="audio"&gt;[sound:しるし.mp3]&lt;/div&gt;</v>
      </c>
      <c r="H3976" s="3" t="str">
        <f t="shared" si="1"/>
        <v>(n): dấu hiệu</v>
      </c>
      <c r="I3976" s="6" t="s">
        <v>21724</v>
      </c>
      <c r="J3976" s="6" t="s">
        <v>21725</v>
      </c>
      <c r="K3976" s="7">
        <f t="shared" si="2"/>
        <v>0.9690669369</v>
      </c>
    </row>
    <row r="3977">
      <c r="A3977" s="4">
        <v>3977.0</v>
      </c>
      <c r="B3977" s="5" t="s">
        <v>21726</v>
      </c>
      <c r="C3977" s="5" t="s">
        <v>21727</v>
      </c>
      <c r="D3977" s="5" t="s">
        <v>21728</v>
      </c>
      <c r="E3977" s="6" t="s">
        <v>74</v>
      </c>
      <c r="F3977" s="6" t="s">
        <v>21729</v>
      </c>
      <c r="G3977" s="3" t="str">
        <f>IFERROR(__xludf.DUMMYFUNCTION("REGEXREPLACE(
D3977,
""([一-龯々]+)\[([^\]]+)\]"",
""&lt;ruby&gt;$1&lt;rt&gt;$2&lt;/rt&gt;&lt;/ruby&gt;""
)&amp;""&lt;br&gt;&lt;div class=""""audio""""&gt;[sound:""&amp;C3977&amp;"".mp3]&lt;/div&gt;"""),"&lt;ruby&gt;印象&lt;rt&gt;いんしょう&lt;/rt&gt;&lt;/ruby&gt;&lt;br&gt;&lt;div class=""audio""&gt;[sound:いんしょう.mp3]&lt;/div&gt;")</f>
        <v>&lt;ruby&gt;印象&lt;rt&gt;いんしょう&lt;/rt&gt;&lt;/ruby&gt;&lt;br&gt;&lt;div class="audio"&gt;[sound:いんしょう.mp3]&lt;/div&gt;</v>
      </c>
      <c r="H3977" s="3" t="str">
        <f t="shared" si="1"/>
        <v>(n): ấn tượng</v>
      </c>
      <c r="I3977" s="6" t="s">
        <v>21730</v>
      </c>
      <c r="J3977" s="6" t="s">
        <v>21731</v>
      </c>
      <c r="K3977" s="7">
        <f t="shared" si="2"/>
        <v>0.1630798721</v>
      </c>
    </row>
    <row r="3978">
      <c r="A3978" s="4">
        <v>3978.0</v>
      </c>
      <c r="B3978" s="5" t="s">
        <v>21732</v>
      </c>
      <c r="C3978" s="5" t="s">
        <v>21733</v>
      </c>
      <c r="D3978" s="5" t="s">
        <v>21734</v>
      </c>
      <c r="E3978" s="6" t="s">
        <v>24</v>
      </c>
      <c r="F3978" s="6" t="s">
        <v>21735</v>
      </c>
      <c r="G3978" s="3" t="str">
        <f>IFERROR(__xludf.DUMMYFUNCTION("REGEXREPLACE(
D3978,
""([一-龯々]+)\[([^\]]+)\]"",
""&lt;ruby&gt;$1&lt;rt&gt;$2&lt;/rt&gt;&lt;/ruby&gt;""
)&amp;""&lt;br&gt;&lt;div class=""""audio""""&gt;[sound:""&amp;C3978&amp;"".mp3]&lt;/div&gt;"""),"&lt;ruby&gt;荒&lt;rt&gt;あ&lt;/rt&gt;&lt;/ruby&gt;れる&lt;br&gt;&lt;div class=""audio""&gt;[sound:あれる.mp3]&lt;/div&gt;")</f>
        <v>&lt;ruby&gt;荒&lt;rt&gt;あ&lt;/rt&gt;&lt;/ruby&gt;れる&lt;br&gt;&lt;div class="audio"&gt;[sound:あれる.mp3]&lt;/div&gt;</v>
      </c>
      <c r="H3978" s="3" t="str">
        <f t="shared" si="1"/>
        <v>(v): khô ráp</v>
      </c>
      <c r="I3978" s="6" t="s">
        <v>21736</v>
      </c>
      <c r="J3978" s="6" t="s">
        <v>21737</v>
      </c>
      <c r="K3978" s="7">
        <f t="shared" si="2"/>
        <v>0.638886137</v>
      </c>
    </row>
    <row r="3979">
      <c r="A3979" s="4">
        <v>3979.0</v>
      </c>
      <c r="B3979" s="5" t="s">
        <v>21738</v>
      </c>
      <c r="C3979" s="5" t="s">
        <v>21739</v>
      </c>
      <c r="D3979" s="5" t="s">
        <v>21740</v>
      </c>
      <c r="E3979" s="6" t="s">
        <v>74</v>
      </c>
      <c r="F3979" s="6" t="s">
        <v>21741</v>
      </c>
      <c r="G3979" s="3" t="str">
        <f>IFERROR(__xludf.DUMMYFUNCTION("REGEXREPLACE(
D3979,
""([一-龯々]+)\[([^\]]+)\]"",
""&lt;ruby&gt;$1&lt;rt&gt;$2&lt;/rt&gt;&lt;/ruby&gt;""
)&amp;""&lt;br&gt;&lt;div class=""""audio""""&gt;[sound:""&amp;C3979&amp;"".mp3]&lt;/div&gt;"""),"&lt;ruby&gt;劇&lt;rt&gt;げき&lt;/rt&gt;&lt;/ruby&gt;&lt;br&gt;&lt;div class=""audio""&gt;[sound:げき.mp3]&lt;/div&gt;")</f>
        <v>&lt;ruby&gt;劇&lt;rt&gt;げき&lt;/rt&gt;&lt;/ruby&gt;&lt;br&gt;&lt;div class="audio"&gt;[sound:げき.mp3]&lt;/div&gt;</v>
      </c>
      <c r="H3979" s="3" t="str">
        <f t="shared" si="1"/>
        <v>(n): kịch</v>
      </c>
      <c r="I3979" s="6" t="s">
        <v>21742</v>
      </c>
      <c r="J3979" s="6" t="s">
        <v>21743</v>
      </c>
      <c r="K3979" s="7">
        <f t="shared" si="2"/>
        <v>0.4986476079</v>
      </c>
    </row>
    <row r="3980">
      <c r="A3980" s="4">
        <v>3980.0</v>
      </c>
      <c r="B3980" s="5" t="s">
        <v>21744</v>
      </c>
      <c r="C3980" s="5" t="s">
        <v>21745</v>
      </c>
      <c r="D3980" s="5" t="s">
        <v>21746</v>
      </c>
      <c r="E3980" s="6" t="s">
        <v>24</v>
      </c>
      <c r="F3980" s="6" t="s">
        <v>21747</v>
      </c>
      <c r="G3980" s="3" t="str">
        <f>IFERROR(__xludf.DUMMYFUNCTION("REGEXREPLACE(
D3980,
""([一-龯々]+)\[([^\]]+)\]"",
""&lt;ruby&gt;$1&lt;rt&gt;$2&lt;/rt&gt;&lt;/ruby&gt;""
)&amp;""&lt;br&gt;&lt;div class=""""audio""""&gt;[sound:""&amp;C3980&amp;"".mp3]&lt;/div&gt;"""),"&lt;ruby&gt;干&lt;rt&gt;ほ&lt;/rt&gt;&lt;/ruby&gt;す&lt;br&gt;&lt;div class=""audio""&gt;[sound:ほす.mp3]&lt;/div&gt;")</f>
        <v>&lt;ruby&gt;干&lt;rt&gt;ほ&lt;/rt&gt;&lt;/ruby&gt;す&lt;br&gt;&lt;div class="audio"&gt;[sound:ほす.mp3]&lt;/div&gt;</v>
      </c>
      <c r="H3980" s="3" t="str">
        <f t="shared" si="1"/>
        <v>(v): phơi</v>
      </c>
      <c r="I3980" s="6" t="s">
        <v>21748</v>
      </c>
      <c r="J3980" s="6" t="s">
        <v>21749</v>
      </c>
      <c r="K3980" s="7">
        <f t="shared" si="2"/>
        <v>0.4716061067</v>
      </c>
    </row>
    <row r="3981">
      <c r="A3981" s="4">
        <v>3981.0</v>
      </c>
      <c r="B3981" s="5" t="s">
        <v>21750</v>
      </c>
      <c r="C3981" s="5" t="s">
        <v>21751</v>
      </c>
      <c r="D3981" s="5" t="s">
        <v>21752</v>
      </c>
      <c r="E3981" s="6" t="s">
        <v>24</v>
      </c>
      <c r="F3981" s="6" t="s">
        <v>4157</v>
      </c>
      <c r="G3981" s="3" t="str">
        <f>IFERROR(__xludf.DUMMYFUNCTION("REGEXREPLACE(
D3981,
""([一-龯々]+)\[([^\]]+)\]"",
""&lt;ruby&gt;$1&lt;rt&gt;$2&lt;/rt&gt;&lt;/ruby&gt;""
)&amp;""&lt;br&gt;&lt;div class=""""audio""""&gt;[sound:""&amp;C3981&amp;"".mp3]&lt;/div&gt;"""),"&lt;ruby&gt;縛&lt;rt&gt;しば&lt;/rt&gt;&lt;/ruby&gt;る&lt;br&gt;&lt;div class=""audio""&gt;[sound:しばる.mp3]&lt;/div&gt;")</f>
        <v>&lt;ruby&gt;縛&lt;rt&gt;しば&lt;/rt&gt;&lt;/ruby&gt;る&lt;br&gt;&lt;div class="audio"&gt;[sound:しばる.mp3]&lt;/div&gt;</v>
      </c>
      <c r="H3981" s="3" t="str">
        <f t="shared" si="1"/>
        <v>(v): buộc</v>
      </c>
      <c r="I3981" s="6" t="s">
        <v>21753</v>
      </c>
      <c r="J3981" s="6" t="s">
        <v>21754</v>
      </c>
      <c r="K3981" s="7">
        <f t="shared" si="2"/>
        <v>0.5906189418</v>
      </c>
    </row>
    <row r="3982">
      <c r="A3982" s="4">
        <v>3982.0</v>
      </c>
      <c r="B3982" s="5" t="s">
        <v>21755</v>
      </c>
      <c r="C3982" s="5" t="s">
        <v>14898</v>
      </c>
      <c r="D3982" s="5" t="s">
        <v>21756</v>
      </c>
      <c r="E3982" s="6" t="s">
        <v>74</v>
      </c>
      <c r="F3982" s="6" t="s">
        <v>2494</v>
      </c>
      <c r="G3982" s="3" t="str">
        <f>IFERROR(__xludf.DUMMYFUNCTION("REGEXREPLACE(
D3982,
""([一-龯々]+)\[([^\]]+)\]"",
""&lt;ruby&gt;$1&lt;rt&gt;$2&lt;/rt&gt;&lt;/ruby&gt;""
)&amp;""&lt;br&gt;&lt;div class=""""audio""""&gt;[sound:""&amp;C3982&amp;"".mp3]&lt;/div&gt;"""),"&lt;ruby&gt;群&lt;rt&gt;ぐん&lt;/rt&gt;&lt;/ruby&gt;&lt;br&gt;&lt;div class=""audio""&gt;[sound:ぐん.mp3]&lt;/div&gt;")</f>
        <v>&lt;ruby&gt;群&lt;rt&gt;ぐん&lt;/rt&gt;&lt;/ruby&gt;&lt;br&gt;&lt;div class="audio"&gt;[sound:ぐん.mp3]&lt;/div&gt;</v>
      </c>
      <c r="H3982" s="3" t="str">
        <f t="shared" si="1"/>
        <v>(n): nhóm</v>
      </c>
      <c r="I3982" s="6" t="s">
        <v>21757</v>
      </c>
      <c r="J3982" s="6" t="s">
        <v>2496</v>
      </c>
      <c r="K3982" s="7">
        <f t="shared" si="2"/>
        <v>0.7565357238</v>
      </c>
    </row>
    <row r="3983">
      <c r="A3983" s="4">
        <v>3983.0</v>
      </c>
      <c r="B3983" s="5" t="s">
        <v>21758</v>
      </c>
      <c r="C3983" s="5" t="s">
        <v>21759</v>
      </c>
      <c r="D3983" s="5" t="s">
        <v>21760</v>
      </c>
      <c r="E3983" s="6" t="s">
        <v>24</v>
      </c>
      <c r="F3983" s="6" t="s">
        <v>21761</v>
      </c>
      <c r="G3983" s="3" t="str">
        <f>IFERROR(__xludf.DUMMYFUNCTION("REGEXREPLACE(
D3983,
""([一-龯々]+)\[([^\]]+)\]"",
""&lt;ruby&gt;$1&lt;rt&gt;$2&lt;/rt&gt;&lt;/ruby&gt;""
)&amp;""&lt;br&gt;&lt;div class=""""audio""""&gt;[sound:""&amp;C3983&amp;"".mp3]&lt;/div&gt;"""),"&lt;ruby&gt;脱&lt;rt&gt;ぬ&lt;/rt&gt;&lt;/ruby&gt;ぐ&lt;br&gt;&lt;div class=""audio""&gt;[sound:ぬぐ.mp3]&lt;/div&gt;")</f>
        <v>&lt;ruby&gt;脱&lt;rt&gt;ぬ&lt;/rt&gt;&lt;/ruby&gt;ぐ&lt;br&gt;&lt;div class="audio"&gt;[sound:ぬぐ.mp3]&lt;/div&gt;</v>
      </c>
      <c r="H3983" s="3" t="str">
        <f t="shared" si="1"/>
        <v>(v): cởi</v>
      </c>
      <c r="I3983" s="6" t="s">
        <v>21762</v>
      </c>
      <c r="J3983" s="6" t="s">
        <v>21763</v>
      </c>
      <c r="K3983" s="7">
        <f t="shared" si="2"/>
        <v>0.441559952</v>
      </c>
    </row>
    <row r="3984">
      <c r="A3984" s="4">
        <v>3984.0</v>
      </c>
      <c r="B3984" s="5" t="s">
        <v>21764</v>
      </c>
      <c r="C3984" s="5" t="s">
        <v>21765</v>
      </c>
      <c r="D3984" s="5" t="s">
        <v>21766</v>
      </c>
      <c r="E3984" s="6" t="s">
        <v>74</v>
      </c>
      <c r="F3984" s="6" t="s">
        <v>9841</v>
      </c>
      <c r="G3984" s="3" t="str">
        <f>IFERROR(__xludf.DUMMYFUNCTION("REGEXREPLACE(
D3984,
""([一-龯々]+)\[([^\]]+)\]"",
""&lt;ruby&gt;$1&lt;rt&gt;$2&lt;/rt&gt;&lt;/ruby&gt;""
)&amp;""&lt;br&gt;&lt;div class=""""audio""""&gt;[sound:""&amp;C3984&amp;"".mp3]&lt;/div&gt;"""),"&lt;ruby&gt;電池&lt;rt&gt;でんち&lt;/rt&gt;&lt;/ruby&gt;&lt;br&gt;&lt;div class=""audio""&gt;[sound:でんち.mp3]&lt;/div&gt;")</f>
        <v>&lt;ruby&gt;電池&lt;rt&gt;でんち&lt;/rt&gt;&lt;/ruby&gt;&lt;br&gt;&lt;div class="audio"&gt;[sound:でんち.mp3]&lt;/div&gt;</v>
      </c>
      <c r="H3984" s="3" t="str">
        <f t="shared" si="1"/>
        <v>(n): pin</v>
      </c>
      <c r="I3984" s="6" t="s">
        <v>21767</v>
      </c>
      <c r="J3984" s="6" t="s">
        <v>21768</v>
      </c>
      <c r="K3984" s="7">
        <f t="shared" si="2"/>
        <v>0.9979506984</v>
      </c>
    </row>
    <row r="3985">
      <c r="A3985" s="4">
        <v>3985.0</v>
      </c>
      <c r="B3985" s="5" t="s">
        <v>21769</v>
      </c>
      <c r="C3985" s="5" t="s">
        <v>21770</v>
      </c>
      <c r="D3985" s="5" t="s">
        <v>21771</v>
      </c>
      <c r="E3985" s="6" t="s">
        <v>74</v>
      </c>
      <c r="F3985" s="6" t="s">
        <v>13727</v>
      </c>
      <c r="G3985" s="3" t="str">
        <f>IFERROR(__xludf.DUMMYFUNCTION("REGEXREPLACE(
D3985,
""([一-龯々]+)\[([^\]]+)\]"",
""&lt;ruby&gt;$1&lt;rt&gt;$2&lt;/rt&gt;&lt;/ruby&gt;""
)&amp;""&lt;br&gt;&lt;div class=""""audio""""&gt;[sound:""&amp;C3985&amp;"".mp3]&lt;/div&gt;"""),"&lt;ruby&gt;著者&lt;rt&gt;ちょしゃ&lt;/rt&gt;&lt;/ruby&gt;&lt;br&gt;&lt;div class=""audio""&gt;[sound:ちょしゃ.mp3]&lt;/div&gt;")</f>
        <v>&lt;ruby&gt;著者&lt;rt&gt;ちょしゃ&lt;/rt&gt;&lt;/ruby&gt;&lt;br&gt;&lt;div class="audio"&gt;[sound:ちょしゃ.mp3]&lt;/div&gt;</v>
      </c>
      <c r="H3985" s="3" t="str">
        <f t="shared" si="1"/>
        <v>(n): tác giả</v>
      </c>
      <c r="I3985" s="6" t="s">
        <v>21772</v>
      </c>
      <c r="J3985" s="6" t="s">
        <v>21773</v>
      </c>
      <c r="K3985" s="7">
        <f t="shared" si="2"/>
        <v>0.04445453964</v>
      </c>
    </row>
    <row r="3986">
      <c r="A3986" s="4">
        <v>3986.0</v>
      </c>
      <c r="B3986" s="5" t="s">
        <v>21774</v>
      </c>
      <c r="C3986" s="5" t="s">
        <v>21775</v>
      </c>
      <c r="D3986" s="5" t="s">
        <v>21776</v>
      </c>
      <c r="E3986" s="6" t="s">
        <v>74</v>
      </c>
      <c r="F3986" s="6" t="s">
        <v>21777</v>
      </c>
      <c r="G3986" s="3" t="str">
        <f>IFERROR(__xludf.DUMMYFUNCTION("REGEXREPLACE(
D3986,
""([一-龯々]+)\[([^\]]+)\]"",
""&lt;ruby&gt;$1&lt;rt&gt;$2&lt;/rt&gt;&lt;/ruby&gt;""
)&amp;""&lt;br&gt;&lt;div class=""""audio""""&gt;[sound:""&amp;C3986&amp;"".mp3]&lt;/div&gt;"""),"&lt;ruby&gt;辞書&lt;rt&gt;じしょ&lt;/rt&gt;&lt;/ruby&gt;&lt;br&gt;&lt;div class=""audio""&gt;[sound:じしょ.mp3]&lt;/div&gt;")</f>
        <v>&lt;ruby&gt;辞書&lt;rt&gt;じしょ&lt;/rt&gt;&lt;/ruby&gt;&lt;br&gt;&lt;div class="audio"&gt;[sound:じしょ.mp3]&lt;/div&gt;</v>
      </c>
      <c r="H3986" s="3" t="str">
        <f t="shared" si="1"/>
        <v>(n): từ điển</v>
      </c>
      <c r="I3986" s="6" t="s">
        <v>21778</v>
      </c>
      <c r="J3986" s="6" t="s">
        <v>21779</v>
      </c>
      <c r="K3986" s="7">
        <f t="shared" si="2"/>
        <v>0.7075452402</v>
      </c>
    </row>
    <row r="3987">
      <c r="A3987" s="4">
        <v>3987.0</v>
      </c>
      <c r="B3987" s="5" t="s">
        <v>21780</v>
      </c>
      <c r="C3987" s="5" t="s">
        <v>21781</v>
      </c>
      <c r="D3987" s="5" t="s">
        <v>21782</v>
      </c>
      <c r="E3987" s="6" t="s">
        <v>74</v>
      </c>
      <c r="F3987" s="6" t="s">
        <v>21783</v>
      </c>
      <c r="G3987" s="3" t="str">
        <f>IFERROR(__xludf.DUMMYFUNCTION("REGEXREPLACE(
D3987,
""([一-龯々]+)\[([^\]]+)\]"",
""&lt;ruby&gt;$1&lt;rt&gt;$2&lt;/rt&gt;&lt;/ruby&gt;""
)&amp;""&lt;br&gt;&lt;div class=""""audio""""&gt;[sound:""&amp;C3987&amp;"".mp3]&lt;/div&gt;"""),"&lt;ruby&gt;牛乳&lt;rt&gt;ぎゅうにゅう&lt;/rt&gt;&lt;/ruby&gt;&lt;br&gt;&lt;div class=""audio""&gt;[sound:ぎゅうにゅう.mp3]&lt;/div&gt;")</f>
        <v>&lt;ruby&gt;牛乳&lt;rt&gt;ぎゅうにゅう&lt;/rt&gt;&lt;/ruby&gt;&lt;br&gt;&lt;div class="audio"&gt;[sound:ぎゅうにゅう.mp3]&lt;/div&gt;</v>
      </c>
      <c r="H3987" s="3" t="str">
        <f t="shared" si="1"/>
        <v>(n): sữa bò</v>
      </c>
      <c r="I3987" s="6" t="s">
        <v>21784</v>
      </c>
      <c r="J3987" s="6" t="s">
        <v>21785</v>
      </c>
      <c r="K3987" s="7">
        <f t="shared" si="2"/>
        <v>0.4512357106</v>
      </c>
    </row>
    <row r="3988">
      <c r="A3988" s="4">
        <v>3988.0</v>
      </c>
      <c r="B3988" s="5" t="s">
        <v>21786</v>
      </c>
      <c r="C3988" s="5" t="s">
        <v>21787</v>
      </c>
      <c r="D3988" s="5" t="s">
        <v>21788</v>
      </c>
      <c r="E3988" s="6" t="s">
        <v>24</v>
      </c>
      <c r="F3988" s="6" t="s">
        <v>21789</v>
      </c>
      <c r="G3988" s="3" t="str">
        <f>IFERROR(__xludf.DUMMYFUNCTION("REGEXREPLACE(
D3988,
""([一-龯々]+)\[([^\]]+)\]"",
""&lt;ruby&gt;$1&lt;rt&gt;$2&lt;/rt&gt;&lt;/ruby&gt;""
)&amp;""&lt;br&gt;&lt;div class=""""audio""""&gt;[sound:""&amp;C3988&amp;"".mp3]&lt;/div&gt;"""),"&lt;ruby&gt;包&lt;rt&gt;つつ&lt;/rt&gt;&lt;/ruby&gt;む&lt;br&gt;&lt;div class=""audio""&gt;[sound:つつむ.mp3]&lt;/div&gt;")</f>
        <v>&lt;ruby&gt;包&lt;rt&gt;つつ&lt;/rt&gt;&lt;/ruby&gt;む&lt;br&gt;&lt;div class="audio"&gt;[sound:つつむ.mp3]&lt;/div&gt;</v>
      </c>
      <c r="H3988" s="3" t="str">
        <f t="shared" si="1"/>
        <v>(v): gói</v>
      </c>
      <c r="I3988" s="6" t="s">
        <v>21790</v>
      </c>
      <c r="J3988" s="6" t="s">
        <v>21791</v>
      </c>
      <c r="K3988" s="7">
        <f t="shared" si="2"/>
        <v>0.5224554136</v>
      </c>
    </row>
    <row r="3989">
      <c r="A3989" s="4">
        <v>3989.0</v>
      </c>
      <c r="B3989" s="5" t="s">
        <v>21792</v>
      </c>
      <c r="C3989" s="5" t="s">
        <v>21793</v>
      </c>
      <c r="D3989" s="5" t="s">
        <v>21794</v>
      </c>
      <c r="E3989" s="6" t="s">
        <v>24</v>
      </c>
      <c r="F3989" s="6" t="s">
        <v>21795</v>
      </c>
      <c r="G3989" s="3" t="str">
        <f>IFERROR(__xludf.DUMMYFUNCTION("REGEXREPLACE(
D3989,
""([一-龯々]+)\[([^\]]+)\]"",
""&lt;ruby&gt;$1&lt;rt&gt;$2&lt;/rt&gt;&lt;/ruby&gt;""
)&amp;""&lt;br&gt;&lt;div class=""""audio""""&gt;[sound:""&amp;C3989&amp;"".mp3]&lt;/div&gt;"""),"&lt;ruby&gt;塞&lt;rt&gt;ふさ&lt;/rt&gt;&lt;/ruby&gt;ぐ&lt;br&gt;&lt;div class=""audio""&gt;[sound:ふさぐ.mp3]&lt;/div&gt;")</f>
        <v>&lt;ruby&gt;塞&lt;rt&gt;ふさ&lt;/rt&gt;&lt;/ruby&gt;ぐ&lt;br&gt;&lt;div class="audio"&gt;[sound:ふさぐ.mp3]&lt;/div&gt;</v>
      </c>
      <c r="H3989" s="3" t="str">
        <f t="shared" si="1"/>
        <v>(v): bịt</v>
      </c>
      <c r="I3989" s="6" t="s">
        <v>21796</v>
      </c>
      <c r="J3989" s="6" t="s">
        <v>21797</v>
      </c>
      <c r="K3989" s="7">
        <f t="shared" si="2"/>
        <v>0.9596820849</v>
      </c>
    </row>
    <row r="3990">
      <c r="A3990" s="4">
        <v>3990.0</v>
      </c>
      <c r="B3990" s="5" t="s">
        <v>21798</v>
      </c>
      <c r="C3990" s="5" t="s">
        <v>21799</v>
      </c>
      <c r="D3990" s="5" t="s">
        <v>21800</v>
      </c>
      <c r="E3990" s="6" t="s">
        <v>74</v>
      </c>
      <c r="F3990" s="6" t="s">
        <v>21801</v>
      </c>
      <c r="G3990" s="3" t="str">
        <f>IFERROR(__xludf.DUMMYFUNCTION("REGEXREPLACE(
D3990,
""([一-龯々]+)\[([^\]]+)\]"",
""&lt;ruby&gt;$1&lt;rt&gt;$2&lt;/rt&gt;&lt;/ruby&gt;""
)&amp;""&lt;br&gt;&lt;div class=""""audio""""&gt;[sound:""&amp;C3990&amp;"".mp3]&lt;/div&gt;"""),"&lt;ruby&gt;姉妹&lt;rt&gt;しまい&lt;/rt&gt;&lt;/ruby&gt;&lt;br&gt;&lt;div class=""audio""&gt;[sound:しまい.mp3]&lt;/div&gt;")</f>
        <v>&lt;ruby&gt;姉妹&lt;rt&gt;しまい&lt;/rt&gt;&lt;/ruby&gt;&lt;br&gt;&lt;div class="audio"&gt;[sound:しまい.mp3]&lt;/div&gt;</v>
      </c>
      <c r="H3990" s="3" t="str">
        <f t="shared" si="1"/>
        <v>(n): chị em</v>
      </c>
      <c r="I3990" s="6" t="s">
        <v>21802</v>
      </c>
      <c r="J3990" s="6" t="s">
        <v>21803</v>
      </c>
      <c r="K3990" s="7">
        <f t="shared" si="2"/>
        <v>0.986040809</v>
      </c>
    </row>
    <row r="3991">
      <c r="A3991" s="4">
        <v>3991.0</v>
      </c>
      <c r="B3991" s="5" t="s">
        <v>21804</v>
      </c>
      <c r="C3991" s="5" t="s">
        <v>21805</v>
      </c>
      <c r="D3991" s="5" t="s">
        <v>21806</v>
      </c>
      <c r="E3991" s="6" t="s">
        <v>74</v>
      </c>
      <c r="F3991" s="6" t="s">
        <v>21807</v>
      </c>
      <c r="G3991" s="3" t="str">
        <f>IFERROR(__xludf.DUMMYFUNCTION("REGEXREPLACE(
D3991,
""([一-龯々]+)\[([^\]]+)\]"",
""&lt;ruby&gt;$1&lt;rt&gt;$2&lt;/rt&gt;&lt;/ruby&gt;""
)&amp;""&lt;br&gt;&lt;div class=""""audio""""&gt;[sound:""&amp;C3991&amp;"".mp3]&lt;/div&gt;"""),"&lt;ruby&gt;物理&lt;rt&gt;ぶつり&lt;/rt&gt;&lt;/ruby&gt;&lt;br&gt;&lt;div class=""audio""&gt;[sound:ぶつり.mp3]&lt;/div&gt;")</f>
        <v>&lt;ruby&gt;物理&lt;rt&gt;ぶつり&lt;/rt&gt;&lt;/ruby&gt;&lt;br&gt;&lt;div class="audio"&gt;[sound:ぶつり.mp3]&lt;/div&gt;</v>
      </c>
      <c r="H3991" s="3" t="str">
        <f t="shared" si="1"/>
        <v>(n): vật lý</v>
      </c>
      <c r="I3991" s="6" t="s">
        <v>21808</v>
      </c>
      <c r="J3991" s="6" t="s">
        <v>21809</v>
      </c>
      <c r="K3991" s="7">
        <f t="shared" si="2"/>
        <v>0.5196316783</v>
      </c>
    </row>
    <row r="3992">
      <c r="A3992" s="4">
        <v>3992.0</v>
      </c>
      <c r="B3992" s="5" t="s">
        <v>21810</v>
      </c>
      <c r="C3992" s="5" t="s">
        <v>21811</v>
      </c>
      <c r="D3992" s="5" t="s">
        <v>21812</v>
      </c>
      <c r="E3992" s="6" t="s">
        <v>74</v>
      </c>
      <c r="F3992" s="6" t="s">
        <v>21813</v>
      </c>
      <c r="G3992" s="3" t="str">
        <f>IFERROR(__xludf.DUMMYFUNCTION("REGEXREPLACE(
D3992,
""([一-龯々]+)\[([^\]]+)\]"",
""&lt;ruby&gt;$1&lt;rt&gt;$2&lt;/rt&gt;&lt;/ruby&gt;""
)&amp;""&lt;br&gt;&lt;div class=""""audio""""&gt;[sound:""&amp;C3992&amp;"".mp3]&lt;/div&gt;"""),"&lt;ruby&gt;鏡&lt;rt&gt;かがみ&lt;/rt&gt;&lt;/ruby&gt;&lt;br&gt;&lt;div class=""audio""&gt;[sound:かがみ.mp3]&lt;/div&gt;")</f>
        <v>&lt;ruby&gt;鏡&lt;rt&gt;かがみ&lt;/rt&gt;&lt;/ruby&gt;&lt;br&gt;&lt;div class="audio"&gt;[sound:かがみ.mp3]&lt;/div&gt;</v>
      </c>
      <c r="H3992" s="3" t="str">
        <f t="shared" si="1"/>
        <v>(n): gương</v>
      </c>
      <c r="I3992" s="6" t="s">
        <v>21814</v>
      </c>
      <c r="J3992" s="6" t="s">
        <v>21815</v>
      </c>
      <c r="K3992" s="7">
        <f t="shared" si="2"/>
        <v>0.5269938903</v>
      </c>
    </row>
    <row r="3993">
      <c r="A3993" s="4">
        <v>3993.0</v>
      </c>
      <c r="B3993" s="5" t="s">
        <v>21816</v>
      </c>
      <c r="C3993" s="5" t="s">
        <v>21817</v>
      </c>
      <c r="D3993" s="5" t="s">
        <v>21818</v>
      </c>
      <c r="E3993" s="6" t="s">
        <v>11</v>
      </c>
      <c r="F3993" s="6" t="s">
        <v>21819</v>
      </c>
      <c r="G3993" s="3" t="str">
        <f>IFERROR(__xludf.DUMMYFUNCTION("REGEXREPLACE(
D3993,
""([一-龯々]+)\[([^\]]+)\]"",
""&lt;ruby&gt;$1&lt;rt&gt;$2&lt;/rt&gt;&lt;/ruby&gt;""
)&amp;""&lt;br&gt;&lt;div class=""""audio""""&gt;[sound:""&amp;C3993&amp;"".mp3]&lt;/div&gt;"""),"&lt;ruby&gt;緩&lt;rt&gt;ゆる&lt;/rt&gt;&lt;/ruby&gt;い&lt;br&gt;&lt;div class=""audio""&gt;[sound:ゆるい.mp3]&lt;/div&gt;")</f>
        <v>&lt;ruby&gt;緩&lt;rt&gt;ゆる&lt;/rt&gt;&lt;/ruby&gt;い&lt;br&gt;&lt;div class="audio"&gt;[sound:ゆるい.mp3]&lt;/div&gt;</v>
      </c>
      <c r="H3993" s="3" t="str">
        <f t="shared" si="1"/>
        <v>(adj): lỏng</v>
      </c>
      <c r="I3993" s="6" t="s">
        <v>21820</v>
      </c>
      <c r="J3993" s="6" t="s">
        <v>21821</v>
      </c>
      <c r="K3993" s="7">
        <f t="shared" si="2"/>
        <v>0.1510415469</v>
      </c>
    </row>
    <row r="3994">
      <c r="A3994" s="4">
        <v>3994.0</v>
      </c>
      <c r="B3994" s="5" t="s">
        <v>21822</v>
      </c>
      <c r="C3994" s="5" t="s">
        <v>17512</v>
      </c>
      <c r="D3994" s="5" t="s">
        <v>21823</v>
      </c>
      <c r="E3994" s="6" t="s">
        <v>24</v>
      </c>
      <c r="F3994" s="6" t="s">
        <v>21824</v>
      </c>
      <c r="G3994" s="3" t="str">
        <f>IFERROR(__xludf.DUMMYFUNCTION("REGEXREPLACE(
D3994,
""([一-龯々]+)\[([^\]]+)\]"",
""&lt;ruby&gt;$1&lt;rt&gt;$2&lt;/rt&gt;&lt;/ruby&gt;""
)&amp;""&lt;br&gt;&lt;div class=""""audio""""&gt;[sound:""&amp;C3994&amp;"".mp3]&lt;/div&gt;"""),"&lt;ruby&gt;溶&lt;rt&gt;と&lt;/rt&gt;&lt;/ruby&gt;ける&lt;br&gt;&lt;div class=""audio""&gt;[sound:とける.mp3]&lt;/div&gt;")</f>
        <v>&lt;ruby&gt;溶&lt;rt&gt;と&lt;/rt&gt;&lt;/ruby&gt;ける&lt;br&gt;&lt;div class="audio"&gt;[sound:とける.mp3]&lt;/div&gt;</v>
      </c>
      <c r="H3994" s="3" t="str">
        <f t="shared" si="1"/>
        <v>(v): tan</v>
      </c>
      <c r="I3994" s="6" t="s">
        <v>21825</v>
      </c>
      <c r="J3994" s="6" t="s">
        <v>21826</v>
      </c>
      <c r="K3994" s="7">
        <f t="shared" si="2"/>
        <v>0.227480121</v>
      </c>
    </row>
    <row r="3995">
      <c r="A3995" s="4">
        <v>3995.0</v>
      </c>
      <c r="B3995" s="5" t="s">
        <v>21827</v>
      </c>
      <c r="C3995" s="5" t="s">
        <v>21828</v>
      </c>
      <c r="D3995" s="5" t="s">
        <v>21829</v>
      </c>
      <c r="E3995" s="6" t="s">
        <v>74</v>
      </c>
      <c r="F3995" s="6" t="s">
        <v>15362</v>
      </c>
      <c r="G3995" s="3" t="str">
        <f>IFERROR(__xludf.DUMMYFUNCTION("REGEXREPLACE(
D3995,
""([一-龯々]+)\[([^\]]+)\]"",
""&lt;ruby&gt;$1&lt;rt&gt;$2&lt;/rt&gt;&lt;/ruby&gt;""
)&amp;""&lt;br&gt;&lt;div class=""""audio""""&gt;[sound:""&amp;C3995&amp;"".mp3]&lt;/div&gt;"""),"&lt;ruby&gt;赤&lt;rt&gt;あか&lt;/rt&gt;&lt;/ruby&gt;ん&lt;ruby&gt;坊&lt;rt&gt;ぼう&lt;/rt&gt;&lt;/ruby&gt;&lt;br&gt;&lt;div class=""audio""&gt;[sound:あかんぼう.mp3]&lt;/div&gt;")</f>
        <v>&lt;ruby&gt;赤&lt;rt&gt;あか&lt;/rt&gt;&lt;/ruby&gt;ん&lt;ruby&gt;坊&lt;rt&gt;ぼう&lt;/rt&gt;&lt;/ruby&gt;&lt;br&gt;&lt;div class="audio"&gt;[sound:あかんぼう.mp3]&lt;/div&gt;</v>
      </c>
      <c r="H3995" s="3" t="str">
        <f t="shared" si="1"/>
        <v>(n): em bé</v>
      </c>
      <c r="I3995" s="6" t="s">
        <v>21830</v>
      </c>
      <c r="J3995" s="6" t="s">
        <v>21831</v>
      </c>
      <c r="K3995" s="7">
        <f t="shared" si="2"/>
        <v>0.0980525258</v>
      </c>
    </row>
    <row r="3996">
      <c r="A3996" s="4">
        <v>3996.0</v>
      </c>
      <c r="B3996" s="5" t="s">
        <v>21832</v>
      </c>
      <c r="C3996" s="5" t="s">
        <v>21833</v>
      </c>
      <c r="D3996" s="5" t="s">
        <v>21834</v>
      </c>
      <c r="E3996" s="6" t="s">
        <v>24</v>
      </c>
      <c r="F3996" s="6" t="s">
        <v>178</v>
      </c>
      <c r="G3996" s="3" t="str">
        <f>IFERROR(__xludf.DUMMYFUNCTION("REGEXREPLACE(
D3996,
""([一-龯々]+)\[([^\]]+)\]"",
""&lt;ruby&gt;$1&lt;rt&gt;$2&lt;/rt&gt;&lt;/ruby&gt;""
)&amp;""&lt;br&gt;&lt;div class=""""audio""""&gt;[sound:""&amp;C3996&amp;"".mp3]&lt;/div&gt;"""),"&lt;ruby&gt;存&lt;rt&gt;ぞん&lt;/rt&gt;&lt;/ruby&gt;ずる&lt;br&gt;&lt;div class=""audio""&gt;[sound:ぞんずる.mp3]&lt;/div&gt;")</f>
        <v>&lt;ruby&gt;存&lt;rt&gt;ぞん&lt;/rt&gt;&lt;/ruby&gt;ずる&lt;br&gt;&lt;div class="audio"&gt;[sound:ぞんずる.mp3]&lt;/div&gt;</v>
      </c>
      <c r="H3996" s="3" t="str">
        <f t="shared" si="1"/>
        <v>(v): biết</v>
      </c>
      <c r="I3996" s="6" t="s">
        <v>21835</v>
      </c>
      <c r="J3996" s="6" t="s">
        <v>21836</v>
      </c>
      <c r="K3996" s="7">
        <f t="shared" si="2"/>
        <v>0.762779361</v>
      </c>
    </row>
    <row r="3997">
      <c r="A3997" s="4">
        <v>3997.0</v>
      </c>
      <c r="B3997" s="5" t="s">
        <v>21837</v>
      </c>
      <c r="C3997" s="5" t="s">
        <v>21838</v>
      </c>
      <c r="D3997" s="5" t="s">
        <v>21839</v>
      </c>
      <c r="E3997" s="6" t="s">
        <v>24</v>
      </c>
      <c r="F3997" s="6" t="s">
        <v>21840</v>
      </c>
      <c r="G3997" s="3" t="str">
        <f>IFERROR(__xludf.DUMMYFUNCTION("REGEXREPLACE(
D3997,
""([一-龯々]+)\[([^\]]+)\]"",
""&lt;ruby&gt;$1&lt;rt&gt;$2&lt;/rt&gt;&lt;/ruby&gt;""
)&amp;""&lt;br&gt;&lt;div class=""""audio""""&gt;[sound:""&amp;C3997&amp;"".mp3]&lt;/div&gt;"""),"&lt;ruby&gt;産&lt;rt&gt;う&lt;/rt&gt;&lt;/ruby&gt;む&lt;br&gt;&lt;div class=""audio""&gt;[sound:うむ.mp3]&lt;/div&gt;")</f>
        <v>&lt;ruby&gt;産&lt;rt&gt;う&lt;/rt&gt;&lt;/ruby&gt;む&lt;br&gt;&lt;div class="audio"&gt;[sound:うむ.mp3]&lt;/div&gt;</v>
      </c>
      <c r="H3997" s="3" t="str">
        <f t="shared" si="1"/>
        <v>(v): sinh</v>
      </c>
      <c r="I3997" s="6" t="s">
        <v>21841</v>
      </c>
      <c r="J3997" s="6" t="s">
        <v>9403</v>
      </c>
      <c r="K3997" s="7">
        <f t="shared" si="2"/>
        <v>0.5025928853</v>
      </c>
    </row>
    <row r="3998">
      <c r="A3998" s="4">
        <v>3998.0</v>
      </c>
      <c r="B3998" s="5" t="s">
        <v>21842</v>
      </c>
      <c r="C3998" s="5" t="s">
        <v>3983</v>
      </c>
      <c r="D3998" s="5" t="s">
        <v>21843</v>
      </c>
      <c r="E3998" s="6" t="s">
        <v>24</v>
      </c>
      <c r="F3998" s="6" t="s">
        <v>25</v>
      </c>
      <c r="G3998" s="3" t="str">
        <f>IFERROR(__xludf.DUMMYFUNCTION("REGEXREPLACE(
D3998,
""([一-龯々]+)\[([^\]]+)\]"",
""&lt;ruby&gt;$1&lt;rt&gt;$2&lt;/rt&gt;&lt;/ruby&gt;""
)&amp;""&lt;br&gt;&lt;div class=""""audio""""&gt;[sound:""&amp;C3998&amp;"".mp3]&lt;/div&gt;"""),"&lt;ruby&gt;贈&lt;rt&gt;おく&lt;/rt&gt;&lt;/ruby&gt;る&lt;br&gt;&lt;div class=""audio""&gt;[sound:おくる.mp3]&lt;/div&gt;")</f>
        <v>&lt;ruby&gt;贈&lt;rt&gt;おく&lt;/rt&gt;&lt;/ruby&gt;る&lt;br&gt;&lt;div class="audio"&gt;[sound:おくる.mp3]&lt;/div&gt;</v>
      </c>
      <c r="H3998" s="3" t="str">
        <f t="shared" si="1"/>
        <v>(v): tặng</v>
      </c>
      <c r="I3998" s="6" t="s">
        <v>21844</v>
      </c>
      <c r="J3998" s="6" t="s">
        <v>21845</v>
      </c>
      <c r="K3998" s="7">
        <f t="shared" si="2"/>
        <v>0.1313070819</v>
      </c>
    </row>
    <row r="3999">
      <c r="A3999" s="4">
        <v>3999.0</v>
      </c>
      <c r="B3999" s="5" t="s">
        <v>21846</v>
      </c>
      <c r="C3999" s="5" t="s">
        <v>8463</v>
      </c>
      <c r="D3999" s="5" t="s">
        <v>21847</v>
      </c>
      <c r="E3999" s="6" t="s">
        <v>24</v>
      </c>
      <c r="F3999" s="6" t="s">
        <v>21848</v>
      </c>
      <c r="G3999" s="3" t="str">
        <f>IFERROR(__xludf.DUMMYFUNCTION("REGEXREPLACE(
D3999,
""([一-龯々]+)\[([^\]]+)\]"",
""&lt;ruby&gt;$1&lt;rt&gt;$2&lt;/rt&gt;&lt;/ruby&gt;""
)&amp;""&lt;br&gt;&lt;div class=""""audio""""&gt;[sound:""&amp;C3999&amp;"".mp3]&lt;/div&gt;"""),"&lt;ruby&gt;酔&lt;rt&gt;よ&lt;/rt&gt;&lt;/ruby&gt;う&lt;br&gt;&lt;div class=""audio""&gt;[sound:よう.mp3]&lt;/div&gt;")</f>
        <v>&lt;ruby&gt;酔&lt;rt&gt;よ&lt;/rt&gt;&lt;/ruby&gt;う&lt;br&gt;&lt;div class="audio"&gt;[sound:よう.mp3]&lt;/div&gt;</v>
      </c>
      <c r="H3999" s="3" t="str">
        <f t="shared" si="1"/>
        <v>(v): say</v>
      </c>
      <c r="I3999" s="6" t="s">
        <v>21849</v>
      </c>
      <c r="J3999" s="6" t="s">
        <v>21850</v>
      </c>
      <c r="K3999" s="7">
        <f t="shared" si="2"/>
        <v>0.4089980472</v>
      </c>
    </row>
    <row r="4000">
      <c r="A4000" s="4">
        <v>4000.0</v>
      </c>
      <c r="B4000" s="5" t="s">
        <v>21851</v>
      </c>
      <c r="C4000" s="5" t="s">
        <v>21852</v>
      </c>
      <c r="D4000" s="5" t="s">
        <v>21853</v>
      </c>
      <c r="E4000" s="6" t="s">
        <v>74</v>
      </c>
      <c r="F4000" s="6" t="s">
        <v>21854</v>
      </c>
      <c r="G4000" s="3" t="str">
        <f>IFERROR(__xludf.DUMMYFUNCTION("REGEXREPLACE(
D4000,
""([一-龯々]+)\[([^\]]+)\]"",
""&lt;ruby&gt;$1&lt;rt&gt;$2&lt;/rt&gt;&lt;/ruby&gt;""
)&amp;""&lt;br&gt;&lt;div class=""""audio""""&gt;[sound:""&amp;C4000&amp;"".mp3]&lt;/div&gt;"""),"&lt;ruby&gt;酸素&lt;rt&gt;さんそ&lt;/rt&gt;&lt;/ruby&gt;&lt;br&gt;&lt;div class=""audio""&gt;[sound:さんそ.mp3]&lt;/div&gt;")</f>
        <v>&lt;ruby&gt;酸素&lt;rt&gt;さんそ&lt;/rt&gt;&lt;/ruby&gt;&lt;br&gt;&lt;div class="audio"&gt;[sound:さんそ.mp3]&lt;/div&gt;</v>
      </c>
      <c r="H4000" s="3" t="str">
        <f t="shared" si="1"/>
        <v>(n): oxy</v>
      </c>
      <c r="I4000" s="6" t="s">
        <v>21855</v>
      </c>
      <c r="J4000" s="6" t="s">
        <v>21856</v>
      </c>
      <c r="K4000" s="7">
        <f t="shared" si="2"/>
        <v>0.2610762399</v>
      </c>
    </row>
    <row r="4001">
      <c r="A4001" s="4">
        <v>4001.0</v>
      </c>
      <c r="B4001" s="5" t="s">
        <v>21857</v>
      </c>
      <c r="C4001" s="5" t="s">
        <v>21858</v>
      </c>
      <c r="D4001" s="5" t="s">
        <v>21859</v>
      </c>
      <c r="E4001" s="6" t="s">
        <v>24</v>
      </c>
      <c r="F4001" s="6" t="s">
        <v>21860</v>
      </c>
      <c r="G4001" s="3" t="str">
        <f>IFERROR(__xludf.DUMMYFUNCTION("REGEXREPLACE(
D4001,
""([一-龯々]+)\[([^\]]+)\]"",
""&lt;ruby&gt;$1&lt;rt&gt;$2&lt;/rt&gt;&lt;/ruby&gt;""
)&amp;""&lt;br&gt;&lt;div class=""""audio""""&gt;[sound:""&amp;C4001&amp;"".mp3]&lt;/div&gt;"""),"&lt;ruby&gt;焦&lt;rt&gt;あせ&lt;/rt&gt;&lt;/ruby&gt;る&lt;br&gt;&lt;div class=""audio""&gt;[sound:あせる.mp3]&lt;/div&gt;")</f>
        <v>&lt;ruby&gt;焦&lt;rt&gt;あせ&lt;/rt&gt;&lt;/ruby&gt;る&lt;br&gt;&lt;div class="audio"&gt;[sound:あせる.mp3]&lt;/div&gt;</v>
      </c>
      <c r="H4001" s="3" t="str">
        <f t="shared" si="1"/>
        <v>(v): vội vàng</v>
      </c>
      <c r="I4001" s="6" t="s">
        <v>21861</v>
      </c>
      <c r="J4001" s="6" t="s">
        <v>21862</v>
      </c>
      <c r="K4001" s="7">
        <f t="shared" si="2"/>
        <v>0.9515781495</v>
      </c>
    </row>
    <row r="4002">
      <c r="A4002" s="4">
        <v>4002.0</v>
      </c>
      <c r="B4002" s="5" t="s">
        <v>21863</v>
      </c>
      <c r="C4002" s="5" t="s">
        <v>21864</v>
      </c>
      <c r="D4002" s="5" t="s">
        <v>21865</v>
      </c>
      <c r="E4002" s="6" t="s">
        <v>11</v>
      </c>
      <c r="F4002" s="6" t="s">
        <v>10705</v>
      </c>
      <c r="G4002" s="3" t="str">
        <f>IFERROR(__xludf.DUMMYFUNCTION("REGEXREPLACE(
D4002,
""([一-龯々]+)\[([^\]]+)\]"",
""&lt;ruby&gt;$1&lt;rt&gt;$2&lt;/rt&gt;&lt;/ruby&gt;""
)&amp;""&lt;br&gt;&lt;div class=""""audio""""&gt;[sound:""&amp;C4002&amp;"".mp3]&lt;/div&gt;"""),"&lt;ruby&gt;特有&lt;rt&gt;とくゆう&lt;/rt&gt;&lt;/ruby&gt;&lt;br&gt;&lt;div class=""audio""&gt;[sound:とくゆう.mp3]&lt;/div&gt;")</f>
        <v>&lt;ruby&gt;特有&lt;rt&gt;とくゆう&lt;/rt&gt;&lt;/ruby&gt;&lt;br&gt;&lt;div class="audio"&gt;[sound:とくゆう.mp3]&lt;/div&gt;</v>
      </c>
      <c r="H4002" s="3" t="str">
        <f t="shared" si="1"/>
        <v>(adj): đặc trưng</v>
      </c>
      <c r="I4002" s="6" t="s">
        <v>21866</v>
      </c>
      <c r="J4002" s="6" t="s">
        <v>21867</v>
      </c>
      <c r="K4002" s="7">
        <f t="shared" si="2"/>
        <v>0.3908742543</v>
      </c>
    </row>
    <row r="4003">
      <c r="A4003" s="4">
        <v>4003.0</v>
      </c>
      <c r="B4003" s="5" t="s">
        <v>21868</v>
      </c>
      <c r="C4003" s="5" t="s">
        <v>21869</v>
      </c>
      <c r="D4003" s="5" t="s">
        <v>21868</v>
      </c>
      <c r="E4003" s="6" t="s">
        <v>74</v>
      </c>
      <c r="F4003" s="6" t="s">
        <v>21870</v>
      </c>
      <c r="G4003" s="3" t="str">
        <f>IFERROR(__xludf.DUMMYFUNCTION("REGEXREPLACE(
D4003,
""([一-龯々]+)\[([^\]]+)\]"",
""&lt;ruby&gt;$1&lt;rt&gt;$2&lt;/rt&gt;&lt;/ruby&gt;""
)&amp;""&lt;br&gt;&lt;div class=""""audio""""&gt;[sound:""&amp;C4003&amp;"".mp3]&lt;/div&gt;"""),"アンコール&lt;br&gt;&lt;div class=""audio""&gt;[sound:あんこーる.mp3]&lt;/div&gt;")</f>
        <v>アンコール&lt;br&gt;&lt;div class="audio"&gt;[sound:あんこーる.mp3]&lt;/div&gt;</v>
      </c>
      <c r="H4003" s="3" t="str">
        <f t="shared" si="1"/>
        <v>(n): yêu cầu diễn lại</v>
      </c>
      <c r="I4003" s="6" t="s">
        <v>21871</v>
      </c>
      <c r="J4003" s="6" t="s">
        <v>21872</v>
      </c>
      <c r="K4003" s="7">
        <f t="shared" si="2"/>
        <v>0.127102575</v>
      </c>
    </row>
    <row r="4004">
      <c r="A4004" s="4">
        <v>4004.0</v>
      </c>
      <c r="B4004" s="5" t="s">
        <v>21873</v>
      </c>
      <c r="C4004" s="5" t="s">
        <v>21874</v>
      </c>
      <c r="D4004" s="5" t="s">
        <v>21875</v>
      </c>
      <c r="E4004" s="6" t="s">
        <v>24</v>
      </c>
      <c r="F4004" s="6" t="s">
        <v>21876</v>
      </c>
      <c r="G4004" s="3" t="str">
        <f>IFERROR(__xludf.DUMMYFUNCTION("REGEXREPLACE(
D4004,
""([一-龯々]+)\[([^\]]+)\]"",
""&lt;ruby&gt;$1&lt;rt&gt;$2&lt;/rt&gt;&lt;/ruby&gt;""
)&amp;""&lt;br&gt;&lt;div class=""""audio""""&gt;[sound:""&amp;C4004&amp;"".mp3]&lt;/div&gt;"""),"&lt;ruby&gt;組&lt;rt&gt;く&lt;/rt&gt;&lt;/ruby&gt;み&lt;ruby&gt;込&lt;rt&gt;こ&lt;/rt&gt;&lt;/ruby&gt;む&lt;br&gt;&lt;div class=""audio""&gt;[sound:くみこむ.mp3]&lt;/div&gt;")</f>
        <v>&lt;ruby&gt;組&lt;rt&gt;く&lt;/rt&gt;&lt;/ruby&gt;み&lt;ruby&gt;込&lt;rt&gt;こ&lt;/rt&gt;&lt;/ruby&gt;む&lt;br&gt;&lt;div class="audio"&gt;[sound:くみこむ.mp3]&lt;/div&gt;</v>
      </c>
      <c r="H4004" s="3" t="str">
        <f t="shared" si="1"/>
        <v>(v): lồng vào</v>
      </c>
      <c r="I4004" s="6" t="s">
        <v>21877</v>
      </c>
      <c r="J4004" s="6" t="s">
        <v>21878</v>
      </c>
      <c r="K4004" s="7">
        <f t="shared" si="2"/>
        <v>0.9740586241</v>
      </c>
    </row>
    <row r="4005">
      <c r="A4005" s="4">
        <v>4005.0</v>
      </c>
      <c r="B4005" s="5" t="s">
        <v>21879</v>
      </c>
      <c r="C4005" s="5" t="s">
        <v>21880</v>
      </c>
      <c r="D4005" s="5" t="s">
        <v>21879</v>
      </c>
      <c r="E4005" s="6" t="s">
        <v>74</v>
      </c>
      <c r="F4005" s="6" t="s">
        <v>21881</v>
      </c>
      <c r="G4005" s="3" t="str">
        <f>IFERROR(__xludf.DUMMYFUNCTION("REGEXREPLACE(
D4005,
""([一-龯々]+)\[([^\]]+)\]"",
""&lt;ruby&gt;$1&lt;rt&gt;$2&lt;/rt&gt;&lt;/ruby&gt;""
)&amp;""&lt;br&gt;&lt;div class=""""audio""""&gt;[sound:""&amp;C4005&amp;"".mp3]&lt;/div&gt;"""),"タイマー&lt;br&gt;&lt;div class=""audio""&gt;[sound:たいまー.mp3]&lt;/div&gt;")</f>
        <v>タイマー&lt;br&gt;&lt;div class="audio"&gt;[sound:たいまー.mp3]&lt;/div&gt;</v>
      </c>
      <c r="H4005" s="3" t="str">
        <f t="shared" si="1"/>
        <v>(n): đồng hồ hẹn giờ</v>
      </c>
      <c r="I4005" s="6" t="s">
        <v>21882</v>
      </c>
      <c r="J4005" s="6" t="s">
        <v>21883</v>
      </c>
      <c r="K4005" s="7">
        <f t="shared" si="2"/>
        <v>0.8139860168</v>
      </c>
    </row>
    <row r="4006">
      <c r="A4006" s="4">
        <v>4006.0</v>
      </c>
      <c r="B4006" s="5" t="s">
        <v>21884</v>
      </c>
      <c r="C4006" s="5" t="s">
        <v>21885</v>
      </c>
      <c r="D4006" s="5" t="s">
        <v>21886</v>
      </c>
      <c r="E4006" s="6" t="s">
        <v>24</v>
      </c>
      <c r="F4006" s="6" t="s">
        <v>5912</v>
      </c>
      <c r="G4006" s="3" t="str">
        <f>IFERROR(__xludf.DUMMYFUNCTION("REGEXREPLACE(
D4006,
""([一-龯々]+)\[([^\]]+)\]"",
""&lt;ruby&gt;$1&lt;rt&gt;$2&lt;/rt&gt;&lt;/ruby&gt;""
)&amp;""&lt;br&gt;&lt;div class=""""audio""""&gt;[sound:""&amp;C4006&amp;"".mp3]&lt;/div&gt;"""),"&lt;ruby&gt;済&lt;rt&gt;す&lt;/rt&gt;&lt;/ruby&gt;ます&lt;br&gt;&lt;div class=""audio""&gt;[sound:すます.mp3]&lt;/div&gt;")</f>
        <v>&lt;ruby&gt;済&lt;rt&gt;す&lt;/rt&gt;&lt;/ruby&gt;ます&lt;br&gt;&lt;div class="audio"&gt;[sound:すます.mp3]&lt;/div&gt;</v>
      </c>
      <c r="H4006" s="3" t="str">
        <f t="shared" si="1"/>
        <v>(v): giải quyết</v>
      </c>
      <c r="I4006" s="6" t="s">
        <v>21887</v>
      </c>
      <c r="J4006" s="6" t="s">
        <v>21888</v>
      </c>
      <c r="K4006" s="7">
        <f t="shared" si="2"/>
        <v>0.2604245451</v>
      </c>
    </row>
    <row r="4007">
      <c r="A4007" s="4">
        <v>4007.0</v>
      </c>
      <c r="B4007" s="5" t="s">
        <v>21889</v>
      </c>
      <c r="C4007" s="5" t="s">
        <v>21890</v>
      </c>
      <c r="D4007" s="5" t="s">
        <v>21891</v>
      </c>
      <c r="E4007" s="6" t="s">
        <v>24</v>
      </c>
      <c r="F4007" s="6" t="s">
        <v>7078</v>
      </c>
      <c r="G4007" s="3" t="str">
        <f>IFERROR(__xludf.DUMMYFUNCTION("REGEXREPLACE(
D4007,
""([一-龯々]+)\[([^\]]+)\]"",
""&lt;ruby&gt;$1&lt;rt&gt;$2&lt;/rt&gt;&lt;/ruby&gt;""
)&amp;""&lt;br&gt;&lt;div class=""""audio""""&gt;[sound:""&amp;C4007&amp;"".mp3]&lt;/div&gt;"""),"&lt;ruby&gt;申&lt;rt&gt;もう&lt;/rt&gt;&lt;/ruby&gt;し&lt;ruby&gt;出&lt;rt&gt;で&lt;/rt&gt;&lt;/ruby&gt;る&lt;br&gt;&lt;div class=""audio""&gt;[sound:もうしでる.mp3]&lt;/div&gt;")</f>
        <v>&lt;ruby&gt;申&lt;rt&gt;もう&lt;/rt&gt;&lt;/ruby&gt;し&lt;ruby&gt;出&lt;rt&gt;で&lt;/rt&gt;&lt;/ruby&gt;る&lt;br&gt;&lt;div class="audio"&gt;[sound:もうしでる.mp3]&lt;/div&gt;</v>
      </c>
      <c r="H4007" s="3" t="str">
        <f t="shared" si="1"/>
        <v>(v): đề xuất</v>
      </c>
      <c r="I4007" s="6" t="s">
        <v>21892</v>
      </c>
      <c r="J4007" s="6" t="s">
        <v>21893</v>
      </c>
      <c r="K4007" s="7">
        <f t="shared" si="2"/>
        <v>0.8228735769</v>
      </c>
    </row>
    <row r="4008">
      <c r="A4008" s="4">
        <v>4008.0</v>
      </c>
      <c r="B4008" s="5" t="s">
        <v>21894</v>
      </c>
      <c r="C4008" s="5" t="s">
        <v>21894</v>
      </c>
      <c r="D4008" s="5" t="s">
        <v>21894</v>
      </c>
      <c r="E4008" s="6" t="s">
        <v>85</v>
      </c>
      <c r="F4008" s="6" t="s">
        <v>21895</v>
      </c>
      <c r="G4008" s="3" t="str">
        <f>IFERROR(__xludf.DUMMYFUNCTION("REGEXREPLACE(
D4008,
""([一-龯々]+)\[([^\]]+)\]"",
""&lt;ruby&gt;$1&lt;rt&gt;$2&lt;/rt&gt;&lt;/ruby&gt;""
)&amp;""&lt;br&gt;&lt;div class=""""audio""""&gt;[sound:""&amp;C4008&amp;"".mp3]&lt;/div&gt;"""),"ずばり&lt;br&gt;&lt;div class=""audio""&gt;[sound:ずばり.mp3]&lt;/div&gt;")</f>
        <v>ずばり&lt;br&gt;&lt;div class="audio"&gt;[sound:ずばり.mp3]&lt;/div&gt;</v>
      </c>
      <c r="H4008" s="3" t="str">
        <f t="shared" si="1"/>
        <v>(adv): đúng trọng tâm</v>
      </c>
      <c r="I4008" s="6" t="s">
        <v>21896</v>
      </c>
      <c r="J4008" s="6" t="s">
        <v>21897</v>
      </c>
      <c r="K4008" s="7">
        <f t="shared" si="2"/>
        <v>0.2757048903</v>
      </c>
    </row>
    <row r="4009">
      <c r="A4009" s="4">
        <v>4009.0</v>
      </c>
      <c r="B4009" s="5" t="s">
        <v>21898</v>
      </c>
      <c r="C4009" s="5" t="s">
        <v>21899</v>
      </c>
      <c r="D4009" s="5" t="s">
        <v>21900</v>
      </c>
      <c r="E4009" s="6" t="s">
        <v>74</v>
      </c>
      <c r="F4009" s="6" t="s">
        <v>21901</v>
      </c>
      <c r="G4009" s="3" t="str">
        <f>IFERROR(__xludf.DUMMYFUNCTION("REGEXREPLACE(
D4009,
""([一-龯々]+)\[([^\]]+)\]"",
""&lt;ruby&gt;$1&lt;rt&gt;$2&lt;/rt&gt;&lt;/ruby&gt;""
)&amp;""&lt;br&gt;&lt;div class=""""audio""""&gt;[sound:""&amp;C4009&amp;"".mp3]&lt;/div&gt;"""),"&lt;ruby&gt;余暇&lt;rt&gt;よか&lt;/rt&gt;&lt;/ruby&gt;&lt;br&gt;&lt;div class=""audio""&gt;[sound:よか.mp3]&lt;/div&gt;")</f>
        <v>&lt;ruby&gt;余暇&lt;rt&gt;よか&lt;/rt&gt;&lt;/ruby&gt;&lt;br&gt;&lt;div class="audio"&gt;[sound:よか.mp3]&lt;/div&gt;</v>
      </c>
      <c r="H4009" s="3" t="str">
        <f t="shared" si="1"/>
        <v>(n): thời gian rảnh</v>
      </c>
      <c r="I4009" s="6" t="s">
        <v>21902</v>
      </c>
      <c r="J4009" s="6" t="s">
        <v>21903</v>
      </c>
      <c r="K4009" s="7">
        <f t="shared" si="2"/>
        <v>0.1057798973</v>
      </c>
    </row>
    <row r="4010">
      <c r="A4010" s="4">
        <v>4010.0</v>
      </c>
      <c r="B4010" s="5" t="s">
        <v>21904</v>
      </c>
      <c r="C4010" s="5" t="s">
        <v>21905</v>
      </c>
      <c r="D4010" s="5" t="s">
        <v>21906</v>
      </c>
      <c r="E4010" s="6" t="s">
        <v>74</v>
      </c>
      <c r="F4010" s="6" t="s">
        <v>21907</v>
      </c>
      <c r="G4010" s="3" t="str">
        <f>IFERROR(__xludf.DUMMYFUNCTION("REGEXREPLACE(
D4010,
""([一-龯々]+)\[([^\]]+)\]"",
""&lt;ruby&gt;$1&lt;rt&gt;$2&lt;/rt&gt;&lt;/ruby&gt;""
)&amp;""&lt;br&gt;&lt;div class=""""audio""""&gt;[sound:""&amp;C4010&amp;"".mp3]&lt;/div&gt;"""),"&lt;ruby&gt;膨張&lt;rt&gt;ぼうちょう&lt;/rt&gt;&lt;/ruby&gt;&lt;br&gt;&lt;div class=""audio""&gt;[sound:ぼうちょう.mp3]&lt;/div&gt;")</f>
        <v>&lt;ruby&gt;膨張&lt;rt&gt;ぼうちょう&lt;/rt&gt;&lt;/ruby&gt;&lt;br&gt;&lt;div class="audio"&gt;[sound:ぼうちょう.mp3]&lt;/div&gt;</v>
      </c>
      <c r="H4010" s="3" t="str">
        <f t="shared" si="1"/>
        <v>(n): sự bành trướng</v>
      </c>
      <c r="I4010" s="6" t="s">
        <v>21908</v>
      </c>
      <c r="J4010" s="6" t="s">
        <v>21909</v>
      </c>
      <c r="K4010" s="7">
        <f t="shared" si="2"/>
        <v>0.5656812317</v>
      </c>
    </row>
    <row r="4011">
      <c r="A4011" s="4">
        <v>4011.0</v>
      </c>
      <c r="B4011" s="5" t="s">
        <v>21910</v>
      </c>
      <c r="C4011" s="5" t="s">
        <v>21911</v>
      </c>
      <c r="D4011" s="5" t="s">
        <v>21912</v>
      </c>
      <c r="E4011" s="6" t="s">
        <v>74</v>
      </c>
      <c r="F4011" s="6" t="s">
        <v>21913</v>
      </c>
      <c r="G4011" s="3" t="str">
        <f>IFERROR(__xludf.DUMMYFUNCTION("REGEXREPLACE(
D4011,
""([一-龯々]+)\[([^\]]+)\]"",
""&lt;ruby&gt;$1&lt;rt&gt;$2&lt;/rt&gt;&lt;/ruby&gt;""
)&amp;""&lt;br&gt;&lt;div class=""""audio""""&gt;[sound:""&amp;C4011&amp;"".mp3]&lt;/div&gt;"""),"&lt;ruby&gt;紛争&lt;rt&gt;ふんそう&lt;/rt&gt;&lt;/ruby&gt;&lt;br&gt;&lt;div class=""audio""&gt;[sound:ふんそう.mp3]&lt;/div&gt;")</f>
        <v>&lt;ruby&gt;紛争&lt;rt&gt;ふんそう&lt;/rt&gt;&lt;/ruby&gt;&lt;br&gt;&lt;div class="audio"&gt;[sound:ふんそう.mp3]&lt;/div&gt;</v>
      </c>
      <c r="H4011" s="3" t="str">
        <f t="shared" si="1"/>
        <v>(n): sự tranh chấp</v>
      </c>
      <c r="I4011" s="6" t="s">
        <v>21914</v>
      </c>
      <c r="J4011" s="6" t="s">
        <v>21915</v>
      </c>
      <c r="K4011" s="7">
        <f t="shared" si="2"/>
        <v>0.6225070569</v>
      </c>
    </row>
    <row r="4012">
      <c r="A4012" s="4">
        <v>4012.0</v>
      </c>
      <c r="B4012" s="5" t="s">
        <v>21916</v>
      </c>
      <c r="C4012" s="5" t="s">
        <v>21917</v>
      </c>
      <c r="D4012" s="5" t="s">
        <v>21918</v>
      </c>
      <c r="E4012" s="6" t="s">
        <v>24</v>
      </c>
      <c r="F4012" s="6" t="s">
        <v>21919</v>
      </c>
      <c r="G4012" s="3" t="str">
        <f>IFERROR(__xludf.DUMMYFUNCTION("REGEXREPLACE(
D4012,
""([一-龯々]+)\[([^\]]+)\]"",
""&lt;ruby&gt;$1&lt;rt&gt;$2&lt;/rt&gt;&lt;/ruby&gt;""
)&amp;""&lt;br&gt;&lt;div class=""""audio""""&gt;[sound:""&amp;C4012&amp;"".mp3]&lt;/div&gt;"""),"&lt;ruby&gt;見渡&lt;rt&gt;みわた&lt;/rt&gt;&lt;/ruby&gt;す&lt;br&gt;&lt;div class=""audio""&gt;[sound:みわたす.mp3]&lt;/div&gt;")</f>
        <v>&lt;ruby&gt;見渡&lt;rt&gt;みわた&lt;/rt&gt;&lt;/ruby&gt;す&lt;br&gt;&lt;div class="audio"&gt;[sound:みわたす.mp3]&lt;/div&gt;</v>
      </c>
      <c r="H4012" s="3" t="str">
        <f t="shared" si="1"/>
        <v>(v): nhìn bao quát</v>
      </c>
      <c r="I4012" s="6" t="s">
        <v>21920</v>
      </c>
      <c r="J4012" s="6" t="s">
        <v>21921</v>
      </c>
      <c r="K4012" s="7">
        <f t="shared" si="2"/>
        <v>0.3074996051</v>
      </c>
    </row>
    <row r="4013">
      <c r="A4013" s="4">
        <v>4013.0</v>
      </c>
      <c r="B4013" s="5" t="s">
        <v>21922</v>
      </c>
      <c r="C4013" s="5" t="s">
        <v>21923</v>
      </c>
      <c r="D4013" s="5" t="s">
        <v>21924</v>
      </c>
      <c r="E4013" s="6" t="s">
        <v>74</v>
      </c>
      <c r="F4013" s="6" t="s">
        <v>21925</v>
      </c>
      <c r="G4013" s="3" t="str">
        <f>IFERROR(__xludf.DUMMYFUNCTION("REGEXREPLACE(
D4013,
""([一-龯々]+)\[([^\]]+)\]"",
""&lt;ruby&gt;$1&lt;rt&gt;$2&lt;/rt&gt;&lt;/ruby&gt;""
)&amp;""&lt;br&gt;&lt;div class=""""audio""""&gt;[sound:""&amp;C4013&amp;"".mp3]&lt;/div&gt;"""),"&lt;ruby&gt;人体&lt;rt&gt;じんたい&lt;/rt&gt;&lt;/ruby&gt;&lt;br&gt;&lt;div class=""audio""&gt;[sound:じんたい.mp3]&lt;/div&gt;")</f>
        <v>&lt;ruby&gt;人体&lt;rt&gt;じんたい&lt;/rt&gt;&lt;/ruby&gt;&lt;br&gt;&lt;div class="audio"&gt;[sound:じんたい.mp3]&lt;/div&gt;</v>
      </c>
      <c r="H4013" s="3" t="str">
        <f t="shared" si="1"/>
        <v>(n): cơ thể người</v>
      </c>
      <c r="I4013" s="6" t="s">
        <v>21926</v>
      </c>
      <c r="J4013" s="6" t="s">
        <v>21927</v>
      </c>
      <c r="K4013" s="7">
        <f t="shared" si="2"/>
        <v>0.2764463714</v>
      </c>
    </row>
    <row r="4014">
      <c r="A4014" s="4">
        <v>4014.0</v>
      </c>
      <c r="B4014" s="5" t="s">
        <v>21928</v>
      </c>
      <c r="C4014" s="5" t="s">
        <v>21929</v>
      </c>
      <c r="D4014" s="5" t="s">
        <v>21930</v>
      </c>
      <c r="E4014" s="6" t="s">
        <v>74</v>
      </c>
      <c r="F4014" s="6" t="s">
        <v>4364</v>
      </c>
      <c r="G4014" s="3" t="str">
        <f>IFERROR(__xludf.DUMMYFUNCTION("REGEXREPLACE(
D4014,
""([一-龯々]+)\[([^\]]+)\]"",
""&lt;ruby&gt;$1&lt;rt&gt;$2&lt;/rt&gt;&lt;/ruby&gt;""
)&amp;""&lt;br&gt;&lt;div class=""""audio""""&gt;[sound:""&amp;C4014&amp;"".mp3]&lt;/div&gt;"""),"&lt;ruby&gt;発足&lt;rt&gt;ほっそく&lt;/rt&gt;&lt;/ruby&gt;&lt;br&gt;&lt;div class=""audio""&gt;[sound:ほっそく.mp3]&lt;/div&gt;")</f>
        <v>&lt;ruby&gt;発足&lt;rt&gt;ほっそく&lt;/rt&gt;&lt;/ruby&gt;&lt;br&gt;&lt;div class="audio"&gt;[sound:ほっそく.mp3]&lt;/div&gt;</v>
      </c>
      <c r="H4014" s="3" t="str">
        <f t="shared" si="1"/>
        <v>(n): sự thành lập</v>
      </c>
      <c r="I4014" s="6" t="s">
        <v>21931</v>
      </c>
      <c r="J4014" s="6" t="s">
        <v>21932</v>
      </c>
      <c r="K4014" s="7">
        <f t="shared" si="2"/>
        <v>0.5476030893</v>
      </c>
    </row>
    <row r="4015">
      <c r="A4015" s="4">
        <v>4015.0</v>
      </c>
      <c r="B4015" s="5" t="s">
        <v>21933</v>
      </c>
      <c r="C4015" s="5" t="s">
        <v>6782</v>
      </c>
      <c r="D4015" s="5" t="s">
        <v>21934</v>
      </c>
      <c r="E4015" s="6" t="s">
        <v>24</v>
      </c>
      <c r="F4015" s="6" t="s">
        <v>21935</v>
      </c>
      <c r="G4015" s="3" t="str">
        <f>IFERROR(__xludf.DUMMYFUNCTION("REGEXREPLACE(
D4015,
""([一-龯々]+)\[([^\]]+)\]"",
""&lt;ruby&gt;$1&lt;rt&gt;$2&lt;/rt&gt;&lt;/ruby&gt;""
)&amp;""&lt;br&gt;&lt;div class=""""audio""""&gt;[sound:""&amp;C4015&amp;"".mp3]&lt;/div&gt;"""),"&lt;ruby&gt;納&lt;rt&gt;おさ&lt;/rt&gt;&lt;/ruby&gt;まる&lt;br&gt;&lt;div class=""audio""&gt;[sound:おさまる.mp3]&lt;/div&gt;")</f>
        <v>&lt;ruby&gt;納&lt;rt&gt;おさ&lt;/rt&gt;&lt;/ruby&gt;まる&lt;br&gt;&lt;div class="audio"&gt;[sound:おさまる.mp3]&lt;/div&gt;</v>
      </c>
      <c r="H4015" s="3" t="str">
        <f t="shared" si="1"/>
        <v>(v): được thu xếp</v>
      </c>
      <c r="I4015" s="6" t="s">
        <v>21936</v>
      </c>
      <c r="J4015" s="6" t="s">
        <v>21937</v>
      </c>
      <c r="K4015" s="7">
        <f t="shared" si="2"/>
        <v>0.2528778694</v>
      </c>
    </row>
    <row r="4016">
      <c r="A4016" s="4">
        <v>4016.0</v>
      </c>
      <c r="B4016" s="5" t="s">
        <v>21938</v>
      </c>
      <c r="C4016" s="5" t="s">
        <v>21939</v>
      </c>
      <c r="D4016" s="5" t="s">
        <v>21940</v>
      </c>
      <c r="E4016" s="6" t="s">
        <v>74</v>
      </c>
      <c r="F4016" s="6" t="s">
        <v>21941</v>
      </c>
      <c r="G4016" s="3" t="str">
        <f>IFERROR(__xludf.DUMMYFUNCTION("REGEXREPLACE(
D4016,
""([一-龯々]+)\[([^\]]+)\]"",
""&lt;ruby&gt;$1&lt;rt&gt;$2&lt;/rt&gt;&lt;/ruby&gt;""
)&amp;""&lt;br&gt;&lt;div class=""""audio""""&gt;[sound:""&amp;C4016&amp;"".mp3]&lt;/div&gt;"""),"&lt;ruby&gt;逃走&lt;rt&gt;とうそう&lt;/rt&gt;&lt;/ruby&gt;&lt;br&gt;&lt;div class=""audio""&gt;[sound:とうそう.mp3]&lt;/div&gt;")</f>
        <v>&lt;ruby&gt;逃走&lt;rt&gt;とうそう&lt;/rt&gt;&lt;/ruby&gt;&lt;br&gt;&lt;div class="audio"&gt;[sound:とうそう.mp3]&lt;/div&gt;</v>
      </c>
      <c r="H4016" s="3" t="str">
        <f t="shared" si="1"/>
        <v>(n): sự chạy trốn</v>
      </c>
      <c r="I4016" s="6" t="s">
        <v>21942</v>
      </c>
      <c r="J4016" s="6" t="s">
        <v>21943</v>
      </c>
      <c r="K4016" s="7">
        <f t="shared" si="2"/>
        <v>0.8148479346</v>
      </c>
    </row>
    <row r="4017">
      <c r="A4017" s="4">
        <v>4017.0</v>
      </c>
      <c r="B4017" s="5" t="s">
        <v>21944</v>
      </c>
      <c r="C4017" s="5" t="s">
        <v>21945</v>
      </c>
      <c r="D4017" s="5" t="s">
        <v>21946</v>
      </c>
      <c r="E4017" s="6" t="s">
        <v>24</v>
      </c>
      <c r="F4017" s="6" t="s">
        <v>6802</v>
      </c>
      <c r="G4017" s="3" t="str">
        <f>IFERROR(__xludf.DUMMYFUNCTION("REGEXREPLACE(
D4017,
""([一-龯々]+)\[([^\]]+)\]"",
""&lt;ruby&gt;$1&lt;rt&gt;$2&lt;/rt&gt;&lt;/ruby&gt;""
)&amp;""&lt;br&gt;&lt;div class=""""audio""""&gt;[sound:""&amp;C4017&amp;"".mp3]&lt;/div&gt;"""),"&lt;ruby&gt;飼育&lt;rt&gt;しいく&lt;/rt&gt;&lt;/ruby&gt;&lt;br&gt;&lt;div class=""audio""&gt;[sound:しいく.mp3]&lt;/div&gt;")</f>
        <v>&lt;ruby&gt;飼育&lt;rt&gt;しいく&lt;/rt&gt;&lt;/ruby&gt;&lt;br&gt;&lt;div class="audio"&gt;[sound:しいく.mp3]&lt;/div&gt;</v>
      </c>
      <c r="H4017" s="3" t="str">
        <f t="shared" si="1"/>
        <v>(v): nuôi dưỡng</v>
      </c>
      <c r="I4017" s="6" t="s">
        <v>21947</v>
      </c>
      <c r="J4017" s="6" t="s">
        <v>21948</v>
      </c>
      <c r="K4017" s="7">
        <f t="shared" si="2"/>
        <v>0.6904653023</v>
      </c>
    </row>
    <row r="4018">
      <c r="A4018" s="4">
        <v>4018.0</v>
      </c>
      <c r="B4018" s="5" t="s">
        <v>21949</v>
      </c>
      <c r="C4018" s="5" t="s">
        <v>21949</v>
      </c>
      <c r="D4018" s="5" t="s">
        <v>21949</v>
      </c>
      <c r="E4018" s="6" t="s">
        <v>85</v>
      </c>
      <c r="F4018" s="6" t="s">
        <v>21950</v>
      </c>
      <c r="G4018" s="3" t="str">
        <f>IFERROR(__xludf.DUMMYFUNCTION("REGEXREPLACE(
D4018,
""([一-龯々]+)\[([^\]]+)\]"",
""&lt;ruby&gt;$1&lt;rt&gt;$2&lt;/rt&gt;&lt;/ruby&gt;""
)&amp;""&lt;br&gt;&lt;div class=""""audio""""&gt;[sound:""&amp;C4018&amp;"".mp3]&lt;/div&gt;"""),"さほど&lt;br&gt;&lt;div class=""audio""&gt;[sound:さほど.mp3]&lt;/div&gt;")</f>
        <v>さほど&lt;br&gt;&lt;div class="audio"&gt;[sound:さほど.mp3]&lt;/div&gt;</v>
      </c>
      <c r="H4018" s="3" t="str">
        <f t="shared" si="1"/>
        <v>(adv): không...lắm</v>
      </c>
      <c r="I4018" s="6" t="s">
        <v>21951</v>
      </c>
      <c r="J4018" s="6" t="s">
        <v>21952</v>
      </c>
      <c r="K4018" s="7">
        <f t="shared" si="2"/>
        <v>0.9181194451</v>
      </c>
    </row>
    <row r="4019">
      <c r="A4019" s="4">
        <v>4019.0</v>
      </c>
      <c r="B4019" s="5" t="s">
        <v>21953</v>
      </c>
      <c r="C4019" s="5" t="s">
        <v>21954</v>
      </c>
      <c r="D4019" s="5" t="s">
        <v>21953</v>
      </c>
      <c r="E4019" s="6" t="s">
        <v>74</v>
      </c>
      <c r="F4019" s="6" t="s">
        <v>21955</v>
      </c>
      <c r="G4019" s="3" t="str">
        <f>IFERROR(__xludf.DUMMYFUNCTION("REGEXREPLACE(
D4019,
""([一-龯々]+)\[([^\]]+)\]"",
""&lt;ruby&gt;$1&lt;rt&gt;$2&lt;/rt&gt;&lt;/ruby&gt;""
)&amp;""&lt;br&gt;&lt;div class=""""audio""""&gt;[sound:""&amp;C4019&amp;"".mp3]&lt;/div&gt;"""),"パトカー&lt;br&gt;&lt;div class=""audio""&gt;[sound:ぱとかー.mp3]&lt;/div&gt;")</f>
        <v>パトカー&lt;br&gt;&lt;div class="audio"&gt;[sound:ぱとかー.mp3]&lt;/div&gt;</v>
      </c>
      <c r="H4019" s="3" t="str">
        <f t="shared" si="1"/>
        <v>(n): xe cảnh sát</v>
      </c>
      <c r="I4019" s="6" t="s">
        <v>21956</v>
      </c>
      <c r="J4019" s="6" t="s">
        <v>21957</v>
      </c>
      <c r="K4019" s="7">
        <f t="shared" si="2"/>
        <v>0.01287283007</v>
      </c>
    </row>
    <row r="4020">
      <c r="A4020" s="4">
        <v>4020.0</v>
      </c>
      <c r="B4020" s="5" t="s">
        <v>21958</v>
      </c>
      <c r="C4020" s="5" t="s">
        <v>21959</v>
      </c>
      <c r="D4020" s="5" t="s">
        <v>21960</v>
      </c>
      <c r="E4020" s="6" t="s">
        <v>74</v>
      </c>
      <c r="F4020" s="6" t="s">
        <v>21961</v>
      </c>
      <c r="G4020" s="3" t="str">
        <f>IFERROR(__xludf.DUMMYFUNCTION("REGEXREPLACE(
D4020,
""([一-龯々]+)\[([^\]]+)\]"",
""&lt;ruby&gt;$1&lt;rt&gt;$2&lt;/rt&gt;&lt;/ruby&gt;""
)&amp;""&lt;br&gt;&lt;div class=""""audio""""&gt;[sound:""&amp;C4020&amp;"".mp3]&lt;/div&gt;"""),"&lt;ruby&gt;武装&lt;rt&gt;ぶそう&lt;/rt&gt;&lt;/ruby&gt;&lt;br&gt;&lt;div class=""audio""&gt;[sound:ぶそう.mp3]&lt;/div&gt;")</f>
        <v>&lt;ruby&gt;武装&lt;rt&gt;ぶそう&lt;/rt&gt;&lt;/ruby&gt;&lt;br&gt;&lt;div class="audio"&gt;[sound:ぶそう.mp3]&lt;/div&gt;</v>
      </c>
      <c r="H4020" s="3" t="str">
        <f t="shared" si="1"/>
        <v>(n): sự vũ trang</v>
      </c>
      <c r="I4020" s="6" t="s">
        <v>21962</v>
      </c>
      <c r="J4020" s="6" t="s">
        <v>21963</v>
      </c>
      <c r="K4020" s="7">
        <f t="shared" si="2"/>
        <v>0.6874892902</v>
      </c>
    </row>
    <row r="4021">
      <c r="A4021" s="4">
        <v>4021.0</v>
      </c>
      <c r="B4021" s="5" t="s">
        <v>21964</v>
      </c>
      <c r="C4021" s="5" t="s">
        <v>21965</v>
      </c>
      <c r="D4021" s="5" t="s">
        <v>21966</v>
      </c>
      <c r="E4021" s="6" t="s">
        <v>74</v>
      </c>
      <c r="F4021" s="6" t="s">
        <v>21967</v>
      </c>
      <c r="G4021" s="3" t="str">
        <f>IFERROR(__xludf.DUMMYFUNCTION("REGEXREPLACE(
D4021,
""([一-龯々]+)\[([^\]]+)\]"",
""&lt;ruby&gt;$1&lt;rt&gt;$2&lt;/rt&gt;&lt;/ruby&gt;""
)&amp;""&lt;br&gt;&lt;div class=""""audio""""&gt;[sound:""&amp;C4021&amp;"".mp3]&lt;/div&gt;"""),"&lt;ruby&gt;疑惑&lt;rt&gt;ぎわく&lt;/rt&gt;&lt;/ruby&gt;&lt;br&gt;&lt;div class=""audio""&gt;[sound:ぎわく.mp3]&lt;/div&gt;")</f>
        <v>&lt;ruby&gt;疑惑&lt;rt&gt;ぎわく&lt;/rt&gt;&lt;/ruby&gt;&lt;br&gt;&lt;div class="audio"&gt;[sound:ぎわく.mp3]&lt;/div&gt;</v>
      </c>
      <c r="H4021" s="3" t="str">
        <f t="shared" si="1"/>
        <v>(n): sự nghi ngờ</v>
      </c>
      <c r="I4021" s="6" t="s">
        <v>21968</v>
      </c>
      <c r="J4021" s="6" t="s">
        <v>21969</v>
      </c>
      <c r="K4021" s="7">
        <f t="shared" si="2"/>
        <v>0.2674993143</v>
      </c>
    </row>
    <row r="4022">
      <c r="A4022" s="4">
        <v>4022.0</v>
      </c>
      <c r="B4022" s="5" t="s">
        <v>21970</v>
      </c>
      <c r="C4022" s="5" t="s">
        <v>21971</v>
      </c>
      <c r="D4022" s="5" t="s">
        <v>21972</v>
      </c>
      <c r="E4022" s="6" t="s">
        <v>74</v>
      </c>
      <c r="F4022" s="6" t="s">
        <v>21973</v>
      </c>
      <c r="G4022" s="3" t="str">
        <f>IFERROR(__xludf.DUMMYFUNCTION("REGEXREPLACE(
D4022,
""([一-龯々]+)\[([^\]]+)\]"",
""&lt;ruby&gt;$1&lt;rt&gt;$2&lt;/rt&gt;&lt;/ruby&gt;""
)&amp;""&lt;br&gt;&lt;div class=""""audio""""&gt;[sound:""&amp;C4022&amp;"".mp3]&lt;/div&gt;"""),"&lt;ruby&gt;監視&lt;rt&gt;かんし&lt;/rt&gt;&lt;/ruby&gt;&lt;br&gt;&lt;div class=""audio""&gt;[sound:かんし.mp3]&lt;/div&gt;")</f>
        <v>&lt;ruby&gt;監視&lt;rt&gt;かんし&lt;/rt&gt;&lt;/ruby&gt;&lt;br&gt;&lt;div class="audio"&gt;[sound:かんし.mp3]&lt;/div&gt;</v>
      </c>
      <c r="H4022" s="3" t="str">
        <f t="shared" si="1"/>
        <v>(n): sự giám sát</v>
      </c>
      <c r="I4022" s="6" t="s">
        <v>21974</v>
      </c>
      <c r="J4022" s="6" t="s">
        <v>21975</v>
      </c>
      <c r="K4022" s="7">
        <f t="shared" si="2"/>
        <v>0.9021675321</v>
      </c>
    </row>
    <row r="4023">
      <c r="A4023" s="4">
        <v>4023.0</v>
      </c>
      <c r="B4023" s="5" t="s">
        <v>21976</v>
      </c>
      <c r="C4023" s="5" t="s">
        <v>21977</v>
      </c>
      <c r="D4023" s="5" t="s">
        <v>21978</v>
      </c>
      <c r="E4023" s="6" t="s">
        <v>74</v>
      </c>
      <c r="F4023" s="6" t="s">
        <v>21979</v>
      </c>
      <c r="G4023" s="3" t="str">
        <f>IFERROR(__xludf.DUMMYFUNCTION("REGEXREPLACE(
D4023,
""([一-龯々]+)\[([^\]]+)\]"",
""&lt;ruby&gt;$1&lt;rt&gt;$2&lt;/rt&gt;&lt;/ruby&gt;""
)&amp;""&lt;br&gt;&lt;div class=""""audio""""&gt;[sound:""&amp;C4023&amp;"".mp3]&lt;/div&gt;"""),"&lt;ruby&gt;還元&lt;rt&gt;かんげん&lt;/rt&gt;&lt;/ruby&gt;&lt;br&gt;&lt;div class=""audio""&gt;[sound:かんげん.mp3]&lt;/div&gt;")</f>
        <v>&lt;ruby&gt;還元&lt;rt&gt;かんげん&lt;/rt&gt;&lt;/ruby&gt;&lt;br&gt;&lt;div class="audio"&gt;[sound:かんげん.mp3]&lt;/div&gt;</v>
      </c>
      <c r="H4023" s="3" t="str">
        <f t="shared" si="1"/>
        <v>(n): sự hoàn lại</v>
      </c>
      <c r="I4023" s="6" t="s">
        <v>21980</v>
      </c>
      <c r="J4023" s="6" t="s">
        <v>21981</v>
      </c>
      <c r="K4023" s="7">
        <f t="shared" si="2"/>
        <v>0.2405553966</v>
      </c>
    </row>
    <row r="4024">
      <c r="A4024" s="4">
        <v>4024.0</v>
      </c>
      <c r="B4024" s="5" t="s">
        <v>21982</v>
      </c>
      <c r="C4024" s="5" t="s">
        <v>21983</v>
      </c>
      <c r="D4024" s="5" t="s">
        <v>21984</v>
      </c>
      <c r="E4024" s="6" t="s">
        <v>24</v>
      </c>
      <c r="F4024" s="6" t="s">
        <v>21985</v>
      </c>
      <c r="G4024" s="3" t="str">
        <f>IFERROR(__xludf.DUMMYFUNCTION("REGEXREPLACE(
D4024,
""([一-龯々]+)\[([^\]]+)\]"",
""&lt;ruby&gt;$1&lt;rt&gt;$2&lt;/rt&gt;&lt;/ruby&gt;""
)&amp;""&lt;br&gt;&lt;div class=""""audio""""&gt;[sound:""&amp;C4024&amp;"".mp3]&lt;/div&gt;"""),"&lt;ruby&gt;題&lt;rt&gt;だい&lt;/rt&gt;&lt;/ruby&gt;する&lt;br&gt;&lt;div class=""audio""&gt;[sound:だいする.mp3]&lt;/div&gt;")</f>
        <v>&lt;ruby&gt;題&lt;rt&gt;だい&lt;/rt&gt;&lt;/ruby&gt;する&lt;br&gt;&lt;div class="audio"&gt;[sound:だいする.mp3]&lt;/div&gt;</v>
      </c>
      <c r="H4024" s="3" t="str">
        <f t="shared" si="1"/>
        <v>(v): đặt tiêu đề</v>
      </c>
      <c r="I4024" s="6" t="s">
        <v>21986</v>
      </c>
      <c r="J4024" s="6" t="s">
        <v>21987</v>
      </c>
      <c r="K4024" s="7">
        <f t="shared" si="2"/>
        <v>0.890830833</v>
      </c>
    </row>
    <row r="4025">
      <c r="A4025" s="4">
        <v>4025.0</v>
      </c>
      <c r="B4025" s="5" t="s">
        <v>21988</v>
      </c>
      <c r="C4025" s="5" t="s">
        <v>21989</v>
      </c>
      <c r="D4025" s="5" t="s">
        <v>21990</v>
      </c>
      <c r="E4025" s="6" t="s">
        <v>24</v>
      </c>
      <c r="F4025" s="6" t="s">
        <v>21991</v>
      </c>
      <c r="G4025" s="3" t="str">
        <f>IFERROR(__xludf.DUMMYFUNCTION("REGEXREPLACE(
D4025,
""([一-龯々]+)\[([^\]]+)\]"",
""&lt;ruby&gt;$1&lt;rt&gt;$2&lt;/rt&gt;&lt;/ruby&gt;""
)&amp;""&lt;br&gt;&lt;div class=""""audio""""&gt;[sound:""&amp;C4025&amp;"".mp3]&lt;/div&gt;"""),"&lt;ruby&gt;主演&lt;rt&gt;しゅえん&lt;/rt&gt;&lt;/ruby&gt;&lt;br&gt;&lt;div class=""audio""&gt;[sound:しゅえん.mp3]&lt;/div&gt;")</f>
        <v>&lt;ruby&gt;主演&lt;rt&gt;しゅえん&lt;/rt&gt;&lt;/ruby&gt;&lt;br&gt;&lt;div class="audio"&gt;[sound:しゅえん.mp3]&lt;/div&gt;</v>
      </c>
      <c r="H4025" s="3" t="str">
        <f t="shared" si="1"/>
        <v>(v): diễn chính</v>
      </c>
      <c r="I4025" s="6" t="s">
        <v>21992</v>
      </c>
      <c r="J4025" s="6" t="s">
        <v>21993</v>
      </c>
      <c r="K4025" s="7">
        <f t="shared" si="2"/>
        <v>0.9235444635</v>
      </c>
    </row>
    <row r="4026">
      <c r="A4026" s="4">
        <v>4026.0</v>
      </c>
      <c r="B4026" s="5" t="s">
        <v>21994</v>
      </c>
      <c r="C4026" s="5" t="s">
        <v>21995</v>
      </c>
      <c r="D4026" s="5" t="s">
        <v>21996</v>
      </c>
      <c r="E4026" s="6" t="s">
        <v>74</v>
      </c>
      <c r="F4026" s="6" t="s">
        <v>21997</v>
      </c>
      <c r="G4026" s="3" t="str">
        <f>IFERROR(__xludf.DUMMYFUNCTION("REGEXREPLACE(
D4026,
""([一-龯々]+)\[([^\]]+)\]"",
""&lt;ruby&gt;$1&lt;rt&gt;$2&lt;/rt&gt;&lt;/ruby&gt;""
)&amp;""&lt;br&gt;&lt;div class=""""audio""""&gt;[sound:""&amp;C4026&amp;"".mp3]&lt;/div&gt;"""),"&lt;ruby&gt;仕上&lt;rt&gt;しあげ&lt;/rt&gt;&lt;/ruby&gt;&lt;br&gt;&lt;div class=""audio""&gt;[sound:しあげ.mp3]&lt;/div&gt;")</f>
        <v>&lt;ruby&gt;仕上&lt;rt&gt;しあげ&lt;/rt&gt;&lt;/ruby&gt;&lt;br&gt;&lt;div class="audio"&gt;[sound:しあげ.mp3]&lt;/div&gt;</v>
      </c>
      <c r="H4026" s="3" t="str">
        <f t="shared" si="1"/>
        <v>(n): hoàn thiện</v>
      </c>
      <c r="I4026" s="6" t="s">
        <v>21998</v>
      </c>
      <c r="J4026" s="6" t="s">
        <v>21999</v>
      </c>
      <c r="K4026" s="7">
        <f t="shared" si="2"/>
        <v>0.8421126452</v>
      </c>
    </row>
    <row r="4027">
      <c r="A4027" s="4">
        <v>4027.0</v>
      </c>
      <c r="B4027" s="5" t="s">
        <v>22000</v>
      </c>
      <c r="C4027" s="5" t="s">
        <v>22001</v>
      </c>
      <c r="D4027" s="5" t="s">
        <v>22002</v>
      </c>
      <c r="E4027" s="6" t="s">
        <v>24</v>
      </c>
      <c r="F4027" s="6" t="s">
        <v>2058</v>
      </c>
      <c r="G4027" s="3" t="str">
        <f>IFERROR(__xludf.DUMMYFUNCTION("REGEXREPLACE(
D4027,
""([一-龯々]+)\[([^\]]+)\]"",
""&lt;ruby&gt;$1&lt;rt&gt;$2&lt;/rt&gt;&lt;/ruby&gt;""
)&amp;""&lt;br&gt;&lt;div class=""""audio""""&gt;[sound:""&amp;C4027&amp;"".mp3]&lt;/div&gt;"""),"&lt;ruby&gt;伝達&lt;rt&gt;でんたつ&lt;/rt&gt;&lt;/ruby&gt;&lt;br&gt;&lt;div class=""audio""&gt;[sound:でんたつ.mp3]&lt;/div&gt;")</f>
        <v>&lt;ruby&gt;伝達&lt;rt&gt;でんたつ&lt;/rt&gt;&lt;/ruby&gt;&lt;br&gt;&lt;div class="audio"&gt;[sound:でんたつ.mp3]&lt;/div&gt;</v>
      </c>
      <c r="H4027" s="3" t="str">
        <f t="shared" si="1"/>
        <v>(v): truyền đạt</v>
      </c>
      <c r="I4027" s="6" t="s">
        <v>22003</v>
      </c>
      <c r="J4027" s="6" t="s">
        <v>22004</v>
      </c>
      <c r="K4027" s="7">
        <f t="shared" si="2"/>
        <v>0.5302206323</v>
      </c>
    </row>
    <row r="4028">
      <c r="A4028" s="4">
        <v>4028.0</v>
      </c>
      <c r="B4028" s="5" t="s">
        <v>22005</v>
      </c>
      <c r="C4028" s="5" t="s">
        <v>22006</v>
      </c>
      <c r="D4028" s="5" t="s">
        <v>22007</v>
      </c>
      <c r="E4028" s="6" t="s">
        <v>74</v>
      </c>
      <c r="F4028" s="6" t="s">
        <v>22008</v>
      </c>
      <c r="G4028" s="3" t="str">
        <f>IFERROR(__xludf.DUMMYFUNCTION("REGEXREPLACE(
D4028,
""([一-龯々]+)\[([^\]]+)\]"",
""&lt;ruby&gt;$1&lt;rt&gt;$2&lt;/rt&gt;&lt;/ruby&gt;""
)&amp;""&lt;br&gt;&lt;div class=""""audio""""&gt;[sound:""&amp;C4028&amp;"".mp3]&lt;/div&gt;"""),"&lt;ruby&gt;侮辱&lt;rt&gt;ぶじょく&lt;/rt&gt;&lt;/ruby&gt;&lt;br&gt;&lt;div class=""audio""&gt;[sound:ぶじょく.mp3]&lt;/div&gt;")</f>
        <v>&lt;ruby&gt;侮辱&lt;rt&gt;ぶじょく&lt;/rt&gt;&lt;/ruby&gt;&lt;br&gt;&lt;div class="audio"&gt;[sound:ぶじょく.mp3]&lt;/div&gt;</v>
      </c>
      <c r="H4028" s="3" t="str">
        <f t="shared" si="1"/>
        <v>(n): sự lăng mạ</v>
      </c>
      <c r="I4028" s="6" t="s">
        <v>22009</v>
      </c>
      <c r="J4028" s="6" t="s">
        <v>22010</v>
      </c>
      <c r="K4028" s="7">
        <f t="shared" si="2"/>
        <v>0.8550036046</v>
      </c>
    </row>
    <row r="4029">
      <c r="A4029" s="4">
        <v>4029.0</v>
      </c>
      <c r="B4029" s="5" t="s">
        <v>22011</v>
      </c>
      <c r="C4029" s="5" t="s">
        <v>22012</v>
      </c>
      <c r="D4029" s="5" t="s">
        <v>22013</v>
      </c>
      <c r="E4029" s="6" t="s">
        <v>74</v>
      </c>
      <c r="F4029" s="6" t="s">
        <v>6229</v>
      </c>
      <c r="G4029" s="3" t="str">
        <f>IFERROR(__xludf.DUMMYFUNCTION("REGEXREPLACE(
D4029,
""([一-龯々]+)\[([^\]]+)\]"",
""&lt;ruby&gt;$1&lt;rt&gt;$2&lt;/rt&gt;&lt;/ruby&gt;""
)&amp;""&lt;br&gt;&lt;div class=""""audio""""&gt;[sound:""&amp;C4029&amp;"".mp3]&lt;/div&gt;"""),"&lt;ruby&gt;様式&lt;rt&gt;ようしき&lt;/rt&gt;&lt;/ruby&gt;&lt;br&gt;&lt;div class=""audio""&gt;[sound:ようしき.mp3]&lt;/div&gt;")</f>
        <v>&lt;ruby&gt;様式&lt;rt&gt;ようしき&lt;/rt&gt;&lt;/ruby&gt;&lt;br&gt;&lt;div class="audio"&gt;[sound:ようしき.mp3]&lt;/div&gt;</v>
      </c>
      <c r="H4029" s="3" t="str">
        <f t="shared" si="1"/>
        <v>(n): phong cách</v>
      </c>
      <c r="I4029" s="6" t="s">
        <v>22014</v>
      </c>
      <c r="J4029" s="6" t="s">
        <v>22015</v>
      </c>
      <c r="K4029" s="7">
        <f t="shared" si="2"/>
        <v>0.8429803657</v>
      </c>
    </row>
    <row r="4030">
      <c r="A4030" s="4">
        <v>4030.0</v>
      </c>
      <c r="B4030" s="5" t="s">
        <v>22016</v>
      </c>
      <c r="C4030" s="5" t="s">
        <v>22017</v>
      </c>
      <c r="D4030" s="5" t="s">
        <v>22018</v>
      </c>
      <c r="E4030" s="6" t="s">
        <v>74</v>
      </c>
      <c r="F4030" s="6" t="s">
        <v>22019</v>
      </c>
      <c r="G4030" s="3" t="str">
        <f>IFERROR(__xludf.DUMMYFUNCTION("REGEXREPLACE(
D4030,
""([一-龯々]+)\[([^\]]+)\]"",
""&lt;ruby&gt;$1&lt;rt&gt;$2&lt;/rt&gt;&lt;/ruby&gt;""
)&amp;""&lt;br&gt;&lt;div class=""""audio""""&gt;[sound:""&amp;C4030&amp;"".mp3]&lt;/div&gt;"""),"&lt;ruby&gt;決議&lt;rt&gt;けつぎ&lt;/rt&gt;&lt;/ruby&gt;&lt;br&gt;&lt;div class=""audio""&gt;[sound:けつぎ.mp3]&lt;/div&gt;")</f>
        <v>&lt;ruby&gt;決議&lt;rt&gt;けつぎ&lt;/rt&gt;&lt;/ruby&gt;&lt;br&gt;&lt;div class="audio"&gt;[sound:けつぎ.mp3]&lt;/div&gt;</v>
      </c>
      <c r="H4030" s="3" t="str">
        <f t="shared" si="1"/>
        <v>(n): nghị quyết</v>
      </c>
      <c r="I4030" s="6" t="s">
        <v>22020</v>
      </c>
      <c r="J4030" s="6" t="s">
        <v>22021</v>
      </c>
      <c r="K4030" s="7">
        <f t="shared" si="2"/>
        <v>0.1486389493</v>
      </c>
    </row>
    <row r="4031">
      <c r="A4031" s="4">
        <v>4031.0</v>
      </c>
      <c r="B4031" s="5" t="s">
        <v>22022</v>
      </c>
      <c r="C4031" s="5" t="s">
        <v>22023</v>
      </c>
      <c r="D4031" s="5" t="s">
        <v>22024</v>
      </c>
      <c r="E4031" s="6" t="s">
        <v>74</v>
      </c>
      <c r="F4031" s="6" t="s">
        <v>22025</v>
      </c>
      <c r="G4031" s="3" t="str">
        <f>IFERROR(__xludf.DUMMYFUNCTION("REGEXREPLACE(
D4031,
""([一-龯々]+)\[([^\]]+)\]"",
""&lt;ruby&gt;$1&lt;rt&gt;$2&lt;/rt&gt;&lt;/ruby&gt;""
)&amp;""&lt;br&gt;&lt;div class=""""audio""""&gt;[sound:""&amp;C4031&amp;"".mp3]&lt;/div&gt;"""),"&lt;ruby&gt;燃料&lt;rt&gt;ねんりょう&lt;/rt&gt;&lt;/ruby&gt;&lt;br&gt;&lt;div class=""audio""&gt;[sound:ねんりょう.mp3]&lt;/div&gt;")</f>
        <v>&lt;ruby&gt;燃料&lt;rt&gt;ねんりょう&lt;/rt&gt;&lt;/ruby&gt;&lt;br&gt;&lt;div class="audio"&gt;[sound:ねんりょう.mp3]&lt;/div&gt;</v>
      </c>
      <c r="H4031" s="3" t="str">
        <f t="shared" si="1"/>
        <v>(n): nhiên liệu</v>
      </c>
      <c r="I4031" s="6" t="s">
        <v>22026</v>
      </c>
      <c r="J4031" s="6" t="s">
        <v>22027</v>
      </c>
      <c r="K4031" s="7">
        <f t="shared" si="2"/>
        <v>0.2942197569</v>
      </c>
    </row>
    <row r="4032">
      <c r="A4032" s="4">
        <v>4032.0</v>
      </c>
      <c r="B4032" s="5" t="s">
        <v>22028</v>
      </c>
      <c r="C4032" s="5" t="s">
        <v>22029</v>
      </c>
      <c r="D4032" s="5" t="s">
        <v>22030</v>
      </c>
      <c r="E4032" s="6" t="s">
        <v>74</v>
      </c>
      <c r="F4032" s="6" t="s">
        <v>22031</v>
      </c>
      <c r="G4032" s="3" t="str">
        <f>IFERROR(__xludf.DUMMYFUNCTION("REGEXREPLACE(
D4032,
""([一-龯々]+)\[([^\]]+)\]"",
""&lt;ruby&gt;$1&lt;rt&gt;$2&lt;/rt&gt;&lt;/ruby&gt;""
)&amp;""&lt;br&gt;&lt;div class=""""audio""""&gt;[sound:""&amp;C4032&amp;"".mp3]&lt;/div&gt;"""),"&lt;ruby&gt;突破&lt;rt&gt;とっぱ&lt;/rt&gt;&lt;/ruby&gt;&lt;br&gt;&lt;div class=""audio""&gt;[sound:とっぱ.mp3]&lt;/div&gt;")</f>
        <v>&lt;ruby&gt;突破&lt;rt&gt;とっぱ&lt;/rt&gt;&lt;/ruby&gt;&lt;br&gt;&lt;div class="audio"&gt;[sound:とっぱ.mp3]&lt;/div&gt;</v>
      </c>
      <c r="H4032" s="3" t="str">
        <f t="shared" si="1"/>
        <v>(n): sự đột phá</v>
      </c>
      <c r="I4032" s="6" t="s">
        <v>22032</v>
      </c>
      <c r="J4032" s="6" t="s">
        <v>22033</v>
      </c>
      <c r="K4032" s="7">
        <f t="shared" si="2"/>
        <v>0.6745770318</v>
      </c>
    </row>
    <row r="4033">
      <c r="A4033" s="4">
        <v>4033.0</v>
      </c>
      <c r="B4033" s="5" t="s">
        <v>22034</v>
      </c>
      <c r="C4033" s="5" t="s">
        <v>22035</v>
      </c>
      <c r="D4033" s="5" t="s">
        <v>22036</v>
      </c>
      <c r="E4033" s="6" t="s">
        <v>11</v>
      </c>
      <c r="F4033" s="6" t="s">
        <v>22037</v>
      </c>
      <c r="G4033" s="3" t="str">
        <f>IFERROR(__xludf.DUMMYFUNCTION("REGEXREPLACE(
D4033,
""([一-龯々]+)\[([^\]]+)\]"",
""&lt;ruby&gt;$1&lt;rt&gt;$2&lt;/rt&gt;&lt;/ruby&gt;""
)&amp;""&lt;br&gt;&lt;div class=""""audio""""&gt;[sound:""&amp;C4033&amp;"".mp3]&lt;/div&gt;"""),"&lt;ruby&gt;頑固&lt;rt&gt;がんこ&lt;/rt&gt;&lt;/ruby&gt;&lt;br&gt;&lt;div class=""audio""&gt;[sound:がんこ.mp3]&lt;/div&gt;")</f>
        <v>&lt;ruby&gt;頑固&lt;rt&gt;がんこ&lt;/rt&gt;&lt;/ruby&gt;&lt;br&gt;&lt;div class="audio"&gt;[sound:がんこ.mp3]&lt;/div&gt;</v>
      </c>
      <c r="H4033" s="3" t="str">
        <f t="shared" si="1"/>
        <v>(adj): bướng bỉnh</v>
      </c>
      <c r="I4033" s="6" t="s">
        <v>22038</v>
      </c>
      <c r="J4033" s="6" t="s">
        <v>22039</v>
      </c>
      <c r="K4033" s="7">
        <f t="shared" si="2"/>
        <v>0.1554025363</v>
      </c>
    </row>
    <row r="4034">
      <c r="A4034" s="4">
        <v>4034.0</v>
      </c>
      <c r="B4034" s="5" t="s">
        <v>22040</v>
      </c>
      <c r="C4034" s="5" t="s">
        <v>22041</v>
      </c>
      <c r="D4034" s="5" t="s">
        <v>22042</v>
      </c>
      <c r="E4034" s="6" t="s">
        <v>74</v>
      </c>
      <c r="F4034" s="6" t="s">
        <v>22043</v>
      </c>
      <c r="G4034" s="3" t="str">
        <f>IFERROR(__xludf.DUMMYFUNCTION("REGEXREPLACE(
D4034,
""([一-龯々]+)\[([^\]]+)\]"",
""&lt;ruby&gt;$1&lt;rt&gt;$2&lt;/rt&gt;&lt;/ruby&gt;""
)&amp;""&lt;br&gt;&lt;div class=""""audio""""&gt;[sound:""&amp;C4034&amp;"".mp3]&lt;/div&gt;"""),"&lt;ruby&gt;高原&lt;rt&gt;こうげん&lt;/rt&gt;&lt;/ruby&gt;&lt;br&gt;&lt;div class=""audio""&gt;[sound:こうげん.mp3]&lt;/div&gt;")</f>
        <v>&lt;ruby&gt;高原&lt;rt&gt;こうげん&lt;/rt&gt;&lt;/ruby&gt;&lt;br&gt;&lt;div class="audio"&gt;[sound:こうげん.mp3]&lt;/div&gt;</v>
      </c>
      <c r="H4034" s="3" t="str">
        <f t="shared" si="1"/>
        <v>(n): cao nguyên</v>
      </c>
      <c r="I4034" s="6" t="s">
        <v>22044</v>
      </c>
      <c r="J4034" s="6" t="s">
        <v>22045</v>
      </c>
      <c r="K4034" s="7">
        <f t="shared" si="2"/>
        <v>0.9964573896</v>
      </c>
    </row>
    <row r="4035">
      <c r="A4035" s="4">
        <v>4035.0</v>
      </c>
      <c r="B4035" s="5" t="s">
        <v>22046</v>
      </c>
      <c r="C4035" s="5" t="s">
        <v>22046</v>
      </c>
      <c r="D4035" s="5" t="s">
        <v>22046</v>
      </c>
      <c r="E4035" s="6" t="s">
        <v>85</v>
      </c>
      <c r="F4035" s="6" t="s">
        <v>22047</v>
      </c>
      <c r="G4035" s="3" t="str">
        <f>IFERROR(__xludf.DUMMYFUNCTION("REGEXREPLACE(
D4035,
""([一-龯々]+)\[([^\]]+)\]"",
""&lt;ruby&gt;$1&lt;rt&gt;$2&lt;/rt&gt;&lt;/ruby&gt;""
)&amp;""&lt;br&gt;&lt;div class=""""audio""""&gt;[sound:""&amp;C4035&amp;"".mp3]&lt;/div&gt;"""),"うんざり&lt;br&gt;&lt;div class=""audio""&gt;[sound:うんざり.mp3]&lt;/div&gt;")</f>
        <v>うんざり&lt;br&gt;&lt;div class="audio"&gt;[sound:うんざり.mp3]&lt;/div&gt;</v>
      </c>
      <c r="H4035" s="3" t="str">
        <f t="shared" si="1"/>
        <v>(adv): chán ngấy</v>
      </c>
      <c r="I4035" s="6" t="s">
        <v>22048</v>
      </c>
      <c r="J4035" s="6" t="s">
        <v>22049</v>
      </c>
      <c r="K4035" s="7">
        <f t="shared" si="2"/>
        <v>0.2615034431</v>
      </c>
    </row>
    <row r="4036">
      <c r="A4036" s="4">
        <v>4036.0</v>
      </c>
      <c r="B4036" s="5" t="s">
        <v>22050</v>
      </c>
      <c r="C4036" s="5" t="s">
        <v>22050</v>
      </c>
      <c r="D4036" s="5" t="s">
        <v>22050</v>
      </c>
      <c r="E4036" s="6" t="s">
        <v>11</v>
      </c>
      <c r="F4036" s="6" t="s">
        <v>22051</v>
      </c>
      <c r="G4036" s="3" t="str">
        <f>IFERROR(__xludf.DUMMYFUNCTION("REGEXREPLACE(
D4036,
""([一-龯々]+)\[([^\]]+)\]"",
""&lt;ruby&gt;$1&lt;rt&gt;$2&lt;/rt&gt;&lt;/ruby&gt;""
)&amp;""&lt;br&gt;&lt;div class=""""audio""""&gt;[sound:""&amp;C4036&amp;"".mp3]&lt;/div&gt;"""),"おおげさ&lt;br&gt;&lt;div class=""audio""&gt;[sound:おおげさ.mp3]&lt;/div&gt;")</f>
        <v>おおげさ&lt;br&gt;&lt;div class="audio"&gt;[sound:おおげさ.mp3]&lt;/div&gt;</v>
      </c>
      <c r="H4036" s="3" t="str">
        <f t="shared" si="1"/>
        <v>(adj): phóng đại</v>
      </c>
      <c r="I4036" s="6" t="s">
        <v>22052</v>
      </c>
      <c r="J4036" s="6" t="s">
        <v>22053</v>
      </c>
      <c r="K4036" s="7">
        <f t="shared" si="2"/>
        <v>0.6642506763</v>
      </c>
    </row>
    <row r="4037">
      <c r="A4037" s="4">
        <v>4037.0</v>
      </c>
      <c r="B4037" s="5" t="s">
        <v>22054</v>
      </c>
      <c r="C4037" s="5" t="s">
        <v>22054</v>
      </c>
      <c r="D4037" s="5" t="s">
        <v>22054</v>
      </c>
      <c r="E4037" s="6" t="s">
        <v>85</v>
      </c>
      <c r="F4037" s="6" t="s">
        <v>22055</v>
      </c>
      <c r="G4037" s="3" t="str">
        <f>IFERROR(__xludf.DUMMYFUNCTION("REGEXREPLACE(
D4037,
""([一-龯々]+)\[([^\]]+)\]"",
""&lt;ruby&gt;$1&lt;rt&gt;$2&lt;/rt&gt;&lt;/ruby&gt;""
)&amp;""&lt;br&gt;&lt;div class=""""audio""""&gt;[sound:""&amp;C4037&amp;"".mp3]&lt;/div&gt;"""),"きっぱり&lt;br&gt;&lt;div class=""audio""&gt;[sound:きっぱり.mp3]&lt;/div&gt;")</f>
        <v>きっぱり&lt;br&gt;&lt;div class="audio"&gt;[sound:きっぱり.mp3]&lt;/div&gt;</v>
      </c>
      <c r="H4037" s="3" t="str">
        <f t="shared" si="1"/>
        <v>(adv): dứt khoát</v>
      </c>
      <c r="I4037" s="6" t="s">
        <v>22056</v>
      </c>
      <c r="J4037" s="6" t="s">
        <v>22057</v>
      </c>
      <c r="K4037" s="7">
        <f t="shared" si="2"/>
        <v>0.291315381</v>
      </c>
    </row>
    <row r="4038">
      <c r="A4038" s="4">
        <v>4038.0</v>
      </c>
      <c r="B4038" s="5" t="s">
        <v>22058</v>
      </c>
      <c r="C4038" s="5" t="s">
        <v>22059</v>
      </c>
      <c r="D4038" s="5" t="s">
        <v>22058</v>
      </c>
      <c r="E4038" s="6" t="s">
        <v>74</v>
      </c>
      <c r="F4038" s="6" t="s">
        <v>22060</v>
      </c>
      <c r="G4038" s="3" t="str">
        <f>IFERROR(__xludf.DUMMYFUNCTION("REGEXREPLACE(
D4038,
""([一-龯々]+)\[([^\]]+)\]"",
""&lt;ruby&gt;$1&lt;rt&gt;$2&lt;/rt&gt;&lt;/ruby&gt;""
)&amp;""&lt;br&gt;&lt;div class=""""audio""""&gt;[sound:""&amp;C4038&amp;"".mp3]&lt;/div&gt;"""),"スト&lt;br&gt;&lt;div class=""audio""&gt;[sound:すと.mp3]&lt;/div&gt;")</f>
        <v>スト&lt;br&gt;&lt;div class="audio"&gt;[sound:すと.mp3]&lt;/div&gt;</v>
      </c>
      <c r="H4038" s="3" t="str">
        <f t="shared" si="1"/>
        <v>(n): đình công</v>
      </c>
      <c r="I4038" s="6" t="s">
        <v>22061</v>
      </c>
      <c r="J4038" s="6" t="s">
        <v>22062</v>
      </c>
      <c r="K4038" s="7">
        <f t="shared" si="2"/>
        <v>0.1836837186</v>
      </c>
    </row>
    <row r="4039">
      <c r="A4039" s="4">
        <v>4039.0</v>
      </c>
      <c r="B4039" s="5" t="s">
        <v>22063</v>
      </c>
      <c r="C4039" s="5" t="s">
        <v>22064</v>
      </c>
      <c r="D4039" s="5" t="s">
        <v>22063</v>
      </c>
      <c r="E4039" s="6" t="s">
        <v>74</v>
      </c>
      <c r="F4039" s="6" t="s">
        <v>22060</v>
      </c>
      <c r="G4039" s="3" t="str">
        <f>IFERROR(__xludf.DUMMYFUNCTION("REGEXREPLACE(
D4039,
""([一-龯々]+)\[([^\]]+)\]"",
""&lt;ruby&gt;$1&lt;rt&gt;$2&lt;/rt&gt;&lt;/ruby&gt;""
)&amp;""&lt;br&gt;&lt;div class=""""audio""""&gt;[sound:""&amp;C4039&amp;"".mp3]&lt;/div&gt;"""),"ストライキ&lt;br&gt;&lt;div class=""audio""&gt;[sound:すとらいき.mp3]&lt;/div&gt;")</f>
        <v>ストライキ&lt;br&gt;&lt;div class="audio"&gt;[sound:すとらいき.mp3]&lt;/div&gt;</v>
      </c>
      <c r="H4039" s="3" t="str">
        <f t="shared" si="1"/>
        <v>(n): đình công</v>
      </c>
      <c r="I4039" s="6" t="s">
        <v>22065</v>
      </c>
      <c r="J4039" s="6" t="s">
        <v>22066</v>
      </c>
      <c r="K4039" s="7">
        <f t="shared" si="2"/>
        <v>0.1581540831</v>
      </c>
    </row>
    <row r="4040">
      <c r="A4040" s="4">
        <v>4040.0</v>
      </c>
      <c r="B4040" s="5" t="s">
        <v>22067</v>
      </c>
      <c r="C4040" s="5" t="s">
        <v>22068</v>
      </c>
      <c r="D4040" s="5" t="s">
        <v>22067</v>
      </c>
      <c r="E4040" s="6" t="s">
        <v>74</v>
      </c>
      <c r="F4040" s="6" t="s">
        <v>22069</v>
      </c>
      <c r="G4040" s="3" t="str">
        <f>IFERROR(__xludf.DUMMYFUNCTION("REGEXREPLACE(
D4040,
""([一-龯々]+)\[([^\]]+)\]"",
""&lt;ruby&gt;$1&lt;rt&gt;$2&lt;/rt&gt;&lt;/ruby&gt;""
)&amp;""&lt;br&gt;&lt;div class=""""audio""""&gt;[sound:""&amp;C4040&amp;"".mp3]&lt;/div&gt;"""),"ドリル&lt;br&gt;&lt;div class=""audio""&gt;[sound:どりる.mp3]&lt;/div&gt;")</f>
        <v>ドリル&lt;br&gt;&lt;div class="audio"&gt;[sound:どりる.mp3]&lt;/div&gt;</v>
      </c>
      <c r="H4040" s="3" t="str">
        <f t="shared" si="1"/>
        <v>(n): máy khoan</v>
      </c>
      <c r="I4040" s="6" t="s">
        <v>22070</v>
      </c>
      <c r="J4040" s="6" t="s">
        <v>22071</v>
      </c>
      <c r="K4040" s="7">
        <f t="shared" si="2"/>
        <v>0.9144741992</v>
      </c>
    </row>
    <row r="4041">
      <c r="A4041" s="4">
        <v>4041.0</v>
      </c>
      <c r="B4041" s="5" t="s">
        <v>22072</v>
      </c>
      <c r="C4041" s="5" t="s">
        <v>22073</v>
      </c>
      <c r="D4041" s="5" t="s">
        <v>22072</v>
      </c>
      <c r="E4041" s="6" t="s">
        <v>74</v>
      </c>
      <c r="F4041" s="6" t="s">
        <v>22074</v>
      </c>
      <c r="G4041" s="3" t="str">
        <f>IFERROR(__xludf.DUMMYFUNCTION("REGEXREPLACE(
D4041,
""([一-龯々]+)\[([^\]]+)\]"",
""&lt;ruby&gt;$1&lt;rt&gt;$2&lt;/rt&gt;&lt;/ruby&gt;""
)&amp;""&lt;br&gt;&lt;div class=""""audio""""&gt;[sound:""&amp;C4041&amp;"".mp3]&lt;/div&gt;"""),"ポット&lt;br&gt;&lt;div class=""audio""&gt;[sound:ぽっと.mp3]&lt;/div&gt;")</f>
        <v>ポット&lt;br&gt;&lt;div class="audio"&gt;[sound:ぽっと.mp3]&lt;/div&gt;</v>
      </c>
      <c r="H4041" s="3" t="str">
        <f t="shared" si="1"/>
        <v>(n): bình thủy</v>
      </c>
      <c r="I4041" s="6" t="s">
        <v>22075</v>
      </c>
      <c r="J4041" s="6" t="s">
        <v>22076</v>
      </c>
      <c r="K4041" s="7">
        <f t="shared" si="2"/>
        <v>0.1472095996</v>
      </c>
    </row>
    <row r="4042">
      <c r="A4042" s="4">
        <v>4042.0</v>
      </c>
      <c r="B4042" s="5" t="s">
        <v>22077</v>
      </c>
      <c r="C4042" s="5" t="s">
        <v>22077</v>
      </c>
      <c r="D4042" s="5" t="s">
        <v>22077</v>
      </c>
      <c r="E4042" s="6" t="s">
        <v>85</v>
      </c>
      <c r="F4042" s="6" t="s">
        <v>22078</v>
      </c>
      <c r="G4042" s="3" t="str">
        <f>IFERROR(__xludf.DUMMYFUNCTION("REGEXREPLACE(
D4042,
""([一-龯々]+)\[([^\]]+)\]"",
""&lt;ruby&gt;$1&lt;rt&gt;$2&lt;/rt&gt;&lt;/ruby&gt;""
)&amp;""&lt;br&gt;&lt;div class=""""audio""""&gt;[sound:""&amp;C4042&amp;"".mp3]&lt;/div&gt;"""),"まして&lt;br&gt;&lt;div class=""audio""&gt;[sound:まして.mp3]&lt;/div&gt;")</f>
        <v>まして&lt;br&gt;&lt;div class="audio"&gt;[sound:まして.mp3]&lt;/div&gt;</v>
      </c>
      <c r="H4042" s="3" t="str">
        <f t="shared" si="1"/>
        <v>(adv): huống chi</v>
      </c>
      <c r="I4042" s="6" t="s">
        <v>22079</v>
      </c>
      <c r="J4042" s="6" t="s">
        <v>22080</v>
      </c>
      <c r="K4042" s="7">
        <f t="shared" si="2"/>
        <v>0.0004990114943</v>
      </c>
    </row>
    <row r="4043">
      <c r="A4043" s="4">
        <v>4043.0</v>
      </c>
      <c r="B4043" s="5" t="s">
        <v>22081</v>
      </c>
      <c r="C4043" s="5" t="s">
        <v>22082</v>
      </c>
      <c r="D4043" s="5" t="s">
        <v>22083</v>
      </c>
      <c r="E4043" s="6" t="s">
        <v>74</v>
      </c>
      <c r="F4043" s="6" t="s">
        <v>17633</v>
      </c>
      <c r="G4043" s="3" t="str">
        <f>IFERROR(__xludf.DUMMYFUNCTION("REGEXREPLACE(
D4043,
""([一-龯々]+)\[([^\]]+)\]"",
""&lt;ruby&gt;$1&lt;rt&gt;$2&lt;/rt&gt;&lt;/ruby&gt;""
)&amp;""&lt;br&gt;&lt;div class=""""audio""""&gt;[sound:""&amp;C4043&amp;"".mp3]&lt;/div&gt;"""),"&lt;ruby&gt;一律&lt;rt&gt;いちりつ&lt;/rt&gt;&lt;/ruby&gt;&lt;br&gt;&lt;div class=""audio""&gt;[sound:いちりつ.mp3]&lt;/div&gt;")</f>
        <v>&lt;ruby&gt;一律&lt;rt&gt;いちりつ&lt;/rt&gt;&lt;/ruby&gt;&lt;br&gt;&lt;div class="audio"&gt;[sound:いちりつ.mp3]&lt;/div&gt;</v>
      </c>
      <c r="H4043" s="3" t="str">
        <f t="shared" si="1"/>
        <v>(n): đồng loạt</v>
      </c>
      <c r="I4043" s="6" t="s">
        <v>22084</v>
      </c>
      <c r="J4043" s="6" t="s">
        <v>22085</v>
      </c>
      <c r="K4043" s="7">
        <f t="shared" si="2"/>
        <v>0.1247465547</v>
      </c>
    </row>
    <row r="4044">
      <c r="A4044" s="4">
        <v>4044.0</v>
      </c>
      <c r="B4044" s="5" t="s">
        <v>22086</v>
      </c>
      <c r="C4044" s="5" t="s">
        <v>22087</v>
      </c>
      <c r="D4044" s="5" t="s">
        <v>22088</v>
      </c>
      <c r="E4044" s="6" t="s">
        <v>24</v>
      </c>
      <c r="F4044" s="6" t="s">
        <v>22089</v>
      </c>
      <c r="G4044" s="3" t="str">
        <f>IFERROR(__xludf.DUMMYFUNCTION("REGEXREPLACE(
D4044,
""([一-龯々]+)\[([^\]]+)\]"",
""&lt;ruby&gt;$1&lt;rt&gt;$2&lt;/rt&gt;&lt;/ruby&gt;""
)&amp;""&lt;br&gt;&lt;div class=""""audio""""&gt;[sound:""&amp;C4044&amp;"".mp3]&lt;/div&gt;"""),"&lt;ruby&gt;上演&lt;rt&gt;じょうえん&lt;/rt&gt;&lt;/ruby&gt;&lt;br&gt;&lt;div class=""audio""&gt;[sound:じょうえん.mp3]&lt;/div&gt;")</f>
        <v>&lt;ruby&gt;上演&lt;rt&gt;じょうえん&lt;/rt&gt;&lt;/ruby&gt;&lt;br&gt;&lt;div class="audio"&gt;[sound:じょうえん.mp3]&lt;/div&gt;</v>
      </c>
      <c r="H4044" s="3" t="str">
        <f t="shared" si="1"/>
        <v>(v): công diễn</v>
      </c>
      <c r="I4044" s="6" t="s">
        <v>22090</v>
      </c>
      <c r="J4044" s="6" t="s">
        <v>22091</v>
      </c>
      <c r="K4044" s="7">
        <f t="shared" si="2"/>
        <v>0.4958302449</v>
      </c>
    </row>
    <row r="4045">
      <c r="A4045" s="4">
        <v>4045.0</v>
      </c>
      <c r="B4045" s="5" t="s">
        <v>22092</v>
      </c>
      <c r="C4045" s="5" t="s">
        <v>22093</v>
      </c>
      <c r="D4045" s="5" t="s">
        <v>22094</v>
      </c>
      <c r="E4045" s="6" t="s">
        <v>74</v>
      </c>
      <c r="F4045" s="6" t="s">
        <v>22095</v>
      </c>
      <c r="G4045" s="3" t="str">
        <f>IFERROR(__xludf.DUMMYFUNCTION("REGEXREPLACE(
D4045,
""([一-龯々]+)\[([^\]]+)\]"",
""&lt;ruby&gt;$1&lt;rt&gt;$2&lt;/rt&gt;&lt;/ruby&gt;""
)&amp;""&lt;br&gt;&lt;div class=""""audio""""&gt;[sound:""&amp;C4045&amp;"".mp3]&lt;/div&gt;"""),"&lt;ruby&gt;不調&lt;rt&gt;ふちょう&lt;/rt&gt;&lt;/ruby&gt;&lt;br&gt;&lt;div class=""audio""&gt;[sound:ふちょう.mp3]&lt;/div&gt;")</f>
        <v>&lt;ruby&gt;不調&lt;rt&gt;ふちょう&lt;/rt&gt;&lt;/ruby&gt;&lt;br&gt;&lt;div class="audio"&gt;[sound:ふちょう.mp3]&lt;/div&gt;</v>
      </c>
      <c r="H4045" s="3" t="str">
        <f t="shared" si="1"/>
        <v>(n): trục trặc</v>
      </c>
      <c r="I4045" s="6" t="s">
        <v>22096</v>
      </c>
      <c r="J4045" s="6" t="s">
        <v>22097</v>
      </c>
      <c r="K4045" s="7">
        <f t="shared" si="2"/>
        <v>0.2032428091</v>
      </c>
    </row>
    <row r="4046">
      <c r="A4046" s="4">
        <v>4046.0</v>
      </c>
      <c r="B4046" s="5" t="s">
        <v>22098</v>
      </c>
      <c r="C4046" s="5" t="s">
        <v>22099</v>
      </c>
      <c r="D4046" s="5" t="s">
        <v>22100</v>
      </c>
      <c r="E4046" s="6" t="s">
        <v>74</v>
      </c>
      <c r="F4046" s="6" t="s">
        <v>22101</v>
      </c>
      <c r="G4046" s="3" t="str">
        <f>IFERROR(__xludf.DUMMYFUNCTION("REGEXREPLACE(
D4046,
""([一-龯々]+)\[([^\]]+)\]"",
""&lt;ruby&gt;$1&lt;rt&gt;$2&lt;/rt&gt;&lt;/ruby&gt;""
)&amp;""&lt;br&gt;&lt;div class=""""audio""""&gt;[sound:""&amp;C4046&amp;"".mp3]&lt;/div&gt;"""),"&lt;ruby&gt;中毒&lt;rt&gt;ちゅうどく&lt;/rt&gt;&lt;/ruby&gt;&lt;br&gt;&lt;div class=""audio""&gt;[sound:ちゅうどく.mp3]&lt;/div&gt;")</f>
        <v>&lt;ruby&gt;中毒&lt;rt&gt;ちゅうどく&lt;/rt&gt;&lt;/ruby&gt;&lt;br&gt;&lt;div class="audio"&gt;[sound:ちゅうどく.mp3]&lt;/div&gt;</v>
      </c>
      <c r="H4046" s="3" t="str">
        <f t="shared" si="1"/>
        <v>(n): trúng độc</v>
      </c>
      <c r="I4046" s="6" t="s">
        <v>22102</v>
      </c>
      <c r="J4046" s="6" t="s">
        <v>22103</v>
      </c>
      <c r="K4046" s="7">
        <f t="shared" si="2"/>
        <v>0.7857114605</v>
      </c>
    </row>
    <row r="4047">
      <c r="A4047" s="4">
        <v>4047.0</v>
      </c>
      <c r="B4047" s="5" t="s">
        <v>22104</v>
      </c>
      <c r="C4047" s="5" t="s">
        <v>22105</v>
      </c>
      <c r="D4047" s="5" t="s">
        <v>22106</v>
      </c>
      <c r="E4047" s="6" t="s">
        <v>24</v>
      </c>
      <c r="F4047" s="6" t="s">
        <v>22107</v>
      </c>
      <c r="G4047" s="3" t="str">
        <f>IFERROR(__xludf.DUMMYFUNCTION("REGEXREPLACE(
D4047,
""([一-龯々]+)\[([^\]]+)\]"",
""&lt;ruby&gt;$1&lt;rt&gt;$2&lt;/rt&gt;&lt;/ruby&gt;""
)&amp;""&lt;br&gt;&lt;div class=""""audio""""&gt;[sound:""&amp;C4047&amp;"".mp3]&lt;/div&gt;"""),"&lt;ruby&gt;丸&lt;rt&gt;まる&lt;/rt&gt;&lt;/ruby&gt;める&lt;br&gt;&lt;div class=""audio""&gt;[sound:まるめる.mp3]&lt;/div&gt;")</f>
        <v>&lt;ruby&gt;丸&lt;rt&gt;まる&lt;/rt&gt;&lt;/ruby&gt;める&lt;br&gt;&lt;div class="audio"&gt;[sound:まるめる.mp3]&lt;/div&gt;</v>
      </c>
      <c r="H4047" s="3" t="str">
        <f t="shared" si="1"/>
        <v>(v): cuộn tròn</v>
      </c>
      <c r="I4047" s="6" t="s">
        <v>22108</v>
      </c>
      <c r="J4047" s="6" t="s">
        <v>22109</v>
      </c>
      <c r="K4047" s="7">
        <f t="shared" si="2"/>
        <v>0.3911984863</v>
      </c>
    </row>
    <row r="4048">
      <c r="A4048" s="4">
        <v>4048.0</v>
      </c>
      <c r="B4048" s="5" t="s">
        <v>22110</v>
      </c>
      <c r="C4048" s="5" t="s">
        <v>22111</v>
      </c>
      <c r="D4048" s="5" t="s">
        <v>22112</v>
      </c>
      <c r="E4048" s="6" t="s">
        <v>74</v>
      </c>
      <c r="F4048" s="6" t="s">
        <v>22113</v>
      </c>
      <c r="G4048" s="3" t="str">
        <f>IFERROR(__xludf.DUMMYFUNCTION("REGEXREPLACE(
D4048,
""([一-龯々]+)\[([^\]]+)\]"",
""&lt;ruby&gt;$1&lt;rt&gt;$2&lt;/rt&gt;&lt;/ruby&gt;""
)&amp;""&lt;br&gt;&lt;div class=""""audio""""&gt;[sound:""&amp;C4048&amp;"".mp3]&lt;/div&gt;"""),"&lt;ruby&gt;主権&lt;rt&gt;しゅけん&lt;/rt&gt;&lt;/ruby&gt;&lt;br&gt;&lt;div class=""audio""&gt;[sound:しゅけん.mp3]&lt;/div&gt;")</f>
        <v>&lt;ruby&gt;主権&lt;rt&gt;しゅけん&lt;/rt&gt;&lt;/ruby&gt;&lt;br&gt;&lt;div class="audio"&gt;[sound:しゅけん.mp3]&lt;/div&gt;</v>
      </c>
      <c r="H4048" s="3" t="str">
        <f t="shared" si="1"/>
        <v>(n): chủ quyền</v>
      </c>
      <c r="I4048" s="6" t="s">
        <v>22114</v>
      </c>
      <c r="J4048" s="6" t="s">
        <v>22115</v>
      </c>
      <c r="K4048" s="7">
        <f t="shared" si="2"/>
        <v>0.8721470179</v>
      </c>
    </row>
    <row r="4049">
      <c r="A4049" s="4">
        <v>4049.0</v>
      </c>
      <c r="B4049" s="5" t="s">
        <v>22116</v>
      </c>
      <c r="C4049" s="5" t="s">
        <v>22117</v>
      </c>
      <c r="D4049" s="5" t="s">
        <v>22118</v>
      </c>
      <c r="E4049" s="6" t="s">
        <v>74</v>
      </c>
      <c r="F4049" s="6" t="s">
        <v>22119</v>
      </c>
      <c r="G4049" s="3" t="str">
        <f>IFERROR(__xludf.DUMMYFUNCTION("REGEXREPLACE(
D4049,
""([一-龯々]+)\[([^\]]+)\]"",
""&lt;ruby&gt;$1&lt;rt&gt;$2&lt;/rt&gt;&lt;/ruby&gt;""
)&amp;""&lt;br&gt;&lt;div class=""""audio""""&gt;[sound:""&amp;C4049&amp;"".mp3]&lt;/div&gt;"""),"&lt;ruby&gt;人格&lt;rt&gt;じんかく&lt;/rt&gt;&lt;/ruby&gt;&lt;br&gt;&lt;div class=""audio""&gt;[sound:じんかく.mp3]&lt;/div&gt;")</f>
        <v>&lt;ruby&gt;人格&lt;rt&gt;じんかく&lt;/rt&gt;&lt;/ruby&gt;&lt;br&gt;&lt;div class="audio"&gt;[sound:じんかく.mp3]&lt;/div&gt;</v>
      </c>
      <c r="H4049" s="3" t="str">
        <f t="shared" si="1"/>
        <v>(n): nhân cách</v>
      </c>
      <c r="I4049" s="6" t="s">
        <v>22120</v>
      </c>
      <c r="J4049" s="6" t="s">
        <v>22121</v>
      </c>
      <c r="K4049" s="7">
        <f t="shared" si="2"/>
        <v>0.9056879942</v>
      </c>
    </row>
    <row r="4050">
      <c r="A4050" s="4">
        <v>4050.0</v>
      </c>
      <c r="B4050" s="5" t="s">
        <v>22122</v>
      </c>
      <c r="C4050" s="5" t="s">
        <v>22123</v>
      </c>
      <c r="D4050" s="5" t="s">
        <v>22124</v>
      </c>
      <c r="E4050" s="6" t="s">
        <v>24</v>
      </c>
      <c r="F4050" s="6" t="s">
        <v>22125</v>
      </c>
      <c r="G4050" s="3" t="str">
        <f>IFERROR(__xludf.DUMMYFUNCTION("REGEXREPLACE(
D4050,
""([一-龯々]+)\[([^\]]+)\]"",
""&lt;ruby&gt;$1&lt;rt&gt;$2&lt;/rt&gt;&lt;/ruby&gt;""
)&amp;""&lt;br&gt;&lt;div class=""""audio""""&gt;[sound:""&amp;C4050&amp;"".mp3]&lt;/div&gt;"""),"&lt;ruby&gt;仕切&lt;rt&gt;しき&lt;/rt&gt;&lt;/ruby&gt;る&lt;br&gt;&lt;div class=""audio""&gt;[sound:しきる.mp3]&lt;/div&gt;")</f>
        <v>&lt;ruby&gt;仕切&lt;rt&gt;しき&lt;/rt&gt;&lt;/ruby&gt;る&lt;br&gt;&lt;div class="audio"&gt;[sound:しきる.mp3]&lt;/div&gt;</v>
      </c>
      <c r="H4050" s="3" t="str">
        <f t="shared" si="1"/>
        <v>(v): phân chia</v>
      </c>
      <c r="I4050" s="6" t="s">
        <v>22126</v>
      </c>
      <c r="J4050" s="6" t="s">
        <v>22127</v>
      </c>
      <c r="K4050" s="7">
        <f t="shared" si="2"/>
        <v>0.08909690862</v>
      </c>
    </row>
    <row r="4051">
      <c r="A4051" s="4">
        <v>4051.0</v>
      </c>
      <c r="B4051" s="5" t="s">
        <v>22128</v>
      </c>
      <c r="C4051" s="5" t="s">
        <v>22129</v>
      </c>
      <c r="D4051" s="5" t="s">
        <v>22130</v>
      </c>
      <c r="E4051" s="6" t="s">
        <v>74</v>
      </c>
      <c r="F4051" s="6" t="s">
        <v>22131</v>
      </c>
      <c r="G4051" s="3" t="str">
        <f>IFERROR(__xludf.DUMMYFUNCTION("REGEXREPLACE(
D4051,
""([一-龯々]+)\[([^\]]+)\]"",
""&lt;ruby&gt;$1&lt;rt&gt;$2&lt;/rt&gt;&lt;/ruby&gt;""
)&amp;""&lt;br&gt;&lt;div class=""""audio""""&gt;[sound:""&amp;C4051&amp;"".mp3]&lt;/div&gt;"""),"&lt;ruby&gt;余地&lt;rt&gt;よち&lt;/rt&gt;&lt;/ruby&gt;&lt;br&gt;&lt;div class=""audio""&gt;[sound:よち.mp3]&lt;/div&gt;")</f>
        <v>&lt;ruby&gt;余地&lt;rt&gt;よち&lt;/rt&gt;&lt;/ruby&gt;&lt;br&gt;&lt;div class="audio"&gt;[sound:よち.mp3]&lt;/div&gt;</v>
      </c>
      <c r="H4051" s="3" t="str">
        <f t="shared" si="1"/>
        <v>(n): chỗ trống</v>
      </c>
      <c r="I4051" s="6" t="s">
        <v>22132</v>
      </c>
      <c r="J4051" s="6" t="s">
        <v>22133</v>
      </c>
      <c r="K4051" s="7">
        <f t="shared" si="2"/>
        <v>0.3518403252</v>
      </c>
    </row>
    <row r="4052">
      <c r="A4052" s="4">
        <v>4052.0</v>
      </c>
      <c r="B4052" s="5" t="s">
        <v>22134</v>
      </c>
      <c r="C4052" s="5" t="s">
        <v>22135</v>
      </c>
      <c r="D4052" s="5" t="s">
        <v>22136</v>
      </c>
      <c r="E4052" s="6" t="s">
        <v>74</v>
      </c>
      <c r="F4052" s="6" t="s">
        <v>22137</v>
      </c>
      <c r="G4052" s="3" t="str">
        <f>IFERROR(__xludf.DUMMYFUNCTION("REGEXREPLACE(
D4052,
""([一-龯々]+)\[([^\]]+)\]"",
""&lt;ruby&gt;$1&lt;rt&gt;$2&lt;/rt&gt;&lt;/ruby&gt;""
)&amp;""&lt;br&gt;&lt;div class=""""audio""""&gt;[sound:""&amp;C4052&amp;"".mp3]&lt;/div&gt;"""),"&lt;ruby&gt;気象&lt;rt&gt;きしょう&lt;/rt&gt;&lt;/ruby&gt;&lt;br&gt;&lt;div class=""audio""&gt;[sound:きしょう.mp3]&lt;/div&gt;")</f>
        <v>&lt;ruby&gt;気象&lt;rt&gt;きしょう&lt;/rt&gt;&lt;/ruby&gt;&lt;br&gt;&lt;div class="audio"&gt;[sound:きしょう.mp3]&lt;/div&gt;</v>
      </c>
      <c r="H4052" s="3" t="str">
        <f t="shared" si="1"/>
        <v>(n): khí tượng</v>
      </c>
      <c r="I4052" s="6" t="s">
        <v>22138</v>
      </c>
      <c r="J4052" s="6" t="s">
        <v>22139</v>
      </c>
      <c r="K4052" s="7">
        <f t="shared" si="2"/>
        <v>0.8996903527</v>
      </c>
    </row>
    <row r="4053">
      <c r="A4053" s="4">
        <v>4053.0</v>
      </c>
      <c r="B4053" s="5" t="s">
        <v>22140</v>
      </c>
      <c r="C4053" s="5" t="s">
        <v>22141</v>
      </c>
      <c r="D4053" s="5" t="s">
        <v>22142</v>
      </c>
      <c r="E4053" s="6" t="s">
        <v>11</v>
      </c>
      <c r="F4053" s="6" t="s">
        <v>12186</v>
      </c>
      <c r="G4053" s="3" t="str">
        <f>IFERROR(__xludf.DUMMYFUNCTION("REGEXREPLACE(
D4053,
""([一-龯々]+)\[([^\]]+)\]"",
""&lt;ruby&gt;$1&lt;rt&gt;$2&lt;/rt&gt;&lt;/ruby&gt;""
)&amp;""&lt;br&gt;&lt;div class=""""audio""""&gt;[sound:""&amp;C4053&amp;"".mp3]&lt;/div&gt;"""),"&lt;ruby&gt;気軽&lt;rt&gt;きがる&lt;/rt&gt;&lt;/ruby&gt;&lt;br&gt;&lt;div class=""audio""&gt;[sound:きがる.mp3]&lt;/div&gt;")</f>
        <v>&lt;ruby&gt;気軽&lt;rt&gt;きがる&lt;/rt&gt;&lt;/ruby&gt;&lt;br&gt;&lt;div class="audio"&gt;[sound:きがる.mp3]&lt;/div&gt;</v>
      </c>
      <c r="H4053" s="3" t="str">
        <f t="shared" si="1"/>
        <v>(adj): thoải mái</v>
      </c>
      <c r="I4053" s="6" t="s">
        <v>22143</v>
      </c>
      <c r="J4053" s="6" t="s">
        <v>22144</v>
      </c>
      <c r="K4053" s="7">
        <f t="shared" si="2"/>
        <v>0.9515090052</v>
      </c>
    </row>
    <row r="4054">
      <c r="A4054" s="4">
        <v>4054.0</v>
      </c>
      <c r="B4054" s="5" t="s">
        <v>22145</v>
      </c>
      <c r="C4054" s="5" t="s">
        <v>22146</v>
      </c>
      <c r="D4054" s="5" t="s">
        <v>22147</v>
      </c>
      <c r="E4054" s="6" t="s">
        <v>74</v>
      </c>
      <c r="F4054" s="6" t="s">
        <v>22148</v>
      </c>
      <c r="G4054" s="3" t="str">
        <f>IFERROR(__xludf.DUMMYFUNCTION("REGEXREPLACE(
D4054,
""([一-龯々]+)\[([^\]]+)\]"",
""&lt;ruby&gt;$1&lt;rt&gt;$2&lt;/rt&gt;&lt;/ruby&gt;""
)&amp;""&lt;br&gt;&lt;div class=""""audio""""&gt;[sound:""&amp;C4054&amp;"".mp3]&lt;/div&gt;"""),"&lt;ruby&gt;河川&lt;rt&gt;かせん&lt;/rt&gt;&lt;/ruby&gt;&lt;br&gt;&lt;div class=""audio""&gt;[sound:かせん.mp3]&lt;/div&gt;")</f>
        <v>&lt;ruby&gt;河川&lt;rt&gt;かせん&lt;/rt&gt;&lt;/ruby&gt;&lt;br&gt;&lt;div class="audio"&gt;[sound:かせん.mp3]&lt;/div&gt;</v>
      </c>
      <c r="H4054" s="3" t="str">
        <f t="shared" si="1"/>
        <v>(n): sông ngòi</v>
      </c>
      <c r="I4054" s="6" t="s">
        <v>22149</v>
      </c>
      <c r="J4054" s="6" t="s">
        <v>22150</v>
      </c>
      <c r="K4054" s="7">
        <f t="shared" si="2"/>
        <v>0.002903199979</v>
      </c>
    </row>
    <row r="4055">
      <c r="A4055" s="4">
        <v>4055.0</v>
      </c>
      <c r="B4055" s="5" t="s">
        <v>22151</v>
      </c>
      <c r="C4055" s="5" t="s">
        <v>22152</v>
      </c>
      <c r="D4055" s="5" t="s">
        <v>22153</v>
      </c>
      <c r="E4055" s="6" t="s">
        <v>74</v>
      </c>
      <c r="F4055" s="6" t="s">
        <v>22154</v>
      </c>
      <c r="G4055" s="3" t="str">
        <f>IFERROR(__xludf.DUMMYFUNCTION("REGEXREPLACE(
D4055,
""([一-龯々]+)\[([^\]]+)\]"",
""&lt;ruby&gt;$1&lt;rt&gt;$2&lt;/rt&gt;&lt;/ruby&gt;""
)&amp;""&lt;br&gt;&lt;div class=""""audio""""&gt;[sound:""&amp;C4055&amp;"".mp3]&lt;/div&gt;"""),"&lt;ruby&gt;沿岸&lt;rt&gt;えんがん&lt;/rt&gt;&lt;/ruby&gt;&lt;br&gt;&lt;div class=""audio""&gt;[sound:えんがん.mp3]&lt;/div&gt;")</f>
        <v>&lt;ruby&gt;沿岸&lt;rt&gt;えんがん&lt;/rt&gt;&lt;/ruby&gt;&lt;br&gt;&lt;div class="audio"&gt;[sound:えんがん.mp3]&lt;/div&gt;</v>
      </c>
      <c r="H4055" s="3" t="str">
        <f t="shared" si="1"/>
        <v>(n): duyên hải</v>
      </c>
      <c r="I4055" s="6" t="s">
        <v>22155</v>
      </c>
      <c r="J4055" s="6" t="s">
        <v>22156</v>
      </c>
      <c r="K4055" s="7">
        <f t="shared" si="2"/>
        <v>0.4617561797</v>
      </c>
    </row>
    <row r="4056">
      <c r="A4056" s="4">
        <v>4056.0</v>
      </c>
      <c r="B4056" s="5" t="s">
        <v>22157</v>
      </c>
      <c r="C4056" s="5" t="s">
        <v>22158</v>
      </c>
      <c r="D4056" s="5" t="s">
        <v>22159</v>
      </c>
      <c r="E4056" s="6" t="s">
        <v>74</v>
      </c>
      <c r="F4056" s="6" t="s">
        <v>22160</v>
      </c>
      <c r="G4056" s="3" t="str">
        <f>IFERROR(__xludf.DUMMYFUNCTION("REGEXREPLACE(
D4056,
""([一-龯々]+)\[([^\]]+)\]"",
""&lt;ruby&gt;$1&lt;rt&gt;$2&lt;/rt&gt;&lt;/ruby&gt;""
)&amp;""&lt;br&gt;&lt;div class=""""audio""""&gt;[sound:""&amp;C4056&amp;"".mp3]&lt;/div&gt;"""),"&lt;ruby&gt;源&lt;rt&gt;みなもと&lt;/rt&gt;&lt;/ruby&gt;&lt;br&gt;&lt;div class=""audio""&gt;[sound:みなもと.mp3]&lt;/div&gt;")</f>
        <v>&lt;ruby&gt;源&lt;rt&gt;みなもと&lt;/rt&gt;&lt;/ruby&gt;&lt;br&gt;&lt;div class="audio"&gt;[sound:みなもと.mp3]&lt;/div&gt;</v>
      </c>
      <c r="H4056" s="3" t="str">
        <f t="shared" si="1"/>
        <v>(n): nguồn gốc</v>
      </c>
      <c r="I4056" s="6" t="s">
        <v>22161</v>
      </c>
      <c r="J4056" s="6" t="s">
        <v>22162</v>
      </c>
      <c r="K4056" s="7">
        <f t="shared" si="2"/>
        <v>0.5134181784</v>
      </c>
    </row>
    <row r="4057">
      <c r="A4057" s="4">
        <v>4057.0</v>
      </c>
      <c r="B4057" s="5" t="s">
        <v>22163</v>
      </c>
      <c r="C4057" s="5" t="s">
        <v>22164</v>
      </c>
      <c r="D4057" s="5" t="s">
        <v>22165</v>
      </c>
      <c r="E4057" s="6" t="s">
        <v>24</v>
      </c>
      <c r="F4057" s="6" t="s">
        <v>22166</v>
      </c>
      <c r="G4057" s="3" t="str">
        <f>IFERROR(__xludf.DUMMYFUNCTION("REGEXREPLACE(
D4057,
""([一-龯々]+)\[([^\]]+)\]"",
""&lt;ruby&gt;$1&lt;rt&gt;$2&lt;/rt&gt;&lt;/ruby&gt;""
)&amp;""&lt;br&gt;&lt;div class=""""audio""""&gt;[sound:""&amp;C4057&amp;"".mp3]&lt;/div&gt;"""),"&lt;ruby&gt;縮&lt;rt&gt;ちぢ&lt;/rt&gt;&lt;/ruby&gt;まる&lt;br&gt;&lt;div class=""audio""&gt;[sound:ちぢまる.mp3]&lt;/div&gt;")</f>
        <v>&lt;ruby&gt;縮&lt;rt&gt;ちぢ&lt;/rt&gt;&lt;/ruby&gt;まる&lt;br&gt;&lt;div class="audio"&gt;[sound:ちぢまる.mp3]&lt;/div&gt;</v>
      </c>
      <c r="H4057" s="3" t="str">
        <f t="shared" si="1"/>
        <v>(v): bị co lại</v>
      </c>
      <c r="I4057" s="6" t="s">
        <v>22167</v>
      </c>
      <c r="J4057" s="6" t="s">
        <v>22168</v>
      </c>
      <c r="K4057" s="7">
        <f t="shared" si="2"/>
        <v>0.5938684399</v>
      </c>
    </row>
    <row r="4058">
      <c r="A4058" s="4">
        <v>4058.0</v>
      </c>
      <c r="B4058" s="5" t="s">
        <v>22169</v>
      </c>
      <c r="C4058" s="5" t="s">
        <v>22170</v>
      </c>
      <c r="D4058" s="5" t="s">
        <v>22171</v>
      </c>
      <c r="E4058" s="6" t="s">
        <v>74</v>
      </c>
      <c r="F4058" s="6" t="s">
        <v>22172</v>
      </c>
      <c r="G4058" s="3" t="str">
        <f>IFERROR(__xludf.DUMMYFUNCTION("REGEXREPLACE(
D4058,
""([一-龯々]+)\[([^\]]+)\]"",
""&lt;ruby&gt;$1&lt;rt&gt;$2&lt;/rt&gt;&lt;/ruby&gt;""
)&amp;""&lt;br&gt;&lt;div class=""""audio""""&gt;[sound:""&amp;C4058&amp;"".mp3]&lt;/div&gt;"""),"&lt;ruby&gt;養護&lt;rt&gt;ようご&lt;/rt&gt;&lt;/ruby&gt;&lt;br&gt;&lt;div class=""audio""&gt;[sound:ようご.mp3]&lt;/div&gt;")</f>
        <v>&lt;ruby&gt;養護&lt;rt&gt;ようご&lt;/rt&gt;&lt;/ruby&gt;&lt;br&gt;&lt;div class="audio"&gt;[sound:ようご.mp3]&lt;/div&gt;</v>
      </c>
      <c r="H4058" s="3" t="str">
        <f t="shared" si="1"/>
        <v>(n): sự bảo vệ</v>
      </c>
      <c r="I4058" s="6" t="s">
        <v>22173</v>
      </c>
      <c r="J4058" s="6" t="s">
        <v>22174</v>
      </c>
      <c r="K4058" s="7">
        <f t="shared" si="2"/>
        <v>0.2776608353</v>
      </c>
    </row>
    <row r="4059">
      <c r="A4059" s="4">
        <v>4059.0</v>
      </c>
      <c r="B4059" s="5" t="s">
        <v>22175</v>
      </c>
      <c r="C4059" s="5" t="s">
        <v>22175</v>
      </c>
      <c r="D4059" s="5" t="s">
        <v>22175</v>
      </c>
      <c r="E4059" s="6" t="s">
        <v>74</v>
      </c>
      <c r="F4059" s="6" t="s">
        <v>22176</v>
      </c>
      <c r="G4059" s="3" t="str">
        <f>IFERROR(__xludf.DUMMYFUNCTION("REGEXREPLACE(
D4059,
""([一-龯々]+)\[([^\]]+)\]"",
""&lt;ruby&gt;$1&lt;rt&gt;$2&lt;/rt&gt;&lt;/ruby&gt;""
)&amp;""&lt;br&gt;&lt;div class=""""audio""""&gt;[sound:""&amp;C4059&amp;"".mp3]&lt;/div&gt;"""),"こたつ&lt;br&gt;&lt;div class=""audio""&gt;[sound:こたつ.mp3]&lt;/div&gt;")</f>
        <v>こたつ&lt;br&gt;&lt;div class="audio"&gt;[sound:こたつ.mp3]&lt;/div&gt;</v>
      </c>
      <c r="H4059" s="3" t="str">
        <f t="shared" si="1"/>
        <v>(n): bàn sưởi</v>
      </c>
      <c r="I4059" s="6" t="s">
        <v>22177</v>
      </c>
      <c r="J4059" s="6" t="s">
        <v>22178</v>
      </c>
      <c r="K4059" s="7">
        <f t="shared" si="2"/>
        <v>0.3100172618</v>
      </c>
    </row>
    <row r="4060">
      <c r="A4060" s="4">
        <v>4060.0</v>
      </c>
      <c r="B4060" s="5" t="s">
        <v>22179</v>
      </c>
      <c r="C4060" s="5" t="s">
        <v>22179</v>
      </c>
      <c r="D4060" s="5" t="s">
        <v>22179</v>
      </c>
      <c r="E4060" s="6" t="s">
        <v>24</v>
      </c>
      <c r="F4060" s="6" t="s">
        <v>22180</v>
      </c>
      <c r="G4060" s="3" t="str">
        <f>IFERROR(__xludf.DUMMYFUNCTION("REGEXREPLACE(
D4060,
""([一-龯々]+)\[([^\]]+)\]"",
""&lt;ruby&gt;$1&lt;rt&gt;$2&lt;/rt&gt;&lt;/ruby&gt;""
)&amp;""&lt;br&gt;&lt;div class=""""audio""""&gt;[sound:""&amp;C4060&amp;"".mp3]&lt;/div&gt;"""),"そらす&lt;br&gt;&lt;div class=""audio""&gt;[sound:そらす.mp3]&lt;/div&gt;")</f>
        <v>そらす&lt;br&gt;&lt;div class="audio"&gt;[sound:そらす.mp3]&lt;/div&gt;</v>
      </c>
      <c r="H4060" s="3" t="str">
        <f t="shared" si="1"/>
        <v>(v): né tránh</v>
      </c>
      <c r="I4060" s="6" t="s">
        <v>22181</v>
      </c>
      <c r="J4060" s="6" t="s">
        <v>22182</v>
      </c>
      <c r="K4060" s="7">
        <f t="shared" si="2"/>
        <v>0.8311626655</v>
      </c>
    </row>
    <row r="4061">
      <c r="A4061" s="4">
        <v>4061.0</v>
      </c>
      <c r="B4061" s="5" t="s">
        <v>22183</v>
      </c>
      <c r="C4061" s="5" t="s">
        <v>22184</v>
      </c>
      <c r="D4061" s="5" t="s">
        <v>22183</v>
      </c>
      <c r="E4061" s="6" t="s">
        <v>11</v>
      </c>
      <c r="F4061" s="6" t="s">
        <v>22185</v>
      </c>
      <c r="G4061" s="3" t="str">
        <f>IFERROR(__xludf.DUMMYFUNCTION("REGEXREPLACE(
D4061,
""([一-龯々]+)\[([^\]]+)\]"",
""&lt;ruby&gt;$1&lt;rt&gt;$2&lt;/rt&gt;&lt;/ruby&gt;""
)&amp;""&lt;br&gt;&lt;div class=""""audio""""&gt;[sound:""&amp;C4061&amp;"".mp3]&lt;/div&gt;"""),"ドライ&lt;br&gt;&lt;div class=""audio""&gt;[sound:どらい.mp3]&lt;/div&gt;")</f>
        <v>ドライ&lt;br&gt;&lt;div class="audio"&gt;[sound:どらい.mp3]&lt;/div&gt;</v>
      </c>
      <c r="H4061" s="3" t="str">
        <f t="shared" si="1"/>
        <v>(adj): khô khan</v>
      </c>
      <c r="I4061" s="6" t="s">
        <v>22186</v>
      </c>
      <c r="J4061" s="6" t="s">
        <v>22187</v>
      </c>
      <c r="K4061" s="7">
        <f t="shared" si="2"/>
        <v>0.7250678736</v>
      </c>
    </row>
    <row r="4062">
      <c r="A4062" s="4">
        <v>4062.0</v>
      </c>
      <c r="B4062" s="5" t="s">
        <v>22188</v>
      </c>
      <c r="C4062" s="5" t="s">
        <v>22189</v>
      </c>
      <c r="D4062" s="5" t="s">
        <v>22190</v>
      </c>
      <c r="E4062" s="6" t="s">
        <v>74</v>
      </c>
      <c r="F4062" s="6" t="s">
        <v>19554</v>
      </c>
      <c r="G4062" s="3" t="str">
        <f>IFERROR(__xludf.DUMMYFUNCTION("REGEXREPLACE(
D4062,
""([一-龯々]+)\[([^\]]+)\]"",
""&lt;ruby&gt;$1&lt;rt&gt;$2&lt;/rt&gt;&lt;/ruby&gt;""
)&amp;""&lt;br&gt;&lt;div class=""""audio""""&gt;[sound:""&amp;C4062&amp;"".mp3]&lt;/div&gt;"""),"&lt;ruby&gt;一目&lt;rt&gt;ひとめ&lt;/rt&gt;&lt;/ruby&gt;&lt;br&gt;&lt;div class=""audio""&gt;[sound:ひとめ.mp3]&lt;/div&gt;")</f>
        <v>&lt;ruby&gt;一目&lt;rt&gt;ひとめ&lt;/rt&gt;&lt;/ruby&gt;&lt;br&gt;&lt;div class="audio"&gt;[sound:ひとめ.mp3]&lt;/div&gt;</v>
      </c>
      <c r="H4062" s="3" t="str">
        <f t="shared" si="1"/>
        <v>(n): nhìn qua</v>
      </c>
      <c r="I4062" s="6" t="s">
        <v>22191</v>
      </c>
      <c r="J4062" s="6" t="s">
        <v>22192</v>
      </c>
      <c r="K4062" s="7">
        <f t="shared" si="2"/>
        <v>0.2954509872</v>
      </c>
    </row>
    <row r="4063">
      <c r="A4063" s="4">
        <v>4063.0</v>
      </c>
      <c r="B4063" s="5" t="s">
        <v>22193</v>
      </c>
      <c r="C4063" s="5" t="s">
        <v>22194</v>
      </c>
      <c r="D4063" s="5" t="s">
        <v>22195</v>
      </c>
      <c r="E4063" s="6" t="s">
        <v>74</v>
      </c>
      <c r="F4063" s="6" t="s">
        <v>22196</v>
      </c>
      <c r="G4063" s="3" t="str">
        <f>IFERROR(__xludf.DUMMYFUNCTION("REGEXREPLACE(
D4063,
""([一-龯々]+)\[([^\]]+)\]"",
""&lt;ruby&gt;$1&lt;rt&gt;$2&lt;/rt&gt;&lt;/ruby&gt;""
)&amp;""&lt;br&gt;&lt;div class=""""audio""""&gt;[sound:""&amp;C4063&amp;"".mp3]&lt;/div&gt;"""),"&lt;ruby&gt;不在&lt;rt&gt;ふざい&lt;/rt&gt;&lt;/ruby&gt;&lt;br&gt;&lt;div class=""audio""&gt;[sound:ふざい.mp3]&lt;/div&gt;")</f>
        <v>&lt;ruby&gt;不在&lt;rt&gt;ふざい&lt;/rt&gt;&lt;/ruby&gt;&lt;br&gt;&lt;div class="audio"&gt;[sound:ふざい.mp3]&lt;/div&gt;</v>
      </c>
      <c r="H4063" s="3" t="str">
        <f t="shared" si="1"/>
        <v>(n): vắng mặt</v>
      </c>
      <c r="I4063" s="6" t="s">
        <v>22197</v>
      </c>
      <c r="J4063" s="6" t="s">
        <v>22198</v>
      </c>
      <c r="K4063" s="7">
        <f t="shared" si="2"/>
        <v>0.816249009</v>
      </c>
    </row>
    <row r="4064">
      <c r="A4064" s="4">
        <v>4064.0</v>
      </c>
      <c r="B4064" s="5" t="s">
        <v>22199</v>
      </c>
      <c r="C4064" s="5" t="s">
        <v>22200</v>
      </c>
      <c r="D4064" s="5" t="s">
        <v>22201</v>
      </c>
      <c r="E4064" s="6" t="s">
        <v>11</v>
      </c>
      <c r="F4064" s="6" t="s">
        <v>22202</v>
      </c>
      <c r="G4064" s="3" t="str">
        <f>IFERROR(__xludf.DUMMYFUNCTION("REGEXREPLACE(
D4064,
""([一-龯々]+)\[([^\]]+)\]"",
""&lt;ruby&gt;$1&lt;rt&gt;$2&lt;/rt&gt;&lt;/ruby&gt;""
)&amp;""&lt;br&gt;&lt;div class=""""audio""""&gt;[sound:""&amp;C4064&amp;"".mp3]&lt;/div&gt;"""),"&lt;ruby&gt;不当&lt;rt&gt;ふとう&lt;/rt&gt;&lt;/ruby&gt;&lt;br&gt;&lt;div class=""audio""&gt;[sound:ふとう.mp3]&lt;/div&gt;")</f>
        <v>&lt;ruby&gt;不当&lt;rt&gt;ふとう&lt;/rt&gt;&lt;/ruby&gt;&lt;br&gt;&lt;div class="audio"&gt;[sound:ふとう.mp3]&lt;/div&gt;</v>
      </c>
      <c r="H4064" s="3" t="str">
        <f t="shared" si="1"/>
        <v>(adj): bất công</v>
      </c>
      <c r="I4064" s="6" t="s">
        <v>22203</v>
      </c>
      <c r="J4064" s="6" t="s">
        <v>22204</v>
      </c>
      <c r="K4064" s="7">
        <f t="shared" si="2"/>
        <v>0.9427384319</v>
      </c>
    </row>
    <row r="4065">
      <c r="A4065" s="4">
        <v>4065.0</v>
      </c>
      <c r="B4065" s="5" t="s">
        <v>22205</v>
      </c>
      <c r="C4065" s="5" t="s">
        <v>22206</v>
      </c>
      <c r="D4065" s="5" t="s">
        <v>22207</v>
      </c>
      <c r="E4065" s="6" t="s">
        <v>24</v>
      </c>
      <c r="F4065" s="6" t="s">
        <v>22208</v>
      </c>
      <c r="G4065" s="3" t="str">
        <f>IFERROR(__xludf.DUMMYFUNCTION("REGEXREPLACE(
D4065,
""([一-龯々]+)\[([^\]]+)\]"",
""&lt;ruby&gt;$1&lt;rt&gt;$2&lt;/rt&gt;&lt;/ruby&gt;""
)&amp;""&lt;br&gt;&lt;div class=""""audio""""&gt;[sound:""&amp;C4065&amp;"".mp3]&lt;/div&gt;"""),"&lt;ruby&gt;乱&lt;rt&gt;みだ&lt;/rt&gt;&lt;/ruby&gt;す&lt;br&gt;&lt;div class=""audio""&gt;[sound:みだす.mp3]&lt;/div&gt;")</f>
        <v>&lt;ruby&gt;乱&lt;rt&gt;みだ&lt;/rt&gt;&lt;/ruby&gt;す&lt;br&gt;&lt;div class="audio"&gt;[sound:みだす.mp3]&lt;/div&gt;</v>
      </c>
      <c r="H4065" s="3" t="str">
        <f t="shared" si="1"/>
        <v>(v): làm loạn</v>
      </c>
      <c r="I4065" s="6" t="s">
        <v>22209</v>
      </c>
      <c r="J4065" s="6" t="s">
        <v>22210</v>
      </c>
      <c r="K4065" s="7">
        <f t="shared" si="2"/>
        <v>0.2873661315</v>
      </c>
    </row>
    <row r="4066">
      <c r="A4066" s="4">
        <v>4066.0</v>
      </c>
      <c r="B4066" s="5" t="s">
        <v>22211</v>
      </c>
      <c r="C4066" s="5" t="s">
        <v>22212</v>
      </c>
      <c r="D4066" s="5" t="s">
        <v>22213</v>
      </c>
      <c r="E4066" s="6" t="s">
        <v>74</v>
      </c>
      <c r="F4066" s="6" t="s">
        <v>22214</v>
      </c>
      <c r="G4066" s="3" t="str">
        <f>IFERROR(__xludf.DUMMYFUNCTION("REGEXREPLACE(
D4066,
""([一-龯々]+)\[([^\]]+)\]"",
""&lt;ruby&gt;$1&lt;rt&gt;$2&lt;/rt&gt;&lt;/ruby&gt;""
)&amp;""&lt;br&gt;&lt;div class=""""audio""""&gt;[sound:""&amp;C4066&amp;"".mp3]&lt;/div&gt;"""),"&lt;ruby&gt;人民&lt;rt&gt;じんみん&lt;/rt&gt;&lt;/ruby&gt;&lt;br&gt;&lt;div class=""audio""&gt;[sound:じんみん.mp3]&lt;/div&gt;")</f>
        <v>&lt;ruby&gt;人民&lt;rt&gt;じんみん&lt;/rt&gt;&lt;/ruby&gt;&lt;br&gt;&lt;div class="audio"&gt;[sound:じんみん.mp3]&lt;/div&gt;</v>
      </c>
      <c r="H4066" s="3" t="str">
        <f t="shared" si="1"/>
        <v>(n): nhân dân</v>
      </c>
      <c r="I4066" s="6" t="s">
        <v>22215</v>
      </c>
      <c r="J4066" s="6" t="s">
        <v>22216</v>
      </c>
      <c r="K4066" s="7">
        <f t="shared" si="2"/>
        <v>0.8380390792</v>
      </c>
    </row>
    <row r="4067">
      <c r="A4067" s="4">
        <v>4067.0</v>
      </c>
      <c r="B4067" s="5" t="s">
        <v>22217</v>
      </c>
      <c r="C4067" s="5" t="s">
        <v>22218</v>
      </c>
      <c r="D4067" s="5" t="s">
        <v>22219</v>
      </c>
      <c r="E4067" s="6" t="s">
        <v>74</v>
      </c>
      <c r="F4067" s="6" t="s">
        <v>2128</v>
      </c>
      <c r="G4067" s="3" t="str">
        <f>IFERROR(__xludf.DUMMYFUNCTION("REGEXREPLACE(
D4067,
""([一-龯々]+)\[([^\]]+)\]"",
""&lt;ruby&gt;$1&lt;rt&gt;$2&lt;/rt&gt;&lt;/ruby&gt;""
)&amp;""&lt;br&gt;&lt;div class=""""audio""""&gt;[sound:""&amp;C4067&amp;"".mp3]&lt;/div&gt;"""),"&lt;ruby&gt;他方&lt;rt&gt;たほう&lt;/rt&gt;&lt;/ruby&gt;&lt;br&gt;&lt;div class=""audio""&gt;[sound:たほう.mp3]&lt;/div&gt;")</f>
        <v>&lt;ruby&gt;他方&lt;rt&gt;たほう&lt;/rt&gt;&lt;/ruby&gt;&lt;br&gt;&lt;div class="audio"&gt;[sound:たほう.mp3]&lt;/div&gt;</v>
      </c>
      <c r="H4067" s="3" t="str">
        <f t="shared" si="1"/>
        <v>(n): mặt khác</v>
      </c>
      <c r="I4067" s="6" t="s">
        <v>22220</v>
      </c>
      <c r="J4067" s="6" t="s">
        <v>22221</v>
      </c>
      <c r="K4067" s="7">
        <f t="shared" si="2"/>
        <v>0.7440441913</v>
      </c>
    </row>
    <row r="4068">
      <c r="A4068" s="4">
        <v>4068.0</v>
      </c>
      <c r="B4068" s="5" t="s">
        <v>22222</v>
      </c>
      <c r="C4068" s="5" t="s">
        <v>22223</v>
      </c>
      <c r="D4068" s="5" t="s">
        <v>22224</v>
      </c>
      <c r="E4068" s="6" t="s">
        <v>24</v>
      </c>
      <c r="F4068" s="6" t="s">
        <v>6934</v>
      </c>
      <c r="G4068" s="3" t="str">
        <f>IFERROR(__xludf.DUMMYFUNCTION("REGEXREPLACE(
D4068,
""([一-龯々]+)\[([^\]]+)\]"",
""&lt;ruby&gt;$1&lt;rt&gt;$2&lt;/rt&gt;&lt;/ruby&gt;""
)&amp;""&lt;br&gt;&lt;div class=""""audio""""&gt;[sound:""&amp;C4068&amp;"".mp3]&lt;/div&gt;"""),"&lt;ruby&gt;備&lt;rt&gt;そな&lt;/rt&gt;&lt;/ruby&gt;え&lt;ruby&gt;付&lt;rt&gt;つ&lt;/rt&gt;&lt;/ruby&gt;ける&lt;br&gt;&lt;div class=""audio""&gt;[sound:そなえつける.mp3]&lt;/div&gt;")</f>
        <v>&lt;ruby&gt;備&lt;rt&gt;そな&lt;/rt&gt;&lt;/ruby&gt;え&lt;ruby&gt;付&lt;rt&gt;つ&lt;/rt&gt;&lt;/ruby&gt;ける&lt;br&gt;&lt;div class="audio"&gt;[sound:そなえつける.mp3]&lt;/div&gt;</v>
      </c>
      <c r="H4068" s="3" t="str">
        <f t="shared" si="1"/>
        <v>(v): trang bị</v>
      </c>
      <c r="I4068" s="6" t="s">
        <v>22225</v>
      </c>
      <c r="J4068" s="6" t="s">
        <v>22226</v>
      </c>
      <c r="K4068" s="7">
        <f t="shared" si="2"/>
        <v>0.0933577901</v>
      </c>
    </row>
    <row r="4069">
      <c r="A4069" s="4">
        <v>4069.0</v>
      </c>
      <c r="B4069" s="5" t="s">
        <v>22227</v>
      </c>
      <c r="C4069" s="5" t="s">
        <v>22228</v>
      </c>
      <c r="D4069" s="5" t="s">
        <v>22229</v>
      </c>
      <c r="E4069" s="6" t="s">
        <v>24</v>
      </c>
      <c r="F4069" s="6" t="s">
        <v>22230</v>
      </c>
      <c r="G4069" s="3" t="str">
        <f>IFERROR(__xludf.DUMMYFUNCTION("REGEXREPLACE(
D4069,
""([一-龯々]+)\[([^\]]+)\]"",
""&lt;ruby&gt;$1&lt;rt&gt;$2&lt;/rt&gt;&lt;/ruby&gt;""
)&amp;""&lt;br&gt;&lt;div class=""""audio""""&gt;[sound:""&amp;C4069&amp;"".mp3]&lt;/div&gt;"""),"&lt;ruby&gt;添&lt;rt&gt;そ&lt;/rt&gt;&lt;/ruby&gt;える&lt;br&gt;&lt;div class=""audio""&gt;[sound:そえる.mp3]&lt;/div&gt;")</f>
        <v>&lt;ruby&gt;添&lt;rt&gt;そ&lt;/rt&gt;&lt;/ruby&gt;える&lt;br&gt;&lt;div class="audio"&gt;[sound:そえる.mp3]&lt;/div&gt;</v>
      </c>
      <c r="H4069" s="3" t="str">
        <f t="shared" si="1"/>
        <v>(v): kèm theo</v>
      </c>
      <c r="I4069" s="6" t="s">
        <v>22231</v>
      </c>
      <c r="J4069" s="6" t="s">
        <v>22232</v>
      </c>
      <c r="K4069" s="7">
        <f t="shared" si="2"/>
        <v>0.5123163428</v>
      </c>
    </row>
    <row r="4070">
      <c r="A4070" s="4">
        <v>4070.0</v>
      </c>
      <c r="B4070" s="5" t="s">
        <v>22233</v>
      </c>
      <c r="C4070" s="5" t="s">
        <v>22234</v>
      </c>
      <c r="D4070" s="5" t="s">
        <v>22235</v>
      </c>
      <c r="E4070" s="6" t="s">
        <v>24</v>
      </c>
      <c r="F4070" s="6" t="s">
        <v>22236</v>
      </c>
      <c r="G4070" s="3" t="str">
        <f>IFERROR(__xludf.DUMMYFUNCTION("REGEXREPLACE(
D4070,
""([一-龯々]+)\[([^\]]+)\]"",
""&lt;ruby&gt;$1&lt;rt&gt;$2&lt;/rt&gt;&lt;/ruby&gt;""
)&amp;""&lt;br&gt;&lt;div class=""""audio""""&gt;[sound:""&amp;C4070&amp;"".mp3]&lt;/div&gt;"""),"&lt;ruby&gt;漏&lt;rt&gt;も&lt;/rt&gt;&lt;/ruby&gt;れる&lt;br&gt;&lt;div class=""audio""&gt;[sound:もれる.mp3]&lt;/div&gt;")</f>
        <v>&lt;ruby&gt;漏&lt;rt&gt;も&lt;/rt&gt;&lt;/ruby&gt;れる&lt;br&gt;&lt;div class="audio"&gt;[sound:もれる.mp3]&lt;/div&gt;</v>
      </c>
      <c r="H4070" s="3" t="str">
        <f t="shared" si="1"/>
        <v>(v): bị rò rỉ</v>
      </c>
      <c r="I4070" s="6" t="s">
        <v>22237</v>
      </c>
      <c r="J4070" s="6" t="s">
        <v>22238</v>
      </c>
      <c r="K4070" s="7">
        <f t="shared" si="2"/>
        <v>0.8577900972</v>
      </c>
    </row>
    <row r="4071">
      <c r="A4071" s="4">
        <v>4071.0</v>
      </c>
      <c r="B4071" s="5" t="s">
        <v>22239</v>
      </c>
      <c r="C4071" s="5" t="s">
        <v>22240</v>
      </c>
      <c r="D4071" s="5" t="s">
        <v>22241</v>
      </c>
      <c r="E4071" s="6" t="s">
        <v>11</v>
      </c>
      <c r="F4071" s="6" t="s">
        <v>17524</v>
      </c>
      <c r="G4071" s="3" t="str">
        <f>IFERROR(__xludf.DUMMYFUNCTION("REGEXREPLACE(
D4071,
""([一-龯々]+)\[([^\]]+)\]"",
""&lt;ruby&gt;$1&lt;rt&gt;$2&lt;/rt&gt;&lt;/ruby&gt;""
)&amp;""&lt;br&gt;&lt;div class=""""audio""""&gt;[sound:""&amp;C4071&amp;"".mp3]&lt;/div&gt;"""),"&lt;ruby&gt;無意味&lt;rt&gt;むいみ&lt;/rt&gt;&lt;/ruby&gt;&lt;br&gt;&lt;div class=""audio""&gt;[sound:むいみ.mp3]&lt;/div&gt;")</f>
        <v>&lt;ruby&gt;無意味&lt;rt&gt;むいみ&lt;/rt&gt;&lt;/ruby&gt;&lt;br&gt;&lt;div class="audio"&gt;[sound:むいみ.mp3]&lt;/div&gt;</v>
      </c>
      <c r="H4071" s="3" t="str">
        <f t="shared" si="1"/>
        <v>(adj): vô nghĩa</v>
      </c>
      <c r="I4071" s="6" t="s">
        <v>22242</v>
      </c>
      <c r="J4071" s="6" t="s">
        <v>22243</v>
      </c>
      <c r="K4071" s="7">
        <f t="shared" si="2"/>
        <v>0.6280542364</v>
      </c>
    </row>
    <row r="4072">
      <c r="A4072" s="4">
        <v>4072.0</v>
      </c>
      <c r="B4072" s="5" t="s">
        <v>22244</v>
      </c>
      <c r="C4072" s="5" t="s">
        <v>22245</v>
      </c>
      <c r="D4072" s="5" t="s">
        <v>22246</v>
      </c>
      <c r="E4072" s="6" t="s">
        <v>74</v>
      </c>
      <c r="F4072" s="6" t="s">
        <v>22247</v>
      </c>
      <c r="G4072" s="3" t="str">
        <f>IFERROR(__xludf.DUMMYFUNCTION("REGEXREPLACE(
D4072,
""([一-龯々]+)\[([^\]]+)\]"",
""&lt;ruby&gt;$1&lt;rt&gt;$2&lt;/rt&gt;&lt;/ruby&gt;""
)&amp;""&lt;br&gt;&lt;div class=""""audio""""&gt;[sound:""&amp;C4072&amp;"".mp3]&lt;/div&gt;"""),"&lt;ruby&gt;無線&lt;rt&gt;むせん&lt;/rt&gt;&lt;/ruby&gt;&lt;br&gt;&lt;div class=""audio""&gt;[sound:むせん.mp3]&lt;/div&gt;")</f>
        <v>&lt;ruby&gt;無線&lt;rt&gt;むせん&lt;/rt&gt;&lt;/ruby&gt;&lt;br&gt;&lt;div class="audio"&gt;[sound:むせん.mp3]&lt;/div&gt;</v>
      </c>
      <c r="H4072" s="3" t="str">
        <f t="shared" si="1"/>
        <v>(n): vô tuyến</v>
      </c>
      <c r="I4072" s="6" t="s">
        <v>22248</v>
      </c>
      <c r="J4072" s="6" t="s">
        <v>22249</v>
      </c>
      <c r="K4072" s="7">
        <f t="shared" si="2"/>
        <v>0.319367221</v>
      </c>
    </row>
    <row r="4073">
      <c r="A4073" s="4">
        <v>4073.0</v>
      </c>
      <c r="B4073" s="5" t="s">
        <v>22250</v>
      </c>
      <c r="C4073" s="5" t="s">
        <v>22251</v>
      </c>
      <c r="D4073" s="5" t="s">
        <v>22252</v>
      </c>
      <c r="E4073" s="6" t="s">
        <v>24</v>
      </c>
      <c r="F4073" s="6" t="s">
        <v>4128</v>
      </c>
      <c r="G4073" s="3" t="str">
        <f>IFERROR(__xludf.DUMMYFUNCTION("REGEXREPLACE(
D4073,
""([一-龯々]+)\[([^\]]+)\]"",
""&lt;ruby&gt;$1&lt;rt&gt;$2&lt;/rt&gt;&lt;/ruby&gt;""
)&amp;""&lt;br&gt;&lt;div class=""""audio""""&gt;[sound:""&amp;C4073&amp;"".mp3]&lt;/div&gt;"""),"&lt;ruby&gt;目覚&lt;rt&gt;めざ&lt;/rt&gt;&lt;/ruby&gt;める&lt;br&gt;&lt;div class=""audio""&gt;[sound:めざめる.mp3]&lt;/div&gt;")</f>
        <v>&lt;ruby&gt;目覚&lt;rt&gt;めざ&lt;/rt&gt;&lt;/ruby&gt;める&lt;br&gt;&lt;div class="audio"&gt;[sound:めざめる.mp3]&lt;/div&gt;</v>
      </c>
      <c r="H4073" s="3" t="str">
        <f t="shared" si="1"/>
        <v>(v): thức dậy</v>
      </c>
      <c r="I4073" s="6" t="s">
        <v>22253</v>
      </c>
      <c r="J4073" s="6" t="s">
        <v>22254</v>
      </c>
      <c r="K4073" s="7">
        <f t="shared" si="2"/>
        <v>0.5957081728</v>
      </c>
    </row>
    <row r="4074">
      <c r="A4074" s="4">
        <v>4074.0</v>
      </c>
      <c r="B4074" s="5" t="s">
        <v>22255</v>
      </c>
      <c r="C4074" s="5" t="s">
        <v>22256</v>
      </c>
      <c r="D4074" s="5" t="s">
        <v>22257</v>
      </c>
      <c r="E4074" s="6" t="s">
        <v>74</v>
      </c>
      <c r="F4074" s="6" t="s">
        <v>22258</v>
      </c>
      <c r="G4074" s="3" t="str">
        <f>IFERROR(__xludf.DUMMYFUNCTION("REGEXREPLACE(
D4074,
""([一-龯々]+)\[([^\]]+)\]"",
""&lt;ruby&gt;$1&lt;rt&gt;$2&lt;/rt&gt;&lt;/ruby&gt;""
)&amp;""&lt;br&gt;&lt;div class=""""audio""""&gt;[sound:""&amp;C4074&amp;"".mp3]&lt;/div&gt;"""),"&lt;ruby&gt;諦&lt;rt&gt;あきら&lt;/rt&gt;&lt;/ruby&gt;め&lt;br&gt;&lt;div class=""audio""&gt;[sound:あきらめ.mp3]&lt;/div&gt;")</f>
        <v>&lt;ruby&gt;諦&lt;rt&gt;あきら&lt;/rt&gt;&lt;/ruby&gt;め&lt;br&gt;&lt;div class="audio"&gt;[sound:あきらめ.mp3]&lt;/div&gt;</v>
      </c>
      <c r="H4074" s="3" t="str">
        <f t="shared" si="1"/>
        <v>(n): sự từ bỏ</v>
      </c>
      <c r="I4074" s="6" t="s">
        <v>22259</v>
      </c>
      <c r="J4074" s="6" t="s">
        <v>22260</v>
      </c>
      <c r="K4074" s="7">
        <f t="shared" si="2"/>
        <v>0.136040063</v>
      </c>
    </row>
    <row r="4075">
      <c r="A4075" s="4">
        <v>4075.0</v>
      </c>
      <c r="B4075" s="5" t="s">
        <v>22261</v>
      </c>
      <c r="C4075" s="5" t="s">
        <v>22262</v>
      </c>
      <c r="D4075" s="5" t="s">
        <v>22263</v>
      </c>
      <c r="E4075" s="6" t="s">
        <v>24</v>
      </c>
      <c r="F4075" s="6" t="s">
        <v>22264</v>
      </c>
      <c r="G4075" s="3" t="str">
        <f>IFERROR(__xludf.DUMMYFUNCTION("REGEXREPLACE(
D4075,
""([一-龯々]+)\[([^\]]+)\]"",
""&lt;ruby&gt;$1&lt;rt&gt;$2&lt;/rt&gt;&lt;/ruby&gt;""
)&amp;""&lt;br&gt;&lt;div class=""""audio""""&gt;[sound:""&amp;C4075&amp;"".mp3]&lt;/div&gt;"""),"&lt;ruby&gt;費&lt;rt&gt;つい&lt;/rt&gt;&lt;/ruby&gt;やす&lt;br&gt;&lt;div class=""audio""&gt;[sound:ついやす.mp3]&lt;/div&gt;")</f>
        <v>&lt;ruby&gt;費&lt;rt&gt;つい&lt;/rt&gt;&lt;/ruby&gt;やす&lt;br&gt;&lt;div class="audio"&gt;[sound:ついやす.mp3]&lt;/div&gt;</v>
      </c>
      <c r="H4075" s="3" t="str">
        <f t="shared" si="1"/>
        <v>(v): tiêu tốn</v>
      </c>
      <c r="I4075" s="6" t="s">
        <v>22265</v>
      </c>
      <c r="J4075" s="6" t="s">
        <v>22266</v>
      </c>
      <c r="K4075" s="7">
        <f t="shared" si="2"/>
        <v>0.7711611581</v>
      </c>
    </row>
    <row r="4076">
      <c r="A4076" s="4">
        <v>4076.0</v>
      </c>
      <c r="B4076" s="5" t="s">
        <v>22267</v>
      </c>
      <c r="C4076" s="5" t="s">
        <v>22268</v>
      </c>
      <c r="D4076" s="5" t="s">
        <v>22269</v>
      </c>
      <c r="E4076" s="6" t="s">
        <v>24</v>
      </c>
      <c r="F4076" s="6" t="s">
        <v>22270</v>
      </c>
      <c r="G4076" s="3" t="str">
        <f>IFERROR(__xludf.DUMMYFUNCTION("REGEXREPLACE(
D4076,
""([一-龯々]+)\[([^\]]+)\]"",
""&lt;ruby&gt;$1&lt;rt&gt;$2&lt;/rt&gt;&lt;/ruby&gt;""
)&amp;""&lt;br&gt;&lt;div class=""""audio""""&gt;[sound:""&amp;C4076&amp;"".mp3]&lt;/div&gt;"""),"&lt;ruby&gt;踏&lt;rt&gt;ふ&lt;/rt&gt;&lt;/ruby&gt;み&lt;ruby&gt;込&lt;rt&gt;こ&lt;/rt&gt;&lt;/ruby&gt;む&lt;br&gt;&lt;div class=""audio""&gt;[sound:ふみこむ.mp3]&lt;/div&gt;")</f>
        <v>&lt;ruby&gt;踏&lt;rt&gt;ふ&lt;/rt&gt;&lt;/ruby&gt;み&lt;ruby&gt;込&lt;rt&gt;こ&lt;/rt&gt;&lt;/ruby&gt;む&lt;br&gt;&lt;div class="audio"&gt;[sound:ふみこむ.mp3]&lt;/div&gt;</v>
      </c>
      <c r="H4076" s="3" t="str">
        <f t="shared" si="1"/>
        <v>(v): bước vào</v>
      </c>
      <c r="I4076" s="6" t="s">
        <v>22271</v>
      </c>
      <c r="J4076" s="6" t="s">
        <v>22272</v>
      </c>
      <c r="K4076" s="7">
        <f t="shared" si="2"/>
        <v>0.8492014678</v>
      </c>
    </row>
    <row r="4077">
      <c r="A4077" s="4">
        <v>4077.0</v>
      </c>
      <c r="B4077" s="5" t="s">
        <v>22273</v>
      </c>
      <c r="C4077" s="5" t="s">
        <v>22274</v>
      </c>
      <c r="D4077" s="5" t="s">
        <v>22275</v>
      </c>
      <c r="E4077" s="6" t="s">
        <v>24</v>
      </c>
      <c r="F4077" s="6" t="s">
        <v>19766</v>
      </c>
      <c r="G4077" s="3" t="str">
        <f>IFERROR(__xludf.DUMMYFUNCTION("REGEXREPLACE(
D4077,
""([一-龯々]+)\[([^\]]+)\]"",
""&lt;ruby&gt;$1&lt;rt&gt;$2&lt;/rt&gt;&lt;/ruby&gt;""
)&amp;""&lt;br&gt;&lt;div class=""""audio""""&gt;[sound:""&amp;C4077&amp;"".mp3]&lt;/div&gt;"""),"&lt;ruby&gt;遮&lt;rt&gt;さえぎ&lt;/rt&gt;&lt;/ruby&gt;る&lt;br&gt;&lt;div class=""audio""&gt;[sound:さえぎる.mp3]&lt;/div&gt;")</f>
        <v>&lt;ruby&gt;遮&lt;rt&gt;さえぎ&lt;/rt&gt;&lt;/ruby&gt;る&lt;br&gt;&lt;div class="audio"&gt;[sound:さえぎる.mp3]&lt;/div&gt;</v>
      </c>
      <c r="H4077" s="3" t="str">
        <f t="shared" si="1"/>
        <v>(v): ngăn cản</v>
      </c>
      <c r="I4077" s="6" t="s">
        <v>22276</v>
      </c>
      <c r="J4077" s="6" t="s">
        <v>22277</v>
      </c>
      <c r="K4077" s="7">
        <f t="shared" si="2"/>
        <v>0.6778965118</v>
      </c>
    </row>
    <row r="4078">
      <c r="A4078" s="4">
        <v>4078.0</v>
      </c>
      <c r="B4078" s="5" t="s">
        <v>22278</v>
      </c>
      <c r="C4078" s="5" t="s">
        <v>22278</v>
      </c>
      <c r="D4078" s="5" t="s">
        <v>22278</v>
      </c>
      <c r="E4078" s="6" t="s">
        <v>24</v>
      </c>
      <c r="F4078" s="6" t="s">
        <v>22279</v>
      </c>
      <c r="G4078" s="3" t="str">
        <f>IFERROR(__xludf.DUMMYFUNCTION("REGEXREPLACE(
D4078,
""([一-龯々]+)\[([^\]]+)\]"",
""&lt;ruby&gt;$1&lt;rt&gt;$2&lt;/rt&gt;&lt;/ruby&gt;""
)&amp;""&lt;br&gt;&lt;div class=""""audio""""&gt;[sound:""&amp;C4078&amp;"".mp3]&lt;/div&gt;"""),"うつむく&lt;br&gt;&lt;div class=""audio""&gt;[sound:うつむく.mp3]&lt;/div&gt;")</f>
        <v>うつむく&lt;br&gt;&lt;div class="audio"&gt;[sound:うつむく.mp3]&lt;/div&gt;</v>
      </c>
      <c r="H4078" s="3" t="str">
        <f t="shared" si="1"/>
        <v>(v): cúi mặt</v>
      </c>
      <c r="I4078" s="6" t="s">
        <v>22280</v>
      </c>
      <c r="J4078" s="6" t="s">
        <v>22281</v>
      </c>
      <c r="K4078" s="7">
        <f t="shared" si="2"/>
        <v>0.7966051453</v>
      </c>
    </row>
    <row r="4079">
      <c r="A4079" s="4">
        <v>4079.0</v>
      </c>
      <c r="B4079" s="5" t="s">
        <v>22282</v>
      </c>
      <c r="C4079" s="5" t="s">
        <v>22283</v>
      </c>
      <c r="D4079" s="5" t="s">
        <v>22282</v>
      </c>
      <c r="E4079" s="6" t="s">
        <v>74</v>
      </c>
      <c r="F4079" s="6" t="s">
        <v>22284</v>
      </c>
      <c r="G4079" s="3" t="str">
        <f>IFERROR(__xludf.DUMMYFUNCTION("REGEXREPLACE(
D4079,
""([一-龯々]+)\[([^\]]+)\]"",
""&lt;ruby&gt;$1&lt;rt&gt;$2&lt;/rt&gt;&lt;/ruby&gt;""
)&amp;""&lt;br&gt;&lt;div class=""""audio""""&gt;[sound:""&amp;C4079&amp;"".mp3]&lt;/div&gt;"""),"クレーン&lt;br&gt;&lt;div class=""audio""&gt;[sound:くれーん.mp3]&lt;/div&gt;")</f>
        <v>クレーン&lt;br&gt;&lt;div class="audio"&gt;[sound:くれーん.mp3]&lt;/div&gt;</v>
      </c>
      <c r="H4079" s="3" t="str">
        <f t="shared" si="1"/>
        <v>(n): cần cẩu</v>
      </c>
      <c r="I4079" s="6" t="s">
        <v>22285</v>
      </c>
      <c r="J4079" s="6" t="s">
        <v>22286</v>
      </c>
      <c r="K4079" s="7">
        <f t="shared" si="2"/>
        <v>0.1839533411</v>
      </c>
    </row>
    <row r="4080">
      <c r="A4080" s="4">
        <v>4080.0</v>
      </c>
      <c r="B4080" s="5" t="s">
        <v>22287</v>
      </c>
      <c r="C4080" s="5" t="s">
        <v>22288</v>
      </c>
      <c r="D4080" s="5" t="s">
        <v>22287</v>
      </c>
      <c r="E4080" s="6" t="s">
        <v>74</v>
      </c>
      <c r="F4080" s="6" t="s">
        <v>22289</v>
      </c>
      <c r="G4080" s="3" t="str">
        <f>IFERROR(__xludf.DUMMYFUNCTION("REGEXREPLACE(
D4080,
""([一-龯々]+)\[([^\]]+)\]"",
""&lt;ruby&gt;$1&lt;rt&gt;$2&lt;/rt&gt;&lt;/ruby&gt;""
)&amp;""&lt;br&gt;&lt;div class=""""audio""""&gt;[sound:""&amp;C4080&amp;"".mp3]&lt;/div&gt;"""),"ストロー&lt;br&gt;&lt;div class=""audio""&gt;[sound:すとろー.mp3]&lt;/div&gt;")</f>
        <v>ストロー&lt;br&gt;&lt;div class="audio"&gt;[sound:すとろー.mp3]&lt;/div&gt;</v>
      </c>
      <c r="H4080" s="3" t="str">
        <f t="shared" si="1"/>
        <v>(n): ống hút</v>
      </c>
      <c r="I4080" s="6" t="s">
        <v>22290</v>
      </c>
      <c r="J4080" s="6" t="s">
        <v>22291</v>
      </c>
      <c r="K4080" s="7">
        <f t="shared" si="2"/>
        <v>0.7435850367</v>
      </c>
    </row>
    <row r="4081">
      <c r="A4081" s="4">
        <v>4081.0</v>
      </c>
      <c r="B4081" s="5" t="s">
        <v>22292</v>
      </c>
      <c r="C4081" s="5" t="s">
        <v>22292</v>
      </c>
      <c r="D4081" s="5" t="s">
        <v>22292</v>
      </c>
      <c r="E4081" s="6" t="s">
        <v>85</v>
      </c>
      <c r="F4081" s="6" t="s">
        <v>22293</v>
      </c>
      <c r="G4081" s="3" t="str">
        <f>IFERROR(__xludf.DUMMYFUNCTION("REGEXREPLACE(
D4081,
""([一-龯々]+)\[([^\]]+)\]"",
""&lt;ruby&gt;$1&lt;rt&gt;$2&lt;/rt&gt;&lt;/ruby&gt;""
)&amp;""&lt;br&gt;&lt;div class=""""audio""""&gt;[sound:""&amp;C4081&amp;"".mp3]&lt;/div&gt;"""),"つくづく&lt;br&gt;&lt;div class=""audio""&gt;[sound:つくづく.mp3]&lt;/div&gt;")</f>
        <v>つくづく&lt;br&gt;&lt;div class="audio"&gt;[sound:つくづく.mp3]&lt;/div&gt;</v>
      </c>
      <c r="H4081" s="3" t="str">
        <f t="shared" si="1"/>
        <v>(adv): thật sự</v>
      </c>
      <c r="I4081" s="6" t="s">
        <v>22294</v>
      </c>
      <c r="J4081" s="6" t="s">
        <v>22295</v>
      </c>
      <c r="K4081" s="7">
        <f t="shared" si="2"/>
        <v>0.4182434829</v>
      </c>
    </row>
    <row r="4082">
      <c r="A4082" s="4">
        <v>4082.0</v>
      </c>
      <c r="B4082" s="5" t="s">
        <v>22296</v>
      </c>
      <c r="C4082" s="5" t="s">
        <v>22296</v>
      </c>
      <c r="D4082" s="5" t="s">
        <v>22296</v>
      </c>
      <c r="E4082" s="6" t="s">
        <v>85</v>
      </c>
      <c r="F4082" s="6" t="s">
        <v>506</v>
      </c>
      <c r="G4082" s="3" t="str">
        <f>IFERROR(__xludf.DUMMYFUNCTION("REGEXREPLACE(
D4082,
""([一-龯々]+)\[([^\]]+)\]"",
""&lt;ruby&gt;$1&lt;rt&gt;$2&lt;/rt&gt;&lt;/ruby&gt;""
)&amp;""&lt;br&gt;&lt;div class=""""audio""""&gt;[sound:""&amp;C4082&amp;"".mp3]&lt;/div&gt;"""),"なおさら&lt;br&gt;&lt;div class=""audio""&gt;[sound:なおさら.mp3]&lt;/div&gt;")</f>
        <v>なおさら&lt;br&gt;&lt;div class="audio"&gt;[sound:なおさら.mp3]&lt;/div&gt;</v>
      </c>
      <c r="H4082" s="3" t="str">
        <f t="shared" si="1"/>
        <v>(adv): hơn nữa</v>
      </c>
      <c r="I4082" s="6" t="s">
        <v>22297</v>
      </c>
      <c r="J4082" s="6" t="s">
        <v>22298</v>
      </c>
      <c r="K4082" s="7">
        <f t="shared" si="2"/>
        <v>0.1313684414</v>
      </c>
    </row>
    <row r="4083">
      <c r="A4083" s="4">
        <v>4083.0</v>
      </c>
      <c r="B4083" s="5" t="s">
        <v>22299</v>
      </c>
      <c r="C4083" s="5" t="s">
        <v>22300</v>
      </c>
      <c r="D4083" s="5" t="s">
        <v>22299</v>
      </c>
      <c r="E4083" s="6" t="s">
        <v>74</v>
      </c>
      <c r="F4083" s="6" t="s">
        <v>22301</v>
      </c>
      <c r="G4083" s="3" t="str">
        <f>IFERROR(__xludf.DUMMYFUNCTION("REGEXREPLACE(
D4083,
""([一-龯々]+)\[([^\]]+)\]"",
""&lt;ruby&gt;$1&lt;rt&gt;$2&lt;/rt&gt;&lt;/ruby&gt;""
)&amp;""&lt;br&gt;&lt;div class=""""audio""""&gt;[sound:""&amp;C4083&amp;"".mp3]&lt;/div&gt;"""),"ボルト&lt;br&gt;&lt;div class=""audio""&gt;[sound:ぼると.mp3]&lt;/div&gt;")</f>
        <v>ボルト&lt;br&gt;&lt;div class="audio"&gt;[sound:ぼると.mp3]&lt;/div&gt;</v>
      </c>
      <c r="H4083" s="3" t="str">
        <f t="shared" si="1"/>
        <v>(n): bu lông</v>
      </c>
      <c r="I4083" s="6" t="s">
        <v>22302</v>
      </c>
      <c r="J4083" s="6" t="s">
        <v>22303</v>
      </c>
      <c r="K4083" s="7">
        <f t="shared" si="2"/>
        <v>0.2107980383</v>
      </c>
    </row>
    <row r="4084">
      <c r="A4084" s="4">
        <v>4084.0</v>
      </c>
      <c r="B4084" s="5" t="s">
        <v>22304</v>
      </c>
      <c r="C4084" s="5" t="s">
        <v>22305</v>
      </c>
      <c r="D4084" s="5" t="s">
        <v>22304</v>
      </c>
      <c r="E4084" s="6" t="s">
        <v>74</v>
      </c>
      <c r="F4084" s="6" t="s">
        <v>22306</v>
      </c>
      <c r="G4084" s="3" t="str">
        <f>IFERROR(__xludf.DUMMYFUNCTION("REGEXREPLACE(
D4084,
""([一-龯々]+)\[([^\]]+)\]"",
""&lt;ruby&gt;$1&lt;rt&gt;$2&lt;/rt&gt;&lt;/ruby&gt;""
)&amp;""&lt;br&gt;&lt;div class=""""audio""""&gt;[sound:""&amp;C4084&amp;"".mp3]&lt;/div&gt;"""),"ポンプ&lt;br&gt;&lt;div class=""audio""&gt;[sound:ぽんぷ.mp3]&lt;/div&gt;")</f>
        <v>ポンプ&lt;br&gt;&lt;div class="audio"&gt;[sound:ぽんぷ.mp3]&lt;/div&gt;</v>
      </c>
      <c r="H4084" s="3" t="str">
        <f t="shared" si="1"/>
        <v>(n): máy bơm</v>
      </c>
      <c r="I4084" s="6" t="s">
        <v>22307</v>
      </c>
      <c r="J4084" s="6" t="s">
        <v>22308</v>
      </c>
      <c r="K4084" s="7">
        <f t="shared" si="2"/>
        <v>0.3163933602</v>
      </c>
    </row>
    <row r="4085">
      <c r="A4085" s="4">
        <v>4085.0</v>
      </c>
      <c r="B4085" s="5" t="s">
        <v>22309</v>
      </c>
      <c r="C4085" s="5" t="s">
        <v>22310</v>
      </c>
      <c r="D4085" s="5" t="s">
        <v>22309</v>
      </c>
      <c r="E4085" s="6" t="s">
        <v>74</v>
      </c>
      <c r="F4085" s="6" t="s">
        <v>22311</v>
      </c>
      <c r="G4085" s="3" t="str">
        <f>IFERROR(__xludf.DUMMYFUNCTION("REGEXREPLACE(
D4085,
""([一-龯々]+)\[([^\]]+)\]"",
""&lt;ruby&gt;$1&lt;rt&gt;$2&lt;/rt&gt;&lt;/ruby&gt;""
)&amp;""&lt;br&gt;&lt;div class=""""audio""""&gt;[sound:""&amp;C4085&amp;"".mp3]&lt;/div&gt;"""),"レンタカー&lt;br&gt;&lt;div class=""audio""&gt;[sound:れんたかー.mp3]&lt;/div&gt;")</f>
        <v>レンタカー&lt;br&gt;&lt;div class="audio"&gt;[sound:れんたかー.mp3]&lt;/div&gt;</v>
      </c>
      <c r="H4085" s="3" t="str">
        <f t="shared" si="1"/>
        <v>(n): xe thuê</v>
      </c>
      <c r="I4085" s="6" t="s">
        <v>22312</v>
      </c>
      <c r="J4085" s="6" t="s">
        <v>22313</v>
      </c>
      <c r="K4085" s="7">
        <f t="shared" si="2"/>
        <v>0.02759609462</v>
      </c>
    </row>
    <row r="4086">
      <c r="A4086" s="4">
        <v>4086.0</v>
      </c>
      <c r="B4086" s="5" t="s">
        <v>22314</v>
      </c>
      <c r="C4086" s="5" t="s">
        <v>22315</v>
      </c>
      <c r="D4086" s="5" t="s">
        <v>22316</v>
      </c>
      <c r="E4086" s="6" t="s">
        <v>24</v>
      </c>
      <c r="F4086" s="6" t="s">
        <v>15429</v>
      </c>
      <c r="G4086" s="3" t="str">
        <f>IFERROR(__xludf.DUMMYFUNCTION("REGEXREPLACE(
D4086,
""([一-龯々]+)\[([^\]]+)\]"",
""&lt;ruby&gt;$1&lt;rt&gt;$2&lt;/rt&gt;&lt;/ruby&gt;""
)&amp;""&lt;br&gt;&lt;div class=""""audio""""&gt;[sound:""&amp;C4086&amp;"".mp3]&lt;/div&gt;"""),"&lt;ruby&gt;乗&lt;rt&gt;の&lt;/rt&gt;&lt;/ruby&gt;り&lt;ruby&gt;込&lt;rt&gt;こ&lt;/rt&gt;&lt;/ruby&gt;む&lt;br&gt;&lt;div class=""audio""&gt;[sound:のりこむ.mp3]&lt;/div&gt;")</f>
        <v>&lt;ruby&gt;乗&lt;rt&gt;の&lt;/rt&gt;&lt;/ruby&gt;り&lt;ruby&gt;込&lt;rt&gt;こ&lt;/rt&gt;&lt;/ruby&gt;む&lt;br&gt;&lt;div class="audio"&gt;[sound:のりこむ.mp3]&lt;/div&gt;</v>
      </c>
      <c r="H4086" s="3" t="str">
        <f t="shared" si="1"/>
        <v>(v): lên tàu</v>
      </c>
      <c r="I4086" s="6" t="s">
        <v>22317</v>
      </c>
      <c r="J4086" s="6" t="s">
        <v>22318</v>
      </c>
      <c r="K4086" s="7">
        <f t="shared" si="2"/>
        <v>0.09039158817</v>
      </c>
    </row>
    <row r="4087">
      <c r="A4087" s="4">
        <v>4087.0</v>
      </c>
      <c r="B4087" s="5" t="s">
        <v>22319</v>
      </c>
      <c r="C4087" s="5" t="s">
        <v>22320</v>
      </c>
      <c r="D4087" s="5" t="s">
        <v>22321</v>
      </c>
      <c r="E4087" s="6" t="s">
        <v>74</v>
      </c>
      <c r="F4087" s="6" t="s">
        <v>22322</v>
      </c>
      <c r="G4087" s="3" t="str">
        <f>IFERROR(__xludf.DUMMYFUNCTION("REGEXREPLACE(
D4087,
""([一-龯々]+)\[([^\]]+)\]"",
""&lt;ruby&gt;$1&lt;rt&gt;$2&lt;/rt&gt;&lt;/ruby&gt;""
)&amp;""&lt;br&gt;&lt;div class=""""audio""""&gt;[sound:""&amp;C4087&amp;"".mp3]&lt;/div&gt;"""),"&lt;ruby&gt;用品&lt;rt&gt;ようひん&lt;/rt&gt;&lt;/ruby&gt;&lt;br&gt;&lt;div class=""audio""&gt;[sound:ようひん.mp3]&lt;/div&gt;")</f>
        <v>&lt;ruby&gt;用品&lt;rt&gt;ようひん&lt;/rt&gt;&lt;/ruby&gt;&lt;br&gt;&lt;div class="audio"&gt;[sound:ようひん.mp3]&lt;/div&gt;</v>
      </c>
      <c r="H4087" s="3" t="str">
        <f t="shared" si="1"/>
        <v>(n): đồ dùng</v>
      </c>
      <c r="I4087" s="6" t="s">
        <v>22323</v>
      </c>
      <c r="J4087" s="6" t="s">
        <v>22324</v>
      </c>
      <c r="K4087" s="7">
        <f t="shared" si="2"/>
        <v>0.1151243324</v>
      </c>
    </row>
    <row r="4088">
      <c r="A4088" s="4">
        <v>4088.0</v>
      </c>
      <c r="B4088" s="5" t="s">
        <v>22325</v>
      </c>
      <c r="C4088" s="5" t="s">
        <v>22326</v>
      </c>
      <c r="D4088" s="5" t="s">
        <v>22327</v>
      </c>
      <c r="E4088" s="6" t="s">
        <v>74</v>
      </c>
      <c r="F4088" s="6" t="s">
        <v>22328</v>
      </c>
      <c r="G4088" s="3" t="str">
        <f>IFERROR(__xludf.DUMMYFUNCTION("REGEXREPLACE(
D4088,
""([一-龯々]+)\[([^\]]+)\]"",
""&lt;ruby&gt;$1&lt;rt&gt;$2&lt;/rt&gt;&lt;/ruby&gt;""
)&amp;""&lt;br&gt;&lt;div class=""""audio""""&gt;[sound:""&amp;C4088&amp;"".mp3]&lt;/div&gt;"""),"&lt;ruby&gt;秩序&lt;rt&gt;ちつじょ&lt;/rt&gt;&lt;/ruby&gt;&lt;br&gt;&lt;div class=""audio""&gt;[sound:ちつじょ.mp3]&lt;/div&gt;")</f>
        <v>&lt;ruby&gt;秩序&lt;rt&gt;ちつじょ&lt;/rt&gt;&lt;/ruby&gt;&lt;br&gt;&lt;div class="audio"&gt;[sound:ちつじょ.mp3]&lt;/div&gt;</v>
      </c>
      <c r="H4088" s="3" t="str">
        <f t="shared" si="1"/>
        <v>(n): trật tự</v>
      </c>
      <c r="I4088" s="6" t="s">
        <v>22329</v>
      </c>
      <c r="J4088" s="6" t="s">
        <v>22330</v>
      </c>
      <c r="K4088" s="7">
        <f t="shared" si="2"/>
        <v>0.8512187432</v>
      </c>
    </row>
    <row r="4089">
      <c r="A4089" s="4">
        <v>4089.0</v>
      </c>
      <c r="B4089" s="5" t="s">
        <v>22331</v>
      </c>
      <c r="C4089" s="5" t="s">
        <v>22332</v>
      </c>
      <c r="D4089" s="5" t="s">
        <v>22333</v>
      </c>
      <c r="E4089" s="6" t="s">
        <v>24</v>
      </c>
      <c r="F4089" s="6" t="s">
        <v>22334</v>
      </c>
      <c r="G4089" s="3" t="str">
        <f>IFERROR(__xludf.DUMMYFUNCTION("REGEXREPLACE(
D4089,
""([一-龯々]+)\[([^\]]+)\]"",
""&lt;ruby&gt;$1&lt;rt&gt;$2&lt;/rt&gt;&lt;/ruby&gt;""
)&amp;""&lt;br&gt;&lt;div class=""""audio""""&gt;[sound:""&amp;C4089&amp;"".mp3]&lt;/div&gt;"""),"&lt;ruby&gt;立&lt;rt&gt;た&lt;/rt&gt;&lt;/ruby&gt;ち&lt;ruby&gt;寄&lt;rt&gt;よ&lt;/rt&gt;&lt;/ruby&gt;る&lt;br&gt;&lt;div class=""audio""&gt;[sound:たちよる.mp3]&lt;/div&gt;")</f>
        <v>&lt;ruby&gt;立&lt;rt&gt;た&lt;/rt&gt;&lt;/ruby&gt;ち&lt;ruby&gt;寄&lt;rt&gt;よ&lt;/rt&gt;&lt;/ruby&gt;る&lt;br&gt;&lt;div class="audio"&gt;[sound:たちよる.mp3]&lt;/div&gt;</v>
      </c>
      <c r="H4089" s="3" t="str">
        <f t="shared" si="1"/>
        <v>(v): ghé qua</v>
      </c>
      <c r="I4089" s="6" t="s">
        <v>22335</v>
      </c>
      <c r="J4089" s="6" t="s">
        <v>22336</v>
      </c>
      <c r="K4089" s="7">
        <f t="shared" si="2"/>
        <v>0.35416651</v>
      </c>
    </row>
    <row r="4090">
      <c r="A4090" s="4">
        <v>4090.0</v>
      </c>
      <c r="B4090" s="5" t="s">
        <v>22337</v>
      </c>
      <c r="C4090" s="5" t="s">
        <v>22337</v>
      </c>
      <c r="D4090" s="5" t="s">
        <v>22337</v>
      </c>
      <c r="E4090" s="6" t="s">
        <v>85</v>
      </c>
      <c r="F4090" s="6" t="s">
        <v>4638</v>
      </c>
      <c r="G4090" s="3" t="str">
        <f>IFERROR(__xludf.DUMMYFUNCTION("REGEXREPLACE(
D4090,
""([一-龯々]+)\[([^\]]+)\]"",
""&lt;ruby&gt;$1&lt;rt&gt;$2&lt;/rt&gt;&lt;/ruby&gt;""
)&amp;""&lt;br&gt;&lt;div class=""""audio""""&gt;[sound:""&amp;C4090&amp;"".mp3]&lt;/div&gt;"""),"いたって&lt;br&gt;&lt;div class=""audio""&gt;[sound:いたって.mp3]&lt;/div&gt;")</f>
        <v>いたって&lt;br&gt;&lt;div class="audio"&gt;[sound:いたって.mp3]&lt;/div&gt;</v>
      </c>
      <c r="H4090" s="3" t="str">
        <f t="shared" si="1"/>
        <v>(adv): cực kỳ</v>
      </c>
      <c r="I4090" s="6" t="s">
        <v>22338</v>
      </c>
      <c r="J4090" s="6" t="s">
        <v>22339</v>
      </c>
      <c r="K4090" s="7">
        <f t="shared" si="2"/>
        <v>0.09075697056</v>
      </c>
    </row>
    <row r="4091">
      <c r="A4091" s="4">
        <v>4091.0</v>
      </c>
      <c r="B4091" s="5" t="s">
        <v>22340</v>
      </c>
      <c r="C4091" s="5" t="s">
        <v>22340</v>
      </c>
      <c r="D4091" s="5" t="s">
        <v>22340</v>
      </c>
      <c r="E4091" s="6" t="s">
        <v>24</v>
      </c>
      <c r="F4091" s="6" t="s">
        <v>6561</v>
      </c>
      <c r="G4091" s="3" t="str">
        <f>IFERROR(__xludf.DUMMYFUNCTION("REGEXREPLACE(
D4091,
""([一-龯々]+)\[([^\]]+)\]"",
""&lt;ruby&gt;$1&lt;rt&gt;$2&lt;/rt&gt;&lt;/ruby&gt;""
)&amp;""&lt;br&gt;&lt;div class=""""audio""""&gt;[sound:""&amp;C4091&amp;"".mp3]&lt;/div&gt;"""),"くぐる&lt;br&gt;&lt;div class=""audio""&gt;[sound:くぐる.mp3]&lt;/div&gt;")</f>
        <v>くぐる&lt;br&gt;&lt;div class="audio"&gt;[sound:くぐる.mp3]&lt;/div&gt;</v>
      </c>
      <c r="H4091" s="3" t="str">
        <f t="shared" si="1"/>
        <v>(v): đi qua</v>
      </c>
      <c r="I4091" s="6" t="s">
        <v>22341</v>
      </c>
      <c r="J4091" s="6" t="s">
        <v>22342</v>
      </c>
      <c r="K4091" s="7">
        <f t="shared" si="2"/>
        <v>0.08110038296</v>
      </c>
    </row>
    <row r="4092">
      <c r="A4092" s="4">
        <v>4092.0</v>
      </c>
      <c r="B4092" s="5" t="s">
        <v>22343</v>
      </c>
      <c r="C4092" s="5" t="s">
        <v>22344</v>
      </c>
      <c r="D4092" s="5" t="s">
        <v>22343</v>
      </c>
      <c r="E4092" s="6" t="s">
        <v>74</v>
      </c>
      <c r="F4092" s="6" t="s">
        <v>22345</v>
      </c>
      <c r="G4092" s="3" t="str">
        <f>IFERROR(__xludf.DUMMYFUNCTION("REGEXREPLACE(
D4092,
""([一-龯々]+)\[([^\]]+)\]"",
""&lt;ruby&gt;$1&lt;rt&gt;$2&lt;/rt&gt;&lt;/ruby&gt;""
)&amp;""&lt;br&gt;&lt;div class=""""audio""""&gt;[sound:""&amp;C4092&amp;"".mp3]&lt;/div&gt;"""),"パジャマ&lt;br&gt;&lt;div class=""audio""&gt;[sound:ぱじゃま.mp3]&lt;/div&gt;")</f>
        <v>パジャマ&lt;br&gt;&lt;div class="audio"&gt;[sound:ぱじゃま.mp3]&lt;/div&gt;</v>
      </c>
      <c r="H4092" s="3" t="str">
        <f t="shared" si="1"/>
        <v>(n): đồ ngủ</v>
      </c>
      <c r="I4092" s="6" t="s">
        <v>22346</v>
      </c>
      <c r="J4092" s="6" t="s">
        <v>22347</v>
      </c>
      <c r="K4092" s="7">
        <f t="shared" si="2"/>
        <v>0.008569255511</v>
      </c>
    </row>
    <row r="4093">
      <c r="A4093" s="4">
        <v>4093.0</v>
      </c>
      <c r="B4093" s="5" t="s">
        <v>22348</v>
      </c>
      <c r="C4093" s="5" t="s">
        <v>22349</v>
      </c>
      <c r="D4093" s="5" t="s">
        <v>22348</v>
      </c>
      <c r="E4093" s="6" t="s">
        <v>74</v>
      </c>
      <c r="F4093" s="6" t="s">
        <v>22350</v>
      </c>
      <c r="G4093" s="3" t="str">
        <f>IFERROR(__xludf.DUMMYFUNCTION("REGEXREPLACE(
D4093,
""([一-龯々]+)\[([^\]]+)\]"",
""&lt;ruby&gt;$1&lt;rt&gt;$2&lt;/rt&gt;&lt;/ruby&gt;""
)&amp;""&lt;br&gt;&lt;div class=""""audio""""&gt;[sound:""&amp;C4093&amp;"".mp3]&lt;/div&gt;"""),"フィルタ&lt;br&gt;&lt;div class=""audio""&gt;[sound:ふぃるた.mp3]&lt;/div&gt;")</f>
        <v>フィルタ&lt;br&gt;&lt;div class="audio"&gt;[sound:ふぃるた.mp3]&lt;/div&gt;</v>
      </c>
      <c r="H4093" s="3" t="str">
        <f t="shared" si="1"/>
        <v>(n): bộ lọc</v>
      </c>
      <c r="I4093" s="6" t="s">
        <v>22351</v>
      </c>
      <c r="J4093" s="6" t="s">
        <v>22352</v>
      </c>
      <c r="K4093" s="7">
        <f t="shared" si="2"/>
        <v>0.5058782635</v>
      </c>
    </row>
    <row r="4094">
      <c r="A4094" s="4">
        <v>4094.0</v>
      </c>
      <c r="B4094" s="5" t="s">
        <v>22353</v>
      </c>
      <c r="C4094" s="5" t="s">
        <v>22354</v>
      </c>
      <c r="D4094" s="5" t="s">
        <v>22355</v>
      </c>
      <c r="E4094" s="6" t="s">
        <v>74</v>
      </c>
      <c r="F4094" s="6" t="s">
        <v>109</v>
      </c>
      <c r="G4094" s="3" t="str">
        <f>IFERROR(__xludf.DUMMYFUNCTION("REGEXREPLACE(
D4094,
""([一-龯々]+)\[([^\]]+)\]"",
""&lt;ruby&gt;$1&lt;rt&gt;$2&lt;/rt&gt;&lt;/ruby&gt;""
)&amp;""&lt;br&gt;&lt;div class=""""audio""""&gt;[sound:""&amp;C4094&amp;"".mp3]&lt;/div&gt;"""),"&lt;ruby&gt;事柄&lt;rt&gt;ことがら&lt;/rt&gt;&lt;/ruby&gt;&lt;br&gt;&lt;div class=""audio""&gt;[sound:ことがら.mp3]&lt;/div&gt;")</f>
        <v>&lt;ruby&gt;事柄&lt;rt&gt;ことがら&lt;/rt&gt;&lt;/ruby&gt;&lt;br&gt;&lt;div class="audio"&gt;[sound:ことがら.mp3]&lt;/div&gt;</v>
      </c>
      <c r="H4094" s="3" t="str">
        <f t="shared" si="1"/>
        <v>(n): vấn đề</v>
      </c>
      <c r="I4094" s="6" t="s">
        <v>22356</v>
      </c>
      <c r="J4094" s="6" t="s">
        <v>22357</v>
      </c>
      <c r="K4094" s="7">
        <f t="shared" si="2"/>
        <v>0.5063532991</v>
      </c>
    </row>
    <row r="4095">
      <c r="A4095" s="4">
        <v>4095.0</v>
      </c>
      <c r="B4095" s="5" t="s">
        <v>22358</v>
      </c>
      <c r="C4095" s="5" t="s">
        <v>22359</v>
      </c>
      <c r="D4095" s="5" t="s">
        <v>22360</v>
      </c>
      <c r="E4095" s="6" t="s">
        <v>24</v>
      </c>
      <c r="F4095" s="6" t="s">
        <v>22361</v>
      </c>
      <c r="G4095" s="3" t="str">
        <f>IFERROR(__xludf.DUMMYFUNCTION("REGEXREPLACE(
D4095,
""([一-龯々]+)\[([^\]]+)\]"",
""&lt;ruby&gt;$1&lt;rt&gt;$2&lt;/rt&gt;&lt;/ruby&gt;""
)&amp;""&lt;br&gt;&lt;div class=""""audio""""&gt;[sound:""&amp;C4095&amp;"".mp3]&lt;/div&gt;"""),"&lt;ruby&gt;見落&lt;rt&gt;みお&lt;/rt&gt;&lt;/ruby&gt;とす&lt;br&gt;&lt;div class=""audio""&gt;[sound:みおとす.mp3]&lt;/div&gt;")</f>
        <v>&lt;ruby&gt;見落&lt;rt&gt;みお&lt;/rt&gt;&lt;/ruby&gt;とす&lt;br&gt;&lt;div class="audio"&gt;[sound:みおとす.mp3]&lt;/div&gt;</v>
      </c>
      <c r="H4095" s="3" t="str">
        <f t="shared" si="1"/>
        <v>(v): bỏ sót</v>
      </c>
      <c r="I4095" s="6" t="s">
        <v>22362</v>
      </c>
      <c r="J4095" s="6" t="s">
        <v>22363</v>
      </c>
      <c r="K4095" s="7">
        <f t="shared" si="2"/>
        <v>0.929708839</v>
      </c>
    </row>
    <row r="4096">
      <c r="A4096" s="4">
        <v>4096.0</v>
      </c>
      <c r="B4096" s="5" t="s">
        <v>22364</v>
      </c>
      <c r="C4096" s="5" t="s">
        <v>22365</v>
      </c>
      <c r="D4096" s="5" t="s">
        <v>22366</v>
      </c>
      <c r="E4096" s="6" t="s">
        <v>74</v>
      </c>
      <c r="F4096" s="6" t="s">
        <v>22367</v>
      </c>
      <c r="G4096" s="3" t="str">
        <f>IFERROR(__xludf.DUMMYFUNCTION("REGEXREPLACE(
D4096,
""([一-龯々]+)\[([^\]]+)\]"",
""&lt;ruby&gt;$1&lt;rt&gt;$2&lt;/rt&gt;&lt;/ruby&gt;""
)&amp;""&lt;br&gt;&lt;div class=""""audio""""&gt;[sound:""&amp;C4096&amp;"".mp3]&lt;/div&gt;"""),"&lt;ruby&gt;負債&lt;rt&gt;ふさい&lt;/rt&gt;&lt;/ruby&gt;&lt;br&gt;&lt;div class=""audio""&gt;[sound:ふさい.mp3]&lt;/div&gt;")</f>
        <v>&lt;ruby&gt;負債&lt;rt&gt;ふさい&lt;/rt&gt;&lt;/ruby&gt;&lt;br&gt;&lt;div class="audio"&gt;[sound:ふさい.mp3]&lt;/div&gt;</v>
      </c>
      <c r="H4096" s="3" t="str">
        <f t="shared" si="1"/>
        <v>(n): nợ nần</v>
      </c>
      <c r="I4096" s="6" t="s">
        <v>22368</v>
      </c>
      <c r="J4096" s="6" t="s">
        <v>22369</v>
      </c>
      <c r="K4096" s="7">
        <f t="shared" si="2"/>
        <v>0.104761148</v>
      </c>
    </row>
    <row r="4097">
      <c r="A4097" s="4">
        <v>4097.0</v>
      </c>
      <c r="B4097" s="5" t="s">
        <v>22370</v>
      </c>
      <c r="C4097" s="5" t="s">
        <v>22371</v>
      </c>
      <c r="D4097" s="5" t="s">
        <v>22372</v>
      </c>
      <c r="E4097" s="6" t="s">
        <v>74</v>
      </c>
      <c r="F4097" s="6" t="s">
        <v>22373</v>
      </c>
      <c r="G4097" s="3" t="str">
        <f>IFERROR(__xludf.DUMMYFUNCTION("REGEXREPLACE(
D4097,
""([一-龯々]+)\[([^\]]+)\]"",
""&lt;ruby&gt;$1&lt;rt&gt;$2&lt;/rt&gt;&lt;/ruby&gt;""
)&amp;""&lt;br&gt;&lt;div class=""""audio""""&gt;[sound:""&amp;C4097&amp;"".mp3]&lt;/div&gt;"""),"&lt;ruby&gt;転落&lt;rt&gt;てんらく&lt;/rt&gt;&lt;/ruby&gt;&lt;br&gt;&lt;div class=""audio""&gt;[sound:てんらく.mp3]&lt;/div&gt;")</f>
        <v>&lt;ruby&gt;転落&lt;rt&gt;てんらく&lt;/rt&gt;&lt;/ruby&gt;&lt;br&gt;&lt;div class="audio"&gt;[sound:てんらく.mp3]&lt;/div&gt;</v>
      </c>
      <c r="H4097" s="3" t="str">
        <f t="shared" si="1"/>
        <v>(n): sự ngã</v>
      </c>
      <c r="I4097" s="6" t="s">
        <v>22374</v>
      </c>
      <c r="J4097" s="6" t="s">
        <v>22375</v>
      </c>
      <c r="K4097" s="7">
        <f t="shared" si="2"/>
        <v>0.5361858961</v>
      </c>
    </row>
    <row r="4098">
      <c r="A4098" s="4">
        <v>4098.0</v>
      </c>
      <c r="B4098" s="5" t="s">
        <v>22376</v>
      </c>
      <c r="C4098" s="5" t="s">
        <v>22377</v>
      </c>
      <c r="D4098" s="5" t="s">
        <v>22378</v>
      </c>
      <c r="E4098" s="6" t="s">
        <v>24</v>
      </c>
      <c r="F4098" s="6" t="s">
        <v>22379</v>
      </c>
      <c r="G4098" s="3" t="str">
        <f>IFERROR(__xludf.DUMMYFUNCTION("REGEXREPLACE(
D4098,
""([一-龯々]+)\[([^\]]+)\]"",
""&lt;ruby&gt;$1&lt;rt&gt;$2&lt;/rt&gt;&lt;/ruby&gt;""
)&amp;""&lt;br&gt;&lt;div class=""""audio""""&gt;[sound:""&amp;C4098&amp;"".mp3]&lt;/div&gt;"""),"&lt;ruby&gt;上陸&lt;rt&gt;じょうりく&lt;/rt&gt;&lt;/ruby&gt;&lt;br&gt;&lt;div class=""audio""&gt;[sound:じょうりく.mp3]&lt;/div&gt;")</f>
        <v>&lt;ruby&gt;上陸&lt;rt&gt;じょうりく&lt;/rt&gt;&lt;/ruby&gt;&lt;br&gt;&lt;div class="audio"&gt;[sound:じょうりく.mp3]&lt;/div&gt;</v>
      </c>
      <c r="H4098" s="3" t="str">
        <f t="shared" si="1"/>
        <v>(v): đổ bộ</v>
      </c>
      <c r="I4098" s="6" t="s">
        <v>22380</v>
      </c>
      <c r="J4098" s="6" t="s">
        <v>22381</v>
      </c>
      <c r="K4098" s="7">
        <f t="shared" si="2"/>
        <v>0.3150755411</v>
      </c>
    </row>
    <row r="4099">
      <c r="A4099" s="4">
        <v>4099.0</v>
      </c>
      <c r="B4099" s="5" t="s">
        <v>22382</v>
      </c>
      <c r="C4099" s="5" t="s">
        <v>22383</v>
      </c>
      <c r="D4099" s="5" t="s">
        <v>22384</v>
      </c>
      <c r="E4099" s="6" t="s">
        <v>85</v>
      </c>
      <c r="F4099" s="6" t="s">
        <v>13008</v>
      </c>
      <c r="G4099" s="3" t="str">
        <f>IFERROR(__xludf.DUMMYFUNCTION("REGEXREPLACE(
D4099,
""([一-龯々]+)\[([^\]]+)\]"",
""&lt;ruby&gt;$1&lt;rt&gt;$2&lt;/rt&gt;&lt;/ruby&gt;""
)&amp;""&lt;br&gt;&lt;div class=""""audio""""&gt;[sound:""&amp;C4099&amp;"".mp3]&lt;/div&gt;"""),"&lt;ruby&gt;予&lt;rt&gt;あらかじ&lt;/rt&gt;&lt;/ruby&gt;め&lt;br&gt;&lt;div class=""audio""&gt;[sound:あらかじめ.mp3]&lt;/div&gt;")</f>
        <v>&lt;ruby&gt;予&lt;rt&gt;あらかじ&lt;/rt&gt;&lt;/ruby&gt;め&lt;br&gt;&lt;div class="audio"&gt;[sound:あらかじめ.mp3]&lt;/div&gt;</v>
      </c>
      <c r="H4099" s="3" t="str">
        <f t="shared" si="1"/>
        <v>(adv): trước</v>
      </c>
      <c r="I4099" s="6" t="s">
        <v>22385</v>
      </c>
      <c r="J4099" s="6" t="s">
        <v>22386</v>
      </c>
      <c r="K4099" s="7">
        <f t="shared" si="2"/>
        <v>0.3442954577</v>
      </c>
    </row>
    <row r="4100">
      <c r="A4100" s="4">
        <v>4100.0</v>
      </c>
      <c r="B4100" s="5" t="s">
        <v>22387</v>
      </c>
      <c r="C4100" s="5" t="s">
        <v>22388</v>
      </c>
      <c r="D4100" s="5" t="s">
        <v>22387</v>
      </c>
      <c r="E4100" s="6" t="s">
        <v>74</v>
      </c>
      <c r="F4100" s="6" t="s">
        <v>22389</v>
      </c>
      <c r="G4100" s="3" t="str">
        <f>IFERROR(__xludf.DUMMYFUNCTION("REGEXREPLACE(
D4100,
""([一-龯々]+)\[([^\]]+)\]"",
""&lt;ruby&gt;$1&lt;rt&gt;$2&lt;/rt&gt;&lt;/ruby&gt;""
)&amp;""&lt;br&gt;&lt;div class=""""audio""""&gt;[sound:""&amp;C4100&amp;"".mp3]&lt;/div&gt;"""),"ガレージ&lt;br&gt;&lt;div class=""audio""&gt;[sound:がれーじ.mp3]&lt;/div&gt;")</f>
        <v>ガレージ&lt;br&gt;&lt;div class="audio"&gt;[sound:がれーじ.mp3]&lt;/div&gt;</v>
      </c>
      <c r="H4100" s="3" t="str">
        <f t="shared" si="1"/>
        <v>(n): gara</v>
      </c>
      <c r="I4100" s="6" t="s">
        <v>22390</v>
      </c>
      <c r="J4100" s="6" t="s">
        <v>22391</v>
      </c>
      <c r="K4100" s="7">
        <f t="shared" si="2"/>
        <v>0.1359483883</v>
      </c>
    </row>
    <row r="4101">
      <c r="A4101" s="4">
        <v>4101.0</v>
      </c>
      <c r="B4101" s="5" t="s">
        <v>22392</v>
      </c>
      <c r="C4101" s="5" t="s">
        <v>22392</v>
      </c>
      <c r="D4101" s="5" t="s">
        <v>22392</v>
      </c>
      <c r="E4101" s="6" t="s">
        <v>74</v>
      </c>
      <c r="F4101" s="6" t="s">
        <v>12007</v>
      </c>
      <c r="G4101" s="3" t="str">
        <f>IFERROR(__xludf.DUMMYFUNCTION("REGEXREPLACE(
D4101,
""([一-龯々]+)\[([^\]]+)\]"",
""&lt;ruby&gt;$1&lt;rt&gt;$2&lt;/rt&gt;&lt;/ruby&gt;""
)&amp;""&lt;br&gt;&lt;div class=""""audio""""&gt;[sound:""&amp;C4101&amp;"".mp3]&lt;/div&gt;"""),"まと&lt;br&gt;&lt;div class=""audio""&gt;[sound:まと.mp3]&lt;/div&gt;")</f>
        <v>まと&lt;br&gt;&lt;div class="audio"&gt;[sound:まと.mp3]&lt;/div&gt;</v>
      </c>
      <c r="H4101" s="3" t="str">
        <f t="shared" si="1"/>
        <v>(n): đích</v>
      </c>
      <c r="I4101" s="6" t="s">
        <v>22393</v>
      </c>
      <c r="J4101" s="6" t="s">
        <v>22394</v>
      </c>
      <c r="K4101" s="7">
        <f t="shared" si="2"/>
        <v>0.9205719594</v>
      </c>
    </row>
    <row r="4102">
      <c r="A4102" s="4">
        <v>4102.0</v>
      </c>
      <c r="B4102" s="5" t="s">
        <v>22395</v>
      </c>
      <c r="C4102" s="5" t="s">
        <v>22396</v>
      </c>
      <c r="D4102" s="5" t="s">
        <v>22397</v>
      </c>
      <c r="E4102" s="6" t="s">
        <v>24</v>
      </c>
      <c r="F4102" s="6" t="s">
        <v>5273</v>
      </c>
      <c r="G4102" s="3" t="str">
        <f>IFERROR(__xludf.DUMMYFUNCTION("REGEXREPLACE(
D4102,
""([一-龯々]+)\[([^\]]+)\]"",
""&lt;ruby&gt;$1&lt;rt&gt;$2&lt;/rt&gt;&lt;/ruby&gt;""
)&amp;""&lt;br&gt;&lt;div class=""""audio""""&gt;[sound:""&amp;C4102&amp;"".mp3]&lt;/div&gt;"""),"&lt;ruby&gt;禁&lt;rt&gt;きん&lt;/rt&gt;&lt;/ruby&gt;じる&lt;br&gt;&lt;div class=""audio""&gt;[sound:きんじる.mp3]&lt;/div&gt;")</f>
        <v>&lt;ruby&gt;禁&lt;rt&gt;きん&lt;/rt&gt;&lt;/ruby&gt;じる&lt;br&gt;&lt;div class="audio"&gt;[sound:きんじる.mp3]&lt;/div&gt;</v>
      </c>
      <c r="H4102" s="3" t="str">
        <f t="shared" si="1"/>
        <v>(v): cấm</v>
      </c>
      <c r="I4102" s="6" t="s">
        <v>22398</v>
      </c>
      <c r="J4102" s="6" t="s">
        <v>22399</v>
      </c>
      <c r="K4102" s="7">
        <f t="shared" si="2"/>
        <v>0.900418216</v>
      </c>
    </row>
    <row r="4103">
      <c r="A4103" s="4">
        <v>4103.0</v>
      </c>
      <c r="B4103" s="5" t="s">
        <v>22400</v>
      </c>
      <c r="C4103" s="5" t="s">
        <v>22401</v>
      </c>
      <c r="D4103" s="5" t="s">
        <v>22402</v>
      </c>
      <c r="E4103" s="6" t="s">
        <v>74</v>
      </c>
      <c r="F4103" s="6" t="s">
        <v>22403</v>
      </c>
      <c r="G4103" s="3" t="str">
        <f>IFERROR(__xludf.DUMMYFUNCTION("REGEXREPLACE(
D4103,
""([一-龯々]+)\[([^\]]+)\]"",
""&lt;ruby&gt;$1&lt;rt&gt;$2&lt;/rt&gt;&lt;/ruby&gt;""
)&amp;""&lt;br&gt;&lt;div class=""""audio""""&gt;[sound:""&amp;C4103&amp;"".mp3]&lt;/div&gt;"""),"&lt;ruby&gt;蔵&lt;rt&gt;くら&lt;/rt&gt;&lt;/ruby&gt;&lt;br&gt;&lt;div class=""audio""&gt;[sound:くら.mp3]&lt;/div&gt;")</f>
        <v>&lt;ruby&gt;蔵&lt;rt&gt;くら&lt;/rt&gt;&lt;/ruby&gt;&lt;br&gt;&lt;div class="audio"&gt;[sound:くら.mp3]&lt;/div&gt;</v>
      </c>
      <c r="H4103" s="3" t="str">
        <f t="shared" si="1"/>
        <v>(n): kho</v>
      </c>
      <c r="I4103" s="6" t="s">
        <v>22404</v>
      </c>
      <c r="J4103" s="6" t="s">
        <v>22405</v>
      </c>
      <c r="K4103" s="7">
        <f t="shared" si="2"/>
        <v>0.5539850009</v>
      </c>
    </row>
    <row r="4104">
      <c r="A4104" s="4">
        <v>4104.0</v>
      </c>
      <c r="B4104" s="5" t="s">
        <v>22406</v>
      </c>
      <c r="C4104" s="5" t="s">
        <v>22407</v>
      </c>
      <c r="D4104" s="5" t="s">
        <v>22408</v>
      </c>
      <c r="E4104" s="6" t="s">
        <v>74</v>
      </c>
      <c r="F4104" s="6" t="s">
        <v>22409</v>
      </c>
      <c r="G4104" s="3" t="str">
        <f>IFERROR(__xludf.DUMMYFUNCTION("REGEXREPLACE(
D4104,
""([一-龯々]+)\[([^\]]+)\]"",
""&lt;ruby&gt;$1&lt;rt&gt;$2&lt;/rt&gt;&lt;/ruby&gt;""
)&amp;""&lt;br&gt;&lt;div class=""""audio""""&gt;[sound:""&amp;C4104&amp;"".mp3]&lt;/div&gt;"""),"&lt;ruby&gt;顎&lt;rt&gt;あご&lt;/rt&gt;&lt;/ruby&gt;&lt;br&gt;&lt;div class=""audio""&gt;[sound:あご.mp3]&lt;/div&gt;")</f>
        <v>&lt;ruby&gt;顎&lt;rt&gt;あご&lt;/rt&gt;&lt;/ruby&gt;&lt;br&gt;&lt;div class="audio"&gt;[sound:あご.mp3]&lt;/div&gt;</v>
      </c>
      <c r="H4104" s="3" t="str">
        <f t="shared" si="1"/>
        <v>(n): cằm</v>
      </c>
      <c r="I4104" s="6" t="s">
        <v>22410</v>
      </c>
      <c r="J4104" s="6" t="s">
        <v>22411</v>
      </c>
      <c r="K4104" s="7">
        <f t="shared" si="2"/>
        <v>0.01936607999</v>
      </c>
    </row>
    <row r="4105">
      <c r="A4105" s="4">
        <v>4105.0</v>
      </c>
      <c r="B4105" s="5" t="s">
        <v>22412</v>
      </c>
      <c r="C4105" s="5" t="s">
        <v>8446</v>
      </c>
      <c r="D4105" s="5" t="s">
        <v>22413</v>
      </c>
      <c r="E4105" s="6" t="s">
        <v>90</v>
      </c>
      <c r="F4105" s="6" t="s">
        <v>348</v>
      </c>
      <c r="G4105" s="3" t="str">
        <f>IFERROR(__xludf.DUMMYFUNCTION("REGEXREPLACE(
D4105,
""([一-龯々]+)\[([^\]]+)\]"",
""&lt;ruby&gt;$1&lt;rt&gt;$2&lt;/rt&gt;&lt;/ruby&gt;""
)&amp;""&lt;br&gt;&lt;div class=""""audio""""&gt;[sound:""&amp;C4105&amp;"".mp3]&lt;/div&gt;"""),"&lt;ruby&gt;且&lt;rt&gt;か&lt;/rt&gt;&lt;/ruby&gt;つ&lt;br&gt;&lt;div class=""audio""&gt;[sound:かつ.mp3]&lt;/div&gt;")</f>
        <v>&lt;ruby&gt;且&lt;rt&gt;か&lt;/rt&gt;&lt;/ruby&gt;つ&lt;br&gt;&lt;div class="audio"&gt;[sound:かつ.mp3]&lt;/div&gt;</v>
      </c>
      <c r="H4105" s="3" t="str">
        <f t="shared" si="1"/>
        <v>(conj): và</v>
      </c>
      <c r="I4105" s="6" t="s">
        <v>22414</v>
      </c>
      <c r="J4105" s="6" t="s">
        <v>22415</v>
      </c>
      <c r="K4105" s="7">
        <f t="shared" si="2"/>
        <v>0.9073694933</v>
      </c>
    </row>
    <row r="4106">
      <c r="A4106" s="4">
        <v>4106.0</v>
      </c>
      <c r="B4106" s="5" t="s">
        <v>22416</v>
      </c>
      <c r="C4106" s="5" t="s">
        <v>22417</v>
      </c>
      <c r="D4106" s="5" t="s">
        <v>22418</v>
      </c>
      <c r="E4106" s="6" t="s">
        <v>74</v>
      </c>
      <c r="F4106" s="6" t="s">
        <v>22419</v>
      </c>
      <c r="G4106" s="3" t="str">
        <f>IFERROR(__xludf.DUMMYFUNCTION("REGEXREPLACE(
D4106,
""([一-龯々]+)\[([^\]]+)\]"",
""&lt;ruby&gt;$1&lt;rt&gt;$2&lt;/rt&gt;&lt;/ruby&gt;""
)&amp;""&lt;br&gt;&lt;div class=""""audio""""&gt;[sound:""&amp;C4106&amp;"".mp3]&lt;/div&gt;"""),"&lt;ruby&gt;文化財&lt;rt&gt;ぶんかざい&lt;/rt&gt;&lt;/ruby&gt;&lt;br&gt;&lt;div class=""audio""&gt;[sound:ぶんかざい.mp3]&lt;/div&gt;")</f>
        <v>&lt;ruby&gt;文化財&lt;rt&gt;ぶんかざい&lt;/rt&gt;&lt;/ruby&gt;&lt;br&gt;&lt;div class="audio"&gt;[sound:ぶんかざい.mp3]&lt;/div&gt;</v>
      </c>
      <c r="H4106" s="3" t="str">
        <f t="shared" si="1"/>
        <v>(n): di sản văn hóa</v>
      </c>
      <c r="I4106" s="6" t="s">
        <v>22420</v>
      </c>
      <c r="J4106" s="6" t="s">
        <v>22421</v>
      </c>
      <c r="K4106" s="7">
        <f t="shared" si="2"/>
        <v>0.9311983476</v>
      </c>
    </row>
    <row r="4107">
      <c r="A4107" s="4">
        <v>4107.0</v>
      </c>
      <c r="B4107" s="5" t="s">
        <v>22422</v>
      </c>
      <c r="C4107" s="5" t="s">
        <v>22423</v>
      </c>
      <c r="D4107" s="5" t="s">
        <v>22424</v>
      </c>
      <c r="E4107" s="6" t="s">
        <v>11</v>
      </c>
      <c r="F4107" s="6" t="s">
        <v>22425</v>
      </c>
      <c r="G4107" s="3" t="str">
        <f>IFERROR(__xludf.DUMMYFUNCTION("REGEXREPLACE(
D4107,
""([一-龯々]+)\[([^\]]+)\]"",
""&lt;ruby&gt;$1&lt;rt&gt;$2&lt;/rt&gt;&lt;/ruby&gt;""
)&amp;""&lt;br&gt;&lt;div class=""""audio""""&gt;[sound:""&amp;C4107&amp;"".mp3]&lt;/div&gt;"""),"&lt;ruby&gt;有望&lt;rt&gt;ゆうぼう&lt;/rt&gt;&lt;/ruby&gt;&lt;br&gt;&lt;div class=""audio""&gt;[sound:ゆうぼう.mp3]&lt;/div&gt;")</f>
        <v>&lt;ruby&gt;有望&lt;rt&gt;ゆうぼう&lt;/rt&gt;&lt;/ruby&gt;&lt;br&gt;&lt;div class="audio"&gt;[sound:ゆうぼう.mp3]&lt;/div&gt;</v>
      </c>
      <c r="H4107" s="3" t="str">
        <f t="shared" si="1"/>
        <v>(adj): có triển vọng</v>
      </c>
      <c r="I4107" s="6" t="s">
        <v>22426</v>
      </c>
      <c r="J4107" s="6" t="s">
        <v>22427</v>
      </c>
      <c r="K4107" s="7">
        <f t="shared" si="2"/>
        <v>0.2329300131</v>
      </c>
    </row>
    <row r="4108">
      <c r="A4108" s="4">
        <v>4108.0</v>
      </c>
      <c r="B4108" s="5" t="s">
        <v>22428</v>
      </c>
      <c r="C4108" s="5" t="s">
        <v>22429</v>
      </c>
      <c r="D4108" s="5" t="s">
        <v>22430</v>
      </c>
      <c r="E4108" s="6" t="s">
        <v>74</v>
      </c>
      <c r="F4108" s="6" t="s">
        <v>22431</v>
      </c>
      <c r="G4108" s="3" t="str">
        <f>IFERROR(__xludf.DUMMYFUNCTION("REGEXREPLACE(
D4108,
""([一-龯々]+)\[([^\]]+)\]"",
""&lt;ruby&gt;$1&lt;rt&gt;$2&lt;/rt&gt;&lt;/ruby&gt;""
)&amp;""&lt;br&gt;&lt;div class=""""audio""""&gt;[sound:""&amp;C4108&amp;"".mp3]&lt;/div&gt;"""),"&lt;ruby&gt;情&lt;rt&gt;なさ&lt;/rt&gt;&lt;/ruby&gt;け&lt;br&gt;&lt;div class=""audio""&gt;[sound:なさけ.mp3]&lt;/div&gt;")</f>
        <v>&lt;ruby&gt;情&lt;rt&gt;なさ&lt;/rt&gt;&lt;/ruby&gt;け&lt;br&gt;&lt;div class="audio"&gt;[sound:なさけ.mp3]&lt;/div&gt;</v>
      </c>
      <c r="H4108" s="3" t="str">
        <f t="shared" si="1"/>
        <v>(n): lòng trắc ẩn</v>
      </c>
      <c r="I4108" s="6" t="s">
        <v>22432</v>
      </c>
      <c r="J4108" s="6" t="s">
        <v>22433</v>
      </c>
      <c r="K4108" s="7">
        <f t="shared" si="2"/>
        <v>0.02874651499</v>
      </c>
    </row>
    <row r="4109">
      <c r="A4109" s="4">
        <v>4109.0</v>
      </c>
      <c r="B4109" s="5" t="s">
        <v>22434</v>
      </c>
      <c r="C4109" s="5" t="s">
        <v>22435</v>
      </c>
      <c r="D4109" s="5" t="s">
        <v>22436</v>
      </c>
      <c r="E4109" s="6" t="s">
        <v>85</v>
      </c>
      <c r="F4109" s="6" t="s">
        <v>5287</v>
      </c>
      <c r="G4109" s="3" t="str">
        <f>IFERROR(__xludf.DUMMYFUNCTION("REGEXREPLACE(
D4109,
""([一-龯々]+)\[([^\]]+)\]"",
""&lt;ruby&gt;$1&lt;rt&gt;$2&lt;/rt&gt;&lt;/ruby&gt;""
)&amp;""&lt;br&gt;&lt;div class=""""audio""""&gt;[sound:""&amp;C4109&amp;"".mp3]&lt;/div&gt;"""),"&lt;ruby&gt;時折&lt;rt&gt;ときおり&lt;/rt&gt;&lt;/ruby&gt;&lt;br&gt;&lt;div class=""audio""&gt;[sound:ときおり.mp3]&lt;/div&gt;")</f>
        <v>&lt;ruby&gt;時折&lt;rt&gt;ときおり&lt;/rt&gt;&lt;/ruby&gt;&lt;br&gt;&lt;div class="audio"&gt;[sound:ときおり.mp3]&lt;/div&gt;</v>
      </c>
      <c r="H4109" s="3" t="str">
        <f t="shared" si="1"/>
        <v>(adv): thỉnh thoảng</v>
      </c>
      <c r="I4109" s="6" t="s">
        <v>22437</v>
      </c>
      <c r="J4109" s="6" t="s">
        <v>22438</v>
      </c>
      <c r="K4109" s="7">
        <f t="shared" si="2"/>
        <v>0.3392543719</v>
      </c>
    </row>
    <row r="4110">
      <c r="A4110" s="4">
        <v>4110.0</v>
      </c>
      <c r="B4110" s="5" t="s">
        <v>22439</v>
      </c>
      <c r="C4110" s="5" t="s">
        <v>22440</v>
      </c>
      <c r="D4110" s="5" t="s">
        <v>22441</v>
      </c>
      <c r="E4110" s="6" t="s">
        <v>74</v>
      </c>
      <c r="F4110" s="6" t="s">
        <v>20553</v>
      </c>
      <c r="G4110" s="3" t="str">
        <f>IFERROR(__xludf.DUMMYFUNCTION("REGEXREPLACE(
D4110,
""([一-龯々]+)\[([^\]]+)\]"",
""&lt;ruby&gt;$1&lt;rt&gt;$2&lt;/rt&gt;&lt;/ruby&gt;""
)&amp;""&lt;br&gt;&lt;div class=""""audio""""&gt;[sound:""&amp;C4110&amp;"".mp3]&lt;/div&gt;"""),"&lt;ruby&gt;念願&lt;rt&gt;ねんがん&lt;/rt&gt;&lt;/ruby&gt;&lt;br&gt;&lt;div class=""audio""&gt;[sound:ねんがん.mp3]&lt;/div&gt;")</f>
        <v>&lt;ruby&gt;念願&lt;rt&gt;ねんがん&lt;/rt&gt;&lt;/ruby&gt;&lt;br&gt;&lt;div class="audio"&gt;[sound:ねんがん.mp3]&lt;/div&gt;</v>
      </c>
      <c r="H4110" s="3" t="str">
        <f t="shared" si="1"/>
        <v>(n): nguyện vọng</v>
      </c>
      <c r="I4110" s="6" t="s">
        <v>22442</v>
      </c>
      <c r="J4110" s="6" t="s">
        <v>22443</v>
      </c>
      <c r="K4110" s="7">
        <f t="shared" si="2"/>
        <v>0.5761525792</v>
      </c>
    </row>
    <row r="4111">
      <c r="A4111" s="4">
        <v>4111.0</v>
      </c>
      <c r="B4111" s="5" t="s">
        <v>22444</v>
      </c>
      <c r="C4111" s="5" t="s">
        <v>22445</v>
      </c>
      <c r="D4111" s="5" t="s">
        <v>22446</v>
      </c>
      <c r="E4111" s="6" t="s">
        <v>74</v>
      </c>
      <c r="F4111" s="6" t="s">
        <v>10052</v>
      </c>
      <c r="G4111" s="3" t="str">
        <f>IFERROR(__xludf.DUMMYFUNCTION("REGEXREPLACE(
D4111,
""([一-龯々]+)\[([^\]]+)\]"",
""&lt;ruby&gt;$1&lt;rt&gt;$2&lt;/rt&gt;&lt;/ruby&gt;""
)&amp;""&lt;br&gt;&lt;div class=""""audio""""&gt;[sound:""&amp;C4111&amp;"".mp3]&lt;/div&gt;"""),"&lt;ruby&gt;日頃&lt;rt&gt;ひごろ&lt;/rt&gt;&lt;/ruby&gt;&lt;br&gt;&lt;div class=""audio""&gt;[sound:ひごろ.mp3]&lt;/div&gt;")</f>
        <v>&lt;ruby&gt;日頃&lt;rt&gt;ひごろ&lt;/rt&gt;&lt;/ruby&gt;&lt;br&gt;&lt;div class="audio"&gt;[sound:ひごろ.mp3]&lt;/div&gt;</v>
      </c>
      <c r="H4111" s="3" t="str">
        <f t="shared" si="1"/>
        <v>(n): thường ngày</v>
      </c>
      <c r="I4111" s="6" t="s">
        <v>22447</v>
      </c>
      <c r="J4111" s="6" t="s">
        <v>22448</v>
      </c>
      <c r="K4111" s="7">
        <f t="shared" si="2"/>
        <v>0.8391777018</v>
      </c>
    </row>
    <row r="4112">
      <c r="A4112" s="4">
        <v>4112.0</v>
      </c>
      <c r="B4112" s="5" t="s">
        <v>22449</v>
      </c>
      <c r="C4112" s="5" t="s">
        <v>22450</v>
      </c>
      <c r="D4112" s="5" t="s">
        <v>22451</v>
      </c>
      <c r="E4112" s="6" t="s">
        <v>24</v>
      </c>
      <c r="F4112" s="6" t="s">
        <v>12591</v>
      </c>
      <c r="G4112" s="3" t="str">
        <f>IFERROR(__xludf.DUMMYFUNCTION("REGEXREPLACE(
D4112,
""([一-龯々]+)\[([^\]]+)\]"",
""&lt;ruby&gt;$1&lt;rt&gt;$2&lt;/rt&gt;&lt;/ruby&gt;""
)&amp;""&lt;br&gt;&lt;div class=""""audio""""&gt;[sound:""&amp;C4112&amp;"".mp3]&lt;/div&gt;"""),"&lt;ruby&gt;抜&lt;rt&gt;ぬ&lt;/rt&gt;&lt;/ruby&gt;け&lt;ruby&gt;出&lt;rt&gt;だ&lt;/rt&gt;&lt;/ruby&gt;す&lt;br&gt;&lt;div class=""audio""&gt;[sound:ぬけだす.mp3]&lt;/div&gt;")</f>
        <v>&lt;ruby&gt;抜&lt;rt&gt;ぬ&lt;/rt&gt;&lt;/ruby&gt;け&lt;ruby&gt;出&lt;rt&gt;だ&lt;/rt&gt;&lt;/ruby&gt;す&lt;br&gt;&lt;div class="audio"&gt;[sound:ぬけだす.mp3]&lt;/div&gt;</v>
      </c>
      <c r="H4112" s="3" t="str">
        <f t="shared" si="1"/>
        <v>(v): trốn thoát</v>
      </c>
      <c r="I4112" s="6" t="s">
        <v>22452</v>
      </c>
      <c r="J4112" s="6" t="s">
        <v>22453</v>
      </c>
      <c r="K4112" s="7">
        <f t="shared" si="2"/>
        <v>0.8120001999</v>
      </c>
    </row>
    <row r="4113">
      <c r="A4113" s="4">
        <v>4113.0</v>
      </c>
      <c r="B4113" s="5" t="s">
        <v>22454</v>
      </c>
      <c r="C4113" s="5" t="s">
        <v>22455</v>
      </c>
      <c r="D4113" s="5" t="s">
        <v>22456</v>
      </c>
      <c r="E4113" s="6" t="s">
        <v>74</v>
      </c>
      <c r="F4113" s="6" t="s">
        <v>22457</v>
      </c>
      <c r="G4113" s="3" t="str">
        <f>IFERROR(__xludf.DUMMYFUNCTION("REGEXREPLACE(
D4113,
""([一-龯々]+)\[([^\]]+)\]"",
""&lt;ruby&gt;$1&lt;rt&gt;$2&lt;/rt&gt;&lt;/ruby&gt;""
)&amp;""&lt;br&gt;&lt;div class=""""audio""""&gt;[sound:""&amp;C4113&amp;"".mp3]&lt;/div&gt;"""),"&lt;ruby&gt;採決&lt;rt&gt;さいけつ&lt;/rt&gt;&lt;/ruby&gt;&lt;br&gt;&lt;div class=""audio""&gt;[sound:さいけつ.mp3]&lt;/div&gt;")</f>
        <v>&lt;ruby&gt;採決&lt;rt&gt;さいけつ&lt;/rt&gt;&lt;/ruby&gt;&lt;br&gt;&lt;div class="audio"&gt;[sound:さいけつ.mp3]&lt;/div&gt;</v>
      </c>
      <c r="H4113" s="3" t="str">
        <f t="shared" si="1"/>
        <v>(n): biểu quyết</v>
      </c>
      <c r="I4113" s="6" t="s">
        <v>22458</v>
      </c>
      <c r="J4113" s="6" t="s">
        <v>18880</v>
      </c>
      <c r="K4113" s="7">
        <f t="shared" si="2"/>
        <v>0.210696794</v>
      </c>
    </row>
    <row r="4114">
      <c r="A4114" s="4">
        <v>4114.0</v>
      </c>
      <c r="B4114" s="5" t="s">
        <v>22459</v>
      </c>
      <c r="C4114" s="5" t="s">
        <v>4694</v>
      </c>
      <c r="D4114" s="5" t="s">
        <v>22460</v>
      </c>
      <c r="E4114" s="6" t="s">
        <v>74</v>
      </c>
      <c r="F4114" s="6" t="s">
        <v>1805</v>
      </c>
      <c r="G4114" s="3" t="str">
        <f>IFERROR(__xludf.DUMMYFUNCTION("REGEXREPLACE(
D4114,
""([一-龯々]+)\[([^\]]+)\]"",
""&lt;ruby&gt;$1&lt;rt&gt;$2&lt;/rt&gt;&lt;/ruby&gt;""
)&amp;""&lt;br&gt;&lt;div class=""""audio""""&gt;[sound:""&amp;C4114&amp;"".mp3]&lt;/div&gt;"""),"&lt;ruby&gt;志向&lt;rt&gt;しこう&lt;/rt&gt;&lt;/ruby&gt;&lt;br&gt;&lt;div class=""audio""&gt;[sound:しこう.mp3]&lt;/div&gt;")</f>
        <v>&lt;ruby&gt;志向&lt;rt&gt;しこう&lt;/rt&gt;&lt;/ruby&gt;&lt;br&gt;&lt;div class="audio"&gt;[sound:しこう.mp3]&lt;/div&gt;</v>
      </c>
      <c r="H4114" s="3" t="str">
        <f t="shared" si="1"/>
        <v>(n): hướng tới</v>
      </c>
      <c r="I4114" s="6" t="s">
        <v>22461</v>
      </c>
      <c r="J4114" s="6" t="s">
        <v>22462</v>
      </c>
      <c r="K4114" s="7">
        <f t="shared" si="2"/>
        <v>0.04941074077</v>
      </c>
    </row>
    <row r="4115">
      <c r="A4115" s="4">
        <v>4115.0</v>
      </c>
      <c r="B4115" s="5" t="s">
        <v>22463</v>
      </c>
      <c r="C4115" s="5" t="s">
        <v>22464</v>
      </c>
      <c r="D4115" s="5" t="s">
        <v>22465</v>
      </c>
      <c r="E4115" s="6" t="s">
        <v>11</v>
      </c>
      <c r="F4115" s="6" t="s">
        <v>22466</v>
      </c>
      <c r="G4115" s="3" t="str">
        <f>IFERROR(__xludf.DUMMYFUNCTION("REGEXREPLACE(
D4115,
""([一-龯々]+)\[([^\]]+)\]"",
""&lt;ruby&gt;$1&lt;rt&gt;$2&lt;/rt&gt;&lt;/ruby&gt;""
)&amp;""&lt;br&gt;&lt;div class=""""audio""""&gt;[sound:""&amp;C4115&amp;"".mp3]&lt;/div&gt;"""),"&lt;ruby&gt;悲惨&lt;rt&gt;ひさん&lt;/rt&gt;&lt;/ruby&gt;&lt;br&gt;&lt;div class=""audio""&gt;[sound:ひさん.mp3]&lt;/div&gt;")</f>
        <v>&lt;ruby&gt;悲惨&lt;rt&gt;ひさん&lt;/rt&gt;&lt;/ruby&gt;&lt;br&gt;&lt;div class="audio"&gt;[sound:ひさん.mp3]&lt;/div&gt;</v>
      </c>
      <c r="H4115" s="3" t="str">
        <f t="shared" si="1"/>
        <v>(adj): thảm khốc</v>
      </c>
      <c r="I4115" s="6" t="s">
        <v>22467</v>
      </c>
      <c r="J4115" s="6" t="s">
        <v>22468</v>
      </c>
      <c r="K4115" s="7">
        <f t="shared" si="2"/>
        <v>0.7390106262</v>
      </c>
    </row>
    <row r="4116">
      <c r="A4116" s="4">
        <v>4116.0</v>
      </c>
      <c r="B4116" s="5" t="s">
        <v>22469</v>
      </c>
      <c r="C4116" s="5" t="s">
        <v>22470</v>
      </c>
      <c r="D4116" s="5" t="s">
        <v>22471</v>
      </c>
      <c r="E4116" s="6" t="s">
        <v>74</v>
      </c>
      <c r="F4116" s="6" t="s">
        <v>22472</v>
      </c>
      <c r="G4116" s="3" t="str">
        <f>IFERROR(__xludf.DUMMYFUNCTION("REGEXREPLACE(
D4116,
""([一-龯々]+)\[([^\]]+)\]"",
""&lt;ruby&gt;$1&lt;rt&gt;$2&lt;/rt&gt;&lt;/ruby&gt;""
)&amp;""&lt;br&gt;&lt;div class=""""audio""""&gt;[sound:""&amp;C4116&amp;"".mp3]&lt;/div&gt;"""),"&lt;ruby&gt;惑星&lt;rt&gt;わくせい&lt;/rt&gt;&lt;/ruby&gt;&lt;br&gt;&lt;div class=""audio""&gt;[sound:わくせい.mp3]&lt;/div&gt;")</f>
        <v>&lt;ruby&gt;惑星&lt;rt&gt;わくせい&lt;/rt&gt;&lt;/ruby&gt;&lt;br&gt;&lt;div class="audio"&gt;[sound:わくせい.mp3]&lt;/div&gt;</v>
      </c>
      <c r="H4116" s="3" t="str">
        <f t="shared" si="1"/>
        <v>(n): hành tinh</v>
      </c>
      <c r="I4116" s="6" t="s">
        <v>22473</v>
      </c>
      <c r="J4116" s="6" t="s">
        <v>22474</v>
      </c>
      <c r="K4116" s="7">
        <f t="shared" si="2"/>
        <v>0.6966366845</v>
      </c>
    </row>
    <row r="4117">
      <c r="A4117" s="4">
        <v>4117.0</v>
      </c>
      <c r="B4117" s="5" t="s">
        <v>22475</v>
      </c>
      <c r="C4117" s="5" t="s">
        <v>22476</v>
      </c>
      <c r="D4117" s="5" t="s">
        <v>22477</v>
      </c>
      <c r="E4117" s="6" t="s">
        <v>74</v>
      </c>
      <c r="F4117" s="6" t="s">
        <v>13852</v>
      </c>
      <c r="G4117" s="3" t="str">
        <f>IFERROR(__xludf.DUMMYFUNCTION("REGEXREPLACE(
D4117,
""([一-龯々]+)\[([^\]]+)\]"",
""&lt;ruby&gt;$1&lt;rt&gt;$2&lt;/rt&gt;&lt;/ruby&gt;""
)&amp;""&lt;br&gt;&lt;div class=""""audio""""&gt;[sound:""&amp;C4117&amp;"".mp3]&lt;/div&gt;"""),"&lt;ruby&gt;憧&lt;rt&gt;あこが&lt;/rt&gt;&lt;/ruby&gt;れ&lt;br&gt;&lt;div class=""audio""&gt;[sound:あこがれ.mp3]&lt;/div&gt;")</f>
        <v>&lt;ruby&gt;憧&lt;rt&gt;あこが&lt;/rt&gt;&lt;/ruby&gt;れ&lt;br&gt;&lt;div class="audio"&gt;[sound:あこがれ.mp3]&lt;/div&gt;</v>
      </c>
      <c r="H4117" s="3" t="str">
        <f t="shared" si="1"/>
        <v>(n): ngưỡng mộ</v>
      </c>
      <c r="I4117" s="6" t="s">
        <v>22478</v>
      </c>
      <c r="J4117" s="6" t="s">
        <v>22479</v>
      </c>
      <c r="K4117" s="7">
        <f t="shared" si="2"/>
        <v>0.05185626535</v>
      </c>
    </row>
    <row r="4118">
      <c r="A4118" s="4">
        <v>4118.0</v>
      </c>
      <c r="B4118" s="5" t="s">
        <v>22480</v>
      </c>
      <c r="C4118" s="5" t="s">
        <v>22481</v>
      </c>
      <c r="D4118" s="5" t="s">
        <v>22482</v>
      </c>
      <c r="E4118" s="6" t="s">
        <v>24</v>
      </c>
      <c r="F4118" s="6" t="s">
        <v>9864</v>
      </c>
      <c r="G4118" s="3" t="str">
        <f>IFERROR(__xludf.DUMMYFUNCTION("REGEXREPLACE(
D4118,
""([一-龯々]+)\[([^\]]+)\]"",
""&lt;ruby&gt;$1&lt;rt&gt;$2&lt;/rt&gt;&lt;/ruby&gt;""
)&amp;""&lt;br&gt;&lt;div class=""""audio""""&gt;[sound:""&amp;C4118&amp;"".mp3]&lt;/div&gt;"""),"&lt;ruby&gt;捧&lt;rt&gt;ささ&lt;/rt&gt;&lt;/ruby&gt;げる&lt;br&gt;&lt;div class=""audio""&gt;[sound:ささげる.mp3]&lt;/div&gt;")</f>
        <v>&lt;ruby&gt;捧&lt;rt&gt;ささ&lt;/rt&gt;&lt;/ruby&gt;げる&lt;br&gt;&lt;div class="audio"&gt;[sound:ささげる.mp3]&lt;/div&gt;</v>
      </c>
      <c r="H4118" s="3" t="str">
        <f t="shared" si="1"/>
        <v>(v): cống hiến</v>
      </c>
      <c r="I4118" s="6" t="s">
        <v>22483</v>
      </c>
      <c r="J4118" s="6" t="s">
        <v>22484</v>
      </c>
      <c r="K4118" s="7">
        <f t="shared" si="2"/>
        <v>0.6283555578</v>
      </c>
    </row>
    <row r="4119">
      <c r="A4119" s="4">
        <v>4119.0</v>
      </c>
      <c r="B4119" s="5" t="s">
        <v>22485</v>
      </c>
      <c r="C4119" s="5" t="s">
        <v>20318</v>
      </c>
      <c r="D4119" s="5" t="s">
        <v>22486</v>
      </c>
      <c r="E4119" s="6" t="s">
        <v>74</v>
      </c>
      <c r="F4119" s="6" t="s">
        <v>22487</v>
      </c>
      <c r="G4119" s="3" t="str">
        <f>IFERROR(__xludf.DUMMYFUNCTION("REGEXREPLACE(
D4119,
""([一-龯々]+)\[([^\]]+)\]"",
""&lt;ruby&gt;$1&lt;rt&gt;$2&lt;/rt&gt;&lt;/ruby&gt;""
)&amp;""&lt;br&gt;&lt;div class=""""audio""""&gt;[sound:""&amp;C4119&amp;"".mp3]&lt;/div&gt;"""),"&lt;ruby&gt;改訂&lt;rt&gt;かいてい&lt;/rt&gt;&lt;/ruby&gt;&lt;br&gt;&lt;div class=""audio""&gt;[sound:かいてい.mp3]&lt;/div&gt;")</f>
        <v>&lt;ruby&gt;改訂&lt;rt&gt;かいてい&lt;/rt&gt;&lt;/ruby&gt;&lt;br&gt;&lt;div class="audio"&gt;[sound:かいてい.mp3]&lt;/div&gt;</v>
      </c>
      <c r="H4119" s="3" t="str">
        <f t="shared" si="1"/>
        <v>(n): chỉnh sửa</v>
      </c>
      <c r="I4119" s="6" t="s">
        <v>22488</v>
      </c>
      <c r="J4119" s="6" t="s">
        <v>22489</v>
      </c>
      <c r="K4119" s="7">
        <f t="shared" si="2"/>
        <v>0.2409372075</v>
      </c>
    </row>
    <row r="4120">
      <c r="A4120" s="4">
        <v>4120.0</v>
      </c>
      <c r="B4120" s="5" t="s">
        <v>22490</v>
      </c>
      <c r="C4120" s="5" t="s">
        <v>22491</v>
      </c>
      <c r="D4120" s="5" t="s">
        <v>22492</v>
      </c>
      <c r="E4120" s="6" t="s">
        <v>24</v>
      </c>
      <c r="F4120" s="6" t="s">
        <v>22493</v>
      </c>
      <c r="G4120" s="3" t="str">
        <f>IFERROR(__xludf.DUMMYFUNCTION("REGEXREPLACE(
D4120,
""([一-龯々]+)\[([^\]]+)\]"",
""&lt;ruby&gt;$1&lt;rt&gt;$2&lt;/rt&gt;&lt;/ruby&gt;""
)&amp;""&lt;br&gt;&lt;div class=""""audio""""&gt;[sound:""&amp;C4120&amp;"".mp3]&lt;/div&gt;"""),"&lt;ruby&gt;早&lt;rt&gt;はや&lt;/rt&gt;&lt;/ruby&gt;める&lt;br&gt;&lt;div class=""audio""&gt;[sound:はやめる.mp3]&lt;/div&gt;")</f>
        <v>&lt;ruby&gt;早&lt;rt&gt;はや&lt;/rt&gt;&lt;/ruby&gt;める&lt;br&gt;&lt;div class="audio"&gt;[sound:はやめる.mp3]&lt;/div&gt;</v>
      </c>
      <c r="H4120" s="3" t="str">
        <f t="shared" si="1"/>
        <v>(v): đẩy nhanh</v>
      </c>
      <c r="I4120" s="6" t="s">
        <v>22494</v>
      </c>
      <c r="J4120" s="6" t="s">
        <v>22495</v>
      </c>
      <c r="K4120" s="7">
        <f t="shared" si="2"/>
        <v>0.2120327554</v>
      </c>
    </row>
    <row r="4121">
      <c r="A4121" s="4">
        <v>4121.0</v>
      </c>
      <c r="B4121" s="5" t="s">
        <v>22496</v>
      </c>
      <c r="C4121" s="5" t="s">
        <v>22497</v>
      </c>
      <c r="D4121" s="5" t="s">
        <v>22498</v>
      </c>
      <c r="E4121" s="6" t="s">
        <v>74</v>
      </c>
      <c r="F4121" s="6" t="s">
        <v>22499</v>
      </c>
      <c r="G4121" s="3" t="str">
        <f>IFERROR(__xludf.DUMMYFUNCTION("REGEXREPLACE(
D4121,
""([一-龯々]+)\[([^\]]+)\]"",
""&lt;ruby&gt;$1&lt;rt&gt;$2&lt;/rt&gt;&lt;/ruby&gt;""
)&amp;""&lt;br&gt;&lt;div class=""""audio""""&gt;[sound:""&amp;C4121&amp;"".mp3]&lt;/div&gt;"""),"&lt;ruby&gt;小児科&lt;rt&gt;しょうにか&lt;/rt&gt;&lt;/ruby&gt;&lt;br&gt;&lt;div class=""audio""&gt;[sound:しょうにか.mp3]&lt;/div&gt;")</f>
        <v>&lt;ruby&gt;小児科&lt;rt&gt;しょうにか&lt;/rt&gt;&lt;/ruby&gt;&lt;br&gt;&lt;div class="audio"&gt;[sound:しょうにか.mp3]&lt;/div&gt;</v>
      </c>
      <c r="H4121" s="3" t="str">
        <f t="shared" si="1"/>
        <v>(n): khoa nhi</v>
      </c>
      <c r="I4121" s="6" t="s">
        <v>22500</v>
      </c>
      <c r="J4121" s="6" t="s">
        <v>22501</v>
      </c>
      <c r="K4121" s="7">
        <f t="shared" si="2"/>
        <v>0.2108503324</v>
      </c>
    </row>
    <row r="4122">
      <c r="A4122" s="4">
        <v>4122.0</v>
      </c>
      <c r="B4122" s="5" t="s">
        <v>22502</v>
      </c>
      <c r="C4122" s="5" t="s">
        <v>16624</v>
      </c>
      <c r="D4122" s="5" t="s">
        <v>22503</v>
      </c>
      <c r="E4122" s="6" t="s">
        <v>11</v>
      </c>
      <c r="F4122" s="6" t="s">
        <v>22504</v>
      </c>
      <c r="G4122" s="3" t="str">
        <f>IFERROR(__xludf.DUMMYFUNCTION("REGEXREPLACE(
D4122,
""([一-龯々]+)\[([^\]]+)\]"",
""&lt;ruby&gt;$1&lt;rt&gt;$2&lt;/rt&gt;&lt;/ruby&gt;""
)&amp;""&lt;br&gt;&lt;div class=""""audio""""&gt;[sound:""&amp;C4122&amp;"".mp3]&lt;/div&gt;"""),"&lt;ruby&gt;強硬&lt;rt&gt;きょうこう&lt;/rt&gt;&lt;/ruby&gt;&lt;br&gt;&lt;div class=""audio""&gt;[sound:きょうこう.mp3]&lt;/div&gt;")</f>
        <v>&lt;ruby&gt;強硬&lt;rt&gt;きょうこう&lt;/rt&gt;&lt;/ruby&gt;&lt;br&gt;&lt;div class="audio"&gt;[sound:きょうこう.mp3]&lt;/div&gt;</v>
      </c>
      <c r="H4122" s="3" t="str">
        <f t="shared" si="1"/>
        <v>(adj): cứng rắn</v>
      </c>
      <c r="I4122" s="6" t="s">
        <v>22505</v>
      </c>
      <c r="J4122" s="6" t="s">
        <v>22506</v>
      </c>
      <c r="K4122" s="7">
        <f t="shared" si="2"/>
        <v>0.8371368333</v>
      </c>
    </row>
    <row r="4123">
      <c r="A4123" s="4">
        <v>4123.0</v>
      </c>
      <c r="B4123" s="5" t="s">
        <v>22507</v>
      </c>
      <c r="C4123" s="5" t="s">
        <v>22508</v>
      </c>
      <c r="D4123" s="5" t="s">
        <v>22509</v>
      </c>
      <c r="E4123" s="6" t="s">
        <v>74</v>
      </c>
      <c r="F4123" s="6" t="s">
        <v>8436</v>
      </c>
      <c r="G4123" s="3" t="str">
        <f>IFERROR(__xludf.DUMMYFUNCTION("REGEXREPLACE(
D4123,
""([一-龯々]+)\[([^\]]+)\]"",
""&lt;ruby&gt;$1&lt;rt&gt;$2&lt;/rt&gt;&lt;/ruby&gt;""
)&amp;""&lt;br&gt;&lt;div class=""""audio""""&gt;[sound:""&amp;C4123&amp;"".mp3]&lt;/div&gt;"""),"&lt;ruby&gt;当&lt;rt&gt;あ&lt;/rt&gt;&lt;/ruby&gt;て&lt;br&gt;&lt;div class=""audio""&gt;[sound:あて.mp3]&lt;/div&gt;")</f>
        <v>&lt;ruby&gt;当&lt;rt&gt;あ&lt;/rt&gt;&lt;/ruby&gt;て&lt;br&gt;&lt;div class="audio"&gt;[sound:あて.mp3]&lt;/div&gt;</v>
      </c>
      <c r="H4123" s="3" t="str">
        <f t="shared" si="1"/>
        <v>(n): mục tiêu</v>
      </c>
      <c r="I4123" s="6" t="s">
        <v>22510</v>
      </c>
      <c r="J4123" s="6" t="s">
        <v>22511</v>
      </c>
      <c r="K4123" s="7">
        <f t="shared" si="2"/>
        <v>0.09807846954</v>
      </c>
    </row>
    <row r="4124">
      <c r="A4124" s="4">
        <v>4124.0</v>
      </c>
      <c r="B4124" s="5" t="s">
        <v>22512</v>
      </c>
      <c r="C4124" s="5" t="s">
        <v>22513</v>
      </c>
      <c r="D4124" s="5" t="s">
        <v>22514</v>
      </c>
      <c r="E4124" s="6" t="s">
        <v>74</v>
      </c>
      <c r="F4124" s="6" t="s">
        <v>2385</v>
      </c>
      <c r="G4124" s="3" t="str">
        <f>IFERROR(__xludf.DUMMYFUNCTION("REGEXREPLACE(
D4124,
""([一-龯々]+)\[([^\]]+)\]"",
""&lt;ruby&gt;$1&lt;rt&gt;$2&lt;/rt&gt;&lt;/ruby&gt;""
)&amp;""&lt;br&gt;&lt;div class=""""audio""""&gt;[sound:""&amp;C4124&amp;"".mp3]&lt;/div&gt;"""),"&lt;ruby&gt;心地&lt;rt&gt;ここち&lt;/rt&gt;&lt;/ruby&gt;&lt;br&gt;&lt;div class=""audio""&gt;[sound:ここち.mp3]&lt;/div&gt;")</f>
        <v>&lt;ruby&gt;心地&lt;rt&gt;ここち&lt;/rt&gt;&lt;/ruby&gt;&lt;br&gt;&lt;div class="audio"&gt;[sound:ここち.mp3]&lt;/div&gt;</v>
      </c>
      <c r="H4124" s="3" t="str">
        <f t="shared" si="1"/>
        <v>(n): cảm giác</v>
      </c>
      <c r="I4124" s="6" t="s">
        <v>22515</v>
      </c>
      <c r="J4124" s="6" t="s">
        <v>22516</v>
      </c>
      <c r="K4124" s="7">
        <f t="shared" si="2"/>
        <v>0.8875385161</v>
      </c>
    </row>
    <row r="4125">
      <c r="A4125" s="4">
        <v>4125.0</v>
      </c>
      <c r="B4125" s="5" t="s">
        <v>22517</v>
      </c>
      <c r="C4125" s="5" t="s">
        <v>22518</v>
      </c>
      <c r="D4125" s="5" t="s">
        <v>22519</v>
      </c>
      <c r="E4125" s="6" t="s">
        <v>24</v>
      </c>
      <c r="F4125" s="6" t="s">
        <v>22520</v>
      </c>
      <c r="G4125" s="3" t="str">
        <f>IFERROR(__xludf.DUMMYFUNCTION("REGEXREPLACE(
D4125,
""([一-龯々]+)\[([^\]]+)\]"",
""&lt;ruby&gt;$1&lt;rt&gt;$2&lt;/rt&gt;&lt;/ruby&gt;""
)&amp;""&lt;br&gt;&lt;div class=""""audio""""&gt;[sound:""&amp;C4125&amp;"".mp3]&lt;/div&gt;"""),"&lt;ruby&gt;悟&lt;rt&gt;さと&lt;/rt&gt;&lt;/ruby&gt;る&lt;br&gt;&lt;div class=""audio""&gt;[sound:さとる.mp3]&lt;/div&gt;")</f>
        <v>&lt;ruby&gt;悟&lt;rt&gt;さと&lt;/rt&gt;&lt;/ruby&gt;る&lt;br&gt;&lt;div class="audio"&gt;[sound:さとる.mp3]&lt;/div&gt;</v>
      </c>
      <c r="H4125" s="3" t="str">
        <f t="shared" si="1"/>
        <v>(v): giác ngộ</v>
      </c>
      <c r="I4125" s="6" t="s">
        <v>22521</v>
      </c>
      <c r="J4125" s="6" t="s">
        <v>22522</v>
      </c>
      <c r="K4125" s="7">
        <f t="shared" si="2"/>
        <v>0.2440220219</v>
      </c>
    </row>
    <row r="4126">
      <c r="A4126" s="4">
        <v>4126.0</v>
      </c>
      <c r="B4126" s="5" t="s">
        <v>22523</v>
      </c>
      <c r="C4126" s="5" t="s">
        <v>19733</v>
      </c>
      <c r="D4126" s="5" t="s">
        <v>22524</v>
      </c>
      <c r="E4126" s="6" t="s">
        <v>74</v>
      </c>
      <c r="F4126" s="6" t="s">
        <v>22525</v>
      </c>
      <c r="G4126" s="3" t="str">
        <f>IFERROR(__xludf.DUMMYFUNCTION("REGEXREPLACE(
D4126,
""([一-龯々]+)\[([^\]]+)\]"",
""&lt;ruby&gt;$1&lt;rt&gt;$2&lt;/rt&gt;&lt;/ruby&gt;""
)&amp;""&lt;br&gt;&lt;div class=""""audio""""&gt;[sound:""&amp;C4126&amp;"".mp3]&lt;/div&gt;"""),"&lt;ruby&gt;慣習&lt;rt&gt;かんしゅう&lt;/rt&gt;&lt;/ruby&gt;&lt;br&gt;&lt;div class=""audio""&gt;[sound:かんしゅう.mp3]&lt;/div&gt;")</f>
        <v>&lt;ruby&gt;慣習&lt;rt&gt;かんしゅう&lt;/rt&gt;&lt;/ruby&gt;&lt;br&gt;&lt;div class="audio"&gt;[sound:かんしゅう.mp3]&lt;/div&gt;</v>
      </c>
      <c r="H4126" s="3" t="str">
        <f t="shared" si="1"/>
        <v>(n): tập quán</v>
      </c>
      <c r="I4126" s="6" t="s">
        <v>22526</v>
      </c>
      <c r="J4126" s="6" t="s">
        <v>22527</v>
      </c>
      <c r="K4126" s="7">
        <f t="shared" si="2"/>
        <v>0.4471151444</v>
      </c>
    </row>
    <row r="4127">
      <c r="A4127" s="4">
        <v>4127.0</v>
      </c>
      <c r="B4127" s="5" t="s">
        <v>22528</v>
      </c>
      <c r="C4127" s="5" t="s">
        <v>22529</v>
      </c>
      <c r="D4127" s="5" t="s">
        <v>22530</v>
      </c>
      <c r="E4127" s="6" t="s">
        <v>11</v>
      </c>
      <c r="F4127" s="6" t="s">
        <v>2569</v>
      </c>
      <c r="G4127" s="3" t="str">
        <f>IFERROR(__xludf.DUMMYFUNCTION("REGEXREPLACE(
D4127,
""([一-龯々]+)\[([^\]]+)\]"",
""&lt;ruby&gt;$1&lt;rt&gt;$2&lt;/rt&gt;&lt;/ruby&gt;""
)&amp;""&lt;br&gt;&lt;div class=""""audio""""&gt;[sound:""&amp;C4127&amp;"".mp3]&lt;/div&gt;"""),"&lt;ruby&gt;所定&lt;rt&gt;しょてい&lt;/rt&gt;&lt;/ruby&gt;&lt;br&gt;&lt;div class=""audio""&gt;[sound:しょてい.mp3]&lt;/div&gt;")</f>
        <v>&lt;ruby&gt;所定&lt;rt&gt;しょてい&lt;/rt&gt;&lt;/ruby&gt;&lt;br&gt;&lt;div class="audio"&gt;[sound:しょてい.mp3]&lt;/div&gt;</v>
      </c>
      <c r="H4127" s="3" t="str">
        <f t="shared" si="1"/>
        <v>(adj): quy định</v>
      </c>
      <c r="I4127" s="6" t="s">
        <v>22531</v>
      </c>
      <c r="J4127" s="6" t="s">
        <v>22532</v>
      </c>
      <c r="K4127" s="7">
        <f t="shared" si="2"/>
        <v>0.1285175462</v>
      </c>
    </row>
    <row r="4128">
      <c r="A4128" s="4">
        <v>4128.0</v>
      </c>
      <c r="B4128" s="5" t="s">
        <v>22533</v>
      </c>
      <c r="C4128" s="5" t="s">
        <v>22534</v>
      </c>
      <c r="D4128" s="5" t="s">
        <v>22535</v>
      </c>
      <c r="E4128" s="6" t="s">
        <v>11</v>
      </c>
      <c r="F4128" s="6" t="s">
        <v>2844</v>
      </c>
      <c r="G4128" s="3" t="str">
        <f>IFERROR(__xludf.DUMMYFUNCTION("REGEXREPLACE(
D4128,
""([一-龯々]+)\[([^\]]+)\]"",
""&lt;ruby&gt;$1&lt;rt&gt;$2&lt;/rt&gt;&lt;/ruby&gt;""
)&amp;""&lt;br&gt;&lt;div class=""""audio""""&gt;[sound:""&amp;C4128&amp;"".mp3]&lt;/div&gt;"""),"&lt;ruby&gt;手軽&lt;rt&gt;てがる&lt;/rt&gt;&lt;/ruby&gt;&lt;br&gt;&lt;div class=""audio""&gt;[sound:てがる.mp3]&lt;/div&gt;")</f>
        <v>&lt;ruby&gt;手軽&lt;rt&gt;てがる&lt;/rt&gt;&lt;/ruby&gt;&lt;br&gt;&lt;div class="audio"&gt;[sound:てがる.mp3]&lt;/div&gt;</v>
      </c>
      <c r="H4128" s="3" t="str">
        <f t="shared" si="1"/>
        <v>(adj): đơn giản</v>
      </c>
      <c r="I4128" s="6" t="s">
        <v>22536</v>
      </c>
      <c r="J4128" s="6" t="s">
        <v>22537</v>
      </c>
      <c r="K4128" s="7">
        <f t="shared" si="2"/>
        <v>0.4215446608</v>
      </c>
    </row>
    <row r="4129">
      <c r="A4129" s="4">
        <v>4129.0</v>
      </c>
      <c r="B4129" s="5" t="s">
        <v>22538</v>
      </c>
      <c r="C4129" s="5" t="s">
        <v>22539</v>
      </c>
      <c r="D4129" s="5" t="s">
        <v>22540</v>
      </c>
      <c r="E4129" s="6" t="s">
        <v>24</v>
      </c>
      <c r="F4129" s="6" t="s">
        <v>1314</v>
      </c>
      <c r="G4129" s="3" t="str">
        <f>IFERROR(__xludf.DUMMYFUNCTION("REGEXREPLACE(
D4129,
""([一-龯々]+)\[([^\]]+)\]"",
""&lt;ruby&gt;$1&lt;rt&gt;$2&lt;/rt&gt;&lt;/ruby&gt;""
)&amp;""&lt;br&gt;&lt;div class=""""audio""""&gt;[sound:""&amp;C4129&amp;"".mp3]&lt;/div&gt;"""),"&lt;ruby&gt;打&lt;rt&gt;う&lt;/rt&gt;&lt;/ruby&gt;ち&lt;ruby&gt;切&lt;rt&gt;き&lt;/rt&gt;&lt;/ruby&gt;る&lt;br&gt;&lt;div class=""audio""&gt;[sound:うちきる.mp3]&lt;/div&gt;")</f>
        <v>&lt;ruby&gt;打&lt;rt&gt;う&lt;/rt&gt;&lt;/ruby&gt;ち&lt;ruby&gt;切&lt;rt&gt;き&lt;/rt&gt;&lt;/ruby&gt;る&lt;br&gt;&lt;div class="audio"&gt;[sound:うちきる.mp3]&lt;/div&gt;</v>
      </c>
      <c r="H4129" s="3" t="str">
        <f t="shared" si="1"/>
        <v>(v): kết thúc</v>
      </c>
      <c r="I4129" s="6" t="s">
        <v>22541</v>
      </c>
      <c r="J4129" s="6" t="s">
        <v>22542</v>
      </c>
      <c r="K4129" s="7">
        <f t="shared" si="2"/>
        <v>0.9177768436</v>
      </c>
    </row>
    <row r="4130">
      <c r="A4130" s="4">
        <v>4130.0</v>
      </c>
      <c r="B4130" s="5" t="s">
        <v>22543</v>
      </c>
      <c r="C4130" s="5" t="s">
        <v>15485</v>
      </c>
      <c r="D4130" s="5" t="s">
        <v>22544</v>
      </c>
      <c r="E4130" s="6" t="s">
        <v>74</v>
      </c>
      <c r="F4130" s="6" t="s">
        <v>22545</v>
      </c>
      <c r="G4130" s="3" t="str">
        <f>IFERROR(__xludf.DUMMYFUNCTION("REGEXREPLACE(
D4130,
""([一-龯々]+)\[([^\]]+)\]"",
""&lt;ruby&gt;$1&lt;rt&gt;$2&lt;/rt&gt;&lt;/ruby&gt;""
)&amp;""&lt;br&gt;&lt;div class=""""audio""""&gt;[sound:""&amp;C4130&amp;"".mp3]&lt;/div&gt;"""),"&lt;ruby&gt;抗争&lt;rt&gt;こうそう&lt;/rt&gt;&lt;/ruby&gt;&lt;br&gt;&lt;div class=""audio""&gt;[sound:こうそう.mp3]&lt;/div&gt;")</f>
        <v>&lt;ruby&gt;抗争&lt;rt&gt;こうそう&lt;/rt&gt;&lt;/ruby&gt;&lt;br&gt;&lt;div class="audio"&gt;[sound:こうそう.mp3]&lt;/div&gt;</v>
      </c>
      <c r="H4130" s="3" t="str">
        <f t="shared" si="1"/>
        <v>(n): xung đột</v>
      </c>
      <c r="I4130" s="6" t="s">
        <v>22546</v>
      </c>
      <c r="J4130" s="6" t="s">
        <v>22547</v>
      </c>
      <c r="K4130" s="7">
        <f t="shared" si="2"/>
        <v>0.3097691135</v>
      </c>
    </row>
    <row r="4131">
      <c r="A4131" s="4">
        <v>4131.0</v>
      </c>
      <c r="B4131" s="5" t="s">
        <v>22548</v>
      </c>
      <c r="C4131" s="5" t="s">
        <v>22549</v>
      </c>
      <c r="D4131" s="5" t="s">
        <v>22550</v>
      </c>
      <c r="E4131" s="6" t="s">
        <v>74</v>
      </c>
      <c r="F4131" s="6" t="s">
        <v>22551</v>
      </c>
      <c r="G4131" s="3" t="str">
        <f>IFERROR(__xludf.DUMMYFUNCTION("REGEXREPLACE(
D4131,
""([一-龯々]+)\[([^\]]+)\]"",
""&lt;ruby&gt;$1&lt;rt&gt;$2&lt;/rt&gt;&lt;/ruby&gt;""
)&amp;""&lt;br&gt;&lt;div class=""""audio""""&gt;[sound:""&amp;C4131&amp;"".mp3]&lt;/div&gt;"""),"&lt;ruby&gt;抽選&lt;rt&gt;ちゅうせん&lt;/rt&gt;&lt;/ruby&gt;&lt;br&gt;&lt;div class=""audio""&gt;[sound:ちゅうせん.mp3]&lt;/div&gt;")</f>
        <v>&lt;ruby&gt;抽選&lt;rt&gt;ちゅうせん&lt;/rt&gt;&lt;/ruby&gt;&lt;br&gt;&lt;div class="audio"&gt;[sound:ちゅうせん.mp3]&lt;/div&gt;</v>
      </c>
      <c r="H4131" s="3" t="str">
        <f t="shared" si="1"/>
        <v>(n): bốc thăm</v>
      </c>
      <c r="I4131" s="6" t="s">
        <v>22552</v>
      </c>
      <c r="J4131" s="6" t="s">
        <v>22553</v>
      </c>
      <c r="K4131" s="7">
        <f t="shared" si="2"/>
        <v>0.3502491154</v>
      </c>
    </row>
    <row r="4132">
      <c r="A4132" s="4">
        <v>4132.0</v>
      </c>
      <c r="B4132" s="5" t="s">
        <v>22554</v>
      </c>
      <c r="C4132" s="5" t="s">
        <v>22555</v>
      </c>
      <c r="D4132" s="5" t="s">
        <v>22556</v>
      </c>
      <c r="E4132" s="6" t="s">
        <v>74</v>
      </c>
      <c r="F4132" s="6" t="s">
        <v>22557</v>
      </c>
      <c r="G4132" s="3" t="str">
        <f>IFERROR(__xludf.DUMMYFUNCTION("REGEXREPLACE(
D4132,
""([一-龯々]+)\[([^\]]+)\]"",
""&lt;ruby&gt;$1&lt;rt&gt;$2&lt;/rt&gt;&lt;/ruby&gt;""
)&amp;""&lt;br&gt;&lt;div class=""""audio""""&gt;[sound:""&amp;C4132&amp;"".mp3]&lt;/div&gt;"""),"&lt;ruby&gt;拒絶&lt;rt&gt;きょぜつ&lt;/rt&gt;&lt;/ruby&gt;&lt;br&gt;&lt;div class=""audio""&gt;[sound:きょぜつ.mp3]&lt;/div&gt;")</f>
        <v>&lt;ruby&gt;拒絶&lt;rt&gt;きょぜつ&lt;/rt&gt;&lt;/ruby&gt;&lt;br&gt;&lt;div class="audio"&gt;[sound:きょぜつ.mp3]&lt;/div&gt;</v>
      </c>
      <c r="H4132" s="3" t="str">
        <f t="shared" si="1"/>
        <v>(n): cự tuyệt</v>
      </c>
      <c r="I4132" s="6" t="s">
        <v>22558</v>
      </c>
      <c r="J4132" s="6" t="s">
        <v>22559</v>
      </c>
      <c r="K4132" s="7">
        <f t="shared" si="2"/>
        <v>0.2590171735</v>
      </c>
    </row>
    <row r="4133">
      <c r="A4133" s="4">
        <v>4133.0</v>
      </c>
      <c r="B4133" s="5" t="s">
        <v>22560</v>
      </c>
      <c r="C4133" s="5" t="s">
        <v>22561</v>
      </c>
      <c r="D4133" s="5" t="s">
        <v>22562</v>
      </c>
      <c r="E4133" s="6" t="s">
        <v>24</v>
      </c>
      <c r="F4133" s="6" t="s">
        <v>9911</v>
      </c>
      <c r="G4133" s="3" t="str">
        <f>IFERROR(__xludf.DUMMYFUNCTION("REGEXREPLACE(
D4133,
""([一-龯々]+)\[([^\]]+)\]"",
""&lt;ruby&gt;$1&lt;rt&gt;$2&lt;/rt&gt;&lt;/ruby&gt;""
)&amp;""&lt;br&gt;&lt;div class=""""audio""""&gt;[sound:""&amp;C4133&amp;"".mp3]&lt;/div&gt;"""),"&lt;ruby&gt;操&lt;rt&gt;あやつ&lt;/rt&gt;&lt;/ruby&gt;る&lt;br&gt;&lt;div class=""audio""&gt;[sound:あやつる.mp3]&lt;/div&gt;")</f>
        <v>&lt;ruby&gt;操&lt;rt&gt;あやつ&lt;/rt&gt;&lt;/ruby&gt;る&lt;br&gt;&lt;div class="audio"&gt;[sound:あやつる.mp3]&lt;/div&gt;</v>
      </c>
      <c r="H4133" s="3" t="str">
        <f t="shared" si="1"/>
        <v>(v): thao tác</v>
      </c>
      <c r="I4133" s="6" t="s">
        <v>22563</v>
      </c>
      <c r="J4133" s="6" t="s">
        <v>22564</v>
      </c>
      <c r="K4133" s="7">
        <f t="shared" si="2"/>
        <v>0.7757549672</v>
      </c>
    </row>
    <row r="4134">
      <c r="A4134" s="4">
        <v>4134.0</v>
      </c>
      <c r="B4134" s="5" t="s">
        <v>22565</v>
      </c>
      <c r="C4134" s="5" t="s">
        <v>22566</v>
      </c>
      <c r="D4134" s="5" t="s">
        <v>22567</v>
      </c>
      <c r="E4134" s="6" t="s">
        <v>74</v>
      </c>
      <c r="F4134" s="6" t="s">
        <v>22568</v>
      </c>
      <c r="G4134" s="3" t="str">
        <f>IFERROR(__xludf.DUMMYFUNCTION("REGEXREPLACE(
D4134,
""([一-龯々]+)\[([^\]]+)\]"",
""&lt;ruby&gt;$1&lt;rt&gt;$2&lt;/rt&gt;&lt;/ruby&gt;""
)&amp;""&lt;br&gt;&lt;div class=""""audio""""&gt;[sound:""&amp;C4134&amp;"".mp3]&lt;/div&gt;"""),"&lt;ruby&gt;放射能&lt;rt&gt;ほうしゃのう&lt;/rt&gt;&lt;/ruby&gt;&lt;br&gt;&lt;div class=""audio""&gt;[sound:ほうしゃのう.mp3]&lt;/div&gt;")</f>
        <v>&lt;ruby&gt;放射能&lt;rt&gt;ほうしゃのう&lt;/rt&gt;&lt;/ruby&gt;&lt;br&gt;&lt;div class="audio"&gt;[sound:ほうしゃのう.mp3]&lt;/div&gt;</v>
      </c>
      <c r="H4134" s="3" t="str">
        <f t="shared" si="1"/>
        <v>(n): phóng xạ</v>
      </c>
      <c r="I4134" s="6" t="s">
        <v>22569</v>
      </c>
      <c r="J4134" s="6" t="s">
        <v>22570</v>
      </c>
      <c r="K4134" s="7">
        <f t="shared" si="2"/>
        <v>0.8081069181</v>
      </c>
    </row>
    <row r="4135">
      <c r="A4135" s="4">
        <v>4135.0</v>
      </c>
      <c r="B4135" s="5" t="s">
        <v>22571</v>
      </c>
      <c r="C4135" s="5" t="s">
        <v>22572</v>
      </c>
      <c r="D4135" s="5" t="s">
        <v>22573</v>
      </c>
      <c r="E4135" s="6" t="s">
        <v>11</v>
      </c>
      <c r="F4135" s="6" t="s">
        <v>22574</v>
      </c>
      <c r="G4135" s="3" t="str">
        <f>IFERROR(__xludf.DUMMYFUNCTION("REGEXREPLACE(
D4135,
""([一-龯々]+)\[([^\]]+)\]"",
""&lt;ruby&gt;$1&lt;rt&gt;$2&lt;/rt&gt;&lt;/ruby&gt;""
)&amp;""&lt;br&gt;&lt;div class=""""audio""""&gt;[sound:""&amp;C4135&amp;"".mp3]&lt;/div&gt;"""),"&lt;ruby&gt;敏感&lt;rt&gt;びんかん&lt;/rt&gt;&lt;/ruby&gt;&lt;br&gt;&lt;div class=""audio""&gt;[sound:びんかん.mp3]&lt;/div&gt;")</f>
        <v>&lt;ruby&gt;敏感&lt;rt&gt;びんかん&lt;/rt&gt;&lt;/ruby&gt;&lt;br&gt;&lt;div class="audio"&gt;[sound:びんかん.mp3]&lt;/div&gt;</v>
      </c>
      <c r="H4135" s="3" t="str">
        <f t="shared" si="1"/>
        <v>(adj): nhạy cảm</v>
      </c>
      <c r="I4135" s="6" t="s">
        <v>22575</v>
      </c>
      <c r="J4135" s="6" t="s">
        <v>22576</v>
      </c>
      <c r="K4135" s="7">
        <f t="shared" si="2"/>
        <v>0.4306857621</v>
      </c>
    </row>
    <row r="4136">
      <c r="A4136" s="4">
        <v>4136.0</v>
      </c>
      <c r="B4136" s="5" t="s">
        <v>22577</v>
      </c>
      <c r="C4136" s="5" t="s">
        <v>22578</v>
      </c>
      <c r="D4136" s="5" t="s">
        <v>22579</v>
      </c>
      <c r="E4136" s="6" t="s">
        <v>85</v>
      </c>
      <c r="F4136" s="6" t="s">
        <v>22580</v>
      </c>
      <c r="G4136" s="3" t="str">
        <f>IFERROR(__xludf.DUMMYFUNCTION("REGEXREPLACE(
D4136,
""([一-龯々]+)\[([^\]]+)\]"",
""&lt;ruby&gt;$1&lt;rt&gt;$2&lt;/rt&gt;&lt;/ruby&gt;""
)&amp;""&lt;br&gt;&lt;div class=""""audio""""&gt;[sound:""&amp;C4136&amp;"".mp3]&lt;/div&gt;"""),"&lt;ruby&gt;敢&lt;rt&gt;あ&lt;/rt&gt;&lt;/ruby&gt;えて&lt;br&gt;&lt;div class=""audio""&gt;[sound:あえて.mp3]&lt;/div&gt;")</f>
        <v>&lt;ruby&gt;敢&lt;rt&gt;あ&lt;/rt&gt;&lt;/ruby&gt;えて&lt;br&gt;&lt;div class="audio"&gt;[sound:あえて.mp3]&lt;/div&gt;</v>
      </c>
      <c r="H4136" s="3" t="str">
        <f t="shared" si="1"/>
        <v>(adv): mạo muội</v>
      </c>
      <c r="I4136" s="6" t="s">
        <v>22581</v>
      </c>
      <c r="J4136" s="6" t="s">
        <v>22582</v>
      </c>
      <c r="K4136" s="7">
        <f t="shared" si="2"/>
        <v>0.4636379715</v>
      </c>
    </row>
    <row r="4137">
      <c r="A4137" s="4">
        <v>4137.0</v>
      </c>
      <c r="B4137" s="5" t="s">
        <v>22583</v>
      </c>
      <c r="C4137" s="5" t="s">
        <v>4694</v>
      </c>
      <c r="D4137" s="5" t="s">
        <v>22584</v>
      </c>
      <c r="E4137" s="6" t="s">
        <v>74</v>
      </c>
      <c r="F4137" s="6" t="s">
        <v>22585</v>
      </c>
      <c r="G4137" s="3" t="str">
        <f>IFERROR(__xludf.DUMMYFUNCTION("REGEXREPLACE(
D4137,
""([一-龯々]+)\[([^\]]+)\]"",
""&lt;ruby&gt;$1&lt;rt&gt;$2&lt;/rt&gt;&lt;/ruby&gt;""
)&amp;""&lt;br&gt;&lt;div class=""""audio""""&gt;[sound:""&amp;C4137&amp;"".mp3]&lt;/div&gt;"""),"&lt;ruby&gt;施行&lt;rt&gt;しこう&lt;/rt&gt;&lt;/ruby&gt;&lt;br&gt;&lt;div class=""audio""&gt;[sound:しこう.mp3]&lt;/div&gt;")</f>
        <v>&lt;ruby&gt;施行&lt;rt&gt;しこう&lt;/rt&gt;&lt;/ruby&gt;&lt;br&gt;&lt;div class="audio"&gt;[sound:しこう.mp3]&lt;/div&gt;</v>
      </c>
      <c r="H4137" s="3" t="str">
        <f t="shared" si="1"/>
        <v>(n): thi hành</v>
      </c>
      <c r="I4137" s="6" t="s">
        <v>22586</v>
      </c>
      <c r="J4137" s="6" t="s">
        <v>22587</v>
      </c>
      <c r="K4137" s="7">
        <f t="shared" si="2"/>
        <v>0.8315498635</v>
      </c>
    </row>
    <row r="4138">
      <c r="A4138" s="4">
        <v>4138.0</v>
      </c>
      <c r="B4138" s="5" t="s">
        <v>22588</v>
      </c>
      <c r="C4138" s="5" t="s">
        <v>22589</v>
      </c>
      <c r="D4138" s="5" t="s">
        <v>22590</v>
      </c>
      <c r="E4138" s="6" t="s">
        <v>11</v>
      </c>
      <c r="F4138" s="6" t="s">
        <v>10342</v>
      </c>
      <c r="G4138" s="3" t="str">
        <f>IFERROR(__xludf.DUMMYFUNCTION("REGEXREPLACE(
D4138,
""([一-龯々]+)\[([^\]]+)\]"",
""&lt;ruby&gt;$1&lt;rt&gt;$2&lt;/rt&gt;&lt;/ruby&gt;""
)&amp;""&lt;br&gt;&lt;div class=""""audio""""&gt;[sound:""&amp;C4138&amp;"".mp3]&lt;/div&gt;"""),"&lt;ruby&gt;早急&lt;rt&gt;さっきゅう&lt;/rt&gt;&lt;/ruby&gt;&lt;br&gt;&lt;div class=""audio""&gt;[sound:さっきゅう.mp3]&lt;/div&gt;")</f>
        <v>&lt;ruby&gt;早急&lt;rt&gt;さっきゅう&lt;/rt&gt;&lt;/ruby&gt;&lt;br&gt;&lt;div class="audio"&gt;[sound:さっきゅう.mp3]&lt;/div&gt;</v>
      </c>
      <c r="H4138" s="3" t="str">
        <f t="shared" si="1"/>
        <v>(adj): khẩn cấp</v>
      </c>
      <c r="I4138" s="6" t="s">
        <v>22591</v>
      </c>
      <c r="J4138" s="6" t="s">
        <v>22592</v>
      </c>
      <c r="K4138" s="7">
        <f t="shared" si="2"/>
        <v>0.8893815337</v>
      </c>
    </row>
    <row r="4139">
      <c r="A4139" s="4">
        <v>4139.0</v>
      </c>
      <c r="B4139" s="5" t="s">
        <v>22593</v>
      </c>
      <c r="C4139" s="5" t="s">
        <v>22594</v>
      </c>
      <c r="D4139" s="5" t="s">
        <v>22595</v>
      </c>
      <c r="E4139" s="6" t="s">
        <v>74</v>
      </c>
      <c r="F4139" s="6" t="s">
        <v>22596</v>
      </c>
      <c r="G4139" s="3" t="str">
        <f>IFERROR(__xludf.DUMMYFUNCTION("REGEXREPLACE(
D4139,
""([一-龯々]+)\[([^\]]+)\]"",
""&lt;ruby&gt;$1&lt;rt&gt;$2&lt;/rt&gt;&lt;/ruby&gt;""
)&amp;""&lt;br&gt;&lt;div class=""""audio""""&gt;[sound:""&amp;C4139&amp;"".mp3]&lt;/div&gt;"""),"&lt;ruby&gt;暴露&lt;rt&gt;ばくろ&lt;/rt&gt;&lt;/ruby&gt;&lt;br&gt;&lt;div class=""audio""&gt;[sound:ばくろ.mp3]&lt;/div&gt;")</f>
        <v>&lt;ruby&gt;暴露&lt;rt&gt;ばくろ&lt;/rt&gt;&lt;/ruby&gt;&lt;br&gt;&lt;div class="audio"&gt;[sound:ばくろ.mp3]&lt;/div&gt;</v>
      </c>
      <c r="H4139" s="3" t="str">
        <f t="shared" si="1"/>
        <v>(n): phơi bày</v>
      </c>
      <c r="I4139" s="6" t="s">
        <v>22597</v>
      </c>
      <c r="J4139" s="6" t="s">
        <v>22598</v>
      </c>
      <c r="K4139" s="7">
        <f t="shared" si="2"/>
        <v>0.3102491206</v>
      </c>
    </row>
    <row r="4140">
      <c r="A4140" s="4">
        <v>4140.0</v>
      </c>
      <c r="B4140" s="5" t="s">
        <v>22599</v>
      </c>
      <c r="C4140" s="5" t="s">
        <v>22600</v>
      </c>
      <c r="D4140" s="5" t="s">
        <v>22601</v>
      </c>
      <c r="E4140" s="6" t="s">
        <v>74</v>
      </c>
      <c r="F4140" s="6" t="s">
        <v>4515</v>
      </c>
      <c r="G4140" s="3" t="str">
        <f>IFERROR(__xludf.DUMMYFUNCTION("REGEXREPLACE(
D4140,
""([一-龯々]+)\[([^\]]+)\]"",
""&lt;ruby&gt;$1&lt;rt&gt;$2&lt;/rt&gt;&lt;/ruby&gt;""
)&amp;""&lt;br&gt;&lt;div class=""""audio""""&gt;[sound:""&amp;C4140&amp;"".mp3]&lt;/div&gt;"""),"&lt;ruby&gt;最善&lt;rt&gt;さいぜん&lt;/rt&gt;&lt;/ruby&gt;&lt;br&gt;&lt;div class=""audio""&gt;[sound:さいぜん.mp3]&lt;/div&gt;")</f>
        <v>&lt;ruby&gt;最善&lt;rt&gt;さいぜん&lt;/rt&gt;&lt;/ruby&gt;&lt;br&gt;&lt;div class="audio"&gt;[sound:さいぜん.mp3]&lt;/div&gt;</v>
      </c>
      <c r="H4140" s="3" t="str">
        <f t="shared" si="1"/>
        <v>(n): tốt nhất</v>
      </c>
      <c r="I4140" s="6" t="s">
        <v>22602</v>
      </c>
      <c r="J4140" s="6" t="s">
        <v>22603</v>
      </c>
      <c r="K4140" s="7">
        <f t="shared" si="2"/>
        <v>0.5255737321</v>
      </c>
    </row>
    <row r="4141">
      <c r="A4141" s="4">
        <v>4141.0</v>
      </c>
      <c r="B4141" s="5" t="s">
        <v>22604</v>
      </c>
      <c r="C4141" s="5" t="s">
        <v>22605</v>
      </c>
      <c r="D4141" s="5" t="s">
        <v>22606</v>
      </c>
      <c r="E4141" s="6" t="s">
        <v>74</v>
      </c>
      <c r="F4141" s="6" t="s">
        <v>22607</v>
      </c>
      <c r="G4141" s="3" t="str">
        <f>IFERROR(__xludf.DUMMYFUNCTION("REGEXREPLACE(
D4141,
""([一-龯々]+)\[([^\]]+)\]"",
""&lt;ruby&gt;$1&lt;rt&gt;$2&lt;/rt&gt;&lt;/ruby&gt;""
)&amp;""&lt;br&gt;&lt;div class=""""audio""""&gt;[sound:""&amp;C4141&amp;"".mp3]&lt;/div&gt;"""),"&lt;ruby&gt;本能&lt;rt&gt;ほんのう&lt;/rt&gt;&lt;/ruby&gt;&lt;br&gt;&lt;div class=""audio""&gt;[sound:ほんのう.mp3]&lt;/div&gt;")</f>
        <v>&lt;ruby&gt;本能&lt;rt&gt;ほんのう&lt;/rt&gt;&lt;/ruby&gt;&lt;br&gt;&lt;div class="audio"&gt;[sound:ほんのう.mp3]&lt;/div&gt;</v>
      </c>
      <c r="H4141" s="3" t="str">
        <f t="shared" si="1"/>
        <v>(n): bản năng</v>
      </c>
      <c r="I4141" s="6" t="s">
        <v>22608</v>
      </c>
      <c r="J4141" s="6" t="s">
        <v>22609</v>
      </c>
      <c r="K4141" s="7">
        <f t="shared" si="2"/>
        <v>0.7098799331</v>
      </c>
    </row>
    <row r="4142">
      <c r="A4142" s="4">
        <v>4142.0</v>
      </c>
      <c r="B4142" s="5" t="s">
        <v>22610</v>
      </c>
      <c r="C4142" s="5" t="s">
        <v>22611</v>
      </c>
      <c r="D4142" s="5" t="s">
        <v>22612</v>
      </c>
      <c r="E4142" s="6" t="s">
        <v>74</v>
      </c>
      <c r="F4142" s="6" t="s">
        <v>22613</v>
      </c>
      <c r="G4142" s="3" t="str">
        <f>IFERROR(__xludf.DUMMYFUNCTION("REGEXREPLACE(
D4142,
""([一-龯々]+)\[([^\]]+)\]"",
""&lt;ruby&gt;$1&lt;rt&gt;$2&lt;/rt&gt;&lt;/ruby&gt;""
)&amp;""&lt;br&gt;&lt;div class=""""audio""""&gt;[sound:""&amp;C4142&amp;"".mp3]&lt;/div&gt;"""),"&lt;ruby&gt;宿命&lt;rt&gt;しゅくめい&lt;/rt&gt;&lt;/ruby&gt;&lt;br&gt;&lt;div class=""audio""&gt;[sound:しゅくめい.mp3]&lt;/div&gt;")</f>
        <v>&lt;ruby&gt;宿命&lt;rt&gt;しゅくめい&lt;/rt&gt;&lt;/ruby&gt;&lt;br&gt;&lt;div class="audio"&gt;[sound:しゅくめい.mp3]&lt;/div&gt;</v>
      </c>
      <c r="H4142" s="3" t="str">
        <f t="shared" si="1"/>
        <v>(n): số mệnh</v>
      </c>
      <c r="I4142" s="6" t="s">
        <v>22614</v>
      </c>
      <c r="J4142" s="6" t="s">
        <v>22615</v>
      </c>
      <c r="K4142" s="7">
        <f t="shared" si="2"/>
        <v>0.2249165317</v>
      </c>
    </row>
    <row r="4143">
      <c r="A4143" s="4">
        <v>4143.0</v>
      </c>
      <c r="B4143" s="5" t="s">
        <v>22616</v>
      </c>
      <c r="C4143" s="5" t="s">
        <v>22617</v>
      </c>
      <c r="D4143" s="5" t="s">
        <v>22618</v>
      </c>
      <c r="E4143" s="6" t="s">
        <v>24</v>
      </c>
      <c r="F4143" s="6" t="s">
        <v>10985</v>
      </c>
      <c r="G4143" s="3" t="str">
        <f>IFERROR(__xludf.DUMMYFUNCTION("REGEXREPLACE(
D4143,
""([一-龯々]+)\[([^\]]+)\]"",
""&lt;ruby&gt;$1&lt;rt&gt;$2&lt;/rt&gt;&lt;/ruby&gt;""
)&amp;""&lt;br&gt;&lt;div class=""""audio""""&gt;[sound:""&amp;C4143&amp;"".mp3]&lt;/div&gt;"""),"&lt;ruby&gt;富&lt;rt&gt;と&lt;/rt&gt;&lt;/ruby&gt;む&lt;br&gt;&lt;div class=""audio""&gt;[sound:とむ.mp3]&lt;/div&gt;")</f>
        <v>&lt;ruby&gt;富&lt;rt&gt;と&lt;/rt&gt;&lt;/ruby&gt;む&lt;br&gt;&lt;div class="audio"&gt;[sound:とむ.mp3]&lt;/div&gt;</v>
      </c>
      <c r="H4143" s="3" t="str">
        <f t="shared" si="1"/>
        <v>(v): giàu có</v>
      </c>
      <c r="I4143" s="6" t="s">
        <v>22619</v>
      </c>
      <c r="J4143" s="6" t="s">
        <v>22620</v>
      </c>
      <c r="K4143" s="7">
        <f t="shared" si="2"/>
        <v>0.5753934927</v>
      </c>
    </row>
    <row r="4144">
      <c r="A4144" s="4">
        <v>4144.0</v>
      </c>
      <c r="B4144" s="5" t="s">
        <v>22621</v>
      </c>
      <c r="C4144" s="5" t="s">
        <v>22622</v>
      </c>
      <c r="D4144" s="5" t="s">
        <v>22623</v>
      </c>
      <c r="E4144" s="6" t="s">
        <v>24</v>
      </c>
      <c r="F4144" s="6" t="s">
        <v>22624</v>
      </c>
      <c r="G4144" s="3" t="str">
        <f>IFERROR(__xludf.DUMMYFUNCTION("REGEXREPLACE(
D4144,
""([一-龯々]+)\[([^\]]+)\]"",
""&lt;ruby&gt;$1&lt;rt&gt;$2&lt;/rt&gt;&lt;/ruby&gt;""
)&amp;""&lt;br&gt;&lt;div class=""""audio""""&gt;[sound:""&amp;C4144&amp;"".mp3]&lt;/div&gt;"""),"&lt;ruby&gt;強&lt;rt&gt;し&lt;/rt&gt;&lt;/ruby&gt;いる&lt;br&gt;&lt;div class=""audio""&gt;[sound:しいる.mp3]&lt;/div&gt;")</f>
        <v>&lt;ruby&gt;強&lt;rt&gt;し&lt;/rt&gt;&lt;/ruby&gt;いる&lt;br&gt;&lt;div class="audio"&gt;[sound:しいる.mp3]&lt;/div&gt;</v>
      </c>
      <c r="H4144" s="3" t="str">
        <f t="shared" si="1"/>
        <v>(v): ép buộc</v>
      </c>
      <c r="I4144" s="6" t="s">
        <v>22625</v>
      </c>
      <c r="J4144" s="6" t="s">
        <v>22626</v>
      </c>
      <c r="K4144" s="7">
        <f t="shared" si="2"/>
        <v>0.4070271125</v>
      </c>
    </row>
    <row r="4145">
      <c r="A4145" s="4">
        <v>4145.0</v>
      </c>
      <c r="B4145" s="5" t="s">
        <v>22627</v>
      </c>
      <c r="C4145" s="5" t="s">
        <v>22628</v>
      </c>
      <c r="D4145" s="5" t="s">
        <v>22629</v>
      </c>
      <c r="E4145" s="6" t="s">
        <v>74</v>
      </c>
      <c r="F4145" s="6" t="s">
        <v>22630</v>
      </c>
      <c r="G4145" s="3" t="str">
        <f>IFERROR(__xludf.DUMMYFUNCTION("REGEXREPLACE(
D4145,
""([一-龯々]+)\[([^\]]+)\]"",
""&lt;ruby&gt;$1&lt;rt&gt;$2&lt;/rt&gt;&lt;/ruby&gt;""
)&amp;""&lt;br&gt;&lt;div class=""""audio""""&gt;[sound:""&amp;C4145&amp;"".mp3]&lt;/div&gt;"""),"&lt;ruby&gt;指令&lt;rt&gt;しれい&lt;/rt&gt;&lt;/ruby&gt;&lt;br&gt;&lt;div class=""audio""&gt;[sound:しれい.mp3]&lt;/div&gt;")</f>
        <v>&lt;ruby&gt;指令&lt;rt&gt;しれい&lt;/rt&gt;&lt;/ruby&gt;&lt;br&gt;&lt;div class="audio"&gt;[sound:しれい.mp3]&lt;/div&gt;</v>
      </c>
      <c r="H4145" s="3" t="str">
        <f t="shared" si="1"/>
        <v>(n): chỉ thị</v>
      </c>
      <c r="I4145" s="6" t="s">
        <v>22631</v>
      </c>
      <c r="J4145" s="6" t="s">
        <v>22632</v>
      </c>
      <c r="K4145" s="7">
        <f t="shared" si="2"/>
        <v>0.4780648333</v>
      </c>
    </row>
    <row r="4146">
      <c r="A4146" s="4">
        <v>4146.0</v>
      </c>
      <c r="B4146" s="5" t="s">
        <v>22633</v>
      </c>
      <c r="C4146" s="5" t="s">
        <v>22634</v>
      </c>
      <c r="D4146" s="5" t="s">
        <v>22635</v>
      </c>
      <c r="E4146" s="6" t="s">
        <v>74</v>
      </c>
      <c r="F4146" s="6" t="s">
        <v>22636</v>
      </c>
      <c r="G4146" s="3" t="str">
        <f>IFERROR(__xludf.DUMMYFUNCTION("REGEXREPLACE(
D4146,
""([一-龯々]+)\[([^\]]+)\]"",
""&lt;ruby&gt;$1&lt;rt&gt;$2&lt;/rt&gt;&lt;/ruby&gt;""
)&amp;""&lt;br&gt;&lt;div class=""""audio""""&gt;[sound:""&amp;C4146&amp;"".mp3]&lt;/div&gt;"""),"&lt;ruby&gt;放出&lt;rt&gt;ほうしゅつ&lt;/rt&gt;&lt;/ruby&gt;&lt;br&gt;&lt;div class=""audio""&gt;[sound:ほうしゅつ.mp3]&lt;/div&gt;")</f>
        <v>&lt;ruby&gt;放出&lt;rt&gt;ほうしゅつ&lt;/rt&gt;&lt;/ruby&gt;&lt;br&gt;&lt;div class="audio"&gt;[sound:ほうしゅつ.mp3]&lt;/div&gt;</v>
      </c>
      <c r="H4146" s="3" t="str">
        <f t="shared" si="1"/>
        <v>(n): phát ra</v>
      </c>
      <c r="I4146" s="6" t="s">
        <v>22637</v>
      </c>
      <c r="J4146" s="6" t="s">
        <v>22638</v>
      </c>
      <c r="K4146" s="7">
        <f t="shared" si="2"/>
        <v>0.03210684342</v>
      </c>
    </row>
    <row r="4147">
      <c r="A4147" s="4">
        <v>4147.0</v>
      </c>
      <c r="B4147" s="5" t="s">
        <v>22639</v>
      </c>
      <c r="C4147" s="5" t="s">
        <v>22640</v>
      </c>
      <c r="D4147" s="5" t="s">
        <v>22641</v>
      </c>
      <c r="E4147" s="6" t="s">
        <v>74</v>
      </c>
      <c r="F4147" s="6" t="s">
        <v>22642</v>
      </c>
      <c r="G4147" s="3" t="str">
        <f>IFERROR(__xludf.DUMMYFUNCTION("REGEXREPLACE(
D4147,
""([一-龯々]+)\[([^\]]+)\]"",
""&lt;ruby&gt;$1&lt;rt&gt;$2&lt;/rt&gt;&lt;/ruby&gt;""
)&amp;""&lt;br&gt;&lt;div class=""""audio""""&gt;[sound:""&amp;C4147&amp;"".mp3]&lt;/div&gt;"""),"&lt;ruby&gt;期末&lt;rt&gt;きまつ&lt;/rt&gt;&lt;/ruby&gt;&lt;br&gt;&lt;div class=""audio""&gt;[sound:きまつ.mp3]&lt;/div&gt;")</f>
        <v>&lt;ruby&gt;期末&lt;rt&gt;きまつ&lt;/rt&gt;&lt;/ruby&gt;&lt;br&gt;&lt;div class="audio"&gt;[sound:きまつ.mp3]&lt;/div&gt;</v>
      </c>
      <c r="H4147" s="3" t="str">
        <f t="shared" si="1"/>
        <v>(n): cuối kỳ</v>
      </c>
      <c r="I4147" s="6" t="s">
        <v>22643</v>
      </c>
      <c r="J4147" s="6" t="s">
        <v>22644</v>
      </c>
      <c r="K4147" s="7">
        <f t="shared" si="2"/>
        <v>0.5284803349</v>
      </c>
    </row>
    <row r="4148">
      <c r="A4148" s="4">
        <v>4148.0</v>
      </c>
      <c r="B4148" s="5" t="s">
        <v>22645</v>
      </c>
      <c r="C4148" s="5" t="s">
        <v>22646</v>
      </c>
      <c r="D4148" s="5" t="s">
        <v>22647</v>
      </c>
      <c r="E4148" s="6" t="s">
        <v>85</v>
      </c>
      <c r="F4148" s="6" t="s">
        <v>22648</v>
      </c>
      <c r="G4148" s="3" t="str">
        <f>IFERROR(__xludf.DUMMYFUNCTION("REGEXREPLACE(
D4148,
""([一-龯々]+)\[([^\]]+)\]"",
""&lt;ruby&gt;$1&lt;rt&gt;$2&lt;/rt&gt;&lt;/ruby&gt;""
)&amp;""&lt;br&gt;&lt;div class=""""audio""""&gt;[sound:""&amp;C4148&amp;"".mp3]&lt;/div&gt;"""),"&lt;ruby&gt;専&lt;rt&gt;もっぱ&lt;/rt&gt;&lt;/ruby&gt;ら&lt;br&gt;&lt;div class=""audio""&gt;[sound:もっぱら.mp3]&lt;/div&gt;")</f>
        <v>&lt;ruby&gt;専&lt;rt&gt;もっぱ&lt;/rt&gt;&lt;/ruby&gt;ら&lt;br&gt;&lt;div class="audio"&gt;[sound:もっぱら.mp3]&lt;/div&gt;</v>
      </c>
      <c r="H4148" s="3" t="str">
        <f t="shared" si="1"/>
        <v>(adv): chuyên</v>
      </c>
      <c r="I4148" s="6" t="s">
        <v>22649</v>
      </c>
      <c r="J4148" s="6" t="s">
        <v>22650</v>
      </c>
      <c r="K4148" s="7">
        <f t="shared" si="2"/>
        <v>0.6951077342</v>
      </c>
    </row>
    <row r="4149">
      <c r="A4149" s="4">
        <v>4149.0</v>
      </c>
      <c r="B4149" s="5" t="s">
        <v>22651</v>
      </c>
      <c r="C4149" s="5" t="s">
        <v>22652</v>
      </c>
      <c r="D4149" s="5" t="s">
        <v>22653</v>
      </c>
      <c r="E4149" s="6" t="s">
        <v>74</v>
      </c>
      <c r="F4149" s="6" t="s">
        <v>22654</v>
      </c>
      <c r="G4149" s="3" t="str">
        <f>IFERROR(__xludf.DUMMYFUNCTION("REGEXREPLACE(
D4149,
""([一-龯々]+)\[([^\]]+)\]"",
""&lt;ruby&gt;$1&lt;rt&gt;$2&lt;/rt&gt;&lt;/ruby&gt;""
)&amp;""&lt;br&gt;&lt;div class=""""audio""""&gt;[sound:""&amp;C4149&amp;"".mp3]&lt;/div&gt;"""),"&lt;ruby&gt;座標&lt;rt&gt;ざひょう&lt;/rt&gt;&lt;/ruby&gt;&lt;br&gt;&lt;div class=""audio""&gt;[sound:ざひょう.mp3]&lt;/div&gt;")</f>
        <v>&lt;ruby&gt;座標&lt;rt&gt;ざひょう&lt;/rt&gt;&lt;/ruby&gt;&lt;br&gt;&lt;div class="audio"&gt;[sound:ざひょう.mp3]&lt;/div&gt;</v>
      </c>
      <c r="H4149" s="3" t="str">
        <f t="shared" si="1"/>
        <v>(n): tọa độ</v>
      </c>
      <c r="I4149" s="6" t="s">
        <v>22655</v>
      </c>
      <c r="J4149" s="6" t="s">
        <v>22656</v>
      </c>
      <c r="K4149" s="7">
        <f t="shared" si="2"/>
        <v>0.4848537321</v>
      </c>
    </row>
    <row r="4150">
      <c r="A4150" s="4">
        <v>4150.0</v>
      </c>
      <c r="B4150" s="5" t="s">
        <v>22657</v>
      </c>
      <c r="C4150" s="5" t="s">
        <v>22658</v>
      </c>
      <c r="D4150" s="5" t="s">
        <v>22659</v>
      </c>
      <c r="E4150" s="6" t="s">
        <v>24</v>
      </c>
      <c r="F4150" s="6" t="s">
        <v>22660</v>
      </c>
      <c r="G4150" s="3" t="str">
        <f>IFERROR(__xludf.DUMMYFUNCTION("REGEXREPLACE(
D4150,
""([一-龯々]+)\[([^\]]+)\]"",
""&lt;ruby&gt;$1&lt;rt&gt;$2&lt;/rt&gt;&lt;/ruby&gt;""
)&amp;""&lt;br&gt;&lt;div class=""""audio""""&gt;[sound:""&amp;C4150&amp;"".mp3]&lt;/div&gt;"""),"&lt;ruby&gt;引&lt;rt&gt;ひ&lt;/rt&gt;&lt;/ruby&gt;きずる&lt;br&gt;&lt;div class=""audio""&gt;[sound:ひきずる.mp3]&lt;/div&gt;")</f>
        <v>&lt;ruby&gt;引&lt;rt&gt;ひ&lt;/rt&gt;&lt;/ruby&gt;きずる&lt;br&gt;&lt;div class="audio"&gt;[sound:ひきずる.mp3]&lt;/div&gt;</v>
      </c>
      <c r="H4150" s="3" t="str">
        <f t="shared" si="1"/>
        <v>(v): kéo lê</v>
      </c>
      <c r="I4150" s="6" t="s">
        <v>22661</v>
      </c>
      <c r="J4150" s="6" t="s">
        <v>22662</v>
      </c>
      <c r="K4150" s="7">
        <f t="shared" si="2"/>
        <v>0.4891674863</v>
      </c>
    </row>
    <row r="4151">
      <c r="A4151" s="4">
        <v>4151.0</v>
      </c>
      <c r="B4151" s="5" t="s">
        <v>22663</v>
      </c>
      <c r="C4151" s="5" t="s">
        <v>22664</v>
      </c>
      <c r="D4151" s="5" t="s">
        <v>22665</v>
      </c>
      <c r="E4151" s="6" t="s">
        <v>74</v>
      </c>
      <c r="F4151" s="6" t="s">
        <v>7568</v>
      </c>
      <c r="G4151" s="3" t="str">
        <f>IFERROR(__xludf.DUMMYFUNCTION("REGEXREPLACE(
D4151,
""([一-龯々]+)\[([^\]]+)\]"",
""&lt;ruby&gt;$1&lt;rt&gt;$2&lt;/rt&gt;&lt;/ruby&gt;""
)&amp;""&lt;br&gt;&lt;div class=""""audio""""&gt;[sound:""&amp;C4151&amp;"".mp3]&lt;/div&gt;"""),"&lt;ruby&gt;所持&lt;rt&gt;しょじ&lt;/rt&gt;&lt;/ruby&gt;&lt;br&gt;&lt;div class=""audio""&gt;[sound:しょじ.mp3]&lt;/div&gt;")</f>
        <v>&lt;ruby&gt;所持&lt;rt&gt;しょじ&lt;/rt&gt;&lt;/ruby&gt;&lt;br&gt;&lt;div class="audio"&gt;[sound:しょじ.mp3]&lt;/div&gt;</v>
      </c>
      <c r="H4151" s="3" t="str">
        <f t="shared" si="1"/>
        <v>(n): sở hữu</v>
      </c>
      <c r="I4151" s="6" t="s">
        <v>22666</v>
      </c>
      <c r="J4151" s="6" t="s">
        <v>22667</v>
      </c>
      <c r="K4151" s="7">
        <f t="shared" si="2"/>
        <v>0.9302419019</v>
      </c>
    </row>
    <row r="4152">
      <c r="A4152" s="4">
        <v>4152.0</v>
      </c>
      <c r="B4152" s="5" t="s">
        <v>22668</v>
      </c>
      <c r="C4152" s="5" t="s">
        <v>22669</v>
      </c>
      <c r="D4152" s="5" t="s">
        <v>22670</v>
      </c>
      <c r="E4152" s="6" t="s">
        <v>74</v>
      </c>
      <c r="F4152" s="6" t="s">
        <v>22671</v>
      </c>
      <c r="G4152" s="3" t="str">
        <f>IFERROR(__xludf.DUMMYFUNCTION("REGEXREPLACE(
D4152,
""([一-龯々]+)\[([^\]]+)\]"",
""&lt;ruby&gt;$1&lt;rt&gt;$2&lt;/rt&gt;&lt;/ruby&gt;""
)&amp;""&lt;br&gt;&lt;div class=""""audio""""&gt;[sound:""&amp;C4152&amp;"".mp3]&lt;/div&gt;"""),"&lt;ruby&gt;打開&lt;rt&gt;だかい&lt;/rt&gt;&lt;/ruby&gt;&lt;br&gt;&lt;div class=""audio""&gt;[sound:だかい.mp3]&lt;/div&gt;")</f>
        <v>&lt;ruby&gt;打開&lt;rt&gt;だかい&lt;/rt&gt;&lt;/ruby&gt;&lt;br&gt;&lt;div class="audio"&gt;[sound:だかい.mp3]&lt;/div&gt;</v>
      </c>
      <c r="H4152" s="3" t="str">
        <f t="shared" si="1"/>
        <v>(n): phá vỡ</v>
      </c>
      <c r="I4152" s="6" t="s">
        <v>22672</v>
      </c>
      <c r="J4152" s="6" t="s">
        <v>22673</v>
      </c>
      <c r="K4152" s="7">
        <f t="shared" si="2"/>
        <v>0.2051932497</v>
      </c>
    </row>
    <row r="4153">
      <c r="A4153" s="4">
        <v>4153.0</v>
      </c>
      <c r="B4153" s="5" t="s">
        <v>22674</v>
      </c>
      <c r="C4153" s="5" t="s">
        <v>22675</v>
      </c>
      <c r="D4153" s="5" t="s">
        <v>22676</v>
      </c>
      <c r="E4153" s="6" t="s">
        <v>24</v>
      </c>
      <c r="F4153" s="6" t="s">
        <v>22677</v>
      </c>
      <c r="G4153" s="3" t="str">
        <f>IFERROR(__xludf.DUMMYFUNCTION("REGEXREPLACE(
D4153,
""([一-龯々]+)\[([^\]]+)\]"",
""&lt;ruby&gt;$1&lt;rt&gt;$2&lt;/rt&gt;&lt;/ruby&gt;""
)&amp;""&lt;br&gt;&lt;div class=""""audio""""&gt;[sound:""&amp;C4153&amp;"".mp3]&lt;/div&gt;"""),"&lt;ruby&gt;投&lt;rt&gt;な&lt;/rt&gt;&lt;/ruby&gt;げ&lt;ruby&gt;出&lt;rt&gt;だ&lt;/rt&gt;&lt;/ruby&gt;す&lt;br&gt;&lt;div class=""audio""&gt;[sound:なげだす.mp3]&lt;/div&gt;")</f>
        <v>&lt;ruby&gt;投&lt;rt&gt;な&lt;/rt&gt;&lt;/ruby&gt;げ&lt;ruby&gt;出&lt;rt&gt;だ&lt;/rt&gt;&lt;/ruby&gt;す&lt;br&gt;&lt;div class="audio"&gt;[sound:なげだす.mp3]&lt;/div&gt;</v>
      </c>
      <c r="H4153" s="3" t="str">
        <f t="shared" si="1"/>
        <v>(v): ném ra</v>
      </c>
      <c r="I4153" s="6" t="s">
        <v>22678</v>
      </c>
      <c r="J4153" s="6" t="s">
        <v>22679</v>
      </c>
      <c r="K4153" s="7">
        <f t="shared" si="2"/>
        <v>0.7550978906</v>
      </c>
    </row>
    <row r="4154">
      <c r="A4154" s="4">
        <v>4154.0</v>
      </c>
      <c r="B4154" s="5" t="s">
        <v>22680</v>
      </c>
      <c r="C4154" s="5" t="s">
        <v>9417</v>
      </c>
      <c r="D4154" s="5" t="s">
        <v>22681</v>
      </c>
      <c r="E4154" s="6" t="s">
        <v>74</v>
      </c>
      <c r="F4154" s="6" t="s">
        <v>22682</v>
      </c>
      <c r="G4154" s="3" t="str">
        <f>IFERROR(__xludf.DUMMYFUNCTION("REGEXREPLACE(
D4154,
""([一-龯々]+)\[([^\]]+)\]"",
""&lt;ruby&gt;$1&lt;rt&gt;$2&lt;/rt&gt;&lt;/ruby&gt;""
)&amp;""&lt;br&gt;&lt;div class=""""audio""""&gt;[sound:""&amp;C4154&amp;"".mp3]&lt;/div&gt;"""),"&lt;ruby&gt;改修&lt;rt&gt;かいしゅう&lt;/rt&gt;&lt;/ruby&gt;&lt;br&gt;&lt;div class=""audio""&gt;[sound:かいしゅう.mp3]&lt;/div&gt;")</f>
        <v>&lt;ruby&gt;改修&lt;rt&gt;かいしゅう&lt;/rt&gt;&lt;/ruby&gt;&lt;br&gt;&lt;div class="audio"&gt;[sound:かいしゅう.mp3]&lt;/div&gt;</v>
      </c>
      <c r="H4154" s="3" t="str">
        <f t="shared" si="1"/>
        <v>(n): tu sửa</v>
      </c>
      <c r="I4154" s="6" t="s">
        <v>22683</v>
      </c>
      <c r="J4154" s="6" t="s">
        <v>22684</v>
      </c>
      <c r="K4154" s="7">
        <f t="shared" si="2"/>
        <v>0.4749600287</v>
      </c>
    </row>
    <row r="4155">
      <c r="A4155" s="4">
        <v>4155.0</v>
      </c>
      <c r="B4155" s="5" t="s">
        <v>22685</v>
      </c>
      <c r="C4155" s="5" t="s">
        <v>22686</v>
      </c>
      <c r="D4155" s="5" t="s">
        <v>22687</v>
      </c>
      <c r="E4155" s="6" t="s">
        <v>74</v>
      </c>
      <c r="F4155" s="6" t="s">
        <v>22688</v>
      </c>
      <c r="G4155" s="3" t="str">
        <f>IFERROR(__xludf.DUMMYFUNCTION("REGEXREPLACE(
D4155,
""([一-龯々]+)\[([^\]]+)\]"",
""&lt;ruby&gt;$1&lt;rt&gt;$2&lt;/rt&gt;&lt;/ruby&gt;""
)&amp;""&lt;br&gt;&lt;div class=""""audio""""&gt;[sound:""&amp;C4155&amp;"".mp3]&lt;/div&gt;"""),"&lt;ruby&gt;救済&lt;rt&gt;きゅうさい&lt;/rt&gt;&lt;/ruby&gt;&lt;br&gt;&lt;div class=""audio""&gt;[sound:きゅうさい.mp3]&lt;/div&gt;")</f>
        <v>&lt;ruby&gt;救済&lt;rt&gt;きゅうさい&lt;/rt&gt;&lt;/ruby&gt;&lt;br&gt;&lt;div class="audio"&gt;[sound:きゅうさい.mp3]&lt;/div&gt;</v>
      </c>
      <c r="H4155" s="3" t="str">
        <f t="shared" si="1"/>
        <v>(n): cứu tế</v>
      </c>
      <c r="I4155" s="6" t="s">
        <v>22689</v>
      </c>
      <c r="J4155" s="6" t="s">
        <v>22690</v>
      </c>
      <c r="K4155" s="7">
        <f t="shared" si="2"/>
        <v>0.0751432533</v>
      </c>
    </row>
    <row r="4156">
      <c r="A4156" s="4">
        <v>4156.0</v>
      </c>
      <c r="B4156" s="5" t="s">
        <v>22691</v>
      </c>
      <c r="C4156" s="5" t="s">
        <v>22692</v>
      </c>
      <c r="D4156" s="5" t="s">
        <v>22693</v>
      </c>
      <c r="E4156" s="6" t="s">
        <v>24</v>
      </c>
      <c r="F4156" s="6" t="s">
        <v>22694</v>
      </c>
      <c r="G4156" s="3" t="str">
        <f>IFERROR(__xludf.DUMMYFUNCTION("REGEXREPLACE(
D4156,
""([一-龯々]+)\[([^\]]+)\]"",
""&lt;ruby&gt;$1&lt;rt&gt;$2&lt;/rt&gt;&lt;/ruby&gt;""
)&amp;""&lt;br&gt;&lt;div class=""""audio""""&gt;[sound:""&amp;C4156&amp;"".mp3]&lt;/div&gt;"""),"&lt;ruby&gt;明&lt;rt&gt;あ&lt;/rt&gt;&lt;/ruby&gt;かす&lt;br&gt;&lt;div class=""audio""&gt;[sound:あかす.mp3]&lt;/div&gt;")</f>
        <v>&lt;ruby&gt;明&lt;rt&gt;あ&lt;/rt&gt;&lt;/ruby&gt;かす&lt;br&gt;&lt;div class="audio"&gt;[sound:あかす.mp3]&lt;/div&gt;</v>
      </c>
      <c r="H4156" s="3" t="str">
        <f t="shared" si="1"/>
        <v>(v): làm rõ</v>
      </c>
      <c r="I4156" s="6" t="s">
        <v>22695</v>
      </c>
      <c r="J4156" s="6" t="s">
        <v>22696</v>
      </c>
      <c r="K4156" s="7">
        <f t="shared" si="2"/>
        <v>0.7578333392</v>
      </c>
    </row>
    <row r="4157">
      <c r="A4157" s="4">
        <v>4157.0</v>
      </c>
      <c r="B4157" s="5" t="s">
        <v>22697</v>
      </c>
      <c r="C4157" s="5" t="s">
        <v>22698</v>
      </c>
      <c r="D4157" s="5" t="s">
        <v>22699</v>
      </c>
      <c r="E4157" s="6" t="s">
        <v>74</v>
      </c>
      <c r="F4157" s="6" t="s">
        <v>22700</v>
      </c>
      <c r="G4157" s="3" t="str">
        <f>IFERROR(__xludf.DUMMYFUNCTION("REGEXREPLACE(
D4157,
""([一-龯々]+)\[([^\]]+)\]"",
""&lt;ruby&gt;$1&lt;rt&gt;$2&lt;/rt&gt;&lt;/ruby&gt;""
)&amp;""&lt;br&gt;&lt;div class=""""audio""""&gt;[sound:""&amp;C4157&amp;"".mp3]&lt;/div&gt;"""),"&lt;ruby&gt;暗示&lt;rt&gt;あんじ&lt;/rt&gt;&lt;/ruby&gt;&lt;br&gt;&lt;div class=""audio""&gt;[sound:あんじ.mp3]&lt;/div&gt;")</f>
        <v>&lt;ruby&gt;暗示&lt;rt&gt;あんじ&lt;/rt&gt;&lt;/ruby&gt;&lt;br&gt;&lt;div class="audio"&gt;[sound:あんじ.mp3]&lt;/div&gt;</v>
      </c>
      <c r="H4157" s="3" t="str">
        <f t="shared" si="1"/>
        <v>(n): ám chỉ</v>
      </c>
      <c r="I4157" s="6" t="s">
        <v>22701</v>
      </c>
      <c r="J4157" s="6" t="s">
        <v>22702</v>
      </c>
      <c r="K4157" s="7">
        <f t="shared" si="2"/>
        <v>0.8764551649</v>
      </c>
    </row>
    <row r="4158">
      <c r="A4158" s="4">
        <v>4158.0</v>
      </c>
      <c r="B4158" s="5" t="s">
        <v>22703</v>
      </c>
      <c r="C4158" s="5" t="s">
        <v>22704</v>
      </c>
      <c r="D4158" s="5" t="s">
        <v>22705</v>
      </c>
      <c r="E4158" s="6" t="s">
        <v>74</v>
      </c>
      <c r="F4158" s="6" t="s">
        <v>3115</v>
      </c>
      <c r="G4158" s="3" t="str">
        <f>IFERROR(__xludf.DUMMYFUNCTION("REGEXREPLACE(
D4158,
""([一-龯々]+)\[([^\]]+)\]"",
""&lt;ruby&gt;$1&lt;rt&gt;$2&lt;/rt&gt;&lt;/ruby&gt;""
)&amp;""&lt;br&gt;&lt;div class=""""audio""""&gt;[sound:""&amp;C4158&amp;"".mp3]&lt;/div&gt;"""),"&lt;ruby&gt;旦那&lt;rt&gt;だんな&lt;/rt&gt;&lt;/ruby&gt;&lt;br&gt;&lt;div class=""audio""&gt;[sound:だんな.mp3]&lt;/div&gt;")</f>
        <v>&lt;ruby&gt;旦那&lt;rt&gt;だんな&lt;/rt&gt;&lt;/ruby&gt;&lt;br&gt;&lt;div class="audio"&gt;[sound:だんな.mp3]&lt;/div&gt;</v>
      </c>
      <c r="H4158" s="3" t="str">
        <f t="shared" si="1"/>
        <v>(n): chồng</v>
      </c>
      <c r="I4158" s="6" t="s">
        <v>22706</v>
      </c>
      <c r="J4158" s="6" t="s">
        <v>22707</v>
      </c>
      <c r="K4158" s="7">
        <f t="shared" si="2"/>
        <v>0.57423537</v>
      </c>
    </row>
    <row r="4159">
      <c r="A4159" s="4">
        <v>4159.0</v>
      </c>
      <c r="B4159" s="5" t="s">
        <v>22708</v>
      </c>
      <c r="C4159" s="5" t="s">
        <v>22709</v>
      </c>
      <c r="D4159" s="5" t="s">
        <v>22710</v>
      </c>
      <c r="E4159" s="6" t="s">
        <v>74</v>
      </c>
      <c r="F4159" s="6" t="s">
        <v>19637</v>
      </c>
      <c r="G4159" s="3" t="str">
        <f>IFERROR(__xludf.DUMMYFUNCTION("REGEXREPLACE(
D4159,
""([一-龯々]+)\[([^\]]+)\]"",
""&lt;ruby&gt;$1&lt;rt&gt;$2&lt;/rt&gt;&lt;/ruby&gt;""
)&amp;""&lt;br&gt;&lt;div class=""""audio""""&gt;[sound:""&amp;C4159&amp;"".mp3]&lt;/div&gt;"""),"&lt;ruby&gt;徴収&lt;rt&gt;ちょうしゅう&lt;/rt&gt;&lt;/ruby&gt;&lt;br&gt;&lt;div class=""audio""&gt;[sound:ちょうしゅう.mp3]&lt;/div&gt;")</f>
        <v>&lt;ruby&gt;徴収&lt;rt&gt;ちょうしゅう&lt;/rt&gt;&lt;/ruby&gt;&lt;br&gt;&lt;div class="audio"&gt;[sound:ちょうしゅう.mp3]&lt;/div&gt;</v>
      </c>
      <c r="H4159" s="3" t="str">
        <f t="shared" si="1"/>
        <v>(n): thu</v>
      </c>
      <c r="I4159" s="6" t="s">
        <v>22711</v>
      </c>
      <c r="J4159" s="6" t="s">
        <v>22712</v>
      </c>
      <c r="K4159" s="7">
        <f t="shared" si="2"/>
        <v>0.2007713531</v>
      </c>
    </row>
    <row r="4160">
      <c r="A4160" s="4">
        <v>4160.0</v>
      </c>
      <c r="B4160" s="5" t="s">
        <v>22713</v>
      </c>
      <c r="C4160" s="5" t="s">
        <v>22714</v>
      </c>
      <c r="D4160" s="5" t="s">
        <v>22715</v>
      </c>
      <c r="E4160" s="6" t="s">
        <v>24</v>
      </c>
      <c r="F4160" s="6" t="s">
        <v>22716</v>
      </c>
      <c r="G4160" s="3" t="str">
        <f>IFERROR(__xludf.DUMMYFUNCTION("REGEXREPLACE(
D4160,
""([一-龯々]+)\[([^\]]+)\]"",
""&lt;ruby&gt;$1&lt;rt&gt;$2&lt;/rt&gt;&lt;/ruby&gt;""
)&amp;""&lt;br&gt;&lt;div class=""""audio""""&gt;[sound:""&amp;C4160&amp;"".mp3]&lt;/div&gt;"""),"&lt;ruby&gt;恋&lt;rt&gt;こい&lt;/rt&gt;&lt;/ruby&gt;する&lt;br&gt;&lt;div class=""audio""&gt;[sound:こいする.mp3]&lt;/div&gt;")</f>
        <v>&lt;ruby&gt;恋&lt;rt&gt;こい&lt;/rt&gt;&lt;/ruby&gt;する&lt;br&gt;&lt;div class="audio"&gt;[sound:こいする.mp3]&lt;/div&gt;</v>
      </c>
      <c r="H4160" s="3" t="str">
        <f t="shared" si="1"/>
        <v>(v): yêu</v>
      </c>
      <c r="I4160" s="6" t="s">
        <v>22717</v>
      </c>
      <c r="J4160" s="6" t="s">
        <v>22718</v>
      </c>
      <c r="K4160" s="7">
        <f t="shared" si="2"/>
        <v>0.1383825901</v>
      </c>
    </row>
    <row r="4161">
      <c r="A4161" s="4">
        <v>4161.0</v>
      </c>
      <c r="B4161" s="5" t="s">
        <v>22719</v>
      </c>
      <c r="C4161" s="5" t="s">
        <v>22720</v>
      </c>
      <c r="D4161" s="5" t="s">
        <v>22721</v>
      </c>
      <c r="E4161" s="6" t="s">
        <v>24</v>
      </c>
      <c r="F4161" s="6" t="s">
        <v>734</v>
      </c>
      <c r="G4161" s="3" t="str">
        <f>IFERROR(__xludf.DUMMYFUNCTION("REGEXREPLACE(
D4161,
""([一-龯々]+)\[([^\]]+)\]"",
""&lt;ruby&gt;$1&lt;rt&gt;$2&lt;/rt&gt;&lt;/ruby&gt;""
)&amp;""&lt;br&gt;&lt;div class=""""audio""""&gt;[sound:""&amp;C4161&amp;"".mp3]&lt;/div&gt;"""),"&lt;ruby&gt;据&lt;rt&gt;す&lt;/rt&gt;&lt;/ruby&gt;える&lt;br&gt;&lt;div class=""audio""&gt;[sound:すえる.mp3]&lt;/div&gt;")</f>
        <v>&lt;ruby&gt;据&lt;rt&gt;す&lt;/rt&gt;&lt;/ruby&gt;える&lt;br&gt;&lt;div class="audio"&gt;[sound:すえる.mp3]&lt;/div&gt;</v>
      </c>
      <c r="H4161" s="3" t="str">
        <f t="shared" si="1"/>
        <v>(v): đặt</v>
      </c>
      <c r="I4161" s="6" t="s">
        <v>22722</v>
      </c>
      <c r="J4161" s="6" t="s">
        <v>22723</v>
      </c>
      <c r="K4161" s="7">
        <f t="shared" si="2"/>
        <v>0.8582597779</v>
      </c>
    </row>
    <row r="4162">
      <c r="A4162" s="4">
        <v>4162.0</v>
      </c>
      <c r="B4162" s="5" t="s">
        <v>22724</v>
      </c>
      <c r="C4162" s="5" t="s">
        <v>22725</v>
      </c>
      <c r="D4162" s="5" t="s">
        <v>22726</v>
      </c>
      <c r="E4162" s="6" t="s">
        <v>74</v>
      </c>
      <c r="F4162" s="6" t="s">
        <v>5021</v>
      </c>
      <c r="G4162" s="3" t="str">
        <f>IFERROR(__xludf.DUMMYFUNCTION("REGEXREPLACE(
D4162,
""([一-龯々]+)\[([^\]]+)\]"",
""&lt;ruby&gt;$1&lt;rt&gt;$2&lt;/rt&gt;&lt;/ruby&gt;""
)&amp;""&lt;br&gt;&lt;div class=""""audio""""&gt;[sound:""&amp;C4162&amp;"".mp3]&lt;/div&gt;"""),"&lt;ruby&gt;岩石&lt;rt&gt;がんせき&lt;/rt&gt;&lt;/ruby&gt;&lt;br&gt;&lt;div class=""audio""&gt;[sound:がんせき.mp3]&lt;/div&gt;")</f>
        <v>&lt;ruby&gt;岩石&lt;rt&gt;がんせき&lt;/rt&gt;&lt;/ruby&gt;&lt;br&gt;&lt;div class="audio"&gt;[sound:がんせき.mp3]&lt;/div&gt;</v>
      </c>
      <c r="H4162" s="3" t="str">
        <f t="shared" si="1"/>
        <v>(n): đá</v>
      </c>
      <c r="I4162" s="6" t="s">
        <v>22727</v>
      </c>
      <c r="J4162" s="6" t="s">
        <v>22728</v>
      </c>
      <c r="K4162" s="7">
        <f t="shared" si="2"/>
        <v>0.9028886047</v>
      </c>
    </row>
    <row r="4163">
      <c r="A4163" s="4">
        <v>4163.0</v>
      </c>
      <c r="B4163" s="5" t="s">
        <v>22729</v>
      </c>
      <c r="C4163" s="5" t="s">
        <v>22730</v>
      </c>
      <c r="D4163" s="5" t="s">
        <v>22731</v>
      </c>
      <c r="E4163" s="6" t="s">
        <v>74</v>
      </c>
      <c r="F4163" s="6" t="s">
        <v>22732</v>
      </c>
      <c r="G4163" s="3" t="str">
        <f>IFERROR(__xludf.DUMMYFUNCTION("REGEXREPLACE(
D4163,
""([一-龯々]+)\[([^\]]+)\]"",
""&lt;ruby&gt;$1&lt;rt&gt;$2&lt;/rt&gt;&lt;/ruby&gt;""
)&amp;""&lt;br&gt;&lt;div class=""""audio""""&gt;[sound:""&amp;C4163&amp;"".mp3]&lt;/div&gt;"""),"&lt;ruby&gt;援助&lt;rt&gt;えんじょ&lt;/rt&gt;&lt;/ruby&gt;&lt;br&gt;&lt;div class=""audio""&gt;[sound:えんじょ.mp3]&lt;/div&gt;")</f>
        <v>&lt;ruby&gt;援助&lt;rt&gt;えんじょ&lt;/rt&gt;&lt;/ruby&gt;&lt;br&gt;&lt;div class="audio"&gt;[sound:えんじょ.mp3]&lt;/div&gt;</v>
      </c>
      <c r="H4163" s="3" t="str">
        <f t="shared" si="1"/>
        <v>(n): viện trợ</v>
      </c>
      <c r="I4163" s="6" t="s">
        <v>22733</v>
      </c>
      <c r="J4163" s="6" t="s">
        <v>22734</v>
      </c>
      <c r="K4163" s="7">
        <f t="shared" si="2"/>
        <v>0.2294509442</v>
      </c>
    </row>
    <row r="4164">
      <c r="A4164" s="4">
        <v>4164.0</v>
      </c>
      <c r="B4164" s="5" t="s">
        <v>22735</v>
      </c>
      <c r="C4164" s="5" t="s">
        <v>22736</v>
      </c>
      <c r="D4164" s="5" t="s">
        <v>22737</v>
      </c>
      <c r="E4164" s="6" t="s">
        <v>74</v>
      </c>
      <c r="F4164" s="6" t="s">
        <v>22738</v>
      </c>
      <c r="G4164" s="3" t="str">
        <f>IFERROR(__xludf.DUMMYFUNCTION("REGEXREPLACE(
D4164,
""([一-龯々]+)\[([^\]]+)\]"",
""&lt;ruby&gt;$1&lt;rt&gt;$2&lt;/rt&gt;&lt;/ruby&gt;""
)&amp;""&lt;br&gt;&lt;div class=""""audio""""&gt;[sound:""&amp;C4164&amp;"".mp3]&lt;/div&gt;"""),"&lt;ruby&gt;期限&lt;rt&gt;きげん&lt;/rt&gt;&lt;/ruby&gt;&lt;br&gt;&lt;div class=""audio""&gt;[sound:きげん.mp3]&lt;/div&gt;")</f>
        <v>&lt;ruby&gt;期限&lt;rt&gt;きげん&lt;/rt&gt;&lt;/ruby&gt;&lt;br&gt;&lt;div class="audio"&gt;[sound:きげん.mp3]&lt;/div&gt;</v>
      </c>
      <c r="H4164" s="3" t="str">
        <f t="shared" si="1"/>
        <v>(n): hạn cuối</v>
      </c>
      <c r="I4164" s="6" t="s">
        <v>22739</v>
      </c>
      <c r="J4164" s="6" t="s">
        <v>22740</v>
      </c>
      <c r="K4164" s="7">
        <f t="shared" si="2"/>
        <v>0.4409304802</v>
      </c>
    </row>
    <row r="4165">
      <c r="A4165" s="4">
        <v>4165.0</v>
      </c>
      <c r="B4165" s="5" t="s">
        <v>22741</v>
      </c>
      <c r="C4165" s="5" t="s">
        <v>22742</v>
      </c>
      <c r="D4165" s="5" t="s">
        <v>22743</v>
      </c>
      <c r="E4165" s="6" t="s">
        <v>74</v>
      </c>
      <c r="F4165" s="6" t="s">
        <v>22744</v>
      </c>
      <c r="G4165" s="3" t="str">
        <f>IFERROR(__xludf.DUMMYFUNCTION("REGEXREPLACE(
D4165,
""([一-龯々]+)\[([^\]]+)\]"",
""&lt;ruby&gt;$1&lt;rt&gt;$2&lt;/rt&gt;&lt;/ruby&gt;""
)&amp;""&lt;br&gt;&lt;div class=""""audio""""&gt;[sound:""&amp;C4165&amp;"".mp3]&lt;/div&gt;"""),"&lt;ruby&gt;残&lt;rt&gt;のこ&lt;/rt&gt;&lt;/ruby&gt;り&lt;br&gt;&lt;div class=""audio""&gt;[sound:のこり.mp3]&lt;/div&gt;")</f>
        <v>&lt;ruby&gt;残&lt;rt&gt;のこ&lt;/rt&gt;&lt;/ruby&gt;り&lt;br&gt;&lt;div class="audio"&gt;[sound:のこり.mp3]&lt;/div&gt;</v>
      </c>
      <c r="H4165" s="3" t="str">
        <f t="shared" si="1"/>
        <v>(n): phần còn lại</v>
      </c>
      <c r="I4165" s="6" t="s">
        <v>22745</v>
      </c>
      <c r="J4165" s="6" t="s">
        <v>22746</v>
      </c>
      <c r="K4165" s="7">
        <f t="shared" si="2"/>
        <v>0.1428855104</v>
      </c>
    </row>
    <row r="4166">
      <c r="A4166" s="4">
        <v>4166.0</v>
      </c>
      <c r="B4166" s="5" t="s">
        <v>22747</v>
      </c>
      <c r="C4166" s="5" t="s">
        <v>22748</v>
      </c>
      <c r="D4166" s="5" t="s">
        <v>22749</v>
      </c>
      <c r="E4166" s="6" t="s">
        <v>74</v>
      </c>
      <c r="F4166" s="6" t="s">
        <v>22750</v>
      </c>
      <c r="G4166" s="3" t="str">
        <f>IFERROR(__xludf.DUMMYFUNCTION("REGEXREPLACE(
D4166,
""([一-龯々]+)\[([^\]]+)\]"",
""&lt;ruby&gt;$1&lt;rt&gt;$2&lt;/rt&gt;&lt;/ruby&gt;""
)&amp;""&lt;br&gt;&lt;div class=""""audio""""&gt;[sound:""&amp;C4166&amp;"".mp3]&lt;/div&gt;"""),"&lt;ruby&gt;森&lt;rt&gt;もり&lt;/rt&gt;&lt;/ruby&gt;&lt;br&gt;&lt;div class=""audio""&gt;[sound:もり.mp3]&lt;/div&gt;")</f>
        <v>&lt;ruby&gt;森&lt;rt&gt;もり&lt;/rt&gt;&lt;/ruby&gt;&lt;br&gt;&lt;div class="audio"&gt;[sound:もり.mp3]&lt;/div&gt;</v>
      </c>
      <c r="H4166" s="3" t="str">
        <f t="shared" si="1"/>
        <v>(n): rừng</v>
      </c>
      <c r="I4166" s="6" t="s">
        <v>22751</v>
      </c>
      <c r="J4166" s="6" t="s">
        <v>22752</v>
      </c>
      <c r="K4166" s="7">
        <f t="shared" si="2"/>
        <v>0.3283296235</v>
      </c>
    </row>
    <row r="4167">
      <c r="A4167" s="4">
        <v>4167.0</v>
      </c>
      <c r="B4167" s="5" t="s">
        <v>22753</v>
      </c>
      <c r="C4167" s="5" t="s">
        <v>22754</v>
      </c>
      <c r="D4167" s="5" t="s">
        <v>22755</v>
      </c>
      <c r="E4167" s="6" t="s">
        <v>24</v>
      </c>
      <c r="F4167" s="6" t="s">
        <v>22756</v>
      </c>
      <c r="G4167" s="3" t="str">
        <f>IFERROR(__xludf.DUMMYFUNCTION("REGEXREPLACE(
D4167,
""([一-龯々]+)\[([^\]]+)\]"",
""&lt;ruby&gt;$1&lt;rt&gt;$2&lt;/rt&gt;&lt;/ruby&gt;""
)&amp;""&lt;br&gt;&lt;div class=""""audio""""&gt;[sound:""&amp;C4167&amp;"".mp3]&lt;/div&gt;"""),"&lt;ruby&gt;敷&lt;rt&gt;し&lt;/rt&gt;&lt;/ruby&gt;く&lt;br&gt;&lt;div class=""audio""&gt;[sound:しく.mp3]&lt;/div&gt;")</f>
        <v>&lt;ruby&gt;敷&lt;rt&gt;し&lt;/rt&gt;&lt;/ruby&gt;く&lt;br&gt;&lt;div class="audio"&gt;[sound:しく.mp3]&lt;/div&gt;</v>
      </c>
      <c r="H4167" s="3" t="str">
        <f t="shared" si="1"/>
        <v>(v): trải</v>
      </c>
      <c r="I4167" s="6" t="s">
        <v>22757</v>
      </c>
      <c r="J4167" s="6" t="s">
        <v>22758</v>
      </c>
      <c r="K4167" s="7">
        <f t="shared" si="2"/>
        <v>0.4936071002</v>
      </c>
    </row>
    <row r="4168">
      <c r="A4168" s="4">
        <v>4168.0</v>
      </c>
      <c r="B4168" s="5" t="s">
        <v>22759</v>
      </c>
      <c r="C4168" s="5" t="s">
        <v>2949</v>
      </c>
      <c r="D4168" s="5" t="s">
        <v>22760</v>
      </c>
      <c r="E4168" s="6" t="s">
        <v>24</v>
      </c>
      <c r="F4168" s="6" t="s">
        <v>1314</v>
      </c>
      <c r="G4168" s="3" t="str">
        <f>IFERROR(__xludf.DUMMYFUNCTION("REGEXREPLACE(
D4168,
""([一-龯々]+)\[([^\]]+)\]"",
""&lt;ruby&gt;$1&lt;rt&gt;$2&lt;/rt&gt;&lt;/ruby&gt;""
)&amp;""&lt;br&gt;&lt;div class=""""audio""""&gt;[sound:""&amp;C4168&amp;"".mp3]&lt;/div&gt;"""),"&lt;ruby&gt;明&lt;rt&gt;あ&lt;/rt&gt;&lt;/ruby&gt;ける&lt;br&gt;&lt;div class=""audio""&gt;[sound:あける.mp3]&lt;/div&gt;")</f>
        <v>&lt;ruby&gt;明&lt;rt&gt;あ&lt;/rt&gt;&lt;/ruby&gt;ける&lt;br&gt;&lt;div class="audio"&gt;[sound:あける.mp3]&lt;/div&gt;</v>
      </c>
      <c r="H4168" s="3" t="str">
        <f t="shared" si="1"/>
        <v>(v): kết thúc</v>
      </c>
      <c r="I4168" s="6" t="s">
        <v>22761</v>
      </c>
      <c r="J4168" s="6" t="s">
        <v>22762</v>
      </c>
      <c r="K4168" s="7">
        <f t="shared" si="2"/>
        <v>0.09673050009</v>
      </c>
    </row>
    <row r="4169">
      <c r="A4169" s="4">
        <v>4169.0</v>
      </c>
      <c r="B4169" s="5" t="s">
        <v>22763</v>
      </c>
      <c r="C4169" s="5" t="s">
        <v>22764</v>
      </c>
      <c r="D4169" s="5" t="s">
        <v>22765</v>
      </c>
      <c r="E4169" s="6" t="s">
        <v>74</v>
      </c>
      <c r="F4169" s="6" t="s">
        <v>22766</v>
      </c>
      <c r="G4169" s="3" t="str">
        <f>IFERROR(__xludf.DUMMYFUNCTION("REGEXREPLACE(
D4169,
""([一-龯々]+)\[([^\]]+)\]"",
""&lt;ruby&gt;$1&lt;rt&gt;$2&lt;/rt&gt;&lt;/ruby&gt;""
)&amp;""&lt;br&gt;&lt;div class=""""audio""""&gt;[sound:""&amp;C4169&amp;"".mp3]&lt;/div&gt;"""),"&lt;ruby&gt;待望&lt;rt&gt;たいぼう&lt;/rt&gt;&lt;/ruby&gt;&lt;br&gt;&lt;div class=""audio""&gt;[sound:たいぼう.mp3]&lt;/div&gt;")</f>
        <v>&lt;ruby&gt;待望&lt;rt&gt;たいぼう&lt;/rt&gt;&lt;/ruby&gt;&lt;br&gt;&lt;div class="audio"&gt;[sound:たいぼう.mp3]&lt;/div&gt;</v>
      </c>
      <c r="H4169" s="3" t="str">
        <f t="shared" si="1"/>
        <v>(n): được chờ đợi</v>
      </c>
      <c r="I4169" s="6" t="s">
        <v>22767</v>
      </c>
      <c r="J4169" s="6" t="s">
        <v>22768</v>
      </c>
      <c r="K4169" s="7">
        <f t="shared" si="2"/>
        <v>0.8063759675</v>
      </c>
    </row>
    <row r="4170">
      <c r="A4170" s="4">
        <v>4170.0</v>
      </c>
      <c r="B4170" s="5" t="s">
        <v>22769</v>
      </c>
      <c r="C4170" s="5" t="s">
        <v>22770</v>
      </c>
      <c r="D4170" s="5" t="s">
        <v>22771</v>
      </c>
      <c r="E4170" s="6" t="s">
        <v>74</v>
      </c>
      <c r="F4170" s="6" t="s">
        <v>5073</v>
      </c>
      <c r="G4170" s="3" t="str">
        <f>IFERROR(__xludf.DUMMYFUNCTION("REGEXREPLACE(
D4170,
""([一-龯々]+)\[([^\]]+)\]"",
""&lt;ruby&gt;$1&lt;rt&gt;$2&lt;/rt&gt;&lt;/ruby&gt;""
)&amp;""&lt;br&gt;&lt;div class=""""audio""""&gt;[sound:""&amp;C4170&amp;"".mp3]&lt;/div&gt;"""),"&lt;ruby&gt;平常&lt;rt&gt;へいじょう&lt;/rt&gt;&lt;/ruby&gt;&lt;br&gt;&lt;div class=""audio""&gt;[sound:へいじょう.mp3]&lt;/div&gt;")</f>
        <v>&lt;ruby&gt;平常&lt;rt&gt;へいじょう&lt;/rt&gt;&lt;/ruby&gt;&lt;br&gt;&lt;div class="audio"&gt;[sound:へいじょう.mp3]&lt;/div&gt;</v>
      </c>
      <c r="H4170" s="3" t="str">
        <f t="shared" si="1"/>
        <v>(n): bình thường</v>
      </c>
      <c r="I4170" s="6" t="s">
        <v>22772</v>
      </c>
      <c r="J4170" s="6" t="s">
        <v>22773</v>
      </c>
      <c r="K4170" s="7">
        <f t="shared" si="2"/>
        <v>0.08683131823</v>
      </c>
    </row>
    <row r="4171">
      <c r="A4171" s="4">
        <v>4171.0</v>
      </c>
      <c r="B4171" s="5" t="s">
        <v>22774</v>
      </c>
      <c r="C4171" s="5" t="s">
        <v>22775</v>
      </c>
      <c r="D4171" s="5" t="s">
        <v>22776</v>
      </c>
      <c r="E4171" s="6" t="s">
        <v>74</v>
      </c>
      <c r="F4171" s="6" t="s">
        <v>22777</v>
      </c>
      <c r="G4171" s="3" t="str">
        <f>IFERROR(__xludf.DUMMYFUNCTION("REGEXREPLACE(
D4171,
""([一-龯々]+)\[([^\]]+)\]"",
""&lt;ruby&gt;$1&lt;rt&gt;$2&lt;/rt&gt;&lt;/ruby&gt;""
)&amp;""&lt;br&gt;&lt;div class=""""audio""""&gt;[sound:""&amp;C4171&amp;"".mp3]&lt;/div&gt;"""),"&lt;ruby&gt;封鎖&lt;rt&gt;ふうさ&lt;/rt&gt;&lt;/ruby&gt;&lt;br&gt;&lt;div class=""audio""&gt;[sound:ふうさ.mp3]&lt;/div&gt;")</f>
        <v>&lt;ruby&gt;封鎖&lt;rt&gt;ふうさ&lt;/rt&gt;&lt;/ruby&gt;&lt;br&gt;&lt;div class="audio"&gt;[sound:ふうさ.mp3]&lt;/div&gt;</v>
      </c>
      <c r="H4171" s="3" t="str">
        <f t="shared" si="1"/>
        <v>(n): phong tỏa</v>
      </c>
      <c r="I4171" s="6" t="s">
        <v>22778</v>
      </c>
      <c r="J4171" s="6" t="s">
        <v>22779</v>
      </c>
      <c r="K4171" s="7">
        <f t="shared" si="2"/>
        <v>0.4059641809</v>
      </c>
    </row>
    <row r="4172">
      <c r="A4172" s="4">
        <v>4172.0</v>
      </c>
      <c r="B4172" s="5" t="s">
        <v>22780</v>
      </c>
      <c r="C4172" s="5" t="s">
        <v>5036</v>
      </c>
      <c r="D4172" s="5" t="s">
        <v>22781</v>
      </c>
      <c r="E4172" s="6" t="s">
        <v>74</v>
      </c>
      <c r="F4172" s="6" t="s">
        <v>13547</v>
      </c>
      <c r="G4172" s="3" t="str">
        <f>IFERROR(__xludf.DUMMYFUNCTION("REGEXREPLACE(
D4172,
""([一-龯々]+)\[([^\]]+)\]"",
""&lt;ruby&gt;$1&lt;rt&gt;$2&lt;/rt&gt;&lt;/ruby&gt;""
)&amp;""&lt;br&gt;&lt;div class=""""audio""""&gt;[sound:""&amp;C4172&amp;"".mp3]&lt;/div&gt;"""),"&lt;ruby&gt;形勢&lt;rt&gt;けいせい&lt;/rt&gt;&lt;/ruby&gt;&lt;br&gt;&lt;div class=""audio""&gt;[sound:けいせい.mp3]&lt;/div&gt;")</f>
        <v>&lt;ruby&gt;形勢&lt;rt&gt;けいせい&lt;/rt&gt;&lt;/ruby&gt;&lt;br&gt;&lt;div class="audio"&gt;[sound:けいせい.mp3]&lt;/div&gt;</v>
      </c>
      <c r="H4172" s="3" t="str">
        <f t="shared" si="1"/>
        <v>(n): thế trận</v>
      </c>
      <c r="I4172" s="6" t="s">
        <v>22782</v>
      </c>
      <c r="J4172" s="6" t="s">
        <v>22783</v>
      </c>
      <c r="K4172" s="7">
        <f t="shared" si="2"/>
        <v>0.8922119819</v>
      </c>
    </row>
    <row r="4173">
      <c r="A4173" s="4">
        <v>4173.0</v>
      </c>
      <c r="B4173" s="5" t="s">
        <v>22784</v>
      </c>
      <c r="C4173" s="5" t="s">
        <v>22785</v>
      </c>
      <c r="D4173" s="5" t="s">
        <v>22786</v>
      </c>
      <c r="E4173" s="6" t="s">
        <v>74</v>
      </c>
      <c r="F4173" s="6" t="s">
        <v>22787</v>
      </c>
      <c r="G4173" s="3" t="str">
        <f>IFERROR(__xludf.DUMMYFUNCTION("REGEXREPLACE(
D4173,
""([一-龯々]+)\[([^\]]+)\]"",
""&lt;ruby&gt;$1&lt;rt&gt;$2&lt;/rt&gt;&lt;/ruby&gt;""
)&amp;""&lt;br&gt;&lt;div class=""""audio""""&gt;[sound:""&amp;C4173&amp;"".mp3]&lt;/div&gt;"""),"&lt;ruby&gt;手掛&lt;rt&gt;てが&lt;/rt&gt;&lt;/ruby&gt;かり&lt;br&gt;&lt;div class=""audio""&gt;[sound:てがかり.mp3]&lt;/div&gt;")</f>
        <v>&lt;ruby&gt;手掛&lt;rt&gt;てが&lt;/rt&gt;&lt;/ruby&gt;かり&lt;br&gt;&lt;div class="audio"&gt;[sound:てがかり.mp3]&lt;/div&gt;</v>
      </c>
      <c r="H4173" s="3" t="str">
        <f t="shared" si="1"/>
        <v>(n): manh mối</v>
      </c>
      <c r="I4173" s="6" t="s">
        <v>22788</v>
      </c>
      <c r="J4173" s="6" t="s">
        <v>22789</v>
      </c>
      <c r="K4173" s="7">
        <f t="shared" si="2"/>
        <v>0.9978111264</v>
      </c>
    </row>
    <row r="4174">
      <c r="A4174" s="4">
        <v>4174.0</v>
      </c>
      <c r="B4174" s="5" t="s">
        <v>22790</v>
      </c>
      <c r="C4174" s="5" t="s">
        <v>22791</v>
      </c>
      <c r="D4174" s="5" t="s">
        <v>22792</v>
      </c>
      <c r="E4174" s="6" t="s">
        <v>24</v>
      </c>
      <c r="F4174" s="6" t="s">
        <v>22793</v>
      </c>
      <c r="G4174" s="3" t="str">
        <f>IFERROR(__xludf.DUMMYFUNCTION("REGEXREPLACE(
D4174,
""([一-龯々]+)\[([^\]]+)\]"",
""&lt;ruby&gt;$1&lt;rt&gt;$2&lt;/rt&gt;&lt;/ruby&gt;""
)&amp;""&lt;br&gt;&lt;div class=""""audio""""&gt;[sound:""&amp;C4174&amp;"".mp3]&lt;/div&gt;"""),"&lt;ruby&gt;惜&lt;rt&gt;お&lt;/rt&gt;&lt;/ruby&gt;しむ&lt;br&gt;&lt;div class=""audio""&gt;[sound:おしむ.mp3]&lt;/div&gt;")</f>
        <v>&lt;ruby&gt;惜&lt;rt&gt;お&lt;/rt&gt;&lt;/ruby&gt;しむ&lt;br&gt;&lt;div class="audio"&gt;[sound:おしむ.mp3]&lt;/div&gt;</v>
      </c>
      <c r="H4174" s="3" t="str">
        <f t="shared" si="1"/>
        <v>(v): tiếc</v>
      </c>
      <c r="I4174" s="6" t="s">
        <v>22794</v>
      </c>
      <c r="J4174" s="6" t="s">
        <v>22795</v>
      </c>
      <c r="K4174" s="7">
        <f t="shared" si="2"/>
        <v>0.6327243905</v>
      </c>
    </row>
    <row r="4175">
      <c r="A4175" s="4">
        <v>4175.0</v>
      </c>
      <c r="B4175" s="5" t="s">
        <v>22796</v>
      </c>
      <c r="C4175" s="5" t="s">
        <v>22797</v>
      </c>
      <c r="D4175" s="5" t="s">
        <v>22798</v>
      </c>
      <c r="E4175" s="6" t="s">
        <v>74</v>
      </c>
      <c r="F4175" s="6" t="s">
        <v>22799</v>
      </c>
      <c r="G4175" s="3" t="str">
        <f>IFERROR(__xludf.DUMMYFUNCTION("REGEXREPLACE(
D4175,
""([一-龯々]+)\[([^\]]+)\]"",
""&lt;ruby&gt;$1&lt;rt&gt;$2&lt;/rt&gt;&lt;/ruby&gt;""
)&amp;""&lt;br&gt;&lt;div class=""""audio""""&gt;[sound:""&amp;C4175&amp;"".mp3]&lt;/div&gt;"""),"&lt;ruby&gt;曇&lt;rt&gt;くも&lt;/rt&gt;&lt;/ruby&gt;り&lt;br&gt;&lt;div class=""audio""&gt;[sound:くもり.mp3]&lt;/div&gt;")</f>
        <v>&lt;ruby&gt;曇&lt;rt&gt;くも&lt;/rt&gt;&lt;/ruby&gt;り&lt;br&gt;&lt;div class="audio"&gt;[sound:くもり.mp3]&lt;/div&gt;</v>
      </c>
      <c r="H4175" s="3" t="str">
        <f t="shared" si="1"/>
        <v>(n): trời mây</v>
      </c>
      <c r="I4175" s="6" t="s">
        <v>22800</v>
      </c>
      <c r="J4175" s="6" t="s">
        <v>22801</v>
      </c>
      <c r="K4175" s="7">
        <f t="shared" si="2"/>
        <v>0.001492046056</v>
      </c>
    </row>
    <row r="4176">
      <c r="A4176" s="4">
        <v>4176.0</v>
      </c>
      <c r="B4176" s="5" t="s">
        <v>22802</v>
      </c>
      <c r="C4176" s="5" t="s">
        <v>22803</v>
      </c>
      <c r="D4176" s="5" t="s">
        <v>22804</v>
      </c>
      <c r="E4176" s="6" t="s">
        <v>24</v>
      </c>
      <c r="F4176" s="6" t="s">
        <v>22805</v>
      </c>
      <c r="G4176" s="3" t="str">
        <f>IFERROR(__xludf.DUMMYFUNCTION("REGEXREPLACE(
D4176,
""([一-龯々]+)\[([^\]]+)\]"",
""&lt;ruby&gt;$1&lt;rt&gt;$2&lt;/rt&gt;&lt;/ruby&gt;""
)&amp;""&lt;br&gt;&lt;div class=""""audio""""&gt;[sound:""&amp;C4176&amp;"".mp3]&lt;/div&gt;"""),"&lt;ruby&gt;構&lt;rt&gt;かま&lt;/rt&gt;&lt;/ruby&gt;いません&lt;br&gt;&lt;div class=""audio""&gt;[sound:かまいません.mp3]&lt;/div&gt;")</f>
        <v>&lt;ruby&gt;構&lt;rt&gt;かま&lt;/rt&gt;&lt;/ruby&gt;いません&lt;br&gt;&lt;div class="audio"&gt;[sound:かまいません.mp3]&lt;/div&gt;</v>
      </c>
      <c r="H4176" s="3" t="str">
        <f t="shared" si="1"/>
        <v>(v): không sao</v>
      </c>
      <c r="I4176" s="6" t="s">
        <v>22806</v>
      </c>
      <c r="J4176" s="6" t="s">
        <v>22807</v>
      </c>
      <c r="K4176" s="7">
        <f t="shared" si="2"/>
        <v>0.192792159</v>
      </c>
    </row>
    <row r="4177">
      <c r="A4177" s="4">
        <v>4177.0</v>
      </c>
      <c r="B4177" s="5" t="s">
        <v>22808</v>
      </c>
      <c r="C4177" s="5" t="s">
        <v>22809</v>
      </c>
      <c r="D4177" s="5" t="s">
        <v>22810</v>
      </c>
      <c r="E4177" s="6" t="s">
        <v>74</v>
      </c>
      <c r="F4177" s="6" t="s">
        <v>22811</v>
      </c>
      <c r="G4177" s="3" t="str">
        <f>IFERROR(__xludf.DUMMYFUNCTION("REGEXREPLACE(
D4177,
""([一-龯々]+)\[([^\]]+)\]"",
""&lt;ruby&gt;$1&lt;rt&gt;$2&lt;/rt&gt;&lt;/ruby&gt;""
)&amp;""&lt;br&gt;&lt;div class=""""audio""""&gt;[sound:""&amp;C4177&amp;"".mp3]&lt;/div&gt;"""),"&lt;ruby&gt;文法&lt;rt&gt;ぶんぽう&lt;/rt&gt;&lt;/ruby&gt;&lt;br&gt;&lt;div class=""audio""&gt;[sound:ぶんぽう.mp3]&lt;/div&gt;")</f>
        <v>&lt;ruby&gt;文法&lt;rt&gt;ぶんぽう&lt;/rt&gt;&lt;/ruby&gt;&lt;br&gt;&lt;div class="audio"&gt;[sound:ぶんぽう.mp3]&lt;/div&gt;</v>
      </c>
      <c r="H4177" s="3" t="str">
        <f t="shared" si="1"/>
        <v>(n): ngữ pháp</v>
      </c>
      <c r="I4177" s="6" t="s">
        <v>22812</v>
      </c>
      <c r="J4177" s="6" t="s">
        <v>22813</v>
      </c>
      <c r="K4177" s="7">
        <f t="shared" si="2"/>
        <v>0.835824306</v>
      </c>
    </row>
    <row r="4178">
      <c r="A4178" s="4">
        <v>4178.0</v>
      </c>
      <c r="B4178" s="5" t="s">
        <v>22814</v>
      </c>
      <c r="C4178" s="5" t="s">
        <v>22815</v>
      </c>
      <c r="D4178" s="5" t="s">
        <v>22816</v>
      </c>
      <c r="E4178" s="6" t="s">
        <v>74</v>
      </c>
      <c r="F4178" s="6" t="s">
        <v>22817</v>
      </c>
      <c r="G4178" s="3" t="str">
        <f>IFERROR(__xludf.DUMMYFUNCTION("REGEXREPLACE(
D4178,
""([一-龯々]+)\[([^\]]+)\]"",
""&lt;ruby&gt;$1&lt;rt&gt;$2&lt;/rt&gt;&lt;/ruby&gt;""
)&amp;""&lt;br&gt;&lt;div class=""""audio""""&gt;[sound:""&amp;C4178&amp;"".mp3]&lt;/div&gt;"""),"&lt;ruby&gt;日記&lt;rt&gt;にっき&lt;/rt&gt;&lt;/ruby&gt;&lt;br&gt;&lt;div class=""audio""&gt;[sound:にっき.mp3]&lt;/div&gt;")</f>
        <v>&lt;ruby&gt;日記&lt;rt&gt;にっき&lt;/rt&gt;&lt;/ruby&gt;&lt;br&gt;&lt;div class="audio"&gt;[sound:にっき.mp3]&lt;/div&gt;</v>
      </c>
      <c r="H4178" s="3" t="str">
        <f t="shared" si="1"/>
        <v>(n): nhật ký</v>
      </c>
      <c r="I4178" s="6" t="s">
        <v>22818</v>
      </c>
      <c r="J4178" s="6" t="s">
        <v>22819</v>
      </c>
      <c r="K4178" s="7">
        <f t="shared" si="2"/>
        <v>0.7935663878</v>
      </c>
    </row>
    <row r="4179">
      <c r="A4179" s="4">
        <v>4179.0</v>
      </c>
      <c r="B4179" s="5" t="s">
        <v>22820</v>
      </c>
      <c r="C4179" s="5" t="s">
        <v>1117</v>
      </c>
      <c r="D4179" s="5" t="s">
        <v>22821</v>
      </c>
      <c r="E4179" s="6" t="s">
        <v>24</v>
      </c>
      <c r="F4179" s="6" t="s">
        <v>22822</v>
      </c>
      <c r="G4179" s="3" t="str">
        <f>IFERROR(__xludf.DUMMYFUNCTION("REGEXREPLACE(
D4179,
""([一-龯々]+)\[([^\]]+)\]"",
""&lt;ruby&gt;$1&lt;rt&gt;$2&lt;/rt&gt;&lt;/ruby&gt;""
)&amp;""&lt;br&gt;&lt;div class=""""audio""""&gt;[sound:""&amp;C4179&amp;"".mp3]&lt;/div&gt;"""),"&lt;ruby&gt;放&lt;rt&gt;はな&lt;/rt&gt;&lt;/ruby&gt;す&lt;br&gt;&lt;div class=""audio""&gt;[sound:はなす.mp3]&lt;/div&gt;")</f>
        <v>&lt;ruby&gt;放&lt;rt&gt;はな&lt;/rt&gt;&lt;/ruby&gt;す&lt;br&gt;&lt;div class="audio"&gt;[sound:はなす.mp3]&lt;/div&gt;</v>
      </c>
      <c r="H4179" s="3" t="str">
        <f t="shared" si="1"/>
        <v>(v): thả</v>
      </c>
      <c r="I4179" s="6" t="s">
        <v>22823</v>
      </c>
      <c r="J4179" s="6" t="s">
        <v>22824</v>
      </c>
      <c r="K4179" s="7">
        <f t="shared" si="2"/>
        <v>0.9000797476</v>
      </c>
    </row>
    <row r="4180">
      <c r="A4180" s="4">
        <v>4180.0</v>
      </c>
      <c r="B4180" s="5" t="s">
        <v>22825</v>
      </c>
      <c r="C4180" s="5" t="s">
        <v>22826</v>
      </c>
      <c r="D4180" s="5" t="s">
        <v>22827</v>
      </c>
      <c r="E4180" s="6" t="s">
        <v>74</v>
      </c>
      <c r="F4180" s="6" t="s">
        <v>6492</v>
      </c>
      <c r="G4180" s="3" t="str">
        <f>IFERROR(__xludf.DUMMYFUNCTION("REGEXREPLACE(
D4180,
""([一-龯々]+)\[([^\]]+)\]"",
""&lt;ruby&gt;$1&lt;rt&gt;$2&lt;/rt&gt;&lt;/ruby&gt;""
)&amp;""&lt;br&gt;&lt;div class=""""audio""""&gt;[sound:""&amp;C4180&amp;"".mp3]&lt;/div&gt;"""),"&lt;ruby&gt;机&lt;rt&gt;つくえ&lt;/rt&gt;&lt;/ruby&gt;&lt;br&gt;&lt;div class=""audio""&gt;[sound:つくえ.mp3]&lt;/div&gt;")</f>
        <v>&lt;ruby&gt;机&lt;rt&gt;つくえ&lt;/rt&gt;&lt;/ruby&gt;&lt;br&gt;&lt;div class="audio"&gt;[sound:つくえ.mp3]&lt;/div&gt;</v>
      </c>
      <c r="H4180" s="3" t="str">
        <f t="shared" si="1"/>
        <v>(n): bàn</v>
      </c>
      <c r="I4180" s="6" t="s">
        <v>22828</v>
      </c>
      <c r="J4180" s="6" t="s">
        <v>22829</v>
      </c>
      <c r="K4180" s="7">
        <f t="shared" si="2"/>
        <v>0.4060881012</v>
      </c>
    </row>
    <row r="4181">
      <c r="A4181" s="4">
        <v>4181.0</v>
      </c>
      <c r="B4181" s="5" t="s">
        <v>22830</v>
      </c>
      <c r="C4181" s="5" t="s">
        <v>22831</v>
      </c>
      <c r="D4181" s="5" t="s">
        <v>22832</v>
      </c>
      <c r="E4181" s="6" t="s">
        <v>74</v>
      </c>
      <c r="F4181" s="6" t="s">
        <v>22833</v>
      </c>
      <c r="G4181" s="3" t="str">
        <f>IFERROR(__xludf.DUMMYFUNCTION("REGEXREPLACE(
D4181,
""([一-龯々]+)\[([^\]]+)\]"",
""&lt;ruby&gt;$1&lt;rt&gt;$2&lt;/rt&gt;&lt;/ruby&gt;""
)&amp;""&lt;br&gt;&lt;div class=""""audio""""&gt;[sound:""&amp;C4181&amp;"".mp3]&lt;/div&gt;"""),"&lt;ruby&gt;年頃&lt;rt&gt;としごろ&lt;/rt&gt;&lt;/ruby&gt;&lt;br&gt;&lt;div class=""audio""&gt;[sound:としごろ.mp3]&lt;/div&gt;")</f>
        <v>&lt;ruby&gt;年頃&lt;rt&gt;としごろ&lt;/rt&gt;&lt;/ruby&gt;&lt;br&gt;&lt;div class="audio"&gt;[sound:としごろ.mp3]&lt;/div&gt;</v>
      </c>
      <c r="H4181" s="3" t="str">
        <f t="shared" si="1"/>
        <v>(n): tuổi tác</v>
      </c>
      <c r="I4181" s="6" t="s">
        <v>22834</v>
      </c>
      <c r="J4181" s="6" t="s">
        <v>22835</v>
      </c>
      <c r="K4181" s="7">
        <f t="shared" si="2"/>
        <v>0.3058790608</v>
      </c>
    </row>
    <row r="4182">
      <c r="A4182" s="4">
        <v>4182.0</v>
      </c>
      <c r="B4182" s="5" t="s">
        <v>22836</v>
      </c>
      <c r="C4182" s="5" t="s">
        <v>22837</v>
      </c>
      <c r="D4182" s="5" t="s">
        <v>22838</v>
      </c>
      <c r="E4182" s="6" t="s">
        <v>74</v>
      </c>
      <c r="F4182" s="6" t="s">
        <v>22839</v>
      </c>
      <c r="G4182" s="3" t="str">
        <f>IFERROR(__xludf.DUMMYFUNCTION("REGEXREPLACE(
D4182,
""([一-龯々]+)\[([^\]]+)\]"",
""&lt;ruby&gt;$1&lt;rt&gt;$2&lt;/rt&gt;&lt;/ruby&gt;""
)&amp;""&lt;br&gt;&lt;div class=""""audio""""&gt;[sound:""&amp;C4182&amp;"".mp3]&lt;/div&gt;"""),"&lt;ruby&gt;山岳&lt;rt&gt;さんがく&lt;/rt&gt;&lt;/ruby&gt;&lt;br&gt;&lt;div class=""audio""&gt;[sound:さんがく.mp3]&lt;/div&gt;")</f>
        <v>&lt;ruby&gt;山岳&lt;rt&gt;さんがく&lt;/rt&gt;&lt;/ruby&gt;&lt;br&gt;&lt;div class="audio"&gt;[sound:さんがく.mp3]&lt;/div&gt;</v>
      </c>
      <c r="H4182" s="3" t="str">
        <f t="shared" si="1"/>
        <v>(n): núi cao</v>
      </c>
      <c r="I4182" s="6" t="s">
        <v>22840</v>
      </c>
      <c r="J4182" s="6" t="s">
        <v>22841</v>
      </c>
      <c r="K4182" s="7">
        <f t="shared" si="2"/>
        <v>0.9509194787</v>
      </c>
    </row>
    <row r="4183">
      <c r="A4183" s="4">
        <v>4183.0</v>
      </c>
      <c r="B4183" s="5" t="s">
        <v>22842</v>
      </c>
      <c r="C4183" s="5" t="s">
        <v>22843</v>
      </c>
      <c r="D4183" s="5" t="s">
        <v>22844</v>
      </c>
      <c r="E4183" s="6" t="s">
        <v>85</v>
      </c>
      <c r="F4183" s="6" t="s">
        <v>14029</v>
      </c>
      <c r="G4183" s="3" t="str">
        <f>IFERROR(__xludf.DUMMYFUNCTION("REGEXREPLACE(
D4183,
""([一-龯々]+)\[([^\]]+)\]"",
""&lt;ruby&gt;$1&lt;rt&gt;$2&lt;/rt&gt;&lt;/ruby&gt;""
)&amp;""&lt;br&gt;&lt;div class=""""audio""""&gt;[sound:""&amp;C4183&amp;"".mp3]&lt;/div&gt;"""),"&lt;ruby&gt;段々&lt;rt&gt;だんだん&lt;/rt&gt;&lt;/ruby&gt;&lt;br&gt;&lt;div class=""audio""&gt;[sound:だんだん.mp3]&lt;/div&gt;")</f>
        <v>&lt;ruby&gt;段々&lt;rt&gt;だんだん&lt;/rt&gt;&lt;/ruby&gt;&lt;br&gt;&lt;div class="audio"&gt;[sound:だんだん.mp3]&lt;/div&gt;</v>
      </c>
      <c r="H4183" s="3" t="str">
        <f t="shared" si="1"/>
        <v>(adv): dần dần</v>
      </c>
      <c r="I4183" s="6" t="s">
        <v>22845</v>
      </c>
      <c r="J4183" s="6" t="s">
        <v>22846</v>
      </c>
      <c r="K4183" s="7">
        <f t="shared" si="2"/>
        <v>0.5172381508</v>
      </c>
    </row>
    <row r="4184">
      <c r="A4184" s="4">
        <v>4184.0</v>
      </c>
      <c r="B4184" s="5" t="s">
        <v>22847</v>
      </c>
      <c r="C4184" s="5" t="s">
        <v>22848</v>
      </c>
      <c r="D4184" s="5" t="s">
        <v>22849</v>
      </c>
      <c r="E4184" s="6" t="s">
        <v>74</v>
      </c>
      <c r="F4184" s="6" t="s">
        <v>22850</v>
      </c>
      <c r="G4184" s="3" t="str">
        <f>IFERROR(__xludf.DUMMYFUNCTION("REGEXREPLACE(
D4184,
""([一-龯々]+)\[([^\]]+)\]"",
""&lt;ruby&gt;$1&lt;rt&gt;$2&lt;/rt&gt;&lt;/ruby&gt;""
)&amp;""&lt;br&gt;&lt;div class=""""audio""""&gt;[sound:""&amp;C4184&amp;"".mp3]&lt;/div&gt;"""),"&lt;ruby&gt;支出&lt;rt&gt;ししゅつ&lt;/rt&gt;&lt;/ruby&gt;&lt;br&gt;&lt;div class=""audio""&gt;[sound:ししゅつ.mp3]&lt;/div&gt;")</f>
        <v>&lt;ruby&gt;支出&lt;rt&gt;ししゅつ&lt;/rt&gt;&lt;/ruby&gt;&lt;br&gt;&lt;div class="audio"&gt;[sound:ししゅつ.mp3]&lt;/div&gt;</v>
      </c>
      <c r="H4184" s="3" t="str">
        <f t="shared" si="1"/>
        <v>(n): chi tiêu</v>
      </c>
      <c r="I4184" s="6" t="s">
        <v>22851</v>
      </c>
      <c r="J4184" s="6" t="s">
        <v>22852</v>
      </c>
      <c r="K4184" s="7">
        <f t="shared" si="2"/>
        <v>0.4417612282</v>
      </c>
    </row>
    <row r="4185">
      <c r="A4185" s="4">
        <v>4185.0</v>
      </c>
      <c r="B4185" s="5" t="s">
        <v>22853</v>
      </c>
      <c r="C4185" s="5" t="s">
        <v>22854</v>
      </c>
      <c r="D4185" s="5" t="s">
        <v>22855</v>
      </c>
      <c r="E4185" s="6" t="s">
        <v>74</v>
      </c>
      <c r="F4185" s="6" t="s">
        <v>22856</v>
      </c>
      <c r="G4185" s="3" t="str">
        <f>IFERROR(__xludf.DUMMYFUNCTION("REGEXREPLACE(
D4185,
""([一-龯々]+)\[([^\]]+)\]"",
""&lt;ruby&gt;$1&lt;rt&gt;$2&lt;/rt&gt;&lt;/ruby&gt;""
)&amp;""&lt;br&gt;&lt;div class=""""audio""""&gt;[sound:""&amp;C4185&amp;"".mp3]&lt;/div&gt;"""),"&lt;ruby&gt;歌手&lt;rt&gt;かしゅ&lt;/rt&gt;&lt;/ruby&gt;&lt;br&gt;&lt;div class=""audio""&gt;[sound:かしゅ.mp3]&lt;/div&gt;")</f>
        <v>&lt;ruby&gt;歌手&lt;rt&gt;かしゅ&lt;/rt&gt;&lt;/ruby&gt;&lt;br&gt;&lt;div class="audio"&gt;[sound:かしゅ.mp3]&lt;/div&gt;</v>
      </c>
      <c r="H4185" s="3" t="str">
        <f t="shared" si="1"/>
        <v>(n): ca sĩ</v>
      </c>
      <c r="I4185" s="6" t="s">
        <v>22857</v>
      </c>
      <c r="J4185" s="6" t="s">
        <v>22858</v>
      </c>
      <c r="K4185" s="7">
        <f t="shared" si="2"/>
        <v>0.1833614212</v>
      </c>
    </row>
    <row r="4186">
      <c r="A4186" s="4">
        <v>4186.0</v>
      </c>
      <c r="B4186" s="5" t="s">
        <v>22859</v>
      </c>
      <c r="C4186" s="5" t="s">
        <v>22860</v>
      </c>
      <c r="D4186" s="5" t="s">
        <v>22861</v>
      </c>
      <c r="E4186" s="6" t="s">
        <v>74</v>
      </c>
      <c r="F4186" s="6" t="s">
        <v>7247</v>
      </c>
      <c r="G4186" s="3" t="str">
        <f>IFERROR(__xludf.DUMMYFUNCTION("REGEXREPLACE(
D4186,
""([一-龯々]+)\[([^\]]+)\]"",
""&lt;ruby&gt;$1&lt;rt&gt;$2&lt;/rt&gt;&lt;/ruby&gt;""
)&amp;""&lt;br&gt;&lt;div class=""""audio""""&gt;[sound:""&amp;C4186&amp;"".mp3]&lt;/div&gt;"""),"&lt;ruby&gt;句&lt;rt&gt;く&lt;/rt&gt;&lt;/ruby&gt;&lt;br&gt;&lt;div class=""audio""&gt;[sound:く.mp3]&lt;/div&gt;")</f>
        <v>&lt;ruby&gt;句&lt;rt&gt;く&lt;/rt&gt;&lt;/ruby&gt;&lt;br&gt;&lt;div class="audio"&gt;[sound:く.mp3]&lt;/div&gt;</v>
      </c>
      <c r="H4186" s="3" t="str">
        <f t="shared" si="1"/>
        <v>(n): câu</v>
      </c>
      <c r="I4186" s="6" t="s">
        <v>22862</v>
      </c>
      <c r="J4186" s="6" t="s">
        <v>22863</v>
      </c>
      <c r="K4186" s="7">
        <f t="shared" si="2"/>
        <v>0.01813038194</v>
      </c>
    </row>
    <row r="4187">
      <c r="A4187" s="4">
        <v>4187.0</v>
      </c>
      <c r="B4187" s="5" t="s">
        <v>22864</v>
      </c>
      <c r="C4187" s="5" t="s">
        <v>21716</v>
      </c>
      <c r="D4187" s="5" t="s">
        <v>22865</v>
      </c>
      <c r="E4187" s="6" t="s">
        <v>24</v>
      </c>
      <c r="F4187" s="6" t="s">
        <v>22866</v>
      </c>
      <c r="G4187" s="3" t="str">
        <f>IFERROR(__xludf.DUMMYFUNCTION("REGEXREPLACE(
D4187,
""([一-龯々]+)\[([^\]]+)\]"",
""&lt;ruby&gt;$1&lt;rt&gt;$2&lt;/rt&gt;&lt;/ruby&gt;""
)&amp;""&lt;br&gt;&lt;div class=""""audio""""&gt;[sound:""&amp;C4187&amp;"".mp3]&lt;/div&gt;"""),"&lt;ruby&gt;映&lt;rt&gt;うつ&lt;/rt&gt;&lt;/ruby&gt;す&lt;br&gt;&lt;div class=""audio""&gt;[sound:うつす.mp3]&lt;/div&gt;")</f>
        <v>&lt;ruby&gt;映&lt;rt&gt;うつ&lt;/rt&gt;&lt;/ruby&gt;す&lt;br&gt;&lt;div class="audio"&gt;[sound:うつす.mp3]&lt;/div&gt;</v>
      </c>
      <c r="H4187" s="3" t="str">
        <f t="shared" si="1"/>
        <v>(v): chiếu</v>
      </c>
      <c r="I4187" s="6" t="s">
        <v>22867</v>
      </c>
      <c r="J4187" s="6" t="s">
        <v>22868</v>
      </c>
      <c r="K4187" s="7">
        <f t="shared" si="2"/>
        <v>0.2847026148</v>
      </c>
    </row>
    <row r="4188">
      <c r="A4188" s="4">
        <v>4188.0</v>
      </c>
      <c r="B4188" s="5" t="s">
        <v>22869</v>
      </c>
      <c r="C4188" s="5" t="s">
        <v>22870</v>
      </c>
      <c r="D4188" s="5" t="s">
        <v>22871</v>
      </c>
      <c r="E4188" s="6" t="s">
        <v>74</v>
      </c>
      <c r="F4188" s="6" t="s">
        <v>22872</v>
      </c>
      <c r="G4188" s="3" t="str">
        <f>IFERROR(__xludf.DUMMYFUNCTION("REGEXREPLACE(
D4188,
""([一-龯々]+)\[([^\]]+)\]"",
""&lt;ruby&gt;$1&lt;rt&gt;$2&lt;/rt&gt;&lt;/ruby&gt;""
)&amp;""&lt;br&gt;&lt;div class=""""audio""""&gt;[sound:""&amp;C4188&amp;"".mp3]&lt;/div&gt;"""),"&lt;ruby&gt;枠&lt;rt&gt;わく&lt;/rt&gt;&lt;/ruby&gt;&lt;br&gt;&lt;div class=""audio""&gt;[sound:わく.mp3]&lt;/div&gt;")</f>
        <v>&lt;ruby&gt;枠&lt;rt&gt;わく&lt;/rt&gt;&lt;/ruby&gt;&lt;br&gt;&lt;div class="audio"&gt;[sound:わく.mp3]&lt;/div&gt;</v>
      </c>
      <c r="H4188" s="3" t="str">
        <f t="shared" si="1"/>
        <v>(n): khung</v>
      </c>
      <c r="I4188" s="6" t="s">
        <v>22873</v>
      </c>
      <c r="J4188" s="6" t="s">
        <v>22874</v>
      </c>
      <c r="K4188" s="7">
        <f t="shared" si="2"/>
        <v>0.5551097969</v>
      </c>
    </row>
    <row r="4189">
      <c r="A4189" s="4">
        <v>4189.0</v>
      </c>
      <c r="B4189" s="5" t="s">
        <v>22875</v>
      </c>
      <c r="C4189" s="5" t="s">
        <v>22876</v>
      </c>
      <c r="D4189" s="5" t="s">
        <v>22877</v>
      </c>
      <c r="E4189" s="6" t="s">
        <v>24</v>
      </c>
      <c r="F4189" s="6" t="s">
        <v>22878</v>
      </c>
      <c r="G4189" s="3" t="str">
        <f>IFERROR(__xludf.DUMMYFUNCTION("REGEXREPLACE(
D4189,
""([一-龯々]+)\[([^\]]+)\]"",
""&lt;ruby&gt;$1&lt;rt&gt;$2&lt;/rt&gt;&lt;/ruby&gt;""
)&amp;""&lt;br&gt;&lt;div class=""""audio""""&gt;[sound:""&amp;C4189&amp;"".mp3]&lt;/div&gt;"""),"&lt;ruby&gt;整&lt;rt&gt;ととの&lt;/rt&gt;&lt;/ruby&gt;う&lt;br&gt;&lt;div class=""audio""&gt;[sound:ととのう.mp3]&lt;/div&gt;")</f>
        <v>&lt;ruby&gt;整&lt;rt&gt;ととの&lt;/rt&gt;&lt;/ruby&gt;う&lt;br&gt;&lt;div class="audio"&gt;[sound:ととのう.mp3]&lt;/div&gt;</v>
      </c>
      <c r="H4189" s="3" t="str">
        <f t="shared" si="1"/>
        <v>(v): được chuẩn bị</v>
      </c>
      <c r="I4189" s="6" t="s">
        <v>22879</v>
      </c>
      <c r="J4189" s="6" t="s">
        <v>22880</v>
      </c>
      <c r="K4189" s="7">
        <f t="shared" si="2"/>
        <v>0.6452369923</v>
      </c>
    </row>
    <row r="4190">
      <c r="A4190" s="4">
        <v>4190.0</v>
      </c>
      <c r="B4190" s="5" t="s">
        <v>22881</v>
      </c>
      <c r="C4190" s="5" t="s">
        <v>22882</v>
      </c>
      <c r="D4190" s="5" t="s">
        <v>22883</v>
      </c>
      <c r="E4190" s="6" t="s">
        <v>74</v>
      </c>
      <c r="F4190" s="6" t="s">
        <v>9075</v>
      </c>
      <c r="G4190" s="3" t="str">
        <f>IFERROR(__xludf.DUMMYFUNCTION("REGEXREPLACE(
D4190,
""([一-龯々]+)\[([^\]]+)\]"",
""&lt;ruby&gt;$1&lt;rt&gt;$2&lt;/rt&gt;&lt;/ruby&gt;""
)&amp;""&lt;br&gt;&lt;div class=""""audio""""&gt;[sound:""&amp;C4190&amp;"".mp3]&lt;/div&gt;"""),"&lt;ruby&gt;昼食&lt;rt&gt;ちゅうしょく&lt;/rt&gt;&lt;/ruby&gt;&lt;br&gt;&lt;div class=""audio""&gt;[sound:ちゅうしょく.mp3]&lt;/div&gt;")</f>
        <v>&lt;ruby&gt;昼食&lt;rt&gt;ちゅうしょく&lt;/rt&gt;&lt;/ruby&gt;&lt;br&gt;&lt;div class="audio"&gt;[sound:ちゅうしょく.mp3]&lt;/div&gt;</v>
      </c>
      <c r="H4190" s="3" t="str">
        <f t="shared" si="1"/>
        <v>(n): bữa trưa</v>
      </c>
      <c r="I4190" s="6" t="s">
        <v>22884</v>
      </c>
      <c r="J4190" s="6" t="s">
        <v>22885</v>
      </c>
      <c r="K4190" s="7">
        <f t="shared" si="2"/>
        <v>0.4445126071</v>
      </c>
    </row>
    <row r="4191">
      <c r="A4191" s="4">
        <v>4191.0</v>
      </c>
      <c r="B4191" s="5" t="s">
        <v>22886</v>
      </c>
      <c r="C4191" s="5" t="s">
        <v>22887</v>
      </c>
      <c r="D4191" s="5" t="s">
        <v>22888</v>
      </c>
      <c r="E4191" s="6" t="s">
        <v>74</v>
      </c>
      <c r="F4191" s="6" t="s">
        <v>22889</v>
      </c>
      <c r="G4191" s="3" t="str">
        <f>IFERROR(__xludf.DUMMYFUNCTION("REGEXREPLACE(
D4191,
""([一-龯々]+)\[([^\]]+)\]"",
""&lt;ruby&gt;$1&lt;rt&gt;$2&lt;/rt&gt;&lt;/ruby&gt;""
)&amp;""&lt;br&gt;&lt;div class=""""audio""""&gt;[sound:""&amp;C4191&amp;"".mp3]&lt;/div&gt;"""),"&lt;ruby&gt;直角&lt;rt&gt;ちょっかく&lt;/rt&gt;&lt;/ruby&gt;&lt;br&gt;&lt;div class=""audio""&gt;[sound:ちょっかく.mp3]&lt;/div&gt;")</f>
        <v>&lt;ruby&gt;直角&lt;rt&gt;ちょっかく&lt;/rt&gt;&lt;/ruby&gt;&lt;br&gt;&lt;div class="audio"&gt;[sound:ちょっかく.mp3]&lt;/div&gt;</v>
      </c>
      <c r="H4191" s="3" t="str">
        <f t="shared" si="1"/>
        <v>(n): góc vuông</v>
      </c>
      <c r="I4191" s="6" t="s">
        <v>22890</v>
      </c>
      <c r="J4191" s="6" t="s">
        <v>22891</v>
      </c>
      <c r="K4191" s="7">
        <f t="shared" si="2"/>
        <v>0.2336273531</v>
      </c>
    </row>
    <row r="4192">
      <c r="A4192" s="4">
        <v>4192.0</v>
      </c>
      <c r="B4192" s="5" t="s">
        <v>22892</v>
      </c>
      <c r="C4192" s="5" t="s">
        <v>22893</v>
      </c>
      <c r="D4192" s="5" t="s">
        <v>22894</v>
      </c>
      <c r="E4192" s="6" t="s">
        <v>24</v>
      </c>
      <c r="F4192" s="6" t="s">
        <v>9836</v>
      </c>
      <c r="G4192" s="3" t="str">
        <f>IFERROR(__xludf.DUMMYFUNCTION("REGEXREPLACE(
D4192,
""([一-龯々]+)\[([^\]]+)\]"",
""&lt;ruby&gt;$1&lt;rt&gt;$2&lt;/rt&gt;&lt;/ruby&gt;""
)&amp;""&lt;br&gt;&lt;div class=""""audio""""&gt;[sound:""&amp;C4192&amp;"".mp3]&lt;/div&gt;"""),"&lt;ruby&gt;捕&lt;rt&gt;とら&lt;/rt&gt;&lt;/ruby&gt;える&lt;br&gt;&lt;div class=""audio""&gt;[sound:とらえる.mp3]&lt;/div&gt;")</f>
        <v>&lt;ruby&gt;捕&lt;rt&gt;とら&lt;/rt&gt;&lt;/ruby&gt;える&lt;br&gt;&lt;div class="audio"&gt;[sound:とらえる.mp3]&lt;/div&gt;</v>
      </c>
      <c r="H4192" s="3" t="str">
        <f t="shared" si="1"/>
        <v>(v): bắt</v>
      </c>
      <c r="I4192" s="6" t="s">
        <v>22895</v>
      </c>
      <c r="J4192" s="6" t="s">
        <v>22896</v>
      </c>
      <c r="K4192" s="7">
        <f t="shared" si="2"/>
        <v>0.4976578571</v>
      </c>
    </row>
    <row r="4193">
      <c r="A4193" s="4">
        <v>4193.0</v>
      </c>
      <c r="B4193" s="5" t="s">
        <v>22897</v>
      </c>
      <c r="C4193" s="5" t="s">
        <v>22898</v>
      </c>
      <c r="D4193" s="5" t="s">
        <v>22899</v>
      </c>
      <c r="E4193" s="6" t="s">
        <v>24</v>
      </c>
      <c r="F4193" s="6" t="s">
        <v>22900</v>
      </c>
      <c r="G4193" s="3" t="str">
        <f>IFERROR(__xludf.DUMMYFUNCTION("REGEXREPLACE(
D4193,
""([一-龯々]+)\[([^\]]+)\]"",
""&lt;ruby&gt;$1&lt;rt&gt;$2&lt;/rt&gt;&lt;/ruby&gt;""
)&amp;""&lt;br&gt;&lt;div class=""""audio""""&gt;[sound:""&amp;C4193&amp;"".mp3]&lt;/div&gt;"""),"&lt;ruby&gt;曲&lt;rt&gt;まが&lt;/rt&gt;&lt;/ruby&gt;る&lt;br&gt;&lt;div class=""audio""&gt;[sound:まがる.mp3]&lt;/div&gt;")</f>
        <v>&lt;ruby&gt;曲&lt;rt&gt;まが&lt;/rt&gt;&lt;/ruby&gt;る&lt;br&gt;&lt;div class="audio"&gt;[sound:まがる.mp3]&lt;/div&gt;</v>
      </c>
      <c r="H4193" s="3" t="str">
        <f t="shared" si="1"/>
        <v>(v): rẽ</v>
      </c>
      <c r="I4193" s="6" t="s">
        <v>22901</v>
      </c>
      <c r="J4193" s="6" t="s">
        <v>832</v>
      </c>
      <c r="K4193" s="7">
        <f t="shared" si="2"/>
        <v>0.02696920061</v>
      </c>
    </row>
    <row r="4194">
      <c r="A4194" s="4">
        <v>4194.0</v>
      </c>
      <c r="B4194" s="5" t="s">
        <v>22902</v>
      </c>
      <c r="C4194" s="5" t="s">
        <v>22903</v>
      </c>
      <c r="D4194" s="5" t="s">
        <v>22904</v>
      </c>
      <c r="E4194" s="6" t="s">
        <v>24</v>
      </c>
      <c r="F4194" s="6" t="s">
        <v>22905</v>
      </c>
      <c r="G4194" s="3" t="str">
        <f>IFERROR(__xludf.DUMMYFUNCTION("REGEXREPLACE(
D4194,
""([一-龯々]+)\[([^\]]+)\]"",
""&lt;ruby&gt;$1&lt;rt&gt;$2&lt;/rt&gt;&lt;/ruby&gt;""
)&amp;""&lt;br&gt;&lt;div class=""""audio""""&gt;[sound:""&amp;C4194&amp;"".mp3]&lt;/div&gt;"""),"&lt;ruby&gt;害&lt;rt&gt;がい&lt;/rt&gt;&lt;/ruby&gt;する&lt;br&gt;&lt;div class=""audio""&gt;[sound:がいする.mp3]&lt;/div&gt;")</f>
        <v>&lt;ruby&gt;害&lt;rt&gt;がい&lt;/rt&gt;&lt;/ruby&gt;する&lt;br&gt;&lt;div class="audio"&gt;[sound:がいする.mp3]&lt;/div&gt;</v>
      </c>
      <c r="H4194" s="3" t="str">
        <f t="shared" si="1"/>
        <v>(v): gây hại</v>
      </c>
      <c r="I4194" s="6" t="s">
        <v>22906</v>
      </c>
      <c r="J4194" s="6" t="s">
        <v>22907</v>
      </c>
      <c r="K4194" s="7">
        <f t="shared" si="2"/>
        <v>0.3395894977</v>
      </c>
    </row>
    <row r="4195">
      <c r="A4195" s="4">
        <v>4195.0</v>
      </c>
      <c r="B4195" s="5" t="s">
        <v>22908</v>
      </c>
      <c r="C4195" s="5" t="s">
        <v>22909</v>
      </c>
      <c r="D4195" s="5" t="s">
        <v>22910</v>
      </c>
      <c r="E4195" s="6" t="s">
        <v>74</v>
      </c>
      <c r="F4195" s="6" t="s">
        <v>22911</v>
      </c>
      <c r="G4195" s="3" t="str">
        <f>IFERROR(__xludf.DUMMYFUNCTION("REGEXREPLACE(
D4195,
""([一-龯々]+)\[([^\]]+)\]"",
""&lt;ruby&gt;$1&lt;rt&gt;$2&lt;/rt&gt;&lt;/ruby&gt;""
)&amp;""&lt;br&gt;&lt;div class=""""audio""""&gt;[sound:""&amp;C4195&amp;"".mp3]&lt;/div&gt;"""),"&lt;ruby&gt;悲観&lt;rt&gt;ひかん&lt;/rt&gt;&lt;/ruby&gt;&lt;br&gt;&lt;div class=""audio""&gt;[sound:ひかん.mp3]&lt;/div&gt;")</f>
        <v>&lt;ruby&gt;悲観&lt;rt&gt;ひかん&lt;/rt&gt;&lt;/ruby&gt;&lt;br&gt;&lt;div class="audio"&gt;[sound:ひかん.mp3]&lt;/div&gt;</v>
      </c>
      <c r="H4195" s="3" t="str">
        <f t="shared" si="1"/>
        <v>(n): bi quan</v>
      </c>
      <c r="I4195" s="6" t="s">
        <v>22912</v>
      </c>
      <c r="J4195" s="6" t="s">
        <v>22913</v>
      </c>
      <c r="K4195" s="7">
        <f t="shared" si="2"/>
        <v>0.5401335893</v>
      </c>
    </row>
    <row r="4196">
      <c r="A4196" s="4">
        <v>4196.0</v>
      </c>
      <c r="B4196" s="5" t="s">
        <v>22914</v>
      </c>
      <c r="C4196" s="5" t="s">
        <v>22915</v>
      </c>
      <c r="D4196" s="5" t="s">
        <v>22916</v>
      </c>
      <c r="E4196" s="6" t="s">
        <v>11</v>
      </c>
      <c r="F4196" s="6" t="s">
        <v>22917</v>
      </c>
      <c r="G4196" s="3" t="str">
        <f>IFERROR(__xludf.DUMMYFUNCTION("REGEXREPLACE(
D4196,
""([一-龯々]+)\[([^\]]+)\]"",
""&lt;ruby&gt;$1&lt;rt&gt;$2&lt;/rt&gt;&lt;/ruby&gt;""
)&amp;""&lt;br&gt;&lt;div class=""""audio""""&gt;[sound:""&amp;C4196&amp;"".mp3]&lt;/div&gt;"""),"&lt;ruby&gt;未定&lt;rt&gt;みてい&lt;/rt&gt;&lt;/ruby&gt;&lt;br&gt;&lt;div class=""audio""&gt;[sound:みてい.mp3]&lt;/div&gt;")</f>
        <v>&lt;ruby&gt;未定&lt;rt&gt;みてい&lt;/rt&gt;&lt;/ruby&gt;&lt;br&gt;&lt;div class="audio"&gt;[sound:みてい.mp3]&lt;/div&gt;</v>
      </c>
      <c r="H4196" s="3" t="str">
        <f t="shared" si="1"/>
        <v>(adj): chưa quyết định</v>
      </c>
      <c r="I4196" s="6" t="s">
        <v>22918</v>
      </c>
      <c r="J4196" s="6" t="s">
        <v>22919</v>
      </c>
      <c r="K4196" s="7">
        <f t="shared" si="2"/>
        <v>0.3403715862</v>
      </c>
    </row>
    <row r="4197">
      <c r="A4197" s="4">
        <v>4197.0</v>
      </c>
      <c r="B4197" s="5" t="s">
        <v>22920</v>
      </c>
      <c r="C4197" s="5" t="s">
        <v>22921</v>
      </c>
      <c r="D4197" s="5" t="s">
        <v>22922</v>
      </c>
      <c r="E4197" s="6" t="s">
        <v>74</v>
      </c>
      <c r="F4197" s="6" t="s">
        <v>22923</v>
      </c>
      <c r="G4197" s="3" t="str">
        <f>IFERROR(__xludf.DUMMYFUNCTION("REGEXREPLACE(
D4197,
""([一-龯々]+)\[([^\]]+)\]"",
""&lt;ruby&gt;$1&lt;rt&gt;$2&lt;/rt&gt;&lt;/ruby&gt;""
)&amp;""&lt;br&gt;&lt;div class=""""audio""""&gt;[sound:""&amp;C4197&amp;"".mp3]&lt;/div&gt;"""),"&lt;ruby&gt;本場&lt;rt&gt;ほんば&lt;/rt&gt;&lt;/ruby&gt;&lt;br&gt;&lt;div class=""audio""&gt;[sound:ほんば.mp3]&lt;/div&gt;")</f>
        <v>&lt;ruby&gt;本場&lt;rt&gt;ほんば&lt;/rt&gt;&lt;/ruby&gt;&lt;br&gt;&lt;div class="audio"&gt;[sound:ほんば.mp3]&lt;/div&gt;</v>
      </c>
      <c r="H4197" s="3" t="str">
        <f t="shared" si="1"/>
        <v>(n): nơi chính gốc</v>
      </c>
      <c r="I4197" s="6" t="s">
        <v>22924</v>
      </c>
      <c r="J4197" s="6" t="s">
        <v>22925</v>
      </c>
      <c r="K4197" s="7">
        <f t="shared" si="2"/>
        <v>0.1315890061</v>
      </c>
    </row>
    <row r="4198">
      <c r="A4198" s="4">
        <v>4198.0</v>
      </c>
      <c r="B4198" s="5" t="s">
        <v>22926</v>
      </c>
      <c r="C4198" s="5" t="s">
        <v>22927</v>
      </c>
      <c r="D4198" s="5" t="s">
        <v>22928</v>
      </c>
      <c r="E4198" s="6" t="s">
        <v>74</v>
      </c>
      <c r="F4198" s="6" t="s">
        <v>22929</v>
      </c>
      <c r="G4198" s="3" t="str">
        <f>IFERROR(__xludf.DUMMYFUNCTION("REGEXREPLACE(
D4198,
""([一-龯々]+)\[([^\]]+)\]"",
""&lt;ruby&gt;$1&lt;rt&gt;$2&lt;/rt&gt;&lt;/ruby&gt;""
)&amp;""&lt;br&gt;&lt;div class=""""audio""""&gt;[sound:""&amp;C4198&amp;"".mp3]&lt;/div&gt;"""),"&lt;ruby&gt;平方&lt;rt&gt;へいほう&lt;/rt&gt;&lt;/ruby&gt;&lt;br&gt;&lt;div class=""audio""&gt;[sound:へいほう.mp3]&lt;/div&gt;")</f>
        <v>&lt;ruby&gt;平方&lt;rt&gt;へいほう&lt;/rt&gt;&lt;/ruby&gt;&lt;br&gt;&lt;div class="audio"&gt;[sound:へいほう.mp3]&lt;/div&gt;</v>
      </c>
      <c r="H4198" s="3" t="str">
        <f t="shared" si="1"/>
        <v>(n): bình phương</v>
      </c>
      <c r="I4198" s="6" t="s">
        <v>22930</v>
      </c>
      <c r="J4198" s="6" t="s">
        <v>22931</v>
      </c>
      <c r="K4198" s="7">
        <f t="shared" si="2"/>
        <v>0.08156470543</v>
      </c>
    </row>
    <row r="4199">
      <c r="A4199" s="4">
        <v>4199.0</v>
      </c>
      <c r="B4199" s="5" t="s">
        <v>22932</v>
      </c>
      <c r="C4199" s="5" t="s">
        <v>22933</v>
      </c>
      <c r="D4199" s="5" t="s">
        <v>22934</v>
      </c>
      <c r="E4199" s="6" t="s">
        <v>74</v>
      </c>
      <c r="F4199" s="6" t="s">
        <v>17918</v>
      </c>
      <c r="G4199" s="3" t="str">
        <f>IFERROR(__xludf.DUMMYFUNCTION("REGEXREPLACE(
D4199,
""([一-龯々]+)\[([^\]]+)\]"",
""&lt;ruby&gt;$1&lt;rt&gt;$2&lt;/rt&gt;&lt;/ruby&gt;""
)&amp;""&lt;br&gt;&lt;div class=""""audio""""&gt;[sound:""&amp;C4199&amp;"".mp3]&lt;/div&gt;"""),"&lt;ruby&gt;懸賞&lt;rt&gt;けんしょう&lt;/rt&gt;&lt;/ruby&gt;&lt;br&gt;&lt;div class=""audio""&gt;[sound:けんしょう.mp3]&lt;/div&gt;")</f>
        <v>&lt;ruby&gt;懸賞&lt;rt&gt;けんしょう&lt;/rt&gt;&lt;/ruby&gt;&lt;br&gt;&lt;div class="audio"&gt;[sound:けんしょう.mp3]&lt;/div&gt;</v>
      </c>
      <c r="H4199" s="3" t="str">
        <f t="shared" si="1"/>
        <v>(n): giải thưởng</v>
      </c>
      <c r="I4199" s="6" t="s">
        <v>22935</v>
      </c>
      <c r="J4199" s="6" t="s">
        <v>22936</v>
      </c>
      <c r="K4199" s="7">
        <f t="shared" si="2"/>
        <v>0.5362935814</v>
      </c>
    </row>
    <row r="4200">
      <c r="A4200" s="4">
        <v>4200.0</v>
      </c>
      <c r="B4200" s="5" t="s">
        <v>22937</v>
      </c>
      <c r="C4200" s="5" t="s">
        <v>9497</v>
      </c>
      <c r="D4200" s="5" t="s">
        <v>22938</v>
      </c>
      <c r="E4200" s="6" t="s">
        <v>74</v>
      </c>
      <c r="F4200" s="6" t="s">
        <v>22939</v>
      </c>
      <c r="G4200" s="3" t="str">
        <f>IFERROR(__xludf.DUMMYFUNCTION("REGEXREPLACE(
D4200,
""([一-龯々]+)\[([^\]]+)\]"",
""&lt;ruby&gt;$1&lt;rt&gt;$2&lt;/rt&gt;&lt;/ruby&gt;""
)&amp;""&lt;br&gt;&lt;div class=""""audio""""&gt;[sound:""&amp;C4200&amp;"".mp3]&lt;/div&gt;"""),"&lt;ruby&gt;征服&lt;rt&gt;せいふく&lt;/rt&gt;&lt;/ruby&gt;&lt;br&gt;&lt;div class=""audio""&gt;[sound:せいふく.mp3]&lt;/div&gt;")</f>
        <v>&lt;ruby&gt;征服&lt;rt&gt;せいふく&lt;/rt&gt;&lt;/ruby&gt;&lt;br&gt;&lt;div class="audio"&gt;[sound:せいふく.mp3]&lt;/div&gt;</v>
      </c>
      <c r="H4200" s="3" t="str">
        <f t="shared" si="1"/>
        <v>(n): chinh phục</v>
      </c>
      <c r="I4200" s="6" t="s">
        <v>22940</v>
      </c>
      <c r="J4200" s="6" t="s">
        <v>22941</v>
      </c>
      <c r="K4200" s="7">
        <f t="shared" si="2"/>
        <v>0.6837670057</v>
      </c>
    </row>
    <row r="4201">
      <c r="A4201" s="4">
        <v>4201.0</v>
      </c>
      <c r="B4201" s="5" t="s">
        <v>22942</v>
      </c>
      <c r="C4201" s="5" t="s">
        <v>22943</v>
      </c>
      <c r="D4201" s="5" t="s">
        <v>22944</v>
      </c>
      <c r="E4201" s="6" t="s">
        <v>74</v>
      </c>
      <c r="F4201" s="6" t="s">
        <v>19255</v>
      </c>
      <c r="G4201" s="3" t="str">
        <f>IFERROR(__xludf.DUMMYFUNCTION("REGEXREPLACE(
D4201,
""([一-龯々]+)\[([^\]]+)\]"",
""&lt;ruby&gt;$1&lt;rt&gt;$2&lt;/rt&gt;&lt;/ruby&gt;""
)&amp;""&lt;br&gt;&lt;div class=""""audio""""&gt;[sound:""&amp;C4201&amp;"".mp3]&lt;/div&gt;"""),"&lt;ruby&gt;忠告&lt;rt&gt;ちゅうこく&lt;/rt&gt;&lt;/ruby&gt;&lt;br&gt;&lt;div class=""audio""&gt;[sound:ちゅうこく.mp3]&lt;/div&gt;")</f>
        <v>&lt;ruby&gt;忠告&lt;rt&gt;ちゅうこく&lt;/rt&gt;&lt;/ruby&gt;&lt;br&gt;&lt;div class="audio"&gt;[sound:ちゅうこく.mp3]&lt;/div&gt;</v>
      </c>
      <c r="H4201" s="3" t="str">
        <f t="shared" si="1"/>
        <v>(n): lời khuyên</v>
      </c>
      <c r="I4201" s="6" t="s">
        <v>22945</v>
      </c>
      <c r="J4201" s="6" t="s">
        <v>22946</v>
      </c>
      <c r="K4201" s="7">
        <f t="shared" si="2"/>
        <v>0.6042525175</v>
      </c>
    </row>
    <row r="4202">
      <c r="A4202" s="4">
        <v>4202.0</v>
      </c>
      <c r="B4202" s="5" t="s">
        <v>22947</v>
      </c>
      <c r="C4202" s="5" t="s">
        <v>22948</v>
      </c>
      <c r="D4202" s="5" t="s">
        <v>22949</v>
      </c>
      <c r="E4202" s="6" t="s">
        <v>74</v>
      </c>
      <c r="F4202" s="6" t="s">
        <v>17323</v>
      </c>
      <c r="G4202" s="3" t="str">
        <f>IFERROR(__xludf.DUMMYFUNCTION("REGEXREPLACE(
D4202,
""([一-龯々]+)\[([^\]]+)\]"",
""&lt;ruby&gt;$1&lt;rt&gt;$2&lt;/rt&gt;&lt;/ruby&gt;""
)&amp;""&lt;br&gt;&lt;div class=""""audio""""&gt;[sound:""&amp;C4202&amp;"".mp3]&lt;/div&gt;"""),"&lt;ruby&gt;旅客&lt;rt&gt;りょかく&lt;/rt&gt;&lt;/ruby&gt;&lt;br&gt;&lt;div class=""audio""&gt;[sound:りょかく.mp3]&lt;/div&gt;")</f>
        <v>&lt;ruby&gt;旅客&lt;rt&gt;りょかく&lt;/rt&gt;&lt;/ruby&gt;&lt;br&gt;&lt;div class="audio"&gt;[sound:りょかく.mp3]&lt;/div&gt;</v>
      </c>
      <c r="H4202" s="3" t="str">
        <f t="shared" si="1"/>
        <v>(n): hành khách</v>
      </c>
      <c r="I4202" s="6" t="s">
        <v>22950</v>
      </c>
      <c r="J4202" s="6" t="s">
        <v>22951</v>
      </c>
      <c r="K4202" s="7">
        <f t="shared" si="2"/>
        <v>0.4509437217</v>
      </c>
    </row>
    <row r="4203">
      <c r="A4203" s="4">
        <v>4203.0</v>
      </c>
      <c r="B4203" s="5" t="s">
        <v>22952</v>
      </c>
      <c r="C4203" s="5" t="s">
        <v>22953</v>
      </c>
      <c r="D4203" s="5" t="s">
        <v>22954</v>
      </c>
      <c r="E4203" s="6" t="s">
        <v>74</v>
      </c>
      <c r="F4203" s="6" t="s">
        <v>22955</v>
      </c>
      <c r="G4203" s="3" t="str">
        <f>IFERROR(__xludf.DUMMYFUNCTION("REGEXREPLACE(
D4203,
""([一-龯々]+)\[([^\]]+)\]"",
""&lt;ruby&gt;$1&lt;rt&gt;$2&lt;/rt&gt;&lt;/ruby&gt;""
)&amp;""&lt;br&gt;&lt;div class=""""audio""""&gt;[sound:""&amp;C4203&amp;"".mp3]&lt;/div&gt;"""),"&lt;ruby&gt;尿&lt;rt&gt;にょう&lt;/rt&gt;&lt;/ruby&gt;&lt;br&gt;&lt;div class=""audio""&gt;[sound:にょう.mp3]&lt;/div&gt;")</f>
        <v>&lt;ruby&gt;尿&lt;rt&gt;にょう&lt;/rt&gt;&lt;/ruby&gt;&lt;br&gt;&lt;div class="audio"&gt;[sound:にょう.mp3]&lt;/div&gt;</v>
      </c>
      <c r="H4203" s="3" t="str">
        <f t="shared" si="1"/>
        <v>(n): nước tiểu</v>
      </c>
      <c r="I4203" s="6" t="s">
        <v>22956</v>
      </c>
      <c r="J4203" s="6" t="s">
        <v>22957</v>
      </c>
      <c r="K4203" s="7">
        <f t="shared" si="2"/>
        <v>0.2492033963</v>
      </c>
    </row>
    <row r="4204">
      <c r="A4204" s="4">
        <v>4204.0</v>
      </c>
      <c r="B4204" s="5" t="s">
        <v>22958</v>
      </c>
      <c r="C4204" s="5" t="s">
        <v>22959</v>
      </c>
      <c r="D4204" s="5" t="s">
        <v>22960</v>
      </c>
      <c r="E4204" s="6" t="s">
        <v>74</v>
      </c>
      <c r="F4204" s="6" t="s">
        <v>3267</v>
      </c>
      <c r="G4204" s="3" t="str">
        <f>IFERROR(__xludf.DUMMYFUNCTION("REGEXREPLACE(
D4204,
""([一-龯々]+)\[([^\]]+)\]"",
""&lt;ruby&gt;$1&lt;rt&gt;$2&lt;/rt&gt;&lt;/ruby&gt;""
)&amp;""&lt;br&gt;&lt;div class=""""audio""""&gt;[sound:""&amp;C4204&amp;"".mp3]&lt;/div&gt;"""),"&lt;ruby&gt;延&lt;rt&gt;の&lt;/rt&gt;&lt;/ruby&gt;べ&lt;br&gt;&lt;div class=""audio""&gt;[sound:のべ.mp3]&lt;/div&gt;")</f>
        <v>&lt;ruby&gt;延&lt;rt&gt;の&lt;/rt&gt;&lt;/ruby&gt;べ&lt;br&gt;&lt;div class="audio"&gt;[sound:のべ.mp3]&lt;/div&gt;</v>
      </c>
      <c r="H4204" s="3" t="str">
        <f t="shared" si="1"/>
        <v>(n): tổng cộng</v>
      </c>
      <c r="I4204" s="6" t="s">
        <v>22961</v>
      </c>
      <c r="J4204" s="6" t="s">
        <v>22962</v>
      </c>
      <c r="K4204" s="7">
        <f t="shared" si="2"/>
        <v>0.2240557924</v>
      </c>
    </row>
    <row r="4205">
      <c r="A4205" s="4">
        <v>4205.0</v>
      </c>
      <c r="B4205" s="5" t="s">
        <v>22963</v>
      </c>
      <c r="C4205" s="5" t="s">
        <v>22964</v>
      </c>
      <c r="D4205" s="5" t="s">
        <v>22965</v>
      </c>
      <c r="E4205" s="6" t="s">
        <v>74</v>
      </c>
      <c r="F4205" s="6" t="s">
        <v>22966</v>
      </c>
      <c r="G4205" s="3" t="str">
        <f>IFERROR(__xludf.DUMMYFUNCTION("REGEXREPLACE(
D4205,
""([一-龯々]+)\[([^\]]+)\]"",
""&lt;ruby&gt;$1&lt;rt&gt;$2&lt;/rt&gt;&lt;/ruby&gt;""
)&amp;""&lt;br&gt;&lt;div class=""""audio""""&gt;[sound:""&amp;C4205&amp;"".mp3]&lt;/div&gt;"""),"&lt;ruby&gt;心得&lt;rt&gt;こころえ&lt;/rt&gt;&lt;/ruby&gt;&lt;br&gt;&lt;div class=""audio""&gt;[sound:こころえ.mp3]&lt;/div&gt;")</f>
        <v>&lt;ruby&gt;心得&lt;rt&gt;こころえ&lt;/rt&gt;&lt;/ruby&gt;&lt;br&gt;&lt;div class="audio"&gt;[sound:こころえ.mp3]&lt;/div&gt;</v>
      </c>
      <c r="H4205" s="3" t="str">
        <f t="shared" si="1"/>
        <v>(n): hiểu biết</v>
      </c>
      <c r="I4205" s="6" t="s">
        <v>22967</v>
      </c>
      <c r="J4205" s="6" t="s">
        <v>22968</v>
      </c>
      <c r="K4205" s="7">
        <f t="shared" si="2"/>
        <v>0.1483181001</v>
      </c>
    </row>
    <row r="4206">
      <c r="A4206" s="4">
        <v>4206.0</v>
      </c>
      <c r="B4206" s="5" t="s">
        <v>22969</v>
      </c>
      <c r="C4206" s="5" t="s">
        <v>22970</v>
      </c>
      <c r="D4206" s="5" t="s">
        <v>22971</v>
      </c>
      <c r="E4206" s="6" t="s">
        <v>74</v>
      </c>
      <c r="F4206" s="6" t="s">
        <v>6825</v>
      </c>
      <c r="G4206" s="3" t="str">
        <f>IFERROR(__xludf.DUMMYFUNCTION("REGEXREPLACE(
D4206,
""([一-龯々]+)\[([^\]]+)\]"",
""&lt;ruby&gt;$1&lt;rt&gt;$2&lt;/rt&gt;&lt;/ruby&gt;""
)&amp;""&lt;br&gt;&lt;div class=""""audio""""&gt;[sound:""&amp;C4206&amp;"".mp3]&lt;/div&gt;"""),"&lt;ruby&gt;手引&lt;rt&gt;てびき&lt;/rt&gt;&lt;/ruby&gt;&lt;br&gt;&lt;div class=""audio""&gt;[sound:てびき.mp3]&lt;/div&gt;")</f>
        <v>&lt;ruby&gt;手引&lt;rt&gt;てびき&lt;/rt&gt;&lt;/ruby&gt;&lt;br&gt;&lt;div class="audio"&gt;[sound:てびき.mp3]&lt;/div&gt;</v>
      </c>
      <c r="H4206" s="3" t="str">
        <f t="shared" si="1"/>
        <v>(n): hướng dẫn</v>
      </c>
      <c r="I4206" s="6" t="s">
        <v>22972</v>
      </c>
      <c r="J4206" s="6" t="s">
        <v>22973</v>
      </c>
      <c r="K4206" s="7">
        <f t="shared" si="2"/>
        <v>0.4132386737</v>
      </c>
    </row>
    <row r="4207">
      <c r="A4207" s="4">
        <v>4207.0</v>
      </c>
      <c r="B4207" s="5" t="s">
        <v>22974</v>
      </c>
      <c r="C4207" s="5" t="s">
        <v>22975</v>
      </c>
      <c r="D4207" s="5" t="s">
        <v>22976</v>
      </c>
      <c r="E4207" s="6" t="s">
        <v>74</v>
      </c>
      <c r="F4207" s="6" t="s">
        <v>8357</v>
      </c>
      <c r="G4207" s="3" t="str">
        <f>IFERROR(__xludf.DUMMYFUNCTION("REGEXREPLACE(
D4207,
""([一-龯々]+)\[([^\]]+)\]"",
""&lt;ruby&gt;$1&lt;rt&gt;$2&lt;/rt&gt;&lt;/ruby&gt;""
)&amp;""&lt;br&gt;&lt;div class=""""audio""""&gt;[sound:""&amp;C4207&amp;"".mp3]&lt;/div&gt;"""),"&lt;ruby&gt;採算&lt;rt&gt;さいさん&lt;/rt&gt;&lt;/ruby&gt;&lt;br&gt;&lt;div class=""audio""&gt;[sound:さいさん.mp3]&lt;/div&gt;")</f>
        <v>&lt;ruby&gt;採算&lt;rt&gt;さいさん&lt;/rt&gt;&lt;/ruby&gt;&lt;br&gt;&lt;div class="audio"&gt;[sound:さいさん.mp3]&lt;/div&gt;</v>
      </c>
      <c r="H4207" s="3" t="str">
        <f t="shared" si="1"/>
        <v>(n): lợi nhuận</v>
      </c>
      <c r="I4207" s="6" t="s">
        <v>22977</v>
      </c>
      <c r="J4207" s="6" t="s">
        <v>22978</v>
      </c>
      <c r="K4207" s="7">
        <f t="shared" si="2"/>
        <v>0.7466169019</v>
      </c>
    </row>
    <row r="4208">
      <c r="A4208" s="4">
        <v>4208.0</v>
      </c>
      <c r="B4208" s="5" t="s">
        <v>22979</v>
      </c>
      <c r="C4208" s="5" t="s">
        <v>22980</v>
      </c>
      <c r="D4208" s="5" t="s">
        <v>22981</v>
      </c>
      <c r="E4208" s="6" t="s">
        <v>74</v>
      </c>
      <c r="F4208" s="6" t="s">
        <v>22982</v>
      </c>
      <c r="G4208" s="3" t="str">
        <f>IFERROR(__xludf.DUMMYFUNCTION("REGEXREPLACE(
D4208,
""([一-龯々]+)\[([^\]]+)\]"",
""&lt;ruby&gt;$1&lt;rt&gt;$2&lt;/rt&gt;&lt;/ruby&gt;""
)&amp;""&lt;br&gt;&lt;div class=""""audio""""&gt;[sound:""&amp;C4208&amp;"".mp3]&lt;/div&gt;"""),"&lt;ruby&gt;幹&lt;rt&gt;みき&lt;/rt&gt;&lt;/ruby&gt;&lt;br&gt;&lt;div class=""audio""&gt;[sound:みき.mp3]&lt;/div&gt;")</f>
        <v>&lt;ruby&gt;幹&lt;rt&gt;みき&lt;/rt&gt;&lt;/ruby&gt;&lt;br&gt;&lt;div class="audio"&gt;[sound:みき.mp3]&lt;/div&gt;</v>
      </c>
      <c r="H4208" s="3" t="str">
        <f t="shared" si="1"/>
        <v>(n): thân cây</v>
      </c>
      <c r="I4208" s="6" t="s">
        <v>22983</v>
      </c>
      <c r="J4208" s="6" t="s">
        <v>22984</v>
      </c>
      <c r="K4208" s="7">
        <f t="shared" si="2"/>
        <v>0.8056086964</v>
      </c>
    </row>
    <row r="4209">
      <c r="A4209" s="4">
        <v>4209.0</v>
      </c>
      <c r="B4209" s="5" t="s">
        <v>22985</v>
      </c>
      <c r="C4209" s="5" t="s">
        <v>22986</v>
      </c>
      <c r="D4209" s="5" t="s">
        <v>22987</v>
      </c>
      <c r="E4209" s="6" t="s">
        <v>74</v>
      </c>
      <c r="F4209" s="6" t="s">
        <v>22988</v>
      </c>
      <c r="G4209" s="3" t="str">
        <f>IFERROR(__xludf.DUMMYFUNCTION("REGEXREPLACE(
D4209,
""([一-龯々]+)\[([^\]]+)\]"",
""&lt;ruby&gt;$1&lt;rt&gt;$2&lt;/rt&gt;&lt;/ruby&gt;""
)&amp;""&lt;br&gt;&lt;div class=""""audio""""&gt;[sound:""&amp;C4209&amp;"".mp3]&lt;/div&gt;"""),"&lt;ruby&gt;打&lt;rt&gt;う&lt;/rt&gt;&lt;/ruby&gt;ち&lt;ruby&gt;消&lt;rt&gt;け&lt;/rt&gt;&lt;/ruby&gt;し&lt;br&gt;&lt;div class=""audio""&gt;[sound:うちけし.mp3]&lt;/div&gt;")</f>
        <v>&lt;ruby&gt;打&lt;rt&gt;う&lt;/rt&gt;&lt;/ruby&gt;ち&lt;ruby&gt;消&lt;rt&gt;け&lt;/rt&gt;&lt;/ruby&gt;し&lt;br&gt;&lt;div class="audio"&gt;[sound:うちけし.mp3]&lt;/div&gt;</v>
      </c>
      <c r="H4209" s="3" t="str">
        <f t="shared" si="1"/>
        <v>(n): sự phủ định</v>
      </c>
      <c r="I4209" s="6" t="s">
        <v>22989</v>
      </c>
      <c r="J4209" s="6" t="s">
        <v>17947</v>
      </c>
      <c r="K4209" s="7">
        <f t="shared" si="2"/>
        <v>0.7779194313</v>
      </c>
    </row>
    <row r="4210">
      <c r="A4210" s="4">
        <v>4210.0</v>
      </c>
      <c r="B4210" s="5" t="s">
        <v>22990</v>
      </c>
      <c r="C4210" s="5" t="s">
        <v>22991</v>
      </c>
      <c r="D4210" s="5" t="s">
        <v>22992</v>
      </c>
      <c r="E4210" s="6" t="s">
        <v>74</v>
      </c>
      <c r="F4210" s="6" t="s">
        <v>22993</v>
      </c>
      <c r="G4210" s="3" t="str">
        <f>IFERROR(__xludf.DUMMYFUNCTION("REGEXREPLACE(
D4210,
""([一-龯々]+)\[([^\]]+)\]"",
""&lt;ruby&gt;$1&lt;rt&gt;$2&lt;/rt&gt;&lt;/ruby&gt;""
)&amp;""&lt;br&gt;&lt;div class=""""audio""""&gt;[sound:""&amp;C4210&amp;"".mp3]&lt;/div&gt;"""),"&lt;ruby&gt;控除&lt;rt&gt;こうじょ&lt;/rt&gt;&lt;/ruby&gt;&lt;br&gt;&lt;div class=""audio""&gt;[sound:こうじょ.mp3]&lt;/div&gt;")</f>
        <v>&lt;ruby&gt;控除&lt;rt&gt;こうじょ&lt;/rt&gt;&lt;/ruby&gt;&lt;br&gt;&lt;div class="audio"&gt;[sound:こうじょ.mp3]&lt;/div&gt;</v>
      </c>
      <c r="H4210" s="3" t="str">
        <f t="shared" si="1"/>
        <v>(n): khấu trừ</v>
      </c>
      <c r="I4210" s="6" t="s">
        <v>22994</v>
      </c>
      <c r="J4210" s="6" t="s">
        <v>22995</v>
      </c>
      <c r="K4210" s="7">
        <f t="shared" si="2"/>
        <v>0.1639458506</v>
      </c>
    </row>
    <row r="4211">
      <c r="A4211" s="4">
        <v>4211.0</v>
      </c>
      <c r="B4211" s="5" t="s">
        <v>22996</v>
      </c>
      <c r="C4211" s="5" t="s">
        <v>22997</v>
      </c>
      <c r="D4211" s="5" t="s">
        <v>22998</v>
      </c>
      <c r="E4211" s="6" t="s">
        <v>74</v>
      </c>
      <c r="F4211" s="6" t="s">
        <v>12803</v>
      </c>
      <c r="G4211" s="3" t="str">
        <f>IFERROR(__xludf.DUMMYFUNCTION("REGEXREPLACE(
D4211,
""([一-龯々]+)\[([^\]]+)\]"",
""&lt;ruby&gt;$1&lt;rt&gt;$2&lt;/rt&gt;&lt;/ruby&gt;""
)&amp;""&lt;br&gt;&lt;div class=""""audio""""&gt;[sound:""&amp;C4211&amp;"".mp3]&lt;/div&gt;"""),"&lt;ruby&gt;攻&lt;rt&gt;せ&lt;/rt&gt;&lt;/ruby&gt;め&lt;br&gt;&lt;div class=""audio""&gt;[sound:せめ.mp3]&lt;/div&gt;")</f>
        <v>&lt;ruby&gt;攻&lt;rt&gt;せ&lt;/rt&gt;&lt;/ruby&gt;め&lt;br&gt;&lt;div class="audio"&gt;[sound:せめ.mp3]&lt;/div&gt;</v>
      </c>
      <c r="H4211" s="3" t="str">
        <f t="shared" si="1"/>
        <v>(n): tấn công</v>
      </c>
      <c r="I4211" s="6" t="s">
        <v>22999</v>
      </c>
      <c r="J4211" s="6" t="s">
        <v>23000</v>
      </c>
      <c r="K4211" s="7">
        <f t="shared" si="2"/>
        <v>0.4396847155</v>
      </c>
    </row>
    <row r="4212">
      <c r="A4212" s="4">
        <v>4212.0</v>
      </c>
      <c r="B4212" s="5" t="s">
        <v>23001</v>
      </c>
      <c r="C4212" s="5" t="s">
        <v>23002</v>
      </c>
      <c r="D4212" s="5" t="s">
        <v>23003</v>
      </c>
      <c r="E4212" s="6" t="s">
        <v>74</v>
      </c>
      <c r="F4212" s="6" t="s">
        <v>23004</v>
      </c>
      <c r="G4212" s="3" t="str">
        <f>IFERROR(__xludf.DUMMYFUNCTION("REGEXREPLACE(
D4212,
""([一-龯々]+)\[([^\]]+)\]"",
""&lt;ruby&gt;$1&lt;rt&gt;$2&lt;/rt&gt;&lt;/ruby&gt;""
)&amp;""&lt;br&gt;&lt;div class=""""audio""""&gt;[sound:""&amp;C4212&amp;"".mp3]&lt;/div&gt;"""),"&lt;ruby&gt;救援&lt;rt&gt;きゅうえん&lt;/rt&gt;&lt;/ruby&gt;&lt;br&gt;&lt;div class=""audio""&gt;[sound:きゅうえん.mp3]&lt;/div&gt;")</f>
        <v>&lt;ruby&gt;救援&lt;rt&gt;きゅうえん&lt;/rt&gt;&lt;/ruby&gt;&lt;br&gt;&lt;div class="audio"&gt;[sound:きゅうえん.mp3]&lt;/div&gt;</v>
      </c>
      <c r="H4212" s="3" t="str">
        <f t="shared" si="1"/>
        <v>(n): cứu viện</v>
      </c>
      <c r="I4212" s="6" t="s">
        <v>23005</v>
      </c>
      <c r="J4212" s="6" t="s">
        <v>23006</v>
      </c>
      <c r="K4212" s="7">
        <f t="shared" si="2"/>
        <v>0.1573990369</v>
      </c>
    </row>
    <row r="4213">
      <c r="A4213" s="4">
        <v>4213.0</v>
      </c>
      <c r="B4213" s="5" t="s">
        <v>23007</v>
      </c>
      <c r="C4213" s="5" t="s">
        <v>23008</v>
      </c>
      <c r="D4213" s="5" t="s">
        <v>23009</v>
      </c>
      <c r="E4213" s="6" t="s">
        <v>11</v>
      </c>
      <c r="F4213" s="6" t="s">
        <v>3455</v>
      </c>
      <c r="G4213" s="3" t="str">
        <f>IFERROR(__xludf.DUMMYFUNCTION("REGEXREPLACE(
D4213,
""([一-龯々]+)\[([^\]]+)\]"",
""&lt;ruby&gt;$1&lt;rt&gt;$2&lt;/rt&gt;&lt;/ruby&gt;""
)&amp;""&lt;br&gt;&lt;div class=""""audio""""&gt;[sound:""&amp;C4213&amp;"".mp3]&lt;/div&gt;"""),"&lt;ruby&gt;普遍&lt;rt&gt;ふへん&lt;/rt&gt;&lt;/ruby&gt;&lt;br&gt;&lt;div class=""audio""&gt;[sound:ふへん.mp3]&lt;/div&gt;")</f>
        <v>&lt;ruby&gt;普遍&lt;rt&gt;ふへん&lt;/rt&gt;&lt;/ruby&gt;&lt;br&gt;&lt;div class="audio"&gt;[sound:ふへん.mp3]&lt;/div&gt;</v>
      </c>
      <c r="H4213" s="3" t="str">
        <f t="shared" si="1"/>
        <v>(adj): phổ biến</v>
      </c>
      <c r="I4213" s="6" t="s">
        <v>23010</v>
      </c>
      <c r="J4213" s="6" t="s">
        <v>23011</v>
      </c>
      <c r="K4213" s="7">
        <f t="shared" si="2"/>
        <v>0.8772069615</v>
      </c>
    </row>
    <row r="4214">
      <c r="A4214" s="4">
        <v>4214.0</v>
      </c>
      <c r="B4214" s="5" t="s">
        <v>23012</v>
      </c>
      <c r="C4214" s="5" t="s">
        <v>23013</v>
      </c>
      <c r="D4214" s="5" t="s">
        <v>23014</v>
      </c>
      <c r="E4214" s="6" t="s">
        <v>74</v>
      </c>
      <c r="F4214" s="6" t="s">
        <v>23015</v>
      </c>
      <c r="G4214" s="3" t="str">
        <f>IFERROR(__xludf.DUMMYFUNCTION("REGEXREPLACE(
D4214,
""([一-龯々]+)\[([^\]]+)\]"",
""&lt;ruby&gt;$1&lt;rt&gt;$2&lt;/rt&gt;&lt;/ruby&gt;""
)&amp;""&lt;br&gt;&lt;div class=""""audio""""&gt;[sound:""&amp;C4214&amp;"".mp3]&lt;/div&gt;"""),"&lt;ruby&gt;暴動&lt;rt&gt;ぼうどう&lt;/rt&gt;&lt;/ruby&gt;&lt;br&gt;&lt;div class=""audio""&gt;[sound:ぼうどう.mp3]&lt;/div&gt;")</f>
        <v>&lt;ruby&gt;暴動&lt;rt&gt;ぼうどう&lt;/rt&gt;&lt;/ruby&gt;&lt;br&gt;&lt;div class="audio"&gt;[sound:ぼうどう.mp3]&lt;/div&gt;</v>
      </c>
      <c r="H4214" s="3" t="str">
        <f t="shared" si="1"/>
        <v>(n): bạo động</v>
      </c>
      <c r="I4214" s="6" t="s">
        <v>23016</v>
      </c>
      <c r="J4214" s="6" t="s">
        <v>23017</v>
      </c>
      <c r="K4214" s="7">
        <f t="shared" si="2"/>
        <v>0.9444936712</v>
      </c>
    </row>
    <row r="4215">
      <c r="A4215" s="4">
        <v>4215.0</v>
      </c>
      <c r="B4215" s="5" t="s">
        <v>23018</v>
      </c>
      <c r="C4215" s="5" t="s">
        <v>23019</v>
      </c>
      <c r="D4215" s="5" t="s">
        <v>23020</v>
      </c>
      <c r="E4215" s="6" t="s">
        <v>74</v>
      </c>
      <c r="F4215" s="6" t="s">
        <v>23021</v>
      </c>
      <c r="G4215" s="3" t="str">
        <f>IFERROR(__xludf.DUMMYFUNCTION("REGEXREPLACE(
D4215,
""([一-龯々]+)\[([^\]]+)\]"",
""&lt;ruby&gt;$1&lt;rt&gt;$2&lt;/rt&gt;&lt;/ruby&gt;""
)&amp;""&lt;br&gt;&lt;div class=""""audio""""&gt;[sound:""&amp;C4215&amp;"".mp3]&lt;/div&gt;"""),"&lt;ruby&gt;感度&lt;rt&gt;かんど&lt;/rt&gt;&lt;/ruby&gt;&lt;br&gt;&lt;div class=""audio""&gt;[sound:かんど.mp3]&lt;/div&gt;")</f>
        <v>&lt;ruby&gt;感度&lt;rt&gt;かんど&lt;/rt&gt;&lt;/ruby&gt;&lt;br&gt;&lt;div class="audio"&gt;[sound:かんど.mp3]&lt;/div&gt;</v>
      </c>
      <c r="H4215" s="3" t="str">
        <f t="shared" si="1"/>
        <v>(n): độ nhạy</v>
      </c>
      <c r="I4215" s="6" t="s">
        <v>23022</v>
      </c>
      <c r="J4215" s="6" t="s">
        <v>23023</v>
      </c>
      <c r="K4215" s="7">
        <f t="shared" si="2"/>
        <v>0.02166113566</v>
      </c>
    </row>
    <row r="4216">
      <c r="A4216" s="4">
        <v>4216.0</v>
      </c>
      <c r="B4216" s="5" t="s">
        <v>23024</v>
      </c>
      <c r="C4216" s="5" t="s">
        <v>23025</v>
      </c>
      <c r="D4216" s="5" t="s">
        <v>23026</v>
      </c>
      <c r="E4216" s="6" t="s">
        <v>74</v>
      </c>
      <c r="F4216" s="6" t="s">
        <v>23027</v>
      </c>
      <c r="G4216" s="3" t="str">
        <f>IFERROR(__xludf.DUMMYFUNCTION("REGEXREPLACE(
D4216,
""([一-龯々]+)\[([^\]]+)\]"",
""&lt;ruby&gt;$1&lt;rt&gt;$2&lt;/rt&gt;&lt;/ruby&gt;""
)&amp;""&lt;br&gt;&lt;div class=""""audio""""&gt;[sound:""&amp;C4216&amp;"".mp3]&lt;/div&gt;"""),"&lt;ruby&gt;慣例&lt;rt&gt;かんれい&lt;/rt&gt;&lt;/ruby&gt;&lt;br&gt;&lt;div class=""audio""&gt;[sound:かんれい.mp3]&lt;/div&gt;")</f>
        <v>&lt;ruby&gt;慣例&lt;rt&gt;かんれい&lt;/rt&gt;&lt;/ruby&gt;&lt;br&gt;&lt;div class="audio"&gt;[sound:かんれい.mp3]&lt;/div&gt;</v>
      </c>
      <c r="H4216" s="3" t="str">
        <f t="shared" si="1"/>
        <v>(n): quán lệ</v>
      </c>
      <c r="I4216" s="6" t="s">
        <v>23028</v>
      </c>
      <c r="J4216" s="6" t="s">
        <v>23029</v>
      </c>
      <c r="K4216" s="7">
        <f t="shared" si="2"/>
        <v>0.4847211678</v>
      </c>
    </row>
    <row r="4217">
      <c r="A4217" s="4">
        <v>4217.0</v>
      </c>
      <c r="B4217" s="5" t="s">
        <v>23030</v>
      </c>
      <c r="C4217" s="5" t="s">
        <v>23031</v>
      </c>
      <c r="D4217" s="5" t="s">
        <v>23032</v>
      </c>
      <c r="E4217" s="6" t="s">
        <v>74</v>
      </c>
      <c r="F4217" s="6" t="s">
        <v>18007</v>
      </c>
      <c r="G4217" s="3" t="str">
        <f>IFERROR(__xludf.DUMMYFUNCTION("REGEXREPLACE(
D4217,
""([一-龯々]+)\[([^\]]+)\]"",
""&lt;ruby&gt;$1&lt;rt&gt;$2&lt;/rt&gt;&lt;/ruby&gt;""
)&amp;""&lt;br&gt;&lt;div class=""""audio""""&gt;[sound:""&amp;C4217&amp;"".mp3]&lt;/div&gt;"""),"&lt;ruby&gt;捕獲&lt;rt&gt;ほかく&lt;/rt&gt;&lt;/ruby&gt;&lt;br&gt;&lt;div class=""audio""&gt;[sound:ほかく.mp3]&lt;/div&gt;")</f>
        <v>&lt;ruby&gt;捕獲&lt;rt&gt;ほかく&lt;/rt&gt;&lt;/ruby&gt;&lt;br&gt;&lt;div class="audio"&gt;[sound:ほかく.mp3]&lt;/div&gt;</v>
      </c>
      <c r="H4217" s="3" t="str">
        <f t="shared" si="1"/>
        <v>(n): bắt giữ</v>
      </c>
      <c r="I4217" s="6" t="s">
        <v>23033</v>
      </c>
      <c r="J4217" s="6" t="s">
        <v>23034</v>
      </c>
      <c r="K4217" s="7">
        <f t="shared" si="2"/>
        <v>0.5678751215</v>
      </c>
    </row>
    <row r="4218">
      <c r="A4218" s="4">
        <v>4218.0</v>
      </c>
      <c r="B4218" s="5" t="s">
        <v>23035</v>
      </c>
      <c r="C4218" s="5" t="s">
        <v>23036</v>
      </c>
      <c r="D4218" s="5" t="s">
        <v>23037</v>
      </c>
      <c r="E4218" s="6" t="s">
        <v>74</v>
      </c>
      <c r="F4218" s="6" t="s">
        <v>23038</v>
      </c>
      <c r="G4218" s="3" t="str">
        <f>IFERROR(__xludf.DUMMYFUNCTION("REGEXREPLACE(
D4218,
""([一-龯々]+)\[([^\]]+)\]"",
""&lt;ruby&gt;$1&lt;rt&gt;$2&lt;/rt&gt;&lt;/ruby&gt;""
)&amp;""&lt;br&gt;&lt;div class=""""audio""""&gt;[sound:""&amp;C4218&amp;"".mp3]&lt;/div&gt;"""),"&lt;ruby&gt;換算&lt;rt&gt;かんさん&lt;/rt&gt;&lt;/ruby&gt;&lt;br&gt;&lt;div class=""audio""&gt;[sound:かんさん.mp3]&lt;/div&gt;")</f>
        <v>&lt;ruby&gt;換算&lt;rt&gt;かんさん&lt;/rt&gt;&lt;/ruby&gt;&lt;br&gt;&lt;div class="audio"&gt;[sound:かんさん.mp3]&lt;/div&gt;</v>
      </c>
      <c r="H4218" s="3" t="str">
        <f t="shared" si="1"/>
        <v>(n): quy đổi</v>
      </c>
      <c r="I4218" s="6" t="s">
        <v>23039</v>
      </c>
      <c r="J4218" s="6" t="s">
        <v>23040</v>
      </c>
      <c r="K4218" s="7">
        <f t="shared" si="2"/>
        <v>0.4396162057</v>
      </c>
    </row>
    <row r="4219">
      <c r="A4219" s="4">
        <v>4219.0</v>
      </c>
      <c r="B4219" s="5" t="s">
        <v>23041</v>
      </c>
      <c r="C4219" s="5" t="s">
        <v>23042</v>
      </c>
      <c r="D4219" s="5" t="s">
        <v>23043</v>
      </c>
      <c r="E4219" s="6" t="s">
        <v>74</v>
      </c>
      <c r="F4219" s="6" t="s">
        <v>9710</v>
      </c>
      <c r="G4219" s="3" t="str">
        <f>IFERROR(__xludf.DUMMYFUNCTION("REGEXREPLACE(
D4219,
""([一-龯々]+)\[([^\]]+)\]"",
""&lt;ruby&gt;$1&lt;rt&gt;$2&lt;/rt&gt;&lt;/ruby&gt;""
)&amp;""&lt;br&gt;&lt;div class=""""audio""""&gt;[sound:""&amp;C4219&amp;"".mp3]&lt;/div&gt;"""),"&lt;ruby&gt;教訓&lt;rt&gt;きょうくん&lt;/rt&gt;&lt;/ruby&gt;&lt;br&gt;&lt;div class=""audio""&gt;[sound:きょうくん.mp3]&lt;/div&gt;")</f>
        <v>&lt;ruby&gt;教訓&lt;rt&gt;きょうくん&lt;/rt&gt;&lt;/ruby&gt;&lt;br&gt;&lt;div class="audio"&gt;[sound:きょうくん.mp3]&lt;/div&gt;</v>
      </c>
      <c r="H4219" s="3" t="str">
        <f t="shared" si="1"/>
        <v>(n): bài học</v>
      </c>
      <c r="I4219" s="6" t="s">
        <v>23044</v>
      </c>
      <c r="J4219" s="6" t="s">
        <v>23045</v>
      </c>
      <c r="K4219" s="7">
        <f t="shared" si="2"/>
        <v>0.9060132839</v>
      </c>
    </row>
    <row r="4220">
      <c r="A4220" s="4">
        <v>4220.0</v>
      </c>
      <c r="B4220" s="5" t="s">
        <v>23046</v>
      </c>
      <c r="C4220" s="5" t="s">
        <v>23047</v>
      </c>
      <c r="D4220" s="5" t="s">
        <v>23048</v>
      </c>
      <c r="E4220" s="6" t="s">
        <v>11</v>
      </c>
      <c r="F4220" s="6" t="s">
        <v>23049</v>
      </c>
      <c r="G4220" s="3" t="str">
        <f>IFERROR(__xludf.DUMMYFUNCTION("REGEXREPLACE(
D4220,
""([一-龯々]+)\[([^\]]+)\]"",
""&lt;ruby&gt;$1&lt;rt&gt;$2&lt;/rt&gt;&lt;/ruby&gt;""
)&amp;""&lt;br&gt;&lt;div class=""""audio""""&gt;[sound:""&amp;C4220&amp;"".mp3]&lt;/div&gt;"""),"&lt;ruby&gt;有益&lt;rt&gt;ゆうえき&lt;/rt&gt;&lt;/ruby&gt;&lt;br&gt;&lt;div class=""audio""&gt;[sound:ゆうえき.mp3]&lt;/div&gt;")</f>
        <v>&lt;ruby&gt;有益&lt;rt&gt;ゆうえき&lt;/rt&gt;&lt;/ruby&gt;&lt;br&gt;&lt;div class="audio"&gt;[sound:ゆうえき.mp3]&lt;/div&gt;</v>
      </c>
      <c r="H4220" s="3" t="str">
        <f t="shared" si="1"/>
        <v>(adj): hữu ích</v>
      </c>
      <c r="I4220" s="6" t="s">
        <v>23050</v>
      </c>
      <c r="J4220" s="6" t="s">
        <v>23051</v>
      </c>
      <c r="K4220" s="7">
        <f t="shared" si="2"/>
        <v>0.9673622918</v>
      </c>
    </row>
    <row r="4221">
      <c r="A4221" s="4">
        <v>4221.0</v>
      </c>
      <c r="B4221" s="5" t="s">
        <v>23052</v>
      </c>
      <c r="C4221" s="5" t="s">
        <v>23053</v>
      </c>
      <c r="D4221" s="5" t="s">
        <v>23054</v>
      </c>
      <c r="E4221" s="6" t="s">
        <v>24</v>
      </c>
      <c r="F4221" s="6" t="s">
        <v>23055</v>
      </c>
      <c r="G4221" s="3" t="str">
        <f>IFERROR(__xludf.DUMMYFUNCTION("REGEXREPLACE(
D4221,
""([一-龯々]+)\[([^\]]+)\]"",
""&lt;ruby&gt;$1&lt;rt&gt;$2&lt;/rt&gt;&lt;/ruby&gt;""
)&amp;""&lt;br&gt;&lt;div class=""""audio""""&gt;[sound:""&amp;C4221&amp;"".mp3]&lt;/div&gt;"""),"&lt;ruby&gt;押&lt;rt&gt;お&lt;/rt&gt;&lt;/ruby&gt;し&lt;ruby&gt;寄&lt;rt&gt;よ&lt;/rt&gt;&lt;/ruby&gt;せる&lt;br&gt;&lt;div class=""audio""&gt;[sound:おしよせる.mp3]&lt;/div&gt;")</f>
        <v>&lt;ruby&gt;押&lt;rt&gt;お&lt;/rt&gt;&lt;/ruby&gt;し&lt;ruby&gt;寄&lt;rt&gt;よ&lt;/rt&gt;&lt;/ruby&gt;せる&lt;br&gt;&lt;div class="audio"&gt;[sound:おしよせる.mp3]&lt;/div&gt;</v>
      </c>
      <c r="H4221" s="3" t="str">
        <f t="shared" si="1"/>
        <v>(v): ùa vào</v>
      </c>
      <c r="I4221" s="6" t="s">
        <v>23056</v>
      </c>
      <c r="J4221" s="6" t="s">
        <v>23057</v>
      </c>
      <c r="K4221" s="7">
        <f t="shared" si="2"/>
        <v>0.7742879329</v>
      </c>
    </row>
    <row r="4222">
      <c r="A4222" s="4">
        <v>4222.0</v>
      </c>
      <c r="B4222" s="5" t="s">
        <v>23058</v>
      </c>
      <c r="C4222" s="5" t="s">
        <v>23059</v>
      </c>
      <c r="D4222" s="5" t="s">
        <v>23060</v>
      </c>
      <c r="E4222" s="6" t="s">
        <v>74</v>
      </c>
      <c r="F4222" s="6" t="s">
        <v>23061</v>
      </c>
      <c r="G4222" s="3" t="str">
        <f>IFERROR(__xludf.DUMMYFUNCTION("REGEXREPLACE(
D4222,
""([一-龯々]+)\[([^\]]+)\]"",
""&lt;ruby&gt;$1&lt;rt&gt;$2&lt;/rt&gt;&lt;/ruby&gt;""
)&amp;""&lt;br&gt;&lt;div class=""""audio""""&gt;[sound:""&amp;C4222&amp;"".mp3]&lt;/div&gt;"""),"&lt;ruby&gt;放射&lt;rt&gt;ほうしゃ&lt;/rt&gt;&lt;/ruby&gt;&lt;br&gt;&lt;div class=""audio""&gt;[sound:ほうしゃ.mp3]&lt;/div&gt;")</f>
        <v>&lt;ruby&gt;放射&lt;rt&gt;ほうしゃ&lt;/rt&gt;&lt;/ruby&gt;&lt;br&gt;&lt;div class="audio"&gt;[sound:ほうしゃ.mp3]&lt;/div&gt;</v>
      </c>
      <c r="H4222" s="3" t="str">
        <f t="shared" si="1"/>
        <v>(n): bức xạ</v>
      </c>
      <c r="I4222" s="6" t="s">
        <v>23062</v>
      </c>
      <c r="J4222" s="6" t="s">
        <v>23063</v>
      </c>
      <c r="K4222" s="7">
        <f t="shared" si="2"/>
        <v>0.2746156656</v>
      </c>
    </row>
    <row r="4223">
      <c r="A4223" s="4">
        <v>4223.0</v>
      </c>
      <c r="B4223" s="5" t="s">
        <v>23064</v>
      </c>
      <c r="C4223" s="5" t="s">
        <v>23065</v>
      </c>
      <c r="D4223" s="5" t="s">
        <v>23066</v>
      </c>
      <c r="E4223" s="6" t="s">
        <v>85</v>
      </c>
      <c r="F4223" s="6" t="s">
        <v>23067</v>
      </c>
      <c r="G4223" s="3" t="str">
        <f>IFERROR(__xludf.DUMMYFUNCTION("REGEXREPLACE(
D4223,
""([一-龯々]+)\[([^\]]+)\]"",
""&lt;ruby&gt;$1&lt;rt&gt;$2&lt;/rt&gt;&lt;/ruby&gt;""
)&amp;""&lt;br&gt;&lt;div class=""""audio""""&gt;[sound:""&amp;C4223&amp;"".mp3]&lt;/div&gt;"""),"&lt;ruby&gt;断然&lt;rt&gt;だんぜん&lt;/rt&gt;&lt;/ruby&gt;&lt;br&gt;&lt;div class=""audio""&gt;[sound:だんぜん.mp3]&lt;/div&gt;")</f>
        <v>&lt;ruby&gt;断然&lt;rt&gt;だんぜん&lt;/rt&gt;&lt;/ruby&gt;&lt;br&gt;&lt;div class="audio"&gt;[sound:だんぜん.mp3]&lt;/div&gt;</v>
      </c>
      <c r="H4223" s="3" t="str">
        <f t="shared" si="1"/>
        <v>(adv): hẳn</v>
      </c>
      <c r="I4223" s="6" t="s">
        <v>23068</v>
      </c>
      <c r="J4223" s="6" t="s">
        <v>23069</v>
      </c>
      <c r="K4223" s="7">
        <f t="shared" si="2"/>
        <v>0.8681862822</v>
      </c>
    </row>
    <row r="4224">
      <c r="A4224" s="4">
        <v>4224.0</v>
      </c>
      <c r="B4224" s="5" t="s">
        <v>23070</v>
      </c>
      <c r="C4224" s="5" t="s">
        <v>1489</v>
      </c>
      <c r="D4224" s="5" t="s">
        <v>23071</v>
      </c>
      <c r="E4224" s="6" t="s">
        <v>74</v>
      </c>
      <c r="F4224" s="6" t="s">
        <v>23072</v>
      </c>
      <c r="G4224" s="3" t="str">
        <f>IFERROR(__xludf.DUMMYFUNCTION("REGEXREPLACE(
D4224,
""([一-龯々]+)\[([^\]]+)\]"",
""&lt;ruby&gt;$1&lt;rt&gt;$2&lt;/rt&gt;&lt;/ruby&gt;""
)&amp;""&lt;br&gt;&lt;div class=""""audio""""&gt;[sound:""&amp;C4224&amp;"".mp3]&lt;/div&gt;"""),"&lt;ruby&gt;核&lt;rt&gt;かく&lt;/rt&gt;&lt;/ruby&gt;&lt;br&gt;&lt;div class=""audio""&gt;[sound:かく.mp3]&lt;/div&gt;")</f>
        <v>&lt;ruby&gt;核&lt;rt&gt;かく&lt;/rt&gt;&lt;/ruby&gt;&lt;br&gt;&lt;div class="audio"&gt;[sound:かく.mp3]&lt;/div&gt;</v>
      </c>
      <c r="H4224" s="3" t="str">
        <f t="shared" si="1"/>
        <v>(n): hạt nhân</v>
      </c>
      <c r="I4224" s="6" t="s">
        <v>23073</v>
      </c>
      <c r="J4224" s="6" t="s">
        <v>23074</v>
      </c>
      <c r="K4224" s="7">
        <f t="shared" si="2"/>
        <v>0.001538117665</v>
      </c>
    </row>
    <row r="4225">
      <c r="A4225" s="4">
        <v>4225.0</v>
      </c>
      <c r="B4225" s="5" t="s">
        <v>23075</v>
      </c>
      <c r="C4225" s="5" t="s">
        <v>23076</v>
      </c>
      <c r="D4225" s="5" t="s">
        <v>23077</v>
      </c>
      <c r="E4225" s="6" t="s">
        <v>11</v>
      </c>
      <c r="F4225" s="6" t="s">
        <v>2848</v>
      </c>
      <c r="G4225" s="3" t="str">
        <f>IFERROR(__xludf.DUMMYFUNCTION("REGEXREPLACE(
D4225,
""([一-龯々]+)\[([^\]]+)\]"",
""&lt;ruby&gt;$1&lt;rt&gt;$2&lt;/rt&gt;&lt;/ruby&gt;""
)&amp;""&lt;br&gt;&lt;div class=""""audio""""&gt;[sound:""&amp;C4225&amp;"".mp3]&lt;/div&gt;"""),"&lt;ruby&gt;明確&lt;rt&gt;めいかく&lt;/rt&gt;&lt;/ruby&gt;&lt;br&gt;&lt;div class=""audio""&gt;[sound:めいかく.mp3]&lt;/div&gt;")</f>
        <v>&lt;ruby&gt;明確&lt;rt&gt;めいかく&lt;/rt&gt;&lt;/ruby&gt;&lt;br&gt;&lt;div class="audio"&gt;[sound:めいかく.mp3]&lt;/div&gt;</v>
      </c>
      <c r="H4225" s="3" t="str">
        <f t="shared" si="1"/>
        <v>(adj): rõ ràng</v>
      </c>
      <c r="I4225" s="6" t="s">
        <v>23078</v>
      </c>
      <c r="J4225" s="6" t="s">
        <v>23079</v>
      </c>
      <c r="K4225" s="7">
        <f t="shared" si="2"/>
        <v>0.4194610862</v>
      </c>
    </row>
    <row r="4226">
      <c r="A4226" s="4">
        <v>4226.0</v>
      </c>
      <c r="B4226" s="5" t="s">
        <v>23080</v>
      </c>
      <c r="C4226" s="5" t="s">
        <v>23081</v>
      </c>
      <c r="D4226" s="5" t="s">
        <v>23082</v>
      </c>
      <c r="E4226" s="6" t="s">
        <v>11</v>
      </c>
      <c r="F4226" s="6" t="s">
        <v>23083</v>
      </c>
      <c r="G4226" s="3" t="str">
        <f>IFERROR(__xludf.DUMMYFUNCTION("REGEXREPLACE(
D4226,
""([一-龯々]+)\[([^\]]+)\]"",
""&lt;ruby&gt;$1&lt;rt&gt;$2&lt;/rt&gt;&lt;/ruby&gt;""
)&amp;""&lt;br&gt;&lt;div class=""""audio""""&gt;[sound:""&amp;C4226&amp;"".mp3]&lt;/div&gt;"""),"&lt;ruby&gt;暇&lt;rt&gt;ひま&lt;/rt&gt;&lt;/ruby&gt;&lt;br&gt;&lt;div class=""audio""&gt;[sound:ひま.mp3]&lt;/div&gt;")</f>
        <v>&lt;ruby&gt;暇&lt;rt&gt;ひま&lt;/rt&gt;&lt;/ruby&gt;&lt;br&gt;&lt;div class="audio"&gt;[sound:ひま.mp3]&lt;/div&gt;</v>
      </c>
      <c r="H4226" s="3" t="str">
        <f t="shared" si="1"/>
        <v>(adj): rảnh rỗi</v>
      </c>
      <c r="I4226" s="6" t="s">
        <v>23084</v>
      </c>
      <c r="J4226" s="6" t="s">
        <v>23085</v>
      </c>
      <c r="K4226" s="7">
        <f t="shared" si="2"/>
        <v>0.2452344125</v>
      </c>
    </row>
    <row r="4227">
      <c r="A4227" s="4">
        <v>4227.0</v>
      </c>
      <c r="B4227" s="5" t="s">
        <v>23086</v>
      </c>
      <c r="C4227" s="5" t="s">
        <v>23087</v>
      </c>
      <c r="D4227" s="5" t="s">
        <v>23088</v>
      </c>
      <c r="E4227" s="6" t="s">
        <v>74</v>
      </c>
      <c r="F4227" s="6" t="s">
        <v>23089</v>
      </c>
      <c r="G4227" s="3" t="str">
        <f>IFERROR(__xludf.DUMMYFUNCTION("REGEXREPLACE(
D4227,
""([一-龯々]+)\[([^\]]+)\]"",
""&lt;ruby&gt;$1&lt;rt&gt;$2&lt;/rt&gt;&lt;/ruby&gt;""
)&amp;""&lt;br&gt;&lt;div class=""""audio""""&gt;[sound:""&amp;C4227&amp;"".mp3]&lt;/div&gt;"""),"&lt;ruby&gt;損害&lt;rt&gt;そんがい&lt;/rt&gt;&lt;/ruby&gt;&lt;br&gt;&lt;div class=""audio""&gt;[sound:そんがい.mp3]&lt;/div&gt;")</f>
        <v>&lt;ruby&gt;損害&lt;rt&gt;そんがい&lt;/rt&gt;&lt;/ruby&gt;&lt;br&gt;&lt;div class="audio"&gt;[sound:そんがい.mp3]&lt;/div&gt;</v>
      </c>
      <c r="H4227" s="3" t="str">
        <f t="shared" si="1"/>
        <v>(n): tổn hại</v>
      </c>
      <c r="I4227" s="6" t="s">
        <v>23090</v>
      </c>
      <c r="J4227" s="6" t="s">
        <v>23091</v>
      </c>
      <c r="K4227" s="7">
        <f t="shared" si="2"/>
        <v>0.09234927074</v>
      </c>
    </row>
    <row r="4228">
      <c r="A4228" s="4">
        <v>4228.0</v>
      </c>
      <c r="B4228" s="5" t="s">
        <v>23092</v>
      </c>
      <c r="C4228" s="5" t="s">
        <v>23093</v>
      </c>
      <c r="D4228" s="5" t="s">
        <v>23094</v>
      </c>
      <c r="E4228" s="6" t="s">
        <v>74</v>
      </c>
      <c r="F4228" s="6" t="s">
        <v>23095</v>
      </c>
      <c r="G4228" s="3" t="str">
        <f>IFERROR(__xludf.DUMMYFUNCTION("REGEXREPLACE(
D4228,
""([一-龯々]+)\[([^\]]+)\]"",
""&lt;ruby&gt;$1&lt;rt&gt;$2&lt;/rt&gt;&lt;/ruby&gt;""
)&amp;""&lt;br&gt;&lt;div class=""""audio""""&gt;[sound:""&amp;C4228&amp;"".mp3]&lt;/div&gt;"""),"&lt;ruby&gt;本部&lt;rt&gt;ほんぶ&lt;/rt&gt;&lt;/ruby&gt;&lt;br&gt;&lt;div class=""audio""&gt;[sound:ほんぶ.mp3]&lt;/div&gt;")</f>
        <v>&lt;ruby&gt;本部&lt;rt&gt;ほんぶ&lt;/rt&gt;&lt;/ruby&gt;&lt;br&gt;&lt;div class="audio"&gt;[sound:ほんぶ.mp3]&lt;/div&gt;</v>
      </c>
      <c r="H4228" s="3" t="str">
        <f t="shared" si="1"/>
        <v>(n): trụ sở</v>
      </c>
      <c r="I4228" s="6" t="s">
        <v>23096</v>
      </c>
      <c r="J4228" s="6" t="s">
        <v>23097</v>
      </c>
      <c r="K4228" s="7">
        <f t="shared" si="2"/>
        <v>0.7152859526</v>
      </c>
    </row>
    <row r="4229">
      <c r="A4229" s="4">
        <v>4229.0</v>
      </c>
      <c r="B4229" s="5" t="s">
        <v>23098</v>
      </c>
      <c r="C4229" s="5" t="s">
        <v>23099</v>
      </c>
      <c r="D4229" s="5" t="s">
        <v>23100</v>
      </c>
      <c r="E4229" s="6" t="s">
        <v>24</v>
      </c>
      <c r="F4229" s="6" t="s">
        <v>9126</v>
      </c>
      <c r="G4229" s="3" t="str">
        <f>IFERROR(__xludf.DUMMYFUNCTION("REGEXREPLACE(
D4229,
""([一-龯々]+)\[([^\]]+)\]"",
""&lt;ruby&gt;$1&lt;rt&gt;$2&lt;/rt&gt;&lt;/ruby&gt;""
)&amp;""&lt;br&gt;&lt;div class=""""audio""""&gt;[sound:""&amp;C4229&amp;"".mp3]&lt;/div&gt;"""),"&lt;ruby&gt;散&lt;rt&gt;ち&lt;/rt&gt;&lt;/ruby&gt;る&lt;br&gt;&lt;div class=""audio""&gt;[sound:ちる.mp3]&lt;/div&gt;")</f>
        <v>&lt;ruby&gt;散&lt;rt&gt;ち&lt;/rt&gt;&lt;/ruby&gt;る&lt;br&gt;&lt;div class="audio"&gt;[sound:ちる.mp3]&lt;/div&gt;</v>
      </c>
      <c r="H4229" s="3" t="str">
        <f t="shared" si="1"/>
        <v>(v): rụng</v>
      </c>
      <c r="I4229" s="6" t="s">
        <v>23101</v>
      </c>
      <c r="J4229" s="6" t="s">
        <v>23102</v>
      </c>
      <c r="K4229" s="7">
        <f t="shared" si="2"/>
        <v>0.3853539401</v>
      </c>
    </row>
    <row r="4230">
      <c r="A4230" s="4">
        <v>4230.0</v>
      </c>
      <c r="B4230" s="5" t="s">
        <v>23103</v>
      </c>
      <c r="C4230" s="5" t="s">
        <v>23104</v>
      </c>
      <c r="D4230" s="5" t="s">
        <v>23105</v>
      </c>
      <c r="E4230" s="6" t="s">
        <v>33</v>
      </c>
      <c r="F4230" s="6" t="s">
        <v>23106</v>
      </c>
      <c r="G4230" s="3" t="str">
        <f>IFERROR(__xludf.DUMMYFUNCTION("REGEXREPLACE(
D4230,
""([一-龯々]+)\[([^\]]+)\]"",
""&lt;ruby&gt;$1&lt;rt&gt;$2&lt;/rt&gt;&lt;/ruby&gt;""
)&amp;""&lt;br&gt;&lt;div class=""""audio""""&gt;[sound:""&amp;C4230&amp;"".mp3]&lt;/div&gt;"""),"ご&lt;ruby&gt;苦労様&lt;rt&gt;くろうさま&lt;/rt&gt;&lt;/ruby&gt;&lt;br&gt;&lt;div class=""audio""&gt;[sound:ごくろうさま.mp3]&lt;/div&gt;")</f>
        <v>ご&lt;ruby&gt;苦労様&lt;rt&gt;くろうさま&lt;/rt&gt;&lt;/ruby&gt;&lt;br&gt;&lt;div class="audio"&gt;[sound:ごくろうさま.mp3]&lt;/div&gt;</v>
      </c>
      <c r="H4230" s="3" t="str">
        <f t="shared" si="1"/>
        <v>(int): vất vả rồi</v>
      </c>
      <c r="I4230" s="6" t="s">
        <v>23107</v>
      </c>
      <c r="J4230" s="6" t="s">
        <v>23108</v>
      </c>
      <c r="K4230" s="7">
        <f t="shared" si="2"/>
        <v>0.4333656922</v>
      </c>
    </row>
    <row r="4231">
      <c r="A4231" s="4">
        <v>4231.0</v>
      </c>
      <c r="B4231" s="5" t="s">
        <v>23109</v>
      </c>
      <c r="C4231" s="5" t="s">
        <v>23110</v>
      </c>
      <c r="D4231" s="5" t="s">
        <v>23111</v>
      </c>
      <c r="E4231" s="6" t="s">
        <v>11</v>
      </c>
      <c r="F4231" s="6" t="s">
        <v>13767</v>
      </c>
      <c r="G4231" s="3" t="str">
        <f>IFERROR(__xludf.DUMMYFUNCTION("REGEXREPLACE(
D4231,
""([一-龯々]+)\[([^\]]+)\]"",
""&lt;ruby&gt;$1&lt;rt&gt;$2&lt;/rt&gt;&lt;/ruby&gt;""
)&amp;""&lt;br&gt;&lt;div class=""""audio""""&gt;[sound:""&amp;C4231&amp;"".mp3]&lt;/div&gt;"""),"&lt;ruby&gt;盛&lt;rt&gt;さか&lt;/rt&gt;&lt;/ruby&gt;ん&lt;br&gt;&lt;div class=""audio""&gt;[sound:さかん.mp3]&lt;/div&gt;")</f>
        <v>&lt;ruby&gt;盛&lt;rt&gt;さか&lt;/rt&gt;&lt;/ruby&gt;ん&lt;br&gt;&lt;div class="audio"&gt;[sound:さかん.mp3]&lt;/div&gt;</v>
      </c>
      <c r="H4231" s="3" t="str">
        <f t="shared" si="1"/>
        <v>(adj): thịnh hành</v>
      </c>
      <c r="I4231" s="6" t="s">
        <v>23112</v>
      </c>
      <c r="J4231" s="6" t="s">
        <v>23113</v>
      </c>
      <c r="K4231" s="7">
        <f t="shared" si="2"/>
        <v>0.9777667021</v>
      </c>
    </row>
    <row r="4232">
      <c r="A4232" s="4">
        <v>4232.0</v>
      </c>
      <c r="B4232" s="5" t="s">
        <v>23114</v>
      </c>
      <c r="C4232" s="5" t="s">
        <v>23115</v>
      </c>
      <c r="D4232" s="5" t="s">
        <v>23116</v>
      </c>
      <c r="E4232" s="6" t="s">
        <v>24</v>
      </c>
      <c r="F4232" s="6" t="s">
        <v>23117</v>
      </c>
      <c r="G4232" s="3" t="str">
        <f>IFERROR(__xludf.DUMMYFUNCTION("REGEXREPLACE(
D4232,
""([一-龯々]+)\[([^\]]+)\]"",
""&lt;ruby&gt;$1&lt;rt&gt;$2&lt;/rt&gt;&lt;/ruby&gt;""
)&amp;""&lt;br&gt;&lt;div class=""""audio""""&gt;[sound:""&amp;C4232&amp;"".mp3]&lt;/div&gt;"""),"&lt;ruby&gt;留&lt;rt&gt;とど&lt;/rt&gt;&lt;/ruby&gt;める&lt;br&gt;&lt;div class=""audio""&gt;[sound:とどめる.mp3]&lt;/div&gt;")</f>
        <v>&lt;ruby&gt;留&lt;rt&gt;とど&lt;/rt&gt;&lt;/ruby&gt;める&lt;br&gt;&lt;div class="audio"&gt;[sound:とどめる.mp3]&lt;/div&gt;</v>
      </c>
      <c r="H4232" s="3" t="str">
        <f t="shared" si="1"/>
        <v>(v): đóng chặt</v>
      </c>
      <c r="I4232" s="6" t="s">
        <v>23118</v>
      </c>
      <c r="J4232" s="6" t="s">
        <v>23119</v>
      </c>
      <c r="K4232" s="7">
        <f t="shared" si="2"/>
        <v>0.8856418197</v>
      </c>
    </row>
    <row r="4233">
      <c r="A4233" s="4">
        <v>4233.0</v>
      </c>
      <c r="B4233" s="5" t="s">
        <v>23120</v>
      </c>
      <c r="C4233" s="5" t="s">
        <v>23121</v>
      </c>
      <c r="D4233" s="5" t="s">
        <v>23122</v>
      </c>
      <c r="E4233" s="6" t="s">
        <v>74</v>
      </c>
      <c r="F4233" s="6" t="s">
        <v>23123</v>
      </c>
      <c r="G4233" s="3" t="str">
        <f>IFERROR(__xludf.DUMMYFUNCTION("REGEXREPLACE(
D4233,
""([一-龯々]+)\[([^\]]+)\]"",
""&lt;ruby&gt;$1&lt;rt&gt;$2&lt;/rt&gt;&lt;/ruby&gt;""
)&amp;""&lt;br&gt;&lt;div class=""""audio""""&gt;[sound:""&amp;C4233&amp;"".mp3]&lt;/div&gt;"""),"&lt;ruby&gt;大金&lt;rt&gt;おおがね&lt;/rt&gt;&lt;/ruby&gt;&lt;br&gt;&lt;div class=""audio""&gt;[sound:おおがね.mp3]&lt;/div&gt;")</f>
        <v>&lt;ruby&gt;大金&lt;rt&gt;おおがね&lt;/rt&gt;&lt;/ruby&gt;&lt;br&gt;&lt;div class="audio"&gt;[sound:おおがね.mp3]&lt;/div&gt;</v>
      </c>
      <c r="H4233" s="3" t="str">
        <f t="shared" si="1"/>
        <v>(n): số tiền lớn</v>
      </c>
      <c r="I4233" s="6" t="s">
        <v>23124</v>
      </c>
      <c r="J4233" s="6" t="s">
        <v>23125</v>
      </c>
      <c r="K4233" s="7">
        <f t="shared" si="2"/>
        <v>0.2273702319</v>
      </c>
    </row>
    <row r="4234">
      <c r="A4234" s="4">
        <v>4234.0</v>
      </c>
      <c r="B4234" s="5" t="s">
        <v>23126</v>
      </c>
      <c r="C4234" s="5" t="s">
        <v>23127</v>
      </c>
      <c r="D4234" s="5" t="s">
        <v>23128</v>
      </c>
      <c r="E4234" s="6" t="s">
        <v>74</v>
      </c>
      <c r="F4234" s="6" t="s">
        <v>23129</v>
      </c>
      <c r="G4234" s="3" t="str">
        <f>IFERROR(__xludf.DUMMYFUNCTION("REGEXREPLACE(
D4234,
""([一-龯々]+)\[([^\]]+)\]"",
""&lt;ruby&gt;$1&lt;rt&gt;$2&lt;/rt&gt;&lt;/ruby&gt;""
)&amp;""&lt;br&gt;&lt;div class=""""audio""""&gt;[sound:""&amp;C4234&amp;"".mp3]&lt;/div&gt;"""),"&lt;ruby&gt;相対&lt;rt&gt;あいたい&lt;/rt&gt;&lt;/ruby&gt;&lt;br&gt;&lt;div class=""audio""&gt;[sound:あいたい.mp3]&lt;/div&gt;")</f>
        <v>&lt;ruby&gt;相対&lt;rt&gt;あいたい&lt;/rt&gt;&lt;/ruby&gt;&lt;br&gt;&lt;div class="audio"&gt;[sound:あいたい.mp3]&lt;/div&gt;</v>
      </c>
      <c r="H4234" s="3" t="str">
        <f t="shared" si="1"/>
        <v>(n): sự đối đãi</v>
      </c>
      <c r="I4234" s="6" t="s">
        <v>23130</v>
      </c>
      <c r="J4234" s="6" t="s">
        <v>23131</v>
      </c>
      <c r="K4234" s="7">
        <f t="shared" si="2"/>
        <v>0.288589372</v>
      </c>
    </row>
    <row r="4235">
      <c r="A4235" s="4">
        <v>4235.0</v>
      </c>
      <c r="B4235" s="5" t="s">
        <v>23132</v>
      </c>
      <c r="C4235" s="5" t="s">
        <v>23133</v>
      </c>
      <c r="D4235" s="5" t="s">
        <v>23134</v>
      </c>
      <c r="E4235" s="6" t="s">
        <v>85</v>
      </c>
      <c r="F4235" s="6" t="s">
        <v>3449</v>
      </c>
      <c r="G4235" s="3" t="str">
        <f>IFERROR(__xludf.DUMMYFUNCTION("REGEXREPLACE(
D4235,
""([一-龯々]+)\[([^\]]+)\]"",
""&lt;ruby&gt;$1&lt;rt&gt;$2&lt;/rt&gt;&lt;/ruby&gt;""
)&amp;""&lt;br&gt;&lt;div class=""""audio""""&gt;[sound:""&amp;C4235&amp;"".mp3]&lt;/div&gt;"""),"&lt;ruby&gt;先&lt;rt&gt;せん&lt;/rt&gt;&lt;/ruby&gt;だって&lt;br&gt;&lt;div class=""audio""&gt;[sound:せんだって.mp3]&lt;/div&gt;")</f>
        <v>&lt;ruby&gt;先&lt;rt&gt;せん&lt;/rt&gt;&lt;/ruby&gt;だって&lt;br&gt;&lt;div class="audio"&gt;[sound:せんだって.mp3]&lt;/div&gt;</v>
      </c>
      <c r="H4235" s="3" t="str">
        <f t="shared" si="1"/>
        <v>(adv): trước đây</v>
      </c>
      <c r="I4235" s="6" t="s">
        <v>23135</v>
      </c>
      <c r="J4235" s="6" t="s">
        <v>23136</v>
      </c>
      <c r="K4235" s="7">
        <f t="shared" si="2"/>
        <v>0.8690102491</v>
      </c>
    </row>
    <row r="4236">
      <c r="A4236" s="4">
        <v>4236.0</v>
      </c>
      <c r="B4236" s="5" t="s">
        <v>23137</v>
      </c>
      <c r="C4236" s="5" t="s">
        <v>23138</v>
      </c>
      <c r="D4236" s="5" t="s">
        <v>23139</v>
      </c>
      <c r="E4236" s="6" t="s">
        <v>11</v>
      </c>
      <c r="F4236" s="6" t="s">
        <v>23140</v>
      </c>
      <c r="G4236" s="3" t="str">
        <f>IFERROR(__xludf.DUMMYFUNCTION("REGEXREPLACE(
D4236,
""([一-龯々]+)\[([^\]]+)\]"",
""&lt;ruby&gt;$1&lt;rt&gt;$2&lt;/rt&gt;&lt;/ruby&gt;""
)&amp;""&lt;br&gt;&lt;div class=""""audio""""&gt;[sound:""&amp;C4236&amp;"".mp3]&lt;/div&gt;"""),"&lt;ruby&gt;先天的&lt;rt&gt;せんてんてき&lt;/rt&gt;&lt;/ruby&gt;&lt;br&gt;&lt;div class=""audio""&gt;[sound:せんてんてき.mp3]&lt;/div&gt;")</f>
        <v>&lt;ruby&gt;先天的&lt;rt&gt;せんてんてき&lt;/rt&gt;&lt;/ruby&gt;&lt;br&gt;&lt;div class="audio"&gt;[sound:せんてんてき.mp3]&lt;/div&gt;</v>
      </c>
      <c r="H4236" s="3" t="str">
        <f t="shared" si="1"/>
        <v>(adj): bẩm sinh</v>
      </c>
      <c r="I4236" s="6" t="s">
        <v>23141</v>
      </c>
      <c r="J4236" s="6" t="s">
        <v>23142</v>
      </c>
      <c r="K4236" s="7">
        <f t="shared" si="2"/>
        <v>0.8908108073</v>
      </c>
    </row>
    <row r="4237">
      <c r="A4237" s="4">
        <v>4237.0</v>
      </c>
      <c r="B4237" s="5" t="s">
        <v>23143</v>
      </c>
      <c r="C4237" s="5" t="s">
        <v>23144</v>
      </c>
      <c r="D4237" s="5" t="s">
        <v>23145</v>
      </c>
      <c r="E4237" s="6" t="s">
        <v>74</v>
      </c>
      <c r="F4237" s="6" t="s">
        <v>23146</v>
      </c>
      <c r="G4237" s="3" t="str">
        <f>IFERROR(__xludf.DUMMYFUNCTION("REGEXREPLACE(
D4237,
""([一-龯々]+)\[([^\]]+)\]"",
""&lt;ruby&gt;$1&lt;rt&gt;$2&lt;/rt&gt;&lt;/ruby&gt;""
)&amp;""&lt;br&gt;&lt;div class=""""audio""""&gt;[sound:""&amp;C4237&amp;"".mp3]&lt;/div&gt;"""),"&lt;ruby&gt;危害&lt;rt&gt;きがい&lt;/rt&gt;&lt;/ruby&gt;&lt;br&gt;&lt;div class=""audio""&gt;[sound:きがい.mp3]&lt;/div&gt;")</f>
        <v>&lt;ruby&gt;危害&lt;rt&gt;きがい&lt;/rt&gt;&lt;/ruby&gt;&lt;br&gt;&lt;div class="audio"&gt;[sound:きがい.mp3]&lt;/div&gt;</v>
      </c>
      <c r="H4237" s="3" t="str">
        <f t="shared" si="1"/>
        <v>(n): nguy hại</v>
      </c>
      <c r="I4237" s="6" t="s">
        <v>23147</v>
      </c>
      <c r="J4237" s="6" t="s">
        <v>23148</v>
      </c>
      <c r="K4237" s="7">
        <f t="shared" si="2"/>
        <v>0.1456610228</v>
      </c>
    </row>
    <row r="4238">
      <c r="A4238" s="4">
        <v>4238.0</v>
      </c>
      <c r="B4238" s="5" t="s">
        <v>23149</v>
      </c>
      <c r="C4238" s="5" t="s">
        <v>23150</v>
      </c>
      <c r="D4238" s="5" t="s">
        <v>23151</v>
      </c>
      <c r="E4238" s="6" t="s">
        <v>33</v>
      </c>
      <c r="F4238" s="6" t="s">
        <v>10737</v>
      </c>
      <c r="G4238" s="3" t="str">
        <f>IFERROR(__xludf.DUMMYFUNCTION("REGEXREPLACE(
D4238,
""([一-龯々]+)\[([^\]]+)\]"",
""&lt;ruby&gt;$1&lt;rt&gt;$2&lt;/rt&gt;&lt;/ruby&gt;""
)&amp;""&lt;br&gt;&lt;div class=""""audio""""&gt;[sound:""&amp;C4238&amp;"".mp3]&lt;/div&gt;"""),"&lt;ruby&gt;恐縮&lt;rt&gt;きょうしゅく&lt;/rt&gt;&lt;/ruby&gt;&lt;br&gt;&lt;div class=""audio""&gt;[sound:きょうしゅく.mp3]&lt;/div&gt;")</f>
        <v>&lt;ruby&gt;恐縮&lt;rt&gt;きょうしゅく&lt;/rt&gt;&lt;/ruby&gt;&lt;br&gt;&lt;div class="audio"&gt;[sound:きょうしゅく.mp3]&lt;/div&gt;</v>
      </c>
      <c r="H4238" s="3" t="str">
        <f t="shared" si="1"/>
        <v>(int): xin lỗi</v>
      </c>
      <c r="I4238" s="6" t="s">
        <v>23152</v>
      </c>
      <c r="J4238" s="6" t="s">
        <v>23153</v>
      </c>
      <c r="K4238" s="7">
        <f t="shared" si="2"/>
        <v>0.08852705274</v>
      </c>
    </row>
    <row r="4239">
      <c r="A4239" s="4">
        <v>4239.0</v>
      </c>
      <c r="B4239" s="5" t="s">
        <v>23154</v>
      </c>
      <c r="C4239" s="5" t="s">
        <v>23155</v>
      </c>
      <c r="D4239" s="5" t="s">
        <v>23156</v>
      </c>
      <c r="E4239" s="6" t="s">
        <v>74</v>
      </c>
      <c r="F4239" s="6" t="s">
        <v>23157</v>
      </c>
      <c r="G4239" s="3" t="str">
        <f>IFERROR(__xludf.DUMMYFUNCTION("REGEXREPLACE(
D4239,
""([一-龯々]+)\[([^\]]+)\]"",
""&lt;ruby&gt;$1&lt;rt&gt;$2&lt;/rt&gt;&lt;/ruby&gt;""
)&amp;""&lt;br&gt;&lt;div class=""""audio""""&gt;[sound:""&amp;C4239&amp;"".mp3]&lt;/div&gt;"""),"&lt;ruby&gt;驚&lt;rt&gt;おどろ&lt;/rt&gt;&lt;/ruby&gt;き&lt;br&gt;&lt;div class=""audio""&gt;[sound:おどろき.mp3]&lt;/div&gt;")</f>
        <v>&lt;ruby&gt;驚&lt;rt&gt;おどろ&lt;/rt&gt;&lt;/ruby&gt;き&lt;br&gt;&lt;div class="audio"&gt;[sound:おどろき.mp3]&lt;/div&gt;</v>
      </c>
      <c r="H4239" s="3" t="str">
        <f t="shared" si="1"/>
        <v>(n): sự ngạc nhiên</v>
      </c>
      <c r="I4239" s="6" t="s">
        <v>23158</v>
      </c>
      <c r="J4239" s="6" t="s">
        <v>23159</v>
      </c>
      <c r="K4239" s="7">
        <f t="shared" si="2"/>
        <v>0.3400466565</v>
      </c>
    </row>
    <row r="4240">
      <c r="A4240" s="4">
        <v>4240.0</v>
      </c>
      <c r="B4240" s="5" t="s">
        <v>23160</v>
      </c>
      <c r="C4240" s="5" t="s">
        <v>23161</v>
      </c>
      <c r="D4240" s="5" t="s">
        <v>23162</v>
      </c>
      <c r="E4240" s="6" t="s">
        <v>74</v>
      </c>
      <c r="F4240" s="6" t="s">
        <v>23163</v>
      </c>
      <c r="G4240" s="3" t="str">
        <f>IFERROR(__xludf.DUMMYFUNCTION("REGEXREPLACE(
D4240,
""([一-龯々]+)\[([^\]]+)\]"",
""&lt;ruby&gt;$1&lt;rt&gt;$2&lt;/rt&gt;&lt;/ruby&gt;""
)&amp;""&lt;br&gt;&lt;div class=""""audio""""&gt;[sound:""&amp;C4240&amp;"".mp3]&lt;/div&gt;"""),"&lt;ruby&gt;私立&lt;rt&gt;しりつ&lt;/rt&gt;&lt;/ruby&gt;&lt;br&gt;&lt;div class=""audio""&gt;[sound:しりつ.mp3]&lt;/div&gt;")</f>
        <v>&lt;ruby&gt;私立&lt;rt&gt;しりつ&lt;/rt&gt;&lt;/ruby&gt;&lt;br&gt;&lt;div class="audio"&gt;[sound:しりつ.mp3]&lt;/div&gt;</v>
      </c>
      <c r="H4240" s="3" t="str">
        <f t="shared" si="1"/>
        <v>(n): tư thục</v>
      </c>
      <c r="I4240" s="6" t="s">
        <v>23164</v>
      </c>
      <c r="J4240" s="6" t="s">
        <v>23165</v>
      </c>
      <c r="K4240" s="7">
        <f t="shared" si="2"/>
        <v>0.7416725053</v>
      </c>
    </row>
    <row r="4241">
      <c r="A4241" s="4">
        <v>4241.0</v>
      </c>
      <c r="B4241" s="5" t="s">
        <v>23166</v>
      </c>
      <c r="C4241" s="5" t="s">
        <v>23167</v>
      </c>
      <c r="D4241" s="5" t="s">
        <v>23168</v>
      </c>
      <c r="E4241" s="6" t="s">
        <v>24</v>
      </c>
      <c r="F4241" s="6" t="s">
        <v>5800</v>
      </c>
      <c r="G4241" s="3" t="str">
        <f>IFERROR(__xludf.DUMMYFUNCTION("REGEXREPLACE(
D4241,
""([一-龯々]+)\[([^\]]+)\]"",
""&lt;ruby&gt;$1&lt;rt&gt;$2&lt;/rt&gt;&lt;/ruby&gt;""
)&amp;""&lt;br&gt;&lt;div class=""""audio""""&gt;[sound:""&amp;C4241&amp;"".mp3]&lt;/div&gt;"""),"&lt;ruby&gt;呆&lt;rt&gt;あき&lt;/rt&gt;&lt;/ruby&gt;れる&lt;br&gt;&lt;div class=""audio""&gt;[sound:あきれる.mp3]&lt;/div&gt;")</f>
        <v>&lt;ruby&gt;呆&lt;rt&gt;あき&lt;/rt&gt;&lt;/ruby&gt;れる&lt;br&gt;&lt;div class="audio"&gt;[sound:あきれる.mp3]&lt;/div&gt;</v>
      </c>
      <c r="H4241" s="3" t="str">
        <f t="shared" si="1"/>
        <v>(v): ngạc nhiên</v>
      </c>
      <c r="I4241" s="6" t="s">
        <v>23169</v>
      </c>
      <c r="J4241" s="6" t="s">
        <v>23170</v>
      </c>
      <c r="K4241" s="7">
        <f t="shared" si="2"/>
        <v>0.3847698394</v>
      </c>
    </row>
    <row r="4242">
      <c r="A4242" s="4">
        <v>4242.0</v>
      </c>
      <c r="B4242" s="5" t="s">
        <v>23171</v>
      </c>
      <c r="C4242" s="5" t="s">
        <v>3014</v>
      </c>
      <c r="D4242" s="5" t="s">
        <v>23172</v>
      </c>
      <c r="E4242" s="6" t="s">
        <v>74</v>
      </c>
      <c r="F4242" s="6" t="s">
        <v>8369</v>
      </c>
      <c r="G4242" s="3" t="str">
        <f>IFERROR(__xludf.DUMMYFUNCTION("REGEXREPLACE(
D4242,
""([一-龯々]+)\[([^\]]+)\]"",
""&lt;ruby&gt;$1&lt;rt&gt;$2&lt;/rt&gt;&lt;/ruby&gt;""
)&amp;""&lt;br&gt;&lt;div class=""""audio""""&gt;[sound:""&amp;C4242&amp;"".mp3]&lt;/div&gt;"""),"&lt;ruby&gt;福&lt;rt&gt;ふく&lt;/rt&gt;&lt;/ruby&gt;&lt;br&gt;&lt;div class=""audio""&gt;[sound:ふく.mp3]&lt;/div&gt;")</f>
        <v>&lt;ruby&gt;福&lt;rt&gt;ふく&lt;/rt&gt;&lt;/ruby&gt;&lt;br&gt;&lt;div class="audio"&gt;[sound:ふく.mp3]&lt;/div&gt;</v>
      </c>
      <c r="H4242" s="3" t="str">
        <f t="shared" si="1"/>
        <v>(n): hạnh phúc</v>
      </c>
      <c r="I4242" s="6" t="s">
        <v>23173</v>
      </c>
      <c r="J4242" s="6" t="s">
        <v>23174</v>
      </c>
      <c r="K4242" s="7">
        <f t="shared" si="2"/>
        <v>0.9302689959</v>
      </c>
    </row>
    <row r="4243">
      <c r="A4243" s="4">
        <v>4243.0</v>
      </c>
      <c r="B4243" s="5" t="s">
        <v>23175</v>
      </c>
      <c r="C4243" s="5" t="s">
        <v>23176</v>
      </c>
      <c r="D4243" s="5" t="s">
        <v>23177</v>
      </c>
      <c r="E4243" s="6" t="s">
        <v>74</v>
      </c>
      <c r="F4243" s="6" t="s">
        <v>23178</v>
      </c>
      <c r="G4243" s="3" t="str">
        <f>IFERROR(__xludf.DUMMYFUNCTION("REGEXREPLACE(
D4243,
""([一-龯々]+)\[([^\]]+)\]"",
""&lt;ruby&gt;$1&lt;rt&gt;$2&lt;/rt&gt;&lt;/ruby&gt;""
)&amp;""&lt;br&gt;&lt;div class=""""audio""""&gt;[sound:""&amp;C4243&amp;"".mp3]&lt;/div&gt;"""),"&lt;ruby&gt;口実&lt;rt&gt;こうじつ&lt;/rt&gt;&lt;/ruby&gt;&lt;br&gt;&lt;div class=""audio""&gt;[sound:こうじつ.mp3]&lt;/div&gt;")</f>
        <v>&lt;ruby&gt;口実&lt;rt&gt;こうじつ&lt;/rt&gt;&lt;/ruby&gt;&lt;br&gt;&lt;div class="audio"&gt;[sound:こうじつ.mp3]&lt;/div&gt;</v>
      </c>
      <c r="H4243" s="3" t="str">
        <f t="shared" si="1"/>
        <v>(n): cái cớ</v>
      </c>
      <c r="I4243" s="6" t="s">
        <v>23179</v>
      </c>
      <c r="J4243" s="6" t="s">
        <v>23180</v>
      </c>
      <c r="K4243" s="7">
        <f t="shared" si="2"/>
        <v>0.7843070687</v>
      </c>
    </row>
    <row r="4244">
      <c r="A4244" s="4">
        <v>4244.0</v>
      </c>
      <c r="B4244" s="5" t="s">
        <v>23181</v>
      </c>
      <c r="C4244" s="5" t="s">
        <v>23182</v>
      </c>
      <c r="D4244" s="5" t="s">
        <v>23183</v>
      </c>
      <c r="E4244" s="6" t="s">
        <v>74</v>
      </c>
      <c r="F4244" s="6" t="s">
        <v>23184</v>
      </c>
      <c r="G4244" s="3" t="str">
        <f>IFERROR(__xludf.DUMMYFUNCTION("REGEXREPLACE(
D4244,
""([一-龯々]+)\[([^\]]+)\]"",
""&lt;ruby&gt;$1&lt;rt&gt;$2&lt;/rt&gt;&lt;/ruby&gt;""
)&amp;""&lt;br&gt;&lt;div class=""""audio""""&gt;[sound:""&amp;C4244&amp;"".mp3]&lt;/div&gt;"""),"&lt;ruby&gt;信号&lt;rt&gt;しんごう&lt;/rt&gt;&lt;/ruby&gt;&lt;br&gt;&lt;div class=""audio""&gt;[sound:しんごう.mp3]&lt;/div&gt;")</f>
        <v>&lt;ruby&gt;信号&lt;rt&gt;しんごう&lt;/rt&gt;&lt;/ruby&gt;&lt;br&gt;&lt;div class="audio"&gt;[sound:しんごう.mp3]&lt;/div&gt;</v>
      </c>
      <c r="H4244" s="3" t="str">
        <f t="shared" si="1"/>
        <v>(n): tín hiệu</v>
      </c>
      <c r="I4244" s="6" t="s">
        <v>23185</v>
      </c>
      <c r="J4244" s="6" t="s">
        <v>23186</v>
      </c>
      <c r="K4244" s="7">
        <f t="shared" si="2"/>
        <v>0.5543466053</v>
      </c>
    </row>
    <row r="4245">
      <c r="A4245" s="4">
        <v>4245.0</v>
      </c>
      <c r="B4245" s="5" t="s">
        <v>23187</v>
      </c>
      <c r="C4245" s="5" t="s">
        <v>5450</v>
      </c>
      <c r="D4245" s="5" t="s">
        <v>23188</v>
      </c>
      <c r="E4245" s="6" t="s">
        <v>24</v>
      </c>
      <c r="F4245" s="6" t="s">
        <v>16328</v>
      </c>
      <c r="G4245" s="3" t="str">
        <f>IFERROR(__xludf.DUMMYFUNCTION("REGEXREPLACE(
D4245,
""([一-龯々]+)\[([^\]]+)\]"",
""&lt;ruby&gt;$1&lt;rt&gt;$2&lt;/rt&gt;&lt;/ruby&gt;""
)&amp;""&lt;br&gt;&lt;div class=""""audio""""&gt;[sound:""&amp;C4245&amp;"".mp3]&lt;/div&gt;"""),"&lt;ruby&gt;馴&lt;rt&gt;な&lt;/rt&gt;&lt;/ruby&gt;れる&lt;br&gt;&lt;div class=""audio""&gt;[sound:なれる.mp3]&lt;/div&gt;")</f>
        <v>&lt;ruby&gt;馴&lt;rt&gt;な&lt;/rt&gt;&lt;/ruby&gt;れる&lt;br&gt;&lt;div class="audio"&gt;[sound:なれる.mp3]&lt;/div&gt;</v>
      </c>
      <c r="H4245" s="3" t="str">
        <f t="shared" si="1"/>
        <v>(v): làm quen</v>
      </c>
      <c r="I4245" s="6" t="s">
        <v>23189</v>
      </c>
      <c r="J4245" s="6" t="s">
        <v>23190</v>
      </c>
      <c r="K4245" s="7">
        <f t="shared" si="2"/>
        <v>0.05835411524</v>
      </c>
    </row>
    <row r="4246">
      <c r="A4246" s="4">
        <v>4246.0</v>
      </c>
      <c r="B4246" s="5" t="s">
        <v>23191</v>
      </c>
      <c r="C4246" s="5" t="s">
        <v>23192</v>
      </c>
      <c r="D4246" s="5" t="s">
        <v>23193</v>
      </c>
      <c r="E4246" s="6" t="s">
        <v>24</v>
      </c>
      <c r="F4246" s="6" t="s">
        <v>23194</v>
      </c>
      <c r="G4246" s="3" t="str">
        <f>IFERROR(__xludf.DUMMYFUNCTION("REGEXREPLACE(
D4246,
""([一-龯々]+)\[([^\]]+)\]"",
""&lt;ruby&gt;$1&lt;rt&gt;$2&lt;/rt&gt;&lt;/ruby&gt;""
)&amp;""&lt;br&gt;&lt;div class=""""audio""""&gt;[sound:""&amp;C4246&amp;"".mp3]&lt;/div&gt;"""),"&lt;ruby&gt;深&lt;rt&gt;ふか&lt;/rt&gt;&lt;/ruby&gt;まる&lt;br&gt;&lt;div class=""audio""&gt;[sound:ふかまる.mp3]&lt;/div&gt;")</f>
        <v>&lt;ruby&gt;深&lt;rt&gt;ふか&lt;/rt&gt;&lt;/ruby&gt;まる&lt;br&gt;&lt;div class="audio"&gt;[sound:ふかまる.mp3]&lt;/div&gt;</v>
      </c>
      <c r="H4246" s="3" t="str">
        <f t="shared" si="1"/>
        <v>(v): sâu sắc</v>
      </c>
      <c r="I4246" s="6" t="s">
        <v>23195</v>
      </c>
      <c r="J4246" s="6" t="s">
        <v>23196</v>
      </c>
      <c r="K4246" s="7">
        <f t="shared" si="2"/>
        <v>0.5506326433</v>
      </c>
    </row>
    <row r="4247">
      <c r="A4247" s="4">
        <v>4247.0</v>
      </c>
      <c r="B4247" s="5" t="s">
        <v>23197</v>
      </c>
      <c r="C4247" s="5" t="s">
        <v>2712</v>
      </c>
      <c r="D4247" s="5" t="s">
        <v>23198</v>
      </c>
      <c r="E4247" s="6" t="s">
        <v>74</v>
      </c>
      <c r="F4247" s="6" t="s">
        <v>16416</v>
      </c>
      <c r="G4247" s="3" t="str">
        <f>IFERROR(__xludf.DUMMYFUNCTION("REGEXREPLACE(
D4247,
""([一-龯々]+)\[([^\]]+)\]"",
""&lt;ruby&gt;$1&lt;rt&gt;$2&lt;/rt&gt;&lt;/ruby&gt;""
)&amp;""&lt;br&gt;&lt;div class=""""audio""""&gt;[sound:""&amp;C4247&amp;"".mp3]&lt;/div&gt;"""),"&lt;ruby&gt;対照&lt;rt&gt;たいしょう&lt;/rt&gt;&lt;/ruby&gt;&lt;br&gt;&lt;div class=""audio""&gt;[sound:たいしょう.mp3]&lt;/div&gt;")</f>
        <v>&lt;ruby&gt;対照&lt;rt&gt;たいしょう&lt;/rt&gt;&lt;/ruby&gt;&lt;br&gt;&lt;div class="audio"&gt;[sound:たいしょう.mp3]&lt;/div&gt;</v>
      </c>
      <c r="H4247" s="3" t="str">
        <f t="shared" si="1"/>
        <v>(n): đối chiếu</v>
      </c>
      <c r="I4247" s="6" t="s">
        <v>23199</v>
      </c>
      <c r="J4247" s="6" t="s">
        <v>23200</v>
      </c>
      <c r="K4247" s="7">
        <f t="shared" si="2"/>
        <v>0.8411642969</v>
      </c>
    </row>
    <row r="4248">
      <c r="A4248" s="4">
        <v>4248.0</v>
      </c>
      <c r="B4248" s="5" t="s">
        <v>23201</v>
      </c>
      <c r="C4248" s="5" t="s">
        <v>23202</v>
      </c>
      <c r="D4248" s="5" t="s">
        <v>23203</v>
      </c>
      <c r="E4248" s="6" t="s">
        <v>74</v>
      </c>
      <c r="F4248" s="6" t="s">
        <v>23204</v>
      </c>
      <c r="G4248" s="3" t="str">
        <f>IFERROR(__xludf.DUMMYFUNCTION("REGEXREPLACE(
D4248,
""([一-龯々]+)\[([^\]]+)\]"",
""&lt;ruby&gt;$1&lt;rt&gt;$2&lt;/rt&gt;&lt;/ruby&gt;""
)&amp;""&lt;br&gt;&lt;div class=""""audio""""&gt;[sound:""&amp;C4248&amp;"".mp3]&lt;/div&gt;"""),"&lt;ruby&gt;後者&lt;rt&gt;こうしゃ&lt;/rt&gt;&lt;/ruby&gt;&lt;br&gt;&lt;div class=""audio""&gt;[sound:こうしゃ.mp3]&lt;/div&gt;")</f>
        <v>&lt;ruby&gt;後者&lt;rt&gt;こうしゃ&lt;/rt&gt;&lt;/ruby&gt;&lt;br&gt;&lt;div class="audio"&gt;[sound:こうしゃ.mp3]&lt;/div&gt;</v>
      </c>
      <c r="H4248" s="3" t="str">
        <f t="shared" si="1"/>
        <v>(n): cái sau</v>
      </c>
      <c r="I4248" s="6" t="s">
        <v>23205</v>
      </c>
      <c r="J4248" s="6" t="s">
        <v>23206</v>
      </c>
      <c r="K4248" s="7">
        <f t="shared" si="2"/>
        <v>0.04917611409</v>
      </c>
    </row>
    <row r="4249">
      <c r="A4249" s="4">
        <v>4249.0</v>
      </c>
      <c r="B4249" s="5" t="s">
        <v>23207</v>
      </c>
      <c r="C4249" s="5" t="s">
        <v>23207</v>
      </c>
      <c r="D4249" s="5" t="s">
        <v>23207</v>
      </c>
      <c r="E4249" s="6" t="s">
        <v>11</v>
      </c>
      <c r="F4249" s="6" t="s">
        <v>23208</v>
      </c>
      <c r="G4249" s="3" t="str">
        <f>IFERROR(__xludf.DUMMYFUNCTION("REGEXREPLACE(
D4249,
""([一-龯々]+)\[([^\]]+)\]"",
""&lt;ruby&gt;$1&lt;rt&gt;$2&lt;/rt&gt;&lt;/ruby&gt;""
)&amp;""&lt;br&gt;&lt;div class=""""audio""""&gt;[sound:""&amp;C4249&amp;"".mp3]&lt;/div&gt;"""),"おめでたい&lt;br&gt;&lt;div class=""audio""&gt;[sound:おめでたい.mp3]&lt;/div&gt;")</f>
        <v>おめでたい&lt;br&gt;&lt;div class="audio"&gt;[sound:おめでたい.mp3]&lt;/div&gt;</v>
      </c>
      <c r="H4249" s="3" t="str">
        <f t="shared" si="1"/>
        <v>(adj): đáng chúc mừng</v>
      </c>
      <c r="I4249" s="6" t="s">
        <v>23209</v>
      </c>
      <c r="J4249" s="6" t="s">
        <v>23210</v>
      </c>
      <c r="K4249" s="7">
        <f t="shared" si="2"/>
        <v>0.37716307</v>
      </c>
    </row>
    <row r="4250">
      <c r="A4250" s="4">
        <v>4250.0</v>
      </c>
      <c r="B4250" s="5" t="s">
        <v>23211</v>
      </c>
      <c r="C4250" s="5" t="s">
        <v>3431</v>
      </c>
      <c r="D4250" s="5" t="s">
        <v>23212</v>
      </c>
      <c r="E4250" s="6" t="s">
        <v>74</v>
      </c>
      <c r="F4250" s="6" t="s">
        <v>23213</v>
      </c>
      <c r="G4250" s="3" t="str">
        <f>IFERROR(__xludf.DUMMYFUNCTION("REGEXREPLACE(
D4250,
""([一-龯々]+)\[([^\]]+)\]"",
""&lt;ruby&gt;$1&lt;rt&gt;$2&lt;/rt&gt;&lt;/ruby&gt;""
)&amp;""&lt;br&gt;&lt;div class=""""audio""""&gt;[sound:""&amp;C4250&amp;"".mp3]&lt;/div&gt;"""),"&lt;ruby&gt;州&lt;rt&gt;しゅう&lt;/rt&gt;&lt;/ruby&gt;&lt;br&gt;&lt;div class=""audio""&gt;[sound:しゅう.mp3]&lt;/div&gt;")</f>
        <v>&lt;ruby&gt;州&lt;rt&gt;しゅう&lt;/rt&gt;&lt;/ruby&gt;&lt;br&gt;&lt;div class="audio"&gt;[sound:しゅう.mp3]&lt;/div&gt;</v>
      </c>
      <c r="H4250" s="3" t="str">
        <f t="shared" si="1"/>
        <v>(n): tiểu bang</v>
      </c>
      <c r="I4250" s="6" t="s">
        <v>23214</v>
      </c>
      <c r="J4250" s="6" t="s">
        <v>23215</v>
      </c>
      <c r="K4250" s="7">
        <f t="shared" si="2"/>
        <v>0.824770586</v>
      </c>
    </row>
    <row r="4251">
      <c r="A4251" s="4">
        <v>4251.0</v>
      </c>
      <c r="B4251" s="5" t="s">
        <v>23216</v>
      </c>
      <c r="C4251" s="5" t="s">
        <v>23217</v>
      </c>
      <c r="D4251" s="5" t="s">
        <v>23218</v>
      </c>
      <c r="E4251" s="6" t="s">
        <v>74</v>
      </c>
      <c r="F4251" s="6" t="s">
        <v>16754</v>
      </c>
      <c r="G4251" s="3" t="str">
        <f>IFERROR(__xludf.DUMMYFUNCTION("REGEXREPLACE(
D4251,
""([一-龯々]+)\[([^\]]+)\]"",
""&lt;ruby&gt;$1&lt;rt&gt;$2&lt;/rt&gt;&lt;/ruby&gt;""
)&amp;""&lt;br&gt;&lt;div class=""""audio""""&gt;[sound:""&amp;C4251&amp;"".mp3]&lt;/div&gt;"""),"&lt;ruby&gt;見舞&lt;rt&gt;みま&lt;/rt&gt;&lt;/ruby&gt;い&lt;br&gt;&lt;div class=""audio""&gt;[sound:みまい.mp3]&lt;/div&gt;")</f>
        <v>&lt;ruby&gt;見舞&lt;rt&gt;みま&lt;/rt&gt;&lt;/ruby&gt;い&lt;br&gt;&lt;div class="audio"&gt;[sound:みまい.mp3]&lt;/div&gt;</v>
      </c>
      <c r="H4251" s="3" t="str">
        <f t="shared" si="1"/>
        <v>(n): thăm bệnh</v>
      </c>
      <c r="I4251" s="6" t="s">
        <v>23219</v>
      </c>
      <c r="J4251" s="6" t="s">
        <v>23220</v>
      </c>
      <c r="K4251" s="7">
        <f t="shared" si="2"/>
        <v>0.6238137386</v>
      </c>
    </row>
    <row r="4252">
      <c r="A4252" s="4">
        <v>4252.0</v>
      </c>
      <c r="B4252" s="5" t="s">
        <v>23221</v>
      </c>
      <c r="C4252" s="5" t="s">
        <v>23222</v>
      </c>
      <c r="D4252" s="5" t="s">
        <v>23221</v>
      </c>
      <c r="E4252" s="6" t="s">
        <v>74</v>
      </c>
      <c r="F4252" s="6" t="s">
        <v>23223</v>
      </c>
      <c r="G4252" s="3" t="str">
        <f>IFERROR(__xludf.DUMMYFUNCTION("REGEXREPLACE(
D4252,
""([一-龯々]+)\[([^\]]+)\]"",
""&lt;ruby&gt;$1&lt;rt&gt;$2&lt;/rt&gt;&lt;/ruby&gt;""
)&amp;""&lt;br&gt;&lt;div class=""""audio""""&gt;[sound:""&amp;C4252&amp;"".mp3]&lt;/div&gt;"""),"レジャー&lt;br&gt;&lt;div class=""audio""&gt;[sound:れじゃー.mp3]&lt;/div&gt;")</f>
        <v>レジャー&lt;br&gt;&lt;div class="audio"&gt;[sound:れじゃー.mp3]&lt;/div&gt;</v>
      </c>
      <c r="H4252" s="3" t="str">
        <f t="shared" si="1"/>
        <v>(n): giải trí</v>
      </c>
      <c r="I4252" s="6" t="s">
        <v>23224</v>
      </c>
      <c r="J4252" s="6" t="s">
        <v>23225</v>
      </c>
      <c r="K4252" s="7">
        <f t="shared" si="2"/>
        <v>0.7913689935</v>
      </c>
    </row>
    <row r="4253">
      <c r="A4253" s="4">
        <v>4253.0</v>
      </c>
      <c r="B4253" s="5" t="s">
        <v>23226</v>
      </c>
      <c r="C4253" s="5" t="s">
        <v>23227</v>
      </c>
      <c r="D4253" s="5" t="s">
        <v>23228</v>
      </c>
      <c r="E4253" s="6" t="s">
        <v>74</v>
      </c>
      <c r="F4253" s="6" t="s">
        <v>12773</v>
      </c>
      <c r="G4253" s="3" t="str">
        <f>IFERROR(__xludf.DUMMYFUNCTION("REGEXREPLACE(
D4253,
""([一-龯々]+)\[([^\]]+)\]"",
""&lt;ruby&gt;$1&lt;rt&gt;$2&lt;/rt&gt;&lt;/ruby&gt;""
)&amp;""&lt;br&gt;&lt;div class=""""audio""""&gt;[sound:""&amp;C4253&amp;"".mp3]&lt;/div&gt;"""),"&lt;ruby&gt;活用&lt;rt&gt;かつよう&lt;/rt&gt;&lt;/ruby&gt;&lt;br&gt;&lt;div class=""audio""&gt;[sound:かつよう.mp3]&lt;/div&gt;")</f>
        <v>&lt;ruby&gt;活用&lt;rt&gt;かつよう&lt;/rt&gt;&lt;/ruby&gt;&lt;br&gt;&lt;div class="audio"&gt;[sound:かつよう.mp3]&lt;/div&gt;</v>
      </c>
      <c r="H4253" s="3" t="str">
        <f t="shared" si="1"/>
        <v>(n): tận dụng</v>
      </c>
      <c r="I4253" s="6" t="s">
        <v>23229</v>
      </c>
      <c r="J4253" s="6" t="s">
        <v>23230</v>
      </c>
      <c r="K4253" s="7">
        <f t="shared" si="2"/>
        <v>0.3961473358</v>
      </c>
    </row>
    <row r="4254">
      <c r="A4254" s="4">
        <v>4254.0</v>
      </c>
      <c r="B4254" s="5" t="s">
        <v>23231</v>
      </c>
      <c r="C4254" s="5" t="s">
        <v>23232</v>
      </c>
      <c r="D4254" s="5" t="s">
        <v>23233</v>
      </c>
      <c r="E4254" s="6" t="s">
        <v>74</v>
      </c>
      <c r="F4254" s="6" t="s">
        <v>23234</v>
      </c>
      <c r="G4254" s="3" t="str">
        <f>IFERROR(__xludf.DUMMYFUNCTION("REGEXREPLACE(
D4254,
""([一-龯々]+)\[([^\]]+)\]"",
""&lt;ruby&gt;$1&lt;rt&gt;$2&lt;/rt&gt;&lt;/ruby&gt;""
)&amp;""&lt;br&gt;&lt;div class=""""audio""""&gt;[sound:""&amp;C4254&amp;"".mp3]&lt;/div&gt;"""),"&lt;ruby&gt;当番&lt;rt&gt;とうばん&lt;/rt&gt;&lt;/ruby&gt;&lt;br&gt;&lt;div class=""audio""&gt;[sound:とうばん.mp3]&lt;/div&gt;")</f>
        <v>&lt;ruby&gt;当番&lt;rt&gt;とうばん&lt;/rt&gt;&lt;/ruby&gt;&lt;br&gt;&lt;div class="audio"&gt;[sound:とうばん.mp3]&lt;/div&gt;</v>
      </c>
      <c r="H4254" s="3" t="str">
        <f t="shared" si="1"/>
        <v>(n): phiên trực</v>
      </c>
      <c r="I4254" s="6" t="s">
        <v>23235</v>
      </c>
      <c r="J4254" s="6" t="s">
        <v>23236</v>
      </c>
      <c r="K4254" s="7">
        <f t="shared" si="2"/>
        <v>0.750653813</v>
      </c>
    </row>
    <row r="4255">
      <c r="A4255" s="4">
        <v>4255.0</v>
      </c>
      <c r="B4255" s="5" t="s">
        <v>23237</v>
      </c>
      <c r="C4255" s="5" t="s">
        <v>14423</v>
      </c>
      <c r="D4255" s="5" t="s">
        <v>23238</v>
      </c>
      <c r="E4255" s="6" t="s">
        <v>74</v>
      </c>
      <c r="F4255" s="6" t="s">
        <v>23239</v>
      </c>
      <c r="G4255" s="3" t="str">
        <f>IFERROR(__xludf.DUMMYFUNCTION("REGEXREPLACE(
D4255,
""([一-龯々]+)\[([^\]]+)\]"",
""&lt;ruby&gt;$1&lt;rt&gt;$2&lt;/rt&gt;&lt;/ruby&gt;""
)&amp;""&lt;br&gt;&lt;div class=""""audio""""&gt;[sound:""&amp;C4255&amp;"".mp3]&lt;/div&gt;"""),"&lt;ruby&gt;球&lt;rt&gt;たま&lt;/rt&gt;&lt;/ruby&gt;&lt;br&gt;&lt;div class=""audio""&gt;[sound:たま.mp3]&lt;/div&gt;")</f>
        <v>&lt;ruby&gt;球&lt;rt&gt;たま&lt;/rt&gt;&lt;/ruby&gt;&lt;br&gt;&lt;div class="audio"&gt;[sound:たま.mp3]&lt;/div&gt;</v>
      </c>
      <c r="H4255" s="3" t="str">
        <f t="shared" si="1"/>
        <v>(n): quả cầu</v>
      </c>
      <c r="I4255" s="6" t="s">
        <v>23240</v>
      </c>
      <c r="J4255" s="6" t="s">
        <v>23241</v>
      </c>
      <c r="K4255" s="7">
        <f t="shared" si="2"/>
        <v>0.8043752949</v>
      </c>
    </row>
    <row r="4256">
      <c r="A4256" s="4">
        <v>4256.0</v>
      </c>
      <c r="B4256" s="5" t="s">
        <v>23242</v>
      </c>
      <c r="C4256" s="5" t="s">
        <v>120</v>
      </c>
      <c r="D4256" s="5" t="s">
        <v>23243</v>
      </c>
      <c r="E4256" s="6" t="s">
        <v>74</v>
      </c>
      <c r="F4256" s="6" t="s">
        <v>23244</v>
      </c>
      <c r="G4256" s="3" t="str">
        <f>IFERROR(__xludf.DUMMYFUNCTION("REGEXREPLACE(
D4256,
""([一-龯々]+)\[([^\]]+)\]"",
""&lt;ruby&gt;$1&lt;rt&gt;$2&lt;/rt&gt;&lt;/ruby&gt;""
)&amp;""&lt;br&gt;&lt;div class=""""audio""""&gt;[sound:""&amp;C4256&amp;"".mp3]&lt;/div&gt;"""),"&lt;ruby&gt;居間&lt;rt&gt;いま&lt;/rt&gt;&lt;/ruby&gt;&lt;br&gt;&lt;div class=""audio""&gt;[sound:いま.mp3]&lt;/div&gt;")</f>
        <v>&lt;ruby&gt;居間&lt;rt&gt;いま&lt;/rt&gt;&lt;/ruby&gt;&lt;br&gt;&lt;div class="audio"&gt;[sound:いま.mp3]&lt;/div&gt;</v>
      </c>
      <c r="H4256" s="3" t="str">
        <f t="shared" si="1"/>
        <v>(n): phòng khách</v>
      </c>
      <c r="I4256" s="6" t="s">
        <v>23245</v>
      </c>
      <c r="J4256" s="6" t="s">
        <v>23246</v>
      </c>
      <c r="K4256" s="7">
        <f t="shared" si="2"/>
        <v>0.9246710808</v>
      </c>
    </row>
    <row r="4257">
      <c r="A4257" s="4">
        <v>4257.0</v>
      </c>
      <c r="B4257" s="5" t="s">
        <v>23247</v>
      </c>
      <c r="C4257" s="5" t="s">
        <v>23248</v>
      </c>
      <c r="D4257" s="5" t="s">
        <v>23249</v>
      </c>
      <c r="E4257" s="6" t="s">
        <v>24</v>
      </c>
      <c r="F4257" s="6" t="s">
        <v>23250</v>
      </c>
      <c r="G4257" s="3" t="str">
        <f>IFERROR(__xludf.DUMMYFUNCTION("REGEXREPLACE(
D4257,
""([一-龯々]+)\[([^\]]+)\]"",
""&lt;ruby&gt;$1&lt;rt&gt;$2&lt;/rt&gt;&lt;/ruby&gt;""
)&amp;""&lt;br&gt;&lt;div class=""""audio""""&gt;[sound:""&amp;C4257&amp;"".mp3]&lt;/div&gt;"""),"&lt;ruby&gt;怠&lt;rt&gt;なま&lt;/rt&gt;&lt;/ruby&gt;ける&lt;br&gt;&lt;div class=""audio""&gt;[sound:なまける.mp3]&lt;/div&gt;")</f>
        <v>&lt;ruby&gt;怠&lt;rt&gt;なま&lt;/rt&gt;&lt;/ruby&gt;ける&lt;br&gt;&lt;div class="audio"&gt;[sound:なまける.mp3]&lt;/div&gt;</v>
      </c>
      <c r="H4257" s="3" t="str">
        <f t="shared" si="1"/>
        <v>(v): lười biếng</v>
      </c>
      <c r="I4257" s="6" t="s">
        <v>23251</v>
      </c>
      <c r="J4257" s="6" t="s">
        <v>23252</v>
      </c>
      <c r="K4257" s="7">
        <f t="shared" si="2"/>
        <v>0.6905206025</v>
      </c>
    </row>
    <row r="4258">
      <c r="A4258" s="4">
        <v>4258.0</v>
      </c>
      <c r="B4258" s="5" t="s">
        <v>23253</v>
      </c>
      <c r="C4258" s="5" t="s">
        <v>23254</v>
      </c>
      <c r="D4258" s="5" t="s">
        <v>23255</v>
      </c>
      <c r="E4258" s="6" t="s">
        <v>74</v>
      </c>
      <c r="F4258" s="6" t="s">
        <v>23256</v>
      </c>
      <c r="G4258" s="3" t="str">
        <f>IFERROR(__xludf.DUMMYFUNCTION("REGEXREPLACE(
D4258,
""([一-龯々]+)\[([^\]]+)\]"",
""&lt;ruby&gt;$1&lt;rt&gt;$2&lt;/rt&gt;&lt;/ruby&gt;""
)&amp;""&lt;br&gt;&lt;div class=""""audio""""&gt;[sound:""&amp;C4258&amp;"".mp3]&lt;/div&gt;"""),"&lt;ruby&gt;要領&lt;rt&gt;ようりょう&lt;/rt&gt;&lt;/ruby&gt;&lt;br&gt;&lt;div class=""audio""&gt;[sound:ようりょう.mp3]&lt;/div&gt;")</f>
        <v>&lt;ruby&gt;要領&lt;rt&gt;ようりょう&lt;/rt&gt;&lt;/ruby&gt;&lt;br&gt;&lt;div class="audio"&gt;[sound:ようりょう.mp3]&lt;/div&gt;</v>
      </c>
      <c r="H4258" s="3" t="str">
        <f t="shared" si="1"/>
        <v>(n): điểm chính</v>
      </c>
      <c r="I4258" s="6" t="s">
        <v>23257</v>
      </c>
      <c r="J4258" s="6" t="s">
        <v>23258</v>
      </c>
      <c r="K4258" s="7">
        <f t="shared" si="2"/>
        <v>0.09121328824</v>
      </c>
    </row>
    <row r="4259">
      <c r="A4259" s="4">
        <v>4259.0</v>
      </c>
      <c r="B4259" s="5" t="s">
        <v>23259</v>
      </c>
      <c r="C4259" s="5" t="s">
        <v>23260</v>
      </c>
      <c r="D4259" s="5" t="s">
        <v>23261</v>
      </c>
      <c r="E4259" s="6" t="s">
        <v>74</v>
      </c>
      <c r="F4259" s="6" t="s">
        <v>23262</v>
      </c>
      <c r="G4259" s="3" t="str">
        <f>IFERROR(__xludf.DUMMYFUNCTION("REGEXREPLACE(
D4259,
""([一-龯々]+)\[([^\]]+)\]"",
""&lt;ruby&gt;$1&lt;rt&gt;$2&lt;/rt&gt;&lt;/ruby&gt;""
)&amp;""&lt;br&gt;&lt;div class=""""audio""""&gt;[sound:""&amp;C4259&amp;"".mp3]&lt;/div&gt;"""),"&lt;ruby&gt;昼休&lt;rt&gt;ひるやす&lt;/rt&gt;&lt;/ruby&gt;み&lt;br&gt;&lt;div class=""audio""&gt;[sound:ひるやすみ.mp3]&lt;/div&gt;")</f>
        <v>&lt;ruby&gt;昼休&lt;rt&gt;ひるやす&lt;/rt&gt;&lt;/ruby&gt;み&lt;br&gt;&lt;div class="audio"&gt;[sound:ひるやすみ.mp3]&lt;/div&gt;</v>
      </c>
      <c r="H4259" s="3" t="str">
        <f t="shared" si="1"/>
        <v>(n): nghỉ trưa</v>
      </c>
      <c r="I4259" s="6" t="s">
        <v>23263</v>
      </c>
      <c r="J4259" s="6" t="s">
        <v>23264</v>
      </c>
      <c r="K4259" s="7">
        <f t="shared" si="2"/>
        <v>0.3591026598</v>
      </c>
    </row>
    <row r="4260">
      <c r="A4260" s="4">
        <v>4260.0</v>
      </c>
      <c r="B4260" s="5" t="s">
        <v>23265</v>
      </c>
      <c r="C4260" s="5" t="s">
        <v>23266</v>
      </c>
      <c r="D4260" s="5" t="s">
        <v>23267</v>
      </c>
      <c r="E4260" s="6" t="s">
        <v>74</v>
      </c>
      <c r="F4260" s="6" t="s">
        <v>23268</v>
      </c>
      <c r="G4260" s="3" t="str">
        <f>IFERROR(__xludf.DUMMYFUNCTION("REGEXREPLACE(
D4260,
""([一-龯々]+)\[([^\]]+)\]"",
""&lt;ruby&gt;$1&lt;rt&gt;$2&lt;/rt&gt;&lt;/ruby&gt;""
)&amp;""&lt;br&gt;&lt;div class=""""audio""""&gt;[sound:""&amp;C4260&amp;"".mp3]&lt;/div&gt;"""),"&lt;ruby&gt;面積&lt;rt&gt;めんせき&lt;/rt&gt;&lt;/ruby&gt;&lt;br&gt;&lt;div class=""audio""&gt;[sound:めんせき.mp3]&lt;/div&gt;")</f>
        <v>&lt;ruby&gt;面積&lt;rt&gt;めんせき&lt;/rt&gt;&lt;/ruby&gt;&lt;br&gt;&lt;div class="audio"&gt;[sound:めんせき.mp3]&lt;/div&gt;</v>
      </c>
      <c r="H4260" s="3" t="str">
        <f t="shared" si="1"/>
        <v>(n): diện tích</v>
      </c>
      <c r="I4260" s="6" t="s">
        <v>23269</v>
      </c>
      <c r="J4260" s="6" t="s">
        <v>23270</v>
      </c>
      <c r="K4260" s="7">
        <f t="shared" si="2"/>
        <v>0.09182664735</v>
      </c>
    </row>
    <row r="4261">
      <c r="A4261" s="4">
        <v>4261.0</v>
      </c>
      <c r="B4261" s="5" t="s">
        <v>23271</v>
      </c>
      <c r="C4261" s="5" t="s">
        <v>23272</v>
      </c>
      <c r="D4261" s="5" t="s">
        <v>23273</v>
      </c>
      <c r="E4261" s="6" t="s">
        <v>74</v>
      </c>
      <c r="F4261" s="6" t="s">
        <v>23274</v>
      </c>
      <c r="G4261" s="3" t="str">
        <f>IFERROR(__xludf.DUMMYFUNCTION("REGEXREPLACE(
D4261,
""([一-龯々]+)\[([^\]]+)\]"",
""&lt;ruby&gt;$1&lt;rt&gt;$2&lt;/rt&gt;&lt;/ruby&gt;""
)&amp;""&lt;br&gt;&lt;div class=""""audio""""&gt;[sound:""&amp;C4261&amp;"".mp3]&lt;/div&gt;"""),"&lt;ruby&gt;議長&lt;rt&gt;ぎちょう&lt;/rt&gt;&lt;/ruby&gt;&lt;br&gt;&lt;div class=""audio""&gt;[sound:ぎちょう.mp3]&lt;/div&gt;")</f>
        <v>&lt;ruby&gt;議長&lt;rt&gt;ぎちょう&lt;/rt&gt;&lt;/ruby&gt;&lt;br&gt;&lt;div class="audio"&gt;[sound:ぎちょう.mp3]&lt;/div&gt;</v>
      </c>
      <c r="H4261" s="3" t="str">
        <f t="shared" si="1"/>
        <v>(n): chủ tịch</v>
      </c>
      <c r="I4261" s="6" t="s">
        <v>23275</v>
      </c>
      <c r="J4261" s="6" t="s">
        <v>23276</v>
      </c>
      <c r="K4261" s="7">
        <f t="shared" si="2"/>
        <v>0.8207896651</v>
      </c>
    </row>
    <row r="4262">
      <c r="A4262" s="4">
        <v>4262.0</v>
      </c>
      <c r="B4262" s="5" t="s">
        <v>23277</v>
      </c>
      <c r="C4262" s="5" t="s">
        <v>23278</v>
      </c>
      <c r="D4262" s="5" t="s">
        <v>23279</v>
      </c>
      <c r="E4262" s="6" t="s">
        <v>33</v>
      </c>
      <c r="F4262" s="6" t="s">
        <v>10737</v>
      </c>
      <c r="G4262" s="3" t="str">
        <f>IFERROR(__xludf.DUMMYFUNCTION("REGEXREPLACE(
D4262,
""([一-龯々]+)\[([^\]]+)\]"",
""&lt;ruby&gt;$1&lt;rt&gt;$2&lt;/rt&gt;&lt;/ruby&gt;""
)&amp;""&lt;br&gt;&lt;div class=""""audio""""&gt;[sound:""&amp;C4262&amp;"".mp3]&lt;/div&gt;"""),"&lt;ruby&gt;御免&lt;rt&gt;ごめん&lt;/rt&gt;&lt;/ruby&gt;&lt;br&gt;&lt;div class=""audio""&gt;[sound:ごめん.mp3]&lt;/div&gt;")</f>
        <v>&lt;ruby&gt;御免&lt;rt&gt;ごめん&lt;/rt&gt;&lt;/ruby&gt;&lt;br&gt;&lt;div class="audio"&gt;[sound:ごめん.mp3]&lt;/div&gt;</v>
      </c>
      <c r="H4262" s="3" t="str">
        <f t="shared" si="1"/>
        <v>(int): xin lỗi</v>
      </c>
      <c r="I4262" s="6" t="s">
        <v>23280</v>
      </c>
      <c r="J4262" s="6" t="s">
        <v>23281</v>
      </c>
      <c r="K4262" s="7">
        <f t="shared" si="2"/>
        <v>0.6164317405</v>
      </c>
    </row>
    <row r="4263">
      <c r="A4263" s="4">
        <v>4263.0</v>
      </c>
      <c r="B4263" s="5" t="s">
        <v>23282</v>
      </c>
      <c r="C4263" s="5" t="s">
        <v>23283</v>
      </c>
      <c r="D4263" s="5" t="s">
        <v>23284</v>
      </c>
      <c r="E4263" s="6" t="s">
        <v>24</v>
      </c>
      <c r="F4263" s="6" t="s">
        <v>23285</v>
      </c>
      <c r="G4263" s="3" t="str">
        <f>IFERROR(__xludf.DUMMYFUNCTION("REGEXREPLACE(
D4263,
""([一-龯々]+)\[([^\]]+)\]"",
""&lt;ruby&gt;$1&lt;rt&gt;$2&lt;/rt&gt;&lt;/ruby&gt;""
)&amp;""&lt;br&gt;&lt;div class=""""audio""""&gt;[sound:""&amp;C4263&amp;"".mp3]&lt;/div&gt;"""),"&lt;ruby&gt;曇&lt;rt&gt;くも&lt;/rt&gt;&lt;/ruby&gt;る&lt;br&gt;&lt;div class=""audio""&gt;[sound:くもる.mp3]&lt;/div&gt;")</f>
        <v>&lt;ruby&gt;曇&lt;rt&gt;くも&lt;/rt&gt;&lt;/ruby&gt;る&lt;br&gt;&lt;div class="audio"&gt;[sound:くもる.mp3]&lt;/div&gt;</v>
      </c>
      <c r="H4263" s="3" t="str">
        <f t="shared" si="1"/>
        <v>(v): có mây</v>
      </c>
      <c r="I4263" s="6" t="s">
        <v>23286</v>
      </c>
      <c r="J4263" s="6" t="s">
        <v>23287</v>
      </c>
      <c r="K4263" s="7">
        <f t="shared" si="2"/>
        <v>0.1799075243</v>
      </c>
    </row>
    <row r="4264">
      <c r="A4264" s="4">
        <v>4264.0</v>
      </c>
      <c r="B4264" s="5" t="s">
        <v>23288</v>
      </c>
      <c r="C4264" s="5" t="s">
        <v>23289</v>
      </c>
      <c r="D4264" s="5" t="s">
        <v>23290</v>
      </c>
      <c r="E4264" s="6" t="s">
        <v>11</v>
      </c>
      <c r="F4264" s="6" t="s">
        <v>5073</v>
      </c>
      <c r="G4264" s="3" t="str">
        <f>IFERROR(__xludf.DUMMYFUNCTION("REGEXREPLACE(
D4264,
""([一-龯々]+)\[([^\]]+)\]"",
""&lt;ruby&gt;$1&lt;rt&gt;$2&lt;/rt&gt;&lt;/ruby&gt;""
)&amp;""&lt;br&gt;&lt;div class=""""audio""""&gt;[sound:""&amp;C4264&amp;"".mp3]&lt;/div&gt;"""),"&lt;ruby&gt;平凡&lt;rt&gt;へいぼん&lt;/rt&gt;&lt;/ruby&gt;&lt;br&gt;&lt;div class=""audio""&gt;[sound:へいぼん.mp3]&lt;/div&gt;")</f>
        <v>&lt;ruby&gt;平凡&lt;rt&gt;へいぼん&lt;/rt&gt;&lt;/ruby&gt;&lt;br&gt;&lt;div class="audio"&gt;[sound:へいぼん.mp3]&lt;/div&gt;</v>
      </c>
      <c r="H4264" s="3" t="str">
        <f t="shared" si="1"/>
        <v>(adj): bình thường</v>
      </c>
      <c r="I4264" s="6" t="s">
        <v>23291</v>
      </c>
      <c r="J4264" s="6" t="s">
        <v>23292</v>
      </c>
      <c r="K4264" s="7">
        <f t="shared" si="2"/>
        <v>0.08421564381</v>
      </c>
    </row>
    <row r="4265">
      <c r="A4265" s="4">
        <v>4265.0</v>
      </c>
      <c r="B4265" s="5" t="s">
        <v>23293</v>
      </c>
      <c r="C4265" s="5" t="s">
        <v>23294</v>
      </c>
      <c r="D4265" s="5" t="s">
        <v>23293</v>
      </c>
      <c r="E4265" s="6" t="s">
        <v>74</v>
      </c>
      <c r="F4265" s="6" t="s">
        <v>16951</v>
      </c>
      <c r="G4265" s="3" t="str">
        <f>IFERROR(__xludf.DUMMYFUNCTION("REGEXREPLACE(
D4265,
""([一-龯々]+)\[([^\]]+)\]"",
""&lt;ruby&gt;$1&lt;rt&gt;$2&lt;/rt&gt;&lt;/ruby&gt;""
)&amp;""&lt;br&gt;&lt;div class=""""audio""""&gt;[sound:""&amp;C4265&amp;"".mp3]&lt;/div&gt;"""),"コンクール&lt;br&gt;&lt;div class=""audio""&gt;[sound:こんくーる.mp3]&lt;/div&gt;")</f>
        <v>コンクール&lt;br&gt;&lt;div class="audio"&gt;[sound:こんくーる.mp3]&lt;/div&gt;</v>
      </c>
      <c r="H4265" s="3" t="str">
        <f t="shared" si="1"/>
        <v>(n): cuộc thi</v>
      </c>
      <c r="I4265" s="6" t="s">
        <v>23295</v>
      </c>
      <c r="J4265" s="6" t="s">
        <v>23296</v>
      </c>
      <c r="K4265" s="7">
        <f t="shared" si="2"/>
        <v>0.05321344474</v>
      </c>
    </row>
    <row r="4266">
      <c r="A4266" s="4">
        <v>4266.0</v>
      </c>
      <c r="B4266" s="5" t="s">
        <v>23297</v>
      </c>
      <c r="C4266" s="5" t="s">
        <v>23297</v>
      </c>
      <c r="D4266" s="5" t="s">
        <v>23297</v>
      </c>
      <c r="E4266" s="6" t="s">
        <v>11</v>
      </c>
      <c r="F4266" s="6" t="s">
        <v>23298</v>
      </c>
      <c r="G4266" s="3" t="str">
        <f>IFERROR(__xludf.DUMMYFUNCTION("REGEXREPLACE(
D4266,
""([一-龯々]+)\[([^\]]+)\]"",
""&lt;ruby&gt;$1&lt;rt&gt;$2&lt;/rt&gt;&lt;/ruby&gt;""
)&amp;""&lt;br&gt;&lt;div class=""""audio""""&gt;[sound:""&amp;C4266&amp;"".mp3]&lt;/div&gt;"""),"ばからしい&lt;br&gt;&lt;div class=""audio""&gt;[sound:ばからしい.mp3]&lt;/div&gt;")</f>
        <v>ばからしい&lt;br&gt;&lt;div class="audio"&gt;[sound:ばからしい.mp3]&lt;/div&gt;</v>
      </c>
      <c r="H4266" s="3" t="str">
        <f t="shared" si="1"/>
        <v>(adj): ngớ ngẩn</v>
      </c>
      <c r="I4266" s="6" t="s">
        <v>23299</v>
      </c>
      <c r="J4266" s="6" t="s">
        <v>23300</v>
      </c>
      <c r="K4266" s="7">
        <f t="shared" si="2"/>
        <v>0.06443389667</v>
      </c>
    </row>
    <row r="4267">
      <c r="A4267" s="4">
        <v>4267.0</v>
      </c>
      <c r="B4267" s="5" t="s">
        <v>23301</v>
      </c>
      <c r="C4267" s="5" t="s">
        <v>23302</v>
      </c>
      <c r="D4267" s="5" t="s">
        <v>23303</v>
      </c>
      <c r="E4267" s="6" t="s">
        <v>74</v>
      </c>
      <c r="F4267" s="6" t="s">
        <v>23304</v>
      </c>
      <c r="G4267" s="3" t="str">
        <f>IFERROR(__xludf.DUMMYFUNCTION("REGEXREPLACE(
D4267,
""([一-龯々]+)\[([^\]]+)\]"",
""&lt;ruby&gt;$1&lt;rt&gt;$2&lt;/rt&gt;&lt;/ruby&gt;""
)&amp;""&lt;br&gt;&lt;div class=""""audio""""&gt;[sound:""&amp;C4267&amp;"".mp3]&lt;/div&gt;"""),"&lt;ruby&gt;名物&lt;rt&gt;めいぶつ&lt;/rt&gt;&lt;/ruby&gt;&lt;br&gt;&lt;div class=""audio""&gt;[sound:めいぶつ.mp3]&lt;/div&gt;")</f>
        <v>&lt;ruby&gt;名物&lt;rt&gt;めいぶつ&lt;/rt&gt;&lt;/ruby&gt;&lt;br&gt;&lt;div class="audio"&gt;[sound:めいぶつ.mp3]&lt;/div&gt;</v>
      </c>
      <c r="H4267" s="3" t="str">
        <f t="shared" si="1"/>
        <v>(n): đặc sản</v>
      </c>
      <c r="I4267" s="6" t="s">
        <v>23305</v>
      </c>
      <c r="J4267" s="6" t="s">
        <v>23306</v>
      </c>
      <c r="K4267" s="7">
        <f t="shared" si="2"/>
        <v>0.8179764008</v>
      </c>
    </row>
    <row r="4268">
      <c r="A4268" s="4">
        <v>4268.0</v>
      </c>
      <c r="B4268" s="5" t="s">
        <v>23307</v>
      </c>
      <c r="C4268" s="5" t="s">
        <v>23308</v>
      </c>
      <c r="D4268" s="5" t="s">
        <v>23309</v>
      </c>
      <c r="E4268" s="6" t="s">
        <v>74</v>
      </c>
      <c r="F4268" s="6" t="s">
        <v>23310</v>
      </c>
      <c r="G4268" s="3" t="str">
        <f>IFERROR(__xludf.DUMMYFUNCTION("REGEXREPLACE(
D4268,
""([一-龯々]+)\[([^\]]+)\]"",
""&lt;ruby&gt;$1&lt;rt&gt;$2&lt;/rt&gt;&lt;/ruby&gt;""
)&amp;""&lt;br&gt;&lt;div class=""""audio""""&gt;[sound:""&amp;C4268&amp;"".mp3]&lt;/div&gt;"""),"&lt;ruby&gt;汚染&lt;rt&gt;おせん&lt;/rt&gt;&lt;/ruby&gt;&lt;br&gt;&lt;div class=""audio""&gt;[sound:おせん.mp3]&lt;/div&gt;")</f>
        <v>&lt;ruby&gt;汚染&lt;rt&gt;おせん&lt;/rt&gt;&lt;/ruby&gt;&lt;br&gt;&lt;div class="audio"&gt;[sound:おせん.mp3]&lt;/div&gt;</v>
      </c>
      <c r="H4268" s="3" t="str">
        <f t="shared" si="1"/>
        <v>(n): ô nhiễm</v>
      </c>
      <c r="I4268" s="6" t="s">
        <v>23311</v>
      </c>
      <c r="J4268" s="6" t="s">
        <v>23312</v>
      </c>
      <c r="K4268" s="7">
        <f t="shared" si="2"/>
        <v>0.5179390452</v>
      </c>
    </row>
    <row r="4269">
      <c r="A4269" s="4">
        <v>4269.0</v>
      </c>
      <c r="B4269" s="5" t="s">
        <v>23313</v>
      </c>
      <c r="C4269" s="5" t="s">
        <v>23313</v>
      </c>
      <c r="D4269" s="5" t="s">
        <v>23313</v>
      </c>
      <c r="E4269" s="6" t="s">
        <v>24</v>
      </c>
      <c r="F4269" s="6" t="s">
        <v>23314</v>
      </c>
      <c r="G4269" s="3" t="str">
        <f>IFERROR(__xludf.DUMMYFUNCTION("REGEXREPLACE(
D4269,
""([一-龯々]+)\[([^\]]+)\]"",
""&lt;ruby&gt;$1&lt;rt&gt;$2&lt;/rt&gt;&lt;/ruby&gt;""
)&amp;""&lt;br&gt;&lt;div class=""""audio""""&gt;[sound:""&amp;C4269&amp;"".mp3]&lt;/div&gt;"""),"うなる&lt;br&gt;&lt;div class=""audio""&gt;[sound:うなる.mp3]&lt;/div&gt;")</f>
        <v>うなる&lt;br&gt;&lt;div class="audio"&gt;[sound:うなる.mp3]&lt;/div&gt;</v>
      </c>
      <c r="H4269" s="3" t="str">
        <f t="shared" si="1"/>
        <v>(v): gầm gừ</v>
      </c>
      <c r="I4269" s="6" t="s">
        <v>23315</v>
      </c>
      <c r="J4269" s="6" t="s">
        <v>23316</v>
      </c>
      <c r="K4269" s="7">
        <f t="shared" si="2"/>
        <v>0.5648478313</v>
      </c>
    </row>
    <row r="4270">
      <c r="A4270" s="4">
        <v>4270.0</v>
      </c>
      <c r="B4270" s="5" t="s">
        <v>23317</v>
      </c>
      <c r="C4270" s="5" t="s">
        <v>23317</v>
      </c>
      <c r="D4270" s="5" t="s">
        <v>23317</v>
      </c>
      <c r="E4270" s="6" t="s">
        <v>74</v>
      </c>
      <c r="F4270" s="6" t="s">
        <v>23318</v>
      </c>
      <c r="G4270" s="3" t="str">
        <f>IFERROR(__xludf.DUMMYFUNCTION("REGEXREPLACE(
D4270,
""([一-龯々]+)\[([^\]]+)\]"",
""&lt;ruby&gt;$1&lt;rt&gt;$2&lt;/rt&gt;&lt;/ruby&gt;""
)&amp;""&lt;br&gt;&lt;div class=""""audio""""&gt;[sound:""&amp;C4270&amp;"".mp3]&lt;/div&gt;"""),"あくび&lt;br&gt;&lt;div class=""audio""&gt;[sound:あくび.mp3]&lt;/div&gt;")</f>
        <v>あくび&lt;br&gt;&lt;div class="audio"&gt;[sound:あくび.mp3]&lt;/div&gt;</v>
      </c>
      <c r="H4270" s="3" t="str">
        <f t="shared" si="1"/>
        <v>(n): ngáp</v>
      </c>
      <c r="I4270" s="6" t="s">
        <v>23319</v>
      </c>
      <c r="J4270" s="6" t="s">
        <v>23320</v>
      </c>
      <c r="K4270" s="7">
        <f t="shared" si="2"/>
        <v>0.523632902</v>
      </c>
    </row>
    <row r="4271">
      <c r="A4271" s="4">
        <v>4271.0</v>
      </c>
      <c r="B4271" s="5" t="s">
        <v>23321</v>
      </c>
      <c r="C4271" s="5" t="s">
        <v>23322</v>
      </c>
      <c r="D4271" s="5" t="s">
        <v>23323</v>
      </c>
      <c r="E4271" s="6" t="s">
        <v>85</v>
      </c>
      <c r="F4271" s="6" t="s">
        <v>12190</v>
      </c>
      <c r="G4271" s="3" t="str">
        <f>IFERROR(__xludf.DUMMYFUNCTION("REGEXREPLACE(
D4271,
""([一-龯々]+)\[([^\]]+)\]"",
""&lt;ruby&gt;$1&lt;rt&gt;$2&lt;/rt&gt;&lt;/ruby&gt;""
)&amp;""&lt;br&gt;&lt;div class=""""audio""""&gt;[sound:""&amp;C4271&amp;"".mp3]&lt;/div&gt;"""),"&lt;ruby&gt;何&lt;rt&gt;なん&lt;/rt&gt;&lt;/ruby&gt;とか&lt;br&gt;&lt;div class=""audio""&gt;[sound:なんとか.mp3]&lt;/div&gt;")</f>
        <v>&lt;ruby&gt;何&lt;rt&gt;なん&lt;/rt&gt;&lt;/ruby&gt;とか&lt;br&gt;&lt;div class="audio"&gt;[sound:なんとか.mp3]&lt;/div&gt;</v>
      </c>
      <c r="H4271" s="3" t="str">
        <f t="shared" si="1"/>
        <v>(adv): bằng cách nào đó</v>
      </c>
      <c r="I4271" s="6" t="s">
        <v>23324</v>
      </c>
      <c r="J4271" s="6" t="s">
        <v>23325</v>
      </c>
      <c r="K4271" s="7">
        <f t="shared" si="2"/>
        <v>0.3410777396</v>
      </c>
    </row>
    <row r="4272">
      <c r="A4272" s="4">
        <v>4272.0</v>
      </c>
      <c r="B4272" s="5" t="s">
        <v>23326</v>
      </c>
      <c r="C4272" s="5" t="s">
        <v>15244</v>
      </c>
      <c r="D4272" s="5" t="s">
        <v>23327</v>
      </c>
      <c r="E4272" s="6" t="s">
        <v>74</v>
      </c>
      <c r="F4272" s="6" t="s">
        <v>23328</v>
      </c>
      <c r="G4272" s="3" t="str">
        <f>IFERROR(__xludf.DUMMYFUNCTION("REGEXREPLACE(
D4272,
""([一-龯々]+)\[([^\]]+)\]"",
""&lt;ruby&gt;$1&lt;rt&gt;$2&lt;/rt&gt;&lt;/ruby&gt;""
)&amp;""&lt;br&gt;&lt;div class=""""audio""""&gt;[sound:""&amp;C4272&amp;"".mp3]&lt;/div&gt;"""),"&lt;ruby&gt;四角&lt;rt&gt;しかく&lt;/rt&gt;&lt;/ruby&gt;&lt;br&gt;&lt;div class=""audio""&gt;[sound:しかく.mp3]&lt;/div&gt;")</f>
        <v>&lt;ruby&gt;四角&lt;rt&gt;しかく&lt;/rt&gt;&lt;/ruby&gt;&lt;br&gt;&lt;div class="audio"&gt;[sound:しかく.mp3]&lt;/div&gt;</v>
      </c>
      <c r="H4272" s="3" t="str">
        <f t="shared" si="1"/>
        <v>(n): hình vuông</v>
      </c>
      <c r="I4272" s="6" t="s">
        <v>23329</v>
      </c>
      <c r="J4272" s="6" t="s">
        <v>23330</v>
      </c>
      <c r="K4272" s="7">
        <f t="shared" si="2"/>
        <v>0.4947569903</v>
      </c>
    </row>
    <row r="4273">
      <c r="A4273" s="4">
        <v>4273.0</v>
      </c>
      <c r="B4273" s="5" t="s">
        <v>23331</v>
      </c>
      <c r="C4273" s="5" t="s">
        <v>23332</v>
      </c>
      <c r="D4273" s="5" t="s">
        <v>23333</v>
      </c>
      <c r="E4273" s="6" t="s">
        <v>74</v>
      </c>
      <c r="F4273" s="6" t="s">
        <v>10891</v>
      </c>
      <c r="G4273" s="3" t="str">
        <f>IFERROR(__xludf.DUMMYFUNCTION("REGEXREPLACE(
D4273,
""([一-龯々]+)\[([^\]]+)\]"",
""&lt;ruby&gt;$1&lt;rt&gt;$2&lt;/rt&gt;&lt;/ruby&gt;""
)&amp;""&lt;br&gt;&lt;div class=""""audio""""&gt;[sound:""&amp;C4273&amp;"".mp3]&lt;/div&gt;"""),"&lt;ruby&gt;失望&lt;rt&gt;しつぼう&lt;/rt&gt;&lt;/ruby&gt;&lt;br&gt;&lt;div class=""audio""&gt;[sound:しつぼう.mp3]&lt;/div&gt;")</f>
        <v>&lt;ruby&gt;失望&lt;rt&gt;しつぼう&lt;/rt&gt;&lt;/ruby&gt;&lt;br&gt;&lt;div class="audio"&gt;[sound:しつぼう.mp3]&lt;/div&gt;</v>
      </c>
      <c r="H4273" s="3" t="str">
        <f t="shared" si="1"/>
        <v>(n): thất vọng</v>
      </c>
      <c r="I4273" s="6" t="s">
        <v>23334</v>
      </c>
      <c r="J4273" s="6" t="s">
        <v>23335</v>
      </c>
      <c r="K4273" s="7">
        <f t="shared" si="2"/>
        <v>0.2812783382</v>
      </c>
    </row>
    <row r="4274">
      <c r="A4274" s="4">
        <v>4274.0</v>
      </c>
      <c r="B4274" s="5" t="s">
        <v>23336</v>
      </c>
      <c r="C4274" s="5" t="s">
        <v>23337</v>
      </c>
      <c r="D4274" s="5" t="s">
        <v>23338</v>
      </c>
      <c r="E4274" s="6" t="s">
        <v>11</v>
      </c>
      <c r="F4274" s="6" t="s">
        <v>16626</v>
      </c>
      <c r="G4274" s="3" t="str">
        <f>IFERROR(__xludf.DUMMYFUNCTION("REGEXREPLACE(
D4274,
""([一-龯々]+)\[([^\]]+)\]"",
""&lt;ruby&gt;$1&lt;rt&gt;$2&lt;/rt&gt;&lt;/ruby&gt;""
)&amp;""&lt;br&gt;&lt;div class=""""audio""""&gt;[sound:""&amp;C4274&amp;"".mp3]&lt;/div&gt;"""),"&lt;ruby&gt;強引&lt;rt&gt;ごういん&lt;/rt&gt;&lt;/ruby&gt;&lt;br&gt;&lt;div class=""audio""&gt;[sound:ごういん.mp3]&lt;/div&gt;")</f>
        <v>&lt;ruby&gt;強引&lt;rt&gt;ごういん&lt;/rt&gt;&lt;/ruby&gt;&lt;br&gt;&lt;div class="audio"&gt;[sound:ごういん.mp3]&lt;/div&gt;</v>
      </c>
      <c r="H4274" s="3" t="str">
        <f t="shared" si="1"/>
        <v>(adj): cưỡng ép</v>
      </c>
      <c r="I4274" s="6" t="s">
        <v>23339</v>
      </c>
      <c r="J4274" s="6" t="s">
        <v>23340</v>
      </c>
      <c r="K4274" s="7">
        <f t="shared" si="2"/>
        <v>0.9272471038</v>
      </c>
    </row>
    <row r="4275">
      <c r="A4275" s="4">
        <v>4275.0</v>
      </c>
      <c r="B4275" s="5" t="s">
        <v>23341</v>
      </c>
      <c r="C4275" s="5" t="s">
        <v>23342</v>
      </c>
      <c r="D4275" s="5" t="s">
        <v>23343</v>
      </c>
      <c r="E4275" s="6" t="s">
        <v>74</v>
      </c>
      <c r="F4275" s="6" t="s">
        <v>23344</v>
      </c>
      <c r="G4275" s="3" t="str">
        <f>IFERROR(__xludf.DUMMYFUNCTION("REGEXREPLACE(
D4275,
""([一-龯々]+)\[([^\]]+)\]"",
""&lt;ruby&gt;$1&lt;rt&gt;$2&lt;/rt&gt;&lt;/ruby&gt;""
)&amp;""&lt;br&gt;&lt;div class=""""audio""""&gt;[sound:""&amp;C4275&amp;"".mp3]&lt;/div&gt;"""),"&lt;ruby&gt;心身&lt;rt&gt;しんしん&lt;/rt&gt;&lt;/ruby&gt;&lt;br&gt;&lt;div class=""audio""&gt;[sound:しんしん.mp3]&lt;/div&gt;")</f>
        <v>&lt;ruby&gt;心身&lt;rt&gt;しんしん&lt;/rt&gt;&lt;/ruby&gt;&lt;br&gt;&lt;div class="audio"&gt;[sound:しんしん.mp3]&lt;/div&gt;</v>
      </c>
      <c r="H4275" s="3" t="str">
        <f t="shared" si="1"/>
        <v>(n): thân tâm</v>
      </c>
      <c r="I4275" s="6" t="s">
        <v>23345</v>
      </c>
      <c r="J4275" s="6" t="s">
        <v>23346</v>
      </c>
      <c r="K4275" s="7">
        <f t="shared" si="2"/>
        <v>0.6582274952</v>
      </c>
    </row>
    <row r="4276">
      <c r="A4276" s="4">
        <v>4276.0</v>
      </c>
      <c r="B4276" s="5" t="s">
        <v>23347</v>
      </c>
      <c r="C4276" s="5" t="s">
        <v>23348</v>
      </c>
      <c r="D4276" s="5" t="s">
        <v>23349</v>
      </c>
      <c r="E4276" s="6" t="s">
        <v>74</v>
      </c>
      <c r="F4276" s="6" t="s">
        <v>23350</v>
      </c>
      <c r="G4276" s="3" t="str">
        <f>IFERROR(__xludf.DUMMYFUNCTION("REGEXREPLACE(
D4276,
""([一-龯々]+)\[([^\]]+)\]"",
""&lt;ruby&gt;$1&lt;rt&gt;$2&lt;/rt&gt;&lt;/ruby&gt;""
)&amp;""&lt;br&gt;&lt;div class=""""audio""""&gt;[sound:""&amp;C4276&amp;"".mp3]&lt;/div&gt;"""),"&lt;ruby&gt;物質&lt;rt&gt;ぶっしつ&lt;/rt&gt;&lt;/ruby&gt;&lt;br&gt;&lt;div class=""audio""&gt;[sound:ぶっしつ.mp3]&lt;/div&gt;")</f>
        <v>&lt;ruby&gt;物質&lt;rt&gt;ぶっしつ&lt;/rt&gt;&lt;/ruby&gt;&lt;br&gt;&lt;div class="audio"&gt;[sound:ぶっしつ.mp3]&lt;/div&gt;</v>
      </c>
      <c r="H4276" s="3" t="str">
        <f t="shared" si="1"/>
        <v>(n): vật chất</v>
      </c>
      <c r="I4276" s="6" t="s">
        <v>23351</v>
      </c>
      <c r="J4276" s="6" t="s">
        <v>23352</v>
      </c>
      <c r="K4276" s="7">
        <f t="shared" si="2"/>
        <v>0.7736671081</v>
      </c>
    </row>
    <row r="4277">
      <c r="A4277" s="4">
        <v>4277.0</v>
      </c>
      <c r="B4277" s="5" t="s">
        <v>23353</v>
      </c>
      <c r="C4277" s="5" t="s">
        <v>13638</v>
      </c>
      <c r="D4277" s="5" t="s">
        <v>23354</v>
      </c>
      <c r="E4277" s="6" t="s">
        <v>74</v>
      </c>
      <c r="F4277" s="6" t="s">
        <v>6251</v>
      </c>
      <c r="G4277" s="3" t="str">
        <f>IFERROR(__xludf.DUMMYFUNCTION("REGEXREPLACE(
D4277,
""([一-龯々]+)\[([^\]]+)\]"",
""&lt;ruby&gt;$1&lt;rt&gt;$2&lt;/rt&gt;&lt;/ruby&gt;""
)&amp;""&lt;br&gt;&lt;div class=""""audio""""&gt;[sound:""&amp;C4277&amp;"".mp3]&lt;/div&gt;"""),"&lt;ruby&gt;生涯&lt;rt&gt;しょうがい&lt;/rt&gt;&lt;/ruby&gt;&lt;br&gt;&lt;div class=""audio""&gt;[sound:しょうがい.mp3]&lt;/div&gt;")</f>
        <v>&lt;ruby&gt;生涯&lt;rt&gt;しょうがい&lt;/rt&gt;&lt;/ruby&gt;&lt;br&gt;&lt;div class="audio"&gt;[sound:しょうがい.mp3]&lt;/div&gt;</v>
      </c>
      <c r="H4277" s="3" t="str">
        <f t="shared" si="1"/>
        <v>(n): cuộc đời</v>
      </c>
      <c r="I4277" s="6" t="s">
        <v>23355</v>
      </c>
      <c r="J4277" s="6" t="s">
        <v>23356</v>
      </c>
      <c r="K4277" s="7">
        <f t="shared" si="2"/>
        <v>0.5703370344</v>
      </c>
    </row>
    <row r="4278">
      <c r="A4278" s="4">
        <v>4278.0</v>
      </c>
      <c r="B4278" s="5" t="s">
        <v>23357</v>
      </c>
      <c r="C4278" s="5" t="s">
        <v>23358</v>
      </c>
      <c r="D4278" s="5" t="s">
        <v>23359</v>
      </c>
      <c r="E4278" s="6" t="s">
        <v>74</v>
      </c>
      <c r="F4278" s="6" t="s">
        <v>23360</v>
      </c>
      <c r="G4278" s="3" t="str">
        <f>IFERROR(__xludf.DUMMYFUNCTION("REGEXREPLACE(
D4278,
""([一-龯々]+)\[([^\]]+)\]"",
""&lt;ruby&gt;$1&lt;rt&gt;$2&lt;/rt&gt;&lt;/ruby&gt;""
)&amp;""&lt;br&gt;&lt;div class=""""audio""""&gt;[sound:""&amp;C4278&amp;"".mp3]&lt;/div&gt;"""),"&lt;ruby&gt;団地&lt;rt&gt;だんち&lt;/rt&gt;&lt;/ruby&gt;&lt;br&gt;&lt;div class=""audio""&gt;[sound:だんち.mp3]&lt;/div&gt;")</f>
        <v>&lt;ruby&gt;団地&lt;rt&gt;だんち&lt;/rt&gt;&lt;/ruby&gt;&lt;br&gt;&lt;div class="audio"&gt;[sound:だんち.mp3]&lt;/div&gt;</v>
      </c>
      <c r="H4278" s="3" t="str">
        <f t="shared" si="1"/>
        <v>(n): khu chung cư</v>
      </c>
      <c r="I4278" s="6" t="s">
        <v>23361</v>
      </c>
      <c r="J4278" s="6" t="s">
        <v>23362</v>
      </c>
      <c r="K4278" s="7">
        <f t="shared" si="2"/>
        <v>0.7470096401</v>
      </c>
    </row>
    <row r="4279">
      <c r="A4279" s="4">
        <v>4279.0</v>
      </c>
      <c r="B4279" s="5" t="s">
        <v>23363</v>
      </c>
      <c r="C4279" s="5" t="s">
        <v>5333</v>
      </c>
      <c r="D4279" s="5" t="s">
        <v>23364</v>
      </c>
      <c r="E4279" s="6" t="s">
        <v>74</v>
      </c>
      <c r="F4279" s="6" t="s">
        <v>12450</v>
      </c>
      <c r="G4279" s="3" t="str">
        <f>IFERROR(__xludf.DUMMYFUNCTION("REGEXREPLACE(
D4279,
""([一-龯々]+)\[([^\]]+)\]"",
""&lt;ruby&gt;$1&lt;rt&gt;$2&lt;/rt&gt;&lt;/ruby&gt;""
)&amp;""&lt;br&gt;&lt;div class=""""audio""""&gt;[sound:""&amp;C4279&amp;"".mp3]&lt;/div&gt;"""),"&lt;ruby&gt;素&lt;rt&gt;もと&lt;/rt&gt;&lt;/ruby&gt;&lt;br&gt;&lt;div class=""audio""&gt;[sound:もと.mp3]&lt;/div&gt;")</f>
        <v>&lt;ruby&gt;素&lt;rt&gt;もと&lt;/rt&gt;&lt;/ruby&gt;&lt;br&gt;&lt;div class="audio"&gt;[sound:もと.mp3]&lt;/div&gt;</v>
      </c>
      <c r="H4279" s="3" t="str">
        <f t="shared" si="1"/>
        <v>(n): nguyên liệu</v>
      </c>
      <c r="I4279" s="6" t="s">
        <v>23365</v>
      </c>
      <c r="J4279" s="6" t="s">
        <v>23366</v>
      </c>
      <c r="K4279" s="7">
        <f t="shared" si="2"/>
        <v>0.6937020598</v>
      </c>
    </row>
    <row r="4280">
      <c r="A4280" s="4">
        <v>4280.0</v>
      </c>
      <c r="B4280" s="5" t="s">
        <v>23367</v>
      </c>
      <c r="C4280" s="5" t="s">
        <v>23368</v>
      </c>
      <c r="D4280" s="5" t="s">
        <v>23369</v>
      </c>
      <c r="E4280" s="6" t="s">
        <v>74</v>
      </c>
      <c r="F4280" s="6" t="s">
        <v>16932</v>
      </c>
      <c r="G4280" s="3" t="str">
        <f>IFERROR(__xludf.DUMMYFUNCTION("REGEXREPLACE(
D4280,
""([一-龯々]+)\[([^\]]+)\]"",
""&lt;ruby&gt;$1&lt;rt&gt;$2&lt;/rt&gt;&lt;/ruby&gt;""
)&amp;""&lt;br&gt;&lt;div class=""""audio""""&gt;[sound:""&amp;C4280&amp;"".mp3]&lt;/div&gt;"""),"&lt;ruby&gt;風景&lt;rt&gt;ふうけい&lt;/rt&gt;&lt;/ruby&gt;&lt;br&gt;&lt;div class=""audio""&gt;[sound:ふうけい.mp3]&lt;/div&gt;")</f>
        <v>&lt;ruby&gt;風景&lt;rt&gt;ふうけい&lt;/rt&gt;&lt;/ruby&gt;&lt;br&gt;&lt;div class="audio"&gt;[sound:ふうけい.mp3]&lt;/div&gt;</v>
      </c>
      <c r="H4280" s="3" t="str">
        <f t="shared" si="1"/>
        <v>(n): phong cảnh</v>
      </c>
      <c r="I4280" s="6" t="s">
        <v>23370</v>
      </c>
      <c r="J4280" s="6" t="s">
        <v>23371</v>
      </c>
      <c r="K4280" s="7">
        <f t="shared" si="2"/>
        <v>0.4525432106</v>
      </c>
    </row>
    <row r="4281">
      <c r="A4281" s="4">
        <v>4281.0</v>
      </c>
      <c r="B4281" s="5" t="s">
        <v>23372</v>
      </c>
      <c r="C4281" s="5" t="s">
        <v>23373</v>
      </c>
      <c r="D4281" s="5" t="s">
        <v>23374</v>
      </c>
      <c r="E4281" s="6" t="s">
        <v>74</v>
      </c>
      <c r="F4281" s="6" t="s">
        <v>23375</v>
      </c>
      <c r="G4281" s="3" t="str">
        <f>IFERROR(__xludf.DUMMYFUNCTION("REGEXREPLACE(
D4281,
""([一-龯々]+)\[([^\]]+)\]"",
""&lt;ruby&gt;$1&lt;rt&gt;$2&lt;/rt&gt;&lt;/ruby&gt;""
)&amp;""&lt;br&gt;&lt;div class=""""audio""""&gt;[sound:""&amp;C4281&amp;"".mp3]&lt;/div&gt;"""),"&lt;ruby&gt;公務員&lt;rt&gt;こうむいん&lt;/rt&gt;&lt;/ruby&gt;&lt;br&gt;&lt;div class=""audio""&gt;[sound:こうむいん.mp3]&lt;/div&gt;")</f>
        <v>&lt;ruby&gt;公務員&lt;rt&gt;こうむいん&lt;/rt&gt;&lt;/ruby&gt;&lt;br&gt;&lt;div class="audio"&gt;[sound:こうむいん.mp3]&lt;/div&gt;</v>
      </c>
      <c r="H4281" s="3" t="str">
        <f t="shared" si="1"/>
        <v>(n): công chức</v>
      </c>
      <c r="I4281" s="6" t="s">
        <v>23376</v>
      </c>
      <c r="J4281" s="6" t="s">
        <v>23377</v>
      </c>
      <c r="K4281" s="7">
        <f t="shared" si="2"/>
        <v>0.2465469717</v>
      </c>
    </row>
    <row r="4282">
      <c r="A4282" s="4">
        <v>4282.0</v>
      </c>
      <c r="B4282" s="5" t="s">
        <v>23378</v>
      </c>
      <c r="C4282" s="5" t="s">
        <v>23379</v>
      </c>
      <c r="D4282" s="5" t="s">
        <v>23380</v>
      </c>
      <c r="E4282" s="6" t="s">
        <v>74</v>
      </c>
      <c r="F4282" s="6" t="s">
        <v>23381</v>
      </c>
      <c r="G4282" s="3" t="str">
        <f>IFERROR(__xludf.DUMMYFUNCTION("REGEXREPLACE(
D4282,
""([一-龯々]+)\[([^\]]+)\]"",
""&lt;ruby&gt;$1&lt;rt&gt;$2&lt;/rt&gt;&lt;/ruby&gt;""
)&amp;""&lt;br&gt;&lt;div class=""""audio""""&gt;[sound:""&amp;C4282&amp;"".mp3]&lt;/div&gt;"""),"&lt;ruby&gt;台詞&lt;rt&gt;せりふ&lt;/rt&gt;&lt;/ruby&gt;&lt;br&gt;&lt;div class=""audio""&gt;[sound:せりふ.mp3]&lt;/div&gt;")</f>
        <v>&lt;ruby&gt;台詞&lt;rt&gt;せりふ&lt;/rt&gt;&lt;/ruby&gt;&lt;br&gt;&lt;div class="audio"&gt;[sound:せりふ.mp3]&lt;/div&gt;</v>
      </c>
      <c r="H4282" s="3" t="str">
        <f t="shared" si="1"/>
        <v>(n): lời thoại</v>
      </c>
      <c r="I4282" s="6" t="s">
        <v>23382</v>
      </c>
      <c r="J4282" s="6" t="s">
        <v>23383</v>
      </c>
      <c r="K4282" s="7">
        <f t="shared" si="2"/>
        <v>0.7746517313</v>
      </c>
    </row>
    <row r="4283">
      <c r="A4283" s="4">
        <v>4283.0</v>
      </c>
      <c r="B4283" s="5" t="s">
        <v>23384</v>
      </c>
      <c r="C4283" s="5" t="s">
        <v>23385</v>
      </c>
      <c r="D4283" s="5" t="s">
        <v>23386</v>
      </c>
      <c r="E4283" s="6" t="s">
        <v>11</v>
      </c>
      <c r="F4283" s="6" t="s">
        <v>20673</v>
      </c>
      <c r="G4283" s="3" t="str">
        <f>IFERROR(__xludf.DUMMYFUNCTION("REGEXREPLACE(
D4283,
""([一-龯々]+)\[([^\]]+)\]"",
""&lt;ruby&gt;$1&lt;rt&gt;$2&lt;/rt&gt;&lt;/ruby&gt;""
)&amp;""&lt;br&gt;&lt;div class=""""audio""""&gt;[sound:""&amp;C4283&amp;"".mp3]&lt;/div&gt;"""),"&lt;ruby&gt;憎&lt;rt&gt;にく&lt;/rt&gt;&lt;/ruby&gt;らしい&lt;br&gt;&lt;div class=""audio""&gt;[sound:にくらしい.mp3]&lt;/div&gt;")</f>
        <v>&lt;ruby&gt;憎&lt;rt&gt;にく&lt;/rt&gt;&lt;/ruby&gt;らしい&lt;br&gt;&lt;div class="audio"&gt;[sound:にくらしい.mp3]&lt;/div&gt;</v>
      </c>
      <c r="H4283" s="3" t="str">
        <f t="shared" si="1"/>
        <v>(adj): đáng ghét</v>
      </c>
      <c r="I4283" s="6" t="s">
        <v>23387</v>
      </c>
      <c r="J4283" s="6" t="s">
        <v>23388</v>
      </c>
      <c r="K4283" s="7">
        <f t="shared" si="2"/>
        <v>0.4769569868</v>
      </c>
    </row>
    <row r="4284">
      <c r="A4284" s="4">
        <v>4284.0</v>
      </c>
      <c r="B4284" s="5" t="s">
        <v>23389</v>
      </c>
      <c r="C4284" s="5" t="s">
        <v>23389</v>
      </c>
      <c r="D4284" s="5" t="s">
        <v>23389</v>
      </c>
      <c r="E4284" s="6" t="s">
        <v>85</v>
      </c>
      <c r="F4284" s="6" t="s">
        <v>5734</v>
      </c>
      <c r="G4284" s="3" t="str">
        <f>IFERROR(__xludf.DUMMYFUNCTION("REGEXREPLACE(
D4284,
""([一-龯々]+)\[([^\]]+)\]"",
""&lt;ruby&gt;$1&lt;rt&gt;$2&lt;/rt&gt;&lt;/ruby&gt;""
)&amp;""&lt;br&gt;&lt;div class=""""audio""""&gt;[sound:""&amp;C4284&amp;"".mp3]&lt;/div&gt;"""),"しきりに&lt;br&gt;&lt;div class=""audio""&gt;[sound:しきりに.mp3]&lt;/div&gt;")</f>
        <v>しきりに&lt;br&gt;&lt;div class="audio"&gt;[sound:しきりに.mp3]&lt;/div&gt;</v>
      </c>
      <c r="H4284" s="3" t="str">
        <f t="shared" si="1"/>
        <v>(adv): liên tục</v>
      </c>
      <c r="I4284" s="6" t="s">
        <v>23390</v>
      </c>
      <c r="J4284" s="6" t="s">
        <v>23391</v>
      </c>
      <c r="K4284" s="7">
        <f t="shared" si="2"/>
        <v>0.5391371008</v>
      </c>
    </row>
    <row r="4285">
      <c r="A4285" s="4">
        <v>4285.0</v>
      </c>
      <c r="B4285" s="5" t="s">
        <v>23392</v>
      </c>
      <c r="C4285" s="5" t="s">
        <v>23392</v>
      </c>
      <c r="D4285" s="5" t="s">
        <v>23392</v>
      </c>
      <c r="E4285" s="6" t="s">
        <v>11</v>
      </c>
      <c r="F4285" s="6" t="s">
        <v>3050</v>
      </c>
      <c r="G4285" s="3" t="str">
        <f>IFERROR(__xludf.DUMMYFUNCTION("REGEXREPLACE(
D4285,
""([一-龯々]+)\[([^\]]+)\]"",
""&lt;ruby&gt;$1&lt;rt&gt;$2&lt;/rt&gt;&lt;/ruby&gt;""
)&amp;""&lt;br&gt;&lt;div class=""""audio""""&gt;[sound:""&amp;C4285&amp;"".mp3]&lt;/div&gt;"""),"めでたい&lt;br&gt;&lt;div class=""audio""&gt;[sound:めでたい.mp3]&lt;/div&gt;")</f>
        <v>めでたい&lt;br&gt;&lt;div class="audio"&gt;[sound:めでたい.mp3]&lt;/div&gt;</v>
      </c>
      <c r="H4285" s="3" t="str">
        <f t="shared" si="1"/>
        <v>(adj): vui mừng</v>
      </c>
      <c r="I4285" s="6" t="s">
        <v>23393</v>
      </c>
      <c r="J4285" s="6" t="s">
        <v>23394</v>
      </c>
      <c r="K4285" s="7">
        <f t="shared" si="2"/>
        <v>0.7287312638</v>
      </c>
    </row>
    <row r="4286">
      <c r="A4286" s="4">
        <v>4286.0</v>
      </c>
      <c r="B4286" s="5" t="s">
        <v>23395</v>
      </c>
      <c r="C4286" s="5" t="s">
        <v>15244</v>
      </c>
      <c r="D4286" s="5" t="s">
        <v>23396</v>
      </c>
      <c r="E4286" s="6" t="s">
        <v>74</v>
      </c>
      <c r="F4286" s="6" t="s">
        <v>23397</v>
      </c>
      <c r="G4286" s="3" t="str">
        <f>IFERROR(__xludf.DUMMYFUNCTION("REGEXREPLACE(
D4286,
""([一-龯々]+)\[([^\]]+)\]"",
""&lt;ruby&gt;$1&lt;rt&gt;$2&lt;/rt&gt;&lt;/ruby&gt;""
)&amp;""&lt;br&gt;&lt;div class=""""audio""""&gt;[sound:""&amp;C4286&amp;"".mp3]&lt;/div&gt;"""),"&lt;ruby&gt;視覚&lt;rt&gt;しかく&lt;/rt&gt;&lt;/ruby&gt;&lt;br&gt;&lt;div class=""audio""&gt;[sound:しかく.mp3]&lt;/div&gt;")</f>
        <v>&lt;ruby&gt;視覚&lt;rt&gt;しかく&lt;/rt&gt;&lt;/ruby&gt;&lt;br&gt;&lt;div class="audio"&gt;[sound:しかく.mp3]&lt;/div&gt;</v>
      </c>
      <c r="H4286" s="3" t="str">
        <f t="shared" si="1"/>
        <v>(n): thị giác</v>
      </c>
      <c r="I4286" s="6" t="s">
        <v>23398</v>
      </c>
      <c r="J4286" s="6" t="s">
        <v>23399</v>
      </c>
      <c r="K4286" s="7">
        <f t="shared" si="2"/>
        <v>0.0877470569</v>
      </c>
    </row>
    <row r="4287">
      <c r="A4287" s="4">
        <v>4287.0</v>
      </c>
      <c r="B4287" s="5" t="s">
        <v>23400</v>
      </c>
      <c r="C4287" s="5" t="s">
        <v>23401</v>
      </c>
      <c r="D4287" s="5" t="s">
        <v>23402</v>
      </c>
      <c r="E4287" s="6" t="s">
        <v>74</v>
      </c>
      <c r="F4287" s="6" t="s">
        <v>23403</v>
      </c>
      <c r="G4287" s="3" t="str">
        <f>IFERROR(__xludf.DUMMYFUNCTION("REGEXREPLACE(
D4287,
""([一-龯々]+)\[([^\]]+)\]"",
""&lt;ruby&gt;$1&lt;rt&gt;$2&lt;/rt&gt;&lt;/ruby&gt;""
)&amp;""&lt;br&gt;&lt;div class=""""audio""""&gt;[sound:""&amp;C4287&amp;"".mp3]&lt;/div&gt;"""),"&lt;ruby&gt;親友&lt;rt&gt;しんゆう&lt;/rt&gt;&lt;/ruby&gt;&lt;br&gt;&lt;div class=""audio""&gt;[sound:しんゆう.mp3]&lt;/div&gt;")</f>
        <v>&lt;ruby&gt;親友&lt;rt&gt;しんゆう&lt;/rt&gt;&lt;/ruby&gt;&lt;br&gt;&lt;div class="audio"&gt;[sound:しんゆう.mp3]&lt;/div&gt;</v>
      </c>
      <c r="H4287" s="3" t="str">
        <f t="shared" si="1"/>
        <v>(n): bạn thân</v>
      </c>
      <c r="I4287" s="6" t="s">
        <v>23404</v>
      </c>
      <c r="J4287" s="6" t="s">
        <v>23405</v>
      </c>
      <c r="K4287" s="7">
        <f t="shared" si="2"/>
        <v>0.5558308329</v>
      </c>
    </row>
    <row r="4288">
      <c r="A4288" s="4">
        <v>4288.0</v>
      </c>
      <c r="B4288" s="5" t="s">
        <v>23406</v>
      </c>
      <c r="C4288" s="5" t="s">
        <v>23407</v>
      </c>
      <c r="D4288" s="5" t="s">
        <v>23408</v>
      </c>
      <c r="E4288" s="6" t="s">
        <v>74</v>
      </c>
      <c r="F4288" s="6" t="s">
        <v>23409</v>
      </c>
      <c r="G4288" s="3" t="str">
        <f>IFERROR(__xludf.DUMMYFUNCTION("REGEXREPLACE(
D4288,
""([一-龯々]+)\[([^\]]+)\]"",
""&lt;ruby&gt;$1&lt;rt&gt;$2&lt;/rt&gt;&lt;/ruby&gt;""
)&amp;""&lt;br&gt;&lt;div class=""""audio""""&gt;[sound:""&amp;C4288&amp;"".mp3]&lt;/div&gt;"""),"&lt;ruby&gt;絵画&lt;rt&gt;かいが&lt;/rt&gt;&lt;/ruby&gt;&lt;br&gt;&lt;div class=""audio""&gt;[sound:かいが.mp3]&lt;/div&gt;")</f>
        <v>&lt;ruby&gt;絵画&lt;rt&gt;かいが&lt;/rt&gt;&lt;/ruby&gt;&lt;br&gt;&lt;div class="audio"&gt;[sound:かいが.mp3]&lt;/div&gt;</v>
      </c>
      <c r="H4288" s="3" t="str">
        <f t="shared" si="1"/>
        <v>(n): hội họa</v>
      </c>
      <c r="I4288" s="6" t="s">
        <v>23410</v>
      </c>
      <c r="J4288" s="6" t="s">
        <v>23411</v>
      </c>
      <c r="K4288" s="7">
        <f t="shared" si="2"/>
        <v>0.07687968145</v>
      </c>
    </row>
    <row r="4289">
      <c r="A4289" s="4">
        <v>4289.0</v>
      </c>
      <c r="B4289" s="5" t="s">
        <v>23412</v>
      </c>
      <c r="C4289" s="5" t="s">
        <v>23413</v>
      </c>
      <c r="D4289" s="5" t="s">
        <v>23414</v>
      </c>
      <c r="E4289" s="6" t="s">
        <v>24</v>
      </c>
      <c r="F4289" s="6" t="s">
        <v>23415</v>
      </c>
      <c r="G4289" s="3" t="str">
        <f>IFERROR(__xludf.DUMMYFUNCTION("REGEXREPLACE(
D4289,
""([一-龯々]+)\[([^\]]+)\]"",
""&lt;ruby&gt;$1&lt;rt&gt;$2&lt;/rt&gt;&lt;/ruby&gt;""
)&amp;""&lt;br&gt;&lt;div class=""""audio""""&gt;[sound:""&amp;C4289&amp;"".mp3]&lt;/div&gt;"""),"&lt;ruby&gt;退&lt;rt&gt;しりぞ&lt;/rt&gt;&lt;/ruby&gt;く&lt;br&gt;&lt;div class=""audio""&gt;[sound:しりぞく.mp3]&lt;/div&gt;")</f>
        <v>&lt;ruby&gt;退&lt;rt&gt;しりぞ&lt;/rt&gt;&lt;/ruby&gt;く&lt;br&gt;&lt;div class="audio"&gt;[sound:しりぞく.mp3]&lt;/div&gt;</v>
      </c>
      <c r="H4289" s="3" t="str">
        <f t="shared" si="1"/>
        <v>(v): rút lui</v>
      </c>
      <c r="I4289" s="6" t="s">
        <v>23416</v>
      </c>
      <c r="J4289" s="6" t="s">
        <v>23417</v>
      </c>
      <c r="K4289" s="7">
        <f t="shared" si="2"/>
        <v>0.7371701326</v>
      </c>
    </row>
    <row r="4290">
      <c r="A4290" s="4">
        <v>4290.0</v>
      </c>
      <c r="B4290" s="5" t="s">
        <v>23418</v>
      </c>
      <c r="C4290" s="5" t="s">
        <v>23419</v>
      </c>
      <c r="D4290" s="5" t="s">
        <v>23418</v>
      </c>
      <c r="E4290" s="6" t="s">
        <v>74</v>
      </c>
      <c r="F4290" s="6" t="s">
        <v>23420</v>
      </c>
      <c r="G4290" s="3" t="str">
        <f>IFERROR(__xludf.DUMMYFUNCTION("REGEXREPLACE(
D4290,
""([一-龯々]+)\[([^\]]+)\]"",
""&lt;ruby&gt;$1&lt;rt&gt;$2&lt;/rt&gt;&lt;/ruby&gt;""
)&amp;""&lt;br&gt;&lt;div class=""""audio""""&gt;[sound:""&amp;C4290&amp;"".mp3]&lt;/div&gt;"""),"カー&lt;br&gt;&lt;div class=""audio""&gt;[sound:かー.mp3]&lt;/div&gt;")</f>
        <v>カー&lt;br&gt;&lt;div class="audio"&gt;[sound:かー.mp3]&lt;/div&gt;</v>
      </c>
      <c r="H4290" s="3" t="str">
        <f t="shared" si="1"/>
        <v>(n): xe</v>
      </c>
      <c r="I4290" s="6" t="s">
        <v>23421</v>
      </c>
      <c r="J4290" s="6" t="s">
        <v>23422</v>
      </c>
      <c r="K4290" s="7">
        <f t="shared" si="2"/>
        <v>0.9107638229</v>
      </c>
    </row>
    <row r="4291">
      <c r="A4291" s="4">
        <v>4291.0</v>
      </c>
      <c r="B4291" s="5" t="s">
        <v>23423</v>
      </c>
      <c r="C4291" s="5" t="s">
        <v>23423</v>
      </c>
      <c r="D4291" s="5" t="s">
        <v>23423</v>
      </c>
      <c r="E4291" s="6" t="s">
        <v>85</v>
      </c>
      <c r="F4291" s="6" t="s">
        <v>23424</v>
      </c>
      <c r="G4291" s="3" t="str">
        <f>IFERROR(__xludf.DUMMYFUNCTION("REGEXREPLACE(
D4291,
""([一-龯々]+)\[([^\]]+)\]"",
""&lt;ruby&gt;$1&lt;rt&gt;$2&lt;/rt&gt;&lt;/ruby&gt;""
)&amp;""&lt;br&gt;&lt;div class=""""audio""""&gt;[sound:""&amp;C4291&amp;"".mp3]&lt;/div&gt;"""),"うろうろ&lt;br&gt;&lt;div class=""audio""&gt;[sound:うろうろ.mp3]&lt;/div&gt;")</f>
        <v>うろうろ&lt;br&gt;&lt;div class="audio"&gt;[sound:うろうろ.mp3]&lt;/div&gt;</v>
      </c>
      <c r="H4291" s="3" t="str">
        <f t="shared" si="1"/>
        <v>(adv): đi loanh quanh</v>
      </c>
      <c r="I4291" s="6" t="s">
        <v>23425</v>
      </c>
      <c r="J4291" s="6" t="s">
        <v>23426</v>
      </c>
      <c r="K4291" s="7">
        <f t="shared" si="2"/>
        <v>0.1374836258</v>
      </c>
    </row>
    <row r="4292">
      <c r="A4292" s="4">
        <v>4292.0</v>
      </c>
      <c r="B4292" s="5" t="s">
        <v>23427</v>
      </c>
      <c r="C4292" s="5" t="s">
        <v>23428</v>
      </c>
      <c r="D4292" s="5" t="s">
        <v>23429</v>
      </c>
      <c r="E4292" s="6" t="s">
        <v>74</v>
      </c>
      <c r="F4292" s="6" t="s">
        <v>23430</v>
      </c>
      <c r="G4292" s="3" t="str">
        <f>IFERROR(__xludf.DUMMYFUNCTION("REGEXREPLACE(
D4292,
""([一-龯々]+)\[([^\]]+)\]"",
""&lt;ruby&gt;$1&lt;rt&gt;$2&lt;/rt&gt;&lt;/ruby&gt;""
)&amp;""&lt;br&gt;&lt;div class=""""audio""""&gt;[sound:""&amp;C4292&amp;"".mp3]&lt;/div&gt;"""),"&lt;ruby&gt;九日&lt;rt&gt;ここのか&lt;/rt&gt;&lt;/ruby&gt;&lt;br&gt;&lt;div class=""audio""&gt;[sound:ここのか.mp3]&lt;/div&gt;")</f>
        <v>&lt;ruby&gt;九日&lt;rt&gt;ここのか&lt;/rt&gt;&lt;/ruby&gt;&lt;br&gt;&lt;div class="audio"&gt;[sound:ここのか.mp3]&lt;/div&gt;</v>
      </c>
      <c r="H4292" s="3" t="str">
        <f t="shared" si="1"/>
        <v>(n): ngày mùng chín</v>
      </c>
      <c r="I4292" s="6" t="s">
        <v>23431</v>
      </c>
      <c r="J4292" s="6" t="s">
        <v>23432</v>
      </c>
      <c r="K4292" s="7">
        <f t="shared" si="2"/>
        <v>0.6832995482</v>
      </c>
    </row>
    <row r="4293">
      <c r="A4293" s="4">
        <v>4293.0</v>
      </c>
      <c r="B4293" s="5" t="s">
        <v>23433</v>
      </c>
      <c r="C4293" s="5" t="s">
        <v>23434</v>
      </c>
      <c r="D4293" s="5" t="s">
        <v>23435</v>
      </c>
      <c r="E4293" s="6" t="s">
        <v>74</v>
      </c>
      <c r="F4293" s="6" t="s">
        <v>23436</v>
      </c>
      <c r="G4293" s="3" t="str">
        <f>IFERROR(__xludf.DUMMYFUNCTION("REGEXREPLACE(
D4293,
""([一-龯々]+)\[([^\]]+)\]"",
""&lt;ruby&gt;$1&lt;rt&gt;$2&lt;/rt&gt;&lt;/ruby&gt;""
)&amp;""&lt;br&gt;&lt;div class=""""audio""""&gt;[sound:""&amp;C4293&amp;"".mp3]&lt;/div&gt;"""),"&lt;ruby&gt;小遣&lt;rt&gt;こづか&lt;/rt&gt;&lt;/ruby&gt;い&lt;br&gt;&lt;div class=""audio""&gt;[sound:こづかい.mp3]&lt;/div&gt;")</f>
        <v>&lt;ruby&gt;小遣&lt;rt&gt;こづか&lt;/rt&gt;&lt;/ruby&gt;い&lt;br&gt;&lt;div class="audio"&gt;[sound:こづかい.mp3]&lt;/div&gt;</v>
      </c>
      <c r="H4293" s="3" t="str">
        <f t="shared" si="1"/>
        <v>(n): tiền tiêu vặt</v>
      </c>
      <c r="I4293" s="6" t="s">
        <v>23437</v>
      </c>
      <c r="J4293" s="6" t="s">
        <v>23438</v>
      </c>
      <c r="K4293" s="7">
        <f t="shared" si="2"/>
        <v>0.6168842483</v>
      </c>
    </row>
    <row r="4294">
      <c r="A4294" s="4">
        <v>4294.0</v>
      </c>
      <c r="B4294" s="5" t="s">
        <v>23439</v>
      </c>
      <c r="C4294" s="5" t="s">
        <v>23440</v>
      </c>
      <c r="D4294" s="5" t="s">
        <v>23441</v>
      </c>
      <c r="E4294" s="6" t="s">
        <v>74</v>
      </c>
      <c r="F4294" s="6" t="s">
        <v>23442</v>
      </c>
      <c r="G4294" s="3" t="str">
        <f>IFERROR(__xludf.DUMMYFUNCTION("REGEXREPLACE(
D4294,
""([一-龯々]+)\[([^\]]+)\]"",
""&lt;ruby&gt;$1&lt;rt&gt;$2&lt;/rt&gt;&lt;/ruby&gt;""
)&amp;""&lt;br&gt;&lt;div class=""""audio""""&gt;[sound:""&amp;C4294&amp;"".mp3]&lt;/div&gt;"""),"&lt;ruby&gt;小数&lt;rt&gt;しょうすう&lt;/rt&gt;&lt;/ruby&gt;&lt;br&gt;&lt;div class=""audio""&gt;[sound:しょうすう.mp3]&lt;/div&gt;")</f>
        <v>&lt;ruby&gt;小数&lt;rt&gt;しょうすう&lt;/rt&gt;&lt;/ruby&gt;&lt;br&gt;&lt;div class="audio"&gt;[sound:しょうすう.mp3]&lt;/div&gt;</v>
      </c>
      <c r="H4294" s="3" t="str">
        <f t="shared" si="1"/>
        <v>(n): số thập phân</v>
      </c>
      <c r="I4294" s="6" t="s">
        <v>23443</v>
      </c>
      <c r="J4294" s="6" t="s">
        <v>23444</v>
      </c>
      <c r="K4294" s="7">
        <f t="shared" si="2"/>
        <v>0.1026777849</v>
      </c>
    </row>
    <row r="4295">
      <c r="A4295" s="4">
        <v>4295.0</v>
      </c>
      <c r="B4295" s="5" t="s">
        <v>23445</v>
      </c>
      <c r="C4295" s="5" t="s">
        <v>6330</v>
      </c>
      <c r="D4295" s="5" t="s">
        <v>23446</v>
      </c>
      <c r="E4295" s="6" t="s">
        <v>74</v>
      </c>
      <c r="F4295" s="6" t="s">
        <v>6722</v>
      </c>
      <c r="G4295" s="3" t="str">
        <f>IFERROR(__xludf.DUMMYFUNCTION("REGEXREPLACE(
D4295,
""([一-龯々]+)\[([^\]]+)\]"",
""&lt;ruby&gt;$1&lt;rt&gt;$2&lt;/rt&gt;&lt;/ruby&gt;""
)&amp;""&lt;br&gt;&lt;div class=""""audio""""&gt;[sound:""&amp;C4295&amp;"".mp3]&lt;/div&gt;"""),"&lt;ruby&gt;勝&lt;rt&gt;か&lt;/rt&gt;&lt;/ruby&gt;ち&lt;br&gt;&lt;div class=""audio""&gt;[sound:かち.mp3]&lt;/div&gt;")</f>
        <v>&lt;ruby&gt;勝&lt;rt&gt;か&lt;/rt&gt;&lt;/ruby&gt;ち&lt;br&gt;&lt;div class="audio"&gt;[sound:かち.mp3]&lt;/div&gt;</v>
      </c>
      <c r="H4295" s="3" t="str">
        <f t="shared" si="1"/>
        <v>(n): chiến thắng</v>
      </c>
      <c r="I4295" s="6" t="s">
        <v>23447</v>
      </c>
      <c r="J4295" s="6" t="s">
        <v>23448</v>
      </c>
      <c r="K4295" s="7">
        <f t="shared" si="2"/>
        <v>0.01483959715</v>
      </c>
    </row>
    <row r="4296">
      <c r="A4296" s="4">
        <v>4296.0</v>
      </c>
      <c r="B4296" s="5" t="s">
        <v>23449</v>
      </c>
      <c r="C4296" s="5" t="s">
        <v>23450</v>
      </c>
      <c r="D4296" s="5" t="s">
        <v>23451</v>
      </c>
      <c r="E4296" s="6" t="s">
        <v>74</v>
      </c>
      <c r="F4296" s="6" t="s">
        <v>23452</v>
      </c>
      <c r="G4296" s="3" t="str">
        <f>IFERROR(__xludf.DUMMYFUNCTION("REGEXREPLACE(
D4296,
""([一-龯々]+)\[([^\]]+)\]"",
""&lt;ruby&gt;$1&lt;rt&gt;$2&lt;/rt&gt;&lt;/ruby&gt;""
)&amp;""&lt;br&gt;&lt;div class=""""audio""""&gt;[sound:""&amp;C4296&amp;"".mp3]&lt;/div&gt;"""),"&lt;ruby&gt;栄養&lt;rt&gt;えいよう&lt;/rt&gt;&lt;/ruby&gt;&lt;br&gt;&lt;div class=""audio""&gt;[sound:えいよう.mp3]&lt;/div&gt;")</f>
        <v>&lt;ruby&gt;栄養&lt;rt&gt;えいよう&lt;/rt&gt;&lt;/ruby&gt;&lt;br&gt;&lt;div class="audio"&gt;[sound:えいよう.mp3]&lt;/div&gt;</v>
      </c>
      <c r="H4296" s="3" t="str">
        <f t="shared" si="1"/>
        <v>(n): dinh dưỡng</v>
      </c>
      <c r="I4296" s="6" t="s">
        <v>23453</v>
      </c>
      <c r="J4296" s="6" t="s">
        <v>23454</v>
      </c>
      <c r="K4296" s="7">
        <f t="shared" si="2"/>
        <v>0.4575108129</v>
      </c>
    </row>
    <row r="4297">
      <c r="A4297" s="4">
        <v>4297.0</v>
      </c>
      <c r="B4297" s="5" t="s">
        <v>23455</v>
      </c>
      <c r="C4297" s="5" t="s">
        <v>23456</v>
      </c>
      <c r="D4297" s="5" t="s">
        <v>23457</v>
      </c>
      <c r="E4297" s="6" t="s">
        <v>11</v>
      </c>
      <c r="F4297" s="6" t="s">
        <v>23458</v>
      </c>
      <c r="G4297" s="3" t="str">
        <f>IFERROR(__xludf.DUMMYFUNCTION("REGEXREPLACE(
D4297,
""([一-龯々]+)\[([^\]]+)\]"",
""&lt;ruby&gt;$1&lt;rt&gt;$2&lt;/rt&gt;&lt;/ruby&gt;""
)&amp;""&lt;br&gt;&lt;div class=""""audio""""&gt;[sound:""&amp;C4297&amp;"".mp3]&lt;/div&gt;"""),"&lt;ruby&gt;正直&lt;rt&gt;しょうじき&lt;/rt&gt;&lt;/ruby&gt;&lt;br&gt;&lt;div class=""audio""&gt;[sound:しょうじき.mp3]&lt;/div&gt;")</f>
        <v>&lt;ruby&gt;正直&lt;rt&gt;しょうじき&lt;/rt&gt;&lt;/ruby&gt;&lt;br&gt;&lt;div class="audio"&gt;[sound:しょうじき.mp3]&lt;/div&gt;</v>
      </c>
      <c r="H4297" s="3" t="str">
        <f t="shared" si="1"/>
        <v>(adj): trung thực</v>
      </c>
      <c r="I4297" s="6" t="s">
        <v>23459</v>
      </c>
      <c r="J4297" s="6" t="s">
        <v>23460</v>
      </c>
      <c r="K4297" s="7">
        <f t="shared" si="2"/>
        <v>0.2300681058</v>
      </c>
    </row>
    <row r="4298">
      <c r="A4298" s="4">
        <v>4298.0</v>
      </c>
      <c r="B4298" s="5" t="s">
        <v>23461</v>
      </c>
      <c r="C4298" s="5" t="s">
        <v>23461</v>
      </c>
      <c r="D4298" s="5" t="s">
        <v>23461</v>
      </c>
      <c r="E4298" s="6" t="s">
        <v>85</v>
      </c>
      <c r="F4298" s="6" t="s">
        <v>23462</v>
      </c>
      <c r="G4298" s="3" t="str">
        <f>IFERROR(__xludf.DUMMYFUNCTION("REGEXREPLACE(
D4298,
""([一-龯々]+)\[([^\]]+)\]"",
""&lt;ruby&gt;$1&lt;rt&gt;$2&lt;/rt&gt;&lt;/ruby&gt;""
)&amp;""&lt;br&gt;&lt;div class=""""audio""""&gt;[sound:""&amp;C4298&amp;"".mp3]&lt;/div&gt;"""),"ぎっしり&lt;br&gt;&lt;div class=""audio""&gt;[sound:ぎっしり.mp3]&lt;/div&gt;")</f>
        <v>ぎっしり&lt;br&gt;&lt;div class="audio"&gt;[sound:ぎっしり.mp3]&lt;/div&gt;</v>
      </c>
      <c r="H4298" s="3" t="str">
        <f t="shared" si="1"/>
        <v>(adv): chật ních</v>
      </c>
      <c r="I4298" s="6" t="s">
        <v>23463</v>
      </c>
      <c r="J4298" s="6" t="s">
        <v>23464</v>
      </c>
      <c r="K4298" s="7">
        <f t="shared" si="2"/>
        <v>0.4292581399</v>
      </c>
    </row>
    <row r="4299">
      <c r="A4299" s="4">
        <v>4299.0</v>
      </c>
      <c r="B4299" s="5" t="s">
        <v>23465</v>
      </c>
      <c r="C4299" s="5" t="s">
        <v>23466</v>
      </c>
      <c r="D4299" s="5" t="s">
        <v>23467</v>
      </c>
      <c r="E4299" s="6" t="s">
        <v>90</v>
      </c>
      <c r="F4299" s="6" t="s">
        <v>438</v>
      </c>
      <c r="G4299" s="3" t="str">
        <f>IFERROR(__xludf.DUMMYFUNCTION("REGEXREPLACE(
D4299,
""([一-龯々]+)\[([^\]]+)\]"",
""&lt;ruby&gt;$1&lt;rt&gt;$2&lt;/rt&gt;&lt;/ruby&gt;""
)&amp;""&lt;br&gt;&lt;div class=""""audio""""&gt;[sound:""&amp;C4299&amp;"".mp3]&lt;/div&gt;"""),"&lt;ruby&gt;但&lt;rt&gt;ただ&lt;/rt&gt;&lt;/ruby&gt;し&lt;br&gt;&lt;div class=""audio""&gt;[sound:ただし.mp3]&lt;/div&gt;")</f>
        <v>&lt;ruby&gt;但&lt;rt&gt;ただ&lt;/rt&gt;&lt;/ruby&gt;し&lt;br&gt;&lt;div class="audio"&gt;[sound:ただし.mp3]&lt;/div&gt;</v>
      </c>
      <c r="H4299" s="3" t="str">
        <f t="shared" si="1"/>
        <v>(conj): tuy nhiên</v>
      </c>
      <c r="I4299" s="6" t="s">
        <v>23468</v>
      </c>
      <c r="J4299" s="6" t="s">
        <v>23469</v>
      </c>
      <c r="K4299" s="7">
        <f t="shared" si="2"/>
        <v>0.6458744325</v>
      </c>
    </row>
    <row r="4300">
      <c r="A4300" s="4">
        <v>4300.0</v>
      </c>
      <c r="B4300" s="5" t="s">
        <v>23470</v>
      </c>
      <c r="C4300" s="5" t="s">
        <v>23471</v>
      </c>
      <c r="D4300" s="5" t="s">
        <v>23472</v>
      </c>
      <c r="E4300" s="6" t="s">
        <v>74</v>
      </c>
      <c r="F4300" s="6" t="s">
        <v>23473</v>
      </c>
      <c r="G4300" s="3" t="str">
        <f>IFERROR(__xludf.DUMMYFUNCTION("REGEXREPLACE(
D4300,
""([一-龯々]+)\[([^\]]+)\]"",
""&lt;ruby&gt;$1&lt;rt&gt;$2&lt;/rt&gt;&lt;/ruby&gt;""
)&amp;""&lt;br&gt;&lt;div class=""""audio""""&gt;[sound:""&amp;C4300&amp;"".mp3]&lt;/div&gt;"""),"&lt;ruby&gt;展覧会&lt;rt&gt;てんらんかい&lt;/rt&gt;&lt;/ruby&gt;&lt;br&gt;&lt;div class=""audio""&gt;[sound:てんらんかい.mp3]&lt;/div&gt;")</f>
        <v>&lt;ruby&gt;展覧会&lt;rt&gt;てんらんかい&lt;/rt&gt;&lt;/ruby&gt;&lt;br&gt;&lt;div class="audio"&gt;[sound:てんらんかい.mp3]&lt;/div&gt;</v>
      </c>
      <c r="H4300" s="3" t="str">
        <f t="shared" si="1"/>
        <v>(n): triển lãm</v>
      </c>
      <c r="I4300" s="6" t="s">
        <v>23474</v>
      </c>
      <c r="J4300" s="6" t="s">
        <v>23475</v>
      </c>
      <c r="K4300" s="7">
        <f t="shared" si="2"/>
        <v>0.2181041941</v>
      </c>
    </row>
    <row r="4301">
      <c r="A4301" s="4">
        <v>4301.0</v>
      </c>
      <c r="B4301" s="5" t="s">
        <v>23476</v>
      </c>
      <c r="C4301" s="5" t="s">
        <v>23477</v>
      </c>
      <c r="D4301" s="5" t="s">
        <v>23478</v>
      </c>
      <c r="E4301" s="6" t="s">
        <v>74</v>
      </c>
      <c r="F4301" s="6" t="s">
        <v>23479</v>
      </c>
      <c r="G4301" s="3" t="str">
        <f>IFERROR(__xludf.DUMMYFUNCTION("REGEXREPLACE(
D4301,
""([一-龯々]+)\[([^\]]+)\]"",
""&lt;ruby&gt;$1&lt;rt&gt;$2&lt;/rt&gt;&lt;/ruby&gt;""
)&amp;""&lt;br&gt;&lt;div class=""""audio""""&gt;[sound:""&amp;C4301&amp;"".mp3]&lt;/div&gt;"""),"&lt;ruby&gt;彫刻&lt;rt&gt;ちょうこく&lt;/rt&gt;&lt;/ruby&gt;&lt;br&gt;&lt;div class=""audio""&gt;[sound:ちょうこく.mp3]&lt;/div&gt;")</f>
        <v>&lt;ruby&gt;彫刻&lt;rt&gt;ちょうこく&lt;/rt&gt;&lt;/ruby&gt;&lt;br&gt;&lt;div class="audio"&gt;[sound:ちょうこく.mp3]&lt;/div&gt;</v>
      </c>
      <c r="H4301" s="3" t="str">
        <f t="shared" si="1"/>
        <v>(n): điêu khắc</v>
      </c>
      <c r="I4301" s="6" t="s">
        <v>23480</v>
      </c>
      <c r="J4301" s="6" t="s">
        <v>23481</v>
      </c>
      <c r="K4301" s="7">
        <f t="shared" si="2"/>
        <v>0.373392205</v>
      </c>
    </row>
    <row r="4302">
      <c r="A4302" s="4">
        <v>4302.0</v>
      </c>
      <c r="B4302" s="5" t="s">
        <v>23482</v>
      </c>
      <c r="C4302" s="5" t="s">
        <v>23482</v>
      </c>
      <c r="D4302" s="5" t="s">
        <v>23482</v>
      </c>
      <c r="E4302" s="6" t="s">
        <v>11</v>
      </c>
      <c r="F4302" s="6" t="s">
        <v>23483</v>
      </c>
      <c r="G4302" s="3" t="str">
        <f>IFERROR(__xludf.DUMMYFUNCTION("REGEXREPLACE(
D4302,
""([一-龯々]+)\[([^\]]+)\]"",
""&lt;ruby&gt;$1&lt;rt&gt;$2&lt;/rt&gt;&lt;/ruby&gt;""
)&amp;""&lt;br&gt;&lt;div class=""""audio""""&gt;[sound:""&amp;C4302&amp;"".mp3]&lt;/div&gt;"""),"まぶしい&lt;br&gt;&lt;div class=""audio""&gt;[sound:まぶしい.mp3]&lt;/div&gt;")</f>
        <v>まぶしい&lt;br&gt;&lt;div class="audio"&gt;[sound:まぶしい.mp3]&lt;/div&gt;</v>
      </c>
      <c r="H4302" s="3" t="str">
        <f t="shared" si="1"/>
        <v>(adj): chói mắt</v>
      </c>
      <c r="I4302" s="6" t="s">
        <v>23484</v>
      </c>
      <c r="J4302" s="6" t="s">
        <v>23485</v>
      </c>
      <c r="K4302" s="7">
        <f t="shared" si="2"/>
        <v>0.6111455533</v>
      </c>
    </row>
    <row r="4303">
      <c r="A4303" s="4">
        <v>4303.0</v>
      </c>
      <c r="B4303" s="5" t="s">
        <v>23486</v>
      </c>
      <c r="C4303" s="5" t="s">
        <v>23487</v>
      </c>
      <c r="D4303" s="5" t="s">
        <v>23488</v>
      </c>
      <c r="E4303" s="6" t="s">
        <v>74</v>
      </c>
      <c r="F4303" s="6" t="s">
        <v>23489</v>
      </c>
      <c r="G4303" s="3" t="str">
        <f>IFERROR(__xludf.DUMMYFUNCTION("REGEXREPLACE(
D4303,
""([一-龯々]+)\[([^\]]+)\]"",
""&lt;ruby&gt;$1&lt;rt&gt;$2&lt;/rt&gt;&lt;/ruby&gt;""
)&amp;""&lt;br&gt;&lt;div class=""""audio""""&gt;[sound:""&amp;C4303&amp;"".mp3]&lt;/div&gt;"""),"&lt;ruby&gt;出版&lt;rt&gt;しゅっぱん&lt;/rt&gt;&lt;/ruby&gt;&lt;br&gt;&lt;div class=""audio""&gt;[sound:しゅっぱん.mp3]&lt;/div&gt;")</f>
        <v>&lt;ruby&gt;出版&lt;rt&gt;しゅっぱん&lt;/rt&gt;&lt;/ruby&gt;&lt;br&gt;&lt;div class="audio"&gt;[sound:しゅっぱん.mp3]&lt;/div&gt;</v>
      </c>
      <c r="H4303" s="3" t="str">
        <f t="shared" si="1"/>
        <v>(n): xuất bản</v>
      </c>
      <c r="I4303" s="6" t="s">
        <v>23490</v>
      </c>
      <c r="J4303" s="6" t="s">
        <v>23491</v>
      </c>
      <c r="K4303" s="7">
        <f t="shared" si="2"/>
        <v>0.7189072858</v>
      </c>
    </row>
    <row r="4304">
      <c r="A4304" s="4">
        <v>4304.0</v>
      </c>
      <c r="B4304" s="5" t="s">
        <v>23492</v>
      </c>
      <c r="C4304" s="5" t="s">
        <v>23493</v>
      </c>
      <c r="D4304" s="5" t="s">
        <v>23494</v>
      </c>
      <c r="E4304" s="6" t="s">
        <v>74</v>
      </c>
      <c r="F4304" s="6" t="s">
        <v>23223</v>
      </c>
      <c r="G4304" s="3" t="str">
        <f>IFERROR(__xludf.DUMMYFUNCTION("REGEXREPLACE(
D4304,
""([一-龯々]+)\[([^\]]+)\]"",
""&lt;ruby&gt;$1&lt;rt&gt;$2&lt;/rt&gt;&lt;/ruby&gt;""
)&amp;""&lt;br&gt;&lt;div class=""""audio""""&gt;[sound:""&amp;C4304&amp;"".mp3]&lt;/div&gt;"""),"&lt;ruby&gt;娯楽&lt;rt&gt;ごらく&lt;/rt&gt;&lt;/ruby&gt;&lt;br&gt;&lt;div class=""audio""&gt;[sound:ごらく.mp3]&lt;/div&gt;")</f>
        <v>&lt;ruby&gt;娯楽&lt;rt&gt;ごらく&lt;/rt&gt;&lt;/ruby&gt;&lt;br&gt;&lt;div class="audio"&gt;[sound:ごらく.mp3]&lt;/div&gt;</v>
      </c>
      <c r="H4304" s="3" t="str">
        <f t="shared" si="1"/>
        <v>(n): giải trí</v>
      </c>
      <c r="I4304" s="6" t="s">
        <v>23495</v>
      </c>
      <c r="J4304" s="6" t="s">
        <v>23496</v>
      </c>
      <c r="K4304" s="7">
        <f t="shared" si="2"/>
        <v>0.9439085189</v>
      </c>
    </row>
    <row r="4305">
      <c r="A4305" s="4">
        <v>4305.0</v>
      </c>
      <c r="B4305" s="5" t="s">
        <v>23497</v>
      </c>
      <c r="C4305" s="5" t="s">
        <v>23498</v>
      </c>
      <c r="D4305" s="5" t="s">
        <v>23499</v>
      </c>
      <c r="E4305" s="6" t="s">
        <v>74</v>
      </c>
      <c r="F4305" s="6" t="s">
        <v>23500</v>
      </c>
      <c r="G4305" s="3" t="str">
        <f>IFERROR(__xludf.DUMMYFUNCTION("REGEXREPLACE(
D4305,
""([一-龯々]+)\[([^\]]+)\]"",
""&lt;ruby&gt;$1&lt;rt&gt;$2&lt;/rt&gt;&lt;/ruby&gt;""
)&amp;""&lt;br&gt;&lt;div class=""""audio""""&gt;[sound:""&amp;C4305&amp;"".mp3]&lt;/div&gt;"""),"&lt;ruby&gt;混乱&lt;rt&gt;こんらん&lt;/rt&gt;&lt;/ruby&gt;&lt;br&gt;&lt;div class=""audio""&gt;[sound:こんらん.mp3]&lt;/div&gt;")</f>
        <v>&lt;ruby&gt;混乱&lt;rt&gt;こんらん&lt;/rt&gt;&lt;/ruby&gt;&lt;br&gt;&lt;div class="audio"&gt;[sound:こんらん.mp3]&lt;/div&gt;</v>
      </c>
      <c r="H4305" s="3" t="str">
        <f t="shared" si="1"/>
        <v>(n): hỗn loạn</v>
      </c>
      <c r="I4305" s="6" t="s">
        <v>23501</v>
      </c>
      <c r="J4305" s="6" t="s">
        <v>23502</v>
      </c>
      <c r="K4305" s="7">
        <f t="shared" si="2"/>
        <v>0.8448386983</v>
      </c>
    </row>
    <row r="4306">
      <c r="A4306" s="4">
        <v>4306.0</v>
      </c>
      <c r="B4306" s="5" t="s">
        <v>23503</v>
      </c>
      <c r="C4306" s="5" t="s">
        <v>23504</v>
      </c>
      <c r="D4306" s="5" t="s">
        <v>23505</v>
      </c>
      <c r="E4306" s="6" t="s">
        <v>11</v>
      </c>
      <c r="F4306" s="6" t="s">
        <v>23506</v>
      </c>
      <c r="G4306" s="3" t="str">
        <f>IFERROR(__xludf.DUMMYFUNCTION("REGEXREPLACE(
D4306,
""([一-龯々]+)\[([^\]]+)\]"",
""&lt;ruby&gt;$1&lt;rt&gt;$2&lt;/rt&gt;&lt;/ruby&gt;""
)&amp;""&lt;br&gt;&lt;div class=""""audio""""&gt;[sound:""&amp;C4306&amp;"".mp3]&lt;/div&gt;"""),"&lt;ruby&gt;黄色&lt;rt&gt;き&lt;/rt&gt;&lt;/ruby&gt;い&lt;br&gt;&lt;div class=""audio""&gt;[sound:きいろい.mp3]&lt;/div&gt;")</f>
        <v>&lt;ruby&gt;黄色&lt;rt&gt;き&lt;/rt&gt;&lt;/ruby&gt;い&lt;br&gt;&lt;div class="audio"&gt;[sound:きいろい.mp3]&lt;/div&gt;</v>
      </c>
      <c r="H4306" s="3" t="str">
        <f t="shared" si="1"/>
        <v>(adj): màu vàng</v>
      </c>
      <c r="I4306" s="6" t="s">
        <v>23507</v>
      </c>
      <c r="J4306" s="6" t="s">
        <v>23508</v>
      </c>
      <c r="K4306" s="7">
        <f t="shared" si="2"/>
        <v>0.3780992481</v>
      </c>
    </row>
    <row r="4307">
      <c r="A4307" s="4">
        <v>4307.0</v>
      </c>
      <c r="B4307" s="5" t="s">
        <v>17247</v>
      </c>
      <c r="C4307" s="5" t="s">
        <v>17247</v>
      </c>
      <c r="D4307" s="5" t="s">
        <v>17247</v>
      </c>
      <c r="E4307" s="6" t="s">
        <v>74</v>
      </c>
      <c r="F4307" s="6" t="s">
        <v>17249</v>
      </c>
      <c r="G4307" s="3" t="str">
        <f>IFERROR(__xludf.DUMMYFUNCTION("REGEXREPLACE(
D4307,
""([一-龯々]+)\[([^\]]+)\]"",
""&lt;ruby&gt;$1&lt;rt&gt;$2&lt;/rt&gt;&lt;/ruby&gt;""
)&amp;""&lt;br&gt;&lt;div class=""""audio""""&gt;[sound:""&amp;C4307&amp;"".mp3]&lt;/div&gt;"""),"おととし&lt;br&gt;&lt;div class=""audio""&gt;[sound:おととし.mp3]&lt;/div&gt;")</f>
        <v>おととし&lt;br&gt;&lt;div class="audio"&gt;[sound:おととし.mp3]&lt;/div&gt;</v>
      </c>
      <c r="H4307" s="3" t="str">
        <f t="shared" si="1"/>
        <v>(n): năm kia</v>
      </c>
      <c r="I4307" s="6" t="s">
        <v>23509</v>
      </c>
      <c r="J4307" s="6" t="s">
        <v>23510</v>
      </c>
      <c r="K4307" s="7">
        <f t="shared" si="2"/>
        <v>0.1591282888</v>
      </c>
    </row>
    <row r="4308">
      <c r="A4308" s="4">
        <v>4308.0</v>
      </c>
      <c r="B4308" s="5" t="s">
        <v>23511</v>
      </c>
      <c r="C4308" s="5" t="s">
        <v>23512</v>
      </c>
      <c r="D4308" s="5" t="s">
        <v>23513</v>
      </c>
      <c r="E4308" s="6" t="s">
        <v>24</v>
      </c>
      <c r="F4308" s="6" t="s">
        <v>14599</v>
      </c>
      <c r="G4308" s="3" t="str">
        <f>IFERROR(__xludf.DUMMYFUNCTION("REGEXREPLACE(
D4308,
""([一-龯々]+)\[([^\]]+)\]"",
""&lt;ruby&gt;$1&lt;rt&gt;$2&lt;/rt&gt;&lt;/ruby&gt;""
)&amp;""&lt;br&gt;&lt;div class=""""audio""""&gt;[sound:""&amp;C4308&amp;"".mp3]&lt;/div&gt;"""),"&lt;ruby&gt;妨&lt;rt&gt;さまた&lt;/rt&gt;&lt;/ruby&gt;げる&lt;br&gt;&lt;div class=""audio""&gt;[sound:さまたげる.mp3]&lt;/div&gt;")</f>
        <v>&lt;ruby&gt;妨&lt;rt&gt;さまた&lt;/rt&gt;&lt;/ruby&gt;げる&lt;br&gt;&lt;div class="audio"&gt;[sound:さまたげる.mp3]&lt;/div&gt;</v>
      </c>
      <c r="H4308" s="3" t="str">
        <f t="shared" si="1"/>
        <v>(v): cản trở</v>
      </c>
      <c r="I4308" s="6" t="s">
        <v>23514</v>
      </c>
      <c r="J4308" s="6" t="s">
        <v>23515</v>
      </c>
      <c r="K4308" s="7">
        <f t="shared" si="2"/>
        <v>0.1074724088</v>
      </c>
    </row>
    <row r="4309">
      <c r="A4309" s="4">
        <v>4309.0</v>
      </c>
      <c r="B4309" s="5" t="s">
        <v>23516</v>
      </c>
      <c r="C4309" s="5" t="s">
        <v>23517</v>
      </c>
      <c r="D4309" s="5" t="s">
        <v>23518</v>
      </c>
      <c r="E4309" s="6" t="s">
        <v>11</v>
      </c>
      <c r="F4309" s="6" t="s">
        <v>23519</v>
      </c>
      <c r="G4309" s="3" t="str">
        <f>IFERROR(__xludf.DUMMYFUNCTION("REGEXREPLACE(
D4309,
""([一-龯々]+)\[([^\]]+)\]"",
""&lt;ruby&gt;$1&lt;rt&gt;$2&lt;/rt&gt;&lt;/ruby&gt;""
)&amp;""&lt;br&gt;&lt;div class=""""audio""""&gt;[sound:""&amp;C4309&amp;"".mp3]&lt;/div&gt;"""),"&lt;ruby&gt;愉快&lt;rt&gt;ゆかい&lt;/rt&gt;&lt;/ruby&gt;&lt;br&gt;&lt;div class=""audio""&gt;[sound:ゆかい.mp3]&lt;/div&gt;")</f>
        <v>&lt;ruby&gt;愉快&lt;rt&gt;ゆかい&lt;/rt&gt;&lt;/ruby&gt;&lt;br&gt;&lt;div class="audio"&gt;[sound:ゆかい.mp3]&lt;/div&gt;</v>
      </c>
      <c r="H4309" s="3" t="str">
        <f t="shared" si="1"/>
        <v>(adj): vui vẻ</v>
      </c>
      <c r="I4309" s="6" t="s">
        <v>23520</v>
      </c>
      <c r="J4309" s="6" t="s">
        <v>23521</v>
      </c>
      <c r="K4309" s="7">
        <f t="shared" si="2"/>
        <v>0.6099297776</v>
      </c>
    </row>
    <row r="4310">
      <c r="A4310" s="4">
        <v>4310.0</v>
      </c>
      <c r="B4310" s="5" t="s">
        <v>23522</v>
      </c>
      <c r="C4310" s="5" t="s">
        <v>23522</v>
      </c>
      <c r="D4310" s="5" t="s">
        <v>23522</v>
      </c>
      <c r="E4310" s="6" t="s">
        <v>24</v>
      </c>
      <c r="F4310" s="6" t="s">
        <v>23523</v>
      </c>
      <c r="G4310" s="3" t="str">
        <f>IFERROR(__xludf.DUMMYFUNCTION("REGEXREPLACE(
D4310,
""([一-龯々]+)\[([^\]]+)\]"",
""&lt;ruby&gt;$1&lt;rt&gt;$2&lt;/rt&gt;&lt;/ruby&gt;""
)&amp;""&lt;br&gt;&lt;div class=""""audio""""&gt;[sound:""&amp;C4310&amp;"".mp3]&lt;/div&gt;"""),"ためらう&lt;br&gt;&lt;div class=""audio""&gt;[sound:ためらう.mp3]&lt;/div&gt;")</f>
        <v>ためらう&lt;br&gt;&lt;div class="audio"&gt;[sound:ためらう.mp3]&lt;/div&gt;</v>
      </c>
      <c r="H4310" s="3" t="str">
        <f t="shared" si="1"/>
        <v>(v): do dự</v>
      </c>
      <c r="I4310" s="6" t="s">
        <v>23524</v>
      </c>
      <c r="J4310" s="6" t="s">
        <v>23525</v>
      </c>
      <c r="K4310" s="7">
        <f t="shared" si="2"/>
        <v>0.4052989172</v>
      </c>
    </row>
    <row r="4311">
      <c r="A4311" s="4">
        <v>4311.0</v>
      </c>
      <c r="B4311" s="5" t="s">
        <v>23526</v>
      </c>
      <c r="C4311" s="5" t="s">
        <v>23527</v>
      </c>
      <c r="D4311" s="5" t="s">
        <v>23528</v>
      </c>
      <c r="E4311" s="6" t="s">
        <v>74</v>
      </c>
      <c r="F4311" s="6" t="s">
        <v>23529</v>
      </c>
      <c r="G4311" s="3" t="str">
        <f>IFERROR(__xludf.DUMMYFUNCTION("REGEXREPLACE(
D4311,
""([一-龯々]+)\[([^\]]+)\]"",
""&lt;ruby&gt;$1&lt;rt&gt;$2&lt;/rt&gt;&lt;/ruby&gt;""
)&amp;""&lt;br&gt;&lt;div class=""""audio""""&gt;[sound:""&amp;C4311&amp;"".mp3]&lt;/div&gt;"""),"&lt;ruby&gt;連&lt;rt&gt;つ&lt;/rt&gt;&lt;/ruby&gt;れ&lt;br&gt;&lt;div class=""audio""&gt;[sound:つれ.mp3]&lt;/div&gt;")</f>
        <v>&lt;ruby&gt;連&lt;rt&gt;つ&lt;/rt&gt;&lt;/ruby&gt;れ&lt;br&gt;&lt;div class="audio"&gt;[sound:つれ.mp3]&lt;/div&gt;</v>
      </c>
      <c r="H4311" s="3" t="str">
        <f t="shared" si="1"/>
        <v>(n): bạn đồng hành</v>
      </c>
      <c r="I4311" s="6" t="s">
        <v>23530</v>
      </c>
      <c r="J4311" s="6" t="s">
        <v>23531</v>
      </c>
      <c r="K4311" s="7">
        <f t="shared" si="2"/>
        <v>0.8099128029</v>
      </c>
    </row>
    <row r="4312">
      <c r="A4312" s="4">
        <v>4312.0</v>
      </c>
      <c r="B4312" s="5" t="s">
        <v>23532</v>
      </c>
      <c r="C4312" s="5" t="s">
        <v>23533</v>
      </c>
      <c r="D4312" s="5" t="s">
        <v>23534</v>
      </c>
      <c r="E4312" s="6" t="s">
        <v>11</v>
      </c>
      <c r="F4312" s="6" t="s">
        <v>23535</v>
      </c>
      <c r="G4312" s="3" t="str">
        <f>IFERROR(__xludf.DUMMYFUNCTION("REGEXREPLACE(
D4312,
""([一-龯々]+)\[([^\]]+)\]"",
""&lt;ruby&gt;$1&lt;rt&gt;$2&lt;/rt&gt;&lt;/ruby&gt;""
)&amp;""&lt;br&gt;&lt;div class=""""audio""""&gt;[sound:""&amp;C4312&amp;"".mp3]&lt;/div&gt;"""),"&lt;ruby&gt;上等&lt;rt&gt;じょうとう&lt;/rt&gt;&lt;/ruby&gt;&lt;br&gt;&lt;div class=""audio""&gt;[sound:じょうとう.mp3]&lt;/div&gt;")</f>
        <v>&lt;ruby&gt;上等&lt;rt&gt;じょうとう&lt;/rt&gt;&lt;/ruby&gt;&lt;br&gt;&lt;div class="audio"&gt;[sound:じょうとう.mp3]&lt;/div&gt;</v>
      </c>
      <c r="H4312" s="3" t="str">
        <f t="shared" si="1"/>
        <v>(adj): thượng hạng</v>
      </c>
      <c r="I4312" s="6" t="s">
        <v>23536</v>
      </c>
      <c r="J4312" s="6" t="s">
        <v>23537</v>
      </c>
      <c r="K4312" s="7">
        <f t="shared" si="2"/>
        <v>0.3147488453</v>
      </c>
    </row>
    <row r="4313">
      <c r="A4313" s="4">
        <v>4313.0</v>
      </c>
      <c r="B4313" s="5" t="s">
        <v>23538</v>
      </c>
      <c r="C4313" s="5" t="s">
        <v>23539</v>
      </c>
      <c r="D4313" s="5" t="s">
        <v>23540</v>
      </c>
      <c r="E4313" s="6" t="s">
        <v>74</v>
      </c>
      <c r="F4313" s="6" t="s">
        <v>23541</v>
      </c>
      <c r="G4313" s="3" t="str">
        <f>IFERROR(__xludf.DUMMYFUNCTION("REGEXREPLACE(
D4313,
""([一-龯々]+)\[([^\]]+)\]"",
""&lt;ruby&gt;$1&lt;rt&gt;$2&lt;/rt&gt;&lt;/ruby&gt;""
)&amp;""&lt;br&gt;&lt;div class=""""audio""""&gt;[sound:""&amp;C4313&amp;"".mp3]&lt;/div&gt;"""),"&lt;ruby&gt;抽象&lt;rt&gt;ちゅうしょう&lt;/rt&gt;&lt;/ruby&gt;&lt;br&gt;&lt;div class=""audio""&gt;[sound:ちゅうしょう.mp3]&lt;/div&gt;")</f>
        <v>&lt;ruby&gt;抽象&lt;rt&gt;ちゅうしょう&lt;/rt&gt;&lt;/ruby&gt;&lt;br&gt;&lt;div class="audio"&gt;[sound:ちゅうしょう.mp3]&lt;/div&gt;</v>
      </c>
      <c r="H4313" s="3" t="str">
        <f t="shared" si="1"/>
        <v>(n): trừu tượng</v>
      </c>
      <c r="I4313" s="6" t="s">
        <v>23542</v>
      </c>
      <c r="J4313" s="6" t="s">
        <v>23543</v>
      </c>
      <c r="K4313" s="7">
        <f t="shared" si="2"/>
        <v>0.9986539368</v>
      </c>
    </row>
    <row r="4314">
      <c r="A4314" s="4">
        <v>4314.0</v>
      </c>
      <c r="B4314" s="5" t="s">
        <v>23544</v>
      </c>
      <c r="C4314" s="5" t="s">
        <v>23545</v>
      </c>
      <c r="D4314" s="5" t="s">
        <v>23546</v>
      </c>
      <c r="E4314" s="6" t="s">
        <v>11</v>
      </c>
      <c r="F4314" s="6" t="s">
        <v>23547</v>
      </c>
      <c r="G4314" s="3" t="str">
        <f>IFERROR(__xludf.DUMMYFUNCTION("REGEXREPLACE(
D4314,
""([一-龯々]+)\[([^\]]+)\]"",
""&lt;ruby&gt;$1&lt;rt&gt;$2&lt;/rt&gt;&lt;/ruby&gt;""
)&amp;""&lt;br&gt;&lt;div class=""""audio""""&gt;[sound:""&amp;C4314&amp;"".mp3]&lt;/div&gt;"""),"&lt;ruby&gt;余計&lt;rt&gt;よけい&lt;/rt&gt;&lt;/ruby&gt;&lt;br&gt;&lt;div class=""audio""&gt;[sound:よけい.mp3]&lt;/div&gt;")</f>
        <v>&lt;ruby&gt;余計&lt;rt&gt;よけい&lt;/rt&gt;&lt;/ruby&gt;&lt;br&gt;&lt;div class="audio"&gt;[sound:よけい.mp3]&lt;/div&gt;</v>
      </c>
      <c r="H4314" s="3" t="str">
        <f t="shared" si="1"/>
        <v>(adj): thừa thãi</v>
      </c>
      <c r="I4314" s="6" t="s">
        <v>23548</v>
      </c>
      <c r="J4314" s="6" t="s">
        <v>23549</v>
      </c>
      <c r="K4314" s="7">
        <f t="shared" si="2"/>
        <v>0.05934322121</v>
      </c>
    </row>
    <row r="4315">
      <c r="A4315" s="4">
        <v>4315.0</v>
      </c>
      <c r="B4315" s="5" t="s">
        <v>23550</v>
      </c>
      <c r="C4315" s="5" t="s">
        <v>23551</v>
      </c>
      <c r="D4315" s="5" t="s">
        <v>23552</v>
      </c>
      <c r="E4315" s="6" t="s">
        <v>74</v>
      </c>
      <c r="F4315" s="6" t="s">
        <v>23553</v>
      </c>
      <c r="G4315" s="3" t="str">
        <f>IFERROR(__xludf.DUMMYFUNCTION("REGEXREPLACE(
D4315,
""([一-龯々]+)\[([^\]]+)\]"",
""&lt;ruby&gt;$1&lt;rt&gt;$2&lt;/rt&gt;&lt;/ruby&gt;""
)&amp;""&lt;br&gt;&lt;div class=""""audio""""&gt;[sound:""&amp;C4315&amp;"".mp3]&lt;/div&gt;"""),"&lt;ruby&gt;全身&lt;rt&gt;ぜんしん&lt;/rt&gt;&lt;/ruby&gt;&lt;br&gt;&lt;div class=""audio""&gt;[sound:ぜんしん.mp3]&lt;/div&gt;")</f>
        <v>&lt;ruby&gt;全身&lt;rt&gt;ぜんしん&lt;/rt&gt;&lt;/ruby&gt;&lt;br&gt;&lt;div class="audio"&gt;[sound:ぜんしん.mp3]&lt;/div&gt;</v>
      </c>
      <c r="H4315" s="3" t="str">
        <f t="shared" si="1"/>
        <v>(n): toàn thân</v>
      </c>
      <c r="I4315" s="6" t="s">
        <v>23554</v>
      </c>
      <c r="J4315" s="6" t="s">
        <v>23555</v>
      </c>
      <c r="K4315" s="7">
        <f t="shared" si="2"/>
        <v>0.9570433686</v>
      </c>
    </row>
    <row r="4316">
      <c r="A4316" s="4">
        <v>4316.0</v>
      </c>
      <c r="B4316" s="5" t="s">
        <v>23556</v>
      </c>
      <c r="C4316" s="5" t="s">
        <v>23557</v>
      </c>
      <c r="D4316" s="5" t="s">
        <v>23558</v>
      </c>
      <c r="E4316" s="6" t="s">
        <v>74</v>
      </c>
      <c r="F4316" s="6" t="s">
        <v>23559</v>
      </c>
      <c r="G4316" s="3" t="str">
        <f>IFERROR(__xludf.DUMMYFUNCTION("REGEXREPLACE(
D4316,
""([一-龯々]+)\[([^\]]+)\]"",
""&lt;ruby&gt;$1&lt;rt&gt;$2&lt;/rt&gt;&lt;/ruby&gt;""
)&amp;""&lt;br&gt;&lt;div class=""""audio""""&gt;[sound:""&amp;C4316&amp;"".mp3]&lt;/div&gt;"""),"&lt;ruby&gt;平野&lt;rt&gt;へいや&lt;/rt&gt;&lt;/ruby&gt;&lt;br&gt;&lt;div class=""audio""&gt;[sound:へいや.mp3]&lt;/div&gt;")</f>
        <v>&lt;ruby&gt;平野&lt;rt&gt;へいや&lt;/rt&gt;&lt;/ruby&gt;&lt;br&gt;&lt;div class="audio"&gt;[sound:へいや.mp3]&lt;/div&gt;</v>
      </c>
      <c r="H4316" s="3" t="str">
        <f t="shared" si="1"/>
        <v>(n): đồng bằng</v>
      </c>
      <c r="I4316" s="6" t="s">
        <v>23560</v>
      </c>
      <c r="J4316" s="6" t="s">
        <v>23561</v>
      </c>
      <c r="K4316" s="7">
        <f t="shared" si="2"/>
        <v>0.2943481522</v>
      </c>
    </row>
    <row r="4317">
      <c r="A4317" s="4">
        <v>4317.0</v>
      </c>
      <c r="B4317" s="5" t="s">
        <v>23562</v>
      </c>
      <c r="C4317" s="5" t="s">
        <v>23562</v>
      </c>
      <c r="D4317" s="5" t="s">
        <v>23562</v>
      </c>
      <c r="E4317" s="6" t="s">
        <v>85</v>
      </c>
      <c r="F4317" s="6" t="s">
        <v>10518</v>
      </c>
      <c r="G4317" s="3" t="str">
        <f>IFERROR(__xludf.DUMMYFUNCTION("REGEXREPLACE(
D4317,
""([一-龯々]+)\[([^\]]+)\]"",
""&lt;ruby&gt;$1&lt;rt&gt;$2&lt;/rt&gt;&lt;/ruby&gt;""
)&amp;""&lt;br&gt;&lt;div class=""""audio""""&gt;[sound:""&amp;C4317&amp;"".mp3]&lt;/div&gt;"""),"くれぐれも&lt;br&gt;&lt;div class=""audio""&gt;[sound:くれぐれも.mp3]&lt;/div&gt;")</f>
        <v>くれぐれも&lt;br&gt;&lt;div class="audio"&gt;[sound:くれぐれも.mp3]&lt;/div&gt;</v>
      </c>
      <c r="H4317" s="3" t="str">
        <f t="shared" si="1"/>
        <v>(adv): rất mong</v>
      </c>
      <c r="I4317" s="6" t="s">
        <v>23563</v>
      </c>
      <c r="J4317" s="6" t="s">
        <v>23564</v>
      </c>
      <c r="K4317" s="7">
        <f t="shared" si="2"/>
        <v>0.5020903812</v>
      </c>
    </row>
    <row r="4318">
      <c r="A4318" s="4">
        <v>4318.0</v>
      </c>
      <c r="B4318" s="5" t="s">
        <v>23565</v>
      </c>
      <c r="C4318" s="5" t="s">
        <v>23566</v>
      </c>
      <c r="D4318" s="5" t="s">
        <v>23567</v>
      </c>
      <c r="E4318" s="6" t="s">
        <v>74</v>
      </c>
      <c r="F4318" s="6" t="s">
        <v>23568</v>
      </c>
      <c r="G4318" s="3" t="str">
        <f>IFERROR(__xludf.DUMMYFUNCTION("REGEXREPLACE(
D4318,
""([一-龯々]+)\[([^\]]+)\]"",
""&lt;ruby&gt;$1&lt;rt&gt;$2&lt;/rt&gt;&lt;/ruby&gt;""
)&amp;""&lt;br&gt;&lt;div class=""""audio""""&gt;[sound:""&amp;C4318&amp;"".mp3]&lt;/div&gt;"""),"&lt;ruby&gt;動作&lt;rt&gt;どうさ&lt;/rt&gt;&lt;/ruby&gt;&lt;br&gt;&lt;div class=""audio""&gt;[sound:どうさ.mp3]&lt;/div&gt;")</f>
        <v>&lt;ruby&gt;動作&lt;rt&gt;どうさ&lt;/rt&gt;&lt;/ruby&gt;&lt;br&gt;&lt;div class="audio"&gt;[sound:どうさ.mp3]&lt;/div&gt;</v>
      </c>
      <c r="H4318" s="3" t="str">
        <f t="shared" si="1"/>
        <v>(n): động tác</v>
      </c>
      <c r="I4318" s="6" t="s">
        <v>23569</v>
      </c>
      <c r="J4318" s="6" t="s">
        <v>23570</v>
      </c>
      <c r="K4318" s="7">
        <f t="shared" si="2"/>
        <v>0.3395965358</v>
      </c>
    </row>
    <row r="4319">
      <c r="A4319" s="4">
        <v>4319.0</v>
      </c>
      <c r="B4319" s="5" t="s">
        <v>23571</v>
      </c>
      <c r="C4319" s="5" t="s">
        <v>23572</v>
      </c>
      <c r="D4319" s="5" t="s">
        <v>23573</v>
      </c>
      <c r="E4319" s="6" t="s">
        <v>74</v>
      </c>
      <c r="F4319" s="6" t="s">
        <v>23574</v>
      </c>
      <c r="G4319" s="3" t="str">
        <f>IFERROR(__xludf.DUMMYFUNCTION("REGEXREPLACE(
D4319,
""([一-龯々]+)\[([^\]]+)\]"",
""&lt;ruby&gt;$1&lt;rt&gt;$2&lt;/rt&gt;&lt;/ruby&gt;""
)&amp;""&lt;br&gt;&lt;div class=""""audio""""&gt;[sound:""&amp;C4319&amp;"".mp3]&lt;/div&gt;"""),"&lt;ruby&gt;地名&lt;rt&gt;ちめい&lt;/rt&gt;&lt;/ruby&gt;&lt;br&gt;&lt;div class=""audio""&gt;[sound:ちめい.mp3]&lt;/div&gt;")</f>
        <v>&lt;ruby&gt;地名&lt;rt&gt;ちめい&lt;/rt&gt;&lt;/ruby&gt;&lt;br&gt;&lt;div class="audio"&gt;[sound:ちめい.mp3]&lt;/div&gt;</v>
      </c>
      <c r="H4319" s="3" t="str">
        <f t="shared" si="1"/>
        <v>(n): địa danh</v>
      </c>
      <c r="I4319" s="6" t="s">
        <v>23575</v>
      </c>
      <c r="J4319" s="6" t="s">
        <v>23576</v>
      </c>
      <c r="K4319" s="7">
        <f t="shared" si="2"/>
        <v>0.4547813638</v>
      </c>
    </row>
    <row r="4320">
      <c r="A4320" s="4">
        <v>4320.0</v>
      </c>
      <c r="B4320" s="5" t="s">
        <v>23577</v>
      </c>
      <c r="C4320" s="5" t="s">
        <v>23578</v>
      </c>
      <c r="D4320" s="5" t="s">
        <v>23579</v>
      </c>
      <c r="E4320" s="6" t="s">
        <v>74</v>
      </c>
      <c r="F4320" s="6" t="s">
        <v>3585</v>
      </c>
      <c r="G4320" s="3" t="str">
        <f>IFERROR(__xludf.DUMMYFUNCTION("REGEXREPLACE(
D4320,
""([一-龯々]+)\[([^\]]+)\]"",
""&lt;ruby&gt;$1&lt;rt&gt;$2&lt;/rt&gt;&lt;/ruby&gt;""
)&amp;""&lt;br&gt;&lt;div class=""""audio""""&gt;[sound:""&amp;C4320&amp;"".mp3]&lt;/div&gt;"""),"&lt;ruby&gt;臨時&lt;rt&gt;りんじ&lt;/rt&gt;&lt;/ruby&gt;&lt;br&gt;&lt;div class=""audio""&gt;[sound:りんじ.mp3]&lt;/div&gt;")</f>
        <v>&lt;ruby&gt;臨時&lt;rt&gt;りんじ&lt;/rt&gt;&lt;/ruby&gt;&lt;br&gt;&lt;div class="audio"&gt;[sound:りんじ.mp3]&lt;/div&gt;</v>
      </c>
      <c r="H4320" s="3" t="str">
        <f t="shared" si="1"/>
        <v>(n): tạm thời</v>
      </c>
      <c r="I4320" s="6" t="s">
        <v>23580</v>
      </c>
      <c r="J4320" s="6" t="s">
        <v>23581</v>
      </c>
      <c r="K4320" s="7">
        <f t="shared" si="2"/>
        <v>0.8158576</v>
      </c>
    </row>
    <row r="4321">
      <c r="A4321" s="4">
        <v>4321.0</v>
      </c>
      <c r="B4321" s="5" t="s">
        <v>23582</v>
      </c>
      <c r="C4321" s="5" t="s">
        <v>23583</v>
      </c>
      <c r="D4321" s="5" t="s">
        <v>23584</v>
      </c>
      <c r="E4321" s="6" t="s">
        <v>24</v>
      </c>
      <c r="F4321" s="6" t="s">
        <v>17979</v>
      </c>
      <c r="G4321" s="3" t="str">
        <f>IFERROR(__xludf.DUMMYFUNCTION("REGEXREPLACE(
D4321,
""([一-龯々]+)\[([^\]]+)\]"",
""&lt;ruby&gt;$1&lt;rt&gt;$2&lt;/rt&gt;&lt;/ruby&gt;""
)&amp;""&lt;br&gt;&lt;div class=""""audio""""&gt;[sound:""&amp;C4321&amp;"".mp3]&lt;/div&gt;"""),"&lt;ruby&gt;見舞&lt;rt&gt;みま&lt;/rt&gt;&lt;/ruby&gt;う&lt;br&gt;&lt;div class=""audio""&gt;[sound:みまう.mp3]&lt;/div&gt;")</f>
        <v>&lt;ruby&gt;見舞&lt;rt&gt;みま&lt;/rt&gt;&lt;/ruby&gt;う&lt;br&gt;&lt;div class="audio"&gt;[sound:みまう.mp3]&lt;/div&gt;</v>
      </c>
      <c r="H4321" s="3" t="str">
        <f t="shared" si="1"/>
        <v>(v): gặp phải</v>
      </c>
      <c r="I4321" s="6" t="s">
        <v>23585</v>
      </c>
      <c r="J4321" s="6" t="s">
        <v>23586</v>
      </c>
      <c r="K4321" s="7">
        <f t="shared" si="2"/>
        <v>0.5316768827</v>
      </c>
    </row>
    <row r="4322">
      <c r="A4322" s="4">
        <v>4322.0</v>
      </c>
      <c r="B4322" s="5" t="s">
        <v>23587</v>
      </c>
      <c r="C4322" s="5" t="s">
        <v>23588</v>
      </c>
      <c r="D4322" s="5" t="s">
        <v>23589</v>
      </c>
      <c r="E4322" s="6" t="s">
        <v>74</v>
      </c>
      <c r="F4322" s="6" t="s">
        <v>23590</v>
      </c>
      <c r="G4322" s="3" t="str">
        <f>IFERROR(__xludf.DUMMYFUNCTION("REGEXREPLACE(
D4322,
""([一-龯々]+)\[([^\]]+)\]"",
""&lt;ruby&gt;$1&lt;rt&gt;$2&lt;/rt&gt;&lt;/ruby&gt;""
)&amp;""&lt;br&gt;&lt;div class=""""audio""""&gt;[sound:""&amp;C4322&amp;"".mp3]&lt;/div&gt;"""),"&lt;ruby&gt;見送&lt;rt&gt;みおく&lt;/rt&gt;&lt;/ruby&gt;り&lt;br&gt;&lt;div class=""audio""&gt;[sound:みおくり.mp3]&lt;/div&gt;")</f>
        <v>&lt;ruby&gt;見送&lt;rt&gt;みおく&lt;/rt&gt;&lt;/ruby&gt;り&lt;br&gt;&lt;div class="audio"&gt;[sound:みおくり.mp3]&lt;/div&gt;</v>
      </c>
      <c r="H4322" s="3" t="str">
        <f t="shared" si="1"/>
        <v>(n): tiễn đưa</v>
      </c>
      <c r="I4322" s="6" t="s">
        <v>23591</v>
      </c>
      <c r="J4322" s="6" t="s">
        <v>23592</v>
      </c>
      <c r="K4322" s="7">
        <f t="shared" si="2"/>
        <v>0.2647916183</v>
      </c>
    </row>
    <row r="4323">
      <c r="A4323" s="4">
        <v>4323.0</v>
      </c>
      <c r="B4323" s="5" t="s">
        <v>23593</v>
      </c>
      <c r="C4323" s="5" t="s">
        <v>23594</v>
      </c>
      <c r="D4323" s="5" t="s">
        <v>23595</v>
      </c>
      <c r="E4323" s="6" t="s">
        <v>24</v>
      </c>
      <c r="F4323" s="6" t="s">
        <v>23596</v>
      </c>
      <c r="G4323" s="3" t="str">
        <f>IFERROR(__xludf.DUMMYFUNCTION("REGEXREPLACE(
D4323,
""([一-龯々]+)\[([^\]]+)\]"",
""&lt;ruby&gt;$1&lt;rt&gt;$2&lt;/rt&gt;&lt;/ruby&gt;""
)&amp;""&lt;br&gt;&lt;div class=""""audio""""&gt;[sound:""&amp;C4323&amp;"".mp3]&lt;/div&gt;"""),"&lt;ruby&gt;引&lt;rt&gt;ひ&lt;/rt&gt;&lt;/ruby&gt;き&lt;ruby&gt;止&lt;rt&gt;と&lt;/rt&gt;&lt;/ruby&gt;める&lt;br&gt;&lt;div class=""audio""&gt;[sound:ひきとめる.mp3]&lt;/div&gt;")</f>
        <v>&lt;ruby&gt;引&lt;rt&gt;ひ&lt;/rt&gt;&lt;/ruby&gt;き&lt;ruby&gt;止&lt;rt&gt;と&lt;/rt&gt;&lt;/ruby&gt;める&lt;br&gt;&lt;div class="audio"&gt;[sound:ひきとめる.mp3]&lt;/div&gt;</v>
      </c>
      <c r="H4323" s="3" t="str">
        <f t="shared" si="1"/>
        <v>(v): giữ lại</v>
      </c>
      <c r="I4323" s="6" t="s">
        <v>23597</v>
      </c>
      <c r="J4323" s="6" t="s">
        <v>23598</v>
      </c>
      <c r="K4323" s="7">
        <f t="shared" si="2"/>
        <v>0.4598001048</v>
      </c>
    </row>
    <row r="4324">
      <c r="A4324" s="4">
        <v>4324.0</v>
      </c>
      <c r="B4324" s="5" t="s">
        <v>23599</v>
      </c>
      <c r="C4324" s="5" t="s">
        <v>23600</v>
      </c>
      <c r="D4324" s="5" t="s">
        <v>23601</v>
      </c>
      <c r="E4324" s="6" t="s">
        <v>33</v>
      </c>
      <c r="F4324" s="6" t="s">
        <v>23602</v>
      </c>
      <c r="G4324" s="3" t="str">
        <f>IFERROR(__xludf.DUMMYFUNCTION("REGEXREPLACE(
D4324,
""([一-龯々]+)\[([^\]]+)\]"",
""&lt;ruby&gt;$1&lt;rt&gt;$2&lt;/rt&gt;&lt;/ruby&gt;""
)&amp;""&lt;br&gt;&lt;div class=""""audio""""&gt;[sound:""&amp;C4324&amp;"".mp3]&lt;/div&gt;"""),"&lt;ruby&gt;乾杯&lt;rt&gt;かんぱい&lt;/rt&gt;&lt;/ruby&gt;&lt;br&gt;&lt;div class=""audio""&gt;[sound:かんぱい.mp3]&lt;/div&gt;")</f>
        <v>&lt;ruby&gt;乾杯&lt;rt&gt;かんぱい&lt;/rt&gt;&lt;/ruby&gt;&lt;br&gt;&lt;div class="audio"&gt;[sound:かんぱい.mp3]&lt;/div&gt;</v>
      </c>
      <c r="H4324" s="3" t="str">
        <f t="shared" si="1"/>
        <v>(int): cạn ly</v>
      </c>
      <c r="I4324" s="6" t="s">
        <v>23603</v>
      </c>
      <c r="J4324" s="6" t="s">
        <v>23604</v>
      </c>
      <c r="K4324" s="7">
        <f t="shared" si="2"/>
        <v>0.5591087729</v>
      </c>
    </row>
    <row r="4325">
      <c r="A4325" s="4">
        <v>4325.0</v>
      </c>
      <c r="B4325" s="5" t="s">
        <v>23605</v>
      </c>
      <c r="C4325" s="5" t="s">
        <v>3737</v>
      </c>
      <c r="D4325" s="5" t="s">
        <v>23606</v>
      </c>
      <c r="E4325" s="6" t="s">
        <v>74</v>
      </c>
      <c r="F4325" s="6" t="s">
        <v>3806</v>
      </c>
      <c r="G4325" s="3" t="str">
        <f>IFERROR(__xludf.DUMMYFUNCTION("REGEXREPLACE(
D4325,
""([一-龯々]+)\[([^\]]+)\]"",
""&lt;ruby&gt;$1&lt;rt&gt;$2&lt;/rt&gt;&lt;/ruby&gt;""
)&amp;""&lt;br&gt;&lt;div class=""""audio""""&gt;[sound:""&amp;C4325&amp;"".mp3]&lt;/div&gt;"""),"&lt;ruby&gt;隊&lt;rt&gt;たい&lt;/rt&gt;&lt;/ruby&gt;&lt;br&gt;&lt;div class=""audio""&gt;[sound:たい.mp3]&lt;/div&gt;")</f>
        <v>&lt;ruby&gt;隊&lt;rt&gt;たい&lt;/rt&gt;&lt;/ruby&gt;&lt;br&gt;&lt;div class="audio"&gt;[sound:たい.mp3]&lt;/div&gt;</v>
      </c>
      <c r="H4325" s="3" t="str">
        <f t="shared" si="1"/>
        <v>(n): đội</v>
      </c>
      <c r="I4325" s="6" t="s">
        <v>23607</v>
      </c>
      <c r="J4325" s="6" t="s">
        <v>23608</v>
      </c>
      <c r="K4325" s="7">
        <f t="shared" si="2"/>
        <v>0.4542622475</v>
      </c>
    </row>
    <row r="4326">
      <c r="A4326" s="4">
        <v>4326.0</v>
      </c>
      <c r="B4326" s="5" t="s">
        <v>23609</v>
      </c>
      <c r="C4326" s="5" t="s">
        <v>23610</v>
      </c>
      <c r="D4326" s="5" t="s">
        <v>23611</v>
      </c>
      <c r="E4326" s="6" t="s">
        <v>74</v>
      </c>
      <c r="F4326" s="6" t="s">
        <v>23612</v>
      </c>
      <c r="G4326" s="3" t="str">
        <f>IFERROR(__xludf.DUMMYFUNCTION("REGEXREPLACE(
D4326,
""([一-龯々]+)\[([^\]]+)\]"",
""&lt;ruby&gt;$1&lt;rt&gt;$2&lt;/rt&gt;&lt;/ruby&gt;""
)&amp;""&lt;br&gt;&lt;div class=""""audio""""&gt;[sound:""&amp;C4326&amp;"".mp3]&lt;/div&gt;"""),"&lt;ruby&gt;一休&lt;rt&gt;ひとやす&lt;/rt&gt;&lt;/ruby&gt;み&lt;br&gt;&lt;div class=""audio""&gt;[sound:ひとやすみ.mp3]&lt;/div&gt;")</f>
        <v>&lt;ruby&gt;一休&lt;rt&gt;ひとやす&lt;/rt&gt;&lt;/ruby&gt;み&lt;br&gt;&lt;div class="audio"&gt;[sound:ひとやすみ.mp3]&lt;/div&gt;</v>
      </c>
      <c r="H4326" s="3" t="str">
        <f t="shared" si="1"/>
        <v>(n): nghỉ một lát</v>
      </c>
      <c r="I4326" s="6" t="s">
        <v>23613</v>
      </c>
      <c r="J4326" s="6" t="s">
        <v>23614</v>
      </c>
      <c r="K4326" s="7">
        <f t="shared" si="2"/>
        <v>0.2253049591</v>
      </c>
    </row>
    <row r="4327">
      <c r="A4327" s="4">
        <v>4327.0</v>
      </c>
      <c r="B4327" s="5" t="s">
        <v>23615</v>
      </c>
      <c r="C4327" s="5" t="s">
        <v>23616</v>
      </c>
      <c r="D4327" s="5" t="s">
        <v>23617</v>
      </c>
      <c r="E4327" s="6" t="s">
        <v>74</v>
      </c>
      <c r="F4327" s="6" t="s">
        <v>23618</v>
      </c>
      <c r="G4327" s="3" t="str">
        <f>IFERROR(__xludf.DUMMYFUNCTION("REGEXREPLACE(
D4327,
""([一-龯々]+)\[([^\]]+)\]"",
""&lt;ruby&gt;$1&lt;rt&gt;$2&lt;/rt&gt;&lt;/ruby&gt;""
)&amp;""&lt;br&gt;&lt;div class=""""audio""""&gt;[sound:""&amp;C4327&amp;"".mp3]&lt;/div&gt;"""),"&lt;ruby&gt;交番&lt;rt&gt;こうばん&lt;/rt&gt;&lt;/ruby&gt;&lt;br&gt;&lt;div class=""audio""&gt;[sound:こうばん.mp3]&lt;/div&gt;")</f>
        <v>&lt;ruby&gt;交番&lt;rt&gt;こうばん&lt;/rt&gt;&lt;/ruby&gt;&lt;br&gt;&lt;div class="audio"&gt;[sound:こうばん.mp3]&lt;/div&gt;</v>
      </c>
      <c r="H4327" s="3" t="str">
        <f t="shared" si="1"/>
        <v>(n): đồn cảnh sát</v>
      </c>
      <c r="I4327" s="6" t="s">
        <v>23619</v>
      </c>
      <c r="J4327" s="6" t="s">
        <v>23620</v>
      </c>
      <c r="K4327" s="7">
        <f t="shared" si="2"/>
        <v>0.6823117639</v>
      </c>
    </row>
    <row r="4328">
      <c r="A4328" s="4">
        <v>4328.0</v>
      </c>
      <c r="B4328" s="5" t="s">
        <v>23621</v>
      </c>
      <c r="C4328" s="5" t="s">
        <v>23622</v>
      </c>
      <c r="D4328" s="5" t="s">
        <v>23623</v>
      </c>
      <c r="E4328" s="6" t="s">
        <v>74</v>
      </c>
      <c r="F4328" s="6" t="s">
        <v>23624</v>
      </c>
      <c r="G4328" s="3" t="str">
        <f>IFERROR(__xludf.DUMMYFUNCTION("REGEXREPLACE(
D4328,
""([一-龯々]+)\[([^\]]+)\]"",
""&lt;ruby&gt;$1&lt;rt&gt;$2&lt;/rt&gt;&lt;/ruby&gt;""
)&amp;""&lt;br&gt;&lt;div class=""""audio""""&gt;[sound:""&amp;C4328&amp;"".mp3]&lt;/div&gt;"""),"&lt;ruby&gt;育児&lt;rt&gt;いくじ&lt;/rt&gt;&lt;/ruby&gt;&lt;br&gt;&lt;div class=""audio""&gt;[sound:いくじ.mp3]&lt;/div&gt;")</f>
        <v>&lt;ruby&gt;育児&lt;rt&gt;いくじ&lt;/rt&gt;&lt;/ruby&gt;&lt;br&gt;&lt;div class="audio"&gt;[sound:いくじ.mp3]&lt;/div&gt;</v>
      </c>
      <c r="H4328" s="3" t="str">
        <f t="shared" si="1"/>
        <v>(n): chăm sóc trẻ</v>
      </c>
      <c r="I4328" s="6" t="s">
        <v>23625</v>
      </c>
      <c r="J4328" s="6" t="s">
        <v>23626</v>
      </c>
      <c r="K4328" s="7">
        <f t="shared" si="2"/>
        <v>0.3049066221</v>
      </c>
    </row>
    <row r="4329">
      <c r="A4329" s="4">
        <v>4329.0</v>
      </c>
      <c r="B4329" s="5" t="s">
        <v>23627</v>
      </c>
      <c r="C4329" s="5" t="s">
        <v>23628</v>
      </c>
      <c r="D4329" s="5" t="s">
        <v>23629</v>
      </c>
      <c r="E4329" s="6" t="s">
        <v>74</v>
      </c>
      <c r="F4329" s="6" t="s">
        <v>23630</v>
      </c>
      <c r="G4329" s="3" t="str">
        <f>IFERROR(__xludf.DUMMYFUNCTION("REGEXREPLACE(
D4329,
""([一-龯々]+)\[([^\]]+)\]"",
""&lt;ruby&gt;$1&lt;rt&gt;$2&lt;/rt&gt;&lt;/ruby&gt;""
)&amp;""&lt;br&gt;&lt;div class=""""audio""""&gt;[sound:""&amp;C4329&amp;"".mp3]&lt;/div&gt;"""),"&lt;ruby&gt;中旬&lt;rt&gt;ちゅうじゅん&lt;/rt&gt;&lt;/ruby&gt;&lt;br&gt;&lt;div class=""audio""&gt;[sound:ちゅうじゅん.mp3]&lt;/div&gt;")</f>
        <v>&lt;ruby&gt;中旬&lt;rt&gt;ちゅうじゅん&lt;/rt&gt;&lt;/ruby&gt;&lt;br&gt;&lt;div class="audio"&gt;[sound:ちゅうじゅん.mp3]&lt;/div&gt;</v>
      </c>
      <c r="H4329" s="3" t="str">
        <f t="shared" si="1"/>
        <v>(n): trung tuần</v>
      </c>
      <c r="I4329" s="6" t="s">
        <v>23631</v>
      </c>
      <c r="J4329" s="6" t="s">
        <v>23632</v>
      </c>
      <c r="K4329" s="7">
        <f t="shared" si="2"/>
        <v>0.3225295466</v>
      </c>
    </row>
    <row r="4330">
      <c r="A4330" s="4">
        <v>4330.0</v>
      </c>
      <c r="B4330" s="5" t="s">
        <v>23633</v>
      </c>
      <c r="C4330" s="5" t="s">
        <v>23634</v>
      </c>
      <c r="D4330" s="5" t="s">
        <v>23635</v>
      </c>
      <c r="E4330" s="6" t="s">
        <v>24</v>
      </c>
      <c r="F4330" s="6" t="s">
        <v>8216</v>
      </c>
      <c r="G4330" s="3" t="str">
        <f>IFERROR(__xludf.DUMMYFUNCTION("REGEXREPLACE(
D4330,
""([一-龯々]+)\[([^\]]+)\]"",
""&lt;ruby&gt;$1&lt;rt&gt;$2&lt;/rt&gt;&lt;/ruby&gt;""
)&amp;""&lt;br&gt;&lt;div class=""""audio""""&gt;[sound:""&amp;C4330&amp;"".mp3]&lt;/div&gt;"""),"&lt;ruby&gt;拝&lt;rt&gt;おが&lt;/rt&gt;&lt;/ruby&gt;む&lt;br&gt;&lt;div class=""audio""&gt;[sound:おがむ.mp3]&lt;/div&gt;")</f>
        <v>&lt;ruby&gt;拝&lt;rt&gt;おが&lt;/rt&gt;&lt;/ruby&gt;む&lt;br&gt;&lt;div class="audio"&gt;[sound:おがむ.mp3]&lt;/div&gt;</v>
      </c>
      <c r="H4330" s="3" t="str">
        <f t="shared" si="1"/>
        <v>(v): cầu nguyện</v>
      </c>
      <c r="I4330" s="6" t="s">
        <v>23636</v>
      </c>
      <c r="J4330" s="6" t="s">
        <v>23637</v>
      </c>
      <c r="K4330" s="7">
        <f t="shared" si="2"/>
        <v>0.4982786064</v>
      </c>
    </row>
    <row r="4331">
      <c r="A4331" s="4">
        <v>4331.0</v>
      </c>
      <c r="B4331" s="5" t="s">
        <v>23638</v>
      </c>
      <c r="C4331" s="5" t="s">
        <v>11422</v>
      </c>
      <c r="D4331" s="5" t="s">
        <v>23639</v>
      </c>
      <c r="E4331" s="6" t="s">
        <v>24</v>
      </c>
      <c r="F4331" s="6" t="s">
        <v>3812</v>
      </c>
      <c r="G4331" s="3" t="str">
        <f>IFERROR(__xludf.DUMMYFUNCTION("REGEXREPLACE(
D4331,
""([一-龯々]+)\[([^\]]+)\]"",
""&lt;ruby&gt;$1&lt;rt&gt;$2&lt;/rt&gt;&lt;/ruby&gt;""
)&amp;""&lt;br&gt;&lt;div class=""""audio""""&gt;[sound:""&amp;C4331&amp;"".mp3]&lt;/div&gt;"""),"&lt;ruby&gt;説&lt;rt&gt;と&lt;/rt&gt;&lt;/ruby&gt;く&lt;br&gt;&lt;div class=""audio""&gt;[sound:とく.mp3]&lt;/div&gt;")</f>
        <v>&lt;ruby&gt;説&lt;rt&gt;と&lt;/rt&gt;&lt;/ruby&gt;く&lt;br&gt;&lt;div class="audio"&gt;[sound:とく.mp3]&lt;/div&gt;</v>
      </c>
      <c r="H4331" s="3" t="str">
        <f t="shared" si="1"/>
        <v>(v): giải thích</v>
      </c>
      <c r="I4331" s="6" t="s">
        <v>23640</v>
      </c>
      <c r="J4331" s="6" t="s">
        <v>23641</v>
      </c>
      <c r="K4331" s="7">
        <f t="shared" si="2"/>
        <v>0.6232906629</v>
      </c>
    </row>
    <row r="4332">
      <c r="A4332" s="4">
        <v>4332.0</v>
      </c>
      <c r="B4332" s="5" t="s">
        <v>23642</v>
      </c>
      <c r="C4332" s="5" t="s">
        <v>23643</v>
      </c>
      <c r="D4332" s="5" t="s">
        <v>23644</v>
      </c>
      <c r="E4332" s="6" t="s">
        <v>74</v>
      </c>
      <c r="F4332" s="6" t="s">
        <v>23645</v>
      </c>
      <c r="G4332" s="3" t="str">
        <f>IFERROR(__xludf.DUMMYFUNCTION("REGEXREPLACE(
D4332,
""([一-龯々]+)\[([^\]]+)\]"",
""&lt;ruby&gt;$1&lt;rt&gt;$2&lt;/rt&gt;&lt;/ruby&gt;""
)&amp;""&lt;br&gt;&lt;div class=""""audio""""&gt;[sound:""&amp;C4332&amp;"".mp3]&lt;/div&gt;"""),"&lt;ruby&gt;分解&lt;rt&gt;ぶんかい&lt;/rt&gt;&lt;/ruby&gt;&lt;br&gt;&lt;div class=""audio""&gt;[sound:ぶんかい.mp3]&lt;/div&gt;")</f>
        <v>&lt;ruby&gt;分解&lt;rt&gt;ぶんかい&lt;/rt&gt;&lt;/ruby&gt;&lt;br&gt;&lt;div class="audio"&gt;[sound:ぶんかい.mp3]&lt;/div&gt;</v>
      </c>
      <c r="H4332" s="3" t="str">
        <f t="shared" si="1"/>
        <v>(n): tháo rời</v>
      </c>
      <c r="I4332" s="6" t="s">
        <v>23646</v>
      </c>
      <c r="J4332" s="6" t="s">
        <v>23647</v>
      </c>
      <c r="K4332" s="7">
        <f t="shared" si="2"/>
        <v>0.07261696762</v>
      </c>
    </row>
    <row r="4333">
      <c r="A4333" s="4">
        <v>4333.0</v>
      </c>
      <c r="B4333" s="5" t="s">
        <v>23648</v>
      </c>
      <c r="C4333" s="5" t="s">
        <v>23649</v>
      </c>
      <c r="D4333" s="5" t="s">
        <v>23650</v>
      </c>
      <c r="E4333" s="6" t="s">
        <v>74</v>
      </c>
      <c r="F4333" s="6" t="s">
        <v>23651</v>
      </c>
      <c r="G4333" s="3" t="str">
        <f>IFERROR(__xludf.DUMMYFUNCTION("REGEXREPLACE(
D4333,
""([一-龯々]+)\[([^\]]+)\]"",
""&lt;ruby&gt;$1&lt;rt&gt;$2&lt;/rt&gt;&lt;/ruby&gt;""
)&amp;""&lt;br&gt;&lt;div class=""""audio""""&gt;[sound:""&amp;C4333&amp;"".mp3]&lt;/div&gt;"""),"&lt;ruby&gt;好&lt;rt&gt;す&lt;/rt&gt;&lt;/ruby&gt;き&lt;ruby&gt;嫌&lt;rt&gt;きら&lt;/rt&gt;&lt;/ruby&gt;い&lt;br&gt;&lt;div class=""audio""&gt;[sound:すききらい.mp3]&lt;/div&gt;")</f>
        <v>&lt;ruby&gt;好&lt;rt&gt;す&lt;/rt&gt;&lt;/ruby&gt;き&lt;ruby&gt;嫌&lt;rt&gt;きら&lt;/rt&gt;&lt;/ruby&gt;い&lt;br&gt;&lt;div class="audio"&gt;[sound:すききらい.mp3]&lt;/div&gt;</v>
      </c>
      <c r="H4333" s="3" t="str">
        <f t="shared" si="1"/>
        <v>(n): kén chọn</v>
      </c>
      <c r="I4333" s="6" t="s">
        <v>23652</v>
      </c>
      <c r="J4333" s="6" t="s">
        <v>23653</v>
      </c>
      <c r="K4333" s="7">
        <f t="shared" si="2"/>
        <v>0.9830712319</v>
      </c>
    </row>
    <row r="4334">
      <c r="A4334" s="4">
        <v>4334.0</v>
      </c>
      <c r="B4334" s="5" t="s">
        <v>23654</v>
      </c>
      <c r="C4334" s="5" t="s">
        <v>23655</v>
      </c>
      <c r="D4334" s="5" t="s">
        <v>23656</v>
      </c>
      <c r="E4334" s="6" t="s">
        <v>74</v>
      </c>
      <c r="F4334" s="6" t="s">
        <v>23657</v>
      </c>
      <c r="G4334" s="3" t="str">
        <f>IFERROR(__xludf.DUMMYFUNCTION("REGEXREPLACE(
D4334,
""([一-龯々]+)\[([^\]]+)\]"",
""&lt;ruby&gt;$1&lt;rt&gt;$2&lt;/rt&gt;&lt;/ruby&gt;""
)&amp;""&lt;br&gt;&lt;div class=""""audio""""&gt;[sound:""&amp;C4334&amp;"".mp3]&lt;/div&gt;"""),"&lt;ruby&gt;文句&lt;rt&gt;もんく&lt;/rt&gt;&lt;/ruby&gt;&lt;br&gt;&lt;div class=""audio""&gt;[sound:もんく.mp3]&lt;/div&gt;")</f>
        <v>&lt;ruby&gt;文句&lt;rt&gt;もんく&lt;/rt&gt;&lt;/ruby&gt;&lt;br&gt;&lt;div class="audio"&gt;[sound:もんく.mp3]&lt;/div&gt;</v>
      </c>
      <c r="H4334" s="3" t="str">
        <f t="shared" si="1"/>
        <v>(n): phàn nàn</v>
      </c>
      <c r="I4334" s="6" t="s">
        <v>23658</v>
      </c>
      <c r="J4334" s="6" t="s">
        <v>23659</v>
      </c>
      <c r="K4334" s="7">
        <f t="shared" si="2"/>
        <v>0.2057704647</v>
      </c>
    </row>
    <row r="4335">
      <c r="A4335" s="4">
        <v>4335.0</v>
      </c>
      <c r="B4335" s="5" t="s">
        <v>23660</v>
      </c>
      <c r="C4335" s="5" t="s">
        <v>23661</v>
      </c>
      <c r="D4335" s="5" t="s">
        <v>23662</v>
      </c>
      <c r="E4335" s="6" t="s">
        <v>24</v>
      </c>
      <c r="F4335" s="6" t="s">
        <v>23663</v>
      </c>
      <c r="G4335" s="3" t="str">
        <f>IFERROR(__xludf.DUMMYFUNCTION("REGEXREPLACE(
D4335,
""([一-龯々]+)\[([^\]]+)\]"",
""&lt;ruby&gt;$1&lt;rt&gt;$2&lt;/rt&gt;&lt;/ruby&gt;""
)&amp;""&lt;br&gt;&lt;div class=""""audio""""&gt;[sound:""&amp;C4335&amp;"".mp3]&lt;/div&gt;"""),"&lt;ruby&gt;流行&lt;rt&gt;はや&lt;/rt&gt;&lt;/ruby&gt;る&lt;br&gt;&lt;div class=""audio""&gt;[sound:はやる.mp3]&lt;/div&gt;")</f>
        <v>&lt;ruby&gt;流行&lt;rt&gt;はや&lt;/rt&gt;&lt;/ruby&gt;る&lt;br&gt;&lt;div class="audio"&gt;[sound:はやる.mp3]&lt;/div&gt;</v>
      </c>
      <c r="H4335" s="3" t="str">
        <f t="shared" si="1"/>
        <v>(v): lưu hành</v>
      </c>
      <c r="I4335" s="6" t="s">
        <v>23664</v>
      </c>
      <c r="J4335" s="6" t="s">
        <v>23665</v>
      </c>
      <c r="K4335" s="7">
        <f t="shared" si="2"/>
        <v>0.4825158594</v>
      </c>
    </row>
    <row r="4336">
      <c r="A4336" s="4">
        <v>4336.0</v>
      </c>
      <c r="B4336" s="5" t="s">
        <v>23666</v>
      </c>
      <c r="C4336" s="5" t="s">
        <v>23667</v>
      </c>
      <c r="D4336" s="5" t="s">
        <v>23668</v>
      </c>
      <c r="E4336" s="6" t="s">
        <v>24</v>
      </c>
      <c r="F4336" s="6" t="s">
        <v>23669</v>
      </c>
      <c r="G4336" s="3" t="str">
        <f>IFERROR(__xludf.DUMMYFUNCTION("REGEXREPLACE(
D4336,
""([一-龯々]+)\[([^\]]+)\]"",
""&lt;ruby&gt;$1&lt;rt&gt;$2&lt;/rt&gt;&lt;/ruby&gt;""
)&amp;""&lt;br&gt;&lt;div class=""""audio""""&gt;[sound:""&amp;C4336&amp;"".mp3]&lt;/div&gt;"""),"&lt;ruby&gt;疑&lt;rt&gt;うたが&lt;/rt&gt;&lt;/ruby&gt;う&lt;br&gt;&lt;div class=""audio""&gt;[sound:うたがう.mp3]&lt;/div&gt;")</f>
        <v>&lt;ruby&gt;疑&lt;rt&gt;うたが&lt;/rt&gt;&lt;/ruby&gt;う&lt;br&gt;&lt;div class="audio"&gt;[sound:うたがう.mp3]&lt;/div&gt;</v>
      </c>
      <c r="H4336" s="3" t="str">
        <f t="shared" si="1"/>
        <v>(v): nghi ngờ</v>
      </c>
      <c r="I4336" s="6" t="s">
        <v>23670</v>
      </c>
      <c r="J4336" s="6" t="s">
        <v>23671</v>
      </c>
      <c r="K4336" s="7">
        <f t="shared" si="2"/>
        <v>0.9911418384</v>
      </c>
    </row>
    <row r="4337">
      <c r="A4337" s="4">
        <v>4337.0</v>
      </c>
      <c r="B4337" s="5" t="s">
        <v>23672</v>
      </c>
      <c r="C4337" s="5" t="s">
        <v>23673</v>
      </c>
      <c r="D4337" s="5" t="s">
        <v>23674</v>
      </c>
      <c r="E4337" s="6" t="s">
        <v>74</v>
      </c>
      <c r="F4337" s="6" t="s">
        <v>9933</v>
      </c>
      <c r="G4337" s="3" t="str">
        <f>IFERROR(__xludf.DUMMYFUNCTION("REGEXREPLACE(
D4337,
""([一-龯々]+)\[([^\]]+)\]"",
""&lt;ruby&gt;$1&lt;rt&gt;$2&lt;/rt&gt;&lt;/ruby&gt;""
)&amp;""&lt;br&gt;&lt;div class=""""audio""""&gt;[sound:""&amp;C4337&amp;"".mp3]&lt;/div&gt;"""),"&lt;ruby&gt;算数&lt;rt&gt;さんすう&lt;/rt&gt;&lt;/ruby&gt;&lt;br&gt;&lt;div class=""audio""&gt;[sound:さんすう.mp3]&lt;/div&gt;")</f>
        <v>&lt;ruby&gt;算数&lt;rt&gt;さんすう&lt;/rt&gt;&lt;/ruby&gt;&lt;br&gt;&lt;div class="audio"&gt;[sound:さんすう.mp3]&lt;/div&gt;</v>
      </c>
      <c r="H4337" s="3" t="str">
        <f t="shared" si="1"/>
        <v>(n): toán học</v>
      </c>
      <c r="I4337" s="6" t="s">
        <v>23675</v>
      </c>
      <c r="J4337" s="6" t="s">
        <v>23676</v>
      </c>
      <c r="K4337" s="7">
        <f t="shared" si="2"/>
        <v>0.6633435616</v>
      </c>
    </row>
    <row r="4338">
      <c r="A4338" s="4">
        <v>4338.0</v>
      </c>
      <c r="B4338" s="5" t="s">
        <v>23677</v>
      </c>
      <c r="C4338" s="5" t="s">
        <v>23678</v>
      </c>
      <c r="D4338" s="5" t="s">
        <v>23679</v>
      </c>
      <c r="E4338" s="6" t="s">
        <v>24</v>
      </c>
      <c r="F4338" s="6" t="s">
        <v>23680</v>
      </c>
      <c r="G4338" s="3" t="str">
        <f>IFERROR(__xludf.DUMMYFUNCTION("REGEXREPLACE(
D4338,
""([一-龯々]+)\[([^\]]+)\]"",
""&lt;ruby&gt;$1&lt;rt&gt;$2&lt;/rt&gt;&lt;/ruby&gt;""
)&amp;""&lt;br&gt;&lt;div class=""""audio""""&gt;[sound:""&amp;C4338&amp;"".mp3]&lt;/div&gt;"""),"&lt;ruby&gt;裁&lt;rt&gt;さば&lt;/rt&gt;&lt;/ruby&gt;く&lt;br&gt;&lt;div class=""audio""&gt;[sound:さばく.mp3]&lt;/div&gt;")</f>
        <v>&lt;ruby&gt;裁&lt;rt&gt;さば&lt;/rt&gt;&lt;/ruby&gt;く&lt;br&gt;&lt;div class="audio"&gt;[sound:さばく.mp3]&lt;/div&gt;</v>
      </c>
      <c r="H4338" s="3" t="str">
        <f t="shared" si="1"/>
        <v>(v): phán xét</v>
      </c>
      <c r="I4338" s="6" t="s">
        <v>23681</v>
      </c>
      <c r="J4338" s="6" t="s">
        <v>23682</v>
      </c>
      <c r="K4338" s="7">
        <f t="shared" si="2"/>
        <v>0.4853727415</v>
      </c>
    </row>
    <row r="4339">
      <c r="A4339" s="4">
        <v>4339.0</v>
      </c>
      <c r="B4339" s="5" t="s">
        <v>23683</v>
      </c>
      <c r="C4339" s="5" t="s">
        <v>23684</v>
      </c>
      <c r="D4339" s="5" t="s">
        <v>23685</v>
      </c>
      <c r="E4339" s="6" t="s">
        <v>74</v>
      </c>
      <c r="F4339" s="6" t="s">
        <v>23506</v>
      </c>
      <c r="G4339" s="3" t="str">
        <f>IFERROR(__xludf.DUMMYFUNCTION("REGEXREPLACE(
D4339,
""([一-龯々]+)\[([^\]]+)\]"",
""&lt;ruby&gt;$1&lt;rt&gt;$2&lt;/rt&gt;&lt;/ruby&gt;""
)&amp;""&lt;br&gt;&lt;div class=""""audio""""&gt;[sound:""&amp;C4339&amp;"".mp3]&lt;/div&gt;"""),"&lt;ruby&gt;黄色&lt;rt&gt;きいろ&lt;/rt&gt;&lt;/ruby&gt;&lt;br&gt;&lt;div class=""audio""&gt;[sound:きいろ.mp3]&lt;/div&gt;")</f>
        <v>&lt;ruby&gt;黄色&lt;rt&gt;きいろ&lt;/rt&gt;&lt;/ruby&gt;&lt;br&gt;&lt;div class="audio"&gt;[sound:きいろ.mp3]&lt;/div&gt;</v>
      </c>
      <c r="H4339" s="3" t="str">
        <f t="shared" si="1"/>
        <v>(n): màu vàng</v>
      </c>
      <c r="I4339" s="6" t="s">
        <v>23686</v>
      </c>
      <c r="J4339" s="6" t="s">
        <v>23687</v>
      </c>
      <c r="K4339" s="7">
        <f t="shared" si="2"/>
        <v>0.2942262205</v>
      </c>
    </row>
    <row r="4340">
      <c r="A4340" s="4">
        <v>4340.0</v>
      </c>
      <c r="B4340" s="5" t="s">
        <v>23688</v>
      </c>
      <c r="C4340" s="5" t="s">
        <v>23689</v>
      </c>
      <c r="D4340" s="5" t="s">
        <v>23690</v>
      </c>
      <c r="E4340" s="6" t="s">
        <v>74</v>
      </c>
      <c r="F4340" s="6" t="s">
        <v>23691</v>
      </c>
      <c r="G4340" s="3" t="str">
        <f>IFERROR(__xludf.DUMMYFUNCTION("REGEXREPLACE(
D4340,
""([一-龯々]+)\[([^\]]+)\]"",
""&lt;ruby&gt;$1&lt;rt&gt;$2&lt;/rt&gt;&lt;/ruby&gt;""
)&amp;""&lt;br&gt;&lt;div class=""""audio""""&gt;[sound:""&amp;C4340&amp;"".mp3]&lt;/div&gt;"""),"&lt;ruby&gt;入場&lt;rt&gt;にゅうじょう&lt;/rt&gt;&lt;/ruby&gt;&lt;br&gt;&lt;div class=""audio""&gt;[sound:にゅうじょう.mp3]&lt;/div&gt;")</f>
        <v>&lt;ruby&gt;入場&lt;rt&gt;にゅうじょう&lt;/rt&gt;&lt;/ruby&gt;&lt;br&gt;&lt;div class="audio"&gt;[sound:にゅうじょう.mp3]&lt;/div&gt;</v>
      </c>
      <c r="H4340" s="3" t="str">
        <f t="shared" si="1"/>
        <v>(n): vào cửa</v>
      </c>
      <c r="I4340" s="6" t="s">
        <v>23692</v>
      </c>
      <c r="J4340" s="6" t="s">
        <v>23693</v>
      </c>
      <c r="K4340" s="7">
        <f t="shared" si="2"/>
        <v>0.7571951713</v>
      </c>
    </row>
    <row r="4341">
      <c r="A4341" s="4">
        <v>4341.0</v>
      </c>
      <c r="B4341" s="5" t="s">
        <v>23694</v>
      </c>
      <c r="C4341" s="5" t="s">
        <v>23695</v>
      </c>
      <c r="D4341" s="5" t="s">
        <v>23696</v>
      </c>
      <c r="E4341" s="6" t="s">
        <v>74</v>
      </c>
      <c r="F4341" s="6" t="s">
        <v>23697</v>
      </c>
      <c r="G4341" s="3" t="str">
        <f>IFERROR(__xludf.DUMMYFUNCTION("REGEXREPLACE(
D4341,
""([一-龯々]+)\[([^\]]+)\]"",
""&lt;ruby&gt;$1&lt;rt&gt;$2&lt;/rt&gt;&lt;/ruby&gt;""
)&amp;""&lt;br&gt;&lt;div class=""""audio""""&gt;[sound:""&amp;C4341&amp;"".mp3]&lt;/div&gt;"""),"&lt;ruby&gt;竹&lt;rt&gt;たけ&lt;/rt&gt;&lt;/ruby&gt;&lt;br&gt;&lt;div class=""audio""&gt;[sound:たけ.mp3]&lt;/div&gt;")</f>
        <v>&lt;ruby&gt;竹&lt;rt&gt;たけ&lt;/rt&gt;&lt;/ruby&gt;&lt;br&gt;&lt;div class="audio"&gt;[sound:たけ.mp3]&lt;/div&gt;</v>
      </c>
      <c r="H4341" s="3" t="str">
        <f t="shared" si="1"/>
        <v>(n): tre</v>
      </c>
      <c r="I4341" s="6" t="s">
        <v>23698</v>
      </c>
      <c r="J4341" s="6" t="s">
        <v>23699</v>
      </c>
      <c r="K4341" s="7">
        <f t="shared" si="2"/>
        <v>0.7139218321</v>
      </c>
    </row>
    <row r="4342">
      <c r="A4342" s="4">
        <v>4342.0</v>
      </c>
      <c r="B4342" s="5" t="s">
        <v>23700</v>
      </c>
      <c r="C4342" s="5" t="s">
        <v>23701</v>
      </c>
      <c r="D4342" s="5" t="s">
        <v>23702</v>
      </c>
      <c r="E4342" s="6" t="s">
        <v>74</v>
      </c>
      <c r="F4342" s="6" t="s">
        <v>23703</v>
      </c>
      <c r="G4342" s="3" t="str">
        <f>IFERROR(__xludf.DUMMYFUNCTION("REGEXREPLACE(
D4342,
""([一-龯々]+)\[([^\]]+)\]"",
""&lt;ruby&gt;$1&lt;rt&gt;$2&lt;/rt&gt;&lt;/ruby&gt;""
)&amp;""&lt;br&gt;&lt;div class=""""audio""""&gt;[sound:""&amp;C4342&amp;"".mp3]&lt;/div&gt;"""),"&lt;ruby&gt;雲&lt;rt&gt;くも&lt;/rt&gt;&lt;/ruby&gt;&lt;br&gt;&lt;div class=""audio""&gt;[sound:くも.mp3]&lt;/div&gt;")</f>
        <v>&lt;ruby&gt;雲&lt;rt&gt;くも&lt;/rt&gt;&lt;/ruby&gt;&lt;br&gt;&lt;div class="audio"&gt;[sound:くも.mp3]&lt;/div&gt;</v>
      </c>
      <c r="H4342" s="3" t="str">
        <f t="shared" si="1"/>
        <v>(n): mây</v>
      </c>
      <c r="I4342" s="6" t="s">
        <v>23704</v>
      </c>
      <c r="J4342" s="6" t="s">
        <v>23705</v>
      </c>
      <c r="K4342" s="7">
        <f t="shared" si="2"/>
        <v>0.5382460444</v>
      </c>
    </row>
    <row r="4343">
      <c r="A4343" s="4">
        <v>4343.0</v>
      </c>
      <c r="B4343" s="5" t="s">
        <v>23706</v>
      </c>
      <c r="C4343" s="5" t="s">
        <v>23707</v>
      </c>
      <c r="D4343" s="5" t="s">
        <v>23708</v>
      </c>
      <c r="E4343" s="6" t="s">
        <v>74</v>
      </c>
      <c r="F4343" s="6" t="s">
        <v>23709</v>
      </c>
      <c r="G4343" s="3" t="str">
        <f>IFERROR(__xludf.DUMMYFUNCTION("REGEXREPLACE(
D4343,
""([一-龯々]+)\[([^\]]+)\]"",
""&lt;ruby&gt;$1&lt;rt&gt;$2&lt;/rt&gt;&lt;/ruby&gt;""
)&amp;""&lt;br&gt;&lt;div class=""""audio""""&gt;[sound:""&amp;C4343&amp;"".mp3]&lt;/div&gt;"""),"&lt;ruby&gt;遊園地&lt;rt&gt;ゆうえんち&lt;/rt&gt;&lt;/ruby&gt;&lt;br&gt;&lt;div class=""audio""&gt;[sound:ゆうえんち.mp3]&lt;/div&gt;")</f>
        <v>&lt;ruby&gt;遊園地&lt;rt&gt;ゆうえんち&lt;/rt&gt;&lt;/ruby&gt;&lt;br&gt;&lt;div class="audio"&gt;[sound:ゆうえんち.mp3]&lt;/div&gt;</v>
      </c>
      <c r="H4343" s="3" t="str">
        <f t="shared" si="1"/>
        <v>(n): khu vui chơi</v>
      </c>
      <c r="I4343" s="6" t="s">
        <v>23710</v>
      </c>
      <c r="J4343" s="6" t="s">
        <v>23711</v>
      </c>
      <c r="K4343" s="7">
        <f t="shared" si="2"/>
        <v>0.3755015178</v>
      </c>
    </row>
    <row r="4344">
      <c r="A4344" s="4">
        <v>4344.0</v>
      </c>
      <c r="B4344" s="5" t="s">
        <v>23712</v>
      </c>
      <c r="C4344" s="5" t="s">
        <v>23713</v>
      </c>
      <c r="D4344" s="5" t="s">
        <v>23714</v>
      </c>
      <c r="E4344" s="6" t="s">
        <v>74</v>
      </c>
      <c r="F4344" s="6" t="s">
        <v>23715</v>
      </c>
      <c r="G4344" s="3" t="str">
        <f>IFERROR(__xludf.DUMMYFUNCTION("REGEXREPLACE(
D4344,
""([一-龯々]+)\[([^\]]+)\]"",
""&lt;ruby&gt;$1&lt;rt&gt;$2&lt;/rt&gt;&lt;/ruby&gt;""
)&amp;""&lt;br&gt;&lt;div class=""""audio""""&gt;[sound:""&amp;C4344&amp;"".mp3]&lt;/div&gt;"""),"&lt;ruby&gt;近頃&lt;rt&gt;ちかごろ&lt;/rt&gt;&lt;/ruby&gt;&lt;br&gt;&lt;div class=""audio""&gt;[sound:ちかごろ.mp3]&lt;/div&gt;")</f>
        <v>&lt;ruby&gt;近頃&lt;rt&gt;ちかごろ&lt;/rt&gt;&lt;/ruby&gt;&lt;br&gt;&lt;div class="audio"&gt;[sound:ちかごろ.mp3]&lt;/div&gt;</v>
      </c>
      <c r="H4344" s="3" t="str">
        <f t="shared" si="1"/>
        <v>(n): dạo gần đây</v>
      </c>
      <c r="I4344" s="6" t="s">
        <v>23716</v>
      </c>
      <c r="J4344" s="6" t="s">
        <v>23717</v>
      </c>
      <c r="K4344" s="7">
        <f t="shared" si="2"/>
        <v>0.5084240677</v>
      </c>
    </row>
    <row r="4345">
      <c r="A4345" s="4">
        <v>4345.0</v>
      </c>
      <c r="B4345" s="5" t="s">
        <v>23718</v>
      </c>
      <c r="C4345" s="5" t="s">
        <v>23718</v>
      </c>
      <c r="D4345" s="5" t="s">
        <v>23718</v>
      </c>
      <c r="E4345" s="6" t="s">
        <v>11</v>
      </c>
      <c r="F4345" s="6" t="s">
        <v>23719</v>
      </c>
      <c r="G4345" s="3" t="str">
        <f>IFERROR(__xludf.DUMMYFUNCTION("REGEXREPLACE(
D4345,
""([一-龯々]+)\[([^\]]+)\]"",
""&lt;ruby&gt;$1&lt;rt&gt;$2&lt;/rt&gt;&lt;/ruby&gt;""
)&amp;""&lt;br&gt;&lt;div class=""""audio""""&gt;[sound:""&amp;C4345&amp;"".mp3]&lt;/div&gt;"""),"だらしない&lt;br&gt;&lt;div class=""audio""&gt;[sound:だらしない.mp3]&lt;/div&gt;")</f>
        <v>だらしない&lt;br&gt;&lt;div class="audio"&gt;[sound:だらしない.mp3]&lt;/div&gt;</v>
      </c>
      <c r="H4345" s="3" t="str">
        <f t="shared" si="1"/>
        <v>(adj): luộm thuộm</v>
      </c>
      <c r="I4345" s="6" t="s">
        <v>23720</v>
      </c>
      <c r="J4345" s="6" t="s">
        <v>23721</v>
      </c>
      <c r="K4345" s="7">
        <f t="shared" si="2"/>
        <v>0.913924397</v>
      </c>
    </row>
    <row r="4346">
      <c r="A4346" s="4">
        <v>4346.0</v>
      </c>
      <c r="B4346" s="5" t="s">
        <v>23722</v>
      </c>
      <c r="C4346" s="5" t="s">
        <v>23722</v>
      </c>
      <c r="D4346" s="5" t="s">
        <v>23722</v>
      </c>
      <c r="E4346" s="6" t="s">
        <v>85</v>
      </c>
      <c r="F4346" s="6" t="s">
        <v>23723</v>
      </c>
      <c r="G4346" s="3" t="str">
        <f>IFERROR(__xludf.DUMMYFUNCTION("REGEXREPLACE(
D4346,
""([一-龯々]+)\[([^\]]+)\]"",
""&lt;ruby&gt;$1&lt;rt&gt;$2&lt;/rt&gt;&lt;/ruby&gt;""
)&amp;""&lt;br&gt;&lt;div class=""""audio""""&gt;[sound:""&amp;C4346&amp;"".mp3]&lt;/div&gt;"""),"ぴかぴか&lt;br&gt;&lt;div class=""audio""&gt;[sound:ぴかぴか.mp3]&lt;/div&gt;")</f>
        <v>ぴかぴか&lt;br&gt;&lt;div class="audio"&gt;[sound:ぴかぴか.mp3]&lt;/div&gt;</v>
      </c>
      <c r="H4346" s="3" t="str">
        <f t="shared" si="1"/>
        <v>(adv): sáng loáng</v>
      </c>
      <c r="I4346" s="6" t="s">
        <v>23724</v>
      </c>
      <c r="J4346" s="6" t="s">
        <v>23725</v>
      </c>
      <c r="K4346" s="7">
        <f t="shared" si="2"/>
        <v>0.5212744523</v>
      </c>
    </row>
    <row r="4347">
      <c r="A4347" s="4">
        <v>4347.0</v>
      </c>
      <c r="B4347" s="5" t="s">
        <v>23726</v>
      </c>
      <c r="C4347" s="5" t="s">
        <v>23727</v>
      </c>
      <c r="D4347" s="5" t="s">
        <v>23728</v>
      </c>
      <c r="E4347" s="6" t="s">
        <v>74</v>
      </c>
      <c r="F4347" s="6" t="s">
        <v>5044</v>
      </c>
      <c r="G4347" s="3" t="str">
        <f>IFERROR(__xludf.DUMMYFUNCTION("REGEXREPLACE(
D4347,
""([一-龯々]+)\[([^\]]+)\]"",
""&lt;ruby&gt;$1&lt;rt&gt;$2&lt;/rt&gt;&lt;/ruby&gt;""
)&amp;""&lt;br&gt;&lt;div class=""""audio""""&gt;[sound:""&amp;C4347&amp;"".mp3]&lt;/div&gt;"""),"&lt;ruby&gt;募集&lt;rt&gt;ぼしゅう&lt;/rt&gt;&lt;/ruby&gt;&lt;br&gt;&lt;div class=""audio""&gt;[sound:ぼしゅう.mp3]&lt;/div&gt;")</f>
        <v>&lt;ruby&gt;募集&lt;rt&gt;ぼしゅう&lt;/rt&gt;&lt;/ruby&gt;&lt;br&gt;&lt;div class="audio"&gt;[sound:ぼしゅう.mp3]&lt;/div&gt;</v>
      </c>
      <c r="H4347" s="3" t="str">
        <f t="shared" si="1"/>
        <v>(n): tuyển dụng</v>
      </c>
      <c r="I4347" s="6" t="s">
        <v>23729</v>
      </c>
      <c r="J4347" s="6" t="s">
        <v>23730</v>
      </c>
      <c r="K4347" s="7">
        <f t="shared" si="2"/>
        <v>0.3570533904</v>
      </c>
    </row>
    <row r="4348">
      <c r="A4348" s="4">
        <v>4348.0</v>
      </c>
      <c r="B4348" s="5" t="s">
        <v>23731</v>
      </c>
      <c r="C4348" s="5" t="s">
        <v>23732</v>
      </c>
      <c r="D4348" s="5" t="s">
        <v>23733</v>
      </c>
      <c r="E4348" s="6" t="s">
        <v>74</v>
      </c>
      <c r="F4348" s="6" t="s">
        <v>23734</v>
      </c>
      <c r="G4348" s="3" t="str">
        <f>IFERROR(__xludf.DUMMYFUNCTION("REGEXREPLACE(
D4348,
""([一-龯々]+)\[([^\]]+)\]"",
""&lt;ruby&gt;$1&lt;rt&gt;$2&lt;/rt&gt;&lt;/ruby&gt;""
)&amp;""&lt;br&gt;&lt;div class=""""audio""""&gt;[sound:""&amp;C4348&amp;"".mp3]&lt;/div&gt;"""),"&lt;ruby&gt;忘&lt;rt&gt;わす&lt;/rt&gt;&lt;/ruby&gt;れ&lt;ruby&gt;物&lt;rt&gt;もの&lt;/rt&gt;&lt;/ruby&gt;&lt;br&gt;&lt;div class=""audio""&gt;[sound:わすれもの.mp3]&lt;/div&gt;")</f>
        <v>&lt;ruby&gt;忘&lt;rt&gt;わす&lt;/rt&gt;&lt;/ruby&gt;れ&lt;ruby&gt;物&lt;rt&gt;もの&lt;/rt&gt;&lt;/ruby&gt;&lt;br&gt;&lt;div class="audio"&gt;[sound:わすれもの.mp3]&lt;/div&gt;</v>
      </c>
      <c r="H4348" s="3" t="str">
        <f t="shared" si="1"/>
        <v>(n): đồ để quên</v>
      </c>
      <c r="I4348" s="6" t="s">
        <v>23735</v>
      </c>
      <c r="J4348" s="6" t="s">
        <v>23736</v>
      </c>
      <c r="K4348" s="7">
        <f t="shared" si="2"/>
        <v>0.8188033394</v>
      </c>
    </row>
    <row r="4349">
      <c r="A4349" s="4">
        <v>4349.0</v>
      </c>
      <c r="B4349" s="5" t="s">
        <v>23737</v>
      </c>
      <c r="C4349" s="5" t="s">
        <v>23738</v>
      </c>
      <c r="D4349" s="5" t="s">
        <v>23739</v>
      </c>
      <c r="E4349" s="6" t="s">
        <v>11</v>
      </c>
      <c r="F4349" s="6" t="s">
        <v>17480</v>
      </c>
      <c r="G4349" s="3" t="str">
        <f>IFERROR(__xludf.DUMMYFUNCTION("REGEXREPLACE(
D4349,
""([一-龯々]+)\[([^\]]+)\]"",
""&lt;ruby&gt;$1&lt;rt&gt;$2&lt;/rt&gt;&lt;/ruby&gt;""
)&amp;""&lt;br&gt;&lt;div class=""""audio""""&gt;[sound:""&amp;C4349&amp;"".mp3]&lt;/div&gt;"""),"&lt;ruby&gt;賢&lt;rt&gt;かしこ&lt;/rt&gt;&lt;/ruby&gt;い&lt;br&gt;&lt;div class=""audio""&gt;[sound:かしこい.mp3]&lt;/div&gt;")</f>
        <v>&lt;ruby&gt;賢&lt;rt&gt;かしこ&lt;/rt&gt;&lt;/ruby&gt;い&lt;br&gt;&lt;div class="audio"&gt;[sound:かしこい.mp3]&lt;/div&gt;</v>
      </c>
      <c r="H4349" s="3" t="str">
        <f t="shared" si="1"/>
        <v>(adj): thông minh</v>
      </c>
      <c r="I4349" s="6" t="s">
        <v>23740</v>
      </c>
      <c r="J4349" s="6" t="s">
        <v>23741</v>
      </c>
      <c r="K4349" s="7">
        <f t="shared" si="2"/>
        <v>0.6351676803</v>
      </c>
    </row>
    <row r="4350">
      <c r="A4350" s="4">
        <v>4350.0</v>
      </c>
      <c r="B4350" s="5" t="s">
        <v>23742</v>
      </c>
      <c r="C4350" s="5" t="s">
        <v>16795</v>
      </c>
      <c r="D4350" s="5" t="s">
        <v>23743</v>
      </c>
      <c r="E4350" s="6" t="s">
        <v>74</v>
      </c>
      <c r="F4350" s="6" t="s">
        <v>23744</v>
      </c>
      <c r="G4350" s="3" t="str">
        <f>IFERROR(__xludf.DUMMYFUNCTION("REGEXREPLACE(
D4350,
""([一-龯々]+)\[([^\]]+)\]"",
""&lt;ruby&gt;$1&lt;rt&gt;$2&lt;/rt&gt;&lt;/ruby&gt;""
)&amp;""&lt;br&gt;&lt;div class=""""audio""""&gt;[sound:""&amp;C4350&amp;"".mp3]&lt;/div&gt;"""),"&lt;ruby&gt;選考&lt;rt&gt;せんこう&lt;/rt&gt;&lt;/ruby&gt;&lt;br&gt;&lt;div class=""audio""&gt;[sound:せんこう.mp3]&lt;/div&gt;")</f>
        <v>&lt;ruby&gt;選考&lt;rt&gt;せんこう&lt;/rt&gt;&lt;/ruby&gt;&lt;br&gt;&lt;div class="audio"&gt;[sound:せんこう.mp3]&lt;/div&gt;</v>
      </c>
      <c r="H4350" s="3" t="str">
        <f t="shared" si="1"/>
        <v>(n): tuyển chọn</v>
      </c>
      <c r="I4350" s="6" t="s">
        <v>23745</v>
      </c>
      <c r="J4350" s="6" t="s">
        <v>23746</v>
      </c>
      <c r="K4350" s="7">
        <f t="shared" si="2"/>
        <v>0.9580547642</v>
      </c>
    </row>
    <row r="4351">
      <c r="A4351" s="4">
        <v>4351.0</v>
      </c>
      <c r="B4351" s="5" t="s">
        <v>23747</v>
      </c>
      <c r="C4351" s="5" t="s">
        <v>23748</v>
      </c>
      <c r="D4351" s="5" t="s">
        <v>23749</v>
      </c>
      <c r="E4351" s="6" t="s">
        <v>74</v>
      </c>
      <c r="F4351" s="6" t="s">
        <v>23750</v>
      </c>
      <c r="G4351" s="3" t="str">
        <f>IFERROR(__xludf.DUMMYFUNCTION("REGEXREPLACE(
D4351,
""([一-龯々]+)\[([^\]]+)\]"",
""&lt;ruby&gt;$1&lt;rt&gt;$2&lt;/rt&gt;&lt;/ruby&gt;""
)&amp;""&lt;br&gt;&lt;div class=""""audio""""&gt;[sound:""&amp;C4351&amp;"".mp3]&lt;/div&gt;"""),"ローマ&lt;ruby&gt;字&lt;rt&gt;じ&lt;/rt&gt;&lt;/ruby&gt;&lt;br&gt;&lt;div class=""audio""&gt;[sound:ろーまじ.mp3]&lt;/div&gt;")</f>
        <v>ローマ&lt;ruby&gt;字&lt;rt&gt;じ&lt;/rt&gt;&lt;/ruby&gt;&lt;br&gt;&lt;div class="audio"&gt;[sound:ろーまじ.mp3]&lt;/div&gt;</v>
      </c>
      <c r="H4351" s="3" t="str">
        <f t="shared" si="1"/>
        <v>(n): chữ la mã</v>
      </c>
      <c r="I4351" s="6" t="s">
        <v>23751</v>
      </c>
      <c r="J4351" s="6" t="s">
        <v>23752</v>
      </c>
      <c r="K4351" s="7">
        <f t="shared" si="2"/>
        <v>0.9069302868</v>
      </c>
    </row>
    <row r="4352">
      <c r="A4352" s="4">
        <v>4352.0</v>
      </c>
      <c r="B4352" s="5" t="s">
        <v>23753</v>
      </c>
      <c r="C4352" s="5" t="s">
        <v>23754</v>
      </c>
      <c r="D4352" s="5" t="s">
        <v>23755</v>
      </c>
      <c r="E4352" s="6" t="s">
        <v>74</v>
      </c>
      <c r="F4352" s="6" t="s">
        <v>23756</v>
      </c>
      <c r="G4352" s="3" t="str">
        <f>IFERROR(__xludf.DUMMYFUNCTION("REGEXREPLACE(
D4352,
""([一-龯々]+)\[([^\]]+)\]"",
""&lt;ruby&gt;$1&lt;rt&gt;$2&lt;/rt&gt;&lt;/ruby&gt;""
)&amp;""&lt;br&gt;&lt;div class=""""audio""""&gt;[sound:""&amp;C4352&amp;"".mp3]&lt;/div&gt;"""),"&lt;ruby&gt;人種&lt;rt&gt;じんしゅ&lt;/rt&gt;&lt;/ruby&gt;&lt;br&gt;&lt;div class=""audio""&gt;[sound:じんしゅ.mp3]&lt;/div&gt;")</f>
        <v>&lt;ruby&gt;人種&lt;rt&gt;じんしゅ&lt;/rt&gt;&lt;/ruby&gt;&lt;br&gt;&lt;div class="audio"&gt;[sound:じんしゅ.mp3]&lt;/div&gt;</v>
      </c>
      <c r="H4352" s="3" t="str">
        <f t="shared" si="1"/>
        <v>(n): chủng tộc</v>
      </c>
      <c r="I4352" s="6" t="s">
        <v>23757</v>
      </c>
      <c r="J4352" s="6" t="s">
        <v>23758</v>
      </c>
      <c r="K4352" s="7">
        <f t="shared" si="2"/>
        <v>0.309864368</v>
      </c>
    </row>
    <row r="4353">
      <c r="A4353" s="4">
        <v>4353.0</v>
      </c>
      <c r="B4353" s="5" t="s">
        <v>23759</v>
      </c>
      <c r="C4353" s="5" t="s">
        <v>23760</v>
      </c>
      <c r="D4353" s="5" t="s">
        <v>23761</v>
      </c>
      <c r="E4353" s="6" t="s">
        <v>74</v>
      </c>
      <c r="F4353" s="6" t="s">
        <v>21060</v>
      </c>
      <c r="G4353" s="3" t="str">
        <f>IFERROR(__xludf.DUMMYFUNCTION("REGEXREPLACE(
D4353,
""([一-龯々]+)\[([^\]]+)\]"",
""&lt;ruby&gt;$1&lt;rt&gt;$2&lt;/rt&gt;&lt;/ruby&gt;""
)&amp;""&lt;br&gt;&lt;div class=""""audio""""&gt;[sound:""&amp;C4353&amp;"".mp3]&lt;/div&gt;"""),"&lt;ruby&gt;俳優&lt;rt&gt;はいゆう&lt;/rt&gt;&lt;/ruby&gt;&lt;br&gt;&lt;div class=""audio""&gt;[sound:はいゆう.mp3]&lt;/div&gt;")</f>
        <v>&lt;ruby&gt;俳優&lt;rt&gt;はいゆう&lt;/rt&gt;&lt;/ruby&gt;&lt;br&gt;&lt;div class="audio"&gt;[sound:はいゆう.mp3]&lt;/div&gt;</v>
      </c>
      <c r="H4353" s="3" t="str">
        <f t="shared" si="1"/>
        <v>(n): diễn viên</v>
      </c>
      <c r="I4353" s="6" t="s">
        <v>23762</v>
      </c>
      <c r="J4353" s="6" t="s">
        <v>21062</v>
      </c>
      <c r="K4353" s="7">
        <f t="shared" si="2"/>
        <v>0.2045607778</v>
      </c>
    </row>
    <row r="4354">
      <c r="A4354" s="4">
        <v>4354.0</v>
      </c>
      <c r="B4354" s="5" t="s">
        <v>23763</v>
      </c>
      <c r="C4354" s="5" t="s">
        <v>23764</v>
      </c>
      <c r="D4354" s="5" t="s">
        <v>23765</v>
      </c>
      <c r="E4354" s="6" t="s">
        <v>74</v>
      </c>
      <c r="F4354" s="6" t="s">
        <v>14176</v>
      </c>
      <c r="G4354" s="3" t="str">
        <f>IFERROR(__xludf.DUMMYFUNCTION("REGEXREPLACE(
D4354,
""([一-龯々]+)\[([^\]]+)\]"",
""&lt;ruby&gt;$1&lt;rt&gt;$2&lt;/rt&gt;&lt;/ruby&gt;""
)&amp;""&lt;br&gt;&lt;div class=""""audio""""&gt;[sound:""&amp;C4354&amp;"".mp3]&lt;/div&gt;"""),"&lt;ruby&gt;年寄&lt;rt&gt;としより&lt;/rt&gt;&lt;/ruby&gt;&lt;br&gt;&lt;div class=""audio""&gt;[sound:としより.mp3]&lt;/div&gt;")</f>
        <v>&lt;ruby&gt;年寄&lt;rt&gt;としより&lt;/rt&gt;&lt;/ruby&gt;&lt;br&gt;&lt;div class="audio"&gt;[sound:としより.mp3]&lt;/div&gt;</v>
      </c>
      <c r="H4354" s="3" t="str">
        <f t="shared" si="1"/>
        <v>(n): người già</v>
      </c>
      <c r="I4354" s="6" t="s">
        <v>23766</v>
      </c>
      <c r="J4354" s="6" t="s">
        <v>23767</v>
      </c>
      <c r="K4354" s="7">
        <f t="shared" si="2"/>
        <v>0.4576906425</v>
      </c>
    </row>
    <row r="4355">
      <c r="A4355" s="4">
        <v>4355.0</v>
      </c>
      <c r="B4355" s="5" t="s">
        <v>23768</v>
      </c>
      <c r="C4355" s="5" t="s">
        <v>16795</v>
      </c>
      <c r="D4355" s="5" t="s">
        <v>23769</v>
      </c>
      <c r="E4355" s="6" t="s">
        <v>74</v>
      </c>
      <c r="F4355" s="6" t="s">
        <v>5164</v>
      </c>
      <c r="G4355" s="3" t="str">
        <f>IFERROR(__xludf.DUMMYFUNCTION("REGEXREPLACE(
D4355,
""([一-龯々]+)\[([^\]]+)\]"",
""&lt;ruby&gt;$1&lt;rt&gt;$2&lt;/rt&gt;&lt;/ruby&gt;""
)&amp;""&lt;br&gt;&lt;div class=""""audio""""&gt;[sound:""&amp;C4355&amp;"".mp3]&lt;/div&gt;"""),"&lt;ruby&gt;先行&lt;rt&gt;せんこう&lt;/rt&gt;&lt;/ruby&gt;&lt;br&gt;&lt;div class=""audio""&gt;[sound:せんこう.mp3]&lt;/div&gt;")</f>
        <v>&lt;ruby&gt;先行&lt;rt&gt;せんこう&lt;/rt&gt;&lt;/ruby&gt;&lt;br&gt;&lt;div class="audio"&gt;[sound:せんこう.mp3]&lt;/div&gt;</v>
      </c>
      <c r="H4355" s="3" t="str">
        <f t="shared" si="1"/>
        <v>(n): đi trước</v>
      </c>
      <c r="I4355" s="6" t="s">
        <v>23770</v>
      </c>
      <c r="J4355" s="6" t="s">
        <v>23771</v>
      </c>
      <c r="K4355" s="7">
        <f t="shared" si="2"/>
        <v>0.7547109138</v>
      </c>
    </row>
    <row r="4356">
      <c r="A4356" s="4">
        <v>4356.0</v>
      </c>
      <c r="B4356" s="5" t="s">
        <v>23772</v>
      </c>
      <c r="C4356" s="5" t="s">
        <v>23773</v>
      </c>
      <c r="D4356" s="5" t="s">
        <v>23774</v>
      </c>
      <c r="E4356" s="6" t="s">
        <v>85</v>
      </c>
      <c r="F4356" s="6" t="s">
        <v>103</v>
      </c>
      <c r="G4356" s="3" t="str">
        <f>IFERROR(__xludf.DUMMYFUNCTION("REGEXREPLACE(
D4356,
""([一-龯々]+)\[([^\]]+)\]"",
""&lt;ruby&gt;$1&lt;rt&gt;$2&lt;/rt&gt;&lt;/ruby&gt;""
)&amp;""&lt;br&gt;&lt;div class=""""audio""""&gt;[sound:""&amp;C4356&amp;"".mp3]&lt;/div&gt;"""),"&lt;ruby&gt;幾分&lt;rt&gt;いくぶん&lt;/rt&gt;&lt;/ruby&gt;&lt;br&gt;&lt;div class=""audio""&gt;[sound:いくぶん.mp3]&lt;/div&gt;")</f>
        <v>&lt;ruby&gt;幾分&lt;rt&gt;いくぶん&lt;/rt&gt;&lt;/ruby&gt;&lt;br&gt;&lt;div class="audio"&gt;[sound:いくぶん.mp3]&lt;/div&gt;</v>
      </c>
      <c r="H4356" s="3" t="str">
        <f t="shared" si="1"/>
        <v>(adv): một chút</v>
      </c>
      <c r="I4356" s="6" t="s">
        <v>23775</v>
      </c>
      <c r="J4356" s="6" t="s">
        <v>23776</v>
      </c>
      <c r="K4356" s="7">
        <f t="shared" si="2"/>
        <v>0.06370184578</v>
      </c>
    </row>
    <row r="4357">
      <c r="A4357" s="4">
        <v>4357.0</v>
      </c>
      <c r="B4357" s="5" t="s">
        <v>23777</v>
      </c>
      <c r="C4357" s="5" t="s">
        <v>23778</v>
      </c>
      <c r="D4357" s="5" t="s">
        <v>23779</v>
      </c>
      <c r="E4357" s="6" t="s">
        <v>74</v>
      </c>
      <c r="F4357" s="6" t="s">
        <v>23780</v>
      </c>
      <c r="G4357" s="3" t="str">
        <f>IFERROR(__xludf.DUMMYFUNCTION("REGEXREPLACE(
D4357,
""([一-龯々]+)\[([^\]]+)\]"",
""&lt;ruby&gt;$1&lt;rt&gt;$2&lt;/rt&gt;&lt;/ruby&gt;""
)&amp;""&lt;br&gt;&lt;div class=""""audio""""&gt;[sound:""&amp;C4357&amp;"".mp3]&lt;/div&gt;"""),"&lt;ruby&gt;徹夜&lt;rt&gt;てつや&lt;/rt&gt;&lt;/ruby&gt;&lt;br&gt;&lt;div class=""audio""&gt;[sound:てつや.mp3]&lt;/div&gt;")</f>
        <v>&lt;ruby&gt;徹夜&lt;rt&gt;てつや&lt;/rt&gt;&lt;/ruby&gt;&lt;br&gt;&lt;div class="audio"&gt;[sound:てつや.mp3]&lt;/div&gt;</v>
      </c>
      <c r="H4357" s="3" t="str">
        <f t="shared" si="1"/>
        <v>(n): thức đêm</v>
      </c>
      <c r="I4357" s="6" t="s">
        <v>23781</v>
      </c>
      <c r="J4357" s="6" t="s">
        <v>23782</v>
      </c>
      <c r="K4357" s="7">
        <f t="shared" si="2"/>
        <v>0.004442536252</v>
      </c>
    </row>
    <row r="4358">
      <c r="A4358" s="4">
        <v>4358.0</v>
      </c>
      <c r="B4358" s="5" t="s">
        <v>23783</v>
      </c>
      <c r="C4358" s="5" t="s">
        <v>4833</v>
      </c>
      <c r="D4358" s="5" t="s">
        <v>23784</v>
      </c>
      <c r="E4358" s="6" t="s">
        <v>74</v>
      </c>
      <c r="F4358" s="6" t="s">
        <v>6028</v>
      </c>
      <c r="G4358" s="3" t="str">
        <f>IFERROR(__xludf.DUMMYFUNCTION("REGEXREPLACE(
D4358,
""([一-龯々]+)\[([^\]]+)\]"",
""&lt;ruby&gt;$1&lt;rt&gt;$2&lt;/rt&gt;&lt;/ruby&gt;""
)&amp;""&lt;br&gt;&lt;div class=""""audio""""&gt;[sound:""&amp;C4358&amp;"".mp3]&lt;/div&gt;"""),"&lt;ruby&gt;課程&lt;rt&gt;かてい&lt;/rt&gt;&lt;/ruby&gt;&lt;br&gt;&lt;div class=""audio""&gt;[sound:かてい.mp3]&lt;/div&gt;")</f>
        <v>&lt;ruby&gt;課程&lt;rt&gt;かてい&lt;/rt&gt;&lt;/ruby&gt;&lt;br&gt;&lt;div class="audio"&gt;[sound:かてい.mp3]&lt;/div&gt;</v>
      </c>
      <c r="H4358" s="3" t="str">
        <f t="shared" si="1"/>
        <v>(n): khóa học</v>
      </c>
      <c r="I4358" s="6" t="s">
        <v>23785</v>
      </c>
      <c r="J4358" s="6" t="s">
        <v>23786</v>
      </c>
      <c r="K4358" s="7">
        <f t="shared" si="2"/>
        <v>0.0508708574</v>
      </c>
    </row>
    <row r="4359">
      <c r="A4359" s="4">
        <v>4359.0</v>
      </c>
      <c r="B4359" s="5" t="s">
        <v>23787</v>
      </c>
      <c r="C4359" s="5" t="s">
        <v>23787</v>
      </c>
      <c r="D4359" s="5" t="s">
        <v>23787</v>
      </c>
      <c r="E4359" s="6" t="s">
        <v>24</v>
      </c>
      <c r="F4359" s="6" t="s">
        <v>2872</v>
      </c>
      <c r="G4359" s="3" t="str">
        <f>IFERROR(__xludf.DUMMYFUNCTION("REGEXREPLACE(
D4359,
""([一-龯々]+)\[([^\]]+)\]"",
""&lt;ruby&gt;$1&lt;rt&gt;$2&lt;/rt&gt;&lt;/ruby&gt;""
)&amp;""&lt;br&gt;&lt;div class=""""audio""""&gt;[sound:""&amp;C4359&amp;"".mp3]&lt;/div&gt;"""),"よこす&lt;br&gt;&lt;div class=""audio""&gt;[sound:よこす.mp3]&lt;/div&gt;")</f>
        <v>よこす&lt;br&gt;&lt;div class="audio"&gt;[sound:よこす.mp3]&lt;/div&gt;</v>
      </c>
      <c r="H4359" s="3" t="str">
        <f t="shared" si="1"/>
        <v>(v): gửi đến</v>
      </c>
      <c r="I4359" s="6" t="s">
        <v>23788</v>
      </c>
      <c r="J4359" s="6" t="s">
        <v>23789</v>
      </c>
      <c r="K4359" s="7">
        <f t="shared" si="2"/>
        <v>0.777080942</v>
      </c>
    </row>
    <row r="4360">
      <c r="A4360" s="4">
        <v>4360.0</v>
      </c>
      <c r="B4360" s="5" t="s">
        <v>23790</v>
      </c>
      <c r="C4360" s="5" t="s">
        <v>23791</v>
      </c>
      <c r="D4360" s="5" t="s">
        <v>23792</v>
      </c>
      <c r="E4360" s="6" t="s">
        <v>24</v>
      </c>
      <c r="F4360" s="6" t="s">
        <v>10260</v>
      </c>
      <c r="G4360" s="3" t="str">
        <f>IFERROR(__xludf.DUMMYFUNCTION("REGEXREPLACE(
D4360,
""([一-龯々]+)\[([^\]]+)\]"",
""&lt;ruby&gt;$1&lt;rt&gt;$2&lt;/rt&gt;&lt;/ruby&gt;""
)&amp;""&lt;br&gt;&lt;div class=""""audio""""&gt;[sound:""&amp;C4360&amp;"".mp3]&lt;/div&gt;"""),"&lt;ruby&gt;例&lt;rt&gt;たと&lt;/rt&gt;&lt;/ruby&gt;える&lt;br&gt;&lt;div class=""audio""&gt;[sound:たとえる.mp3]&lt;/div&gt;")</f>
        <v>&lt;ruby&gt;例&lt;rt&gt;たと&lt;/rt&gt;&lt;/ruby&gt;える&lt;br&gt;&lt;div class="audio"&gt;[sound:たとえる.mp3]&lt;/div&gt;</v>
      </c>
      <c r="H4360" s="3" t="str">
        <f t="shared" si="1"/>
        <v>(v): so sánh</v>
      </c>
      <c r="I4360" s="6" t="s">
        <v>23793</v>
      </c>
      <c r="J4360" s="6" t="s">
        <v>23794</v>
      </c>
      <c r="K4360" s="7">
        <f t="shared" si="2"/>
        <v>0.6223346715</v>
      </c>
    </row>
    <row r="4361">
      <c r="A4361" s="4">
        <v>4361.0</v>
      </c>
      <c r="B4361" s="5" t="s">
        <v>23795</v>
      </c>
      <c r="C4361" s="5" t="s">
        <v>23796</v>
      </c>
      <c r="D4361" s="5" t="s">
        <v>23797</v>
      </c>
      <c r="E4361" s="6" t="s">
        <v>24</v>
      </c>
      <c r="F4361" s="6" t="s">
        <v>12849</v>
      </c>
      <c r="G4361" s="3" t="str">
        <f>IFERROR(__xludf.DUMMYFUNCTION("REGEXREPLACE(
D4361,
""([一-龯々]+)\[([^\]]+)\]"",
""&lt;ruby&gt;$1&lt;rt&gt;$2&lt;/rt&gt;&lt;/ruby&gt;""
)&amp;""&lt;br&gt;&lt;div class=""""audio""""&gt;[sound:""&amp;C4361&amp;"".mp3]&lt;/div&gt;"""),"&lt;ruby&gt;傾&lt;rt&gt;かたむ&lt;/rt&gt;&lt;/ruby&gt;く&lt;br&gt;&lt;div class=""audio""&gt;[sound:かたむく.mp3]&lt;/div&gt;")</f>
        <v>&lt;ruby&gt;傾&lt;rt&gt;かたむ&lt;/rt&gt;&lt;/ruby&gt;く&lt;br&gt;&lt;div class="audio"&gt;[sound:かたむく.mp3]&lt;/div&gt;</v>
      </c>
      <c r="H4361" s="3" t="str">
        <f t="shared" si="1"/>
        <v>(v): nghiêng</v>
      </c>
      <c r="I4361" s="6" t="s">
        <v>23798</v>
      </c>
      <c r="J4361" s="6" t="s">
        <v>23799</v>
      </c>
      <c r="K4361" s="7">
        <f t="shared" si="2"/>
        <v>0.2070102049</v>
      </c>
    </row>
    <row r="4362">
      <c r="A4362" s="4">
        <v>4362.0</v>
      </c>
      <c r="B4362" s="5" t="s">
        <v>23800</v>
      </c>
      <c r="C4362" s="5" t="s">
        <v>23801</v>
      </c>
      <c r="D4362" s="5" t="s">
        <v>23802</v>
      </c>
      <c r="E4362" s="6" t="s">
        <v>74</v>
      </c>
      <c r="F4362" s="6" t="s">
        <v>23803</v>
      </c>
      <c r="G4362" s="3" t="str">
        <f>IFERROR(__xludf.DUMMYFUNCTION("REGEXREPLACE(
D4362,
""([一-龯々]+)\[([^\]]+)\]"",
""&lt;ruby&gt;$1&lt;rt&gt;$2&lt;/rt&gt;&lt;/ruby&gt;""
)&amp;""&lt;br&gt;&lt;div class=""""audio""""&gt;[sound:""&amp;C4362&amp;"".mp3]&lt;/div&gt;"""),"&lt;ruby&gt;宝&lt;rt&gt;たから&lt;/rt&gt;&lt;/ruby&gt;&lt;br&gt;&lt;div class=""audio""&gt;[sound:たから.mp3]&lt;/div&gt;")</f>
        <v>&lt;ruby&gt;宝&lt;rt&gt;たから&lt;/rt&gt;&lt;/ruby&gt;&lt;br&gt;&lt;div class="audio"&gt;[sound:たから.mp3]&lt;/div&gt;</v>
      </c>
      <c r="H4362" s="3" t="str">
        <f t="shared" si="1"/>
        <v>(n): báu vật</v>
      </c>
      <c r="I4362" s="6" t="s">
        <v>23804</v>
      </c>
      <c r="J4362" s="6" t="s">
        <v>23805</v>
      </c>
      <c r="K4362" s="7">
        <f t="shared" si="2"/>
        <v>0.3794675817</v>
      </c>
    </row>
    <row r="4363">
      <c r="A4363" s="4">
        <v>4363.0</v>
      </c>
      <c r="B4363" s="5" t="s">
        <v>23806</v>
      </c>
      <c r="C4363" s="5" t="s">
        <v>23807</v>
      </c>
      <c r="D4363" s="5" t="s">
        <v>23808</v>
      </c>
      <c r="E4363" s="6" t="s">
        <v>74</v>
      </c>
      <c r="F4363" s="6" t="s">
        <v>23809</v>
      </c>
      <c r="G4363" s="3" t="str">
        <f>IFERROR(__xludf.DUMMYFUNCTION("REGEXREPLACE(
D4363,
""([一-龯々]+)\[([^\]]+)\]"",
""&lt;ruby&gt;$1&lt;rt&gt;$2&lt;/rt&gt;&lt;/ruby&gt;""
)&amp;""&lt;br&gt;&lt;div class=""""audio""""&gt;[sound:""&amp;C4363&amp;"".mp3]&lt;/div&gt;"""),"&lt;ruby&gt;小屋&lt;rt&gt;こや&lt;/rt&gt;&lt;/ruby&gt;&lt;br&gt;&lt;div class=""audio""&gt;[sound:こや.mp3]&lt;/div&gt;")</f>
        <v>&lt;ruby&gt;小屋&lt;rt&gt;こや&lt;/rt&gt;&lt;/ruby&gt;&lt;br&gt;&lt;div class="audio"&gt;[sound:こや.mp3]&lt;/div&gt;</v>
      </c>
      <c r="H4363" s="3" t="str">
        <f t="shared" si="1"/>
        <v>(n): túp lều</v>
      </c>
      <c r="I4363" s="6" t="s">
        <v>23810</v>
      </c>
      <c r="J4363" s="6" t="s">
        <v>23811</v>
      </c>
      <c r="K4363" s="7">
        <f t="shared" si="2"/>
        <v>0.7152579847</v>
      </c>
    </row>
    <row r="4364">
      <c r="A4364" s="4">
        <v>4364.0</v>
      </c>
      <c r="B4364" s="5" t="s">
        <v>23812</v>
      </c>
      <c r="C4364" s="5" t="s">
        <v>23813</v>
      </c>
      <c r="D4364" s="5" t="s">
        <v>23814</v>
      </c>
      <c r="E4364" s="6" t="s">
        <v>24</v>
      </c>
      <c r="F4364" s="6" t="s">
        <v>23815</v>
      </c>
      <c r="G4364" s="3" t="str">
        <f>IFERROR(__xludf.DUMMYFUNCTION("REGEXREPLACE(
D4364,
""([一-龯々]+)\[([^\]]+)\]"",
""&lt;ruby&gt;$1&lt;rt&gt;$2&lt;/rt&gt;&lt;/ruby&gt;""
)&amp;""&lt;br&gt;&lt;div class=""""audio""""&gt;[sound:""&amp;C4364&amp;"".mp3]&lt;/div&gt;"""),"&lt;ruby&gt;汚&lt;rt&gt;よご&lt;/rt&gt;&lt;/ruby&gt;す&lt;br&gt;&lt;div class=""audio""&gt;[sound:よごす.mp3]&lt;/div&gt;")</f>
        <v>&lt;ruby&gt;汚&lt;rt&gt;よご&lt;/rt&gt;&lt;/ruby&gt;す&lt;br&gt;&lt;div class="audio"&gt;[sound:よごす.mp3]&lt;/div&gt;</v>
      </c>
      <c r="H4364" s="3" t="str">
        <f t="shared" si="1"/>
        <v>(v): làm bẩn</v>
      </c>
      <c r="I4364" s="6" t="s">
        <v>23816</v>
      </c>
      <c r="J4364" s="6" t="s">
        <v>23817</v>
      </c>
      <c r="K4364" s="7">
        <f t="shared" si="2"/>
        <v>0.8628803911</v>
      </c>
    </row>
    <row r="4365">
      <c r="A4365" s="4">
        <v>4365.0</v>
      </c>
      <c r="B4365" s="5" t="s">
        <v>23818</v>
      </c>
      <c r="C4365" s="5" t="s">
        <v>23819</v>
      </c>
      <c r="D4365" s="5" t="s">
        <v>23820</v>
      </c>
      <c r="E4365" s="6" t="s">
        <v>24</v>
      </c>
      <c r="F4365" s="6" t="s">
        <v>12878</v>
      </c>
      <c r="G4365" s="3" t="str">
        <f>IFERROR(__xludf.DUMMYFUNCTION("REGEXREPLACE(
D4365,
""([一-龯々]+)\[([^\]]+)\]"",
""&lt;ruby&gt;$1&lt;rt&gt;$2&lt;/rt&gt;&lt;/ruby&gt;""
)&amp;""&lt;br&gt;&lt;div class=""""audio""""&gt;[sound:""&amp;C4365&amp;"".mp3]&lt;/div&gt;"""),"&lt;ruby&gt;退&lt;rt&gt;ど&lt;/rt&gt;&lt;/ruby&gt;ける&lt;br&gt;&lt;div class=""audio""&gt;[sound:どける.mp3]&lt;/div&gt;")</f>
        <v>&lt;ruby&gt;退&lt;rt&gt;ど&lt;/rt&gt;&lt;/ruby&gt;ける&lt;br&gt;&lt;div class="audio"&gt;[sound:どける.mp3]&lt;/div&gt;</v>
      </c>
      <c r="H4365" s="3" t="str">
        <f t="shared" si="1"/>
        <v>(v): loại bỏ</v>
      </c>
      <c r="I4365" s="6" t="s">
        <v>23821</v>
      </c>
      <c r="J4365" s="6" t="s">
        <v>23822</v>
      </c>
      <c r="K4365" s="7">
        <f t="shared" si="2"/>
        <v>0.5516832717</v>
      </c>
    </row>
    <row r="4366">
      <c r="A4366" s="4">
        <v>4366.0</v>
      </c>
      <c r="B4366" s="5" t="s">
        <v>23823</v>
      </c>
      <c r="C4366" s="5" t="s">
        <v>23824</v>
      </c>
      <c r="D4366" s="5" t="s">
        <v>23825</v>
      </c>
      <c r="E4366" s="6" t="s">
        <v>24</v>
      </c>
      <c r="F4366" s="6" t="s">
        <v>23826</v>
      </c>
      <c r="G4366" s="3" t="str">
        <f>IFERROR(__xludf.DUMMYFUNCTION("REGEXREPLACE(
D4366,
""([一-龯々]+)\[([^\]]+)\]"",
""&lt;ruby&gt;$1&lt;rt&gt;$2&lt;/rt&gt;&lt;/ruby&gt;""
)&amp;""&lt;br&gt;&lt;div class=""""audio""""&gt;[sound:""&amp;C4366&amp;"".mp3]&lt;/div&gt;"""),"&lt;ruby&gt;震&lt;rt&gt;ふる&lt;/rt&gt;&lt;/ruby&gt;える&lt;br&gt;&lt;div class=""audio""&gt;[sound:ふるえる.mp3]&lt;/div&gt;")</f>
        <v>&lt;ruby&gt;震&lt;rt&gt;ふる&lt;/rt&gt;&lt;/ruby&gt;える&lt;br&gt;&lt;div class="audio"&gt;[sound:ふるえる.mp3]&lt;/div&gt;</v>
      </c>
      <c r="H4366" s="3" t="str">
        <f t="shared" si="1"/>
        <v>(v): run rẩy</v>
      </c>
      <c r="I4366" s="6" t="s">
        <v>23827</v>
      </c>
      <c r="J4366" s="6" t="s">
        <v>23828</v>
      </c>
      <c r="K4366" s="7">
        <f t="shared" si="2"/>
        <v>0.3088997508</v>
      </c>
    </row>
    <row r="4367">
      <c r="A4367" s="4">
        <v>4367.0</v>
      </c>
      <c r="B4367" s="5" t="s">
        <v>23829</v>
      </c>
      <c r="C4367" s="5" t="s">
        <v>23830</v>
      </c>
      <c r="D4367" s="5" t="s">
        <v>23831</v>
      </c>
      <c r="E4367" s="6" t="s">
        <v>74</v>
      </c>
      <c r="F4367" s="6" t="s">
        <v>23832</v>
      </c>
      <c r="G4367" s="3" t="str">
        <f>IFERROR(__xludf.DUMMYFUNCTION("REGEXREPLACE(
D4367,
""([一-龯々]+)\[([^\]]+)\]"",
""&lt;ruby&gt;$1&lt;rt&gt;$2&lt;/rt&gt;&lt;/ruby&gt;""
)&amp;""&lt;br&gt;&lt;div class=""""audio""""&gt;[sound:""&amp;C4367&amp;"".mp3]&lt;/div&gt;"""),"&lt;ruby&gt;大使&lt;rt&gt;たいし&lt;/rt&gt;&lt;/ruby&gt;&lt;br&gt;&lt;div class=""audio""&gt;[sound:たいし.mp3]&lt;/div&gt;")</f>
        <v>&lt;ruby&gt;大使&lt;rt&gt;たいし&lt;/rt&gt;&lt;/ruby&gt;&lt;br&gt;&lt;div class="audio"&gt;[sound:たいし.mp3]&lt;/div&gt;</v>
      </c>
      <c r="H4367" s="3" t="str">
        <f t="shared" si="1"/>
        <v>(n): đại sứ</v>
      </c>
      <c r="I4367" s="6" t="s">
        <v>23833</v>
      </c>
      <c r="J4367" s="6" t="s">
        <v>23834</v>
      </c>
      <c r="K4367" s="7">
        <f t="shared" si="2"/>
        <v>0.5605503477</v>
      </c>
    </row>
    <row r="4368">
      <c r="A4368" s="4">
        <v>4368.0</v>
      </c>
      <c r="B4368" s="5" t="s">
        <v>23835</v>
      </c>
      <c r="C4368" s="5" t="s">
        <v>23836</v>
      </c>
      <c r="D4368" s="5" t="s">
        <v>23837</v>
      </c>
      <c r="E4368" s="6" t="s">
        <v>74</v>
      </c>
      <c r="F4368" s="6" t="s">
        <v>23838</v>
      </c>
      <c r="G4368" s="3" t="str">
        <f>IFERROR(__xludf.DUMMYFUNCTION("REGEXREPLACE(
D4368,
""([一-龯々]+)\[([^\]]+)\]"",
""&lt;ruby&gt;$1&lt;rt&gt;$2&lt;/rt&gt;&lt;/ruby&gt;""
)&amp;""&lt;br&gt;&lt;div class=""""audio""""&gt;[sound:""&amp;C4368&amp;"".mp3]&lt;/div&gt;"""),"&lt;ruby&gt;悪魔&lt;rt&gt;あくま&lt;/rt&gt;&lt;/ruby&gt;&lt;br&gt;&lt;div class=""audio""&gt;[sound:あくま.mp3]&lt;/div&gt;")</f>
        <v>&lt;ruby&gt;悪魔&lt;rt&gt;あくま&lt;/rt&gt;&lt;/ruby&gt;&lt;br&gt;&lt;div class="audio"&gt;[sound:あくま.mp3]&lt;/div&gt;</v>
      </c>
      <c r="H4368" s="3" t="str">
        <f t="shared" si="1"/>
        <v>(n): ác quỷ</v>
      </c>
      <c r="I4368" s="6" t="s">
        <v>23839</v>
      </c>
      <c r="J4368" s="6" t="s">
        <v>23840</v>
      </c>
      <c r="K4368" s="7">
        <f t="shared" si="2"/>
        <v>0.4491351838</v>
      </c>
    </row>
    <row r="4369">
      <c r="A4369" s="4">
        <v>4369.0</v>
      </c>
      <c r="B4369" s="5" t="s">
        <v>23841</v>
      </c>
      <c r="C4369" s="5" t="s">
        <v>23842</v>
      </c>
      <c r="D4369" s="5" t="s">
        <v>23843</v>
      </c>
      <c r="E4369" s="6" t="s">
        <v>11</v>
      </c>
      <c r="F4369" s="6" t="s">
        <v>20083</v>
      </c>
      <c r="G4369" s="3" t="str">
        <f>IFERROR(__xludf.DUMMYFUNCTION("REGEXREPLACE(
D4369,
""([一-龯々]+)\[([^\]]+)\]"",
""&lt;ruby&gt;$1&lt;rt&gt;$2&lt;/rt&gt;&lt;/ruby&gt;""
)&amp;""&lt;br&gt;&lt;div class=""""audio""""&gt;[sound:""&amp;C4369&amp;"".mp3]&lt;/div&gt;"""),"&lt;ruby&gt;貧&lt;rt&gt;まず&lt;/rt&gt;&lt;/ruby&gt;しい&lt;br&gt;&lt;div class=""audio""&gt;[sound:まずしい.mp3]&lt;/div&gt;")</f>
        <v>&lt;ruby&gt;貧&lt;rt&gt;まず&lt;/rt&gt;&lt;/ruby&gt;しい&lt;br&gt;&lt;div class="audio"&gt;[sound:まずしい.mp3]&lt;/div&gt;</v>
      </c>
      <c r="H4369" s="3" t="str">
        <f t="shared" si="1"/>
        <v>(adj): nghèo</v>
      </c>
      <c r="I4369" s="6" t="s">
        <v>23844</v>
      </c>
      <c r="J4369" s="6" t="s">
        <v>23845</v>
      </c>
      <c r="K4369" s="7">
        <f t="shared" si="2"/>
        <v>0.2431921147</v>
      </c>
    </row>
    <row r="4370">
      <c r="A4370" s="4">
        <v>4370.0</v>
      </c>
      <c r="B4370" s="5" t="s">
        <v>23846</v>
      </c>
      <c r="C4370" s="5" t="s">
        <v>23847</v>
      </c>
      <c r="D4370" s="5" t="s">
        <v>23848</v>
      </c>
      <c r="E4370" s="6" t="s">
        <v>24</v>
      </c>
      <c r="F4370" s="6" t="s">
        <v>23849</v>
      </c>
      <c r="G4370" s="3" t="str">
        <f>IFERROR(__xludf.DUMMYFUNCTION("REGEXREPLACE(
D4370,
""([一-龯々]+)\[([^\]]+)\]"",
""&lt;ruby&gt;$1&lt;rt&gt;$2&lt;/rt&gt;&lt;/ruby&gt;""
)&amp;""&lt;br&gt;&lt;div class=""""audio""""&gt;[sound:""&amp;C4370&amp;"".mp3]&lt;/div&gt;"""),"&lt;ruby&gt;縫&lt;rt&gt;ぬ&lt;/rt&gt;&lt;/ruby&gt;う&lt;br&gt;&lt;div class=""audio""&gt;[sound:ぬう.mp3]&lt;/div&gt;")</f>
        <v>&lt;ruby&gt;縫&lt;rt&gt;ぬ&lt;/rt&gt;&lt;/ruby&gt;う&lt;br&gt;&lt;div class="audio"&gt;[sound:ぬう.mp3]&lt;/div&gt;</v>
      </c>
      <c r="H4370" s="3" t="str">
        <f t="shared" si="1"/>
        <v>(v): khâu</v>
      </c>
      <c r="I4370" s="6" t="s">
        <v>23850</v>
      </c>
      <c r="J4370" s="6" t="s">
        <v>23851</v>
      </c>
      <c r="K4370" s="7">
        <f t="shared" si="2"/>
        <v>0.2717632861</v>
      </c>
    </row>
    <row r="4371">
      <c r="A4371" s="4">
        <v>4371.0</v>
      </c>
      <c r="B4371" s="5" t="s">
        <v>23852</v>
      </c>
      <c r="C4371" s="5" t="s">
        <v>23852</v>
      </c>
      <c r="D4371" s="5" t="s">
        <v>23852</v>
      </c>
      <c r="E4371" s="6" t="s">
        <v>74</v>
      </c>
      <c r="F4371" s="6" t="s">
        <v>23853</v>
      </c>
      <c r="G4371" s="3" t="str">
        <f>IFERROR(__xludf.DUMMYFUNCTION("REGEXREPLACE(
D4371,
""([一-龯々]+)\[([^\]]+)\]"",
""&lt;ruby&gt;$1&lt;rt&gt;$2&lt;/rt&gt;&lt;/ruby&gt;""
)&amp;""&lt;br&gt;&lt;div class=""""audio""""&gt;[sound:""&amp;C4371&amp;"".mp3]&lt;/div&gt;"""),"ジャム&lt;br&gt;&lt;div class=""audio""&gt;[sound:ジャム.mp3]&lt;/div&gt;")</f>
        <v>ジャム&lt;br&gt;&lt;div class="audio"&gt;[sound:ジャム.mp3]&lt;/div&gt;</v>
      </c>
      <c r="H4371" s="3" t="str">
        <f t="shared" si="1"/>
        <v>(n): mứt</v>
      </c>
      <c r="I4371" s="6" t="s">
        <v>23854</v>
      </c>
      <c r="J4371" s="6" t="s">
        <v>23855</v>
      </c>
      <c r="K4371" s="7">
        <f t="shared" si="2"/>
        <v>0.7664053387</v>
      </c>
    </row>
    <row r="4372">
      <c r="A4372" s="4">
        <v>4372.0</v>
      </c>
      <c r="B4372" s="5" t="s">
        <v>23856</v>
      </c>
      <c r="C4372" s="5" t="s">
        <v>23857</v>
      </c>
      <c r="D4372" s="5" t="s">
        <v>23858</v>
      </c>
      <c r="E4372" s="6" t="s">
        <v>74</v>
      </c>
      <c r="F4372" s="6" t="s">
        <v>23859</v>
      </c>
      <c r="G4372" s="3" t="str">
        <f>IFERROR(__xludf.DUMMYFUNCTION("REGEXREPLACE(
D4372,
""([一-龯々]+)\[([^\]]+)\]"",
""&lt;ruby&gt;$1&lt;rt&gt;$2&lt;/rt&gt;&lt;/ruby&gt;""
)&amp;""&lt;br&gt;&lt;div class=""""audio""""&gt;[sound:""&amp;C4372&amp;"".mp3]&lt;/div&gt;"""),"&lt;ruby&gt;送料&lt;rt&gt;そうりょう&lt;/rt&gt;&lt;/ruby&gt;&lt;br&gt;&lt;div class=""audio""&gt;[sound:そうりょう.mp3]&lt;/div&gt;")</f>
        <v>&lt;ruby&gt;送料&lt;rt&gt;そうりょう&lt;/rt&gt;&lt;/ruby&gt;&lt;br&gt;&lt;div class="audio"&gt;[sound:そうりょう.mp3]&lt;/div&gt;</v>
      </c>
      <c r="H4372" s="3" t="str">
        <f t="shared" si="1"/>
        <v>(n): phí vận chuyển</v>
      </c>
      <c r="I4372" s="6" t="s">
        <v>23860</v>
      </c>
      <c r="J4372" s="6" t="s">
        <v>23861</v>
      </c>
      <c r="K4372" s="7">
        <f t="shared" si="2"/>
        <v>0.8775341618</v>
      </c>
    </row>
    <row r="4373">
      <c r="A4373" s="4">
        <v>4373.0</v>
      </c>
      <c r="B4373" s="5" t="s">
        <v>23862</v>
      </c>
      <c r="C4373" s="5" t="s">
        <v>23863</v>
      </c>
      <c r="D4373" s="5" t="s">
        <v>23862</v>
      </c>
      <c r="E4373" s="6" t="s">
        <v>74</v>
      </c>
      <c r="F4373" s="6" t="s">
        <v>23864</v>
      </c>
      <c r="G4373" s="3" t="str">
        <f>IFERROR(__xludf.DUMMYFUNCTION("REGEXREPLACE(
D4373,
""([一-龯々]+)\[([^\]]+)\]"",
""&lt;ruby&gt;$1&lt;rt&gt;$2&lt;/rt&gt;&lt;/ruby&gt;""
)&amp;""&lt;br&gt;&lt;div class=""""audio""""&gt;[sound:""&amp;C4373&amp;"".mp3]&lt;/div&gt;"""),"キャプテン&lt;br&gt;&lt;div class=""audio""&gt;[sound:きゃぷてん.mp3]&lt;/div&gt;")</f>
        <v>キャプテン&lt;br&gt;&lt;div class="audio"&gt;[sound:きゃぷてん.mp3]&lt;/div&gt;</v>
      </c>
      <c r="H4373" s="3" t="str">
        <f t="shared" si="1"/>
        <v>(n): đội trưởng</v>
      </c>
      <c r="I4373" s="6" t="s">
        <v>23865</v>
      </c>
      <c r="J4373" s="6" t="s">
        <v>23866</v>
      </c>
      <c r="K4373" s="7">
        <f t="shared" si="2"/>
        <v>0.8733759407</v>
      </c>
    </row>
    <row r="4374">
      <c r="A4374" s="4">
        <v>4374.0</v>
      </c>
      <c r="B4374" s="5" t="s">
        <v>23867</v>
      </c>
      <c r="C4374" s="5" t="s">
        <v>23868</v>
      </c>
      <c r="D4374" s="5" t="s">
        <v>23869</v>
      </c>
      <c r="E4374" s="6" t="s">
        <v>74</v>
      </c>
      <c r="F4374" s="6" t="s">
        <v>657</v>
      </c>
      <c r="G4374" s="3" t="str">
        <f>IFERROR(__xludf.DUMMYFUNCTION("REGEXREPLACE(
D4374,
""([一-龯々]+)\[([^\]]+)\]"",
""&lt;ruby&gt;$1&lt;rt&gt;$2&lt;/rt&gt;&lt;/ruby&gt;""
)&amp;""&lt;br&gt;&lt;div class=""""audio""""&gt;[sound:""&amp;C4374&amp;"".mp3]&lt;/div&gt;"""),"&lt;ruby&gt;加減&lt;rt&gt;かげん&lt;/rt&gt;&lt;/ruby&gt;&lt;br&gt;&lt;div class=""audio""&gt;[sound:かげん.mp3]&lt;/div&gt;")</f>
        <v>&lt;ruby&gt;加減&lt;rt&gt;かげん&lt;/rt&gt;&lt;/ruby&gt;&lt;br&gt;&lt;div class="audio"&gt;[sound:かげん.mp3]&lt;/div&gt;</v>
      </c>
      <c r="H4374" s="3" t="str">
        <f t="shared" si="1"/>
        <v>(n): điều chỉnh</v>
      </c>
      <c r="I4374" s="6" t="s">
        <v>23870</v>
      </c>
      <c r="J4374" s="6" t="s">
        <v>23871</v>
      </c>
      <c r="K4374" s="7">
        <f t="shared" si="2"/>
        <v>0.7967382138</v>
      </c>
    </row>
    <row r="4375">
      <c r="A4375" s="4">
        <v>4375.0</v>
      </c>
      <c r="B4375" s="5" t="s">
        <v>23872</v>
      </c>
      <c r="C4375" s="5" t="s">
        <v>23873</v>
      </c>
      <c r="D4375" s="5" t="s">
        <v>23874</v>
      </c>
      <c r="E4375" s="6" t="s">
        <v>11</v>
      </c>
      <c r="F4375" s="6" t="s">
        <v>23875</v>
      </c>
      <c r="G4375" s="3" t="str">
        <f>IFERROR(__xludf.DUMMYFUNCTION("REGEXREPLACE(
D4375,
""([一-龯々]+)\[([^\]]+)\]"",
""&lt;ruby&gt;$1&lt;rt&gt;$2&lt;/rt&gt;&lt;/ruby&gt;""
)&amp;""&lt;br&gt;&lt;div class=""""audio""""&gt;[sound:""&amp;C4375&amp;"".mp3]&lt;/div&gt;"""),"&lt;ruby&gt;平&lt;rt&gt;たい&lt;/rt&gt;&lt;/ruby&gt;ら&lt;br&gt;&lt;div class=""audio""&gt;[sound:たいら.mp3]&lt;/div&gt;")</f>
        <v>&lt;ruby&gt;平&lt;rt&gt;たい&lt;/rt&gt;&lt;/ruby&gt;ら&lt;br&gt;&lt;div class="audio"&gt;[sound:たいら.mp3]&lt;/div&gt;</v>
      </c>
      <c r="H4375" s="3" t="str">
        <f t="shared" si="1"/>
        <v>(adj): bằng phẳng</v>
      </c>
      <c r="I4375" s="6" t="s">
        <v>23876</v>
      </c>
      <c r="J4375" s="6" t="s">
        <v>23877</v>
      </c>
      <c r="K4375" s="7">
        <f t="shared" si="2"/>
        <v>0.2236227401</v>
      </c>
    </row>
    <row r="4376">
      <c r="A4376" s="4">
        <v>4376.0</v>
      </c>
      <c r="B4376" s="5" t="s">
        <v>23878</v>
      </c>
      <c r="C4376" s="5" t="s">
        <v>23879</v>
      </c>
      <c r="D4376" s="5" t="s">
        <v>23880</v>
      </c>
      <c r="E4376" s="6" t="s">
        <v>24</v>
      </c>
      <c r="F4376" s="6" t="s">
        <v>23881</v>
      </c>
      <c r="G4376" s="3" t="str">
        <f>IFERROR(__xludf.DUMMYFUNCTION("REGEXREPLACE(
D4376,
""([一-龯々]+)\[([^\]]+)\]"",
""&lt;ruby&gt;$1&lt;rt&gt;$2&lt;/rt&gt;&lt;/ruby&gt;""
)&amp;""&lt;br&gt;&lt;div class=""""audio""""&gt;[sound:""&amp;C4376&amp;"".mp3]&lt;/div&gt;"""),"&lt;ruby&gt;弱&lt;rt&gt;よわ&lt;/rt&gt;&lt;/ruby&gt;める&lt;br&gt;&lt;div class=""audio""&gt;[sound:よわめる.mp3]&lt;/div&gt;")</f>
        <v>&lt;ruby&gt;弱&lt;rt&gt;よわ&lt;/rt&gt;&lt;/ruby&gt;める&lt;br&gt;&lt;div class="audio"&gt;[sound:よわめる.mp3]&lt;/div&gt;</v>
      </c>
      <c r="H4376" s="3" t="str">
        <f t="shared" si="1"/>
        <v>(v): làm yếu đi</v>
      </c>
      <c r="I4376" s="6" t="s">
        <v>23882</v>
      </c>
      <c r="J4376" s="6" t="s">
        <v>23883</v>
      </c>
      <c r="K4376" s="7">
        <f t="shared" si="2"/>
        <v>0.3590998177</v>
      </c>
    </row>
    <row r="4377">
      <c r="A4377" s="4">
        <v>4377.0</v>
      </c>
      <c r="B4377" s="5" t="s">
        <v>23884</v>
      </c>
      <c r="C4377" s="5" t="s">
        <v>23884</v>
      </c>
      <c r="D4377" s="5" t="s">
        <v>23884</v>
      </c>
      <c r="E4377" s="6" t="s">
        <v>85</v>
      </c>
      <c r="F4377" s="6" t="s">
        <v>23885</v>
      </c>
      <c r="G4377" s="3" t="str">
        <f>IFERROR(__xludf.DUMMYFUNCTION("REGEXREPLACE(
D4377,
""([一-龯々]+)\[([^\]]+)\]"",
""&lt;ruby&gt;$1&lt;rt&gt;$2&lt;/rt&gt;&lt;/ruby&gt;""
)&amp;""&lt;br&gt;&lt;div class=""""audio""""&gt;[sound:""&amp;C4377&amp;"".mp3]&lt;/div&gt;"""),"そうっと&lt;br&gt;&lt;div class=""audio""&gt;[sound:そうっと.mp3]&lt;/div&gt;")</f>
        <v>そうっと&lt;br&gt;&lt;div class="audio"&gt;[sound:そうっと.mp3]&lt;/div&gt;</v>
      </c>
      <c r="H4377" s="3" t="str">
        <f t="shared" si="1"/>
        <v>(adv): nhẹ nhàng</v>
      </c>
      <c r="I4377" s="6" t="s">
        <v>23886</v>
      </c>
      <c r="J4377" s="6" t="s">
        <v>23887</v>
      </c>
      <c r="K4377" s="7">
        <f t="shared" si="2"/>
        <v>0.2511198177</v>
      </c>
    </row>
    <row r="4378">
      <c r="A4378" s="4">
        <v>4378.0</v>
      </c>
      <c r="B4378" s="5" t="s">
        <v>23888</v>
      </c>
      <c r="C4378" s="5" t="s">
        <v>23889</v>
      </c>
      <c r="D4378" s="5" t="s">
        <v>23890</v>
      </c>
      <c r="E4378" s="6" t="s">
        <v>74</v>
      </c>
      <c r="F4378" s="6" t="s">
        <v>23891</v>
      </c>
      <c r="G4378" s="3" t="str">
        <f>IFERROR(__xludf.DUMMYFUNCTION("REGEXREPLACE(
D4378,
""([一-龯々]+)\[([^\]]+)\]"",
""&lt;ruby&gt;$1&lt;rt&gt;$2&lt;/rt&gt;&lt;/ruby&gt;""
)&amp;""&lt;br&gt;&lt;div class=""""audio""""&gt;[sound:""&amp;C4378&amp;"".mp3]&lt;/div&gt;"""),"&lt;ruby&gt;分類&lt;rt&gt;ぶんるい&lt;/rt&gt;&lt;/ruby&gt;&lt;br&gt;&lt;div class=""audio""&gt;[sound:ぶんるい.mp3]&lt;/div&gt;")</f>
        <v>&lt;ruby&gt;分類&lt;rt&gt;ぶんるい&lt;/rt&gt;&lt;/ruby&gt;&lt;br&gt;&lt;div class="audio"&gt;[sound:ぶんるい.mp3]&lt;/div&gt;</v>
      </c>
      <c r="H4378" s="3" t="str">
        <f t="shared" si="1"/>
        <v>(n): phân loại</v>
      </c>
      <c r="I4378" s="6" t="s">
        <v>23892</v>
      </c>
      <c r="J4378" s="6" t="s">
        <v>23893</v>
      </c>
      <c r="K4378" s="7">
        <f t="shared" si="2"/>
        <v>0.22854082</v>
      </c>
    </row>
    <row r="4379">
      <c r="A4379" s="4">
        <v>4379.0</v>
      </c>
      <c r="B4379" s="5" t="s">
        <v>23894</v>
      </c>
      <c r="C4379" s="5" t="s">
        <v>23895</v>
      </c>
      <c r="D4379" s="5" t="s">
        <v>23896</v>
      </c>
      <c r="E4379" s="6" t="s">
        <v>74</v>
      </c>
      <c r="F4379" s="6" t="s">
        <v>23897</v>
      </c>
      <c r="G4379" s="3" t="str">
        <f>IFERROR(__xludf.DUMMYFUNCTION("REGEXREPLACE(
D4379,
""([一-龯々]+)\[([^\]]+)\]"",
""&lt;ruby&gt;$1&lt;rt&gt;$2&lt;/rt&gt;&lt;/ruby&gt;""
)&amp;""&lt;br&gt;&lt;div class=""""audio""""&gt;[sound:""&amp;C4379&amp;"".mp3]&lt;/div&gt;"""),"&lt;ruby&gt;行方&lt;rt&gt;ゆくえ&lt;/rt&gt;&lt;/ruby&gt;&lt;br&gt;&lt;div class=""audio""&gt;[sound:ゆくえ.mp3]&lt;/div&gt;")</f>
        <v>&lt;ruby&gt;行方&lt;rt&gt;ゆくえ&lt;/rt&gt;&lt;/ruby&gt;&lt;br&gt;&lt;div class="audio"&gt;[sound:ゆくえ.mp3]&lt;/div&gt;</v>
      </c>
      <c r="H4379" s="3" t="str">
        <f t="shared" si="1"/>
        <v>(n): tung tích</v>
      </c>
      <c r="I4379" s="6" t="s">
        <v>23898</v>
      </c>
      <c r="J4379" s="6" t="s">
        <v>23899</v>
      </c>
      <c r="K4379" s="7">
        <f t="shared" si="2"/>
        <v>0.369980549</v>
      </c>
    </row>
    <row r="4380">
      <c r="A4380" s="4">
        <v>4380.0</v>
      </c>
      <c r="B4380" s="5" t="s">
        <v>23900</v>
      </c>
      <c r="C4380" s="5" t="s">
        <v>23901</v>
      </c>
      <c r="D4380" s="5" t="s">
        <v>23902</v>
      </c>
      <c r="E4380" s="6" t="s">
        <v>74</v>
      </c>
      <c r="F4380" s="6" t="s">
        <v>23903</v>
      </c>
      <c r="G4380" s="3" t="str">
        <f>IFERROR(__xludf.DUMMYFUNCTION("REGEXREPLACE(
D4380,
""([一-龯々]+)\[([^\]]+)\]"",
""&lt;ruby&gt;$1&lt;rt&gt;$2&lt;/rt&gt;&lt;/ruby&gt;""
)&amp;""&lt;br&gt;&lt;div class=""""audio""""&gt;[sound:""&amp;C4380&amp;"".mp3]&lt;/div&gt;"""),"&lt;ruby&gt;先端&lt;rt&gt;せんたん&lt;/rt&gt;&lt;/ruby&gt;&lt;br&gt;&lt;div class=""audio""&gt;[sound:せんたん.mp3]&lt;/div&gt;")</f>
        <v>&lt;ruby&gt;先端&lt;rt&gt;せんたん&lt;/rt&gt;&lt;/ruby&gt;&lt;br&gt;&lt;div class="audio"&gt;[sound:せんたん.mp3]&lt;/div&gt;</v>
      </c>
      <c r="H4380" s="3" t="str">
        <f t="shared" si="1"/>
        <v>(n): mũi nhọn</v>
      </c>
      <c r="I4380" s="6" t="s">
        <v>23904</v>
      </c>
      <c r="J4380" s="6" t="s">
        <v>23905</v>
      </c>
      <c r="K4380" s="7">
        <f t="shared" si="2"/>
        <v>0.9088688105</v>
      </c>
    </row>
    <row r="4381">
      <c r="A4381" s="4">
        <v>4381.0</v>
      </c>
      <c r="B4381" s="5" t="s">
        <v>23906</v>
      </c>
      <c r="C4381" s="5" t="s">
        <v>23907</v>
      </c>
      <c r="D4381" s="5" t="s">
        <v>23908</v>
      </c>
      <c r="E4381" s="6" t="s">
        <v>74</v>
      </c>
      <c r="F4381" s="6" t="s">
        <v>23909</v>
      </c>
      <c r="G4381" s="3" t="str">
        <f>IFERROR(__xludf.DUMMYFUNCTION("REGEXREPLACE(
D4381,
""([一-龯々]+)\[([^\]]+)\]"",
""&lt;ruby&gt;$1&lt;rt&gt;$2&lt;/rt&gt;&lt;/ruby&gt;""
)&amp;""&lt;br&gt;&lt;div class=""""audio""""&gt;[sound:""&amp;C4381&amp;"".mp3]&lt;/div&gt;"""),"&lt;ruby&gt;平仮名&lt;rt&gt;ひらがな&lt;/rt&gt;&lt;/ruby&gt;&lt;br&gt;&lt;div class=""audio""&gt;[sound:ひらがな.mp3]&lt;/div&gt;")</f>
        <v>&lt;ruby&gt;平仮名&lt;rt&gt;ひらがな&lt;/rt&gt;&lt;/ruby&gt;&lt;br&gt;&lt;div class="audio"&gt;[sound:ひらがな.mp3]&lt;/div&gt;</v>
      </c>
      <c r="H4381" s="3" t="str">
        <f t="shared" si="1"/>
        <v>(n): hiragana</v>
      </c>
      <c r="I4381" s="6" t="s">
        <v>23910</v>
      </c>
      <c r="J4381" s="6" t="s">
        <v>23911</v>
      </c>
      <c r="K4381" s="7">
        <f t="shared" si="2"/>
        <v>0.1625563469</v>
      </c>
    </row>
    <row r="4382">
      <c r="A4382" s="4">
        <v>4382.0</v>
      </c>
      <c r="B4382" s="5" t="s">
        <v>23912</v>
      </c>
      <c r="C4382" s="5" t="s">
        <v>253</v>
      </c>
      <c r="D4382" s="5" t="s">
        <v>23913</v>
      </c>
      <c r="E4382" s="6" t="s">
        <v>24</v>
      </c>
      <c r="F4382" s="6" t="s">
        <v>23914</v>
      </c>
      <c r="G4382" s="3" t="str">
        <f>IFERROR(__xludf.DUMMYFUNCTION("REGEXREPLACE(
D4382,
""([一-龯々]+)\[([^\]]+)\]"",
""&lt;ruby&gt;$1&lt;rt&gt;$2&lt;/rt&gt;&lt;/ruby&gt;""
)&amp;""&lt;br&gt;&lt;div class=""""audio""""&gt;[sound:""&amp;C4382&amp;"".mp3]&lt;/div&gt;"""),"&lt;ruby&gt;賭&lt;rt&gt;か&lt;/rt&gt;&lt;/ruby&gt;ける&lt;br&gt;&lt;div class=""audio""&gt;[sound:かける.mp3]&lt;/div&gt;")</f>
        <v>&lt;ruby&gt;賭&lt;rt&gt;か&lt;/rt&gt;&lt;/ruby&gt;ける&lt;br&gt;&lt;div class="audio"&gt;[sound:かける.mp3]&lt;/div&gt;</v>
      </c>
      <c r="H4382" s="3" t="str">
        <f t="shared" si="1"/>
        <v>(v): đặt cược</v>
      </c>
      <c r="I4382" s="6" t="s">
        <v>23915</v>
      </c>
      <c r="J4382" s="6" t="s">
        <v>23916</v>
      </c>
      <c r="K4382" s="7">
        <f t="shared" si="2"/>
        <v>0.6026959564</v>
      </c>
    </row>
    <row r="4383">
      <c r="A4383" s="4">
        <v>4383.0</v>
      </c>
      <c r="B4383" s="5" t="s">
        <v>23917</v>
      </c>
      <c r="C4383" s="5" t="s">
        <v>23918</v>
      </c>
      <c r="D4383" s="5" t="s">
        <v>23919</v>
      </c>
      <c r="E4383" s="6" t="s">
        <v>11</v>
      </c>
      <c r="F4383" s="6" t="s">
        <v>23920</v>
      </c>
      <c r="G4383" s="3" t="str">
        <f>IFERROR(__xludf.DUMMYFUNCTION("REGEXREPLACE(
D4383,
""([一-龯々]+)\[([^\]]+)\]"",
""&lt;ruby&gt;$1&lt;rt&gt;$2&lt;/rt&gt;&lt;/ruby&gt;""
)&amp;""&lt;br&gt;&lt;div class=""""audio""""&gt;[sound:""&amp;C4383&amp;"".mp3]&lt;/div&gt;"""),"&lt;ruby&gt;退屈&lt;rt&gt;たいくつ&lt;/rt&gt;&lt;/ruby&gt;&lt;br&gt;&lt;div class=""audio""&gt;[sound:たいくつ.mp3]&lt;/div&gt;")</f>
        <v>&lt;ruby&gt;退屈&lt;rt&gt;たいくつ&lt;/rt&gt;&lt;/ruby&gt;&lt;br&gt;&lt;div class="audio"&gt;[sound:たいくつ.mp3]&lt;/div&gt;</v>
      </c>
      <c r="H4383" s="3" t="str">
        <f t="shared" si="1"/>
        <v>(adj): chán nản</v>
      </c>
      <c r="I4383" s="6" t="s">
        <v>23921</v>
      </c>
      <c r="J4383" s="6" t="s">
        <v>23922</v>
      </c>
      <c r="K4383" s="7">
        <f t="shared" si="2"/>
        <v>0.8963386791</v>
      </c>
    </row>
    <row r="4384">
      <c r="A4384" s="4">
        <v>4384.0</v>
      </c>
      <c r="B4384" s="5" t="s">
        <v>23923</v>
      </c>
      <c r="C4384" s="5" t="s">
        <v>23924</v>
      </c>
      <c r="D4384" s="5" t="s">
        <v>23925</v>
      </c>
      <c r="E4384" s="6" t="s">
        <v>24</v>
      </c>
      <c r="F4384" s="6" t="s">
        <v>20588</v>
      </c>
      <c r="G4384" s="3" t="str">
        <f>IFERROR(__xludf.DUMMYFUNCTION("REGEXREPLACE(
D4384,
""([一-龯々]+)\[([^\]]+)\]"",
""&lt;ruby&gt;$1&lt;rt&gt;$2&lt;/rt&gt;&lt;/ruby&gt;""
)&amp;""&lt;br&gt;&lt;div class=""""audio""""&gt;[sound:""&amp;C4384&amp;"".mp3]&lt;/div&gt;"""),"&lt;ruby&gt;悔&lt;rt&gt;く&lt;/rt&gt;&lt;/ruby&gt;やむ&lt;br&gt;&lt;div class=""audio""&gt;[sound:くやむ.mp3]&lt;/div&gt;")</f>
        <v>&lt;ruby&gt;悔&lt;rt&gt;く&lt;/rt&gt;&lt;/ruby&gt;やむ&lt;br&gt;&lt;div class="audio"&gt;[sound:くやむ.mp3]&lt;/div&gt;</v>
      </c>
      <c r="H4384" s="3" t="str">
        <f t="shared" si="1"/>
        <v>(v): hối hận</v>
      </c>
      <c r="I4384" s="6" t="s">
        <v>23926</v>
      </c>
      <c r="J4384" s="6" t="s">
        <v>23927</v>
      </c>
      <c r="K4384" s="7">
        <f t="shared" si="2"/>
        <v>0.05042086534</v>
      </c>
    </row>
    <row r="4385">
      <c r="A4385" s="4">
        <v>4385.0</v>
      </c>
      <c r="B4385" s="5" t="s">
        <v>23928</v>
      </c>
      <c r="C4385" s="5" t="s">
        <v>23929</v>
      </c>
      <c r="D4385" s="5" t="s">
        <v>23930</v>
      </c>
      <c r="E4385" s="6" t="s">
        <v>74</v>
      </c>
      <c r="F4385" s="6" t="s">
        <v>23931</v>
      </c>
      <c r="G4385" s="3" t="str">
        <f>IFERROR(__xludf.DUMMYFUNCTION("REGEXREPLACE(
D4385,
""([一-龯々]+)\[([^\]]+)\]"",
""&lt;ruby&gt;$1&lt;rt&gt;$2&lt;/rt&gt;&lt;/ruby&gt;""
)&amp;""&lt;br&gt;&lt;div class=""""audio""""&gt;[sound:""&amp;C4385&amp;"".mp3]&lt;/div&gt;"""),"&lt;ruby&gt;矢印&lt;rt&gt;やじるし&lt;/rt&gt;&lt;/ruby&gt;&lt;br&gt;&lt;div class=""audio""&gt;[sound:やじるし.mp3]&lt;/div&gt;")</f>
        <v>&lt;ruby&gt;矢印&lt;rt&gt;やじるし&lt;/rt&gt;&lt;/ruby&gt;&lt;br&gt;&lt;div class="audio"&gt;[sound:やじるし.mp3]&lt;/div&gt;</v>
      </c>
      <c r="H4385" s="3" t="str">
        <f t="shared" si="1"/>
        <v>(n): mũi tên</v>
      </c>
      <c r="I4385" s="6" t="s">
        <v>23932</v>
      </c>
      <c r="J4385" s="6" t="s">
        <v>23933</v>
      </c>
      <c r="K4385" s="7">
        <f t="shared" si="2"/>
        <v>0.3776023007</v>
      </c>
    </row>
    <row r="4386">
      <c r="A4386" s="4">
        <v>4386.0</v>
      </c>
      <c r="B4386" s="5" t="s">
        <v>23934</v>
      </c>
      <c r="C4386" s="5" t="s">
        <v>23935</v>
      </c>
      <c r="D4386" s="5" t="s">
        <v>23936</v>
      </c>
      <c r="E4386" s="6" t="s">
        <v>74</v>
      </c>
      <c r="F4386" s="6" t="s">
        <v>23937</v>
      </c>
      <c r="G4386" s="3" t="str">
        <f>IFERROR(__xludf.DUMMYFUNCTION("REGEXREPLACE(
D4386,
""([一-龯々]+)\[([^\]]+)\]"",
""&lt;ruby&gt;$1&lt;rt&gt;$2&lt;/rt&gt;&lt;/ruby&gt;""
)&amp;""&lt;br&gt;&lt;div class=""""audio""""&gt;[sound:""&amp;C4386&amp;"".mp3]&lt;/div&gt;"""),"&lt;ruby&gt;学期&lt;rt&gt;がっき&lt;/rt&gt;&lt;/ruby&gt;&lt;br&gt;&lt;div class=""audio""&gt;[sound:がっき.mp3]&lt;/div&gt;")</f>
        <v>&lt;ruby&gt;学期&lt;rt&gt;がっき&lt;/rt&gt;&lt;/ruby&gt;&lt;br&gt;&lt;div class="audio"&gt;[sound:がっき.mp3]&lt;/div&gt;</v>
      </c>
      <c r="H4386" s="3" t="str">
        <f t="shared" si="1"/>
        <v>(n): học kỳ</v>
      </c>
      <c r="I4386" s="6" t="s">
        <v>23938</v>
      </c>
      <c r="J4386" s="6" t="s">
        <v>23939</v>
      </c>
      <c r="K4386" s="7">
        <f t="shared" si="2"/>
        <v>0.003163515976</v>
      </c>
    </row>
    <row r="4387">
      <c r="A4387" s="4">
        <v>4387.0</v>
      </c>
      <c r="B4387" s="5" t="s">
        <v>23940</v>
      </c>
      <c r="C4387" s="5" t="s">
        <v>23941</v>
      </c>
      <c r="D4387" s="5" t="s">
        <v>23942</v>
      </c>
      <c r="E4387" s="6" t="s">
        <v>74</v>
      </c>
      <c r="F4387" s="6" t="s">
        <v>23943</v>
      </c>
      <c r="G4387" s="3" t="str">
        <f>IFERROR(__xludf.DUMMYFUNCTION("REGEXREPLACE(
D4387,
""([一-龯々]+)\[([^\]]+)\]"",
""&lt;ruby&gt;$1&lt;rt&gt;$2&lt;/rt&gt;&lt;/ruby&gt;""
)&amp;""&lt;br&gt;&lt;div class=""""audio""""&gt;[sound:""&amp;C4387&amp;"".mp3]&lt;/div&gt;"""),"&lt;ruby&gt;善&lt;rt&gt;ぜん&lt;/rt&gt;&lt;/ruby&gt;&lt;br&gt;&lt;div class=""audio""&gt;[sound:ぜん.mp3]&lt;/div&gt;")</f>
        <v>&lt;ruby&gt;善&lt;rt&gt;ぜん&lt;/rt&gt;&lt;/ruby&gt;&lt;br&gt;&lt;div class="audio"&gt;[sound:ぜん.mp3]&lt;/div&gt;</v>
      </c>
      <c r="H4387" s="3" t="str">
        <f t="shared" si="1"/>
        <v>(n): thiện</v>
      </c>
      <c r="I4387" s="6" t="s">
        <v>23944</v>
      </c>
      <c r="J4387" s="6" t="s">
        <v>23945</v>
      </c>
      <c r="K4387" s="7">
        <f t="shared" si="2"/>
        <v>0.2583585228</v>
      </c>
    </row>
    <row r="4388">
      <c r="A4388" s="4">
        <v>4388.0</v>
      </c>
      <c r="B4388" s="5" t="s">
        <v>23946</v>
      </c>
      <c r="C4388" s="5" t="s">
        <v>23947</v>
      </c>
      <c r="D4388" s="5" t="s">
        <v>23948</v>
      </c>
      <c r="E4388" s="6" t="s">
        <v>24</v>
      </c>
      <c r="F4388" s="6" t="s">
        <v>23949</v>
      </c>
      <c r="G4388" s="3" t="str">
        <f>IFERROR(__xludf.DUMMYFUNCTION("REGEXREPLACE(
D4388,
""([一-龯々]+)\[([^\]]+)\]"",
""&lt;ruby&gt;$1&lt;rt&gt;$2&lt;/rt&gt;&lt;/ruby&gt;""
)&amp;""&lt;br&gt;&lt;div class=""""audio""""&gt;[sound:""&amp;C4388&amp;"".mp3]&lt;/div&gt;"""),"&lt;ruby&gt;泳&lt;rt&gt;およ&lt;/rt&gt;&lt;/ruby&gt;ぐ&lt;br&gt;&lt;div class=""audio""&gt;[sound:およぐ.mp3]&lt;/div&gt;")</f>
        <v>&lt;ruby&gt;泳&lt;rt&gt;およ&lt;/rt&gt;&lt;/ruby&gt;ぐ&lt;br&gt;&lt;div class="audio"&gt;[sound:およぐ.mp3]&lt;/div&gt;</v>
      </c>
      <c r="H4388" s="3" t="str">
        <f t="shared" si="1"/>
        <v>(v): bơi</v>
      </c>
      <c r="I4388" s="6" t="s">
        <v>23950</v>
      </c>
      <c r="J4388" s="6" t="s">
        <v>23951</v>
      </c>
      <c r="K4388" s="7">
        <f t="shared" si="2"/>
        <v>0.4855151796</v>
      </c>
    </row>
    <row r="4389">
      <c r="A4389" s="4">
        <v>4389.0</v>
      </c>
      <c r="B4389" s="5" t="s">
        <v>23952</v>
      </c>
      <c r="C4389" s="5" t="s">
        <v>1994</v>
      </c>
      <c r="D4389" s="5" t="s">
        <v>23953</v>
      </c>
      <c r="E4389" s="6" t="s">
        <v>74</v>
      </c>
      <c r="F4389" s="6" t="s">
        <v>23954</v>
      </c>
      <c r="G4389" s="3" t="str">
        <f>IFERROR(__xludf.DUMMYFUNCTION("REGEXREPLACE(
D4389,
""([一-龯々]+)\[([^\]]+)\]"",
""&lt;ruby&gt;$1&lt;rt&gt;$2&lt;/rt&gt;&lt;/ruby&gt;""
)&amp;""&lt;br&gt;&lt;div class=""""audio""""&gt;[sound:""&amp;C4389&amp;"".mp3]&lt;/div&gt;"""),"&lt;ruby&gt;詩&lt;rt&gt;し&lt;/rt&gt;&lt;/ruby&gt;&lt;br&gt;&lt;div class=""audio""&gt;[sound:し.mp3]&lt;/div&gt;")</f>
        <v>&lt;ruby&gt;詩&lt;rt&gt;し&lt;/rt&gt;&lt;/ruby&gt;&lt;br&gt;&lt;div class="audio"&gt;[sound:し.mp3]&lt;/div&gt;</v>
      </c>
      <c r="H4389" s="3" t="str">
        <f t="shared" si="1"/>
        <v>(n): thơ</v>
      </c>
      <c r="I4389" s="6" t="s">
        <v>23955</v>
      </c>
      <c r="J4389" s="6" t="s">
        <v>23956</v>
      </c>
      <c r="K4389" s="7">
        <f t="shared" si="2"/>
        <v>0.6690961173</v>
      </c>
    </row>
    <row r="4390">
      <c r="A4390" s="4">
        <v>4390.0</v>
      </c>
      <c r="B4390" s="5" t="s">
        <v>23957</v>
      </c>
      <c r="C4390" s="5" t="s">
        <v>23958</v>
      </c>
      <c r="D4390" s="5" t="s">
        <v>23959</v>
      </c>
      <c r="E4390" s="6" t="s">
        <v>24</v>
      </c>
      <c r="F4390" s="6" t="s">
        <v>23960</v>
      </c>
      <c r="G4390" s="3" t="str">
        <f>IFERROR(__xludf.DUMMYFUNCTION("REGEXREPLACE(
D4390,
""([一-龯々]+)\[([^\]]+)\]"",
""&lt;ruby&gt;$1&lt;rt&gt;$2&lt;/rt&gt;&lt;/ruby&gt;""
)&amp;""&lt;br&gt;&lt;div class=""""audio""""&gt;[sound:""&amp;C4390&amp;"".mp3]&lt;/div&gt;"""),"&lt;ruby&gt;誓&lt;rt&gt;ちか&lt;/rt&gt;&lt;/ruby&gt;う&lt;br&gt;&lt;div class=""audio""&gt;[sound:ちかう.mp3]&lt;/div&gt;")</f>
        <v>&lt;ruby&gt;誓&lt;rt&gt;ちか&lt;/rt&gt;&lt;/ruby&gt;う&lt;br&gt;&lt;div class="audio"&gt;[sound:ちかう.mp3]&lt;/div&gt;</v>
      </c>
      <c r="H4390" s="3" t="str">
        <f t="shared" si="1"/>
        <v>(v): thề</v>
      </c>
      <c r="I4390" s="6" t="s">
        <v>23961</v>
      </c>
      <c r="J4390" s="6" t="s">
        <v>23962</v>
      </c>
      <c r="K4390" s="7">
        <f t="shared" si="2"/>
        <v>0.5013598886</v>
      </c>
    </row>
    <row r="4391">
      <c r="A4391" s="4">
        <v>4391.0</v>
      </c>
      <c r="B4391" s="5" t="s">
        <v>23963</v>
      </c>
      <c r="C4391" s="5" t="s">
        <v>23964</v>
      </c>
      <c r="D4391" s="5" t="s">
        <v>23965</v>
      </c>
      <c r="E4391" s="6" t="s">
        <v>74</v>
      </c>
      <c r="F4391" s="6" t="s">
        <v>23966</v>
      </c>
      <c r="G4391" s="3" t="str">
        <f>IFERROR(__xludf.DUMMYFUNCTION("REGEXREPLACE(
D4391,
""([一-龯々]+)\[([^\]]+)\]"",
""&lt;ruby&gt;$1&lt;rt&gt;$2&lt;/rt&gt;&lt;/ruby&gt;""
)&amp;""&lt;br&gt;&lt;div class=""""audio""""&gt;[sound:""&amp;C4391&amp;"".mp3]&lt;/div&gt;"""),"&lt;ruby&gt;直前&lt;rt&gt;ちょくぜん&lt;/rt&gt;&lt;/ruby&gt;&lt;br&gt;&lt;div class=""audio""&gt;[sound:ちょくぜん.mp3]&lt;/div&gt;")</f>
        <v>&lt;ruby&gt;直前&lt;rt&gt;ちょくぜん&lt;/rt&gt;&lt;/ruby&gt;&lt;br&gt;&lt;div class="audio"&gt;[sound:ちょくぜん.mp3]&lt;/div&gt;</v>
      </c>
      <c r="H4391" s="3" t="str">
        <f t="shared" si="1"/>
        <v>(n): ngay trước</v>
      </c>
      <c r="I4391" s="6" t="s">
        <v>23967</v>
      </c>
      <c r="J4391" s="6" t="s">
        <v>23968</v>
      </c>
      <c r="K4391" s="7">
        <f t="shared" si="2"/>
        <v>0.6062949368</v>
      </c>
    </row>
    <row r="4392">
      <c r="A4392" s="4">
        <v>4392.0</v>
      </c>
      <c r="B4392" s="5" t="s">
        <v>23969</v>
      </c>
      <c r="C4392" s="5" t="s">
        <v>23970</v>
      </c>
      <c r="D4392" s="5" t="s">
        <v>23971</v>
      </c>
      <c r="E4392" s="6" t="s">
        <v>74</v>
      </c>
      <c r="F4392" s="6" t="s">
        <v>23972</v>
      </c>
      <c r="G4392" s="3" t="str">
        <f>IFERROR(__xludf.DUMMYFUNCTION("REGEXREPLACE(
D4392,
""([一-龯々]+)\[([^\]]+)\]"",
""&lt;ruby&gt;$1&lt;rt&gt;$2&lt;/rt&gt;&lt;/ruby&gt;""
)&amp;""&lt;br&gt;&lt;div class=""""audio""""&gt;[sound:""&amp;C4392&amp;"".mp3]&lt;/div&gt;"""),"&lt;ruby&gt;連想&lt;rt&gt;れんそう&lt;/rt&gt;&lt;/ruby&gt;&lt;br&gt;&lt;div class=""audio""&gt;[sound:れんそう.mp3]&lt;/div&gt;")</f>
        <v>&lt;ruby&gt;連想&lt;rt&gt;れんそう&lt;/rt&gt;&lt;/ruby&gt;&lt;br&gt;&lt;div class="audio"&gt;[sound:れんそう.mp3]&lt;/div&gt;</v>
      </c>
      <c r="H4392" s="3" t="str">
        <f t="shared" si="1"/>
        <v>(n): liên tưởng</v>
      </c>
      <c r="I4392" s="6" t="s">
        <v>23973</v>
      </c>
      <c r="J4392" s="6" t="s">
        <v>23974</v>
      </c>
      <c r="K4392" s="7">
        <f t="shared" si="2"/>
        <v>0.9274741115</v>
      </c>
    </row>
    <row r="4393">
      <c r="A4393" s="4">
        <v>4393.0</v>
      </c>
      <c r="B4393" s="5" t="s">
        <v>23975</v>
      </c>
      <c r="C4393" s="5" t="s">
        <v>23976</v>
      </c>
      <c r="D4393" s="5" t="s">
        <v>23977</v>
      </c>
      <c r="E4393" s="6" t="s">
        <v>24</v>
      </c>
      <c r="F4393" s="6" t="s">
        <v>23978</v>
      </c>
      <c r="G4393" s="3" t="str">
        <f>IFERROR(__xludf.DUMMYFUNCTION("REGEXREPLACE(
D4393,
""([一-龯々]+)\[([^\]]+)\]"",
""&lt;ruby&gt;$1&lt;rt&gt;$2&lt;/rt&gt;&lt;/ruby&gt;""
)&amp;""&lt;br&gt;&lt;div class=""""audio""""&gt;[sound:""&amp;C4393&amp;"".mp3]&lt;/div&gt;"""),"&lt;ruby&gt;交&lt;rt&gt;ま&lt;/rt&gt;&lt;/ruby&gt;ざる&lt;br&gt;&lt;div class=""audio""&gt;[sound:まざる.mp3]&lt;/div&gt;")</f>
        <v>&lt;ruby&gt;交&lt;rt&gt;ま&lt;/rt&gt;&lt;/ruby&gt;ざる&lt;br&gt;&lt;div class="audio"&gt;[sound:まざる.mp3]&lt;/div&gt;</v>
      </c>
      <c r="H4393" s="3" t="str">
        <f t="shared" si="1"/>
        <v>(v): được trộn</v>
      </c>
      <c r="I4393" s="6" t="s">
        <v>23979</v>
      </c>
      <c r="J4393" s="6" t="s">
        <v>23980</v>
      </c>
      <c r="K4393" s="7">
        <f t="shared" si="2"/>
        <v>0.2172475172</v>
      </c>
    </row>
    <row r="4394">
      <c r="A4394" s="4">
        <v>4394.0</v>
      </c>
      <c r="B4394" s="5" t="s">
        <v>23981</v>
      </c>
      <c r="C4394" s="5" t="s">
        <v>23982</v>
      </c>
      <c r="D4394" s="5" t="s">
        <v>23983</v>
      </c>
      <c r="E4394" s="6" t="s">
        <v>74</v>
      </c>
      <c r="F4394" s="6" t="s">
        <v>23984</v>
      </c>
      <c r="G4394" s="3" t="str">
        <f>IFERROR(__xludf.DUMMYFUNCTION("REGEXREPLACE(
D4394,
""([一-龯々]+)\[([^\]]+)\]"",
""&lt;ruby&gt;$1&lt;rt&gt;$2&lt;/rt&gt;&lt;/ruby&gt;""
)&amp;""&lt;br&gt;&lt;div class=""""audio""""&gt;[sound:""&amp;C4394&amp;"".mp3]&lt;/div&gt;"""),"&lt;ruby&gt;免許&lt;rt&gt;めんきょ&lt;/rt&gt;&lt;/ruby&gt;&lt;br&gt;&lt;div class=""audio""&gt;[sound:めんきょ.mp3]&lt;/div&gt;")</f>
        <v>&lt;ruby&gt;免許&lt;rt&gt;めんきょ&lt;/rt&gt;&lt;/ruby&gt;&lt;br&gt;&lt;div class="audio"&gt;[sound:めんきょ.mp3]&lt;/div&gt;</v>
      </c>
      <c r="H4394" s="3" t="str">
        <f t="shared" si="1"/>
        <v>(n): giấy phép</v>
      </c>
      <c r="I4394" s="6" t="s">
        <v>23985</v>
      </c>
      <c r="J4394" s="6" t="s">
        <v>23986</v>
      </c>
      <c r="K4394" s="7">
        <f t="shared" si="2"/>
        <v>0.9518736433</v>
      </c>
    </row>
    <row r="4395">
      <c r="A4395" s="4">
        <v>4395.0</v>
      </c>
      <c r="B4395" s="5" t="s">
        <v>23987</v>
      </c>
      <c r="C4395" s="5" t="s">
        <v>23988</v>
      </c>
      <c r="D4395" s="5" t="s">
        <v>23989</v>
      </c>
      <c r="E4395" s="6" t="s">
        <v>11</v>
      </c>
      <c r="F4395" s="6" t="s">
        <v>23990</v>
      </c>
      <c r="G4395" s="3" t="str">
        <f>IFERROR(__xludf.DUMMYFUNCTION("REGEXREPLACE(
D4395,
""([一-龯々]+)\[([^\]]+)\]"",
""&lt;ruby&gt;$1&lt;rt&gt;$2&lt;/rt&gt;&lt;/ruby&gt;""
)&amp;""&lt;br&gt;&lt;div class=""""audio""""&gt;[sound:""&amp;C4395&amp;"".mp3]&lt;/div&gt;"""),"&lt;ruby&gt;単&lt;rt&gt;たん&lt;/rt&gt;&lt;/ruby&gt;なる&lt;br&gt;&lt;div class=""audio""&gt;[sound:たんなる.mp3]&lt;/div&gt;")</f>
        <v>&lt;ruby&gt;単&lt;rt&gt;たん&lt;/rt&gt;&lt;/ruby&gt;なる&lt;br&gt;&lt;div class="audio"&gt;[sound:たんなる.mp3]&lt;/div&gt;</v>
      </c>
      <c r="H4395" s="3" t="str">
        <f t="shared" si="1"/>
        <v>(adj): đơn thuần</v>
      </c>
      <c r="I4395" s="6" t="s">
        <v>23991</v>
      </c>
      <c r="J4395" s="6" t="s">
        <v>23992</v>
      </c>
      <c r="K4395" s="7">
        <f t="shared" si="2"/>
        <v>0.8048886461</v>
      </c>
    </row>
    <row r="4396">
      <c r="A4396" s="4">
        <v>4396.0</v>
      </c>
      <c r="B4396" s="5" t="s">
        <v>23993</v>
      </c>
      <c r="C4396" s="5" t="s">
        <v>23994</v>
      </c>
      <c r="D4396" s="5" t="s">
        <v>23995</v>
      </c>
      <c r="E4396" s="6" t="s">
        <v>74</v>
      </c>
      <c r="F4396" s="6" t="s">
        <v>23996</v>
      </c>
      <c r="G4396" s="3" t="str">
        <f>IFERROR(__xludf.DUMMYFUNCTION("REGEXREPLACE(
D4396,
""([一-龯々]+)\[([^\]]+)\]"",
""&lt;ruby&gt;$1&lt;rt&gt;$2&lt;/rt&gt;&lt;/ruby&gt;""
)&amp;""&lt;br&gt;&lt;div class=""""audio""""&gt;[sound:""&amp;C4396&amp;"".mp3]&lt;/div&gt;"""),"&lt;ruby&gt;裸&lt;rt&gt;はだか&lt;/rt&gt;&lt;/ruby&gt;&lt;br&gt;&lt;div class=""audio""&gt;[sound:はだか.mp3]&lt;/div&gt;")</f>
        <v>&lt;ruby&gt;裸&lt;rt&gt;はだか&lt;/rt&gt;&lt;/ruby&gt;&lt;br&gt;&lt;div class="audio"&gt;[sound:はだか.mp3]&lt;/div&gt;</v>
      </c>
      <c r="H4396" s="3" t="str">
        <f t="shared" si="1"/>
        <v>(n): khỏa thân</v>
      </c>
      <c r="I4396" s="6" t="s">
        <v>23997</v>
      </c>
      <c r="J4396" s="6" t="s">
        <v>23998</v>
      </c>
      <c r="K4396" s="7">
        <f t="shared" si="2"/>
        <v>0.05183509186</v>
      </c>
    </row>
    <row r="4397">
      <c r="A4397" s="4">
        <v>4397.0</v>
      </c>
      <c r="B4397" s="5" t="s">
        <v>23999</v>
      </c>
      <c r="C4397" s="5" t="s">
        <v>22736</v>
      </c>
      <c r="D4397" s="5" t="s">
        <v>24000</v>
      </c>
      <c r="E4397" s="6" t="s">
        <v>74</v>
      </c>
      <c r="F4397" s="6" t="s">
        <v>22160</v>
      </c>
      <c r="G4397" s="3" t="str">
        <f>IFERROR(__xludf.DUMMYFUNCTION("REGEXREPLACE(
D4397,
""([一-龯々]+)\[([^\]]+)\]"",
""&lt;ruby&gt;$1&lt;rt&gt;$2&lt;/rt&gt;&lt;/ruby&gt;""
)&amp;""&lt;br&gt;&lt;div class=""""audio""""&gt;[sound:""&amp;C4397&amp;"".mp3]&lt;/div&gt;"""),"&lt;ruby&gt;起源&lt;rt&gt;きげん&lt;/rt&gt;&lt;/ruby&gt;&lt;br&gt;&lt;div class=""audio""&gt;[sound:きげん.mp3]&lt;/div&gt;")</f>
        <v>&lt;ruby&gt;起源&lt;rt&gt;きげん&lt;/rt&gt;&lt;/ruby&gt;&lt;br&gt;&lt;div class="audio"&gt;[sound:きげん.mp3]&lt;/div&gt;</v>
      </c>
      <c r="H4397" s="3" t="str">
        <f t="shared" si="1"/>
        <v>(n): nguồn gốc</v>
      </c>
      <c r="I4397" s="6" t="s">
        <v>24001</v>
      </c>
      <c r="J4397" s="6" t="s">
        <v>24002</v>
      </c>
      <c r="K4397" s="7">
        <f t="shared" si="2"/>
        <v>0.5348057473</v>
      </c>
    </row>
    <row r="4398">
      <c r="A4398" s="4">
        <v>4398.0</v>
      </c>
      <c r="B4398" s="5" t="s">
        <v>24003</v>
      </c>
      <c r="C4398" s="5" t="s">
        <v>24003</v>
      </c>
      <c r="D4398" s="5" t="s">
        <v>24003</v>
      </c>
      <c r="E4398" s="6" t="s">
        <v>24</v>
      </c>
      <c r="F4398" s="6" t="s">
        <v>24004</v>
      </c>
      <c r="G4398" s="3" t="str">
        <f>IFERROR(__xludf.DUMMYFUNCTION("REGEXREPLACE(
D4398,
""([一-龯々]+)\[([^\]]+)\]"",
""&lt;ruby&gt;$1&lt;rt&gt;$2&lt;/rt&gt;&lt;/ruby&gt;""
)&amp;""&lt;br&gt;&lt;div class=""""audio""""&gt;[sound:""&amp;C4398&amp;"".mp3]&lt;/div&gt;"""),"しゃがむ&lt;br&gt;&lt;div class=""audio""&gt;[sound:しゃがむ.mp3]&lt;/div&gt;")</f>
        <v>しゃがむ&lt;br&gt;&lt;div class="audio"&gt;[sound:しゃがむ.mp3]&lt;/div&gt;</v>
      </c>
      <c r="H4398" s="3" t="str">
        <f t="shared" si="1"/>
        <v>(v): ngồi xổm</v>
      </c>
      <c r="I4398" s="6" t="s">
        <v>24005</v>
      </c>
      <c r="J4398" s="6" t="s">
        <v>24006</v>
      </c>
      <c r="K4398" s="7">
        <f t="shared" si="2"/>
        <v>0.5031823745</v>
      </c>
    </row>
    <row r="4399">
      <c r="A4399" s="4">
        <v>4399.0</v>
      </c>
      <c r="B4399" s="5" t="s">
        <v>24007</v>
      </c>
      <c r="C4399" s="5" t="s">
        <v>24007</v>
      </c>
      <c r="D4399" s="5" t="s">
        <v>24007</v>
      </c>
      <c r="E4399" s="6" t="s">
        <v>24</v>
      </c>
      <c r="F4399" s="6" t="s">
        <v>24008</v>
      </c>
      <c r="G4399" s="3" t="str">
        <f>IFERROR(__xludf.DUMMYFUNCTION("REGEXREPLACE(
D4399,
""([一-龯々]+)\[([^\]]+)\]"",
""&lt;ruby&gt;$1&lt;rt&gt;$2&lt;/rt&gt;&lt;/ruby&gt;""
)&amp;""&lt;br&gt;&lt;div class=""""audio""""&gt;[sound:""&amp;C4399&amp;"".mp3]&lt;/div&gt;"""),"またぐ&lt;br&gt;&lt;div class=""audio""&gt;[sound:またぐ.mp3]&lt;/div&gt;")</f>
        <v>またぐ&lt;br&gt;&lt;div class="audio"&gt;[sound:またぐ.mp3]&lt;/div&gt;</v>
      </c>
      <c r="H4399" s="3" t="str">
        <f t="shared" si="1"/>
        <v>(v): bước qua</v>
      </c>
      <c r="I4399" s="6" t="s">
        <v>24009</v>
      </c>
      <c r="J4399" s="6" t="s">
        <v>24010</v>
      </c>
      <c r="K4399" s="7">
        <f t="shared" si="2"/>
        <v>0.9312067386</v>
      </c>
    </row>
    <row r="4400">
      <c r="A4400" s="4">
        <v>4400.0</v>
      </c>
      <c r="B4400" s="5" t="s">
        <v>24011</v>
      </c>
      <c r="C4400" s="5" t="s">
        <v>24012</v>
      </c>
      <c r="D4400" s="5" t="s">
        <v>24013</v>
      </c>
      <c r="E4400" s="6" t="s">
        <v>24</v>
      </c>
      <c r="F4400" s="6" t="s">
        <v>19571</v>
      </c>
      <c r="G4400" s="3" t="str">
        <f>IFERROR(__xludf.DUMMYFUNCTION("REGEXREPLACE(
D4400,
""([一-龯々]+)\[([^\]]+)\]"",
""&lt;ruby&gt;$1&lt;rt&gt;$2&lt;/rt&gt;&lt;/ruby&gt;""
)&amp;""&lt;br&gt;&lt;div class=""""audio""""&gt;[sound:""&amp;C4400&amp;"".mp3]&lt;/div&gt;"""),"&lt;ruby&gt;交&lt;rt&gt;ま&lt;/rt&gt;&lt;/ruby&gt;じる&lt;br&gt;&lt;div class=""audio""&gt;[sound:まじる.mp3]&lt;/div&gt;")</f>
        <v>&lt;ruby&gt;交&lt;rt&gt;ま&lt;/rt&gt;&lt;/ruby&gt;じる&lt;br&gt;&lt;div class="audio"&gt;[sound:まじる.mp3]&lt;/div&gt;</v>
      </c>
      <c r="H4400" s="3" t="str">
        <f t="shared" si="1"/>
        <v>(v): trộn lẫn</v>
      </c>
      <c r="I4400" s="6" t="s">
        <v>24014</v>
      </c>
      <c r="J4400" s="6" t="s">
        <v>24015</v>
      </c>
      <c r="K4400" s="7">
        <f t="shared" si="2"/>
        <v>0.1789257761</v>
      </c>
    </row>
    <row r="4401">
      <c r="A4401" s="4">
        <v>4401.0</v>
      </c>
      <c r="B4401" s="5" t="s">
        <v>24016</v>
      </c>
      <c r="C4401" s="5" t="s">
        <v>24017</v>
      </c>
      <c r="D4401" s="5" t="s">
        <v>24018</v>
      </c>
      <c r="E4401" s="6" t="s">
        <v>24</v>
      </c>
      <c r="F4401" s="6" t="s">
        <v>24019</v>
      </c>
      <c r="G4401" s="3" t="str">
        <f>IFERROR(__xludf.DUMMYFUNCTION("REGEXREPLACE(
D4401,
""([一-龯々]+)\[([^\]]+)\]"",
""&lt;ruby&gt;$1&lt;rt&gt;$2&lt;/rt&gt;&lt;/ruby&gt;""
)&amp;""&lt;br&gt;&lt;div class=""""audio""""&gt;[sound:""&amp;C4401&amp;"".mp3]&lt;/div&gt;"""),"&lt;ruby&gt;休業&lt;rt&gt;きゅうぎょう&lt;/rt&gt;&lt;/ruby&gt;&lt;br&gt;&lt;div class=""audio""&gt;[sound:きゅうぎょう.mp3]&lt;/div&gt;")</f>
        <v>&lt;ruby&gt;休業&lt;rt&gt;きゅうぎょう&lt;/rt&gt;&lt;/ruby&gt;&lt;br&gt;&lt;div class="audio"&gt;[sound:きゅうぎょう.mp3]&lt;/div&gt;</v>
      </c>
      <c r="H4401" s="3" t="str">
        <f t="shared" si="1"/>
        <v>(v): đóng cửa</v>
      </c>
      <c r="I4401" s="6" t="s">
        <v>24020</v>
      </c>
      <c r="J4401" s="6" t="s">
        <v>24021</v>
      </c>
      <c r="K4401" s="7">
        <f t="shared" si="2"/>
        <v>0.9672980639</v>
      </c>
    </row>
    <row r="4402">
      <c r="A4402" s="4">
        <v>4402.0</v>
      </c>
      <c r="B4402" s="5" t="s">
        <v>24022</v>
      </c>
      <c r="C4402" s="5" t="s">
        <v>22365</v>
      </c>
      <c r="D4402" s="5" t="s">
        <v>24023</v>
      </c>
      <c r="E4402" s="6" t="s">
        <v>74</v>
      </c>
      <c r="F4402" s="6" t="s">
        <v>10075</v>
      </c>
      <c r="G4402" s="3" t="str">
        <f>IFERROR(__xludf.DUMMYFUNCTION("REGEXREPLACE(
D4402,
""([一-龯々]+)\[([^\]]+)\]"",
""&lt;ruby&gt;$1&lt;rt&gt;$2&lt;/rt&gt;&lt;/ruby&gt;""
)&amp;""&lt;br&gt;&lt;div class=""""audio""""&gt;[sound:""&amp;C4402&amp;"".mp3]&lt;/div&gt;"""),"&lt;ruby&gt;夫妻&lt;rt&gt;ふさい&lt;/rt&gt;&lt;/ruby&gt;&lt;br&gt;&lt;div class=""audio""&gt;[sound:ふさい.mp3]&lt;/div&gt;")</f>
        <v>&lt;ruby&gt;夫妻&lt;rt&gt;ふさい&lt;/rt&gt;&lt;/ruby&gt;&lt;br&gt;&lt;div class="audio"&gt;[sound:ふさい.mp3]&lt;/div&gt;</v>
      </c>
      <c r="H4402" s="3" t="str">
        <f t="shared" si="1"/>
        <v>(n): vợ chồng</v>
      </c>
      <c r="I4402" s="6" t="s">
        <v>24024</v>
      </c>
      <c r="J4402" s="6" t="s">
        <v>24025</v>
      </c>
      <c r="K4402" s="7">
        <f t="shared" si="2"/>
        <v>0.6709354116</v>
      </c>
    </row>
    <row r="4403">
      <c r="A4403" s="4">
        <v>4403.0</v>
      </c>
      <c r="B4403" s="5" t="s">
        <v>24026</v>
      </c>
      <c r="C4403" s="5" t="s">
        <v>24027</v>
      </c>
      <c r="D4403" s="5" t="s">
        <v>24028</v>
      </c>
      <c r="E4403" s="6" t="s">
        <v>74</v>
      </c>
      <c r="F4403" s="6" t="s">
        <v>24029</v>
      </c>
      <c r="G4403" s="3" t="str">
        <f>IFERROR(__xludf.DUMMYFUNCTION("REGEXREPLACE(
D4403,
""([一-龯々]+)\[([^\]]+)\]"",
""&lt;ruby&gt;$1&lt;rt&gt;$2&lt;/rt&gt;&lt;/ruby&gt;""
)&amp;""&lt;br&gt;&lt;div class=""""audio""""&gt;[sound:""&amp;C4403&amp;"".mp3]&lt;/div&gt;"""),"&lt;ruby&gt;実習&lt;rt&gt;じっしゅう&lt;/rt&gt;&lt;/ruby&gt;&lt;br&gt;&lt;div class=""audio""&gt;[sound:じっしゅう.mp3]&lt;/div&gt;")</f>
        <v>&lt;ruby&gt;実習&lt;rt&gt;じっしゅう&lt;/rt&gt;&lt;/ruby&gt;&lt;br&gt;&lt;div class="audio"&gt;[sound:じっしゅう.mp3]&lt;/div&gt;</v>
      </c>
      <c r="H4403" s="3" t="str">
        <f t="shared" si="1"/>
        <v>(n): thực tập</v>
      </c>
      <c r="I4403" s="6" t="s">
        <v>24030</v>
      </c>
      <c r="J4403" s="6" t="s">
        <v>24031</v>
      </c>
      <c r="K4403" s="7">
        <f t="shared" si="2"/>
        <v>0.01034972887</v>
      </c>
    </row>
    <row r="4404">
      <c r="A4404" s="4">
        <v>4404.0</v>
      </c>
      <c r="B4404" s="5" t="s">
        <v>24032</v>
      </c>
      <c r="C4404" s="5" t="s">
        <v>24033</v>
      </c>
      <c r="D4404" s="5" t="s">
        <v>24034</v>
      </c>
      <c r="E4404" s="6" t="s">
        <v>74</v>
      </c>
      <c r="F4404" s="6" t="s">
        <v>24035</v>
      </c>
      <c r="G4404" s="3" t="str">
        <f>IFERROR(__xludf.DUMMYFUNCTION("REGEXREPLACE(
D4404,
""([一-龯々]+)\[([^\]]+)\]"",
""&lt;ruby&gt;$1&lt;rt&gt;$2&lt;/rt&gt;&lt;/ruby&gt;""
)&amp;""&lt;br&gt;&lt;div class=""""audio""""&gt;[sound:""&amp;C4404&amp;"".mp3]&lt;/div&gt;"""),"&lt;ruby&gt;小鳥&lt;rt&gt;ことり&lt;/rt&gt;&lt;/ruby&gt;&lt;br&gt;&lt;div class=""audio""&gt;[sound:ことり.mp3]&lt;/div&gt;")</f>
        <v>&lt;ruby&gt;小鳥&lt;rt&gt;ことり&lt;/rt&gt;&lt;/ruby&gt;&lt;br&gt;&lt;div class="audio"&gt;[sound:ことり.mp3]&lt;/div&gt;</v>
      </c>
      <c r="H4404" s="3" t="str">
        <f t="shared" si="1"/>
        <v>(n): chim nhỏ</v>
      </c>
      <c r="I4404" s="6" t="s">
        <v>24036</v>
      </c>
      <c r="J4404" s="6" t="s">
        <v>24037</v>
      </c>
      <c r="K4404" s="7">
        <f t="shared" si="2"/>
        <v>0.8703996587</v>
      </c>
    </row>
    <row r="4405">
      <c r="A4405" s="4">
        <v>4405.0</v>
      </c>
      <c r="B4405" s="5" t="s">
        <v>24038</v>
      </c>
      <c r="C4405" s="5" t="s">
        <v>24039</v>
      </c>
      <c r="D4405" s="5" t="s">
        <v>24040</v>
      </c>
      <c r="E4405" s="6" t="s">
        <v>11</v>
      </c>
      <c r="F4405" s="6" t="s">
        <v>21860</v>
      </c>
      <c r="G4405" s="3" t="str">
        <f>IFERROR(__xludf.DUMMYFUNCTION("REGEXREPLACE(
D4405,
""([一-龯々]+)\[([^\]]+)\]"",
""&lt;ruby&gt;$1&lt;rt&gt;$2&lt;/rt&gt;&lt;/ruby&gt;""
)&amp;""&lt;br&gt;&lt;div class=""""audio""""&gt;[sound:""&amp;C4405&amp;"".mp3]&lt;/div&gt;"""),"&lt;ruby&gt;慌&lt;rt&gt;あわ&lt;/rt&gt;&lt;/ruby&gt;ただしい&lt;br&gt;&lt;div class=""audio""&gt;[sound:あわただしい.mp3]&lt;/div&gt;")</f>
        <v>&lt;ruby&gt;慌&lt;rt&gt;あわ&lt;/rt&gt;&lt;/ruby&gt;ただしい&lt;br&gt;&lt;div class="audio"&gt;[sound:あわただしい.mp3]&lt;/div&gt;</v>
      </c>
      <c r="H4405" s="3" t="str">
        <f t="shared" si="1"/>
        <v>(adj): vội vàng</v>
      </c>
      <c r="I4405" s="6" t="s">
        <v>24041</v>
      </c>
      <c r="J4405" s="6" t="s">
        <v>24042</v>
      </c>
      <c r="K4405" s="7">
        <f t="shared" si="2"/>
        <v>0.8978858429</v>
      </c>
    </row>
    <row r="4406">
      <c r="A4406" s="4">
        <v>4406.0</v>
      </c>
      <c r="B4406" s="5" t="s">
        <v>24043</v>
      </c>
      <c r="C4406" s="5" t="s">
        <v>24044</v>
      </c>
      <c r="D4406" s="5" t="s">
        <v>24045</v>
      </c>
      <c r="E4406" s="6" t="s">
        <v>74</v>
      </c>
      <c r="F4406" s="6" t="s">
        <v>24046</v>
      </c>
      <c r="G4406" s="3" t="str">
        <f>IFERROR(__xludf.DUMMYFUNCTION("REGEXREPLACE(
D4406,
""([一-龯々]+)\[([^\]]+)\]"",
""&lt;ruby&gt;$1&lt;rt&gt;$2&lt;/rt&gt;&lt;/ruby&gt;""
)&amp;""&lt;br&gt;&lt;div class=""""audio""""&gt;[sound:""&amp;C4406&amp;"".mp3]&lt;/div&gt;"""),"&lt;ruby&gt;現金&lt;rt&gt;げんきん&lt;/rt&gt;&lt;/ruby&gt;&lt;br&gt;&lt;div class=""audio""&gt;[sound:げんきん.mp3]&lt;/div&gt;")</f>
        <v>&lt;ruby&gt;現金&lt;rt&gt;げんきん&lt;/rt&gt;&lt;/ruby&gt;&lt;br&gt;&lt;div class="audio"&gt;[sound:げんきん.mp3]&lt;/div&gt;</v>
      </c>
      <c r="H4406" s="3" t="str">
        <f t="shared" si="1"/>
        <v>(n): tiền mặt</v>
      </c>
      <c r="I4406" s="6" t="s">
        <v>24047</v>
      </c>
      <c r="J4406" s="6" t="s">
        <v>24048</v>
      </c>
      <c r="K4406" s="7">
        <f t="shared" si="2"/>
        <v>0.216874611</v>
      </c>
    </row>
    <row r="4407">
      <c r="A4407" s="4">
        <v>4407.0</v>
      </c>
      <c r="B4407" s="5" t="s">
        <v>24049</v>
      </c>
      <c r="C4407" s="5" t="s">
        <v>24050</v>
      </c>
      <c r="D4407" s="5" t="s">
        <v>24051</v>
      </c>
      <c r="E4407" s="6" t="s">
        <v>74</v>
      </c>
      <c r="F4407" s="6" t="s">
        <v>24052</v>
      </c>
      <c r="G4407" s="3" t="str">
        <f>IFERROR(__xludf.DUMMYFUNCTION("REGEXREPLACE(
D4407,
""([一-龯々]+)\[([^\]]+)\]"",
""&lt;ruby&gt;$1&lt;rt&gt;$2&lt;/rt&gt;&lt;/ruby&gt;""
)&amp;""&lt;br&gt;&lt;div class=""""audio""""&gt;[sound:""&amp;C4407&amp;"".mp3]&lt;/div&gt;"""),"&lt;ruby&gt;虫歯&lt;rt&gt;むしば&lt;/rt&gt;&lt;/ruby&gt;&lt;br&gt;&lt;div class=""audio""&gt;[sound:むしば.mp3]&lt;/div&gt;")</f>
        <v>&lt;ruby&gt;虫歯&lt;rt&gt;むしば&lt;/rt&gt;&lt;/ruby&gt;&lt;br&gt;&lt;div class="audio"&gt;[sound:むしば.mp3]&lt;/div&gt;</v>
      </c>
      <c r="H4407" s="3" t="str">
        <f t="shared" si="1"/>
        <v>(n): sâu răng</v>
      </c>
      <c r="I4407" s="6" t="s">
        <v>24053</v>
      </c>
      <c r="J4407" s="6" t="s">
        <v>24054</v>
      </c>
      <c r="K4407" s="7">
        <f t="shared" si="2"/>
        <v>0.7772632905</v>
      </c>
    </row>
    <row r="4408">
      <c r="A4408" s="4">
        <v>4408.0</v>
      </c>
      <c r="B4408" s="5" t="s">
        <v>24055</v>
      </c>
      <c r="C4408" s="5" t="s">
        <v>24056</v>
      </c>
      <c r="D4408" s="5" t="s">
        <v>24057</v>
      </c>
      <c r="E4408" s="6" t="s">
        <v>74</v>
      </c>
      <c r="F4408" s="6" t="s">
        <v>4058</v>
      </c>
      <c r="G4408" s="3" t="str">
        <f>IFERROR(__xludf.DUMMYFUNCTION("REGEXREPLACE(
D4408,
""([一-龯々]+)\[([^\]]+)\]"",
""&lt;ruby&gt;$1&lt;rt&gt;$2&lt;/rt&gt;&lt;/ruby&gt;""
)&amp;""&lt;br&gt;&lt;div class=""""audio""""&gt;[sound:""&amp;C4408&amp;"".mp3]&lt;/div&gt;"""),"&lt;ruby&gt;贈&lt;rt&gt;おく&lt;/rt&gt;&lt;/ruby&gt;り&lt;ruby&gt;物&lt;rt&gt;もの&lt;/rt&gt;&lt;/ruby&gt;&lt;br&gt;&lt;div class=""audio""&gt;[sound:おくりもの.mp3]&lt;/div&gt;")</f>
        <v>&lt;ruby&gt;贈&lt;rt&gt;おく&lt;/rt&gt;&lt;/ruby&gt;り&lt;ruby&gt;物&lt;rt&gt;もの&lt;/rt&gt;&lt;/ruby&gt;&lt;br&gt;&lt;div class="audio"&gt;[sound:おくりもの.mp3]&lt;/div&gt;</v>
      </c>
      <c r="H4408" s="3" t="str">
        <f t="shared" si="1"/>
        <v>(n): quà tặng</v>
      </c>
      <c r="I4408" s="6" t="s">
        <v>24058</v>
      </c>
      <c r="J4408" s="6" t="s">
        <v>24059</v>
      </c>
      <c r="K4408" s="7">
        <f t="shared" si="2"/>
        <v>0.09540229021</v>
      </c>
    </row>
    <row r="4409">
      <c r="A4409" s="4">
        <v>4409.0</v>
      </c>
      <c r="B4409" s="5" t="s">
        <v>24060</v>
      </c>
      <c r="C4409" s="5" t="s">
        <v>24061</v>
      </c>
      <c r="D4409" s="5" t="s">
        <v>24062</v>
      </c>
      <c r="E4409" s="6" t="s">
        <v>74</v>
      </c>
      <c r="F4409" s="6" t="s">
        <v>17974</v>
      </c>
      <c r="G4409" s="3" t="str">
        <f>IFERROR(__xludf.DUMMYFUNCTION("REGEXREPLACE(
D4409,
""([一-龯々]+)\[([^\]]+)\]"",
""&lt;ruby&gt;$1&lt;rt&gt;$2&lt;/rt&gt;&lt;/ruby&gt;""
)&amp;""&lt;br&gt;&lt;div class=""""audio""""&gt;[sound:""&amp;C4409&amp;"".mp3]&lt;/div&gt;"""),"&lt;ruby&gt;農民&lt;rt&gt;のうみん&lt;/rt&gt;&lt;/ruby&gt;&lt;br&gt;&lt;div class=""audio""&gt;[sound:のうみん.mp3]&lt;/div&gt;")</f>
        <v>&lt;ruby&gt;農民&lt;rt&gt;のうみん&lt;/rt&gt;&lt;/ruby&gt;&lt;br&gt;&lt;div class="audio"&gt;[sound:のうみん.mp3]&lt;/div&gt;</v>
      </c>
      <c r="H4409" s="3" t="str">
        <f t="shared" si="1"/>
        <v>(n): nông dân</v>
      </c>
      <c r="I4409" s="6" t="s">
        <v>24063</v>
      </c>
      <c r="J4409" s="6" t="s">
        <v>24064</v>
      </c>
      <c r="K4409" s="7">
        <f t="shared" si="2"/>
        <v>0.01783056208</v>
      </c>
    </row>
    <row r="4410">
      <c r="A4410" s="4">
        <v>4410.0</v>
      </c>
      <c r="B4410" s="5" t="s">
        <v>24065</v>
      </c>
      <c r="C4410" s="5" t="s">
        <v>24066</v>
      </c>
      <c r="D4410" s="5" t="s">
        <v>24067</v>
      </c>
      <c r="E4410" s="6" t="s">
        <v>11</v>
      </c>
      <c r="F4410" s="6" t="s">
        <v>24068</v>
      </c>
      <c r="G4410" s="3" t="str">
        <f>IFERROR(__xludf.DUMMYFUNCTION("REGEXREPLACE(
D4410,
""([一-龯々]+)\[([^\]]+)\]"",
""&lt;ruby&gt;$1&lt;rt&gt;$2&lt;/rt&gt;&lt;/ruby&gt;""
)&amp;""&lt;br&gt;&lt;div class=""""audio""""&gt;[sound:""&amp;C4410&amp;"".mp3]&lt;/div&gt;"""),"&lt;ruby&gt;適度&lt;rt&gt;てきど&lt;/rt&gt;&lt;/ruby&gt;&lt;br&gt;&lt;div class=""audio""&gt;[sound:てきど.mp3]&lt;/div&gt;")</f>
        <v>&lt;ruby&gt;適度&lt;rt&gt;てきど&lt;/rt&gt;&lt;/ruby&gt;&lt;br&gt;&lt;div class="audio"&gt;[sound:てきど.mp3]&lt;/div&gt;</v>
      </c>
      <c r="H4410" s="3" t="str">
        <f t="shared" si="1"/>
        <v>(adj): vừa phải</v>
      </c>
      <c r="I4410" s="6" t="s">
        <v>24069</v>
      </c>
      <c r="J4410" s="6" t="s">
        <v>24070</v>
      </c>
      <c r="K4410" s="7">
        <f t="shared" si="2"/>
        <v>0.8782240526</v>
      </c>
    </row>
    <row r="4411">
      <c r="A4411" s="4">
        <v>4411.0</v>
      </c>
      <c r="B4411" s="5" t="s">
        <v>24071</v>
      </c>
      <c r="C4411" s="5" t="s">
        <v>24071</v>
      </c>
      <c r="D4411" s="5" t="s">
        <v>24071</v>
      </c>
      <c r="E4411" s="6" t="s">
        <v>85</v>
      </c>
      <c r="F4411" s="6" t="s">
        <v>24072</v>
      </c>
      <c r="G4411" s="3" t="str">
        <f>IFERROR(__xludf.DUMMYFUNCTION("REGEXREPLACE(
D4411,
""([一-龯々]+)\[([^\]]+)\]"",
""&lt;ruby&gt;$1&lt;rt&gt;$2&lt;/rt&gt;&lt;/ruby&gt;""
)&amp;""&lt;br&gt;&lt;div class=""""audio""""&gt;[sound:""&amp;C4411&amp;"".mp3]&lt;/div&gt;"""),"ふわふわ&lt;br&gt;&lt;div class=""audio""&gt;[sound:ふわふわ.mp3]&lt;/div&gt;")</f>
        <v>ふわふわ&lt;br&gt;&lt;div class="audio"&gt;[sound:ふわふわ.mp3]&lt;/div&gt;</v>
      </c>
      <c r="H4411" s="3" t="str">
        <f t="shared" si="1"/>
        <v>(adv): mềm mại</v>
      </c>
      <c r="I4411" s="6" t="s">
        <v>24073</v>
      </c>
      <c r="J4411" s="6" t="s">
        <v>24074</v>
      </c>
      <c r="K4411" s="7">
        <f t="shared" si="2"/>
        <v>0.9374640846</v>
      </c>
    </row>
    <row r="4412">
      <c r="A4412" s="4">
        <v>4412.0</v>
      </c>
      <c r="B4412" s="5" t="s">
        <v>24075</v>
      </c>
      <c r="C4412" s="5" t="s">
        <v>24076</v>
      </c>
      <c r="D4412" s="5" t="s">
        <v>24077</v>
      </c>
      <c r="E4412" s="6" t="s">
        <v>24</v>
      </c>
      <c r="F4412" s="6" t="s">
        <v>14768</v>
      </c>
      <c r="G4412" s="3" t="str">
        <f>IFERROR(__xludf.DUMMYFUNCTION("REGEXREPLACE(
D4412,
""([一-龯々]+)\[([^\]]+)\]"",
""&lt;ruby&gt;$1&lt;rt&gt;$2&lt;/rt&gt;&lt;/ruby&gt;""
)&amp;""&lt;br&gt;&lt;div class=""""audio""""&gt;[sound:""&amp;C4412&amp;"".mp3]&lt;/div&gt;"""),"&lt;ruby&gt;上達&lt;rt&gt;じょうたつ&lt;/rt&gt;&lt;/ruby&gt;&lt;br&gt;&lt;div class=""audio""&gt;[sound:じょうたつ.mp3]&lt;/div&gt;")</f>
        <v>&lt;ruby&gt;上達&lt;rt&gt;じょうたつ&lt;/rt&gt;&lt;/ruby&gt;&lt;br&gt;&lt;div class="audio"&gt;[sound:じょうたつ.mp3]&lt;/div&gt;</v>
      </c>
      <c r="H4412" s="3" t="str">
        <f t="shared" si="1"/>
        <v>(v): tiến bộ</v>
      </c>
      <c r="I4412" s="6" t="s">
        <v>24078</v>
      </c>
      <c r="J4412" s="6" t="s">
        <v>24079</v>
      </c>
      <c r="K4412" s="7">
        <f t="shared" si="2"/>
        <v>0.00192106596</v>
      </c>
    </row>
    <row r="4413">
      <c r="A4413" s="4">
        <v>4413.0</v>
      </c>
      <c r="B4413" s="5" t="s">
        <v>24080</v>
      </c>
      <c r="C4413" s="5" t="s">
        <v>24081</v>
      </c>
      <c r="D4413" s="5" t="s">
        <v>24082</v>
      </c>
      <c r="E4413" s="6" t="s">
        <v>74</v>
      </c>
      <c r="F4413" s="6" t="s">
        <v>24083</v>
      </c>
      <c r="G4413" s="3" t="str">
        <f>IFERROR(__xludf.DUMMYFUNCTION("REGEXREPLACE(
D4413,
""([一-龯々]+)\[([^\]]+)\]"",
""&lt;ruby&gt;$1&lt;rt&gt;$2&lt;/rt&gt;&lt;/ruby&gt;""
)&amp;""&lt;br&gt;&lt;div class=""""audio""""&gt;[sound:""&amp;C4413&amp;"".mp3]&lt;/div&gt;"""),"&lt;ruby&gt;別&lt;rt&gt;わか&lt;/rt&gt;&lt;/ruby&gt;れ&lt;br&gt;&lt;div class=""audio""&gt;[sound:わかれ.mp3]&lt;/div&gt;")</f>
        <v>&lt;ruby&gt;別&lt;rt&gt;わか&lt;/rt&gt;&lt;/ruby&gt;れ&lt;br&gt;&lt;div class="audio"&gt;[sound:わかれ.mp3]&lt;/div&gt;</v>
      </c>
      <c r="H4413" s="3" t="str">
        <f t="shared" si="1"/>
        <v>(n): chia ly</v>
      </c>
      <c r="I4413" s="6" t="s">
        <v>24084</v>
      </c>
      <c r="J4413" s="6" t="s">
        <v>24085</v>
      </c>
      <c r="K4413" s="7">
        <f t="shared" si="2"/>
        <v>0.4112575391</v>
      </c>
    </row>
    <row r="4414">
      <c r="A4414" s="4">
        <v>4414.0</v>
      </c>
      <c r="B4414" s="5" t="s">
        <v>24086</v>
      </c>
      <c r="C4414" s="5" t="s">
        <v>24087</v>
      </c>
      <c r="D4414" s="5" t="s">
        <v>24088</v>
      </c>
      <c r="E4414" s="6" t="s">
        <v>85</v>
      </c>
      <c r="F4414" s="6" t="s">
        <v>5646</v>
      </c>
      <c r="G4414" s="3" t="str">
        <f>IFERROR(__xludf.DUMMYFUNCTION("REGEXREPLACE(
D4414,
""([一-龯々]+)\[([^\]]+)\]"",
""&lt;ruby&gt;$1&lt;rt&gt;$2&lt;/rt&gt;&lt;/ruby&gt;""
)&amp;""&lt;br&gt;&lt;div class=""""audio""""&gt;[sound:""&amp;C4414&amp;"".mp3]&lt;/div&gt;"""),"&lt;ruby&gt;思&lt;rt&gt;おも&lt;/rt&gt;&lt;/ruby&gt;いっ&lt;ruby&gt;切&lt;rt&gt;き&lt;/rt&gt;&lt;/ruby&gt;り&lt;br&gt;&lt;div class=""audio""&gt;[sound:おもいっきり.mp3]&lt;/div&gt;")</f>
        <v>&lt;ruby&gt;思&lt;rt&gt;おも&lt;/rt&gt;&lt;/ruby&gt;いっ&lt;ruby&gt;切&lt;rt&gt;き&lt;/rt&gt;&lt;/ruby&gt;り&lt;br&gt;&lt;div class="audio"&gt;[sound:おもいっきり.mp3]&lt;/div&gt;</v>
      </c>
      <c r="H4414" s="3" t="str">
        <f t="shared" si="1"/>
        <v>(adv): hết sức</v>
      </c>
      <c r="I4414" s="6" t="s">
        <v>24089</v>
      </c>
      <c r="J4414" s="6" t="s">
        <v>24090</v>
      </c>
      <c r="K4414" s="7">
        <f t="shared" si="2"/>
        <v>0.2003863687</v>
      </c>
    </row>
    <row r="4415">
      <c r="A4415" s="4">
        <v>4415.0</v>
      </c>
      <c r="B4415" s="5" t="s">
        <v>24091</v>
      </c>
      <c r="C4415" s="5" t="s">
        <v>5632</v>
      </c>
      <c r="D4415" s="5" t="s">
        <v>24092</v>
      </c>
      <c r="E4415" s="6" t="s">
        <v>24</v>
      </c>
      <c r="F4415" s="6" t="s">
        <v>24093</v>
      </c>
      <c r="G4415" s="3" t="str">
        <f>IFERROR(__xludf.DUMMYFUNCTION("REGEXREPLACE(
D4415,
""([一-龯々]+)\[([^\]]+)\]"",
""&lt;ruby&gt;$1&lt;rt&gt;$2&lt;/rt&gt;&lt;/ruby&gt;""
)&amp;""&lt;br&gt;&lt;div class=""""audio""""&gt;[sound:""&amp;C4415&amp;"".mp3]&lt;/div&gt;"""),"&lt;ruby&gt;現&lt;rt&gt;あらわ&lt;/rt&gt;&lt;/ruby&gt;す&lt;br&gt;&lt;div class=""audio""&gt;[sound:あらわす.mp3]&lt;/div&gt;")</f>
        <v>&lt;ruby&gt;現&lt;rt&gt;あらわ&lt;/rt&gt;&lt;/ruby&gt;す&lt;br&gt;&lt;div class="audio"&gt;[sound:あらわす.mp3]&lt;/div&gt;</v>
      </c>
      <c r="H4415" s="3" t="str">
        <f t="shared" si="1"/>
        <v>(v): lộ diện</v>
      </c>
      <c r="I4415" s="6" t="s">
        <v>24094</v>
      </c>
      <c r="J4415" s="6" t="s">
        <v>24095</v>
      </c>
      <c r="K4415" s="7">
        <f t="shared" si="2"/>
        <v>0.7403081199</v>
      </c>
    </row>
    <row r="4416">
      <c r="A4416" s="4">
        <v>4416.0</v>
      </c>
      <c r="B4416" s="5" t="s">
        <v>24096</v>
      </c>
      <c r="C4416" s="5" t="s">
        <v>24097</v>
      </c>
      <c r="D4416" s="5" t="s">
        <v>24098</v>
      </c>
      <c r="E4416" s="6" t="s">
        <v>74</v>
      </c>
      <c r="F4416" s="6" t="s">
        <v>24099</v>
      </c>
      <c r="G4416" s="3" t="str">
        <f>IFERROR(__xludf.DUMMYFUNCTION("REGEXREPLACE(
D4416,
""([一-龯々]+)\[([^\]]+)\]"",
""&lt;ruby&gt;$1&lt;rt&gt;$2&lt;/rt&gt;&lt;/ruby&gt;""
)&amp;""&lt;br&gt;&lt;div class=""""audio""""&gt;[sound:""&amp;C4416&amp;"".mp3]&lt;/div&gt;"""),"&lt;ruby&gt;過失&lt;rt&gt;かしつ&lt;/rt&gt;&lt;/ruby&gt;&lt;br&gt;&lt;div class=""audio""&gt;[sound:かしつ.mp3]&lt;/div&gt;")</f>
        <v>&lt;ruby&gt;過失&lt;rt&gt;かしつ&lt;/rt&gt;&lt;/ruby&gt;&lt;br&gt;&lt;div class="audio"&gt;[sound:かしつ.mp3]&lt;/div&gt;</v>
      </c>
      <c r="H4416" s="3" t="str">
        <f t="shared" si="1"/>
        <v>(n): lỗi lầm</v>
      </c>
      <c r="I4416" s="6" t="s">
        <v>24100</v>
      </c>
      <c r="J4416" s="6" t="s">
        <v>24101</v>
      </c>
      <c r="K4416" s="7">
        <f t="shared" si="2"/>
        <v>0.6150044634</v>
      </c>
    </row>
    <row r="4417">
      <c r="A4417" s="4">
        <v>4417.0</v>
      </c>
      <c r="B4417" s="5" t="s">
        <v>24102</v>
      </c>
      <c r="C4417" s="5" t="s">
        <v>24103</v>
      </c>
      <c r="D4417" s="5" t="s">
        <v>24102</v>
      </c>
      <c r="E4417" s="6" t="s">
        <v>74</v>
      </c>
      <c r="F4417" s="6" t="s">
        <v>24104</v>
      </c>
      <c r="G4417" s="3" t="str">
        <f>IFERROR(__xludf.DUMMYFUNCTION("REGEXREPLACE(
D4417,
""([一-龯々]+)\[([^\]]+)\]"",
""&lt;ruby&gt;$1&lt;rt&gt;$2&lt;/rt&gt;&lt;/ruby&gt;""
)&amp;""&lt;br&gt;&lt;div class=""""audio""""&gt;[sound:""&amp;C4417&amp;"".mp3]&lt;/div&gt;"""),"エプロン&lt;br&gt;&lt;div class=""audio""&gt;[sound:えぷろん.mp3]&lt;/div&gt;")</f>
        <v>エプロン&lt;br&gt;&lt;div class="audio"&gt;[sound:えぷろん.mp3]&lt;/div&gt;</v>
      </c>
      <c r="H4417" s="3" t="str">
        <f t="shared" si="1"/>
        <v>(n): tạp dề</v>
      </c>
      <c r="I4417" s="6" t="s">
        <v>24105</v>
      </c>
      <c r="J4417" s="6" t="s">
        <v>24106</v>
      </c>
      <c r="K4417" s="7">
        <f t="shared" si="2"/>
        <v>0.7468502757</v>
      </c>
    </row>
    <row r="4418">
      <c r="A4418" s="4">
        <v>4418.0</v>
      </c>
      <c r="B4418" s="5" t="s">
        <v>24107</v>
      </c>
      <c r="C4418" s="5" t="s">
        <v>24108</v>
      </c>
      <c r="D4418" s="5" t="s">
        <v>24109</v>
      </c>
      <c r="E4418" s="6" t="s">
        <v>85</v>
      </c>
      <c r="F4418" s="6" t="s">
        <v>24110</v>
      </c>
      <c r="G4418" s="3" t="str">
        <f>IFERROR(__xludf.DUMMYFUNCTION("REGEXREPLACE(
D4418,
""([一-龯々]+)\[([^\]]+)\]"",
""&lt;ruby&gt;$1&lt;rt&gt;$2&lt;/rt&gt;&lt;/ruby&gt;""
)&amp;""&lt;br&gt;&lt;div class=""""audio""""&gt;[sound:""&amp;C4418&amp;"".mp3]&lt;/div&gt;"""),"&lt;ruby&gt;万一&lt;rt&gt;まんいち&lt;/rt&gt;&lt;/ruby&gt;&lt;br&gt;&lt;div class=""audio""&gt;[sound:まんいち.mp3]&lt;/div&gt;")</f>
        <v>&lt;ruby&gt;万一&lt;rt&gt;まんいち&lt;/rt&gt;&lt;/ruby&gt;&lt;br&gt;&lt;div class="audio"&gt;[sound:まんいち.mp3]&lt;/div&gt;</v>
      </c>
      <c r="H4418" s="3" t="str">
        <f t="shared" si="1"/>
        <v>(adv): lỡ như</v>
      </c>
      <c r="I4418" s="6" t="s">
        <v>24111</v>
      </c>
      <c r="J4418" s="6" t="s">
        <v>24112</v>
      </c>
      <c r="K4418" s="7">
        <f t="shared" si="2"/>
        <v>0.3400417279</v>
      </c>
    </row>
    <row r="4419">
      <c r="A4419" s="4">
        <v>4419.0</v>
      </c>
      <c r="B4419" s="5" t="s">
        <v>24113</v>
      </c>
      <c r="C4419" s="5" t="s">
        <v>11827</v>
      </c>
      <c r="D4419" s="5" t="s">
        <v>24114</v>
      </c>
      <c r="E4419" s="6" t="s">
        <v>74</v>
      </c>
      <c r="F4419" s="6" t="s">
        <v>24115</v>
      </c>
      <c r="G4419" s="3" t="str">
        <f>IFERROR(__xludf.DUMMYFUNCTION("REGEXREPLACE(
D4419,
""([一-龯々]+)\[([^\]]+)\]"",
""&lt;ruby&gt;$1&lt;rt&gt;$2&lt;/rt&gt;&lt;/ruby&gt;""
)&amp;""&lt;br&gt;&lt;div class=""""audio""""&gt;[sound:""&amp;C4419&amp;"".mp3]&lt;/div&gt;"""),"&lt;ruby&gt;胃&lt;rt&gt;い&lt;/rt&gt;&lt;/ruby&gt;&lt;br&gt;&lt;div class=""audio""&gt;[sound:い.mp3]&lt;/div&gt;")</f>
        <v>&lt;ruby&gt;胃&lt;rt&gt;い&lt;/rt&gt;&lt;/ruby&gt;&lt;br&gt;&lt;div class="audio"&gt;[sound:い.mp3]&lt;/div&gt;</v>
      </c>
      <c r="H4419" s="3" t="str">
        <f t="shared" si="1"/>
        <v>(n): dạ dày</v>
      </c>
      <c r="I4419" s="6" t="s">
        <v>24116</v>
      </c>
      <c r="J4419" s="6" t="s">
        <v>24117</v>
      </c>
      <c r="K4419" s="7">
        <f t="shared" si="2"/>
        <v>0.6755018755</v>
      </c>
    </row>
    <row r="4420">
      <c r="A4420" s="4">
        <v>4420.0</v>
      </c>
      <c r="B4420" s="5" t="s">
        <v>24118</v>
      </c>
      <c r="C4420" s="5" t="s">
        <v>24119</v>
      </c>
      <c r="D4420" s="5" t="s">
        <v>24120</v>
      </c>
      <c r="E4420" s="6" t="s">
        <v>74</v>
      </c>
      <c r="F4420" s="6" t="s">
        <v>7481</v>
      </c>
      <c r="G4420" s="3" t="str">
        <f>IFERROR(__xludf.DUMMYFUNCTION("REGEXREPLACE(
D4420,
""([一-龯々]+)\[([^\]]+)\]"",
""&lt;ruby&gt;$1&lt;rt&gt;$2&lt;/rt&gt;&lt;/ruby&gt;""
)&amp;""&lt;br&gt;&lt;div class=""""audio""""&gt;[sound:""&amp;C4420&amp;"".mp3]&lt;/div&gt;"""),"&lt;ruby&gt;身分&lt;rt&gt;みぶん&lt;/rt&gt;&lt;/ruby&gt;&lt;br&gt;&lt;div class=""audio""&gt;[sound:みぶん.mp3]&lt;/div&gt;")</f>
        <v>&lt;ruby&gt;身分&lt;rt&gt;みぶん&lt;/rt&gt;&lt;/ruby&gt;&lt;br&gt;&lt;div class="audio"&gt;[sound:みぶん.mp3]&lt;/div&gt;</v>
      </c>
      <c r="H4420" s="3" t="str">
        <f t="shared" si="1"/>
        <v>(n): địa vị</v>
      </c>
      <c r="I4420" s="6" t="s">
        <v>24121</v>
      </c>
      <c r="J4420" s="6" t="s">
        <v>24122</v>
      </c>
      <c r="K4420" s="7">
        <f t="shared" si="2"/>
        <v>0.9759192197</v>
      </c>
    </row>
    <row r="4421">
      <c r="A4421" s="4">
        <v>4421.0</v>
      </c>
      <c r="B4421" s="5" t="s">
        <v>24123</v>
      </c>
      <c r="C4421" s="5" t="s">
        <v>24123</v>
      </c>
      <c r="D4421" s="5" t="s">
        <v>24123</v>
      </c>
      <c r="E4421" s="6" t="s">
        <v>11</v>
      </c>
      <c r="F4421" s="6" t="s">
        <v>24124</v>
      </c>
      <c r="G4421" s="3" t="str">
        <f>IFERROR(__xludf.DUMMYFUNCTION("REGEXREPLACE(
D4421,
""([一-龯々]+)\[([^\]]+)\]"",
""&lt;ruby&gt;$1&lt;rt&gt;$2&lt;/rt&gt;&lt;/ruby&gt;""
)&amp;""&lt;br&gt;&lt;div class=""""audio""""&gt;[sound:""&amp;C4421&amp;"".mp3]&lt;/div&gt;"""),"けち&lt;br&gt;&lt;div class=""audio""&gt;[sound:けち.mp3]&lt;/div&gt;")</f>
        <v>けち&lt;br&gt;&lt;div class="audio"&gt;[sound:けち.mp3]&lt;/div&gt;</v>
      </c>
      <c r="H4421" s="3" t="str">
        <f t="shared" si="1"/>
        <v>(adj): ki bo</v>
      </c>
      <c r="I4421" s="6" t="s">
        <v>24125</v>
      </c>
      <c r="J4421" s="6" t="s">
        <v>24126</v>
      </c>
      <c r="K4421" s="7">
        <f t="shared" si="2"/>
        <v>0.5693039401</v>
      </c>
    </row>
    <row r="4422">
      <c r="A4422" s="4">
        <v>4422.0</v>
      </c>
      <c r="B4422" s="5" t="s">
        <v>24127</v>
      </c>
      <c r="C4422" s="5" t="s">
        <v>24128</v>
      </c>
      <c r="D4422" s="5" t="s">
        <v>24129</v>
      </c>
      <c r="E4422" s="6" t="s">
        <v>74</v>
      </c>
      <c r="F4422" s="6" t="s">
        <v>24130</v>
      </c>
      <c r="G4422" s="3" t="str">
        <f>IFERROR(__xludf.DUMMYFUNCTION("REGEXREPLACE(
D4422,
""([一-龯々]+)\[([^\]]+)\]"",
""&lt;ruby&gt;$1&lt;rt&gt;$2&lt;/rt&gt;&lt;/ruby&gt;""
)&amp;""&lt;br&gt;&lt;div class=""""audio""""&gt;[sound:""&amp;C4422&amp;"".mp3]&lt;/div&gt;"""),"&lt;ruby&gt;印刷&lt;rt&gt;いんさつ&lt;/rt&gt;&lt;/ruby&gt;&lt;br&gt;&lt;div class=""audio""&gt;[sound:いんさつ.mp3]&lt;/div&gt;")</f>
        <v>&lt;ruby&gt;印刷&lt;rt&gt;いんさつ&lt;/rt&gt;&lt;/ruby&gt;&lt;br&gt;&lt;div class="audio"&gt;[sound:いんさつ.mp3]&lt;/div&gt;</v>
      </c>
      <c r="H4422" s="3" t="str">
        <f t="shared" si="1"/>
        <v>(n): in ấn</v>
      </c>
      <c r="I4422" s="6" t="s">
        <v>24131</v>
      </c>
      <c r="J4422" s="6" t="s">
        <v>24132</v>
      </c>
      <c r="K4422" s="7">
        <f t="shared" si="2"/>
        <v>0.7262535153</v>
      </c>
    </row>
    <row r="4423">
      <c r="A4423" s="4">
        <v>4423.0</v>
      </c>
      <c r="B4423" s="5" t="s">
        <v>24133</v>
      </c>
      <c r="C4423" s="5" t="s">
        <v>24134</v>
      </c>
      <c r="D4423" s="5" t="s">
        <v>24135</v>
      </c>
      <c r="E4423" s="6" t="s">
        <v>11</v>
      </c>
      <c r="F4423" s="6" t="s">
        <v>24136</v>
      </c>
      <c r="G4423" s="3" t="str">
        <f>IFERROR(__xludf.DUMMYFUNCTION("REGEXREPLACE(
D4423,
""([一-龯々]+)\[([^\]]+)\]"",
""&lt;ruby&gt;$1&lt;rt&gt;$2&lt;/rt&gt;&lt;/ruby&gt;""
)&amp;""&lt;br&gt;&lt;div class=""""audio""""&gt;[sound:""&amp;C4423&amp;"".mp3]&lt;/div&gt;"""),"&lt;ruby&gt;浅&lt;rt&gt;あさ&lt;/rt&gt;&lt;/ruby&gt;い&lt;br&gt;&lt;div class=""audio""&gt;[sound:あさい.mp3]&lt;/div&gt;")</f>
        <v>&lt;ruby&gt;浅&lt;rt&gt;あさ&lt;/rt&gt;&lt;/ruby&gt;い&lt;br&gt;&lt;div class="audio"&gt;[sound:あさい.mp3]&lt;/div&gt;</v>
      </c>
      <c r="H4423" s="3" t="str">
        <f t="shared" si="1"/>
        <v>(adj): nông</v>
      </c>
      <c r="I4423" s="6" t="s">
        <v>24137</v>
      </c>
      <c r="J4423" s="6" t="s">
        <v>24138</v>
      </c>
      <c r="K4423" s="7">
        <f t="shared" si="2"/>
        <v>0.7568752894</v>
      </c>
    </row>
    <row r="4424">
      <c r="A4424" s="4">
        <v>4424.0</v>
      </c>
      <c r="B4424" s="5" t="s">
        <v>24139</v>
      </c>
      <c r="C4424" s="5" t="s">
        <v>24140</v>
      </c>
      <c r="D4424" s="5" t="s">
        <v>24141</v>
      </c>
      <c r="E4424" s="6" t="s">
        <v>74</v>
      </c>
      <c r="F4424" s="6" t="s">
        <v>24142</v>
      </c>
      <c r="G4424" s="3" t="str">
        <f>IFERROR(__xludf.DUMMYFUNCTION("REGEXREPLACE(
D4424,
""([一-龯々]+)\[([^\]]+)\]"",
""&lt;ruby&gt;$1&lt;rt&gt;$2&lt;/rt&gt;&lt;/ruby&gt;""
)&amp;""&lt;br&gt;&lt;div class=""""audio""""&gt;[sound:""&amp;C4424&amp;"".mp3]&lt;/div&gt;"""),"&lt;ruby&gt;丘&lt;rt&gt;おか&lt;/rt&gt;&lt;/ruby&gt;&lt;br&gt;&lt;div class=""audio""&gt;[sound:おか.mp3]&lt;/div&gt;")</f>
        <v>&lt;ruby&gt;丘&lt;rt&gt;おか&lt;/rt&gt;&lt;/ruby&gt;&lt;br&gt;&lt;div class="audio"&gt;[sound:おか.mp3]&lt;/div&gt;</v>
      </c>
      <c r="H4424" s="3" t="str">
        <f t="shared" si="1"/>
        <v>(n): đồi</v>
      </c>
      <c r="I4424" s="6" t="s">
        <v>24143</v>
      </c>
      <c r="J4424" s="6" t="s">
        <v>24144</v>
      </c>
      <c r="K4424" s="7">
        <f t="shared" si="2"/>
        <v>0.3349470246</v>
      </c>
    </row>
    <row r="4425">
      <c r="A4425" s="4">
        <v>4425.0</v>
      </c>
      <c r="B4425" s="5" t="s">
        <v>24145</v>
      </c>
      <c r="C4425" s="5" t="s">
        <v>24146</v>
      </c>
      <c r="D4425" s="5" t="s">
        <v>24145</v>
      </c>
      <c r="E4425" s="6" t="s">
        <v>74</v>
      </c>
      <c r="F4425" s="6" t="s">
        <v>24147</v>
      </c>
      <c r="G4425" s="3" t="str">
        <f>IFERROR(__xludf.DUMMYFUNCTION("REGEXREPLACE(
D4425,
""([一-龯々]+)\[([^\]]+)\]"",
""&lt;ruby&gt;$1&lt;rt&gt;$2&lt;/rt&gt;&lt;/ruby&gt;""
)&amp;""&lt;br&gt;&lt;div class=""""audio""""&gt;[sound:""&amp;C4425&amp;"".mp3]&lt;/div&gt;"""),"スリッパ&lt;br&gt;&lt;div class=""audio""&gt;[sound:すりっぱ.mp3]&lt;/div&gt;")</f>
        <v>スリッパ&lt;br&gt;&lt;div class="audio"&gt;[sound:すりっぱ.mp3]&lt;/div&gt;</v>
      </c>
      <c r="H4425" s="3" t="str">
        <f t="shared" si="1"/>
        <v>(n): dép đi trong nhà</v>
      </c>
      <c r="I4425" s="6" t="s">
        <v>24148</v>
      </c>
      <c r="J4425" s="6" t="s">
        <v>24149</v>
      </c>
      <c r="K4425" s="7">
        <f t="shared" si="2"/>
        <v>0.5398117853</v>
      </c>
    </row>
    <row r="4426">
      <c r="A4426" s="4">
        <v>4426.0</v>
      </c>
      <c r="B4426" s="5" t="s">
        <v>24150</v>
      </c>
      <c r="C4426" s="5" t="s">
        <v>24151</v>
      </c>
      <c r="D4426" s="5" t="s">
        <v>24152</v>
      </c>
      <c r="E4426" s="6" t="s">
        <v>74</v>
      </c>
      <c r="F4426" s="6" t="s">
        <v>24153</v>
      </c>
      <c r="G4426" s="3" t="str">
        <f>IFERROR(__xludf.DUMMYFUNCTION("REGEXREPLACE(
D4426,
""([一-龯々]+)\[([^\]]+)\]"",
""&lt;ruby&gt;$1&lt;rt&gt;$2&lt;/rt&gt;&lt;/ruby&gt;""
)&amp;""&lt;br&gt;&lt;div class=""""audio""""&gt;[sound:""&amp;C4426&amp;"".mp3]&lt;/div&gt;"""),"&lt;ruby&gt;心当&lt;rt&gt;こころあ&lt;/rt&gt;&lt;/ruby&gt;たり&lt;br&gt;&lt;div class=""audio""&gt;[sound:こころあたり.mp3]&lt;/div&gt;")</f>
        <v>&lt;ruby&gt;心当&lt;rt&gt;こころあ&lt;/rt&gt;&lt;/ruby&gt;たり&lt;br&gt;&lt;div class="audio"&gt;[sound:こころあたり.mp3]&lt;/div&gt;</v>
      </c>
      <c r="H4426" s="3" t="str">
        <f t="shared" si="1"/>
        <v>(n): nhớ mang máng</v>
      </c>
      <c r="I4426" s="6" t="s">
        <v>24154</v>
      </c>
      <c r="J4426" s="6" t="s">
        <v>24155</v>
      </c>
      <c r="K4426" s="7">
        <f t="shared" si="2"/>
        <v>0.8939418033</v>
      </c>
    </row>
    <row r="4427">
      <c r="A4427" s="4">
        <v>4427.0</v>
      </c>
      <c r="B4427" s="5" t="s">
        <v>24156</v>
      </c>
      <c r="C4427" s="5" t="s">
        <v>24157</v>
      </c>
      <c r="D4427" s="5" t="s">
        <v>24156</v>
      </c>
      <c r="E4427" s="6" t="s">
        <v>74</v>
      </c>
      <c r="F4427" s="6" t="s">
        <v>24158</v>
      </c>
      <c r="G4427" s="3" t="str">
        <f>IFERROR(__xludf.DUMMYFUNCTION("REGEXREPLACE(
D4427,
""([一-龯々]+)\[([^\]]+)\]"",
""&lt;ruby&gt;$1&lt;rt&gt;$2&lt;/rt&gt;&lt;/ruby&gt;""
)&amp;""&lt;br&gt;&lt;div class=""""audio""""&gt;[sound:""&amp;C4427&amp;"".mp3]&lt;/div&gt;"""),"ワイシャツ&lt;br&gt;&lt;div class=""audio""&gt;[sound:わいしゃつ.mp3]&lt;/div&gt;")</f>
        <v>ワイシャツ&lt;br&gt;&lt;div class="audio"&gt;[sound:わいしゃつ.mp3]&lt;/div&gt;</v>
      </c>
      <c r="H4427" s="3" t="str">
        <f t="shared" si="1"/>
        <v>(n): áo sơ mi nam</v>
      </c>
      <c r="I4427" s="6" t="s">
        <v>24159</v>
      </c>
      <c r="J4427" s="6" t="s">
        <v>24160</v>
      </c>
      <c r="K4427" s="7">
        <f t="shared" si="2"/>
        <v>0.1670071093</v>
      </c>
    </row>
    <row r="4428">
      <c r="A4428" s="4">
        <v>4428.0</v>
      </c>
      <c r="B4428" s="5" t="s">
        <v>24161</v>
      </c>
      <c r="C4428" s="5" t="s">
        <v>24162</v>
      </c>
      <c r="D4428" s="5" t="s">
        <v>24163</v>
      </c>
      <c r="E4428" s="6" t="s">
        <v>74</v>
      </c>
      <c r="F4428" s="6" t="s">
        <v>24164</v>
      </c>
      <c r="G4428" s="3" t="str">
        <f>IFERROR(__xludf.DUMMYFUNCTION("REGEXREPLACE(
D4428,
""([一-龯々]+)\[([^\]]+)\]"",
""&lt;ruby&gt;$1&lt;rt&gt;$2&lt;/rt&gt;&lt;/ruby&gt;""
)&amp;""&lt;br&gt;&lt;div class=""""audio""""&gt;[sound:""&amp;C4428&amp;"".mp3]&lt;/div&gt;"""),"&lt;ruby&gt;語学&lt;rt&gt;ごがく&lt;/rt&gt;&lt;/ruby&gt;&lt;br&gt;&lt;div class=""audio""&gt;[sound:ごがく.mp3]&lt;/div&gt;")</f>
        <v>&lt;ruby&gt;語学&lt;rt&gt;ごがく&lt;/rt&gt;&lt;/ruby&gt;&lt;br&gt;&lt;div class="audio"&gt;[sound:ごがく.mp3]&lt;/div&gt;</v>
      </c>
      <c r="H4428" s="3" t="str">
        <f t="shared" si="1"/>
        <v>(n): ngôn ngữ học</v>
      </c>
      <c r="I4428" s="6" t="s">
        <v>24165</v>
      </c>
      <c r="J4428" s="6" t="s">
        <v>24166</v>
      </c>
      <c r="K4428" s="7">
        <f t="shared" si="2"/>
        <v>0.01540468162</v>
      </c>
    </row>
    <row r="4429">
      <c r="A4429" s="4">
        <v>4429.0</v>
      </c>
      <c r="B4429" s="5" t="s">
        <v>24167</v>
      </c>
      <c r="C4429" s="5" t="s">
        <v>24168</v>
      </c>
      <c r="D4429" s="5" t="s">
        <v>24169</v>
      </c>
      <c r="E4429" s="6" t="s">
        <v>74</v>
      </c>
      <c r="F4429" s="6" t="s">
        <v>24170</v>
      </c>
      <c r="G4429" s="3" t="str">
        <f>IFERROR(__xludf.DUMMYFUNCTION("REGEXREPLACE(
D4429,
""([一-龯々]+)\[([^\]]+)\]"",
""&lt;ruby&gt;$1&lt;rt&gt;$2&lt;/rt&gt;&lt;/ruby&gt;""
)&amp;""&lt;br&gt;&lt;div class=""""audio""""&gt;[sound:""&amp;C4429&amp;"".mp3]&lt;/div&gt;"""),"&lt;ruby&gt;賞金&lt;rt&gt;しょうきん&lt;/rt&gt;&lt;/ruby&gt;&lt;br&gt;&lt;div class=""audio""&gt;[sound:しょうきん.mp3]&lt;/div&gt;")</f>
        <v>&lt;ruby&gt;賞金&lt;rt&gt;しょうきん&lt;/rt&gt;&lt;/ruby&gt;&lt;br&gt;&lt;div class="audio"&gt;[sound:しょうきん.mp3]&lt;/div&gt;</v>
      </c>
      <c r="H4429" s="3" t="str">
        <f t="shared" si="1"/>
        <v>(n): tiền thưởng</v>
      </c>
      <c r="I4429" s="6" t="s">
        <v>24171</v>
      </c>
      <c r="J4429" s="6" t="s">
        <v>24172</v>
      </c>
      <c r="K4429" s="7">
        <f t="shared" si="2"/>
        <v>0.4875530461</v>
      </c>
    </row>
    <row r="4430">
      <c r="A4430" s="4">
        <v>4430.0</v>
      </c>
      <c r="B4430" s="5" t="s">
        <v>24173</v>
      </c>
      <c r="C4430" s="5" t="s">
        <v>24174</v>
      </c>
      <c r="D4430" s="5" t="s">
        <v>24175</v>
      </c>
      <c r="E4430" s="6" t="s">
        <v>24</v>
      </c>
      <c r="F4430" s="6" t="s">
        <v>24176</v>
      </c>
      <c r="G4430" s="3" t="str">
        <f>IFERROR(__xludf.DUMMYFUNCTION("REGEXREPLACE(
D4430,
""([一-龯々]+)\[([^\]]+)\]"",
""&lt;ruby&gt;$1&lt;rt&gt;$2&lt;/rt&gt;&lt;/ruby&gt;""
)&amp;""&lt;br&gt;&lt;div class=""""audio""""&gt;[sound:""&amp;C4430&amp;"".mp3]&lt;/div&gt;"""),"&lt;ruby&gt;通&lt;rt&gt;つう&lt;/rt&gt;&lt;/ruby&gt;ずる&lt;br&gt;&lt;div class=""audio""&gt;[sound:つうずる.mp3]&lt;/div&gt;")</f>
        <v>&lt;ruby&gt;通&lt;rt&gt;つう&lt;/rt&gt;&lt;/ruby&gt;ずる&lt;br&gt;&lt;div class="audio"&gt;[sound:つうずる.mp3]&lt;/div&gt;</v>
      </c>
      <c r="H4430" s="3" t="str">
        <f t="shared" si="1"/>
        <v>(v): thông hiểu</v>
      </c>
      <c r="I4430" s="6" t="s">
        <v>24177</v>
      </c>
      <c r="J4430" s="6" t="s">
        <v>24178</v>
      </c>
      <c r="K4430" s="7">
        <f t="shared" si="2"/>
        <v>0.6370944458</v>
      </c>
    </row>
    <row r="4431">
      <c r="A4431" s="4">
        <v>4431.0</v>
      </c>
      <c r="B4431" s="5" t="s">
        <v>24179</v>
      </c>
      <c r="C4431" s="5" t="s">
        <v>24179</v>
      </c>
      <c r="D4431" s="5" t="s">
        <v>24179</v>
      </c>
      <c r="E4431" s="6" t="s">
        <v>74</v>
      </c>
      <c r="F4431" s="6" t="s">
        <v>24180</v>
      </c>
      <c r="G4431" s="3" t="str">
        <f>IFERROR(__xludf.DUMMYFUNCTION("REGEXREPLACE(
D4431,
""([一-龯々]+)\[([^\]]+)\]"",
""&lt;ruby&gt;$1&lt;rt&gt;$2&lt;/rt&gt;&lt;/ruby&gt;""
)&amp;""&lt;br&gt;&lt;div class=""""audio""""&gt;[sound:""&amp;C4431&amp;"".mp3]&lt;/div&gt;"""),"うがい&lt;br&gt;&lt;div class=""audio""&gt;[sound:うがい.mp3]&lt;/div&gt;")</f>
        <v>うがい&lt;br&gt;&lt;div class="audio"&gt;[sound:うがい.mp3]&lt;/div&gt;</v>
      </c>
      <c r="H4431" s="3" t="str">
        <f t="shared" si="1"/>
        <v>(n): súc miệng</v>
      </c>
      <c r="I4431" s="6" t="s">
        <v>24181</v>
      </c>
      <c r="J4431" s="6" t="s">
        <v>24182</v>
      </c>
      <c r="K4431" s="7">
        <f t="shared" si="2"/>
        <v>0.002112916861</v>
      </c>
    </row>
    <row r="4432">
      <c r="A4432" s="4">
        <v>4432.0</v>
      </c>
      <c r="B4432" s="5" t="s">
        <v>24183</v>
      </c>
      <c r="C4432" s="5" t="s">
        <v>24184</v>
      </c>
      <c r="D4432" s="5" t="s">
        <v>24185</v>
      </c>
      <c r="E4432" s="6" t="s">
        <v>74</v>
      </c>
      <c r="F4432" s="6" t="s">
        <v>24186</v>
      </c>
      <c r="G4432" s="3" t="str">
        <f>IFERROR(__xludf.DUMMYFUNCTION("REGEXREPLACE(
D4432,
""([一-龯々]+)\[([^\]]+)\]"",
""&lt;ruby&gt;$1&lt;rt&gt;$2&lt;/rt&gt;&lt;/ruby&gt;""
)&amp;""&lt;br&gt;&lt;div class=""""audio""""&gt;[sound:""&amp;C4432&amp;"".mp3]&lt;/div&gt;"""),"&lt;ruby&gt;論争&lt;rt&gt;ろんそう&lt;/rt&gt;&lt;/ruby&gt;&lt;br&gt;&lt;div class=""audio""&gt;[sound:ろんそう.mp3]&lt;/div&gt;")</f>
        <v>&lt;ruby&gt;論争&lt;rt&gt;ろんそう&lt;/rt&gt;&lt;/ruby&gt;&lt;br&gt;&lt;div class="audio"&gt;[sound:ろんそう.mp3]&lt;/div&gt;</v>
      </c>
      <c r="H4432" s="3" t="str">
        <f t="shared" si="1"/>
        <v>(n): tranh cãi</v>
      </c>
      <c r="I4432" s="6" t="s">
        <v>24187</v>
      </c>
      <c r="J4432" s="6" t="s">
        <v>24188</v>
      </c>
      <c r="K4432" s="7">
        <f t="shared" si="2"/>
        <v>0.4776050875</v>
      </c>
    </row>
    <row r="4433">
      <c r="A4433" s="4">
        <v>4433.0</v>
      </c>
      <c r="B4433" s="5" t="s">
        <v>24189</v>
      </c>
      <c r="C4433" s="5" t="s">
        <v>24189</v>
      </c>
      <c r="D4433" s="5" t="s">
        <v>24189</v>
      </c>
      <c r="E4433" s="6" t="s">
        <v>24</v>
      </c>
      <c r="F4433" s="6" t="s">
        <v>24190</v>
      </c>
      <c r="G4433" s="3" t="str">
        <f>IFERROR(__xludf.DUMMYFUNCTION("REGEXREPLACE(
D4433,
""([一-龯々]+)\[([^\]]+)\]"",
""&lt;ruby&gt;$1&lt;rt&gt;$2&lt;/rt&gt;&lt;/ruby&gt;""
)&amp;""&lt;br&gt;&lt;div class=""""audio""""&gt;[sound:""&amp;C4433&amp;"".mp3]&lt;/div&gt;"""),"やっつける&lt;br&gt;&lt;div class=""audio""&gt;[sound:やっつける.mp3]&lt;/div&gt;")</f>
        <v>やっつける&lt;br&gt;&lt;div class="audio"&gt;[sound:やっつける.mp3]&lt;/div&gt;</v>
      </c>
      <c r="H4433" s="3" t="str">
        <f t="shared" si="1"/>
        <v>(v): đánh bại</v>
      </c>
      <c r="I4433" s="6" t="s">
        <v>24191</v>
      </c>
      <c r="J4433" s="6" t="s">
        <v>24192</v>
      </c>
      <c r="K4433" s="7">
        <f t="shared" si="2"/>
        <v>0.3030973016</v>
      </c>
    </row>
    <row r="4434">
      <c r="A4434" s="4">
        <v>4434.0</v>
      </c>
      <c r="B4434" s="5" t="s">
        <v>24193</v>
      </c>
      <c r="C4434" s="5" t="s">
        <v>24194</v>
      </c>
      <c r="D4434" s="5" t="s">
        <v>24193</v>
      </c>
      <c r="E4434" s="6" t="s">
        <v>74</v>
      </c>
      <c r="F4434" s="6" t="s">
        <v>24195</v>
      </c>
      <c r="G4434" s="3" t="str">
        <f>IFERROR(__xludf.DUMMYFUNCTION("REGEXREPLACE(
D4434,
""([一-龯々]+)\[([^\]]+)\]"",
""&lt;ruby&gt;$1&lt;rt&gt;$2&lt;/rt&gt;&lt;/ruby&gt;""
)&amp;""&lt;br&gt;&lt;div class=""""audio""""&gt;[sound:""&amp;C4434&amp;"".mp3]&lt;/div&gt;"""),"ユーモア&lt;br&gt;&lt;div class=""audio""&gt;[sound:ゆーもあ.mp3]&lt;/div&gt;")</f>
        <v>ユーモア&lt;br&gt;&lt;div class="audio"&gt;[sound:ゆーもあ.mp3]&lt;/div&gt;</v>
      </c>
      <c r="H4434" s="3" t="str">
        <f t="shared" si="1"/>
        <v>(n): hài hước</v>
      </c>
      <c r="I4434" s="6" t="s">
        <v>24196</v>
      </c>
      <c r="J4434" s="6" t="s">
        <v>24197</v>
      </c>
      <c r="K4434" s="7">
        <f t="shared" si="2"/>
        <v>0.8683427223</v>
      </c>
    </row>
    <row r="4435">
      <c r="A4435" s="4">
        <v>4435.0</v>
      </c>
      <c r="B4435" s="5" t="s">
        <v>24198</v>
      </c>
      <c r="C4435" s="5" t="s">
        <v>24199</v>
      </c>
      <c r="D4435" s="5" t="s">
        <v>24200</v>
      </c>
      <c r="E4435" s="6" t="s">
        <v>74</v>
      </c>
      <c r="F4435" s="6" t="s">
        <v>24201</v>
      </c>
      <c r="G4435" s="3" t="str">
        <f>IFERROR(__xludf.DUMMYFUNCTION("REGEXREPLACE(
D4435,
""([一-龯々]+)\[([^\]]+)\]"",
""&lt;ruby&gt;$1&lt;rt&gt;$2&lt;/rt&gt;&lt;/ruby&gt;""
)&amp;""&lt;br&gt;&lt;div class=""""audio""""&gt;[sound:""&amp;C4435&amp;"".mp3]&lt;/div&gt;"""),"&lt;ruby&gt;不平&lt;rt&gt;ふへい&lt;/rt&gt;&lt;/ruby&gt;&lt;br&gt;&lt;div class=""audio""&gt;[sound:ふへい.mp3]&lt;/div&gt;")</f>
        <v>&lt;ruby&gt;不平&lt;rt&gt;ふへい&lt;/rt&gt;&lt;/ruby&gt;&lt;br&gt;&lt;div class="audio"&gt;[sound:ふへい.mp3]&lt;/div&gt;</v>
      </c>
      <c r="H4435" s="3" t="str">
        <f t="shared" si="1"/>
        <v>(n): bất bình</v>
      </c>
      <c r="I4435" s="6" t="s">
        <v>24202</v>
      </c>
      <c r="J4435" s="6" t="s">
        <v>24203</v>
      </c>
      <c r="K4435" s="7">
        <f t="shared" si="2"/>
        <v>0.4786763957</v>
      </c>
    </row>
    <row r="4436">
      <c r="A4436" s="4">
        <v>4436.0</v>
      </c>
      <c r="B4436" s="5" t="s">
        <v>24204</v>
      </c>
      <c r="C4436" s="5" t="s">
        <v>24205</v>
      </c>
      <c r="D4436" s="5" t="s">
        <v>24206</v>
      </c>
      <c r="E4436" s="6" t="s">
        <v>74</v>
      </c>
      <c r="F4436" s="6" t="s">
        <v>24207</v>
      </c>
      <c r="G4436" s="3" t="str">
        <f>IFERROR(__xludf.DUMMYFUNCTION("REGEXREPLACE(
D4436,
""([一-龯々]+)\[([^\]]+)\]"",
""&lt;ruby&gt;$1&lt;rt&gt;$2&lt;/rt&gt;&lt;/ruby&gt;""
)&amp;""&lt;br&gt;&lt;div class=""""audio""""&gt;[sound:""&amp;C4436&amp;"".mp3]&lt;/div&gt;"""),"&lt;ruby&gt;家事&lt;rt&gt;かじ&lt;/rt&gt;&lt;/ruby&gt;&lt;br&gt;&lt;div class=""audio""&gt;[sound:かじ.mp3]&lt;/div&gt;")</f>
        <v>&lt;ruby&gt;家事&lt;rt&gt;かじ&lt;/rt&gt;&lt;/ruby&gt;&lt;br&gt;&lt;div class="audio"&gt;[sound:かじ.mp3]&lt;/div&gt;</v>
      </c>
      <c r="H4436" s="3" t="str">
        <f t="shared" si="1"/>
        <v>(n): việc nhà</v>
      </c>
      <c r="I4436" s="6" t="s">
        <v>24208</v>
      </c>
      <c r="J4436" s="6" t="s">
        <v>24209</v>
      </c>
      <c r="K4436" s="7">
        <f t="shared" si="2"/>
        <v>0.9288587025</v>
      </c>
    </row>
    <row r="4437">
      <c r="A4437" s="4">
        <v>4437.0</v>
      </c>
      <c r="B4437" s="5" t="s">
        <v>24210</v>
      </c>
      <c r="C4437" s="5" t="s">
        <v>24211</v>
      </c>
      <c r="D4437" s="5" t="s">
        <v>24212</v>
      </c>
      <c r="E4437" s="6" t="s">
        <v>74</v>
      </c>
      <c r="F4437" s="6" t="s">
        <v>17358</v>
      </c>
      <c r="G4437" s="3" t="str">
        <f>IFERROR(__xludf.DUMMYFUNCTION("REGEXREPLACE(
D4437,
""([一-龯々]+)\[([^\]]+)\]"",
""&lt;ruby&gt;$1&lt;rt&gt;$2&lt;/rt&gt;&lt;/ruby&gt;""
)&amp;""&lt;br&gt;&lt;div class=""""audio""""&gt;[sound:""&amp;C4437&amp;"".mp3]&lt;/div&gt;"""),"&lt;ruby&gt;犯人&lt;rt&gt;はんにん&lt;/rt&gt;&lt;/ruby&gt;&lt;br&gt;&lt;div class=""audio""&gt;[sound:はんにん.mp3]&lt;/div&gt;")</f>
        <v>&lt;ruby&gt;犯人&lt;rt&gt;はんにん&lt;/rt&gt;&lt;/ruby&gt;&lt;br&gt;&lt;div class="audio"&gt;[sound:はんにん.mp3]&lt;/div&gt;</v>
      </c>
      <c r="H4437" s="3" t="str">
        <f t="shared" si="1"/>
        <v>(n): tội phạm</v>
      </c>
      <c r="I4437" s="6" t="s">
        <v>24213</v>
      </c>
      <c r="J4437" s="6" t="s">
        <v>18009</v>
      </c>
      <c r="K4437" s="7">
        <f t="shared" si="2"/>
        <v>0.02983410886</v>
      </c>
    </row>
    <row r="4438">
      <c r="A4438" s="4">
        <v>4438.0</v>
      </c>
      <c r="B4438" s="5" t="s">
        <v>24214</v>
      </c>
      <c r="C4438" s="5" t="s">
        <v>24215</v>
      </c>
      <c r="D4438" s="5" t="s">
        <v>24216</v>
      </c>
      <c r="E4438" s="6" t="s">
        <v>24</v>
      </c>
      <c r="F4438" s="6" t="s">
        <v>8547</v>
      </c>
      <c r="G4438" s="3" t="str">
        <f>IFERROR(__xludf.DUMMYFUNCTION("REGEXREPLACE(
D4438,
""([一-龯々]+)\[([^\]]+)\]"",
""&lt;ruby&gt;$1&lt;rt&gt;$2&lt;/rt&gt;&lt;/ruby&gt;""
)&amp;""&lt;br&gt;&lt;div class=""""audio""""&gt;[sound:""&amp;C4438&amp;"".mp3]&lt;/div&gt;"""),"&lt;ruby&gt;追&lt;rt&gt;お&lt;/rt&gt;&lt;/ruby&gt;い&lt;ruby&gt;越&lt;rt&gt;こ&lt;/rt&gt;&lt;/ruby&gt;す&lt;br&gt;&lt;div class=""audio""&gt;[sound:おいこす.mp3]&lt;/div&gt;")</f>
        <v>&lt;ruby&gt;追&lt;rt&gt;お&lt;/rt&gt;&lt;/ruby&gt;い&lt;ruby&gt;越&lt;rt&gt;こ&lt;/rt&gt;&lt;/ruby&gt;す&lt;br&gt;&lt;div class="audio"&gt;[sound:おいこす.mp3]&lt;/div&gt;</v>
      </c>
      <c r="H4438" s="3" t="str">
        <f t="shared" si="1"/>
        <v>(v): vượt qua</v>
      </c>
      <c r="I4438" s="6" t="s">
        <v>24217</v>
      </c>
      <c r="J4438" s="6" t="s">
        <v>24218</v>
      </c>
      <c r="K4438" s="7">
        <f t="shared" si="2"/>
        <v>0.2170366104</v>
      </c>
    </row>
    <row r="4439">
      <c r="A4439" s="4">
        <v>4439.0</v>
      </c>
      <c r="B4439" s="5" t="s">
        <v>24219</v>
      </c>
      <c r="C4439" s="5" t="s">
        <v>24220</v>
      </c>
      <c r="D4439" s="5" t="s">
        <v>24221</v>
      </c>
      <c r="E4439" s="6" t="s">
        <v>74</v>
      </c>
      <c r="F4439" s="6" t="s">
        <v>24222</v>
      </c>
      <c r="G4439" s="3" t="str">
        <f>IFERROR(__xludf.DUMMYFUNCTION("REGEXREPLACE(
D4439,
""([一-龯々]+)\[([^\]]+)\]"",
""&lt;ruby&gt;$1&lt;rt&gt;$2&lt;/rt&gt;&lt;/ruby&gt;""
)&amp;""&lt;br&gt;&lt;div class=""""audio""""&gt;[sound:""&amp;C4439&amp;"".mp3]&lt;/div&gt;"""),"&lt;ruby&gt;作文&lt;rt&gt;さくぶん&lt;/rt&gt;&lt;/ruby&gt;&lt;br&gt;&lt;div class=""audio""&gt;[sound:さくぶん.mp3]&lt;/div&gt;")</f>
        <v>&lt;ruby&gt;作文&lt;rt&gt;さくぶん&lt;/rt&gt;&lt;/ruby&gt;&lt;br&gt;&lt;div class="audio"&gt;[sound:さくぶん.mp3]&lt;/div&gt;</v>
      </c>
      <c r="H4439" s="3" t="str">
        <f t="shared" si="1"/>
        <v>(n): bài văn</v>
      </c>
      <c r="I4439" s="6" t="s">
        <v>24223</v>
      </c>
      <c r="J4439" s="6" t="s">
        <v>24224</v>
      </c>
      <c r="K4439" s="7">
        <f t="shared" si="2"/>
        <v>0.2416251097</v>
      </c>
    </row>
    <row r="4440">
      <c r="A4440" s="4">
        <v>4440.0</v>
      </c>
      <c r="B4440" s="5" t="s">
        <v>24225</v>
      </c>
      <c r="C4440" s="5" t="s">
        <v>24226</v>
      </c>
      <c r="D4440" s="5" t="s">
        <v>24227</v>
      </c>
      <c r="E4440" s="6" t="s">
        <v>11</v>
      </c>
      <c r="F4440" s="6" t="s">
        <v>24228</v>
      </c>
      <c r="G4440" s="3" t="str">
        <f>IFERROR(__xludf.DUMMYFUNCTION("REGEXREPLACE(
D4440,
""([一-龯々]+)\[([^\]]+)\]"",
""&lt;ruby&gt;$1&lt;rt&gt;$2&lt;/rt&gt;&lt;/ruby&gt;""
)&amp;""&lt;br&gt;&lt;div class=""""audio""""&gt;[sound:""&amp;C4440&amp;"".mp3]&lt;/div&gt;"""),"&lt;ruby&gt;特殊&lt;rt&gt;とくしゅ&lt;/rt&gt;&lt;/ruby&gt;&lt;br&gt;&lt;div class=""audio""&gt;[sound:とくしゅ.mp3]&lt;/div&gt;")</f>
        <v>&lt;ruby&gt;特殊&lt;rt&gt;とくしゅ&lt;/rt&gt;&lt;/ruby&gt;&lt;br&gt;&lt;div class="audio"&gt;[sound:とくしゅ.mp3]&lt;/div&gt;</v>
      </c>
      <c r="H4440" s="3" t="str">
        <f t="shared" si="1"/>
        <v>(adj): đặc thù</v>
      </c>
      <c r="I4440" s="6" t="s">
        <v>24229</v>
      </c>
      <c r="J4440" s="6" t="s">
        <v>24230</v>
      </c>
      <c r="K4440" s="7">
        <f t="shared" si="2"/>
        <v>0.5492482907</v>
      </c>
    </row>
    <row r="4441">
      <c r="A4441" s="4">
        <v>4441.0</v>
      </c>
      <c r="B4441" s="5" t="s">
        <v>24231</v>
      </c>
      <c r="C4441" s="5" t="s">
        <v>24232</v>
      </c>
      <c r="D4441" s="5" t="s">
        <v>24233</v>
      </c>
      <c r="E4441" s="6" t="s">
        <v>74</v>
      </c>
      <c r="F4441" s="6" t="s">
        <v>24234</v>
      </c>
      <c r="G4441" s="3" t="str">
        <f>IFERROR(__xludf.DUMMYFUNCTION("REGEXREPLACE(
D4441,
""([一-龯々]+)\[([^\]]+)\]"",
""&lt;ruby&gt;$1&lt;rt&gt;$2&lt;/rt&gt;&lt;/ruby&gt;""
)&amp;""&lt;br&gt;&lt;div class=""""audio""""&gt;[sound:""&amp;C4441&amp;"".mp3]&lt;/div&gt;"""),"&lt;ruby&gt;癌&lt;rt&gt;がん&lt;/rt&gt;&lt;/ruby&gt;&lt;br&gt;&lt;div class=""audio""&gt;[sound:がん.mp3]&lt;/div&gt;")</f>
        <v>&lt;ruby&gt;癌&lt;rt&gt;がん&lt;/rt&gt;&lt;/ruby&gt;&lt;br&gt;&lt;div class="audio"&gt;[sound:がん.mp3]&lt;/div&gt;</v>
      </c>
      <c r="H4441" s="3" t="str">
        <f t="shared" si="1"/>
        <v>(n): ung thư</v>
      </c>
      <c r="I4441" s="6" t="s">
        <v>24235</v>
      </c>
      <c r="J4441" s="6" t="s">
        <v>24236</v>
      </c>
      <c r="K4441" s="7">
        <f t="shared" si="2"/>
        <v>0.9909837146</v>
      </c>
    </row>
    <row r="4442">
      <c r="A4442" s="4">
        <v>4442.0</v>
      </c>
      <c r="B4442" s="5" t="s">
        <v>24237</v>
      </c>
      <c r="C4442" s="5" t="s">
        <v>11845</v>
      </c>
      <c r="D4442" s="5" t="s">
        <v>24238</v>
      </c>
      <c r="E4442" s="6" t="s">
        <v>74</v>
      </c>
      <c r="F4442" s="6" t="s">
        <v>7328</v>
      </c>
      <c r="G4442" s="3" t="str">
        <f>IFERROR(__xludf.DUMMYFUNCTION("REGEXREPLACE(
D4442,
""([一-龯々]+)\[([^\]]+)\]"",
""&lt;ruby&gt;$1&lt;rt&gt;$2&lt;/rt&gt;&lt;/ruby&gt;""
)&amp;""&lt;br&gt;&lt;div class=""""audio""""&gt;[sound:""&amp;C4442&amp;"".mp3]&lt;/div&gt;"""),"&lt;ruby&gt;衣料&lt;rt&gt;いりょう&lt;/rt&gt;&lt;/ruby&gt;&lt;br&gt;&lt;div class=""audio""&gt;[sound:いりょう.mp3]&lt;/div&gt;")</f>
        <v>&lt;ruby&gt;衣料&lt;rt&gt;いりょう&lt;/rt&gt;&lt;/ruby&gt;&lt;br&gt;&lt;div class="audio"&gt;[sound:いりょう.mp3]&lt;/div&gt;</v>
      </c>
      <c r="H4442" s="3" t="str">
        <f t="shared" si="1"/>
        <v>(n): quần áo</v>
      </c>
      <c r="I4442" s="6" t="s">
        <v>24239</v>
      </c>
      <c r="J4442" s="6" t="s">
        <v>24240</v>
      </c>
      <c r="K4442" s="7">
        <f t="shared" si="2"/>
        <v>0.4497126239</v>
      </c>
    </row>
    <row r="4443">
      <c r="A4443" s="4">
        <v>4443.0</v>
      </c>
      <c r="B4443" s="5" t="s">
        <v>24241</v>
      </c>
      <c r="C4443" s="5" t="s">
        <v>18069</v>
      </c>
      <c r="D4443" s="5" t="s">
        <v>24242</v>
      </c>
      <c r="E4443" s="6" t="s">
        <v>74</v>
      </c>
      <c r="F4443" s="6" t="s">
        <v>24243</v>
      </c>
      <c r="G4443" s="3" t="str">
        <f>IFERROR(__xludf.DUMMYFUNCTION("REGEXREPLACE(
D4443,
""([一-龯々]+)\[([^\]]+)\]"",
""&lt;ruby&gt;$1&lt;rt&gt;$2&lt;/rt&gt;&lt;/ruby&gt;""
)&amp;""&lt;br&gt;&lt;div class=""""audio""""&gt;[sound:""&amp;C4443&amp;"".mp3]&lt;/div&gt;"""),"&lt;ruby&gt;貸&lt;rt&gt;か&lt;/rt&gt;&lt;/ruby&gt;し&lt;br&gt;&lt;div class=""audio""&gt;[sound:かし.mp3]&lt;/div&gt;")</f>
        <v>&lt;ruby&gt;貸&lt;rt&gt;か&lt;/rt&gt;&lt;/ruby&gt;し&lt;br&gt;&lt;div class="audio"&gt;[sound:かし.mp3]&lt;/div&gt;</v>
      </c>
      <c r="H4443" s="3" t="str">
        <f t="shared" si="1"/>
        <v>(n): cho vay</v>
      </c>
      <c r="I4443" s="6" t="s">
        <v>24244</v>
      </c>
      <c r="J4443" s="6" t="s">
        <v>24245</v>
      </c>
      <c r="K4443" s="7">
        <f t="shared" si="2"/>
        <v>0.3484218562</v>
      </c>
    </row>
    <row r="4444">
      <c r="A4444" s="4">
        <v>4444.0</v>
      </c>
      <c r="B4444" s="5" t="s">
        <v>24246</v>
      </c>
      <c r="C4444" s="5" t="s">
        <v>24247</v>
      </c>
      <c r="D4444" s="5" t="s">
        <v>24248</v>
      </c>
      <c r="E4444" s="6" t="s">
        <v>24</v>
      </c>
      <c r="F4444" s="6" t="s">
        <v>20896</v>
      </c>
      <c r="G4444" s="3" t="str">
        <f>IFERROR(__xludf.DUMMYFUNCTION("REGEXREPLACE(
D4444,
""([一-龯々]+)\[([^\]]+)\]"",
""&lt;ruby&gt;$1&lt;rt&gt;$2&lt;/rt&gt;&lt;/ruby&gt;""
)&amp;""&lt;br&gt;&lt;div class=""""audio""""&gt;[sound:""&amp;C4444&amp;"".mp3]&lt;/div&gt;"""),"&lt;ruby&gt;塞&lt;rt&gt;ふさ&lt;/rt&gt;&lt;/ruby&gt;がる&lt;br&gt;&lt;div class=""audio""&gt;[sound:ふさがる.mp3]&lt;/div&gt;")</f>
        <v>&lt;ruby&gt;塞&lt;rt&gt;ふさ&lt;/rt&gt;&lt;/ruby&gt;がる&lt;br&gt;&lt;div class="audio"&gt;[sound:ふさがる.mp3]&lt;/div&gt;</v>
      </c>
      <c r="H4444" s="3" t="str">
        <f t="shared" si="1"/>
        <v>(v): bị tắc</v>
      </c>
      <c r="I4444" s="6" t="s">
        <v>24249</v>
      </c>
      <c r="J4444" s="6" t="s">
        <v>24250</v>
      </c>
      <c r="K4444" s="7">
        <f t="shared" si="2"/>
        <v>0.03279211973</v>
      </c>
    </row>
    <row r="4445">
      <c r="A4445" s="4">
        <v>4445.0</v>
      </c>
      <c r="B4445" s="5" t="s">
        <v>24251</v>
      </c>
      <c r="C4445" s="5" t="s">
        <v>24252</v>
      </c>
      <c r="D4445" s="5" t="s">
        <v>24253</v>
      </c>
      <c r="E4445" s="6" t="s">
        <v>11</v>
      </c>
      <c r="F4445" s="6" t="s">
        <v>24254</v>
      </c>
      <c r="G4445" s="3" t="str">
        <f>IFERROR(__xludf.DUMMYFUNCTION("REGEXREPLACE(
D4445,
""([一-龯々]+)\[([^\]]+)\]"",
""&lt;ruby&gt;$1&lt;rt&gt;$2&lt;/rt&gt;&lt;/ruby&gt;""
)&amp;""&lt;br&gt;&lt;div class=""""audio""""&gt;[sound:""&amp;C4445&amp;"".mp3]&lt;/div&gt;"""),"&lt;ruby&gt;贅沢&lt;rt&gt;ぜいたく&lt;/rt&gt;&lt;/ruby&gt;&lt;br&gt;&lt;div class=""audio""&gt;[sound:ぜいたく.mp3]&lt;/div&gt;")</f>
        <v>&lt;ruby&gt;贅沢&lt;rt&gt;ぜいたく&lt;/rt&gt;&lt;/ruby&gt;&lt;br&gt;&lt;div class="audio"&gt;[sound:ぜいたく.mp3]&lt;/div&gt;</v>
      </c>
      <c r="H4445" s="3" t="str">
        <f t="shared" si="1"/>
        <v>(adj): xa hoa</v>
      </c>
      <c r="I4445" s="6" t="s">
        <v>24255</v>
      </c>
      <c r="J4445" s="6" t="s">
        <v>24256</v>
      </c>
      <c r="K4445" s="7">
        <f t="shared" si="2"/>
        <v>0.42743823</v>
      </c>
    </row>
    <row r="4446">
      <c r="A4446" s="4">
        <v>4446.0</v>
      </c>
      <c r="B4446" s="5" t="s">
        <v>24257</v>
      </c>
      <c r="C4446" s="5" t="s">
        <v>24258</v>
      </c>
      <c r="D4446" s="5" t="s">
        <v>24259</v>
      </c>
      <c r="E4446" s="6" t="s">
        <v>24</v>
      </c>
      <c r="F4446" s="6" t="s">
        <v>24260</v>
      </c>
      <c r="G4446" s="3" t="str">
        <f>IFERROR(__xludf.DUMMYFUNCTION("REGEXREPLACE(
D4446,
""([一-龯々]+)\[([^\]]+)\]"",
""&lt;ruby&gt;$1&lt;rt&gt;$2&lt;/rt&gt;&lt;/ruby&gt;""
)&amp;""&lt;br&gt;&lt;div class=""""audio""""&gt;[sound:""&amp;C4446&amp;"".mp3]&lt;/div&gt;"""),"&lt;ruby&gt;滑&lt;rt&gt;すべ&lt;/rt&gt;&lt;/ruby&gt;る&lt;br&gt;&lt;div class=""audio""&gt;[sound:すべる.mp3]&lt;/div&gt;")</f>
        <v>&lt;ruby&gt;滑&lt;rt&gt;すべ&lt;/rt&gt;&lt;/ruby&gt;る&lt;br&gt;&lt;div class="audio"&gt;[sound:すべる.mp3]&lt;/div&gt;</v>
      </c>
      <c r="H4446" s="3" t="str">
        <f t="shared" si="1"/>
        <v>(v): trượt</v>
      </c>
      <c r="I4446" s="6" t="s">
        <v>24261</v>
      </c>
      <c r="J4446" s="6" t="s">
        <v>24262</v>
      </c>
      <c r="K4446" s="7">
        <f t="shared" si="2"/>
        <v>0.2548545855</v>
      </c>
    </row>
    <row r="4447">
      <c r="A4447" s="4">
        <v>4447.0</v>
      </c>
      <c r="B4447" s="5" t="s">
        <v>24263</v>
      </c>
      <c r="C4447" s="5" t="s">
        <v>24264</v>
      </c>
      <c r="D4447" s="5" t="s">
        <v>24265</v>
      </c>
      <c r="E4447" s="6" t="s">
        <v>24</v>
      </c>
      <c r="F4447" s="6" t="s">
        <v>24266</v>
      </c>
      <c r="G4447" s="3" t="str">
        <f>IFERROR(__xludf.DUMMYFUNCTION("REGEXREPLACE(
D4447,
""([一-龯々]+)\[([^\]]+)\]"",
""&lt;ruby&gt;$1&lt;rt&gt;$2&lt;/rt&gt;&lt;/ruby&gt;""
)&amp;""&lt;br&gt;&lt;div class=""""audio""""&gt;[sound:""&amp;C4447&amp;"".mp3]&lt;/div&gt;"""),"&lt;ruby&gt;注&lt;rt&gt;そそ&lt;/rt&gt;&lt;/ruby&gt;ぐ&lt;br&gt;&lt;div class=""audio""&gt;[sound:そそぐ.mp3]&lt;/div&gt;")</f>
        <v>&lt;ruby&gt;注&lt;rt&gt;そそ&lt;/rt&gt;&lt;/ruby&gt;ぐ&lt;br&gt;&lt;div class="audio"&gt;[sound:そそぐ.mp3]&lt;/div&gt;</v>
      </c>
      <c r="H4447" s="3" t="str">
        <f t="shared" si="1"/>
        <v>(v): rót</v>
      </c>
      <c r="I4447" s="6" t="s">
        <v>24267</v>
      </c>
      <c r="J4447" s="6" t="s">
        <v>24268</v>
      </c>
      <c r="K4447" s="7">
        <f t="shared" si="2"/>
        <v>0.09426351794</v>
      </c>
    </row>
    <row r="4448">
      <c r="A4448" s="4">
        <v>4448.0</v>
      </c>
      <c r="B4448" s="5" t="s">
        <v>24269</v>
      </c>
      <c r="C4448" s="5" t="s">
        <v>24270</v>
      </c>
      <c r="D4448" s="5" t="s">
        <v>24271</v>
      </c>
      <c r="E4448" s="6" t="s">
        <v>74</v>
      </c>
      <c r="F4448" s="6" t="s">
        <v>24272</v>
      </c>
      <c r="G4448" s="3" t="str">
        <f>IFERROR(__xludf.DUMMYFUNCTION("REGEXREPLACE(
D4448,
""([一-龯々]+)\[([^\]]+)\]"",
""&lt;ruby&gt;$1&lt;rt&gt;$2&lt;/rt&gt;&lt;/ruby&gt;""
)&amp;""&lt;br&gt;&lt;div class=""""audio""""&gt;[sound:""&amp;C4448&amp;"".mp3]&lt;/div&gt;"""),"&lt;ruby&gt;急行&lt;rt&gt;きゅうこう&lt;/rt&gt;&lt;/ruby&gt;&lt;br&gt;&lt;div class=""audio""&gt;[sound:きゅうこう.mp3]&lt;/div&gt;")</f>
        <v>&lt;ruby&gt;急行&lt;rt&gt;きゅうこう&lt;/rt&gt;&lt;/ruby&gt;&lt;br&gt;&lt;div class="audio"&gt;[sound:きゅうこう.mp3]&lt;/div&gt;</v>
      </c>
      <c r="H4448" s="3" t="str">
        <f t="shared" si="1"/>
        <v>(n): tàu tốc hành</v>
      </c>
      <c r="I4448" s="6" t="s">
        <v>24273</v>
      </c>
      <c r="J4448" s="6" t="s">
        <v>24274</v>
      </c>
      <c r="K4448" s="7">
        <f t="shared" si="2"/>
        <v>0.6797444547</v>
      </c>
    </row>
    <row r="4449">
      <c r="A4449" s="4">
        <v>4449.0</v>
      </c>
      <c r="B4449" s="5" t="s">
        <v>24275</v>
      </c>
      <c r="C4449" s="5" t="s">
        <v>24276</v>
      </c>
      <c r="D4449" s="5" t="s">
        <v>24275</v>
      </c>
      <c r="E4449" s="6" t="s">
        <v>74</v>
      </c>
      <c r="F4449" s="6" t="s">
        <v>24277</v>
      </c>
      <c r="G4449" s="3" t="str">
        <f>IFERROR(__xludf.DUMMYFUNCTION("REGEXREPLACE(
D4449,
""([一-龯々]+)\[([^\]]+)\]"",
""&lt;ruby&gt;$1&lt;rt&gt;$2&lt;/rt&gt;&lt;/ruby&gt;""
)&amp;""&lt;br&gt;&lt;div class=""""audio""""&gt;[sound:""&amp;C4449&amp;"".mp3]&lt;/div&gt;"""),"ブラウス&lt;br&gt;&lt;div class=""audio""&gt;[sound:ぶらうす.mp3]&lt;/div&gt;")</f>
        <v>ブラウス&lt;br&gt;&lt;div class="audio"&gt;[sound:ぶらうす.mp3]&lt;/div&gt;</v>
      </c>
      <c r="H4449" s="3" t="str">
        <f t="shared" si="1"/>
        <v>(n): áo sơ mi nữ</v>
      </c>
      <c r="I4449" s="6" t="s">
        <v>24278</v>
      </c>
      <c r="J4449" s="6" t="s">
        <v>24279</v>
      </c>
      <c r="K4449" s="7">
        <f t="shared" si="2"/>
        <v>0.9156296403</v>
      </c>
    </row>
    <row r="4450">
      <c r="A4450" s="4">
        <v>4450.0</v>
      </c>
      <c r="B4450" s="5" t="s">
        <v>24280</v>
      </c>
      <c r="C4450" s="5" t="s">
        <v>24281</v>
      </c>
      <c r="D4450" s="5" t="s">
        <v>24280</v>
      </c>
      <c r="E4450" s="6" t="s">
        <v>74</v>
      </c>
      <c r="F4450" s="6" t="s">
        <v>24282</v>
      </c>
      <c r="G4450" s="3" t="str">
        <f>IFERROR(__xludf.DUMMYFUNCTION("REGEXREPLACE(
D4450,
""([一-龯々]+)\[([^\]]+)\]"",
""&lt;ruby&gt;$1&lt;rt&gt;$2&lt;/rt&gt;&lt;/ruby&gt;""
)&amp;""&lt;br&gt;&lt;div class=""""audio""""&gt;[sound:""&amp;C4450&amp;"".mp3]&lt;/div&gt;"""),"ボーイ&lt;br&gt;&lt;div class=""audio""&gt;[sound:ぼーい.mp3]&lt;/div&gt;")</f>
        <v>ボーイ&lt;br&gt;&lt;div class="audio"&gt;[sound:ぼーい.mp3]&lt;/div&gt;</v>
      </c>
      <c r="H4450" s="3" t="str">
        <f t="shared" si="1"/>
        <v>(n): nam phục vụ</v>
      </c>
      <c r="I4450" s="6" t="s">
        <v>24283</v>
      </c>
      <c r="J4450" s="6" t="s">
        <v>24284</v>
      </c>
      <c r="K4450" s="7">
        <f t="shared" si="2"/>
        <v>0.7981060645</v>
      </c>
    </row>
    <row r="4451">
      <c r="A4451" s="4">
        <v>4451.0</v>
      </c>
      <c r="B4451" s="5" t="s">
        <v>24285</v>
      </c>
      <c r="C4451" s="5" t="s">
        <v>24286</v>
      </c>
      <c r="D4451" s="5" t="s">
        <v>24287</v>
      </c>
      <c r="E4451" s="6" t="s">
        <v>74</v>
      </c>
      <c r="F4451" s="6" t="s">
        <v>24288</v>
      </c>
      <c r="G4451" s="3" t="str">
        <f>IFERROR(__xludf.DUMMYFUNCTION("REGEXREPLACE(
D4451,
""([一-龯々]+)\[([^\]]+)\]"",
""&lt;ruby&gt;$1&lt;rt&gt;$2&lt;/rt&gt;&lt;/ruby&gt;""
)&amp;""&lt;br&gt;&lt;div class=""""audio""""&gt;[sound:""&amp;C4451&amp;"".mp3]&lt;/div&gt;"""),"&lt;ruby&gt;進学&lt;rt&gt;しんがく&lt;/rt&gt;&lt;/ruby&gt;&lt;br&gt;&lt;div class=""audio""&gt;[sound:しんがく.mp3]&lt;/div&gt;")</f>
        <v>&lt;ruby&gt;進学&lt;rt&gt;しんがく&lt;/rt&gt;&lt;/ruby&gt;&lt;br&gt;&lt;div class="audio"&gt;[sound:しんがく.mp3]&lt;/div&gt;</v>
      </c>
      <c r="H4451" s="3" t="str">
        <f t="shared" si="1"/>
        <v>(n): học lên cao</v>
      </c>
      <c r="I4451" s="6" t="s">
        <v>24289</v>
      </c>
      <c r="J4451" s="6" t="s">
        <v>24290</v>
      </c>
      <c r="K4451" s="7">
        <f t="shared" si="2"/>
        <v>0.09064924414</v>
      </c>
    </row>
    <row r="4452">
      <c r="A4452" s="4">
        <v>4452.0</v>
      </c>
      <c r="B4452" s="5" t="s">
        <v>24291</v>
      </c>
      <c r="C4452" s="5" t="s">
        <v>24292</v>
      </c>
      <c r="D4452" s="5" t="s">
        <v>24291</v>
      </c>
      <c r="E4452" s="6" t="s">
        <v>74</v>
      </c>
      <c r="F4452" s="6" t="s">
        <v>24293</v>
      </c>
      <c r="G4452" s="3" t="str">
        <f>IFERROR(__xludf.DUMMYFUNCTION("REGEXREPLACE(
D4452,
""([一-龯々]+)\[([^\]]+)\]"",
""&lt;ruby&gt;$1&lt;rt&gt;$2&lt;/rt&gt;&lt;/ruby&gt;""
)&amp;""&lt;br&gt;&lt;div class=""""audio""""&gt;[sound:""&amp;C4452&amp;"".mp3]&lt;/div&gt;"""),"スケート&lt;br&gt;&lt;div class=""audio""&gt;[sound:すけーと.mp3]&lt;/div&gt;")</f>
        <v>スケート&lt;br&gt;&lt;div class="audio"&gt;[sound:すけーと.mp3]&lt;/div&gt;</v>
      </c>
      <c r="H4452" s="3" t="str">
        <f t="shared" si="1"/>
        <v>(n): trượt băng</v>
      </c>
      <c r="I4452" s="6" t="s">
        <v>24294</v>
      </c>
      <c r="J4452" s="6" t="s">
        <v>24295</v>
      </c>
      <c r="K4452" s="7">
        <f t="shared" si="2"/>
        <v>0.7181639041</v>
      </c>
    </row>
    <row r="4453">
      <c r="A4453" s="4">
        <v>4453.0</v>
      </c>
      <c r="B4453" s="5" t="s">
        <v>24296</v>
      </c>
      <c r="C4453" s="5" t="s">
        <v>24297</v>
      </c>
      <c r="D4453" s="5" t="s">
        <v>24296</v>
      </c>
      <c r="E4453" s="6" t="s">
        <v>74</v>
      </c>
      <c r="F4453" s="6" t="s">
        <v>24298</v>
      </c>
      <c r="G4453" s="3" t="str">
        <f>IFERROR(__xludf.DUMMYFUNCTION("REGEXREPLACE(
D4453,
""([一-龯々]+)\[([^\]]+)\]"",
""&lt;ruby&gt;$1&lt;rt&gt;$2&lt;/rt&gt;&lt;/ruby&gt;""
)&amp;""&lt;br&gt;&lt;div class=""""audio""""&gt;[sound:""&amp;C4453&amp;"".mp3]&lt;/div&gt;"""),"バイオリン&lt;br&gt;&lt;div class=""audio""&gt;[sound:ばいおりん.mp3]&lt;/div&gt;")</f>
        <v>バイオリン&lt;br&gt;&lt;div class="audio"&gt;[sound:ばいおりん.mp3]&lt;/div&gt;</v>
      </c>
      <c r="H4453" s="3" t="str">
        <f t="shared" si="1"/>
        <v>(n): đàn vĩ cầm</v>
      </c>
      <c r="I4453" s="6" t="s">
        <v>24299</v>
      </c>
      <c r="J4453" s="6" t="s">
        <v>24300</v>
      </c>
      <c r="K4453" s="7">
        <f t="shared" si="2"/>
        <v>0.784814722</v>
      </c>
    </row>
    <row r="4454">
      <c r="A4454" s="4">
        <v>4454.0</v>
      </c>
      <c r="B4454" s="5" t="s">
        <v>24301</v>
      </c>
      <c r="C4454" s="5" t="s">
        <v>24302</v>
      </c>
      <c r="D4454" s="5" t="s">
        <v>24303</v>
      </c>
      <c r="E4454" s="6" t="s">
        <v>11</v>
      </c>
      <c r="F4454" s="6" t="s">
        <v>24304</v>
      </c>
      <c r="G4454" s="3" t="str">
        <f>IFERROR(__xludf.DUMMYFUNCTION("REGEXREPLACE(
D4454,
""([一-龯々]+)\[([^\]]+)\]"",
""&lt;ruby&gt;$1&lt;rt&gt;$2&lt;/rt&gt;&lt;/ruby&gt;""
)&amp;""&lt;br&gt;&lt;div class=""""audio""""&gt;[sound:""&amp;C4454&amp;"".mp3]&lt;/div&gt;"""),"&lt;ruby&gt;透明&lt;rt&gt;とうめい&lt;/rt&gt;&lt;/ruby&gt;&lt;br&gt;&lt;div class=""audio""&gt;[sound:とうめい.mp3]&lt;/div&gt;")</f>
        <v>&lt;ruby&gt;透明&lt;rt&gt;とうめい&lt;/rt&gt;&lt;/ruby&gt;&lt;br&gt;&lt;div class="audio"&gt;[sound:とうめい.mp3]&lt;/div&gt;</v>
      </c>
      <c r="H4454" s="3" t="str">
        <f t="shared" si="1"/>
        <v>(adj): trong suốt</v>
      </c>
      <c r="I4454" s="6" t="s">
        <v>24305</v>
      </c>
      <c r="J4454" s="6" t="s">
        <v>24306</v>
      </c>
      <c r="K4454" s="7">
        <f t="shared" si="2"/>
        <v>0.7246006599</v>
      </c>
    </row>
    <row r="4455">
      <c r="A4455" s="4">
        <v>4455.0</v>
      </c>
      <c r="B4455" s="5" t="s">
        <v>24307</v>
      </c>
      <c r="C4455" s="5" t="s">
        <v>24308</v>
      </c>
      <c r="D4455" s="5" t="s">
        <v>24309</v>
      </c>
      <c r="E4455" s="6" t="s">
        <v>24</v>
      </c>
      <c r="F4455" s="6" t="s">
        <v>19385</v>
      </c>
      <c r="G4455" s="3" t="str">
        <f>IFERROR(__xludf.DUMMYFUNCTION("REGEXREPLACE(
D4455,
""([一-龯々]+)\[([^\]]+)\]"",
""&lt;ruby&gt;$1&lt;rt&gt;$2&lt;/rt&gt;&lt;/ruby&gt;""
)&amp;""&lt;br&gt;&lt;div class=""""audio""""&gt;[sound:""&amp;C4455&amp;"".mp3]&lt;/div&gt;"""),"&lt;ruby&gt;交差&lt;rt&gt;こうさ&lt;/rt&gt;&lt;/ruby&gt;&lt;br&gt;&lt;div class=""audio""&gt;[sound:こうさ.mp3]&lt;/div&gt;")</f>
        <v>&lt;ruby&gt;交差&lt;rt&gt;こうさ&lt;/rt&gt;&lt;/ruby&gt;&lt;br&gt;&lt;div class="audio"&gt;[sound:こうさ.mp3]&lt;/div&gt;</v>
      </c>
      <c r="H4455" s="3" t="str">
        <f t="shared" si="1"/>
        <v>(v): giao nhau</v>
      </c>
      <c r="I4455" s="6" t="s">
        <v>24310</v>
      </c>
      <c r="J4455" s="6" t="s">
        <v>24311</v>
      </c>
      <c r="K4455" s="7">
        <f t="shared" si="2"/>
        <v>0.9129000383</v>
      </c>
    </row>
    <row r="4456">
      <c r="A4456" s="4">
        <v>4456.0</v>
      </c>
      <c r="B4456" s="5" t="s">
        <v>24312</v>
      </c>
      <c r="C4456" s="5" t="s">
        <v>24313</v>
      </c>
      <c r="D4456" s="5" t="s">
        <v>24314</v>
      </c>
      <c r="E4456" s="6" t="s">
        <v>11</v>
      </c>
      <c r="F4456" s="6" t="s">
        <v>11068</v>
      </c>
      <c r="G4456" s="3" t="str">
        <f>IFERROR(__xludf.DUMMYFUNCTION("REGEXREPLACE(
D4456,
""([一-龯々]+)\[([^\]]+)\]"",
""&lt;ruby&gt;$1&lt;rt&gt;$2&lt;/rt&gt;&lt;/ruby&gt;""
)&amp;""&lt;br&gt;&lt;div class=""""audio""""&gt;[sound:""&amp;C4456&amp;"".mp3]&lt;/div&gt;"""),"&lt;ruby&gt;不自由&lt;rt&gt;ふじゆう&lt;/rt&gt;&lt;/ruby&gt;&lt;br&gt;&lt;div class=""audio""&gt;[sound:ふじゆう.mp3]&lt;/div&gt;")</f>
        <v>&lt;ruby&gt;不自由&lt;rt&gt;ふじゆう&lt;/rt&gt;&lt;/ruby&gt;&lt;br&gt;&lt;div class="audio"&gt;[sound:ふじゆう.mp3]&lt;/div&gt;</v>
      </c>
      <c r="H4456" s="3" t="str">
        <f t="shared" si="1"/>
        <v>(adj): bất tiện</v>
      </c>
      <c r="I4456" s="6" t="s">
        <v>24315</v>
      </c>
      <c r="J4456" s="6" t="s">
        <v>24316</v>
      </c>
      <c r="K4456" s="7">
        <f t="shared" si="2"/>
        <v>0.8815137075</v>
      </c>
    </row>
    <row r="4457">
      <c r="A4457" s="4">
        <v>4457.0</v>
      </c>
      <c r="B4457" s="5" t="s">
        <v>24317</v>
      </c>
      <c r="C4457" s="5" t="s">
        <v>8984</v>
      </c>
      <c r="D4457" s="5" t="s">
        <v>24318</v>
      </c>
      <c r="E4457" s="6" t="s">
        <v>74</v>
      </c>
      <c r="F4457" s="6" t="s">
        <v>22525</v>
      </c>
      <c r="G4457" s="3" t="str">
        <f>IFERROR(__xludf.DUMMYFUNCTION("REGEXREPLACE(
D4457,
""([一-龯々]+)\[([^\]]+)\]"",
""&lt;ruby&gt;$1&lt;rt&gt;$2&lt;/rt&gt;&lt;/ruby&gt;""
)&amp;""&lt;br&gt;&lt;div class=""""audio""""&gt;[sound:""&amp;C4457&amp;"".mp3]&lt;/div&gt;"""),"&lt;ruby&gt;慣行&lt;rt&gt;かんこう&lt;/rt&gt;&lt;/ruby&gt;&lt;br&gt;&lt;div class=""audio""&gt;[sound:かんこう.mp3]&lt;/div&gt;")</f>
        <v>&lt;ruby&gt;慣行&lt;rt&gt;かんこう&lt;/rt&gt;&lt;/ruby&gt;&lt;br&gt;&lt;div class="audio"&gt;[sound:かんこう.mp3]&lt;/div&gt;</v>
      </c>
      <c r="H4457" s="3" t="str">
        <f t="shared" si="1"/>
        <v>(n): tập quán</v>
      </c>
      <c r="I4457" s="6" t="s">
        <v>24319</v>
      </c>
      <c r="J4457" s="6" t="s">
        <v>24320</v>
      </c>
      <c r="K4457" s="7">
        <f t="shared" si="2"/>
        <v>0.8596137773</v>
      </c>
    </row>
    <row r="4458">
      <c r="A4458" s="4">
        <v>4458.0</v>
      </c>
      <c r="B4458" s="5" t="s">
        <v>24321</v>
      </c>
      <c r="C4458" s="5" t="s">
        <v>24322</v>
      </c>
      <c r="D4458" s="5" t="s">
        <v>24323</v>
      </c>
      <c r="E4458" s="6" t="s">
        <v>74</v>
      </c>
      <c r="F4458" s="6" t="s">
        <v>24324</v>
      </c>
      <c r="G4458" s="3" t="str">
        <f>IFERROR(__xludf.DUMMYFUNCTION("REGEXREPLACE(
D4458,
""([一-龯々]+)\[([^\]]+)\]"",
""&lt;ruby&gt;$1&lt;rt&gt;$2&lt;/rt&gt;&lt;/ruby&gt;""
)&amp;""&lt;br&gt;&lt;div class=""""audio""""&gt;[sound:""&amp;C4458&amp;"".mp3]&lt;/div&gt;"""),"&lt;ruby&gt;直後&lt;rt&gt;ちょくご&lt;/rt&gt;&lt;/ruby&gt;&lt;br&gt;&lt;div class=""audio""&gt;[sound:ちょくご.mp3]&lt;/div&gt;")</f>
        <v>&lt;ruby&gt;直後&lt;rt&gt;ちょくご&lt;/rt&gt;&lt;/ruby&gt;&lt;br&gt;&lt;div class="audio"&gt;[sound:ちょくご.mp3]&lt;/div&gt;</v>
      </c>
      <c r="H4458" s="3" t="str">
        <f t="shared" si="1"/>
        <v>(n): ngay sau</v>
      </c>
      <c r="I4458" s="6" t="s">
        <v>24325</v>
      </c>
      <c r="J4458" s="6" t="s">
        <v>24326</v>
      </c>
      <c r="K4458" s="7">
        <f t="shared" si="2"/>
        <v>0.961833997</v>
      </c>
    </row>
    <row r="4459">
      <c r="A4459" s="4">
        <v>4459.0</v>
      </c>
      <c r="B4459" s="5" t="s">
        <v>24327</v>
      </c>
      <c r="C4459" s="5" t="s">
        <v>24328</v>
      </c>
      <c r="D4459" s="5" t="s">
        <v>24329</v>
      </c>
      <c r="E4459" s="6" t="s">
        <v>74</v>
      </c>
      <c r="F4459" s="6" t="s">
        <v>24330</v>
      </c>
      <c r="G4459" s="3" t="str">
        <f>IFERROR(__xludf.DUMMYFUNCTION("REGEXREPLACE(
D4459,
""([一-龯々]+)\[([^\]]+)\]"",
""&lt;ruby&gt;$1&lt;rt&gt;$2&lt;/rt&gt;&lt;/ruby&gt;""
)&amp;""&lt;br&gt;&lt;div class=""""audio""""&gt;[sound:""&amp;C4459&amp;"".mp3]&lt;/div&gt;"""),"&lt;ruby&gt;花火&lt;rt&gt;はなび&lt;/rt&gt;&lt;/ruby&gt;&lt;br&gt;&lt;div class=""audio""&gt;[sound:はなび.mp3]&lt;/div&gt;")</f>
        <v>&lt;ruby&gt;花火&lt;rt&gt;はなび&lt;/rt&gt;&lt;/ruby&gt;&lt;br&gt;&lt;div class="audio"&gt;[sound:はなび.mp3]&lt;/div&gt;</v>
      </c>
      <c r="H4459" s="3" t="str">
        <f t="shared" si="1"/>
        <v>(n): pháo hoa</v>
      </c>
      <c r="I4459" s="6" t="s">
        <v>24331</v>
      </c>
      <c r="J4459" s="6" t="s">
        <v>24332</v>
      </c>
      <c r="K4459" s="7">
        <f t="shared" si="2"/>
        <v>0.1917828539</v>
      </c>
    </row>
    <row r="4460">
      <c r="A4460" s="4">
        <v>4460.0</v>
      </c>
      <c r="B4460" s="5" t="s">
        <v>24333</v>
      </c>
      <c r="C4460" s="5" t="s">
        <v>24334</v>
      </c>
      <c r="D4460" s="5" t="s">
        <v>24335</v>
      </c>
      <c r="E4460" s="6" t="s">
        <v>24</v>
      </c>
      <c r="F4460" s="6" t="s">
        <v>5026</v>
      </c>
      <c r="G4460" s="3" t="str">
        <f>IFERROR(__xludf.DUMMYFUNCTION("REGEXREPLACE(
D4460,
""([一-龯々]+)\[([^\]]+)\]"",
""&lt;ruby&gt;$1&lt;rt&gt;$2&lt;/rt&gt;&lt;/ruby&gt;""
)&amp;""&lt;br&gt;&lt;div class=""""audio""""&gt;[sound:""&amp;C4460&amp;"".mp3]&lt;/div&gt;"""),"&lt;ruby&gt;近寄&lt;rt&gt;ちかよ&lt;/rt&gt;&lt;/ruby&gt;る&lt;br&gt;&lt;div class=""audio""&gt;[sound:ちかよる.mp3]&lt;/div&gt;")</f>
        <v>&lt;ruby&gt;近寄&lt;rt&gt;ちかよ&lt;/rt&gt;&lt;/ruby&gt;る&lt;br&gt;&lt;div class="audio"&gt;[sound:ちかよる.mp3]&lt;/div&gt;</v>
      </c>
      <c r="H4460" s="3" t="str">
        <f t="shared" si="1"/>
        <v>(v): tiếp cận</v>
      </c>
      <c r="I4460" s="6" t="s">
        <v>24336</v>
      </c>
      <c r="J4460" s="6" t="s">
        <v>24337</v>
      </c>
      <c r="K4460" s="7">
        <f t="shared" si="2"/>
        <v>0.5239409945</v>
      </c>
    </row>
    <row r="4461">
      <c r="A4461" s="4">
        <v>4461.0</v>
      </c>
      <c r="B4461" s="5" t="s">
        <v>24338</v>
      </c>
      <c r="C4461" s="5" t="s">
        <v>24339</v>
      </c>
      <c r="D4461" s="5" t="s">
        <v>24340</v>
      </c>
      <c r="E4461" s="6" t="s">
        <v>24</v>
      </c>
      <c r="F4461" s="6" t="s">
        <v>24341</v>
      </c>
      <c r="G4461" s="3" t="str">
        <f>IFERROR(__xludf.DUMMYFUNCTION("REGEXREPLACE(
D4461,
""([一-龯々]+)\[([^\]]+)\]"",
""&lt;ruby&gt;$1&lt;rt&gt;$2&lt;/rt&gt;&lt;/ruby&gt;""
)&amp;""&lt;br&gt;&lt;div class=""""audio""""&gt;[sound:""&amp;C4461&amp;"".mp3]&lt;/div&gt;"""),"&lt;ruby&gt;逃&lt;rt&gt;に&lt;/rt&gt;&lt;/ruby&gt;がす&lt;br&gt;&lt;div class=""audio""&gt;[sound:にがす.mp3]&lt;/div&gt;")</f>
        <v>&lt;ruby&gt;逃&lt;rt&gt;に&lt;/rt&gt;&lt;/ruby&gt;がす&lt;br&gt;&lt;div class="audio"&gt;[sound:にがす.mp3]&lt;/div&gt;</v>
      </c>
      <c r="H4461" s="3" t="str">
        <f t="shared" si="1"/>
        <v>(v): để thoát</v>
      </c>
      <c r="I4461" s="6" t="s">
        <v>24342</v>
      </c>
      <c r="J4461" s="6" t="s">
        <v>24343</v>
      </c>
      <c r="K4461" s="7">
        <f t="shared" si="2"/>
        <v>0.1163341999</v>
      </c>
    </row>
    <row r="4462">
      <c r="A4462" s="4">
        <v>4462.0</v>
      </c>
      <c r="B4462" s="5" t="s">
        <v>24344</v>
      </c>
      <c r="C4462" s="5" t="s">
        <v>24345</v>
      </c>
      <c r="D4462" s="5" t="s">
        <v>24346</v>
      </c>
      <c r="E4462" s="6" t="s">
        <v>74</v>
      </c>
      <c r="F4462" s="6" t="s">
        <v>24347</v>
      </c>
      <c r="G4462" s="3" t="str">
        <f>IFERROR(__xludf.DUMMYFUNCTION("REGEXREPLACE(
D4462,
""([一-龯々]+)\[([^\]]+)\]"",
""&lt;ruby&gt;$1&lt;rt&gt;$2&lt;/rt&gt;&lt;/ruby&gt;""
)&amp;""&lt;br&gt;&lt;div class=""""audio""""&gt;[sound:""&amp;C4462&amp;"".mp3]&lt;/div&gt;"""),"&lt;ruby&gt;借金&lt;rt&gt;しゃっきん&lt;/rt&gt;&lt;/ruby&gt;&lt;br&gt;&lt;div class=""audio""&gt;[sound:しゃっきん.mp3]&lt;/div&gt;")</f>
        <v>&lt;ruby&gt;借金&lt;rt&gt;しゃっきん&lt;/rt&gt;&lt;/ruby&gt;&lt;br&gt;&lt;div class="audio"&gt;[sound:しゃっきん.mp3]&lt;/div&gt;</v>
      </c>
      <c r="H4462" s="3" t="str">
        <f t="shared" si="1"/>
        <v>(n): nợ tiền</v>
      </c>
      <c r="I4462" s="6" t="s">
        <v>24348</v>
      </c>
      <c r="J4462" s="6" t="s">
        <v>24349</v>
      </c>
      <c r="K4462" s="7">
        <f t="shared" si="2"/>
        <v>0.7595095848</v>
      </c>
    </row>
    <row r="4463">
      <c r="A4463" s="4">
        <v>4463.0</v>
      </c>
      <c r="B4463" s="5" t="s">
        <v>24350</v>
      </c>
      <c r="C4463" s="5" t="s">
        <v>24351</v>
      </c>
      <c r="D4463" s="5" t="s">
        <v>24352</v>
      </c>
      <c r="E4463" s="6" t="s">
        <v>74</v>
      </c>
      <c r="F4463" s="6" t="s">
        <v>24353</v>
      </c>
      <c r="G4463" s="3" t="str">
        <f>IFERROR(__xludf.DUMMYFUNCTION("REGEXREPLACE(
D4463,
""([一-龯々]+)\[([^\]]+)\]"",
""&lt;ruby&gt;$1&lt;rt&gt;$2&lt;/rt&gt;&lt;/ruby&gt;""
)&amp;""&lt;br&gt;&lt;div class=""""audio""""&gt;[sound:""&amp;C4463&amp;"".mp3]&lt;/div&gt;"""),"&lt;ruby&gt;悲劇&lt;rt&gt;ひげき&lt;/rt&gt;&lt;/ruby&gt;&lt;br&gt;&lt;div class=""audio""&gt;[sound:ひげき.mp3]&lt;/div&gt;")</f>
        <v>&lt;ruby&gt;悲劇&lt;rt&gt;ひげき&lt;/rt&gt;&lt;/ruby&gt;&lt;br&gt;&lt;div class="audio"&gt;[sound:ひげき.mp3]&lt;/div&gt;</v>
      </c>
      <c r="H4463" s="3" t="str">
        <f t="shared" si="1"/>
        <v>(n): bi kịch</v>
      </c>
      <c r="I4463" s="6" t="s">
        <v>24354</v>
      </c>
      <c r="J4463" s="6" t="s">
        <v>24355</v>
      </c>
      <c r="K4463" s="7">
        <f t="shared" si="2"/>
        <v>0.2402115085</v>
      </c>
    </row>
    <row r="4464">
      <c r="A4464" s="4">
        <v>4464.0</v>
      </c>
      <c r="B4464" s="5" t="s">
        <v>24356</v>
      </c>
      <c r="C4464" s="5" t="s">
        <v>24357</v>
      </c>
      <c r="D4464" s="5" t="s">
        <v>24358</v>
      </c>
      <c r="E4464" s="6" t="s">
        <v>24</v>
      </c>
      <c r="F4464" s="6" t="s">
        <v>4987</v>
      </c>
      <c r="G4464" s="3" t="str">
        <f>IFERROR(__xludf.DUMMYFUNCTION("REGEXREPLACE(
D4464,
""([一-龯々]+)\[([^\]]+)\]"",
""&lt;ruby&gt;$1&lt;rt&gt;$2&lt;/rt&gt;&lt;/ruby&gt;""
)&amp;""&lt;br&gt;&lt;div class=""""audio""""&gt;[sound:""&amp;C4464&amp;"".mp3]&lt;/div&gt;"""),"&lt;ruby&gt;片付&lt;rt&gt;かたづ&lt;/rt&gt;&lt;/ruby&gt;ける&lt;br&gt;&lt;div class=""audio""&gt;[sound:かたづける.mp3]&lt;/div&gt;")</f>
        <v>&lt;ruby&gt;片付&lt;rt&gt;かたづ&lt;/rt&gt;&lt;/ruby&gt;ける&lt;br&gt;&lt;div class="audio"&gt;[sound:かたづける.mp3]&lt;/div&gt;</v>
      </c>
      <c r="H4464" s="3" t="str">
        <f t="shared" si="1"/>
        <v>(v): dọn dẹp</v>
      </c>
      <c r="I4464" s="6" t="s">
        <v>24359</v>
      </c>
      <c r="J4464" s="6" t="s">
        <v>24360</v>
      </c>
      <c r="K4464" s="7">
        <f t="shared" si="2"/>
        <v>0.7160140637</v>
      </c>
    </row>
    <row r="4465">
      <c r="A4465" s="4">
        <v>4465.0</v>
      </c>
      <c r="B4465" s="5" t="s">
        <v>24361</v>
      </c>
      <c r="C4465" s="5" t="s">
        <v>24362</v>
      </c>
      <c r="D4465" s="5" t="s">
        <v>24363</v>
      </c>
      <c r="E4465" s="6" t="s">
        <v>74</v>
      </c>
      <c r="F4465" s="6" t="s">
        <v>16825</v>
      </c>
      <c r="G4465" s="3" t="str">
        <f>IFERROR(__xludf.DUMMYFUNCTION("REGEXREPLACE(
D4465,
""([一-龯々]+)\[([^\]]+)\]"",
""&lt;ruby&gt;$1&lt;rt&gt;$2&lt;/rt&gt;&lt;/ruby&gt;""
)&amp;""&lt;br&gt;&lt;div class=""""audio""""&gt;[sound:""&amp;C4465&amp;"".mp3]&lt;/div&gt;"""),"&lt;ruby&gt;疲&lt;rt&gt;つか&lt;/rt&gt;&lt;/ruby&gt;れ&lt;br&gt;&lt;div class=""audio""&gt;[sound:つかれ.mp3]&lt;/div&gt;")</f>
        <v>&lt;ruby&gt;疲&lt;rt&gt;つか&lt;/rt&gt;&lt;/ruby&gt;れ&lt;br&gt;&lt;div class="audio"&gt;[sound:つかれ.mp3]&lt;/div&gt;</v>
      </c>
      <c r="H4465" s="3" t="str">
        <f t="shared" si="1"/>
        <v>(n): mệt mỏi</v>
      </c>
      <c r="I4465" s="6" t="s">
        <v>24364</v>
      </c>
      <c r="J4465" s="6" t="s">
        <v>24365</v>
      </c>
      <c r="K4465" s="7">
        <f t="shared" si="2"/>
        <v>0.2605557994</v>
      </c>
    </row>
    <row r="4466">
      <c r="A4466" s="4">
        <v>4466.0</v>
      </c>
      <c r="B4466" s="5" t="s">
        <v>24366</v>
      </c>
      <c r="C4466" s="5" t="s">
        <v>24367</v>
      </c>
      <c r="D4466" s="5" t="s">
        <v>24368</v>
      </c>
      <c r="E4466" s="6" t="s">
        <v>11</v>
      </c>
      <c r="F4466" s="6" t="s">
        <v>24369</v>
      </c>
      <c r="G4466" s="3" t="str">
        <f>IFERROR(__xludf.DUMMYFUNCTION("REGEXREPLACE(
D4466,
""([一-龯々]+)\[([^\]]+)\]"",
""&lt;ruby&gt;$1&lt;rt&gt;$2&lt;/rt&gt;&lt;/ruby&gt;""
)&amp;""&lt;br&gt;&lt;div class=""""audio""""&gt;[sound:""&amp;C4466&amp;"".mp3]&lt;/div&gt;"""),"&lt;ruby&gt;茶色&lt;rt&gt;ちゃ&lt;/rt&gt;&lt;/ruby&gt;い&lt;br&gt;&lt;div class=""audio""&gt;[sound:ちゃいろい.mp3]&lt;/div&gt;")</f>
        <v>&lt;ruby&gt;茶色&lt;rt&gt;ちゃ&lt;/rt&gt;&lt;/ruby&gt;い&lt;br&gt;&lt;div class="audio"&gt;[sound:ちゃいろい.mp3]&lt;/div&gt;</v>
      </c>
      <c r="H4466" s="3" t="str">
        <f t="shared" si="1"/>
        <v>(adj): màu nâu</v>
      </c>
      <c r="I4466" s="6" t="s">
        <v>24370</v>
      </c>
      <c r="J4466" s="6" t="s">
        <v>24371</v>
      </c>
      <c r="K4466" s="7">
        <f t="shared" si="2"/>
        <v>0.8920482384</v>
      </c>
    </row>
    <row r="4467">
      <c r="A4467" s="4">
        <v>4467.0</v>
      </c>
      <c r="B4467" s="5" t="s">
        <v>24372</v>
      </c>
      <c r="C4467" s="5" t="s">
        <v>24373</v>
      </c>
      <c r="D4467" s="5" t="s">
        <v>24374</v>
      </c>
      <c r="E4467" s="6" t="s">
        <v>74</v>
      </c>
      <c r="F4467" s="6" t="s">
        <v>6059</v>
      </c>
      <c r="G4467" s="3" t="str">
        <f>IFERROR(__xludf.DUMMYFUNCTION("REGEXREPLACE(
D4467,
""([一-龯々]+)\[([^\]]+)\]"",
""&lt;ruby&gt;$1&lt;rt&gt;$2&lt;/rt&gt;&lt;/ruby&gt;""
)&amp;""&lt;br&gt;&lt;div class=""""audio""""&gt;[sound:""&amp;C4467&amp;"".mp3]&lt;/div&gt;"""),"&lt;ruby&gt;見出&lt;rt&gt;みだ&lt;/rt&gt;&lt;/ruby&gt;し&lt;br&gt;&lt;div class=""audio""&gt;[sound:みだし.mp3]&lt;/div&gt;")</f>
        <v>&lt;ruby&gt;見出&lt;rt&gt;みだ&lt;/rt&gt;&lt;/ruby&gt;し&lt;br&gt;&lt;div class="audio"&gt;[sound:みだし.mp3]&lt;/div&gt;</v>
      </c>
      <c r="H4467" s="3" t="str">
        <f t="shared" si="1"/>
        <v>(n): tiêu đề</v>
      </c>
      <c r="I4467" s="6" t="s">
        <v>24375</v>
      </c>
      <c r="J4467" s="6" t="s">
        <v>24376</v>
      </c>
      <c r="K4467" s="7">
        <f t="shared" si="2"/>
        <v>0.1780680747</v>
      </c>
    </row>
    <row r="4468">
      <c r="A4468" s="4">
        <v>4468.0</v>
      </c>
      <c r="B4468" s="5" t="s">
        <v>24377</v>
      </c>
      <c r="C4468" s="5" t="s">
        <v>24378</v>
      </c>
      <c r="D4468" s="5" t="s">
        <v>24379</v>
      </c>
      <c r="E4468" s="6" t="s">
        <v>24</v>
      </c>
      <c r="F4468" s="6" t="s">
        <v>24380</v>
      </c>
      <c r="G4468" s="3" t="str">
        <f>IFERROR(__xludf.DUMMYFUNCTION("REGEXREPLACE(
D4468,
""([一-龯々]+)\[([^\]]+)\]"",
""&lt;ruby&gt;$1&lt;rt&gt;$2&lt;/rt&gt;&lt;/ruby&gt;""
)&amp;""&lt;br&gt;&lt;div class=""""audio""""&gt;[sound:""&amp;C4468&amp;"".mp3]&lt;/div&gt;"""),"&lt;ruby&gt;見掛&lt;rt&gt;みか&lt;/rt&gt;&lt;/ruby&gt;ける&lt;br&gt;&lt;div class=""audio""&gt;[sound:みかける.mp3]&lt;/div&gt;")</f>
        <v>&lt;ruby&gt;見掛&lt;rt&gt;みか&lt;/rt&gt;&lt;/ruby&gt;ける&lt;br&gt;&lt;div class="audio"&gt;[sound:みかける.mp3]&lt;/div&gt;</v>
      </c>
      <c r="H4468" s="3" t="str">
        <f t="shared" si="1"/>
        <v>(v): bắt gặp</v>
      </c>
      <c r="I4468" s="6" t="s">
        <v>24381</v>
      </c>
      <c r="J4468" s="6" t="s">
        <v>24382</v>
      </c>
      <c r="K4468" s="7">
        <f t="shared" si="2"/>
        <v>0.831080394</v>
      </c>
    </row>
    <row r="4469">
      <c r="A4469" s="4">
        <v>4469.0</v>
      </c>
      <c r="B4469" s="5" t="s">
        <v>24383</v>
      </c>
      <c r="C4469" s="5" t="s">
        <v>24384</v>
      </c>
      <c r="D4469" s="5" t="s">
        <v>24385</v>
      </c>
      <c r="E4469" s="6" t="s">
        <v>74</v>
      </c>
      <c r="F4469" s="6" t="s">
        <v>24386</v>
      </c>
      <c r="G4469" s="3" t="str">
        <f>IFERROR(__xludf.DUMMYFUNCTION("REGEXREPLACE(
D4469,
""([一-龯々]+)\[([^\]]+)\]"",
""&lt;ruby&gt;$1&lt;rt&gt;$2&lt;/rt&gt;&lt;/ruby&gt;""
)&amp;""&lt;br&gt;&lt;div class=""""audio""""&gt;[sound:""&amp;C4469&amp;"".mp3]&lt;/div&gt;"""),"&lt;ruby&gt;規律&lt;rt&gt;きりつ&lt;/rt&gt;&lt;/ruby&gt;&lt;br&gt;&lt;div class=""audio""&gt;[sound:きりつ.mp3]&lt;/div&gt;")</f>
        <v>&lt;ruby&gt;規律&lt;rt&gt;きりつ&lt;/rt&gt;&lt;/ruby&gt;&lt;br&gt;&lt;div class="audio"&gt;[sound:きりつ.mp3]&lt;/div&gt;</v>
      </c>
      <c r="H4469" s="3" t="str">
        <f t="shared" si="1"/>
        <v>(n): kỷ luật</v>
      </c>
      <c r="I4469" s="6" t="s">
        <v>24387</v>
      </c>
      <c r="J4469" s="6" t="s">
        <v>24388</v>
      </c>
      <c r="K4469" s="7">
        <f t="shared" si="2"/>
        <v>0.8086500518</v>
      </c>
    </row>
    <row r="4470">
      <c r="A4470" s="4">
        <v>4470.0</v>
      </c>
      <c r="B4470" s="5" t="s">
        <v>24389</v>
      </c>
      <c r="C4470" s="5" t="s">
        <v>24390</v>
      </c>
      <c r="D4470" s="5" t="s">
        <v>24391</v>
      </c>
      <c r="E4470" s="6" t="s">
        <v>24</v>
      </c>
      <c r="F4470" s="6" t="s">
        <v>24392</v>
      </c>
      <c r="G4470" s="3" t="str">
        <f>IFERROR(__xludf.DUMMYFUNCTION("REGEXREPLACE(
D4470,
""([一-龯々]+)\[([^\]]+)\]"",
""&lt;ruby&gt;$1&lt;rt&gt;$2&lt;/rt&gt;&lt;/ruby&gt;""
)&amp;""&lt;br&gt;&lt;div class=""""audio""""&gt;[sound:""&amp;C4470&amp;"".mp3]&lt;/div&gt;"""),"&lt;ruby&gt;転&lt;rt&gt;ころ&lt;/rt&gt;&lt;/ruby&gt;がす&lt;br&gt;&lt;div class=""audio""&gt;[sound:ころがす.mp3]&lt;/div&gt;")</f>
        <v>&lt;ruby&gt;転&lt;rt&gt;ころ&lt;/rt&gt;&lt;/ruby&gt;がす&lt;br&gt;&lt;div class="audio"&gt;[sound:ころがす.mp3]&lt;/div&gt;</v>
      </c>
      <c r="H4470" s="3" t="str">
        <f t="shared" si="1"/>
        <v>(v): làm lăn</v>
      </c>
      <c r="I4470" s="6" t="s">
        <v>24393</v>
      </c>
      <c r="J4470" s="6" t="s">
        <v>24394</v>
      </c>
      <c r="K4470" s="7">
        <f t="shared" si="2"/>
        <v>0.8449582143</v>
      </c>
    </row>
    <row r="4471">
      <c r="A4471" s="4">
        <v>4471.0</v>
      </c>
      <c r="B4471" s="5" t="s">
        <v>24395</v>
      </c>
      <c r="C4471" s="5" t="s">
        <v>24396</v>
      </c>
      <c r="D4471" s="5" t="s">
        <v>24397</v>
      </c>
      <c r="E4471" s="6" t="s">
        <v>11</v>
      </c>
      <c r="F4471" s="6" t="s">
        <v>24398</v>
      </c>
      <c r="G4471" s="3" t="str">
        <f>IFERROR(__xludf.DUMMYFUNCTION("REGEXREPLACE(
D4471,
""([一-龯々]+)\[([^\]]+)\]"",
""&lt;ruby&gt;$1&lt;rt&gt;$2&lt;/rt&gt;&lt;/ruby&gt;""
)&amp;""&lt;br&gt;&lt;div class=""""audio""""&gt;[sound:""&amp;C4471&amp;"".mp3]&lt;/div&gt;"""),"&lt;ruby&gt;偉&lt;rt&gt;えら&lt;/rt&gt;&lt;/ruby&gt;い&lt;br&gt;&lt;div class=""audio""&gt;[sound:えらい.mp3]&lt;/div&gt;")</f>
        <v>&lt;ruby&gt;偉&lt;rt&gt;えら&lt;/rt&gt;&lt;/ruby&gt;い&lt;br&gt;&lt;div class="audio"&gt;[sound:えらい.mp3]&lt;/div&gt;</v>
      </c>
      <c r="H4471" s="3" t="str">
        <f t="shared" si="1"/>
        <v>(adj): vĩ đại</v>
      </c>
      <c r="I4471" s="6" t="s">
        <v>24399</v>
      </c>
      <c r="J4471" s="6" t="s">
        <v>24400</v>
      </c>
      <c r="K4471" s="7">
        <f t="shared" si="2"/>
        <v>0.04650803648</v>
      </c>
    </row>
    <row r="4472">
      <c r="A4472" s="4">
        <v>4472.0</v>
      </c>
      <c r="B4472" s="5" t="s">
        <v>24401</v>
      </c>
      <c r="C4472" s="5" t="s">
        <v>24402</v>
      </c>
      <c r="D4472" s="5" t="s">
        <v>24403</v>
      </c>
      <c r="E4472" s="6" t="s">
        <v>74</v>
      </c>
      <c r="F4472" s="6" t="s">
        <v>24404</v>
      </c>
      <c r="G4472" s="3" t="str">
        <f>IFERROR(__xludf.DUMMYFUNCTION("REGEXREPLACE(
D4472,
""([一-龯々]+)\[([^\]]+)\]"",
""&lt;ruby&gt;$1&lt;rt&gt;$2&lt;/rt&gt;&lt;/ruby&gt;""
)&amp;""&lt;br&gt;&lt;div class=""""audio""""&gt;[sound:""&amp;C4472&amp;"".mp3]&lt;/div&gt;"""),"&lt;ruby&gt;通学&lt;rt&gt;つうがく&lt;/rt&gt;&lt;/ruby&gt;&lt;br&gt;&lt;div class=""audio""&gt;[sound:つうがく.mp3]&lt;/div&gt;")</f>
        <v>&lt;ruby&gt;通学&lt;rt&gt;つうがく&lt;/rt&gt;&lt;/ruby&gt;&lt;br&gt;&lt;div class="audio"&gt;[sound:つうがく.mp3]&lt;/div&gt;</v>
      </c>
      <c r="H4472" s="3" t="str">
        <f t="shared" si="1"/>
        <v>(n): đi học</v>
      </c>
      <c r="I4472" s="6" t="s">
        <v>24405</v>
      </c>
      <c r="J4472" s="6" t="s">
        <v>24406</v>
      </c>
      <c r="K4472" s="7">
        <f t="shared" si="2"/>
        <v>0.106040414</v>
      </c>
    </row>
    <row r="4473">
      <c r="A4473" s="4">
        <v>4473.0</v>
      </c>
      <c r="B4473" s="5" t="s">
        <v>24407</v>
      </c>
      <c r="C4473" s="5" t="s">
        <v>24408</v>
      </c>
      <c r="D4473" s="5" t="s">
        <v>24409</v>
      </c>
      <c r="E4473" s="6" t="s">
        <v>11</v>
      </c>
      <c r="F4473" s="6" t="s">
        <v>24410</v>
      </c>
      <c r="G4473" s="3" t="str">
        <f>IFERROR(__xludf.DUMMYFUNCTION("REGEXREPLACE(
D4473,
""([一-龯々]+)\[([^\]]+)\]"",
""&lt;ruby&gt;$1&lt;rt&gt;$2&lt;/rt&gt;&lt;/ruby&gt;""
)&amp;""&lt;br&gt;&lt;div class=""""audio""""&gt;[sound:""&amp;C4473&amp;"".mp3]&lt;/div&gt;"""),"&lt;ruby&gt;優秀&lt;rt&gt;ゆうしゅう&lt;/rt&gt;&lt;/ruby&gt;&lt;br&gt;&lt;div class=""audio""&gt;[sound:ゆうしゅう.mp3]&lt;/div&gt;")</f>
        <v>&lt;ruby&gt;優秀&lt;rt&gt;ゆうしゅう&lt;/rt&gt;&lt;/ruby&gt;&lt;br&gt;&lt;div class="audio"&gt;[sound:ゆうしゅう.mp3]&lt;/div&gt;</v>
      </c>
      <c r="H4473" s="3" t="str">
        <f t="shared" si="1"/>
        <v>(adj): ưu tú</v>
      </c>
      <c r="I4473" s="6" t="s">
        <v>24411</v>
      </c>
      <c r="J4473" s="6" t="s">
        <v>24412</v>
      </c>
      <c r="K4473" s="7">
        <f t="shared" si="2"/>
        <v>0.9873508488</v>
      </c>
    </row>
    <row r="4474">
      <c r="A4474" s="4">
        <v>4474.0</v>
      </c>
      <c r="B4474" s="5" t="s">
        <v>24413</v>
      </c>
      <c r="C4474" s="5" t="s">
        <v>24414</v>
      </c>
      <c r="D4474" s="5" t="s">
        <v>24415</v>
      </c>
      <c r="E4474" s="6" t="s">
        <v>74</v>
      </c>
      <c r="F4474" s="6" t="s">
        <v>24416</v>
      </c>
      <c r="G4474" s="3" t="str">
        <f>IFERROR(__xludf.DUMMYFUNCTION("REGEXREPLACE(
D4474,
""([一-龯々]+)\[([^\]]+)\]"",
""&lt;ruby&gt;$1&lt;rt&gt;$2&lt;/rt&gt;&lt;/ruby&gt;""
)&amp;""&lt;br&gt;&lt;div class=""""audio""""&gt;[sound:""&amp;C4474&amp;"".mp3]&lt;/div&gt;"""),"&lt;ruby&gt;駐車&lt;rt&gt;ちゅうしゃ&lt;/rt&gt;&lt;/ruby&gt;&lt;br&gt;&lt;div class=""audio""&gt;[sound:ちゅうしゃ.mp3]&lt;/div&gt;")</f>
        <v>&lt;ruby&gt;駐車&lt;rt&gt;ちゅうしゃ&lt;/rt&gt;&lt;/ruby&gt;&lt;br&gt;&lt;div class="audio"&gt;[sound:ちゅうしゃ.mp3]&lt;/div&gt;</v>
      </c>
      <c r="H4474" s="3" t="str">
        <f t="shared" si="1"/>
        <v>(n): đỗ xe</v>
      </c>
      <c r="I4474" s="6" t="s">
        <v>24417</v>
      </c>
      <c r="J4474" s="6" t="s">
        <v>24418</v>
      </c>
      <c r="K4474" s="7">
        <f t="shared" si="2"/>
        <v>0.108021916</v>
      </c>
    </row>
    <row r="4475">
      <c r="A4475" s="4">
        <v>4475.0</v>
      </c>
      <c r="B4475" s="5" t="s">
        <v>24419</v>
      </c>
      <c r="C4475" s="5" t="s">
        <v>24420</v>
      </c>
      <c r="D4475" s="5" t="s">
        <v>24419</v>
      </c>
      <c r="E4475" s="6" t="s">
        <v>74</v>
      </c>
      <c r="F4475" s="6" t="s">
        <v>24421</v>
      </c>
      <c r="G4475" s="3" t="str">
        <f>IFERROR(__xludf.DUMMYFUNCTION("REGEXREPLACE(
D4475,
""([一-龯々]+)\[([^\]]+)\]"",
""&lt;ruby&gt;$1&lt;rt&gt;$2&lt;/rt&gt;&lt;/ruby&gt;""
)&amp;""&lt;br&gt;&lt;div class=""""audio""""&gt;[sound:""&amp;C4475&amp;"".mp3]&lt;/div&gt;"""),"フライパン&lt;br&gt;&lt;div class=""audio""&gt;[sound:ふらいぱん.mp3]&lt;/div&gt;")</f>
        <v>フライパン&lt;br&gt;&lt;div class="audio"&gt;[sound:ふらいぱん.mp3]&lt;/div&gt;</v>
      </c>
      <c r="H4475" s="3" t="str">
        <f t="shared" si="1"/>
        <v>(n): chảo</v>
      </c>
      <c r="I4475" s="6" t="s">
        <v>24422</v>
      </c>
      <c r="J4475" s="6" t="s">
        <v>24423</v>
      </c>
      <c r="K4475" s="7">
        <f t="shared" si="2"/>
        <v>0.5876831024</v>
      </c>
    </row>
    <row r="4476">
      <c r="A4476" s="4">
        <v>4476.0</v>
      </c>
      <c r="B4476" s="5" t="s">
        <v>24424</v>
      </c>
      <c r="C4476" s="5" t="s">
        <v>24425</v>
      </c>
      <c r="D4476" s="5" t="s">
        <v>24426</v>
      </c>
      <c r="E4476" s="6" t="s">
        <v>74</v>
      </c>
      <c r="F4476" s="6" t="s">
        <v>11418</v>
      </c>
      <c r="G4476" s="3" t="str">
        <f>IFERROR(__xludf.DUMMYFUNCTION("REGEXREPLACE(
D4476,
""([一-龯々]+)\[([^\]]+)\]"",
""&lt;ruby&gt;$1&lt;rt&gt;$2&lt;/rt&gt;&lt;/ruby&gt;""
)&amp;""&lt;br&gt;&lt;div class=""""audio""""&gt;[sound:""&amp;C4476&amp;"".mp3]&lt;/div&gt;"""),"&lt;ruby&gt;強盗&lt;rt&gt;ごうとう&lt;/rt&gt;&lt;/ruby&gt;&lt;br&gt;&lt;div class=""audio""&gt;[sound:ごうとう.mp3]&lt;/div&gt;")</f>
        <v>&lt;ruby&gt;強盗&lt;rt&gt;ごうとう&lt;/rt&gt;&lt;/ruby&gt;&lt;br&gt;&lt;div class="audio"&gt;[sound:ごうとう.mp3]&lt;/div&gt;</v>
      </c>
      <c r="H4476" s="3" t="str">
        <f t="shared" si="1"/>
        <v>(n): cướp</v>
      </c>
      <c r="I4476" s="6" t="s">
        <v>24427</v>
      </c>
      <c r="J4476" s="6" t="s">
        <v>24428</v>
      </c>
      <c r="K4476" s="7">
        <f t="shared" si="2"/>
        <v>0.5402149476</v>
      </c>
    </row>
    <row r="4477">
      <c r="A4477" s="4">
        <v>4477.0</v>
      </c>
      <c r="B4477" s="5" t="s">
        <v>24429</v>
      </c>
      <c r="C4477" s="5" t="s">
        <v>24430</v>
      </c>
      <c r="D4477" s="5" t="s">
        <v>24431</v>
      </c>
      <c r="E4477" s="6" t="s">
        <v>24</v>
      </c>
      <c r="F4477" s="6" t="s">
        <v>24432</v>
      </c>
      <c r="G4477" s="3" t="str">
        <f>IFERROR(__xludf.DUMMYFUNCTION("REGEXREPLACE(
D4477,
""([一-龯々]+)\[([^\]]+)\]"",
""&lt;ruby&gt;$1&lt;rt&gt;$2&lt;/rt&gt;&lt;/ruby&gt;""
)&amp;""&lt;br&gt;&lt;div class=""""audio""""&gt;[sound:""&amp;C4477&amp;"".mp3]&lt;/div&gt;"""),"&lt;ruby&gt;腐&lt;rt&gt;くさ&lt;/rt&gt;&lt;/ruby&gt;る&lt;br&gt;&lt;div class=""audio""&gt;[sound:くさる.mp3]&lt;/div&gt;")</f>
        <v>&lt;ruby&gt;腐&lt;rt&gt;くさ&lt;/rt&gt;&lt;/ruby&gt;る&lt;br&gt;&lt;div class="audio"&gt;[sound:くさる.mp3]&lt;/div&gt;</v>
      </c>
      <c r="H4477" s="3" t="str">
        <f t="shared" si="1"/>
        <v>(v): thối</v>
      </c>
      <c r="I4477" s="6" t="s">
        <v>24433</v>
      </c>
      <c r="J4477" s="6" t="s">
        <v>24434</v>
      </c>
      <c r="K4477" s="7">
        <f t="shared" si="2"/>
        <v>0.6531890243</v>
      </c>
    </row>
    <row r="4478">
      <c r="A4478" s="4">
        <v>4478.0</v>
      </c>
      <c r="B4478" s="5" t="s">
        <v>24435</v>
      </c>
      <c r="C4478" s="5" t="s">
        <v>24435</v>
      </c>
      <c r="D4478" s="5" t="s">
        <v>24435</v>
      </c>
      <c r="E4478" s="6" t="s">
        <v>24</v>
      </c>
      <c r="F4478" s="6" t="s">
        <v>24436</v>
      </c>
      <c r="G4478" s="3" t="str">
        <f>IFERROR(__xludf.DUMMYFUNCTION("REGEXREPLACE(
D4478,
""([一-龯々]+)\[([^\]]+)\]"",
""&lt;ruby&gt;$1&lt;rt&gt;$2&lt;/rt&gt;&lt;/ruby&gt;""
)&amp;""&lt;br&gt;&lt;div class=""""audio""""&gt;[sound:""&amp;C4478&amp;"".mp3]&lt;/div&gt;"""),"つまずく&lt;br&gt;&lt;div class=""audio""&gt;[sound:つまずく.mp3]&lt;/div&gt;")</f>
        <v>つまずく&lt;br&gt;&lt;div class="audio"&gt;[sound:つまずく.mp3]&lt;/div&gt;</v>
      </c>
      <c r="H4478" s="3" t="str">
        <f t="shared" si="1"/>
        <v>(v): vấp</v>
      </c>
      <c r="I4478" s="6" t="s">
        <v>24437</v>
      </c>
      <c r="J4478" s="6" t="s">
        <v>24438</v>
      </c>
      <c r="K4478" s="7">
        <f t="shared" si="2"/>
        <v>0.4062618245</v>
      </c>
    </row>
    <row r="4479">
      <c r="A4479" s="4">
        <v>4479.0</v>
      </c>
      <c r="B4479" s="5" t="s">
        <v>24439</v>
      </c>
      <c r="C4479" s="5" t="s">
        <v>24440</v>
      </c>
      <c r="D4479" s="5" t="s">
        <v>24441</v>
      </c>
      <c r="E4479" s="6" t="s">
        <v>74</v>
      </c>
      <c r="F4479" s="6" t="s">
        <v>285</v>
      </c>
      <c r="G4479" s="3" t="str">
        <f>IFERROR(__xludf.DUMMYFUNCTION("REGEXREPLACE(
D4479,
""([一-龯々]+)\[([^\]]+)\]"",
""&lt;ruby&gt;$1&lt;rt&gt;$2&lt;/rt&gt;&lt;/ruby&gt;""
)&amp;""&lt;br&gt;&lt;div class=""""audio""""&gt;[sound:""&amp;C4479&amp;"".mp3]&lt;/div&gt;"""),"&lt;ruby&gt;友&lt;rt&gt;とも&lt;/rt&gt;&lt;/ruby&gt;&lt;br&gt;&lt;div class=""audio""&gt;[sound:とも.mp3]&lt;/div&gt;")</f>
        <v>&lt;ruby&gt;友&lt;rt&gt;とも&lt;/rt&gt;&lt;/ruby&gt;&lt;br&gt;&lt;div class="audio"&gt;[sound:とも.mp3]&lt;/div&gt;</v>
      </c>
      <c r="H4479" s="3" t="str">
        <f t="shared" si="1"/>
        <v>(n): bạn</v>
      </c>
      <c r="I4479" s="6" t="s">
        <v>24442</v>
      </c>
      <c r="J4479" s="6" t="s">
        <v>15020</v>
      </c>
      <c r="K4479" s="7">
        <f t="shared" si="2"/>
        <v>0.2066359139</v>
      </c>
    </row>
    <row r="4480">
      <c r="A4480" s="4">
        <v>4480.0</v>
      </c>
      <c r="B4480" s="5" t="s">
        <v>24443</v>
      </c>
      <c r="C4480" s="5" t="s">
        <v>2406</v>
      </c>
      <c r="D4480" s="5" t="s">
        <v>24444</v>
      </c>
      <c r="E4480" s="6" t="s">
        <v>85</v>
      </c>
      <c r="F4480" s="6" t="s">
        <v>6545</v>
      </c>
      <c r="G4480" s="3" t="str">
        <f>IFERROR(__xludf.DUMMYFUNCTION("REGEXREPLACE(
D4480,
""([一-龯々]+)\[([^\]]+)\]"",
""&lt;ruby&gt;$1&lt;rt&gt;$2&lt;/rt&gt;&lt;/ruby&gt;""
)&amp;""&lt;br&gt;&lt;div class=""""audio""""&gt;[sound:""&amp;C4480&amp;"".mp3]&lt;/div&gt;"""),"&lt;ruby&gt;唯&lt;rt&gt;ただ&lt;/rt&gt;&lt;/ruby&gt;&lt;br&gt;&lt;div class=""audio""&gt;[sound:ただ.mp3]&lt;/div&gt;")</f>
        <v>&lt;ruby&gt;唯&lt;rt&gt;ただ&lt;/rt&gt;&lt;/ruby&gt;&lt;br&gt;&lt;div class="audio"&gt;[sound:ただ.mp3]&lt;/div&gt;</v>
      </c>
      <c r="H4480" s="3" t="str">
        <f t="shared" si="1"/>
        <v>(adv): chỉ</v>
      </c>
      <c r="I4480" s="6" t="s">
        <v>24445</v>
      </c>
      <c r="J4480" s="6" t="s">
        <v>24446</v>
      </c>
      <c r="K4480" s="7">
        <f t="shared" si="2"/>
        <v>0.2821173829</v>
      </c>
    </row>
    <row r="4481">
      <c r="A4481" s="4">
        <v>4481.0</v>
      </c>
      <c r="B4481" s="5" t="s">
        <v>24447</v>
      </c>
      <c r="C4481" s="5" t="s">
        <v>24448</v>
      </c>
      <c r="D4481" s="5" t="s">
        <v>24449</v>
      </c>
      <c r="E4481" s="6" t="s">
        <v>74</v>
      </c>
      <c r="F4481" s="6" t="s">
        <v>24450</v>
      </c>
      <c r="G4481" s="3" t="str">
        <f>IFERROR(__xludf.DUMMYFUNCTION("REGEXREPLACE(
D4481,
""([一-龯々]+)\[([^\]]+)\]"",
""&lt;ruby&gt;$1&lt;rt&gt;$2&lt;/rt&gt;&lt;/ruby&gt;""
)&amp;""&lt;br&gt;&lt;div class=""""audio""""&gt;[sound:""&amp;C4481&amp;"".mp3]&lt;/div&gt;"""),"&lt;ruby&gt;圧縮&lt;rt&gt;あっしゅく&lt;/rt&gt;&lt;/ruby&gt;&lt;br&gt;&lt;div class=""audio""&gt;[sound:あっしゅく.mp3]&lt;/div&gt;")</f>
        <v>&lt;ruby&gt;圧縮&lt;rt&gt;あっしゅく&lt;/rt&gt;&lt;/ruby&gt;&lt;br&gt;&lt;div class="audio"&gt;[sound:あっしゅく.mp3]&lt;/div&gt;</v>
      </c>
      <c r="H4481" s="3" t="str">
        <f t="shared" si="1"/>
        <v>(n): nén</v>
      </c>
      <c r="I4481" s="6" t="s">
        <v>24451</v>
      </c>
      <c r="J4481" s="6" t="s">
        <v>24452</v>
      </c>
      <c r="K4481" s="7">
        <f t="shared" si="2"/>
        <v>0.4775493557</v>
      </c>
    </row>
    <row r="4482">
      <c r="A4482" s="4">
        <v>4482.0</v>
      </c>
      <c r="B4482" s="5" t="s">
        <v>24453</v>
      </c>
      <c r="C4482" s="5" t="s">
        <v>13503</v>
      </c>
      <c r="D4482" s="5" t="s">
        <v>24454</v>
      </c>
      <c r="E4482" s="6" t="s">
        <v>74</v>
      </c>
      <c r="F4482" s="6" t="s">
        <v>24455</v>
      </c>
      <c r="G4482" s="3" t="str">
        <f>IFERROR(__xludf.DUMMYFUNCTION("REGEXREPLACE(
D4482,
""([一-龯々]+)\[([^\]]+)\]"",
""&lt;ruby&gt;$1&lt;rt&gt;$2&lt;/rt&gt;&lt;/ruby&gt;""
)&amp;""&lt;br&gt;&lt;div class=""""audio""""&gt;[sound:""&amp;C4482&amp;"".mp3]&lt;/div&gt;"""),"&lt;ruby&gt;箸&lt;rt&gt;はし&lt;/rt&gt;&lt;/ruby&gt;&lt;br&gt;&lt;div class=""audio""&gt;[sound:はし.mp3]&lt;/div&gt;")</f>
        <v>&lt;ruby&gt;箸&lt;rt&gt;はし&lt;/rt&gt;&lt;/ruby&gt;&lt;br&gt;&lt;div class="audio"&gt;[sound:はし.mp3]&lt;/div&gt;</v>
      </c>
      <c r="H4482" s="3" t="str">
        <f t="shared" si="1"/>
        <v>(n): đũa</v>
      </c>
      <c r="I4482" s="6" t="s">
        <v>24456</v>
      </c>
      <c r="J4482" s="6" t="s">
        <v>24457</v>
      </c>
      <c r="K4482" s="7">
        <f t="shared" si="2"/>
        <v>0.8139068773</v>
      </c>
    </row>
    <row r="4483">
      <c r="A4483" s="4">
        <v>4483.0</v>
      </c>
      <c r="B4483" s="5" t="s">
        <v>24458</v>
      </c>
      <c r="C4483" s="5" t="s">
        <v>24459</v>
      </c>
      <c r="D4483" s="5" t="s">
        <v>24460</v>
      </c>
      <c r="E4483" s="6" t="s">
        <v>74</v>
      </c>
      <c r="F4483" s="6" t="s">
        <v>24461</v>
      </c>
      <c r="G4483" s="3" t="str">
        <f>IFERROR(__xludf.DUMMYFUNCTION("REGEXREPLACE(
D4483,
""([一-龯々]+)\[([^\]]+)\]"",
""&lt;ruby&gt;$1&lt;rt&gt;$2&lt;/rt&gt;&lt;/ruby&gt;""
)&amp;""&lt;br&gt;&lt;div class=""""audio""""&gt;[sound:""&amp;C4483&amp;"".mp3]&lt;/div&gt;"""),"&lt;ruby&gt;墓&lt;rt&gt;はか&lt;/rt&gt;&lt;/ruby&gt;&lt;br&gt;&lt;div class=""audio""&gt;[sound:はか.mp3]&lt;/div&gt;")</f>
        <v>&lt;ruby&gt;墓&lt;rt&gt;はか&lt;/rt&gt;&lt;/ruby&gt;&lt;br&gt;&lt;div class="audio"&gt;[sound:はか.mp3]&lt;/div&gt;</v>
      </c>
      <c r="H4483" s="3" t="str">
        <f t="shared" si="1"/>
        <v>(n): mộ</v>
      </c>
      <c r="I4483" s="6" t="s">
        <v>24462</v>
      </c>
      <c r="J4483" s="6" t="s">
        <v>24463</v>
      </c>
      <c r="K4483" s="7">
        <f t="shared" si="2"/>
        <v>0.1291909534</v>
      </c>
    </row>
    <row r="4484">
      <c r="A4484" s="4">
        <v>4484.0</v>
      </c>
      <c r="B4484" s="5" t="s">
        <v>24464</v>
      </c>
      <c r="C4484" s="5" t="s">
        <v>24465</v>
      </c>
      <c r="D4484" s="5" t="s">
        <v>24466</v>
      </c>
      <c r="E4484" s="6" t="s">
        <v>74</v>
      </c>
      <c r="F4484" s="6" t="s">
        <v>24467</v>
      </c>
      <c r="G4484" s="3" t="str">
        <f>IFERROR(__xludf.DUMMYFUNCTION("REGEXREPLACE(
D4484,
""([一-龯々]+)\[([^\]]+)\]"",
""&lt;ruby&gt;$1&lt;rt&gt;$2&lt;/rt&gt;&lt;/ruby&gt;""
)&amp;""&lt;br&gt;&lt;div class=""""audio""""&gt;[sound:""&amp;C4484&amp;"".mp3]&lt;/div&gt;"""),"&lt;ruby&gt;症状&lt;rt&gt;しょうじょう&lt;/rt&gt;&lt;/ruby&gt;&lt;br&gt;&lt;div class=""audio""&gt;[sound:しょうじょう.mp3]&lt;/div&gt;")</f>
        <v>&lt;ruby&gt;症状&lt;rt&gt;しょうじょう&lt;/rt&gt;&lt;/ruby&gt;&lt;br&gt;&lt;div class="audio"&gt;[sound:しょうじょう.mp3]&lt;/div&gt;</v>
      </c>
      <c r="H4484" s="3" t="str">
        <f t="shared" si="1"/>
        <v>(n): triệu chứng</v>
      </c>
      <c r="I4484" s="6" t="s">
        <v>24468</v>
      </c>
      <c r="J4484" s="6" t="s">
        <v>24469</v>
      </c>
      <c r="K4484" s="7">
        <f t="shared" si="2"/>
        <v>0.346323844</v>
      </c>
    </row>
    <row r="4485">
      <c r="A4485" s="4">
        <v>4485.0</v>
      </c>
      <c r="B4485" s="5" t="s">
        <v>24470</v>
      </c>
      <c r="C4485" s="5" t="s">
        <v>17905</v>
      </c>
      <c r="D4485" s="5" t="s">
        <v>24471</v>
      </c>
      <c r="E4485" s="6" t="s">
        <v>74</v>
      </c>
      <c r="F4485" s="6" t="s">
        <v>24472</v>
      </c>
      <c r="G4485" s="3" t="str">
        <f>IFERROR(__xludf.DUMMYFUNCTION("REGEXREPLACE(
D4485,
""([一-龯々]+)\[([^\]]+)\]"",
""&lt;ruby&gt;$1&lt;rt&gt;$2&lt;/rt&gt;&lt;/ruby&gt;""
)&amp;""&lt;br&gt;&lt;div class=""""audio""""&gt;[sound:""&amp;C4485&amp;"".mp3]&lt;/div&gt;"""),"&lt;ruby&gt;中性&lt;rt&gt;ちゅうせい&lt;/rt&gt;&lt;/ruby&gt;&lt;br&gt;&lt;div class=""audio""&gt;[sound:ちゅうせい.mp3]&lt;/div&gt;")</f>
        <v>&lt;ruby&gt;中性&lt;rt&gt;ちゅうせい&lt;/rt&gt;&lt;/ruby&gt;&lt;br&gt;&lt;div class="audio"&gt;[sound:ちゅうせい.mp3]&lt;/div&gt;</v>
      </c>
      <c r="H4485" s="3" t="str">
        <f t="shared" si="1"/>
        <v>(n): trung tính</v>
      </c>
      <c r="I4485" s="6" t="s">
        <v>24473</v>
      </c>
      <c r="J4485" s="6" t="s">
        <v>24474</v>
      </c>
      <c r="K4485" s="7">
        <f t="shared" si="2"/>
        <v>0.8433027133</v>
      </c>
    </row>
    <row r="4486">
      <c r="A4486" s="4">
        <v>4486.0</v>
      </c>
      <c r="B4486" s="5" t="s">
        <v>24475</v>
      </c>
      <c r="C4486" s="5" t="s">
        <v>24476</v>
      </c>
      <c r="D4486" s="5" t="s">
        <v>24477</v>
      </c>
      <c r="E4486" s="6" t="s">
        <v>74</v>
      </c>
      <c r="F4486" s="6" t="s">
        <v>24478</v>
      </c>
      <c r="G4486" s="3" t="str">
        <f>IFERROR(__xludf.DUMMYFUNCTION("REGEXREPLACE(
D4486,
""([一-龯々]+)\[([^\]]+)\]"",
""&lt;ruby&gt;$1&lt;rt&gt;$2&lt;/rt&gt;&lt;/ruby&gt;""
)&amp;""&lt;br&gt;&lt;div class=""""audio""""&gt;[sound:""&amp;C4486&amp;"".mp3]&lt;/div&gt;"""),"&lt;ruby&gt;袖&lt;rt&gt;そで&lt;/rt&gt;&lt;/ruby&gt;&lt;br&gt;&lt;div class=""audio""&gt;[sound:そで.mp3]&lt;/div&gt;")</f>
        <v>&lt;ruby&gt;袖&lt;rt&gt;そで&lt;/rt&gt;&lt;/ruby&gt;&lt;br&gt;&lt;div class="audio"&gt;[sound:そで.mp3]&lt;/div&gt;</v>
      </c>
      <c r="H4486" s="3" t="str">
        <f t="shared" si="1"/>
        <v>(n): ống tay áo</v>
      </c>
      <c r="I4486" s="6" t="s">
        <v>24479</v>
      </c>
      <c r="J4486" s="6" t="s">
        <v>24480</v>
      </c>
      <c r="K4486" s="7">
        <f t="shared" si="2"/>
        <v>0.2170879511</v>
      </c>
    </row>
    <row r="4487">
      <c r="A4487" s="4">
        <v>4487.0</v>
      </c>
      <c r="B4487" s="5" t="s">
        <v>24481</v>
      </c>
      <c r="C4487" s="5" t="s">
        <v>24482</v>
      </c>
      <c r="D4487" s="5" t="s">
        <v>24483</v>
      </c>
      <c r="E4487" s="6" t="s">
        <v>74</v>
      </c>
      <c r="F4487" s="6" t="s">
        <v>24484</v>
      </c>
      <c r="G4487" s="3" t="str">
        <f>IFERROR(__xludf.DUMMYFUNCTION("REGEXREPLACE(
D4487,
""([一-龯々]+)\[([^\]]+)\]"",
""&lt;ruby&gt;$1&lt;rt&gt;$2&lt;/rt&gt;&lt;/ruby&gt;""
)&amp;""&lt;br&gt;&lt;div class=""""audio""""&gt;[sound:""&amp;C4487&amp;"".mp3]&lt;/div&gt;"""),"&lt;ruby&gt;通訳&lt;rt&gt;つうやく&lt;/rt&gt;&lt;/ruby&gt;&lt;br&gt;&lt;div class=""audio""&gt;[sound:つうやく.mp3]&lt;/div&gt;")</f>
        <v>&lt;ruby&gt;通訳&lt;rt&gt;つうやく&lt;/rt&gt;&lt;/ruby&gt;&lt;br&gt;&lt;div class="audio"&gt;[sound:つうやく.mp3]&lt;/div&gt;</v>
      </c>
      <c r="H4487" s="3" t="str">
        <f t="shared" si="1"/>
        <v>(n): phiên dịch</v>
      </c>
      <c r="I4487" s="6" t="s">
        <v>24485</v>
      </c>
      <c r="J4487" s="6" t="s">
        <v>24486</v>
      </c>
      <c r="K4487" s="7">
        <f t="shared" si="2"/>
        <v>0.922986574</v>
      </c>
    </row>
    <row r="4488">
      <c r="A4488" s="4">
        <v>4488.0</v>
      </c>
      <c r="B4488" s="5" t="s">
        <v>24487</v>
      </c>
      <c r="C4488" s="5" t="s">
        <v>24487</v>
      </c>
      <c r="D4488" s="5" t="s">
        <v>24487</v>
      </c>
      <c r="E4488" s="6" t="s">
        <v>74</v>
      </c>
      <c r="F4488" s="6" t="s">
        <v>24488</v>
      </c>
      <c r="G4488" s="3" t="str">
        <f>IFERROR(__xludf.DUMMYFUNCTION("REGEXREPLACE(
D4488,
""([一-龯々]+)\[([^\]]+)\]"",
""&lt;ruby&gt;$1&lt;rt&gt;$2&lt;/rt&gt;&lt;/ruby&gt;""
)&amp;""&lt;br&gt;&lt;div class=""""audio""""&gt;[sound:""&amp;C4488&amp;"".mp3]&lt;/div&gt;"""),"じゃんけん&lt;br&gt;&lt;div class=""audio""&gt;[sound:じゃんけん.mp3]&lt;/div&gt;")</f>
        <v>じゃんけん&lt;br&gt;&lt;div class="audio"&gt;[sound:じゃんけん.mp3]&lt;/div&gt;</v>
      </c>
      <c r="H4488" s="3" t="str">
        <f t="shared" si="1"/>
        <v>(n): oẳn tù tì</v>
      </c>
      <c r="I4488" s="6" t="s">
        <v>24489</v>
      </c>
      <c r="J4488" s="6" t="s">
        <v>24490</v>
      </c>
      <c r="K4488" s="7">
        <f t="shared" si="2"/>
        <v>0.1012679423</v>
      </c>
    </row>
    <row r="4489">
      <c r="A4489" s="4">
        <v>4489.0</v>
      </c>
      <c r="B4489" s="5" t="s">
        <v>24491</v>
      </c>
      <c r="C4489" s="5" t="s">
        <v>24492</v>
      </c>
      <c r="D4489" s="5" t="s">
        <v>24493</v>
      </c>
      <c r="E4489" s="6" t="s">
        <v>24</v>
      </c>
      <c r="F4489" s="6" t="s">
        <v>14407</v>
      </c>
      <c r="G4489" s="3" t="str">
        <f>IFERROR(__xludf.DUMMYFUNCTION("REGEXREPLACE(
D4489,
""([一-龯々]+)\[([^\]]+)\]"",
""&lt;ruby&gt;$1&lt;rt&gt;$2&lt;/rt&gt;&lt;/ruby&gt;""
)&amp;""&lt;br&gt;&lt;div class=""""audio""""&gt;[sound:""&amp;C4489&amp;"".mp3]&lt;/div&gt;"""),"&lt;ruby&gt;微笑&lt;rt&gt;ほほえ&lt;/rt&gt;&lt;/ruby&gt;む&lt;br&gt;&lt;div class=""audio""&gt;[sound:ほほえむ.mp3]&lt;/div&gt;")</f>
        <v>&lt;ruby&gt;微笑&lt;rt&gt;ほほえ&lt;/rt&gt;&lt;/ruby&gt;む&lt;br&gt;&lt;div class="audio"&gt;[sound:ほほえむ.mp3]&lt;/div&gt;</v>
      </c>
      <c r="H4489" s="3" t="str">
        <f t="shared" si="1"/>
        <v>(v): mỉm cười</v>
      </c>
      <c r="I4489" s="6" t="s">
        <v>24494</v>
      </c>
      <c r="J4489" s="6" t="s">
        <v>24495</v>
      </c>
      <c r="K4489" s="7">
        <f t="shared" si="2"/>
        <v>0.2554128408</v>
      </c>
    </row>
    <row r="4490">
      <c r="A4490" s="4">
        <v>4490.0</v>
      </c>
      <c r="B4490" s="5" t="s">
        <v>24496</v>
      </c>
      <c r="C4490" s="5" t="s">
        <v>24497</v>
      </c>
      <c r="D4490" s="5" t="s">
        <v>24498</v>
      </c>
      <c r="E4490" s="6" t="s">
        <v>24</v>
      </c>
      <c r="F4490" s="6" t="s">
        <v>7533</v>
      </c>
      <c r="G4490" s="3" t="str">
        <f>IFERROR(__xludf.DUMMYFUNCTION("REGEXREPLACE(
D4490,
""([一-龯々]+)\[([^\]]+)\]"",
""&lt;ruby&gt;$1&lt;rt&gt;$2&lt;/rt&gt;&lt;/ruby&gt;""
)&amp;""&lt;br&gt;&lt;div class=""""audio""""&gt;[sound:""&amp;C4490&amp;"".mp3]&lt;/div&gt;"""),"&lt;ruby&gt;蘇&lt;rt&gt;よみがえ&lt;/rt&gt;&lt;/ruby&gt;る&lt;br&gt;&lt;div class=""audio""&gt;[sound:よみがえる.mp3]&lt;/div&gt;")</f>
        <v>&lt;ruby&gt;蘇&lt;rt&gt;よみがえ&lt;/rt&gt;&lt;/ruby&gt;る&lt;br&gt;&lt;div class="audio"&gt;[sound:よみがえる.mp3]&lt;/div&gt;</v>
      </c>
      <c r="H4490" s="3" t="str">
        <f t="shared" si="1"/>
        <v>(v): sống lại</v>
      </c>
      <c r="I4490" s="6" t="s">
        <v>24499</v>
      </c>
      <c r="J4490" s="6" t="s">
        <v>24500</v>
      </c>
      <c r="K4490" s="7">
        <f t="shared" si="2"/>
        <v>0.5177492032</v>
      </c>
    </row>
    <row r="4491">
      <c r="A4491" s="4">
        <v>4491.0</v>
      </c>
      <c r="B4491" s="5" t="s">
        <v>24501</v>
      </c>
      <c r="C4491" s="5" t="s">
        <v>24502</v>
      </c>
      <c r="D4491" s="5" t="s">
        <v>24503</v>
      </c>
      <c r="E4491" s="6" t="s">
        <v>74</v>
      </c>
      <c r="F4491" s="6" t="s">
        <v>24504</v>
      </c>
      <c r="G4491" s="3" t="str">
        <f>IFERROR(__xludf.DUMMYFUNCTION("REGEXREPLACE(
D4491,
""([一-龯々]+)\[([^\]]+)\]"",
""&lt;ruby&gt;$1&lt;rt&gt;$2&lt;/rt&gt;&lt;/ruby&gt;""
)&amp;""&lt;br&gt;&lt;div class=""""audio""""&gt;[sound:""&amp;C4491&amp;"".mp3]&lt;/div&gt;"""),"&lt;ruby&gt;豚肉&lt;rt&gt;ぶたにく&lt;/rt&gt;&lt;/ruby&gt;&lt;br&gt;&lt;div class=""audio""&gt;[sound:ぶたにく.mp3]&lt;/div&gt;")</f>
        <v>&lt;ruby&gt;豚肉&lt;rt&gt;ぶたにく&lt;/rt&gt;&lt;/ruby&gt;&lt;br&gt;&lt;div class="audio"&gt;[sound:ぶたにく.mp3]&lt;/div&gt;</v>
      </c>
      <c r="H4491" s="3" t="str">
        <f t="shared" si="1"/>
        <v>(n): thịt lợn</v>
      </c>
      <c r="I4491" s="6" t="s">
        <v>24505</v>
      </c>
      <c r="J4491" s="6" t="s">
        <v>24506</v>
      </c>
      <c r="K4491" s="7">
        <f t="shared" si="2"/>
        <v>0.3583631243</v>
      </c>
    </row>
    <row r="4492">
      <c r="A4492" s="4">
        <v>4492.0</v>
      </c>
      <c r="B4492" s="5" t="s">
        <v>24507</v>
      </c>
      <c r="C4492" s="5" t="s">
        <v>24508</v>
      </c>
      <c r="D4492" s="5" t="s">
        <v>24509</v>
      </c>
      <c r="E4492" s="6" t="s">
        <v>74</v>
      </c>
      <c r="F4492" s="6" t="s">
        <v>24510</v>
      </c>
      <c r="G4492" s="3" t="str">
        <f>IFERROR(__xludf.DUMMYFUNCTION("REGEXREPLACE(
D4492,
""([一-龯々]+)\[([^\]]+)\]"",
""&lt;ruby&gt;$1&lt;rt&gt;$2&lt;/rt&gt;&lt;/ruby&gt;""
)&amp;""&lt;br&gt;&lt;div class=""""audio""""&gt;[sound:""&amp;C4492&amp;"".mp3]&lt;/div&gt;"""),"&lt;ruby&gt;踏切&lt;rt&gt;ふみきり&lt;/rt&gt;&lt;/ruby&gt;&lt;br&gt;&lt;div class=""audio""&gt;[sound:ふみきり.mp3]&lt;/div&gt;")</f>
        <v>&lt;ruby&gt;踏切&lt;rt&gt;ふみきり&lt;/rt&gt;&lt;/ruby&gt;&lt;br&gt;&lt;div class="audio"&gt;[sound:ふみきり.mp3]&lt;/div&gt;</v>
      </c>
      <c r="H4492" s="3" t="str">
        <f t="shared" si="1"/>
        <v>(n): chắn tàu</v>
      </c>
      <c r="I4492" s="6" t="s">
        <v>24511</v>
      </c>
      <c r="J4492" s="6" t="s">
        <v>24512</v>
      </c>
      <c r="K4492" s="7">
        <f t="shared" si="2"/>
        <v>0.4736694328</v>
      </c>
    </row>
    <row r="4493">
      <c r="A4493" s="4">
        <v>4493.0</v>
      </c>
      <c r="B4493" s="5" t="s">
        <v>24513</v>
      </c>
      <c r="C4493" s="5" t="s">
        <v>24514</v>
      </c>
      <c r="D4493" s="5" t="s">
        <v>24515</v>
      </c>
      <c r="E4493" s="6" t="s">
        <v>74</v>
      </c>
      <c r="F4493" s="6" t="s">
        <v>21123</v>
      </c>
      <c r="G4493" s="3" t="str">
        <f>IFERROR(__xludf.DUMMYFUNCTION("REGEXREPLACE(
D4493,
""([一-龯々]+)\[([^\]]+)\]"",
""&lt;ruby&gt;$1&lt;rt&gt;$2&lt;/rt&gt;&lt;/ruby&gt;""
)&amp;""&lt;br&gt;&lt;div class=""""audio""""&gt;[sound:""&amp;C4493&amp;"".mp3]&lt;/div&gt;"""),"&lt;ruby&gt;出来事&lt;rt&gt;できごと&lt;/rt&gt;&lt;/ruby&gt;&lt;br&gt;&lt;div class=""audio""&gt;[sound:できごと.mp3]&lt;/div&gt;")</f>
        <v>&lt;ruby&gt;出来事&lt;rt&gt;できごと&lt;/rt&gt;&lt;/ruby&gt;&lt;br&gt;&lt;div class="audio"&gt;[sound:できごと.mp3]&lt;/div&gt;</v>
      </c>
      <c r="H4493" s="3" t="str">
        <f t="shared" si="1"/>
        <v>(n): sự việc</v>
      </c>
      <c r="I4493" s="6" t="s">
        <v>24516</v>
      </c>
      <c r="J4493" s="6" t="s">
        <v>24517</v>
      </c>
      <c r="K4493" s="7">
        <f t="shared" si="2"/>
        <v>0.5806107927</v>
      </c>
    </row>
    <row r="4494">
      <c r="A4494" s="4">
        <v>4494.0</v>
      </c>
      <c r="B4494" s="5" t="s">
        <v>24518</v>
      </c>
      <c r="C4494" s="5" t="s">
        <v>24519</v>
      </c>
      <c r="D4494" s="5" t="s">
        <v>24520</v>
      </c>
      <c r="E4494" s="6" t="s">
        <v>11</v>
      </c>
      <c r="F4494" s="6" t="s">
        <v>24521</v>
      </c>
      <c r="G4494" s="3" t="str">
        <f>IFERROR(__xludf.DUMMYFUNCTION("REGEXREPLACE(
D4494,
""([一-龯々]+)\[([^\]]+)\]"",
""&lt;ruby&gt;$1&lt;rt&gt;$2&lt;/rt&gt;&lt;/ruby&gt;""
)&amp;""&lt;br&gt;&lt;div class=""""audio""""&gt;[sound:""&amp;C4494&amp;"".mp3]&lt;/div&gt;"""),"&lt;ruby&gt;無事&lt;rt&gt;ぶじ&lt;/rt&gt;&lt;/ruby&gt;&lt;br&gt;&lt;div class=""audio""&gt;[sound:ぶじ.mp3]&lt;/div&gt;")</f>
        <v>&lt;ruby&gt;無事&lt;rt&gt;ぶじ&lt;/rt&gt;&lt;/ruby&gt;&lt;br&gt;&lt;div class="audio"&gt;[sound:ぶじ.mp3]&lt;/div&gt;</v>
      </c>
      <c r="H4494" s="3" t="str">
        <f t="shared" si="1"/>
        <v>(adj): bình an</v>
      </c>
      <c r="I4494" s="6" t="s">
        <v>24522</v>
      </c>
      <c r="J4494" s="6" t="s">
        <v>24523</v>
      </c>
      <c r="K4494" s="7">
        <f t="shared" si="2"/>
        <v>0.3042691988</v>
      </c>
    </row>
    <row r="4495">
      <c r="A4495" s="4">
        <v>4495.0</v>
      </c>
      <c r="B4495" s="5" t="s">
        <v>24524</v>
      </c>
      <c r="C4495" s="5" t="s">
        <v>3573</v>
      </c>
      <c r="D4495" s="5" t="s">
        <v>24525</v>
      </c>
      <c r="E4495" s="6" t="s">
        <v>74</v>
      </c>
      <c r="F4495" s="6" t="s">
        <v>24526</v>
      </c>
      <c r="G4495" s="3" t="str">
        <f>IFERROR(__xludf.DUMMYFUNCTION("REGEXREPLACE(
D4495,
""([一-龯々]+)\[([^\]]+)\]"",
""&lt;ruby&gt;$1&lt;rt&gt;$2&lt;/rt&gt;&lt;/ruby&gt;""
)&amp;""&lt;br&gt;&lt;div class=""""audio""""&gt;[sound:""&amp;C4495&amp;"".mp3]&lt;/div&gt;"""),"&lt;ruby&gt;蕎麦&lt;rt&gt;そば&lt;/rt&gt;&lt;/ruby&gt;&lt;br&gt;&lt;div class=""audio""&gt;[sound:そば.mp3]&lt;/div&gt;")</f>
        <v>&lt;ruby&gt;蕎麦&lt;rt&gt;そば&lt;/rt&gt;&lt;/ruby&gt;&lt;br&gt;&lt;div class="audio"&gt;[sound:そば.mp3]&lt;/div&gt;</v>
      </c>
      <c r="H4495" s="3" t="str">
        <f t="shared" si="1"/>
        <v>(n): mì soba</v>
      </c>
      <c r="I4495" s="6" t="s">
        <v>24527</v>
      </c>
      <c r="J4495" s="6" t="s">
        <v>24528</v>
      </c>
      <c r="K4495" s="7">
        <f t="shared" si="2"/>
        <v>0.05164268486</v>
      </c>
    </row>
    <row r="4496">
      <c r="A4496" s="4">
        <v>4496.0</v>
      </c>
      <c r="B4496" s="5" t="s">
        <v>24529</v>
      </c>
      <c r="C4496" s="5" t="s">
        <v>24530</v>
      </c>
      <c r="D4496" s="5" t="s">
        <v>24531</v>
      </c>
      <c r="E4496" s="6" t="s">
        <v>74</v>
      </c>
      <c r="F4496" s="6" t="s">
        <v>24532</v>
      </c>
      <c r="G4496" s="3" t="str">
        <f>IFERROR(__xludf.DUMMYFUNCTION("REGEXREPLACE(
D4496,
""([一-龯々]+)\[([^\]]+)\]"",
""&lt;ruby&gt;$1&lt;rt&gt;$2&lt;/rt&gt;&lt;/ruby&gt;""
)&amp;""&lt;br&gt;&lt;div class=""""audio""""&gt;[sound:""&amp;C4496&amp;"".mp3]&lt;/div&gt;"""),"&lt;ruby&gt;郊外&lt;rt&gt;こうがい&lt;/rt&gt;&lt;/ruby&gt;&lt;br&gt;&lt;div class=""audio""&gt;[sound:こうがい.mp3]&lt;/div&gt;")</f>
        <v>&lt;ruby&gt;郊外&lt;rt&gt;こうがい&lt;/rt&gt;&lt;/ruby&gt;&lt;br&gt;&lt;div class="audio"&gt;[sound:こうがい.mp3]&lt;/div&gt;</v>
      </c>
      <c r="H4496" s="3" t="str">
        <f t="shared" si="1"/>
        <v>(n): ngoại ô</v>
      </c>
      <c r="I4496" s="6" t="s">
        <v>24533</v>
      </c>
      <c r="J4496" s="6" t="s">
        <v>24534</v>
      </c>
      <c r="K4496" s="7">
        <f t="shared" si="2"/>
        <v>0.2264385599</v>
      </c>
    </row>
    <row r="4497">
      <c r="A4497" s="4">
        <v>4497.0</v>
      </c>
      <c r="B4497" s="5" t="s">
        <v>24535</v>
      </c>
      <c r="C4497" s="5" t="s">
        <v>24536</v>
      </c>
      <c r="D4497" s="5" t="s">
        <v>24535</v>
      </c>
      <c r="E4497" s="6" t="s">
        <v>74</v>
      </c>
      <c r="F4497" s="6" t="s">
        <v>24537</v>
      </c>
      <c r="G4497" s="3" t="str">
        <f>IFERROR(__xludf.DUMMYFUNCTION("REGEXREPLACE(
D4497,
""([一-龯々]+)\[([^\]]+)\]"",
""&lt;ruby&gt;$1&lt;rt&gt;$2&lt;/rt&gt;&lt;/ruby&gt;""
)&amp;""&lt;br&gt;&lt;div class=""""audio""""&gt;[sound:""&amp;C4497&amp;"".mp3]&lt;/div&gt;"""),"バケツ&lt;br&gt;&lt;div class=""audio""&gt;[sound:ばけつ.mp3]&lt;/div&gt;")</f>
        <v>バケツ&lt;br&gt;&lt;div class="audio"&gt;[sound:ばけつ.mp3]&lt;/div&gt;</v>
      </c>
      <c r="H4497" s="3" t="str">
        <f t="shared" si="1"/>
        <v>(n): cái xô</v>
      </c>
      <c r="I4497" s="6" t="s">
        <v>24538</v>
      </c>
      <c r="J4497" s="6" t="s">
        <v>24539</v>
      </c>
      <c r="K4497" s="7">
        <f t="shared" si="2"/>
        <v>0.1001773861</v>
      </c>
    </row>
    <row r="4498">
      <c r="A4498" s="4">
        <v>4498.0</v>
      </c>
      <c r="B4498" s="5" t="s">
        <v>24540</v>
      </c>
      <c r="C4498" s="5" t="s">
        <v>24541</v>
      </c>
      <c r="D4498" s="5" t="s">
        <v>24542</v>
      </c>
      <c r="E4498" s="6" t="s">
        <v>24</v>
      </c>
      <c r="F4498" s="6" t="s">
        <v>20024</v>
      </c>
      <c r="G4498" s="3" t="str">
        <f>IFERROR(__xludf.DUMMYFUNCTION("REGEXREPLACE(
D4498,
""([一-龯々]+)\[([^\]]+)\]"",
""&lt;ruby&gt;$1&lt;rt&gt;$2&lt;/rt&gt;&lt;/ruby&gt;""
)&amp;""&lt;br&gt;&lt;div class=""""audio""""&gt;[sound:""&amp;C4498&amp;"".mp3]&lt;/div&gt;"""),"&lt;ruby&gt;弱&lt;rt&gt;よわ&lt;/rt&gt;&lt;/ruby&gt;まる&lt;br&gt;&lt;div class=""audio""&gt;[sound:よわまる.mp3]&lt;/div&gt;")</f>
        <v>&lt;ruby&gt;弱&lt;rt&gt;よわ&lt;/rt&gt;&lt;/ruby&gt;まる&lt;br&gt;&lt;div class="audio"&gt;[sound:よわまる.mp3]&lt;/div&gt;</v>
      </c>
      <c r="H4498" s="3" t="str">
        <f t="shared" si="1"/>
        <v>(v): yếu đi</v>
      </c>
      <c r="I4498" s="6" t="s">
        <v>24543</v>
      </c>
      <c r="J4498" s="6" t="s">
        <v>24544</v>
      </c>
      <c r="K4498" s="7">
        <f t="shared" si="2"/>
        <v>0.453544666</v>
      </c>
    </row>
    <row r="4499">
      <c r="A4499" s="4">
        <v>4499.0</v>
      </c>
      <c r="B4499" s="5" t="s">
        <v>24545</v>
      </c>
      <c r="C4499" s="5" t="s">
        <v>24545</v>
      </c>
      <c r="D4499" s="5" t="s">
        <v>24545</v>
      </c>
      <c r="E4499" s="6" t="s">
        <v>24</v>
      </c>
      <c r="F4499" s="6" t="s">
        <v>254</v>
      </c>
      <c r="G4499" s="3" t="str">
        <f>IFERROR(__xludf.DUMMYFUNCTION("REGEXREPLACE(
D4499,
""([一-龯々]+)\[([^\]]+)\]"",
""&lt;ruby&gt;$1&lt;rt&gt;$2&lt;/rt&gt;&lt;/ruby&gt;""
)&amp;""&lt;br&gt;&lt;div class=""""audio""""&gt;[sound:""&amp;C4499&amp;"".mp3]&lt;/div&gt;"""),"ぶらさげる&lt;br&gt;&lt;div class=""audio""&gt;[sound:ぶらさげる.mp3]&lt;/div&gt;")</f>
        <v>ぶらさげる&lt;br&gt;&lt;div class="audio"&gt;[sound:ぶらさげる.mp3]&lt;/div&gt;</v>
      </c>
      <c r="H4499" s="3" t="str">
        <f t="shared" si="1"/>
        <v>(v): treo</v>
      </c>
      <c r="I4499" s="6" t="s">
        <v>24546</v>
      </c>
      <c r="J4499" s="6" t="s">
        <v>24547</v>
      </c>
      <c r="K4499" s="7">
        <f t="shared" si="2"/>
        <v>0.4554059883</v>
      </c>
    </row>
    <row r="4500">
      <c r="A4500" s="4">
        <v>4500.0</v>
      </c>
      <c r="B4500" s="5" t="s">
        <v>24548</v>
      </c>
      <c r="C4500" s="5" t="s">
        <v>24549</v>
      </c>
      <c r="D4500" s="5" t="s">
        <v>24550</v>
      </c>
      <c r="E4500" s="6" t="s">
        <v>24</v>
      </c>
      <c r="F4500" s="6" t="s">
        <v>24551</v>
      </c>
      <c r="G4500" s="3" t="str">
        <f>IFERROR(__xludf.DUMMYFUNCTION("REGEXREPLACE(
D4500,
""([一-龯々]+)\[([^\]]+)\]"",
""&lt;ruby&gt;$1&lt;rt&gt;$2&lt;/rt&gt;&lt;/ruby&gt;""
)&amp;""&lt;br&gt;&lt;div class=""""audio""""&gt;[sound:""&amp;C4500&amp;"".mp3]&lt;/div&gt;"""),"&lt;ruby&gt;訳&lt;rt&gt;やく&lt;/rt&gt;&lt;/ruby&gt;す&lt;br&gt;&lt;div class=""audio""&gt;[sound:やくす.mp3]&lt;/div&gt;")</f>
        <v>&lt;ruby&gt;訳&lt;rt&gt;やく&lt;/rt&gt;&lt;/ruby&gt;す&lt;br&gt;&lt;div class="audio"&gt;[sound:やくす.mp3]&lt;/div&gt;</v>
      </c>
      <c r="H4500" s="3" t="str">
        <f t="shared" si="1"/>
        <v>(v): dịch</v>
      </c>
      <c r="I4500" s="6" t="s">
        <v>24552</v>
      </c>
      <c r="J4500" s="6" t="s">
        <v>24553</v>
      </c>
      <c r="K4500" s="7">
        <f t="shared" si="2"/>
        <v>0.9842812557</v>
      </c>
    </row>
    <row r="4501">
      <c r="A4501" s="4">
        <v>4501.0</v>
      </c>
      <c r="B4501" s="5" t="s">
        <v>24554</v>
      </c>
      <c r="C4501" s="5" t="s">
        <v>24555</v>
      </c>
      <c r="D4501" s="5" t="s">
        <v>24556</v>
      </c>
      <c r="E4501" s="6" t="s">
        <v>11</v>
      </c>
      <c r="F4501" s="6" t="s">
        <v>1360</v>
      </c>
      <c r="G4501" s="3" t="str">
        <f>IFERROR(__xludf.DUMMYFUNCTION("REGEXREPLACE(
D4501,
""([一-龯々]+)\[([^\]]+)\]"",
""&lt;ruby&gt;$1&lt;rt&gt;$2&lt;/rt&gt;&lt;/ruby&gt;""
)&amp;""&lt;br&gt;&lt;div class=""""audio""""&gt;[sound:""&amp;C4501&amp;"".mp3]&lt;/div&gt;"""),"&lt;ruby&gt;重&lt;rt&gt;おも&lt;/rt&gt;&lt;/ruby&gt;たい&lt;br&gt;&lt;div class=""audio""&gt;[sound:おもたい.mp3]&lt;/div&gt;")</f>
        <v>&lt;ruby&gt;重&lt;rt&gt;おも&lt;/rt&gt;&lt;/ruby&gt;たい&lt;br&gt;&lt;div class="audio"&gt;[sound:おもたい.mp3]&lt;/div&gt;</v>
      </c>
      <c r="H4501" s="3" t="str">
        <f t="shared" si="1"/>
        <v>(adj): nặng</v>
      </c>
      <c r="I4501" s="6" t="s">
        <v>24557</v>
      </c>
      <c r="J4501" s="6" t="s">
        <v>24558</v>
      </c>
      <c r="K4501" s="7">
        <f t="shared" si="2"/>
        <v>0.1850673759</v>
      </c>
    </row>
    <row r="4502">
      <c r="A4502" s="4">
        <v>4502.0</v>
      </c>
      <c r="B4502" s="5" t="s">
        <v>24559</v>
      </c>
      <c r="C4502" s="5" t="s">
        <v>24560</v>
      </c>
      <c r="D4502" s="5" t="s">
        <v>24561</v>
      </c>
      <c r="E4502" s="6" t="s">
        <v>24</v>
      </c>
      <c r="F4502" s="6" t="s">
        <v>24562</v>
      </c>
      <c r="G4502" s="3" t="str">
        <f>IFERROR(__xludf.DUMMYFUNCTION("REGEXREPLACE(
D4502,
""([一-龯々]+)\[([^\]]+)\]"",
""&lt;ruby&gt;$1&lt;rt&gt;$2&lt;/rt&gt;&lt;/ruby&gt;""
)&amp;""&lt;br&gt;&lt;div class=""""audio""""&gt;[sound:""&amp;C4502&amp;"".mp3]&lt;/div&gt;"""),"&lt;ruby&gt;編&lt;rt&gt;あ&lt;/rt&gt;&lt;/ruby&gt;む&lt;br&gt;&lt;div class=""audio""&gt;[sound:あむ.mp3]&lt;/div&gt;")</f>
        <v>&lt;ruby&gt;編&lt;rt&gt;あ&lt;/rt&gt;&lt;/ruby&gt;む&lt;br&gt;&lt;div class="audio"&gt;[sound:あむ.mp3]&lt;/div&gt;</v>
      </c>
      <c r="H4502" s="3" t="str">
        <f t="shared" si="1"/>
        <v>(v): đan</v>
      </c>
      <c r="I4502" s="6" t="s">
        <v>24563</v>
      </c>
      <c r="J4502" s="6" t="s">
        <v>24564</v>
      </c>
      <c r="K4502" s="7">
        <f t="shared" si="2"/>
        <v>0.2747962703</v>
      </c>
    </row>
    <row r="4503">
      <c r="A4503" s="4">
        <v>4503.0</v>
      </c>
      <c r="B4503" s="5" t="s">
        <v>24565</v>
      </c>
      <c r="C4503" s="5" t="s">
        <v>24566</v>
      </c>
      <c r="D4503" s="5" t="s">
        <v>24567</v>
      </c>
      <c r="E4503" s="6" t="s">
        <v>74</v>
      </c>
      <c r="F4503" s="6" t="s">
        <v>24568</v>
      </c>
      <c r="G4503" s="3" t="str">
        <f>IFERROR(__xludf.DUMMYFUNCTION("REGEXREPLACE(
D4503,
""([一-龯々]+)\[([^\]]+)\]"",
""&lt;ruby&gt;$1&lt;rt&gt;$2&lt;/rt&gt;&lt;/ruby&gt;""
)&amp;""&lt;br&gt;&lt;div class=""""audio""""&gt;[sound:""&amp;C4503&amp;"".mp3]&lt;/div&gt;"""),"&lt;ruby&gt;蓋&lt;rt&gt;ふた&lt;/rt&gt;&lt;/ruby&gt;&lt;br&gt;&lt;div class=""audio""&gt;[sound:ふた.mp3]&lt;/div&gt;")</f>
        <v>&lt;ruby&gt;蓋&lt;rt&gt;ふた&lt;/rt&gt;&lt;/ruby&gt;&lt;br&gt;&lt;div class="audio"&gt;[sound:ふた.mp3]&lt;/div&gt;</v>
      </c>
      <c r="H4503" s="3" t="str">
        <f t="shared" si="1"/>
        <v>(n): nắp</v>
      </c>
      <c r="I4503" s="6" t="s">
        <v>24569</v>
      </c>
      <c r="J4503" s="6" t="s">
        <v>24570</v>
      </c>
      <c r="K4503" s="7">
        <f t="shared" si="2"/>
        <v>0.5386927242</v>
      </c>
    </row>
    <row r="4504">
      <c r="A4504" s="4">
        <v>4504.0</v>
      </c>
      <c r="B4504" s="5" t="s">
        <v>24571</v>
      </c>
      <c r="C4504" s="5" t="s">
        <v>20385</v>
      </c>
      <c r="D4504" s="5" t="s">
        <v>24572</v>
      </c>
      <c r="E4504" s="6" t="s">
        <v>11</v>
      </c>
      <c r="F4504" s="6" t="s">
        <v>20387</v>
      </c>
      <c r="G4504" s="3" t="str">
        <f>IFERROR(__xludf.DUMMYFUNCTION("REGEXREPLACE(
D4504,
""([一-龯々]+)\[([^\]]+)\]"",
""&lt;ruby&gt;$1&lt;rt&gt;$2&lt;/rt&gt;&lt;/ruby&gt;""
)&amp;""&lt;br&gt;&lt;div class=""""audio""""&gt;[sound:""&amp;C4504&amp;"".mp3]&lt;/div&gt;"""),"&lt;ruby&gt;軟&lt;rt&gt;やわ&lt;/rt&gt;&lt;/ruby&gt;らかい&lt;br&gt;&lt;div class=""audio""&gt;[sound:やわらかい.mp3]&lt;/div&gt;")</f>
        <v>&lt;ruby&gt;軟&lt;rt&gt;やわ&lt;/rt&gt;&lt;/ruby&gt;らかい&lt;br&gt;&lt;div class="audio"&gt;[sound:やわらかい.mp3]&lt;/div&gt;</v>
      </c>
      <c r="H4504" s="3" t="str">
        <f t="shared" si="1"/>
        <v>(adj): mềm</v>
      </c>
      <c r="I4504" s="6" t="s">
        <v>24573</v>
      </c>
      <c r="J4504" s="6" t="s">
        <v>24574</v>
      </c>
      <c r="K4504" s="7">
        <f t="shared" si="2"/>
        <v>0.904862496</v>
      </c>
    </row>
    <row r="4505">
      <c r="A4505" s="4">
        <v>4505.0</v>
      </c>
      <c r="B4505" s="5" t="s">
        <v>24575</v>
      </c>
      <c r="C4505" s="5" t="s">
        <v>24576</v>
      </c>
      <c r="D4505" s="5" t="s">
        <v>24577</v>
      </c>
      <c r="E4505" s="6" t="s">
        <v>24</v>
      </c>
      <c r="F4505" s="6" t="s">
        <v>15091</v>
      </c>
      <c r="G4505" s="3" t="str">
        <f>IFERROR(__xludf.DUMMYFUNCTION("REGEXREPLACE(
D4505,
""([一-龯々]+)\[([^\]]+)\]"",
""&lt;ruby&gt;$1&lt;rt&gt;$2&lt;/rt&gt;&lt;/ruby&gt;""
)&amp;""&lt;br&gt;&lt;div class=""""audio""""&gt;[sound:""&amp;C4505&amp;"".mp3]&lt;/div&gt;"""),"&lt;ruby&gt;足&lt;rt&gt;た&lt;/rt&gt;&lt;/ruby&gt;る&lt;br&gt;&lt;div class=""audio""&gt;[sound:たる.mp3]&lt;/div&gt;")</f>
        <v>&lt;ruby&gt;足&lt;rt&gt;た&lt;/rt&gt;&lt;/ruby&gt;る&lt;br&gt;&lt;div class="audio"&gt;[sound:たる.mp3]&lt;/div&gt;</v>
      </c>
      <c r="H4505" s="3" t="str">
        <f t="shared" si="1"/>
        <v>(v): đủ</v>
      </c>
      <c r="I4505" s="6" t="s">
        <v>24578</v>
      </c>
      <c r="J4505" s="6" t="s">
        <v>24579</v>
      </c>
      <c r="K4505" s="7">
        <f t="shared" si="2"/>
        <v>0.3840558578</v>
      </c>
    </row>
    <row r="4506">
      <c r="A4506" s="4">
        <v>4506.0</v>
      </c>
      <c r="B4506" s="5" t="s">
        <v>24580</v>
      </c>
      <c r="C4506" s="5" t="s">
        <v>24581</v>
      </c>
      <c r="D4506" s="5" t="s">
        <v>24580</v>
      </c>
      <c r="E4506" s="6" t="s">
        <v>74</v>
      </c>
      <c r="F4506" s="6" t="s">
        <v>24582</v>
      </c>
      <c r="G4506" s="3" t="str">
        <f>IFERROR(__xludf.DUMMYFUNCTION("REGEXREPLACE(
D4506,
""([一-龯々]+)\[([^\]]+)\]"",
""&lt;ruby&gt;$1&lt;rt&gt;$2&lt;/rt&gt;&lt;/ruby&gt;""
)&amp;""&lt;br&gt;&lt;div class=""""audio""""&gt;[sound:""&amp;C4506&amp;"".mp3]&lt;/div&gt;"""),"リボン&lt;br&gt;&lt;div class=""audio""&gt;[sound:りぼん.mp3]&lt;/div&gt;")</f>
        <v>リボン&lt;br&gt;&lt;div class="audio"&gt;[sound:りぼん.mp3]&lt;/div&gt;</v>
      </c>
      <c r="H4506" s="3" t="str">
        <f t="shared" si="1"/>
        <v>(n): dải ruy băng</v>
      </c>
      <c r="I4506" s="6" t="s">
        <v>24583</v>
      </c>
      <c r="J4506" s="6" t="s">
        <v>24584</v>
      </c>
      <c r="K4506" s="7">
        <f t="shared" si="2"/>
        <v>0.3571146693</v>
      </c>
    </row>
    <row r="4507">
      <c r="A4507" s="4">
        <v>4507.0</v>
      </c>
      <c r="B4507" s="5" t="s">
        <v>24585</v>
      </c>
      <c r="C4507" s="5" t="s">
        <v>21334</v>
      </c>
      <c r="D4507" s="5" t="s">
        <v>24586</v>
      </c>
      <c r="E4507" s="6" t="s">
        <v>74</v>
      </c>
      <c r="F4507" s="6" t="s">
        <v>24587</v>
      </c>
      <c r="G4507" s="3" t="str">
        <f>IFERROR(__xludf.DUMMYFUNCTION("REGEXREPLACE(
D4507,
""([一-龯々]+)\[([^\]]+)\]"",
""&lt;ruby&gt;$1&lt;rt&gt;$2&lt;/rt&gt;&lt;/ruby&gt;""
)&amp;""&lt;br&gt;&lt;div class=""""audio""""&gt;[sound:""&amp;C4507&amp;"".mp3]&lt;/div&gt;"""),"&lt;ruby&gt;現象&lt;rt&gt;げんしょう&lt;/rt&gt;&lt;/ruby&gt;&lt;br&gt;&lt;div class=""audio""&gt;[sound:げんしょう.mp3]&lt;/div&gt;")</f>
        <v>&lt;ruby&gt;現象&lt;rt&gt;げんしょう&lt;/rt&gt;&lt;/ruby&gt;&lt;br&gt;&lt;div class="audio"&gt;[sound:げんしょう.mp3]&lt;/div&gt;</v>
      </c>
      <c r="H4507" s="3" t="str">
        <f t="shared" si="1"/>
        <v>(n): hiện tượng</v>
      </c>
      <c r="I4507" s="6" t="s">
        <v>24588</v>
      </c>
      <c r="J4507" s="6" t="s">
        <v>24589</v>
      </c>
      <c r="K4507" s="7">
        <f t="shared" si="2"/>
        <v>0.9346213543</v>
      </c>
    </row>
    <row r="4508">
      <c r="A4508" s="4">
        <v>4508.0</v>
      </c>
      <c r="B4508" s="5" t="s">
        <v>24590</v>
      </c>
      <c r="C4508" s="5" t="s">
        <v>24591</v>
      </c>
      <c r="D4508" s="5" t="s">
        <v>24590</v>
      </c>
      <c r="E4508" s="6" t="s">
        <v>74</v>
      </c>
      <c r="F4508" s="6" t="s">
        <v>24592</v>
      </c>
      <c r="G4508" s="3" t="str">
        <f>IFERROR(__xludf.DUMMYFUNCTION("REGEXREPLACE(
D4508,
""([一-龯々]+)\[([^\]]+)\]"",
""&lt;ruby&gt;$1&lt;rt&gt;$2&lt;/rt&gt;&lt;/ruby&gt;""
)&amp;""&lt;br&gt;&lt;div class=""""audio""""&gt;[sound:""&amp;C4508&amp;"".mp3]&lt;/div&gt;"""),"ジーンズ&lt;br&gt;&lt;div class=""audio""&gt;[sound:じーんず.mp3]&lt;/div&gt;")</f>
        <v>ジーンズ&lt;br&gt;&lt;div class="audio"&gt;[sound:じーんず.mp3]&lt;/div&gt;</v>
      </c>
      <c r="H4508" s="3" t="str">
        <f t="shared" si="1"/>
        <v>(n): quần jean</v>
      </c>
      <c r="I4508" s="6" t="s">
        <v>24593</v>
      </c>
      <c r="J4508" s="6" t="s">
        <v>24594</v>
      </c>
      <c r="K4508" s="7">
        <f t="shared" si="2"/>
        <v>0.02326873028</v>
      </c>
    </row>
    <row r="4509">
      <c r="A4509" s="4">
        <v>4509.0</v>
      </c>
      <c r="B4509" s="5" t="s">
        <v>24595</v>
      </c>
      <c r="C4509" s="5" t="s">
        <v>24596</v>
      </c>
      <c r="D4509" s="5" t="s">
        <v>24597</v>
      </c>
      <c r="E4509" s="6" t="s">
        <v>24</v>
      </c>
      <c r="F4509" s="6" t="s">
        <v>24598</v>
      </c>
      <c r="G4509" s="3" t="str">
        <f>IFERROR(__xludf.DUMMYFUNCTION("REGEXREPLACE(
D4509,
""([一-龯々]+)\[([^\]]+)\]"",
""&lt;ruby&gt;$1&lt;rt&gt;$2&lt;/rt&gt;&lt;/ruby&gt;""
)&amp;""&lt;br&gt;&lt;div class=""""audio""""&gt;[sound:""&amp;C4509&amp;"".mp3]&lt;/div&gt;"""),"&lt;ruby&gt;入院&lt;rt&gt;にゅういん&lt;/rt&gt;&lt;/ruby&gt;&lt;br&gt;&lt;div class=""audio""&gt;[sound:にゅういん.mp3]&lt;/div&gt;")</f>
        <v>&lt;ruby&gt;入院&lt;rt&gt;にゅういん&lt;/rt&gt;&lt;/ruby&gt;&lt;br&gt;&lt;div class="audio"&gt;[sound:にゅういん.mp3]&lt;/div&gt;</v>
      </c>
      <c r="H4509" s="3" t="str">
        <f t="shared" si="1"/>
        <v>(v): nhập viện</v>
      </c>
      <c r="I4509" s="6" t="s">
        <v>24599</v>
      </c>
      <c r="J4509" s="6" t="s">
        <v>24600</v>
      </c>
      <c r="K4509" s="7">
        <f t="shared" si="2"/>
        <v>0.8532819186</v>
      </c>
    </row>
    <row r="4510">
      <c r="A4510" s="4">
        <v>4510.0</v>
      </c>
      <c r="B4510" s="5" t="s">
        <v>24601</v>
      </c>
      <c r="C4510" s="5" t="s">
        <v>5444</v>
      </c>
      <c r="D4510" s="5" t="s">
        <v>24602</v>
      </c>
      <c r="E4510" s="6" t="s">
        <v>24</v>
      </c>
      <c r="F4510" s="6" t="s">
        <v>24603</v>
      </c>
      <c r="G4510" s="3" t="str">
        <f>IFERROR(__xludf.DUMMYFUNCTION("REGEXREPLACE(
D4510,
""([一-龯々]+)\[([^\]]+)\]"",
""&lt;ruby&gt;$1&lt;rt&gt;$2&lt;/rt&gt;&lt;/ruby&gt;""
)&amp;""&lt;br&gt;&lt;div class=""""audio""""&gt;[sound:""&amp;C4510&amp;"".mp3]&lt;/div&gt;"""),"&lt;ruby&gt;写&lt;rt&gt;うつ&lt;/rt&gt;&lt;/ruby&gt;る&lt;br&gt;&lt;div class=""audio""&gt;[sound:うつる.mp3]&lt;/div&gt;")</f>
        <v>&lt;ruby&gt;写&lt;rt&gt;うつ&lt;/rt&gt;&lt;/ruby&gt;る&lt;br&gt;&lt;div class="audio"&gt;[sound:うつる.mp3]&lt;/div&gt;</v>
      </c>
      <c r="H4510" s="3" t="str">
        <f t="shared" si="1"/>
        <v>(v): được chụp</v>
      </c>
      <c r="I4510" s="6" t="s">
        <v>24604</v>
      </c>
      <c r="J4510" s="6" t="s">
        <v>24605</v>
      </c>
      <c r="K4510" s="7">
        <f t="shared" si="2"/>
        <v>0.2407723046</v>
      </c>
    </row>
    <row r="4511">
      <c r="A4511" s="4">
        <v>4511.0</v>
      </c>
      <c r="B4511" s="5" t="s">
        <v>24606</v>
      </c>
      <c r="C4511" s="5" t="s">
        <v>24607</v>
      </c>
      <c r="D4511" s="5" t="s">
        <v>24608</v>
      </c>
      <c r="E4511" s="6" t="s">
        <v>74</v>
      </c>
      <c r="F4511" s="6" t="s">
        <v>17520</v>
      </c>
      <c r="G4511" s="3" t="str">
        <f>IFERROR(__xludf.DUMMYFUNCTION("REGEXREPLACE(
D4511,
""([一-龯々]+)\[([^\]]+)\]"",
""&lt;ruby&gt;$1&lt;rt&gt;$2&lt;/rt&gt;&lt;/ruby&gt;""
)&amp;""&lt;br&gt;&lt;div class=""""audio""""&gt;[sound:""&amp;C4511&amp;"".mp3]&lt;/div&gt;"""),"&lt;ruby&gt;畑&lt;rt&gt;はたけ&lt;/rt&gt;&lt;/ruby&gt;&lt;br&gt;&lt;div class=""audio""&gt;[sound:はたけ.mp3]&lt;/div&gt;")</f>
        <v>&lt;ruby&gt;畑&lt;rt&gt;はたけ&lt;/rt&gt;&lt;/ruby&gt;&lt;br&gt;&lt;div class="audio"&gt;[sound:はたけ.mp3]&lt;/div&gt;</v>
      </c>
      <c r="H4511" s="3" t="str">
        <f t="shared" si="1"/>
        <v>(n): cánh đồng</v>
      </c>
      <c r="I4511" s="6" t="s">
        <v>24609</v>
      </c>
      <c r="J4511" s="6" t="s">
        <v>24610</v>
      </c>
      <c r="K4511" s="7">
        <f t="shared" si="2"/>
        <v>0.4237453152</v>
      </c>
    </row>
    <row r="4512">
      <c r="A4512" s="4">
        <v>4512.0</v>
      </c>
      <c r="B4512" s="5" t="s">
        <v>24611</v>
      </c>
      <c r="C4512" s="5" t="s">
        <v>24612</v>
      </c>
      <c r="D4512" s="5" t="s">
        <v>24613</v>
      </c>
      <c r="E4512" s="6" t="s">
        <v>74</v>
      </c>
      <c r="F4512" s="6" t="s">
        <v>24614</v>
      </c>
      <c r="G4512" s="3" t="str">
        <f>IFERROR(__xludf.DUMMYFUNCTION("REGEXREPLACE(
D4512,
""([一-龯々]+)\[([^\]]+)\]"",
""&lt;ruby&gt;$1&lt;rt&gt;$2&lt;/rt&gt;&lt;/ruby&gt;""
)&amp;""&lt;br&gt;&lt;div class=""""audio""""&gt;[sound:""&amp;C4512&amp;"".mp3]&lt;/div&gt;"""),"&lt;ruby&gt;踊&lt;rt&gt;おど&lt;/rt&gt;&lt;/ruby&gt;り&lt;br&gt;&lt;div class=""audio""&gt;[sound:おどり.mp3]&lt;/div&gt;")</f>
        <v>&lt;ruby&gt;踊&lt;rt&gt;おど&lt;/rt&gt;&lt;/ruby&gt;り&lt;br&gt;&lt;div class="audio"&gt;[sound:おどり.mp3]&lt;/div&gt;</v>
      </c>
      <c r="H4512" s="3" t="str">
        <f t="shared" si="1"/>
        <v>(n): điệu nhảy</v>
      </c>
      <c r="I4512" s="6" t="s">
        <v>24615</v>
      </c>
      <c r="J4512" s="6" t="s">
        <v>24616</v>
      </c>
      <c r="K4512" s="7">
        <f t="shared" si="2"/>
        <v>0.3336422263</v>
      </c>
    </row>
    <row r="4513">
      <c r="A4513" s="4">
        <v>4513.0</v>
      </c>
      <c r="B4513" s="5" t="s">
        <v>24617</v>
      </c>
      <c r="C4513" s="5" t="s">
        <v>24618</v>
      </c>
      <c r="D4513" s="5" t="s">
        <v>24619</v>
      </c>
      <c r="E4513" s="6" t="s">
        <v>74</v>
      </c>
      <c r="F4513" s="6" t="s">
        <v>24620</v>
      </c>
      <c r="G4513" s="3" t="str">
        <f>IFERROR(__xludf.DUMMYFUNCTION("REGEXREPLACE(
D4513,
""([一-龯々]+)\[([^\]]+)\]"",
""&lt;ruby&gt;$1&lt;rt&gt;$2&lt;/rt&gt;&lt;/ruby&gt;""
)&amp;""&lt;br&gt;&lt;div class=""""audio""""&gt;[sound:""&amp;C4513&amp;"".mp3]&lt;/div&gt;"""),"&lt;ruby&gt;仮名&lt;rt&gt;かな&lt;/rt&gt;&lt;/ruby&gt;&lt;br&gt;&lt;div class=""audio""&gt;[sound:かな.mp3]&lt;/div&gt;")</f>
        <v>&lt;ruby&gt;仮名&lt;rt&gt;かな&lt;/rt&gt;&lt;/ruby&gt;&lt;br&gt;&lt;div class="audio"&gt;[sound:かな.mp3]&lt;/div&gt;</v>
      </c>
      <c r="H4513" s="3" t="str">
        <f t="shared" si="1"/>
        <v>(n): chữ kana</v>
      </c>
      <c r="I4513" s="6" t="s">
        <v>24621</v>
      </c>
      <c r="J4513" s="6" t="s">
        <v>24622</v>
      </c>
      <c r="K4513" s="7">
        <f t="shared" si="2"/>
        <v>0.3495100972</v>
      </c>
    </row>
    <row r="4514">
      <c r="A4514" s="4">
        <v>4514.0</v>
      </c>
      <c r="B4514" s="5" t="s">
        <v>24623</v>
      </c>
      <c r="C4514" s="5" t="s">
        <v>24624</v>
      </c>
      <c r="D4514" s="5" t="s">
        <v>24625</v>
      </c>
      <c r="E4514" s="6" t="s">
        <v>74</v>
      </c>
      <c r="F4514" s="6" t="s">
        <v>8436</v>
      </c>
      <c r="G4514" s="3" t="str">
        <f>IFERROR(__xludf.DUMMYFUNCTION("REGEXREPLACE(
D4514,
""([一-龯々]+)\[([^\]]+)\]"",
""&lt;ruby&gt;$1&lt;rt&gt;$2&lt;/rt&gt;&lt;/ruby&gt;""
)&amp;""&lt;br&gt;&lt;div class=""""audio""""&gt;[sound:""&amp;C4514&amp;"".mp3]&lt;/div&gt;"""),"&lt;ruby&gt;狙&lt;rt&gt;ねら&lt;/rt&gt;&lt;/ruby&gt;い&lt;br&gt;&lt;div class=""audio""&gt;[sound:ねらい.mp3]&lt;/div&gt;")</f>
        <v>&lt;ruby&gt;狙&lt;rt&gt;ねら&lt;/rt&gt;&lt;/ruby&gt;い&lt;br&gt;&lt;div class="audio"&gt;[sound:ねらい.mp3]&lt;/div&gt;</v>
      </c>
      <c r="H4514" s="3" t="str">
        <f t="shared" si="1"/>
        <v>(n): mục tiêu</v>
      </c>
      <c r="I4514" s="6" t="s">
        <v>24626</v>
      </c>
      <c r="J4514" s="6" t="s">
        <v>24627</v>
      </c>
      <c r="K4514" s="7">
        <f t="shared" si="2"/>
        <v>0.396584325</v>
      </c>
    </row>
    <row r="4515">
      <c r="A4515" s="4">
        <v>4515.0</v>
      </c>
      <c r="B4515" s="5" t="s">
        <v>24628</v>
      </c>
      <c r="C4515" s="5" t="s">
        <v>24629</v>
      </c>
      <c r="D4515" s="5" t="s">
        <v>24630</v>
      </c>
      <c r="E4515" s="6" t="s">
        <v>24</v>
      </c>
      <c r="F4515" s="6" t="s">
        <v>23489</v>
      </c>
      <c r="G4515" s="3" t="str">
        <f>IFERROR(__xludf.DUMMYFUNCTION("REGEXREPLACE(
D4515,
""([一-龯々]+)\[([^\]]+)\]"",
""&lt;ruby&gt;$1&lt;rt&gt;$2&lt;/rt&gt;&lt;/ruby&gt;""
)&amp;""&lt;br&gt;&lt;div class=""""audio""""&gt;[sound:""&amp;C4515&amp;"".mp3]&lt;/div&gt;"""),"&lt;ruby&gt;発行&lt;rt&gt;はっこう&lt;/rt&gt;&lt;/ruby&gt;&lt;br&gt;&lt;div class=""audio""&gt;[sound:はっこう.mp3]&lt;/div&gt;")</f>
        <v>&lt;ruby&gt;発行&lt;rt&gt;はっこう&lt;/rt&gt;&lt;/ruby&gt;&lt;br&gt;&lt;div class="audio"&gt;[sound:はっこう.mp3]&lt;/div&gt;</v>
      </c>
      <c r="H4515" s="3" t="str">
        <f t="shared" si="1"/>
        <v>(v): xuất bản</v>
      </c>
      <c r="I4515" s="6" t="s">
        <v>24631</v>
      </c>
      <c r="J4515" s="6" t="s">
        <v>24632</v>
      </c>
      <c r="K4515" s="7">
        <f t="shared" si="2"/>
        <v>0.3685323465</v>
      </c>
    </row>
    <row r="4516">
      <c r="A4516" s="4">
        <v>4516.0</v>
      </c>
      <c r="B4516" s="5" t="s">
        <v>24633</v>
      </c>
      <c r="C4516" s="5" t="s">
        <v>24633</v>
      </c>
      <c r="D4516" s="5" t="s">
        <v>24633</v>
      </c>
      <c r="E4516" s="6" t="s">
        <v>24</v>
      </c>
      <c r="F4516" s="6" t="s">
        <v>24634</v>
      </c>
      <c r="G4516" s="3" t="str">
        <f>IFERROR(__xludf.DUMMYFUNCTION("REGEXREPLACE(
D4516,
""([一-龯々]+)\[([^\]]+)\]"",
""&lt;ruby&gt;$1&lt;rt&gt;$2&lt;/rt&gt;&lt;/ruby&gt;""
)&amp;""&lt;br&gt;&lt;div class=""""audio""""&gt;[sound:""&amp;C4516&amp;"".mp3]&lt;/div&gt;"""),"もたれる&lt;br&gt;&lt;div class=""audio""&gt;[sound:もたれる.mp3]&lt;/div&gt;")</f>
        <v>もたれる&lt;br&gt;&lt;div class="audio"&gt;[sound:もたれる.mp3]&lt;/div&gt;</v>
      </c>
      <c r="H4516" s="3" t="str">
        <f t="shared" si="1"/>
        <v>(v): dựa vào</v>
      </c>
      <c r="I4516" s="6" t="s">
        <v>24635</v>
      </c>
      <c r="J4516" s="6" t="s">
        <v>24636</v>
      </c>
      <c r="K4516" s="7">
        <f t="shared" si="2"/>
        <v>0.6142437475</v>
      </c>
    </row>
    <row r="4517">
      <c r="A4517" s="4">
        <v>4517.0</v>
      </c>
      <c r="B4517" s="5" t="s">
        <v>24637</v>
      </c>
      <c r="C4517" s="5" t="s">
        <v>24638</v>
      </c>
      <c r="D4517" s="5" t="s">
        <v>24639</v>
      </c>
      <c r="E4517" s="6" t="s">
        <v>74</v>
      </c>
      <c r="F4517" s="6" t="s">
        <v>24640</v>
      </c>
      <c r="G4517" s="3" t="str">
        <f>IFERROR(__xludf.DUMMYFUNCTION("REGEXREPLACE(
D4517,
""([一-龯々]+)\[([^\]]+)\]"",
""&lt;ruby&gt;$1&lt;rt&gt;$2&lt;/rt&gt;&lt;/ruby&gt;""
)&amp;""&lt;br&gt;&lt;div class=""""audio""""&gt;[sound:""&amp;C4517&amp;"".mp3]&lt;/div&gt;"""),"&lt;ruby&gt;途端&lt;rt&gt;とたん&lt;/rt&gt;&lt;/ruby&gt;&lt;br&gt;&lt;div class=""audio""&gt;[sound:とたん.mp3]&lt;/div&gt;")</f>
        <v>&lt;ruby&gt;途端&lt;rt&gt;とたん&lt;/rt&gt;&lt;/ruby&gt;&lt;br&gt;&lt;div class="audio"&gt;[sound:とたん.mp3]&lt;/div&gt;</v>
      </c>
      <c r="H4517" s="3" t="str">
        <f t="shared" si="1"/>
        <v>(n): ngay khi</v>
      </c>
      <c r="I4517" s="6" t="s">
        <v>24641</v>
      </c>
      <c r="J4517" s="6" t="s">
        <v>24642</v>
      </c>
      <c r="K4517" s="7">
        <f t="shared" si="2"/>
        <v>0.4596256156</v>
      </c>
    </row>
    <row r="4518">
      <c r="A4518" s="4">
        <v>4518.0</v>
      </c>
      <c r="B4518" s="5" t="s">
        <v>24643</v>
      </c>
      <c r="C4518" s="5" t="s">
        <v>24644</v>
      </c>
      <c r="D4518" s="5" t="s">
        <v>24645</v>
      </c>
      <c r="E4518" s="6" t="s">
        <v>74</v>
      </c>
      <c r="F4518" s="6" t="s">
        <v>24646</v>
      </c>
      <c r="G4518" s="3" t="str">
        <f>IFERROR(__xludf.DUMMYFUNCTION("REGEXREPLACE(
D4518,
""([一-龯々]+)\[([^\]]+)\]"",
""&lt;ruby&gt;$1&lt;rt&gt;$2&lt;/rt&gt;&lt;/ruby&gt;""
)&amp;""&lt;br&gt;&lt;div class=""""audio""""&gt;[sound:""&amp;C4518&amp;"".mp3]&lt;/div&gt;"""),"&lt;ruby&gt;過半数&lt;rt&gt;かはんすう&lt;/rt&gt;&lt;/ruby&gt;&lt;br&gt;&lt;div class=""audio""&gt;[sound:かはんすう.mp3]&lt;/div&gt;")</f>
        <v>&lt;ruby&gt;過半数&lt;rt&gt;かはんすう&lt;/rt&gt;&lt;/ruby&gt;&lt;br&gt;&lt;div class="audio"&gt;[sound:かはんすう.mp3]&lt;/div&gt;</v>
      </c>
      <c r="H4518" s="3" t="str">
        <f t="shared" si="1"/>
        <v>(n): quá bán</v>
      </c>
      <c r="I4518" s="6" t="s">
        <v>24647</v>
      </c>
      <c r="J4518" s="6" t="s">
        <v>24648</v>
      </c>
      <c r="K4518" s="7">
        <f t="shared" si="2"/>
        <v>0.7681100634</v>
      </c>
    </row>
    <row r="4519">
      <c r="A4519" s="4">
        <v>4519.0</v>
      </c>
      <c r="B4519" s="5" t="s">
        <v>24649</v>
      </c>
      <c r="C4519" s="5" t="s">
        <v>24650</v>
      </c>
      <c r="D4519" s="5" t="s">
        <v>24651</v>
      </c>
      <c r="E4519" s="6" t="s">
        <v>85</v>
      </c>
      <c r="F4519" s="6" t="s">
        <v>24652</v>
      </c>
      <c r="G4519" s="3" t="str">
        <f>IFERROR(__xludf.DUMMYFUNCTION("REGEXREPLACE(
D4519,
""([一-龯々]+)\[([^\]]+)\]"",
""&lt;ruby&gt;$1&lt;rt&gt;$2&lt;/rt&gt;&lt;/ruby&gt;""
)&amp;""&lt;br&gt;&lt;div class=""""audio""""&gt;[sound:""&amp;C4519&amp;"".mp3]&lt;/div&gt;"""),"&lt;ruby&gt;所々&lt;rt&gt;ところどころ&lt;/rt&gt;&lt;/ruby&gt;&lt;br&gt;&lt;div class=""audio""&gt;[sound:ところどころ.mp3]&lt;/div&gt;")</f>
        <v>&lt;ruby&gt;所々&lt;rt&gt;ところどころ&lt;/rt&gt;&lt;/ruby&gt;&lt;br&gt;&lt;div class="audio"&gt;[sound:ところどころ.mp3]&lt;/div&gt;</v>
      </c>
      <c r="H4519" s="3" t="str">
        <f t="shared" si="1"/>
        <v>(adv): đây đó</v>
      </c>
      <c r="I4519" s="6" t="s">
        <v>24653</v>
      </c>
      <c r="J4519" s="6" t="s">
        <v>24654</v>
      </c>
      <c r="K4519" s="7">
        <f t="shared" si="2"/>
        <v>0.1176744535</v>
      </c>
    </row>
    <row r="4520">
      <c r="A4520" s="4">
        <v>4520.0</v>
      </c>
      <c r="B4520" s="5" t="s">
        <v>24655</v>
      </c>
      <c r="C4520" s="5" t="s">
        <v>24656</v>
      </c>
      <c r="D4520" s="5" t="s">
        <v>24657</v>
      </c>
      <c r="E4520" s="6" t="s">
        <v>24</v>
      </c>
      <c r="F4520" s="6" t="s">
        <v>24658</v>
      </c>
      <c r="G4520" s="3" t="str">
        <f>IFERROR(__xludf.DUMMYFUNCTION("REGEXREPLACE(
D4520,
""([一-龯々]+)\[([^\]]+)\]"",
""&lt;ruby&gt;$1&lt;rt&gt;$2&lt;/rt&gt;&lt;/ruby&gt;""
)&amp;""&lt;br&gt;&lt;div class=""""audio""""&gt;[sound:""&amp;C4520&amp;"".mp3]&lt;/div&gt;"""),"&lt;ruby&gt;通&lt;rt&gt;とお&lt;/rt&gt;&lt;/ruby&gt;り&lt;ruby&gt;過&lt;rt&gt;す&lt;/rt&gt;&lt;/ruby&gt;ぎる&lt;br&gt;&lt;div class=""audio""&gt;[sound:とおりすぎる.mp3]&lt;/div&gt;")</f>
        <v>&lt;ruby&gt;通&lt;rt&gt;とお&lt;/rt&gt;&lt;/ruby&gt;り&lt;ruby&gt;過&lt;rt&gt;す&lt;/rt&gt;&lt;/ruby&gt;ぎる&lt;br&gt;&lt;div class="audio"&gt;[sound:とおりすぎる.mp3]&lt;/div&gt;</v>
      </c>
      <c r="H4520" s="3" t="str">
        <f t="shared" si="1"/>
        <v>(v): đi quá</v>
      </c>
      <c r="I4520" s="6" t="s">
        <v>24659</v>
      </c>
      <c r="J4520" s="6" t="s">
        <v>24660</v>
      </c>
      <c r="K4520" s="7">
        <f t="shared" si="2"/>
        <v>0.8508323892</v>
      </c>
    </row>
    <row r="4521">
      <c r="A4521" s="4">
        <v>4521.0</v>
      </c>
      <c r="B4521" s="5" t="s">
        <v>24661</v>
      </c>
      <c r="C4521" s="5" t="s">
        <v>24662</v>
      </c>
      <c r="D4521" s="5" t="s">
        <v>24663</v>
      </c>
      <c r="E4521" s="6" t="s">
        <v>74</v>
      </c>
      <c r="F4521" s="6" t="s">
        <v>24664</v>
      </c>
      <c r="G4521" s="3" t="str">
        <f>IFERROR(__xludf.DUMMYFUNCTION("REGEXREPLACE(
D4521,
""([一-龯々]+)\[([^\]]+)\]"",
""&lt;ruby&gt;$1&lt;rt&gt;$2&lt;/rt&gt;&lt;/ruby&gt;""
)&amp;""&lt;br&gt;&lt;div class=""""audio""""&gt;[sound:""&amp;C4521&amp;"".mp3]&lt;/div&gt;"""),"&lt;ruby&gt;通路&lt;rt&gt;つうろ&lt;/rt&gt;&lt;/ruby&gt;&lt;br&gt;&lt;div class=""audio""&gt;[sound:つうろ.mp3]&lt;/div&gt;")</f>
        <v>&lt;ruby&gt;通路&lt;rt&gt;つうろ&lt;/rt&gt;&lt;/ruby&gt;&lt;br&gt;&lt;div class="audio"&gt;[sound:つうろ.mp3]&lt;/div&gt;</v>
      </c>
      <c r="H4521" s="3" t="str">
        <f t="shared" si="1"/>
        <v>(n): lối đi</v>
      </c>
      <c r="I4521" s="6" t="s">
        <v>24665</v>
      </c>
      <c r="J4521" s="6" t="s">
        <v>24666</v>
      </c>
      <c r="K4521" s="7">
        <f t="shared" si="2"/>
        <v>0.345324407</v>
      </c>
    </row>
    <row r="4522">
      <c r="A4522" s="4">
        <v>4522.0</v>
      </c>
      <c r="B4522" s="5" t="s">
        <v>24667</v>
      </c>
      <c r="C4522" s="5" t="s">
        <v>24668</v>
      </c>
      <c r="D4522" s="5" t="s">
        <v>24667</v>
      </c>
      <c r="E4522" s="6" t="s">
        <v>74</v>
      </c>
      <c r="F4522" s="6" t="s">
        <v>24669</v>
      </c>
      <c r="G4522" s="3" t="str">
        <f>IFERROR(__xludf.DUMMYFUNCTION("REGEXREPLACE(
D4522,
""([一-龯々]+)\[([^\]]+)\]"",
""&lt;ruby&gt;$1&lt;rt&gt;$2&lt;/rt&gt;&lt;/ruby&gt;""
)&amp;""&lt;br&gt;&lt;div class=""""audio""""&gt;[sound:""&amp;C4522&amp;"".mp3]&lt;/div&gt;"""),"コンセント&lt;br&gt;&lt;div class=""audio""&gt;[sound:こんせんと.mp3]&lt;/div&gt;")</f>
        <v>コンセント&lt;br&gt;&lt;div class="audio"&gt;[sound:こんせんと.mp3]&lt;/div&gt;</v>
      </c>
      <c r="H4522" s="3" t="str">
        <f t="shared" si="1"/>
        <v>(n): ổ cắm</v>
      </c>
      <c r="I4522" s="6" t="s">
        <v>24670</v>
      </c>
      <c r="J4522" s="6" t="s">
        <v>24671</v>
      </c>
      <c r="K4522" s="7">
        <f t="shared" si="2"/>
        <v>0.3082439253</v>
      </c>
    </row>
    <row r="4523">
      <c r="A4523" s="4">
        <v>4523.0</v>
      </c>
      <c r="B4523" s="5" t="s">
        <v>24672</v>
      </c>
      <c r="C4523" s="5" t="s">
        <v>24672</v>
      </c>
      <c r="D4523" s="5" t="s">
        <v>24672</v>
      </c>
      <c r="E4523" s="6" t="s">
        <v>74</v>
      </c>
      <c r="F4523" s="6" t="s">
        <v>24673</v>
      </c>
      <c r="G4523" s="3" t="str">
        <f>IFERROR(__xludf.DUMMYFUNCTION("REGEXREPLACE(
D4523,
""([一-龯々]+)\[([^\]]+)\]"",
""&lt;ruby&gt;$1&lt;rt&gt;$2&lt;/rt&gt;&lt;/ruby&gt;""
)&amp;""&lt;br&gt;&lt;div class=""""audio""""&gt;[sound:""&amp;C4523&amp;"".mp3]&lt;/div&gt;"""),"ばね&lt;br&gt;&lt;div class=""audio""&gt;[sound:ばね.mp3]&lt;/div&gt;")</f>
        <v>ばね&lt;br&gt;&lt;div class="audio"&gt;[sound:ばね.mp3]&lt;/div&gt;</v>
      </c>
      <c r="H4523" s="3" t="str">
        <f t="shared" si="1"/>
        <v>(n): lò xo</v>
      </c>
      <c r="I4523" s="6" t="s">
        <v>24674</v>
      </c>
      <c r="J4523" s="6" t="s">
        <v>24675</v>
      </c>
      <c r="K4523" s="7">
        <f t="shared" si="2"/>
        <v>0.4585058296</v>
      </c>
    </row>
    <row r="4524">
      <c r="A4524" s="4">
        <v>4524.0</v>
      </c>
      <c r="B4524" s="5" t="s">
        <v>24676</v>
      </c>
      <c r="C4524" s="5" t="s">
        <v>24676</v>
      </c>
      <c r="D4524" s="5" t="s">
        <v>24676</v>
      </c>
      <c r="E4524" s="6" t="s">
        <v>11</v>
      </c>
      <c r="F4524" s="6" t="s">
        <v>4036</v>
      </c>
      <c r="G4524" s="3" t="str">
        <f>IFERROR(__xludf.DUMMYFUNCTION("REGEXREPLACE(
D4524,
""([一-龯々]+)\[([^\]]+)\]"",
""&lt;ruby&gt;$1&lt;rt&gt;$2&lt;/rt&gt;&lt;/ruby&gt;""
)&amp;""&lt;br&gt;&lt;div class=""""audio""""&gt;[sound:""&amp;C4524&amp;"".mp3]&lt;/div&gt;"""),"やかましい&lt;br&gt;&lt;div class=""audio""&gt;[sound:やかましい.mp3]&lt;/div&gt;")</f>
        <v>やかましい&lt;br&gt;&lt;div class="audio"&gt;[sound:やかましい.mp3]&lt;/div&gt;</v>
      </c>
      <c r="H4524" s="3" t="str">
        <f t="shared" si="1"/>
        <v>(adj): ồn ào</v>
      </c>
      <c r="I4524" s="6" t="s">
        <v>24677</v>
      </c>
      <c r="J4524" s="6" t="s">
        <v>24678</v>
      </c>
      <c r="K4524" s="7">
        <f t="shared" si="2"/>
        <v>0.868134286</v>
      </c>
    </row>
    <row r="4525">
      <c r="A4525" s="4">
        <v>4525.0</v>
      </c>
      <c r="B4525" s="5" t="s">
        <v>24679</v>
      </c>
      <c r="C4525" s="5" t="s">
        <v>24680</v>
      </c>
      <c r="D4525" s="5" t="s">
        <v>24681</v>
      </c>
      <c r="E4525" s="6" t="s">
        <v>74</v>
      </c>
      <c r="F4525" s="6" t="s">
        <v>24682</v>
      </c>
      <c r="G4525" s="3" t="str">
        <f>IFERROR(__xludf.DUMMYFUNCTION("REGEXREPLACE(
D4525,
""([一-龯々]+)\[([^\]]+)\]"",
""&lt;ruby&gt;$1&lt;rt&gt;$2&lt;/rt&gt;&lt;/ruby&gt;""
)&amp;""&lt;br&gt;&lt;div class=""""audio""""&gt;[sound:""&amp;C4525&amp;"".mp3]&lt;/div&gt;"""),"&lt;ruby&gt;医学&lt;rt&gt;いがく&lt;/rt&gt;&lt;/ruby&gt;&lt;br&gt;&lt;div class=""audio""&gt;[sound:いがく.mp3]&lt;/div&gt;")</f>
        <v>&lt;ruby&gt;医学&lt;rt&gt;いがく&lt;/rt&gt;&lt;/ruby&gt;&lt;br&gt;&lt;div class="audio"&gt;[sound:いがく.mp3]&lt;/div&gt;</v>
      </c>
      <c r="H4525" s="3" t="str">
        <f t="shared" si="1"/>
        <v>(n): y học</v>
      </c>
      <c r="I4525" s="6" t="s">
        <v>24683</v>
      </c>
      <c r="J4525" s="6" t="s">
        <v>24684</v>
      </c>
      <c r="K4525" s="7">
        <f t="shared" si="2"/>
        <v>0.04465470824</v>
      </c>
    </row>
    <row r="4526">
      <c r="A4526" s="4">
        <v>4526.0</v>
      </c>
      <c r="B4526" s="5" t="s">
        <v>24685</v>
      </c>
      <c r="C4526" s="5" t="s">
        <v>24686</v>
      </c>
      <c r="D4526" s="5" t="s">
        <v>24687</v>
      </c>
      <c r="E4526" s="6" t="s">
        <v>74</v>
      </c>
      <c r="F4526" s="6" t="s">
        <v>24688</v>
      </c>
      <c r="G4526" s="3" t="str">
        <f>IFERROR(__xludf.DUMMYFUNCTION("REGEXREPLACE(
D4526,
""([一-龯々]+)\[([^\]]+)\]"",
""&lt;ruby&gt;$1&lt;rt&gt;$2&lt;/rt&gt;&lt;/ruby&gt;""
)&amp;""&lt;br&gt;&lt;div class=""""audio""""&gt;[sound:""&amp;C4526&amp;"".mp3]&lt;/div&gt;"""),"&lt;ruby&gt;謎&lt;rt&gt;なぞ&lt;/rt&gt;&lt;/ruby&gt;&lt;br&gt;&lt;div class=""audio""&gt;[sound:なぞ.mp3]&lt;/div&gt;")</f>
        <v>&lt;ruby&gt;謎&lt;rt&gt;なぞ&lt;/rt&gt;&lt;/ruby&gt;&lt;br&gt;&lt;div class="audio"&gt;[sound:なぞ.mp3]&lt;/div&gt;</v>
      </c>
      <c r="H4526" s="3" t="str">
        <f t="shared" si="1"/>
        <v>(n): bí ẩn</v>
      </c>
      <c r="I4526" s="6" t="s">
        <v>24689</v>
      </c>
      <c r="J4526" s="6" t="s">
        <v>24690</v>
      </c>
      <c r="K4526" s="7">
        <f t="shared" si="2"/>
        <v>0.5247528521</v>
      </c>
    </row>
    <row r="4527">
      <c r="A4527" s="4">
        <v>4527.0</v>
      </c>
      <c r="B4527" s="5" t="s">
        <v>24691</v>
      </c>
      <c r="C4527" s="5" t="s">
        <v>24692</v>
      </c>
      <c r="D4527" s="5" t="s">
        <v>24693</v>
      </c>
      <c r="E4527" s="6" t="s">
        <v>74</v>
      </c>
      <c r="F4527" s="6" t="s">
        <v>572</v>
      </c>
      <c r="G4527" s="3" t="str">
        <f>IFERROR(__xludf.DUMMYFUNCTION("REGEXREPLACE(
D4527,
""([一-龯々]+)\[([^\]]+)\]"",
""&lt;ruby&gt;$1&lt;rt&gt;$2&lt;/rt&gt;&lt;/ruby&gt;""
)&amp;""&lt;br&gt;&lt;div class=""""audio""""&gt;[sound:""&amp;C4527&amp;"".mp3]&lt;/div&gt;"""),"&lt;ruby&gt;図書&lt;rt&gt;としょ&lt;/rt&gt;&lt;/ruby&gt;&lt;br&gt;&lt;div class=""audio""&gt;[sound:としょ.mp3]&lt;/div&gt;")</f>
        <v>&lt;ruby&gt;図書&lt;rt&gt;としょ&lt;/rt&gt;&lt;/ruby&gt;&lt;br&gt;&lt;div class="audio"&gt;[sound:としょ.mp3]&lt;/div&gt;</v>
      </c>
      <c r="H4527" s="3" t="str">
        <f t="shared" si="1"/>
        <v>(n): sách</v>
      </c>
      <c r="I4527" s="6" t="s">
        <v>24694</v>
      </c>
      <c r="J4527" s="6" t="s">
        <v>8970</v>
      </c>
      <c r="K4527" s="7">
        <f t="shared" si="2"/>
        <v>0.9116269398</v>
      </c>
    </row>
    <row r="4528">
      <c r="A4528" s="4">
        <v>4528.0</v>
      </c>
      <c r="B4528" s="5" t="s">
        <v>24695</v>
      </c>
      <c r="C4528" s="5" t="s">
        <v>24695</v>
      </c>
      <c r="D4528" s="5" t="s">
        <v>24695</v>
      </c>
      <c r="E4528" s="6" t="s">
        <v>24</v>
      </c>
      <c r="F4528" s="6" t="s">
        <v>21789</v>
      </c>
      <c r="G4528" s="3" t="str">
        <f>IFERROR(__xludf.DUMMYFUNCTION("REGEXREPLACE(
D4528,
""([一-龯々]+)\[([^\]]+)\]"",
""&lt;ruby&gt;$1&lt;rt&gt;$2&lt;/rt&gt;&lt;/ruby&gt;""
)&amp;""&lt;br&gt;&lt;div class=""""audio""""&gt;[sound:""&amp;C4528&amp;"".mp3]&lt;/div&gt;"""),"くるむ&lt;br&gt;&lt;div class=""audio""&gt;[sound:くるむ.mp3]&lt;/div&gt;")</f>
        <v>くるむ&lt;br&gt;&lt;div class="audio"&gt;[sound:くるむ.mp3]&lt;/div&gt;</v>
      </c>
      <c r="H4528" s="3" t="str">
        <f t="shared" si="1"/>
        <v>(v): gói</v>
      </c>
      <c r="I4528" s="6" t="s">
        <v>24696</v>
      </c>
      <c r="J4528" s="6" t="s">
        <v>24697</v>
      </c>
      <c r="K4528" s="7">
        <f t="shared" si="2"/>
        <v>0.4403045863</v>
      </c>
    </row>
    <row r="4529">
      <c r="A4529" s="4">
        <v>4529.0</v>
      </c>
      <c r="B4529" s="5" t="s">
        <v>24698</v>
      </c>
      <c r="C4529" s="5" t="s">
        <v>24699</v>
      </c>
      <c r="D4529" s="5" t="s">
        <v>24700</v>
      </c>
      <c r="E4529" s="6" t="s">
        <v>74</v>
      </c>
      <c r="F4529" s="6" t="s">
        <v>24701</v>
      </c>
      <c r="G4529" s="3" t="str">
        <f>IFERROR(__xludf.DUMMYFUNCTION("REGEXREPLACE(
D4529,
""([一-龯々]+)\[([^\]]+)\]"",
""&lt;ruby&gt;$1&lt;rt&gt;$2&lt;/rt&gt;&lt;/ruby&gt;""
)&amp;""&lt;br&gt;&lt;div class=""""audio""""&gt;[sound:""&amp;C4529&amp;"".mp3]&lt;/div&gt;"""),"&lt;ruby&gt;匂&lt;rt&gt;にお&lt;/rt&gt;&lt;/ruby&gt;い&lt;br&gt;&lt;div class=""audio""&gt;[sound:におい.mp3]&lt;/div&gt;")</f>
        <v>&lt;ruby&gt;匂&lt;rt&gt;にお&lt;/rt&gt;&lt;/ruby&gt;い&lt;br&gt;&lt;div class="audio"&gt;[sound:におい.mp3]&lt;/div&gt;</v>
      </c>
      <c r="H4529" s="3" t="str">
        <f t="shared" si="1"/>
        <v>(n): mùi</v>
      </c>
      <c r="I4529" s="6" t="s">
        <v>24702</v>
      </c>
      <c r="J4529" s="6" t="s">
        <v>24703</v>
      </c>
      <c r="K4529" s="7">
        <f t="shared" si="2"/>
        <v>0.2910116183</v>
      </c>
    </row>
    <row r="4530">
      <c r="A4530" s="4">
        <v>4530.0</v>
      </c>
      <c r="B4530" s="5" t="s">
        <v>24704</v>
      </c>
      <c r="C4530" s="5" t="s">
        <v>24705</v>
      </c>
      <c r="D4530" s="5" t="s">
        <v>24706</v>
      </c>
      <c r="E4530" s="6" t="s">
        <v>24</v>
      </c>
      <c r="F4530" s="6" t="s">
        <v>24707</v>
      </c>
      <c r="G4530" s="3" t="str">
        <f>IFERROR(__xludf.DUMMYFUNCTION("REGEXREPLACE(
D4530,
""([一-龯々]+)\[([^\]]+)\]"",
""&lt;ruby&gt;$1&lt;rt&gt;$2&lt;/rt&gt;&lt;/ruby&gt;""
)&amp;""&lt;br&gt;&lt;div class=""""audio""""&gt;[sound:""&amp;C4530&amp;"".mp3]&lt;/div&gt;"""),"&lt;ruby&gt;予習&lt;rt&gt;よしゅう&lt;/rt&gt;&lt;/ruby&gt;&lt;br&gt;&lt;div class=""audio""&gt;[sound:よしゅう.mp3]&lt;/div&gt;")</f>
        <v>&lt;ruby&gt;予習&lt;rt&gt;よしゅう&lt;/rt&gt;&lt;/ruby&gt;&lt;br&gt;&lt;div class="audio"&gt;[sound:よしゅう.mp3]&lt;/div&gt;</v>
      </c>
      <c r="H4530" s="3" t="str">
        <f t="shared" si="1"/>
        <v>(v): chuẩn bị bài</v>
      </c>
      <c r="I4530" s="6" t="s">
        <v>24708</v>
      </c>
      <c r="J4530" s="6" t="s">
        <v>24709</v>
      </c>
      <c r="K4530" s="7">
        <f t="shared" si="2"/>
        <v>0.03857480445</v>
      </c>
    </row>
    <row r="4531">
      <c r="A4531" s="4">
        <v>4531.0</v>
      </c>
      <c r="B4531" s="5" t="s">
        <v>24710</v>
      </c>
      <c r="C4531" s="5" t="s">
        <v>24711</v>
      </c>
      <c r="D4531" s="5" t="s">
        <v>24712</v>
      </c>
      <c r="E4531" s="6" t="s">
        <v>24</v>
      </c>
      <c r="F4531" s="6" t="s">
        <v>24713</v>
      </c>
      <c r="G4531" s="3" t="str">
        <f>IFERROR(__xludf.DUMMYFUNCTION("REGEXREPLACE(
D4531,
""([一-龯々]+)\[([^\]]+)\]"",
""&lt;ruby&gt;$1&lt;rt&gt;$2&lt;/rt&gt;&lt;/ruby&gt;""
)&amp;""&lt;br&gt;&lt;div class=""""audio""""&gt;[sound:""&amp;C4531&amp;"".mp3]&lt;/div&gt;"""),"&lt;ruby&gt;払&lt;rt&gt;はら&lt;/rt&gt;&lt;/ruby&gt;い&lt;ruby&gt;戻&lt;rt&gt;もど&lt;/rt&gt;&lt;/ruby&gt;す&lt;br&gt;&lt;div class=""audio""&gt;[sound:はらいもどす.mp3]&lt;/div&gt;")</f>
        <v>&lt;ruby&gt;払&lt;rt&gt;はら&lt;/rt&gt;&lt;/ruby&gt;い&lt;ruby&gt;戻&lt;rt&gt;もど&lt;/rt&gt;&lt;/ruby&gt;す&lt;br&gt;&lt;div class="audio"&gt;[sound:はらいもどす.mp3]&lt;/div&gt;</v>
      </c>
      <c r="H4531" s="3" t="str">
        <f t="shared" si="1"/>
        <v>(v): hoàn tiền</v>
      </c>
      <c r="I4531" s="6" t="s">
        <v>24714</v>
      </c>
      <c r="J4531" s="6" t="s">
        <v>24715</v>
      </c>
      <c r="K4531" s="7">
        <f t="shared" si="2"/>
        <v>0.0339026643</v>
      </c>
    </row>
    <row r="4532">
      <c r="A4532" s="4">
        <v>4532.0</v>
      </c>
      <c r="B4532" s="5" t="s">
        <v>24716</v>
      </c>
      <c r="C4532" s="5" t="s">
        <v>24717</v>
      </c>
      <c r="D4532" s="5" t="s">
        <v>24716</v>
      </c>
      <c r="E4532" s="6" t="s">
        <v>74</v>
      </c>
      <c r="F4532" s="6" t="s">
        <v>24718</v>
      </c>
      <c r="G4532" s="3" t="str">
        <f>IFERROR(__xludf.DUMMYFUNCTION("REGEXREPLACE(
D4532,
""([一-龯々]+)\[([^\]]+)\]"",
""&lt;ruby&gt;$1&lt;rt&gt;$2&lt;/rt&gt;&lt;/ruby&gt;""
)&amp;""&lt;br&gt;&lt;div class=""""audio""""&gt;[sound:""&amp;C4532&amp;"".mp3]&lt;/div&gt;"""),"チップ&lt;br&gt;&lt;div class=""audio""&gt;[sound:ちっぷ.mp3]&lt;/div&gt;")</f>
        <v>チップ&lt;br&gt;&lt;div class="audio"&gt;[sound:ちっぷ.mp3]&lt;/div&gt;</v>
      </c>
      <c r="H4532" s="3" t="str">
        <f t="shared" si="1"/>
        <v>(n): tiền boa</v>
      </c>
      <c r="I4532" s="6" t="s">
        <v>24719</v>
      </c>
      <c r="J4532" s="6" t="s">
        <v>24720</v>
      </c>
      <c r="K4532" s="7">
        <f t="shared" si="2"/>
        <v>0.7186704481</v>
      </c>
    </row>
    <row r="4533">
      <c r="A4533" s="4">
        <v>4533.0</v>
      </c>
      <c r="B4533" s="5" t="s">
        <v>24721</v>
      </c>
      <c r="C4533" s="5" t="s">
        <v>24722</v>
      </c>
      <c r="D4533" s="5" t="s">
        <v>24721</v>
      </c>
      <c r="E4533" s="6" t="s">
        <v>74</v>
      </c>
      <c r="F4533" s="6" t="s">
        <v>24723</v>
      </c>
      <c r="G4533" s="3" t="str">
        <f>IFERROR(__xludf.DUMMYFUNCTION("REGEXREPLACE(
D4533,
""([一-龯々]+)\[([^\]]+)\]"",
""&lt;ruby&gt;$1&lt;rt&gt;$2&lt;/rt&gt;&lt;/ruby&gt;""
)&amp;""&lt;br&gt;&lt;div class=""""audio""""&gt;[sound:""&amp;C4533&amp;"".mp3]&lt;/div&gt;"""),"ラベル&lt;br&gt;&lt;div class=""audio""&gt;[sound:らべる.mp3]&lt;/div&gt;")</f>
        <v>ラベル&lt;br&gt;&lt;div class="audio"&gt;[sound:らべる.mp3]&lt;/div&gt;</v>
      </c>
      <c r="H4533" s="3" t="str">
        <f t="shared" si="1"/>
        <v>(n): nhãn dán</v>
      </c>
      <c r="I4533" s="6" t="s">
        <v>24724</v>
      </c>
      <c r="J4533" s="6" t="s">
        <v>24725</v>
      </c>
      <c r="K4533" s="7">
        <f t="shared" si="2"/>
        <v>0.8853821261</v>
      </c>
    </row>
    <row r="4534">
      <c r="A4534" s="4">
        <v>4534.0</v>
      </c>
      <c r="B4534" s="5" t="s">
        <v>24726</v>
      </c>
      <c r="C4534" s="5" t="s">
        <v>14581</v>
      </c>
      <c r="D4534" s="5" t="s">
        <v>24727</v>
      </c>
      <c r="E4534" s="6" t="s">
        <v>74</v>
      </c>
      <c r="F4534" s="6" t="s">
        <v>3522</v>
      </c>
      <c r="G4534" s="3" t="str">
        <f>IFERROR(__xludf.DUMMYFUNCTION("REGEXREPLACE(
D4534,
""([一-龯々]+)\[([^\]]+)\]"",
""&lt;ruby&gt;$1&lt;rt&gt;$2&lt;/rt&gt;&lt;/ruby&gt;""
)&amp;""&lt;br&gt;&lt;div class=""""audio""""&gt;[sound:""&amp;C4534&amp;"".mp3]&lt;/div&gt;"""),"&lt;ruby&gt;中味&lt;rt&gt;なかみ&lt;/rt&gt;&lt;/ruby&gt;&lt;br&gt;&lt;div class=""audio""&gt;[sound:なかみ.mp3]&lt;/div&gt;")</f>
        <v>&lt;ruby&gt;中味&lt;rt&gt;なかみ&lt;/rt&gt;&lt;/ruby&gt;&lt;br&gt;&lt;div class="audio"&gt;[sound:なかみ.mp3]&lt;/div&gt;</v>
      </c>
      <c r="H4534" s="3" t="str">
        <f t="shared" si="1"/>
        <v>(n): nội dung</v>
      </c>
      <c r="I4534" s="6" t="s">
        <v>24728</v>
      </c>
      <c r="J4534" s="6" t="s">
        <v>24729</v>
      </c>
      <c r="K4534" s="7">
        <f t="shared" si="2"/>
        <v>0.554200828</v>
      </c>
    </row>
    <row r="4535">
      <c r="A4535" s="4">
        <v>4535.0</v>
      </c>
      <c r="B4535" s="5" t="s">
        <v>24730</v>
      </c>
      <c r="C4535" s="5" t="s">
        <v>24731</v>
      </c>
      <c r="D4535" s="5" t="s">
        <v>24732</v>
      </c>
      <c r="E4535" s="6" t="s">
        <v>74</v>
      </c>
      <c r="F4535" s="6" t="s">
        <v>24733</v>
      </c>
      <c r="G4535" s="3" t="str">
        <f>IFERROR(__xludf.DUMMYFUNCTION("REGEXREPLACE(
D4535,
""([一-龯々]+)\[([^\]]+)\]"",
""&lt;ruby&gt;$1&lt;rt&gt;$2&lt;/rt&gt;&lt;/ruby&gt;""
)&amp;""&lt;br&gt;&lt;div class=""""audio""""&gt;[sound:""&amp;C4535&amp;"".mp3]&lt;/div&gt;"""),"&lt;ruby&gt;手袋&lt;rt&gt;てぶくろ&lt;/rt&gt;&lt;/ruby&gt;&lt;br&gt;&lt;div class=""audio""&gt;[sound:てぶくろ.mp3]&lt;/div&gt;")</f>
        <v>&lt;ruby&gt;手袋&lt;rt&gt;てぶくろ&lt;/rt&gt;&lt;/ruby&gt;&lt;br&gt;&lt;div class="audio"&gt;[sound:てぶくろ.mp3]&lt;/div&gt;</v>
      </c>
      <c r="H4535" s="3" t="str">
        <f t="shared" si="1"/>
        <v>(n): găng tay</v>
      </c>
      <c r="I4535" s="6" t="s">
        <v>24734</v>
      </c>
      <c r="J4535" s="6" t="s">
        <v>24735</v>
      </c>
      <c r="K4535" s="7">
        <f t="shared" si="2"/>
        <v>0.9243233076</v>
      </c>
    </row>
    <row r="4536">
      <c r="A4536" s="4">
        <v>4536.0</v>
      </c>
      <c r="B4536" s="5" t="s">
        <v>24736</v>
      </c>
      <c r="C4536" s="5" t="s">
        <v>24737</v>
      </c>
      <c r="D4536" s="5" t="s">
        <v>24738</v>
      </c>
      <c r="E4536" s="6" t="s">
        <v>74</v>
      </c>
      <c r="F4536" s="6" t="s">
        <v>7956</v>
      </c>
      <c r="G4536" s="3" t="str">
        <f>IFERROR(__xludf.DUMMYFUNCTION("REGEXREPLACE(
D4536,
""([一-龯々]+)\[([^\]]+)\]"",
""&lt;ruby&gt;$1&lt;rt&gt;$2&lt;/rt&gt;&lt;/ruby&gt;""
)&amp;""&lt;br&gt;&lt;div class=""""audio""""&gt;[sound:""&amp;C4536&amp;"".mp3]&lt;/div&gt;"""),"&lt;ruby&gt;警官&lt;rt&gt;けいかん&lt;/rt&gt;&lt;/ruby&gt;&lt;br&gt;&lt;div class=""audio""&gt;[sound:けいかん.mp3]&lt;/div&gt;")</f>
        <v>&lt;ruby&gt;警官&lt;rt&gt;けいかん&lt;/rt&gt;&lt;/ruby&gt;&lt;br&gt;&lt;div class="audio"&gt;[sound:けいかん.mp3]&lt;/div&gt;</v>
      </c>
      <c r="H4536" s="3" t="str">
        <f t="shared" si="1"/>
        <v>(n): cảnh sát</v>
      </c>
      <c r="I4536" s="6" t="s">
        <v>24739</v>
      </c>
      <c r="J4536" s="6" t="s">
        <v>24740</v>
      </c>
      <c r="K4536" s="7">
        <f t="shared" si="2"/>
        <v>0.28867486</v>
      </c>
    </row>
    <row r="4537">
      <c r="A4537" s="4">
        <v>4537.0</v>
      </c>
      <c r="B4537" s="5" t="s">
        <v>24741</v>
      </c>
      <c r="C4537" s="5" t="s">
        <v>24742</v>
      </c>
      <c r="D4537" s="5" t="s">
        <v>24743</v>
      </c>
      <c r="E4537" s="6" t="s">
        <v>74</v>
      </c>
      <c r="F4537" s="6" t="s">
        <v>24369</v>
      </c>
      <c r="G4537" s="3" t="str">
        <f>IFERROR(__xludf.DUMMYFUNCTION("REGEXREPLACE(
D4537,
""([一-龯々]+)\[([^\]]+)\]"",
""&lt;ruby&gt;$1&lt;rt&gt;$2&lt;/rt&gt;&lt;/ruby&gt;""
)&amp;""&lt;br&gt;&lt;div class=""""audio""""&gt;[sound:""&amp;C4537&amp;"".mp3]&lt;/div&gt;"""),"&lt;ruby&gt;茶色&lt;rt&gt;ちゃいろ&lt;/rt&gt;&lt;/ruby&gt;&lt;br&gt;&lt;div class=""audio""&gt;[sound:ちゃいろ.mp3]&lt;/div&gt;")</f>
        <v>&lt;ruby&gt;茶色&lt;rt&gt;ちゃいろ&lt;/rt&gt;&lt;/ruby&gt;&lt;br&gt;&lt;div class="audio"&gt;[sound:ちゃいろ.mp3]&lt;/div&gt;</v>
      </c>
      <c r="H4537" s="3" t="str">
        <f t="shared" si="1"/>
        <v>(n): màu nâu</v>
      </c>
      <c r="I4537" s="6" t="s">
        <v>24744</v>
      </c>
      <c r="J4537" s="6" t="s">
        <v>24745</v>
      </c>
      <c r="K4537" s="7">
        <f t="shared" si="2"/>
        <v>0.8890828043</v>
      </c>
    </row>
    <row r="4538">
      <c r="A4538" s="4">
        <v>4538.0</v>
      </c>
      <c r="B4538" s="5" t="s">
        <v>24746</v>
      </c>
      <c r="C4538" s="5" t="s">
        <v>24747</v>
      </c>
      <c r="D4538" s="5" t="s">
        <v>24746</v>
      </c>
      <c r="E4538" s="6" t="s">
        <v>24</v>
      </c>
      <c r="F4538" s="6" t="s">
        <v>24748</v>
      </c>
      <c r="G4538" s="3" t="str">
        <f>IFERROR(__xludf.DUMMYFUNCTION("REGEXREPLACE(
D4538,
""([一-龯々]+)\[([^\]]+)\]"",
""&lt;ruby&gt;$1&lt;rt&gt;$2&lt;/rt&gt;&lt;/ruby&gt;""
)&amp;""&lt;br&gt;&lt;div class=""""audio""""&gt;[sound:""&amp;C4538&amp;"".mp3]&lt;/div&gt;"""),"ノック&lt;br&gt;&lt;div class=""audio""&gt;[sound:のっく.mp3]&lt;/div&gt;")</f>
        <v>ノック&lt;br&gt;&lt;div class="audio"&gt;[sound:のっく.mp3]&lt;/div&gt;</v>
      </c>
      <c r="H4538" s="3" t="str">
        <f t="shared" si="1"/>
        <v>(v): gõ cửa</v>
      </c>
      <c r="I4538" s="6" t="s">
        <v>24749</v>
      </c>
      <c r="J4538" s="6" t="s">
        <v>24750</v>
      </c>
      <c r="K4538" s="7">
        <f t="shared" si="2"/>
        <v>0.4432211676</v>
      </c>
    </row>
    <row r="4539">
      <c r="A4539" s="4">
        <v>4539.0</v>
      </c>
      <c r="B4539" s="5" t="s">
        <v>24751</v>
      </c>
      <c r="C4539" s="5" t="s">
        <v>24752</v>
      </c>
      <c r="D4539" s="5" t="s">
        <v>24753</v>
      </c>
      <c r="E4539" s="6" t="s">
        <v>74</v>
      </c>
      <c r="F4539" s="6" t="s">
        <v>24754</v>
      </c>
      <c r="G4539" s="3" t="str">
        <f>IFERROR(__xludf.DUMMYFUNCTION("REGEXREPLACE(
D4539,
""([一-龯々]+)\[([^\]]+)\]"",
""&lt;ruby&gt;$1&lt;rt&gt;$2&lt;/rt&gt;&lt;/ruby&gt;""
)&amp;""&lt;br&gt;&lt;div class=""""audio""""&gt;[sound:""&amp;C4539&amp;"".mp3]&lt;/div&gt;"""),"&lt;ruby&gt;卵&lt;rt&gt;たまご&lt;/rt&gt;&lt;/ruby&gt;&lt;br&gt;&lt;div class=""audio""&gt;[sound:たまご.mp3]&lt;/div&gt;")</f>
        <v>&lt;ruby&gt;卵&lt;rt&gt;たまご&lt;/rt&gt;&lt;/ruby&gt;&lt;br&gt;&lt;div class="audio"&gt;[sound:たまご.mp3]&lt;/div&gt;</v>
      </c>
      <c r="H4539" s="3" t="str">
        <f t="shared" si="1"/>
        <v>(n): trứng</v>
      </c>
      <c r="I4539" s="6" t="s">
        <v>24755</v>
      </c>
      <c r="J4539" s="6" t="s">
        <v>24756</v>
      </c>
      <c r="K4539" s="7">
        <f t="shared" si="2"/>
        <v>0.8117870841</v>
      </c>
    </row>
    <row r="4540">
      <c r="A4540" s="4">
        <v>4540.0</v>
      </c>
      <c r="B4540" s="5" t="s">
        <v>24757</v>
      </c>
      <c r="C4540" s="5" t="s">
        <v>24758</v>
      </c>
      <c r="D4540" s="5" t="s">
        <v>24757</v>
      </c>
      <c r="E4540" s="6" t="s">
        <v>74</v>
      </c>
      <c r="F4540" s="6" t="s">
        <v>24759</v>
      </c>
      <c r="G4540" s="3" t="str">
        <f>IFERROR(__xludf.DUMMYFUNCTION("REGEXREPLACE(
D4540,
""([一-龯々]+)\[([^\]]+)\]"",
""&lt;ruby&gt;$1&lt;rt&gt;$2&lt;/rt&gt;&lt;/ruby&gt;""
)&amp;""&lt;br&gt;&lt;div class=""""audio""""&gt;[sound:""&amp;C4540&amp;"".mp3]&lt;/div&gt;"""),"スプーン&lt;br&gt;&lt;div class=""audio""&gt;[sound:すぷーん.mp3]&lt;/div&gt;")</f>
        <v>スプーン&lt;br&gt;&lt;div class="audio"&gt;[sound:すぷーん.mp3]&lt;/div&gt;</v>
      </c>
      <c r="H4540" s="3" t="str">
        <f t="shared" si="1"/>
        <v>(n): thìa</v>
      </c>
      <c r="I4540" s="6" t="s">
        <v>24760</v>
      </c>
      <c r="J4540" s="6" t="s">
        <v>24761</v>
      </c>
      <c r="K4540" s="7">
        <f t="shared" si="2"/>
        <v>0.547824175</v>
      </c>
    </row>
    <row r="4541">
      <c r="A4541" s="4">
        <v>4541.0</v>
      </c>
      <c r="B4541" s="5" t="s">
        <v>24762</v>
      </c>
      <c r="C4541" s="5" t="s">
        <v>24763</v>
      </c>
      <c r="D4541" s="5" t="s">
        <v>24764</v>
      </c>
      <c r="E4541" s="6" t="s">
        <v>74</v>
      </c>
      <c r="F4541" s="6" t="s">
        <v>24765</v>
      </c>
      <c r="G4541" s="3" t="str">
        <f>IFERROR(__xludf.DUMMYFUNCTION("REGEXREPLACE(
D4541,
""([一-龯々]+)\[([^\]]+)\]"",
""&lt;ruby&gt;$1&lt;rt&gt;$2&lt;/rt&gt;&lt;/ruby&gt;""
)&amp;""&lt;br&gt;&lt;div class=""""audio""""&gt;[sound:""&amp;C4541&amp;"".mp3]&lt;/div&gt;"""),"&lt;ruby&gt;列&lt;rt&gt;れつ&lt;/rt&gt;&lt;/ruby&gt;&lt;br&gt;&lt;div class=""audio""&gt;[sound:れつ.mp3]&lt;/div&gt;")</f>
        <v>&lt;ruby&gt;列&lt;rt&gt;れつ&lt;/rt&gt;&lt;/ruby&gt;&lt;br&gt;&lt;div class="audio"&gt;[sound:れつ.mp3]&lt;/div&gt;</v>
      </c>
      <c r="H4541" s="3" t="str">
        <f t="shared" si="1"/>
        <v>(n): hàng</v>
      </c>
      <c r="I4541" s="6" t="s">
        <v>24766</v>
      </c>
      <c r="J4541" s="6" t="s">
        <v>15236</v>
      </c>
      <c r="K4541" s="7">
        <f t="shared" si="2"/>
        <v>0.2919281702</v>
      </c>
    </row>
    <row r="4542">
      <c r="A4542" s="4">
        <v>4542.0</v>
      </c>
      <c r="B4542" s="5" t="s">
        <v>24767</v>
      </c>
      <c r="C4542" s="5" t="s">
        <v>24768</v>
      </c>
      <c r="D4542" s="5" t="s">
        <v>24769</v>
      </c>
      <c r="E4542" s="6" t="s">
        <v>74</v>
      </c>
      <c r="F4542" s="6" t="s">
        <v>21741</v>
      </c>
      <c r="G4542" s="3" t="str">
        <f>IFERROR(__xludf.DUMMYFUNCTION("REGEXREPLACE(
D4542,
""([一-龯々]+)\[([^\]]+)\]"",
""&lt;ruby&gt;$1&lt;rt&gt;$2&lt;/rt&gt;&lt;/ruby&gt;""
)&amp;""&lt;br&gt;&lt;div class=""""audio""""&gt;[sound:""&amp;C4542&amp;"".mp3]&lt;/div&gt;"""),"&lt;ruby&gt;芝居&lt;rt&gt;しばい&lt;/rt&gt;&lt;/ruby&gt;&lt;br&gt;&lt;div class=""audio""&gt;[sound:しばい.mp3]&lt;/div&gt;")</f>
        <v>&lt;ruby&gt;芝居&lt;rt&gt;しばい&lt;/rt&gt;&lt;/ruby&gt;&lt;br&gt;&lt;div class="audio"&gt;[sound:しばい.mp3]&lt;/div&gt;</v>
      </c>
      <c r="H4542" s="3" t="str">
        <f t="shared" si="1"/>
        <v>(n): kịch</v>
      </c>
      <c r="I4542" s="6" t="s">
        <v>24770</v>
      </c>
      <c r="J4542" s="6" t="s">
        <v>24771</v>
      </c>
      <c r="K4542" s="7">
        <f t="shared" si="2"/>
        <v>0.3501234546</v>
      </c>
    </row>
    <row r="4543">
      <c r="A4543" s="4">
        <v>4543.0</v>
      </c>
      <c r="B4543" s="5" t="s">
        <v>24772</v>
      </c>
      <c r="C4543" s="5" t="s">
        <v>24773</v>
      </c>
      <c r="D4543" s="5" t="s">
        <v>24774</v>
      </c>
      <c r="E4543" s="6" t="s">
        <v>24</v>
      </c>
      <c r="F4543" s="6" t="s">
        <v>7056</v>
      </c>
      <c r="G4543" s="3" t="str">
        <f>IFERROR(__xludf.DUMMYFUNCTION("REGEXREPLACE(
D4543,
""([一-龯々]+)\[([^\]]+)\]"",
""&lt;ruby&gt;$1&lt;rt&gt;$2&lt;/rt&gt;&lt;/ruby&gt;""
)&amp;""&lt;br&gt;&lt;div class=""""audio""""&gt;[sound:""&amp;C4543&amp;"".mp3]&lt;/div&gt;"""),"&lt;ruby&gt;跳&lt;rt&gt;は&lt;/rt&gt;&lt;/ruby&gt;ねる&lt;br&gt;&lt;div class=""audio""&gt;[sound:はねる.mp3]&lt;/div&gt;")</f>
        <v>&lt;ruby&gt;跳&lt;rt&gt;は&lt;/rt&gt;&lt;/ruby&gt;ねる&lt;br&gt;&lt;div class="audio"&gt;[sound:はねる.mp3]&lt;/div&gt;</v>
      </c>
      <c r="H4543" s="3" t="str">
        <f t="shared" si="1"/>
        <v>(v): nhảy</v>
      </c>
      <c r="I4543" s="6" t="s">
        <v>24775</v>
      </c>
      <c r="J4543" s="6" t="s">
        <v>24776</v>
      </c>
      <c r="K4543" s="7">
        <f t="shared" si="2"/>
        <v>0.944683446</v>
      </c>
    </row>
    <row r="4544">
      <c r="A4544" s="4">
        <v>4544.0</v>
      </c>
      <c r="B4544" s="5" t="s">
        <v>24777</v>
      </c>
      <c r="C4544" s="5" t="s">
        <v>3166</v>
      </c>
      <c r="D4544" s="5" t="s">
        <v>24778</v>
      </c>
      <c r="E4544" s="6" t="s">
        <v>74</v>
      </c>
      <c r="F4544" s="6" t="s">
        <v>4684</v>
      </c>
      <c r="G4544" s="3" t="str">
        <f>IFERROR(__xludf.DUMMYFUNCTION("REGEXREPLACE(
D4544,
""([一-龯々]+)\[([^\]]+)\]"",
""&lt;ruby&gt;$1&lt;rt&gt;$2&lt;/rt&gt;&lt;/ruby&gt;""
)&amp;""&lt;br&gt;&lt;div class=""""audio""""&gt;[sound:""&amp;C4544&amp;"".mp3]&lt;/div&gt;"""),"&lt;ruby&gt;所為&lt;rt&gt;せい&lt;/rt&gt;&lt;/ruby&gt;&lt;br&gt;&lt;div class=""audio""&gt;[sound:せい.mp3]&lt;/div&gt;")</f>
        <v>&lt;ruby&gt;所為&lt;rt&gt;せい&lt;/rt&gt;&lt;/ruby&gt;&lt;br&gt;&lt;div class="audio"&gt;[sound:せい.mp3]&lt;/div&gt;</v>
      </c>
      <c r="H4544" s="3" t="str">
        <f t="shared" si="1"/>
        <v>(n): tại</v>
      </c>
      <c r="I4544" s="6" t="s">
        <v>24779</v>
      </c>
      <c r="J4544" s="6" t="s">
        <v>24780</v>
      </c>
      <c r="K4544" s="7">
        <f t="shared" si="2"/>
        <v>0.3825758095</v>
      </c>
    </row>
    <row r="4545">
      <c r="A4545" s="4">
        <v>4545.0</v>
      </c>
      <c r="B4545" s="5" t="s">
        <v>24781</v>
      </c>
      <c r="C4545" s="5" t="s">
        <v>24782</v>
      </c>
      <c r="D4545" s="5" t="s">
        <v>24783</v>
      </c>
      <c r="E4545" s="6" t="s">
        <v>24</v>
      </c>
      <c r="F4545" s="6" t="s">
        <v>184</v>
      </c>
      <c r="G4545" s="3" t="str">
        <f>IFERROR(__xludf.DUMMYFUNCTION("REGEXREPLACE(
D4545,
""([一-龯々]+)\[([^\]]+)\]"",
""&lt;ruby&gt;$1&lt;rt&gt;$2&lt;/rt&gt;&lt;/ruby&gt;""
)&amp;""&lt;br&gt;&lt;div class=""""audio""""&gt;[sound:""&amp;C4545&amp;"".mp3]&lt;/div&gt;"""),"&lt;ruby&gt;申&lt;rt&gt;もう&lt;/rt&gt;&lt;/ruby&gt;す&lt;br&gt;&lt;div class=""audio""&gt;[sound:もうす.mp3]&lt;/div&gt;")</f>
        <v>&lt;ruby&gt;申&lt;rt&gt;もう&lt;/rt&gt;&lt;/ruby&gt;す&lt;br&gt;&lt;div class="audio"&gt;[sound:もうす.mp3]&lt;/div&gt;</v>
      </c>
      <c r="H4545" s="3" t="str">
        <f t="shared" si="1"/>
        <v>(v): nói</v>
      </c>
      <c r="I4545" s="6" t="s">
        <v>24784</v>
      </c>
      <c r="J4545" s="6" t="s">
        <v>24785</v>
      </c>
      <c r="K4545" s="7">
        <f t="shared" si="2"/>
        <v>0.354712201</v>
      </c>
    </row>
    <row r="4546">
      <c r="A4546" s="4">
        <v>4546.0</v>
      </c>
      <c r="B4546" s="5" t="s">
        <v>24786</v>
      </c>
      <c r="C4546" s="5" t="s">
        <v>151</v>
      </c>
      <c r="D4546" s="5" t="s">
        <v>24787</v>
      </c>
      <c r="E4546" s="6" t="s">
        <v>24</v>
      </c>
      <c r="F4546" s="6" t="s">
        <v>24788</v>
      </c>
      <c r="G4546" s="3" t="str">
        <f>IFERROR(__xludf.DUMMYFUNCTION("REGEXREPLACE(
D4546,
""([一-龯々]+)\[([^\]]+)\]"",
""&lt;ruby&gt;$1&lt;rt&gt;$2&lt;/rt&gt;&lt;/ruby&gt;""
)&amp;""&lt;br&gt;&lt;div class=""""audio""""&gt;[sound:""&amp;C4546&amp;"".mp3]&lt;/div&gt;"""),"&lt;ruby&gt;罹&lt;rt&gt;かか&lt;/rt&gt;&lt;/ruby&gt;る&lt;br&gt;&lt;div class=""audio""&gt;[sound:かかる.mp3]&lt;/div&gt;")</f>
        <v>&lt;ruby&gt;罹&lt;rt&gt;かか&lt;/rt&gt;&lt;/ruby&gt;る&lt;br&gt;&lt;div class="audio"&gt;[sound:かかる.mp3]&lt;/div&gt;</v>
      </c>
      <c r="H4546" s="3" t="str">
        <f t="shared" si="1"/>
        <v>(v): mắc</v>
      </c>
      <c r="I4546" s="6" t="s">
        <v>24789</v>
      </c>
      <c r="J4546" s="6" t="s">
        <v>24790</v>
      </c>
      <c r="K4546" s="7">
        <f t="shared" si="2"/>
        <v>0.8436888428</v>
      </c>
    </row>
    <row r="4547">
      <c r="A4547" s="4">
        <v>4547.0</v>
      </c>
      <c r="B4547" s="5" t="s">
        <v>24791</v>
      </c>
      <c r="C4547" s="5" t="s">
        <v>24792</v>
      </c>
      <c r="D4547" s="5" t="s">
        <v>24793</v>
      </c>
      <c r="E4547" s="6" t="s">
        <v>74</v>
      </c>
      <c r="F4547" s="6" t="s">
        <v>24794</v>
      </c>
      <c r="G4547" s="3" t="str">
        <f>IFERROR(__xludf.DUMMYFUNCTION("REGEXREPLACE(
D4547,
""([一-龯々]+)\[([^\]]+)\]"",
""&lt;ruby&gt;$1&lt;rt&gt;$2&lt;/rt&gt;&lt;/ruby&gt;""
)&amp;""&lt;br&gt;&lt;div class=""""audio""""&gt;[sound:""&amp;C4547&amp;"".mp3]&lt;/div&gt;"""),"&lt;ruby&gt;売&lt;rt&gt;う&lt;/rt&gt;&lt;/ruby&gt;り&lt;ruby&gt;場&lt;rt&gt;ば&lt;/rt&gt;&lt;/ruby&gt;&lt;br&gt;&lt;div class=""audio""&gt;[sound:うりば.mp3]&lt;/div&gt;")</f>
        <v>&lt;ruby&gt;売&lt;rt&gt;う&lt;/rt&gt;&lt;/ruby&gt;り&lt;ruby&gt;場&lt;rt&gt;ば&lt;/rt&gt;&lt;/ruby&gt;&lt;br&gt;&lt;div class="audio"&gt;[sound:うりば.mp3]&lt;/div&gt;</v>
      </c>
      <c r="H4547" s="3" t="str">
        <f t="shared" si="1"/>
        <v>(n): quầy bán hàng</v>
      </c>
      <c r="I4547" s="6" t="s">
        <v>24795</v>
      </c>
      <c r="J4547" s="6" t="s">
        <v>24796</v>
      </c>
      <c r="K4547" s="7">
        <f t="shared" si="2"/>
        <v>0.9992264273</v>
      </c>
    </row>
    <row r="4548">
      <c r="A4548" s="4">
        <v>4548.0</v>
      </c>
      <c r="B4548" s="5" t="s">
        <v>24797</v>
      </c>
      <c r="C4548" s="5" t="s">
        <v>24798</v>
      </c>
      <c r="D4548" s="5" t="s">
        <v>24799</v>
      </c>
      <c r="E4548" s="6" t="s">
        <v>58</v>
      </c>
      <c r="F4548" s="6" t="s">
        <v>24800</v>
      </c>
      <c r="G4548" s="3" t="str">
        <f>IFERROR(__xludf.DUMMYFUNCTION("REGEXREPLACE(
D4548,
""([一-龯々]+)\[([^\]]+)\]"",
""&lt;ruby&gt;$1&lt;rt&gt;$2&lt;/rt&gt;&lt;/ruby&gt;""
)&amp;""&lt;br&gt;&lt;div class=""""audio""""&gt;[sound:""&amp;C4548&amp;"".mp3]&lt;/div&gt;"""),"&lt;ruby&gt;九&lt;rt&gt;ここの&lt;/rt&gt;&lt;/ruby&gt;つ&lt;br&gt;&lt;div class=""audio""&gt;[sound:ここのつ.mp3]&lt;/div&gt;")</f>
        <v>&lt;ruby&gt;九&lt;rt&gt;ここの&lt;/rt&gt;&lt;/ruby&gt;つ&lt;br&gt;&lt;div class="audio"&gt;[sound:ここのつ.mp3]&lt;/div&gt;</v>
      </c>
      <c r="H4548" s="3" t="str">
        <f t="shared" si="1"/>
        <v>(num): chín cái</v>
      </c>
      <c r="I4548" s="6" t="s">
        <v>24801</v>
      </c>
      <c r="J4548" s="6" t="s">
        <v>24802</v>
      </c>
      <c r="K4548" s="7">
        <f t="shared" si="2"/>
        <v>0.3144836667</v>
      </c>
    </row>
    <row r="4549">
      <c r="A4549" s="4">
        <v>4549.0</v>
      </c>
      <c r="B4549" s="5" t="s">
        <v>24803</v>
      </c>
      <c r="C4549" s="5" t="s">
        <v>24804</v>
      </c>
      <c r="D4549" s="5" t="s">
        <v>24805</v>
      </c>
      <c r="E4549" s="6" t="s">
        <v>74</v>
      </c>
      <c r="F4549" s="6" t="s">
        <v>23403</v>
      </c>
      <c r="G4549" s="3" t="str">
        <f>IFERROR(__xludf.DUMMYFUNCTION("REGEXREPLACE(
D4549,
""([一-龯々]+)\[([^\]]+)\]"",
""&lt;ruby&gt;$1&lt;rt&gt;$2&lt;/rt&gt;&lt;/ruby&gt;""
)&amp;""&lt;br&gt;&lt;div class=""""audio""""&gt;[sound:""&amp;C4549&amp;"".mp3]&lt;/div&gt;"""),"&lt;ruby&gt;仲良&lt;rt&gt;なかよ&lt;/rt&gt;&lt;/ruby&gt;し&lt;br&gt;&lt;div class=""audio""&gt;[sound:なかよし.mp3]&lt;/div&gt;")</f>
        <v>&lt;ruby&gt;仲良&lt;rt&gt;なかよ&lt;/rt&gt;&lt;/ruby&gt;し&lt;br&gt;&lt;div class="audio"&gt;[sound:なかよし.mp3]&lt;/div&gt;</v>
      </c>
      <c r="H4549" s="3" t="str">
        <f t="shared" si="1"/>
        <v>(n): bạn thân</v>
      </c>
      <c r="I4549" s="6" t="s">
        <v>24806</v>
      </c>
      <c r="J4549" s="6" t="s">
        <v>24807</v>
      </c>
      <c r="K4549" s="7">
        <f t="shared" si="2"/>
        <v>0.5250822049</v>
      </c>
    </row>
    <row r="4550">
      <c r="A4550" s="4">
        <v>4550.0</v>
      </c>
      <c r="B4550" s="5" t="s">
        <v>24808</v>
      </c>
      <c r="C4550" s="5" t="s">
        <v>24809</v>
      </c>
      <c r="D4550" s="5" t="s">
        <v>24808</v>
      </c>
      <c r="E4550" s="6" t="s">
        <v>74</v>
      </c>
      <c r="F4550" s="6" t="s">
        <v>24810</v>
      </c>
      <c r="G4550" s="3" t="str">
        <f>IFERROR(__xludf.DUMMYFUNCTION("REGEXREPLACE(
D4550,
""([一-龯々]+)\[([^\]]+)\]"",
""&lt;ruby&gt;$1&lt;rt&gt;$2&lt;/rt&gt;&lt;/ruby&gt;""
)&amp;""&lt;br&gt;&lt;div class=""""audio""""&gt;[sound:""&amp;C4550&amp;"".mp3]&lt;/div&gt;"""),"アンテナ&lt;br&gt;&lt;div class=""audio""&gt;[sound:あんてな.mp3]&lt;/div&gt;")</f>
        <v>アンテナ&lt;br&gt;&lt;div class="audio"&gt;[sound:あんてな.mp3]&lt;/div&gt;</v>
      </c>
      <c r="H4550" s="3" t="str">
        <f t="shared" si="1"/>
        <v>(n): ăng-ten</v>
      </c>
      <c r="I4550" s="6" t="s">
        <v>24811</v>
      </c>
      <c r="J4550" s="6" t="s">
        <v>24812</v>
      </c>
      <c r="K4550" s="7">
        <f t="shared" si="2"/>
        <v>0.1578399705</v>
      </c>
    </row>
    <row r="4551">
      <c r="A4551" s="4">
        <v>4551.0</v>
      </c>
      <c r="B4551" s="5" t="s">
        <v>24813</v>
      </c>
      <c r="C4551" s="5" t="s">
        <v>24814</v>
      </c>
      <c r="D4551" s="5" t="s">
        <v>24813</v>
      </c>
      <c r="E4551" s="6" t="s">
        <v>74</v>
      </c>
      <c r="F4551" s="6" t="s">
        <v>24815</v>
      </c>
      <c r="G4551" s="3" t="str">
        <f>IFERROR(__xludf.DUMMYFUNCTION("REGEXREPLACE(
D4551,
""([一-龯々]+)\[([^\]]+)\]"",
""&lt;ruby&gt;$1&lt;rt&gt;$2&lt;/rt&gt;&lt;/ruby&gt;""
)&amp;""&lt;br&gt;&lt;div class=""""audio""""&gt;[sound:""&amp;C4551&amp;"".mp3]&lt;/div&gt;"""),"ロケット&lt;br&gt;&lt;div class=""audio""&gt;[sound:ろけっと.mp3]&lt;/div&gt;")</f>
        <v>ロケット&lt;br&gt;&lt;div class="audio"&gt;[sound:ろけっと.mp3]&lt;/div&gt;</v>
      </c>
      <c r="H4551" s="3" t="str">
        <f t="shared" si="1"/>
        <v>(n): tên lửa</v>
      </c>
      <c r="I4551" s="6" t="s">
        <v>24816</v>
      </c>
      <c r="J4551" s="6" t="s">
        <v>24817</v>
      </c>
      <c r="K4551" s="7">
        <f t="shared" si="2"/>
        <v>0.8768081574</v>
      </c>
    </row>
    <row r="4552">
      <c r="A4552" s="4">
        <v>4552.0</v>
      </c>
      <c r="B4552" s="5" t="s">
        <v>24818</v>
      </c>
      <c r="C4552" s="5" t="s">
        <v>24819</v>
      </c>
      <c r="D4552" s="5" t="s">
        <v>24820</v>
      </c>
      <c r="E4552" s="6" t="s">
        <v>74</v>
      </c>
      <c r="F4552" s="6" t="s">
        <v>24821</v>
      </c>
      <c r="G4552" s="3" t="str">
        <f>IFERROR(__xludf.DUMMYFUNCTION("REGEXREPLACE(
D4552,
""([一-龯々]+)\[([^\]]+)\]"",
""&lt;ruby&gt;$1&lt;rt&gt;$2&lt;/rt&gt;&lt;/ruby&gt;""
)&amp;""&lt;br&gt;&lt;div class=""""audio""""&gt;[sound:""&amp;C4552&amp;"".mp3]&lt;/div&gt;"""),"&lt;ruby&gt;主語&lt;rt&gt;しゅご&lt;/rt&gt;&lt;/ruby&gt;&lt;br&gt;&lt;div class=""audio""&gt;[sound:しゅご.mp3]&lt;/div&gt;")</f>
        <v>&lt;ruby&gt;主語&lt;rt&gt;しゅご&lt;/rt&gt;&lt;/ruby&gt;&lt;br&gt;&lt;div class="audio"&gt;[sound:しゅご.mp3]&lt;/div&gt;</v>
      </c>
      <c r="H4552" s="3" t="str">
        <f t="shared" si="1"/>
        <v>(n): chủ ngữ</v>
      </c>
      <c r="I4552" s="6" t="s">
        <v>24822</v>
      </c>
      <c r="J4552" s="6" t="s">
        <v>24823</v>
      </c>
      <c r="K4552" s="7">
        <f t="shared" si="2"/>
        <v>0.3845538806</v>
      </c>
    </row>
    <row r="4553">
      <c r="A4553" s="4">
        <v>4553.0</v>
      </c>
      <c r="B4553" s="5" t="s">
        <v>24824</v>
      </c>
      <c r="C4553" s="5" t="s">
        <v>24825</v>
      </c>
      <c r="D4553" s="5" t="s">
        <v>24826</v>
      </c>
      <c r="E4553" s="6" t="s">
        <v>24</v>
      </c>
      <c r="F4553" s="6" t="s">
        <v>24827</v>
      </c>
      <c r="G4553" s="3" t="str">
        <f>IFERROR(__xludf.DUMMYFUNCTION("REGEXREPLACE(
D4553,
""([一-龯々]+)\[([^\]]+)\]"",
""&lt;ruby&gt;$1&lt;rt&gt;$2&lt;/rt&gt;&lt;/ruby&gt;""
)&amp;""&lt;br&gt;&lt;div class=""""audio""""&gt;[sound:""&amp;C4553&amp;"".mp3]&lt;/div&gt;"""),"&lt;ruby&gt;乾&lt;rt&gt;かわ&lt;/rt&gt;&lt;/ruby&gt;かす&lt;br&gt;&lt;div class=""audio""&gt;[sound:かわかす.mp3]&lt;/div&gt;")</f>
        <v>&lt;ruby&gt;乾&lt;rt&gt;かわ&lt;/rt&gt;&lt;/ruby&gt;かす&lt;br&gt;&lt;div class="audio"&gt;[sound:かわかす.mp3]&lt;/div&gt;</v>
      </c>
      <c r="H4553" s="3" t="str">
        <f t="shared" si="1"/>
        <v>(v): làm khô</v>
      </c>
      <c r="I4553" s="6" t="s">
        <v>24828</v>
      </c>
      <c r="J4553" s="6" t="s">
        <v>24829</v>
      </c>
      <c r="K4553" s="7">
        <f t="shared" si="2"/>
        <v>0.6823280513</v>
      </c>
    </row>
    <row r="4554">
      <c r="A4554" s="4">
        <v>4554.0</v>
      </c>
      <c r="B4554" s="5" t="s">
        <v>24830</v>
      </c>
      <c r="C4554" s="5" t="s">
        <v>24831</v>
      </c>
      <c r="D4554" s="5" t="s">
        <v>24832</v>
      </c>
      <c r="E4554" s="6" t="s">
        <v>74</v>
      </c>
      <c r="F4554" s="6" t="s">
        <v>24833</v>
      </c>
      <c r="G4554" s="3" t="str">
        <f>IFERROR(__xludf.DUMMYFUNCTION("REGEXREPLACE(
D4554,
""([一-龯々]+)\[([^\]]+)\]"",
""&lt;ruby&gt;$1&lt;rt&gt;$2&lt;/rt&gt;&lt;/ruby&gt;""
)&amp;""&lt;br&gt;&lt;div class=""""audio""""&gt;[sound:""&amp;C4554&amp;"".mp3]&lt;/div&gt;"""),"&lt;ruby&gt;恨&lt;rt&gt;うら&lt;/rt&gt;&lt;/ruby&gt;み&lt;br&gt;&lt;div class=""audio""&gt;[sound:うらみ.mp3]&lt;/div&gt;")</f>
        <v>&lt;ruby&gt;恨&lt;rt&gt;うら&lt;/rt&gt;&lt;/ruby&gt;み&lt;br&gt;&lt;div class="audio"&gt;[sound:うらみ.mp3]&lt;/div&gt;</v>
      </c>
      <c r="H4554" s="3" t="str">
        <f t="shared" si="1"/>
        <v>(n): mối hận</v>
      </c>
      <c r="I4554" s="6" t="s">
        <v>24834</v>
      </c>
      <c r="J4554" s="6" t="s">
        <v>24835</v>
      </c>
      <c r="K4554" s="7">
        <f t="shared" si="2"/>
        <v>0.4925523938</v>
      </c>
    </row>
    <row r="4555">
      <c r="A4555" s="4">
        <v>4555.0</v>
      </c>
      <c r="B4555" s="5" t="s">
        <v>24836</v>
      </c>
      <c r="C4555" s="5" t="s">
        <v>24837</v>
      </c>
      <c r="D4555" s="5" t="s">
        <v>24838</v>
      </c>
      <c r="E4555" s="6" t="s">
        <v>11</v>
      </c>
      <c r="F4555" s="6" t="s">
        <v>24839</v>
      </c>
      <c r="G4555" s="3" t="str">
        <f>IFERROR(__xludf.DUMMYFUNCTION("REGEXREPLACE(
D4555,
""([一-龯々]+)\[([^\]]+)\]"",
""&lt;ruby&gt;$1&lt;rt&gt;$2&lt;/rt&gt;&lt;/ruby&gt;""
)&amp;""&lt;br&gt;&lt;div class=""""audio""""&gt;[sound:""&amp;C4555&amp;"".mp3]&lt;/div&gt;"""),"&lt;ruby&gt;手頃&lt;rt&gt;てごろ&lt;/rt&gt;&lt;/ruby&gt;&lt;br&gt;&lt;div class=""audio""&gt;[sound:てごろ.mp3]&lt;/div&gt;")</f>
        <v>&lt;ruby&gt;手頃&lt;rt&gt;てごろ&lt;/rt&gt;&lt;/ruby&gt;&lt;br&gt;&lt;div class="audio"&gt;[sound:てごろ.mp3]&lt;/div&gt;</v>
      </c>
      <c r="H4555" s="3" t="str">
        <f t="shared" si="1"/>
        <v>(adj): vừa tầm</v>
      </c>
      <c r="I4555" s="6" t="s">
        <v>24840</v>
      </c>
      <c r="J4555" s="6" t="s">
        <v>24841</v>
      </c>
      <c r="K4555" s="7">
        <f t="shared" si="2"/>
        <v>0.07021231348</v>
      </c>
    </row>
    <row r="4556">
      <c r="A4556" s="4">
        <v>4556.0</v>
      </c>
      <c r="B4556" s="5" t="s">
        <v>24842</v>
      </c>
      <c r="C4556" s="5" t="s">
        <v>24843</v>
      </c>
      <c r="D4556" s="5" t="s">
        <v>24844</v>
      </c>
      <c r="E4556" s="6" t="s">
        <v>74</v>
      </c>
      <c r="F4556" s="6" t="s">
        <v>21777</v>
      </c>
      <c r="G4556" s="3" t="str">
        <f>IFERROR(__xludf.DUMMYFUNCTION("REGEXREPLACE(
D4556,
""([一-龯々]+)\[([^\]]+)\]"",
""&lt;ruby&gt;$1&lt;rt&gt;$2&lt;/rt&gt;&lt;/ruby&gt;""
)&amp;""&lt;br&gt;&lt;div class=""""audio""""&gt;[sound:""&amp;C4556&amp;"".mp3]&lt;/div&gt;"""),"&lt;ruby&gt;辞典&lt;rt&gt;じてん&lt;/rt&gt;&lt;/ruby&gt;&lt;br&gt;&lt;div class=""audio""&gt;[sound:じてん.mp3]&lt;/div&gt;")</f>
        <v>&lt;ruby&gt;辞典&lt;rt&gt;じてん&lt;/rt&gt;&lt;/ruby&gt;&lt;br&gt;&lt;div class="audio"&gt;[sound:じてん.mp3]&lt;/div&gt;</v>
      </c>
      <c r="H4556" s="3" t="str">
        <f t="shared" si="1"/>
        <v>(n): từ điển</v>
      </c>
      <c r="I4556" s="6" t="s">
        <v>24845</v>
      </c>
      <c r="J4556" s="6" t="s">
        <v>24846</v>
      </c>
      <c r="K4556" s="7">
        <f t="shared" si="2"/>
        <v>0.0496440251</v>
      </c>
    </row>
    <row r="4557">
      <c r="A4557" s="4">
        <v>4557.0</v>
      </c>
      <c r="B4557" s="5" t="s">
        <v>24847</v>
      </c>
      <c r="C4557" s="5" t="s">
        <v>24848</v>
      </c>
      <c r="D4557" s="5" t="s">
        <v>24849</v>
      </c>
      <c r="E4557" s="6" t="s">
        <v>74</v>
      </c>
      <c r="F4557" s="6" t="s">
        <v>24850</v>
      </c>
      <c r="G4557" s="3" t="str">
        <f>IFERROR(__xludf.DUMMYFUNCTION("REGEXREPLACE(
D4557,
""([一-龯々]+)\[([^\]]+)\]"",
""&lt;ruby&gt;$1&lt;rt&gt;$2&lt;/rt&gt;&lt;/ruby&gt;""
)&amp;""&lt;br&gt;&lt;div class=""""audio""""&gt;[sound:""&amp;C4557&amp;"".mp3]&lt;/div&gt;"""),"&lt;ruby&gt;道徳&lt;rt&gt;どうとく&lt;/rt&gt;&lt;/ruby&gt;&lt;br&gt;&lt;div class=""audio""&gt;[sound:どうとく.mp3]&lt;/div&gt;")</f>
        <v>&lt;ruby&gt;道徳&lt;rt&gt;どうとく&lt;/rt&gt;&lt;/ruby&gt;&lt;br&gt;&lt;div class="audio"&gt;[sound:どうとく.mp3]&lt;/div&gt;</v>
      </c>
      <c r="H4557" s="3" t="str">
        <f t="shared" si="1"/>
        <v>(n): đạo đức</v>
      </c>
      <c r="I4557" s="6" t="s">
        <v>24851</v>
      </c>
      <c r="J4557" s="6" t="s">
        <v>24852</v>
      </c>
      <c r="K4557" s="7">
        <f t="shared" si="2"/>
        <v>0.4793060157</v>
      </c>
    </row>
    <row r="4558">
      <c r="A4558" s="4">
        <v>4558.0</v>
      </c>
      <c r="B4558" s="5" t="s">
        <v>24853</v>
      </c>
      <c r="C4558" s="5" t="s">
        <v>24854</v>
      </c>
      <c r="D4558" s="5" t="s">
        <v>24855</v>
      </c>
      <c r="E4558" s="6" t="s">
        <v>74</v>
      </c>
      <c r="F4558" s="6" t="s">
        <v>24856</v>
      </c>
      <c r="G4558" s="3" t="str">
        <f>IFERROR(__xludf.DUMMYFUNCTION("REGEXREPLACE(
D4558,
""([一-龯々]+)\[([^\]]+)\]"",
""&lt;ruby&gt;$1&lt;rt&gt;$2&lt;/rt&gt;&lt;/ruby&gt;""
)&amp;""&lt;br&gt;&lt;div class=""""audio""""&gt;[sound:""&amp;C4558&amp;"".mp3]&lt;/div&gt;"""),"&lt;ruby&gt;鍋&lt;rt&gt;なべ&lt;/rt&gt;&lt;/ruby&gt;&lt;br&gt;&lt;div class=""audio""&gt;[sound:なべ.mp3]&lt;/div&gt;")</f>
        <v>&lt;ruby&gt;鍋&lt;rt&gt;なべ&lt;/rt&gt;&lt;/ruby&gt;&lt;br&gt;&lt;div class="audio"&gt;[sound:なべ.mp3]&lt;/div&gt;</v>
      </c>
      <c r="H4558" s="3" t="str">
        <f t="shared" si="1"/>
        <v>(n): cái nồi</v>
      </c>
      <c r="I4558" s="6" t="s">
        <v>24857</v>
      </c>
      <c r="J4558" s="6" t="s">
        <v>24858</v>
      </c>
      <c r="K4558" s="7">
        <f t="shared" si="2"/>
        <v>0.1784485061</v>
      </c>
    </row>
    <row r="4559">
      <c r="A4559" s="4">
        <v>4559.0</v>
      </c>
      <c r="B4559" s="5" t="s">
        <v>24859</v>
      </c>
      <c r="C4559" s="5" t="s">
        <v>24860</v>
      </c>
      <c r="D4559" s="5" t="s">
        <v>24859</v>
      </c>
      <c r="E4559" s="6" t="s">
        <v>74</v>
      </c>
      <c r="F4559" s="6" t="s">
        <v>24861</v>
      </c>
      <c r="G4559" s="3" t="str">
        <f>IFERROR(__xludf.DUMMYFUNCTION("REGEXREPLACE(
D4559,
""([一-龯々]+)\[([^\]]+)\]"",
""&lt;ruby&gt;$1&lt;rt&gt;$2&lt;/rt&gt;&lt;/ruby&gt;""
)&amp;""&lt;br&gt;&lt;div class=""""audio""""&gt;[sound:""&amp;C4559&amp;"".mp3]&lt;/div&gt;"""),"タイア&lt;br&gt;&lt;div class=""audio""&gt;[sound:たいあ.mp3]&lt;/div&gt;")</f>
        <v>タイア&lt;br&gt;&lt;div class="audio"&gt;[sound:たいあ.mp3]&lt;/div&gt;</v>
      </c>
      <c r="H4559" s="3" t="str">
        <f t="shared" si="1"/>
        <v>(n): lốp xe</v>
      </c>
      <c r="I4559" s="6" t="s">
        <v>24862</v>
      </c>
      <c r="J4559" s="6" t="s">
        <v>24863</v>
      </c>
      <c r="K4559" s="7">
        <f t="shared" si="2"/>
        <v>0.7443479608</v>
      </c>
    </row>
    <row r="4560">
      <c r="A4560" s="4">
        <v>4560.0</v>
      </c>
      <c r="B4560" s="5" t="s">
        <v>24864</v>
      </c>
      <c r="C4560" s="5" t="s">
        <v>24865</v>
      </c>
      <c r="D4560" s="5" t="s">
        <v>24864</v>
      </c>
      <c r="E4560" s="6" t="s">
        <v>74</v>
      </c>
      <c r="F4560" s="6" t="s">
        <v>24866</v>
      </c>
      <c r="G4560" s="3" t="str">
        <f>IFERROR(__xludf.DUMMYFUNCTION("REGEXREPLACE(
D4560,
""([一-龯々]+)\[([^\]]+)\]"",
""&lt;ruby&gt;$1&lt;rt&gt;$2&lt;/rt&gt;&lt;/ruby&gt;""
)&amp;""&lt;br&gt;&lt;div class=""""audio""""&gt;[sound:""&amp;C4560&amp;"".mp3]&lt;/div&gt;"""),"ダイヤル&lt;br&gt;&lt;div class=""audio""&gt;[sound:だいやる.mp3]&lt;/div&gt;")</f>
        <v>ダイヤル&lt;br&gt;&lt;div class="audio"&gt;[sound:だいやる.mp3]&lt;/div&gt;</v>
      </c>
      <c r="H4560" s="3" t="str">
        <f t="shared" si="1"/>
        <v>(n): mặt số</v>
      </c>
      <c r="I4560" s="6" t="s">
        <v>24867</v>
      </c>
      <c r="J4560" s="6" t="s">
        <v>24868</v>
      </c>
      <c r="K4560" s="7">
        <f t="shared" si="2"/>
        <v>0.2758735874</v>
      </c>
    </row>
    <row r="4561">
      <c r="A4561" s="4">
        <v>4561.0</v>
      </c>
      <c r="B4561" s="5" t="s">
        <v>24869</v>
      </c>
      <c r="C4561" s="5" t="s">
        <v>24870</v>
      </c>
      <c r="D4561" s="5" t="s">
        <v>24869</v>
      </c>
      <c r="E4561" s="6" t="s">
        <v>74</v>
      </c>
      <c r="F4561" s="6" t="s">
        <v>24871</v>
      </c>
      <c r="G4561" s="3" t="str">
        <f>IFERROR(__xludf.DUMMYFUNCTION("REGEXREPLACE(
D4561,
""([一-龯々]+)\[([^\]]+)\]"",
""&lt;ruby&gt;$1&lt;rt&gt;$2&lt;/rt&gt;&lt;/ruby&gt;""
)&amp;""&lt;br&gt;&lt;div class=""""audio""""&gt;[sound:""&amp;C4561&amp;"".mp3]&lt;/div&gt;"""),"ボート&lt;br&gt;&lt;div class=""audio""&gt;[sound:ぼーと.mp3]&lt;/div&gt;")</f>
        <v>ボート&lt;br&gt;&lt;div class="audio"&gt;[sound:ぼーと.mp3]&lt;/div&gt;</v>
      </c>
      <c r="H4561" s="3" t="str">
        <f t="shared" si="1"/>
        <v>(n): thuyền</v>
      </c>
      <c r="I4561" s="6" t="s">
        <v>24872</v>
      </c>
      <c r="J4561" s="6" t="s">
        <v>24873</v>
      </c>
      <c r="K4561" s="7">
        <f t="shared" si="2"/>
        <v>0.7186615067</v>
      </c>
    </row>
    <row r="4562">
      <c r="A4562" s="4">
        <v>4562.0</v>
      </c>
      <c r="B4562" s="5" t="s">
        <v>24874</v>
      </c>
      <c r="C4562" s="5" t="s">
        <v>24875</v>
      </c>
      <c r="D4562" s="5" t="s">
        <v>24876</v>
      </c>
      <c r="E4562" s="6" t="s">
        <v>74</v>
      </c>
      <c r="F4562" s="6" t="s">
        <v>24877</v>
      </c>
      <c r="G4562" s="3" t="str">
        <f>IFERROR(__xludf.DUMMYFUNCTION("REGEXREPLACE(
D4562,
""([一-龯々]+)\[([^\]]+)\]"",
""&lt;ruby&gt;$1&lt;rt&gt;$2&lt;/rt&gt;&lt;/ruby&gt;""
)&amp;""&lt;br&gt;&lt;div class=""""audio""""&gt;[sound:""&amp;C4562&amp;"".mp3]&lt;/div&gt;"""),"&lt;ruby&gt;手首&lt;rt&gt;てくび&lt;/rt&gt;&lt;/ruby&gt;&lt;br&gt;&lt;div class=""audio""&gt;[sound:てくび.mp3]&lt;/div&gt;")</f>
        <v>&lt;ruby&gt;手首&lt;rt&gt;てくび&lt;/rt&gt;&lt;/ruby&gt;&lt;br&gt;&lt;div class="audio"&gt;[sound:てくび.mp3]&lt;/div&gt;</v>
      </c>
      <c r="H4562" s="3" t="str">
        <f t="shared" si="1"/>
        <v>(n): cổ tay</v>
      </c>
      <c r="I4562" s="6" t="s">
        <v>24878</v>
      </c>
      <c r="J4562" s="6" t="s">
        <v>24879</v>
      </c>
      <c r="K4562" s="7">
        <f t="shared" si="2"/>
        <v>0.2479517352</v>
      </c>
    </row>
    <row r="4563">
      <c r="A4563" s="4">
        <v>4563.0</v>
      </c>
      <c r="B4563" s="5" t="s">
        <v>24880</v>
      </c>
      <c r="C4563" s="5" t="s">
        <v>20575</v>
      </c>
      <c r="D4563" s="5" t="s">
        <v>24881</v>
      </c>
      <c r="E4563" s="6" t="s">
        <v>24</v>
      </c>
      <c r="F4563" s="6" t="s">
        <v>1497</v>
      </c>
      <c r="G4563" s="3" t="str">
        <f>IFERROR(__xludf.DUMMYFUNCTION("REGEXREPLACE(
D4563,
""([一-龯々]+)\[([^\]]+)\]"",
""&lt;ruby&gt;$1&lt;rt&gt;$2&lt;/rt&gt;&lt;/ruby&gt;""
)&amp;""&lt;br&gt;&lt;div class=""""audio""""&gt;[sound:""&amp;C4563&amp;"".mp3]&lt;/div&gt;"""),"&lt;ruby&gt;開放&lt;rt&gt;かいほう&lt;/rt&gt;&lt;/ruby&gt;&lt;br&gt;&lt;div class=""audio""&gt;[sound:かいほう.mp3]&lt;/div&gt;")</f>
        <v>&lt;ruby&gt;開放&lt;rt&gt;かいほう&lt;/rt&gt;&lt;/ruby&gt;&lt;br&gt;&lt;div class="audio"&gt;[sound:かいほう.mp3]&lt;/div&gt;</v>
      </c>
      <c r="H4563" s="3" t="str">
        <f t="shared" si="1"/>
        <v>(v): mở</v>
      </c>
      <c r="I4563" s="6" t="s">
        <v>24882</v>
      </c>
      <c r="J4563" s="6" t="s">
        <v>24883</v>
      </c>
      <c r="K4563" s="7">
        <f t="shared" si="2"/>
        <v>0.2992348185</v>
      </c>
    </row>
    <row r="4564">
      <c r="A4564" s="4">
        <v>4564.0</v>
      </c>
      <c r="B4564" s="5" t="s">
        <v>24884</v>
      </c>
      <c r="C4564" s="5" t="s">
        <v>170</v>
      </c>
      <c r="D4564" s="5" t="s">
        <v>24885</v>
      </c>
      <c r="E4564" s="6" t="s">
        <v>24</v>
      </c>
      <c r="F4564" s="6" t="s">
        <v>24886</v>
      </c>
      <c r="G4564" s="3" t="str">
        <f>IFERROR(__xludf.DUMMYFUNCTION("REGEXREPLACE(
D4564,
""([一-龯々]+)\[([^\]]+)\]"",
""&lt;ruby&gt;$1&lt;rt&gt;$2&lt;/rt&gt;&lt;/ruby&gt;""
)&amp;""&lt;br&gt;&lt;div class=""""audio""""&gt;[sound:""&amp;C4564&amp;"".mp3]&lt;/div&gt;"""),"&lt;ruby&gt;診&lt;rt&gt;み&lt;/rt&gt;&lt;/ruby&gt;る&lt;br&gt;&lt;div class=""audio""&gt;[sound:みる.mp3]&lt;/div&gt;")</f>
        <v>&lt;ruby&gt;診&lt;rt&gt;み&lt;/rt&gt;&lt;/ruby&gt;る&lt;br&gt;&lt;div class="audio"&gt;[sound:みる.mp3]&lt;/div&gt;</v>
      </c>
      <c r="H4564" s="3" t="str">
        <f t="shared" si="1"/>
        <v>(v): khám</v>
      </c>
      <c r="I4564" s="6" t="s">
        <v>24887</v>
      </c>
      <c r="J4564" s="6" t="s">
        <v>24888</v>
      </c>
      <c r="K4564" s="7">
        <f t="shared" si="2"/>
        <v>0.8313952579</v>
      </c>
    </row>
    <row r="4565">
      <c r="A4565" s="4">
        <v>4565.0</v>
      </c>
      <c r="B4565" s="5" t="s">
        <v>24889</v>
      </c>
      <c r="C4565" s="5" t="s">
        <v>24890</v>
      </c>
      <c r="D4565" s="5" t="s">
        <v>24889</v>
      </c>
      <c r="E4565" s="6" t="s">
        <v>74</v>
      </c>
      <c r="F4565" s="6" t="s">
        <v>24891</v>
      </c>
      <c r="G4565" s="3" t="str">
        <f>IFERROR(__xludf.DUMMYFUNCTION("REGEXREPLACE(
D4565,
""([一-龯々]+)\[([^\]]+)\]"",
""&lt;ruby&gt;$1&lt;rt&gt;$2&lt;/rt&gt;&lt;/ruby&gt;""
)&amp;""&lt;br&gt;&lt;div class=""""audio""""&gt;[sound:""&amp;C4565&amp;"".mp3]&lt;/div&gt;"""),"インク&lt;br&gt;&lt;div class=""audio""&gt;[sound:いんく.mp3]&lt;/div&gt;")</f>
        <v>インク&lt;br&gt;&lt;div class="audio"&gt;[sound:いんく.mp3]&lt;/div&gt;</v>
      </c>
      <c r="H4565" s="3" t="str">
        <f t="shared" si="1"/>
        <v>(n): mực</v>
      </c>
      <c r="I4565" s="6" t="s">
        <v>24892</v>
      </c>
      <c r="J4565" s="6" t="s">
        <v>24893</v>
      </c>
      <c r="K4565" s="7">
        <f t="shared" si="2"/>
        <v>0.02571038819</v>
      </c>
    </row>
    <row r="4566">
      <c r="A4566" s="4">
        <v>4566.0</v>
      </c>
      <c r="B4566" s="5" t="s">
        <v>24894</v>
      </c>
      <c r="C4566" s="5" t="s">
        <v>24895</v>
      </c>
      <c r="D4566" s="5" t="s">
        <v>24894</v>
      </c>
      <c r="E4566" s="6" t="s">
        <v>74</v>
      </c>
      <c r="F4566" s="6" t="s">
        <v>24896</v>
      </c>
      <c r="G4566" s="3" t="str">
        <f>IFERROR(__xludf.DUMMYFUNCTION("REGEXREPLACE(
D4566,
""([一-龯々]+)\[([^\]]+)\]"",
""&lt;ruby&gt;$1&lt;rt&gt;$2&lt;/rt&gt;&lt;/ruby&gt;""
)&amp;""&lt;br&gt;&lt;div class=""""audio""""&gt;[sound:""&amp;C4566&amp;"".mp3]&lt;/div&gt;"""),"グラム&lt;br&gt;&lt;div class=""audio""&gt;[sound:ぐらむ.mp3]&lt;/div&gt;")</f>
        <v>グラム&lt;br&gt;&lt;div class="audio"&gt;[sound:ぐらむ.mp3]&lt;/div&gt;</v>
      </c>
      <c r="H4566" s="3" t="str">
        <f t="shared" si="1"/>
        <v>(n): gam</v>
      </c>
      <c r="I4566" s="6" t="s">
        <v>24897</v>
      </c>
      <c r="J4566" s="6" t="s">
        <v>24898</v>
      </c>
      <c r="K4566" s="7">
        <f t="shared" si="2"/>
        <v>0.6013854542</v>
      </c>
    </row>
    <row r="4567">
      <c r="A4567" s="4">
        <v>4567.0</v>
      </c>
      <c r="B4567" s="5" t="s">
        <v>24899</v>
      </c>
      <c r="C4567" s="5" t="s">
        <v>24899</v>
      </c>
      <c r="D4567" s="5" t="s">
        <v>24899</v>
      </c>
      <c r="E4567" s="6" t="s">
        <v>24</v>
      </c>
      <c r="F4567" s="6" t="s">
        <v>24900</v>
      </c>
      <c r="G4567" s="3" t="str">
        <f>IFERROR(__xludf.DUMMYFUNCTION("REGEXREPLACE(
D4567,
""([一-龯々]+)\[([^\]]+)\]"",
""&lt;ruby&gt;$1&lt;rt&gt;$2&lt;/rt&gt;&lt;/ruby&gt;""
)&amp;""&lt;br&gt;&lt;div class=""""audio""""&gt;[sound:""&amp;C4567&amp;"".mp3]&lt;/div&gt;"""),"ずらす&lt;br&gt;&lt;div class=""audio""&gt;[sound:ずらす.mp3]&lt;/div&gt;")</f>
        <v>ずらす&lt;br&gt;&lt;div class="audio"&gt;[sound:ずらす.mp3]&lt;/div&gt;</v>
      </c>
      <c r="H4567" s="3" t="str">
        <f t="shared" si="1"/>
        <v>(v): dời</v>
      </c>
      <c r="I4567" s="6" t="s">
        <v>24901</v>
      </c>
      <c r="J4567" s="6" t="s">
        <v>24902</v>
      </c>
      <c r="K4567" s="7">
        <f t="shared" si="2"/>
        <v>0.4612903563</v>
      </c>
    </row>
    <row r="4568">
      <c r="A4568" s="4">
        <v>4568.0</v>
      </c>
      <c r="B4568" s="5" t="s">
        <v>24903</v>
      </c>
      <c r="C4568" s="5" t="s">
        <v>24904</v>
      </c>
      <c r="D4568" s="5" t="s">
        <v>24905</v>
      </c>
      <c r="E4568" s="6" t="s">
        <v>24</v>
      </c>
      <c r="F4568" s="6" t="s">
        <v>5021</v>
      </c>
      <c r="G4568" s="3" t="str">
        <f>IFERROR(__xludf.DUMMYFUNCTION("REGEXREPLACE(
D4568,
""([一-龯々]+)\[([^\]]+)\]"",
""&lt;ruby&gt;$1&lt;rt&gt;$2&lt;/rt&gt;&lt;/ruby&gt;""
)&amp;""&lt;br&gt;&lt;div class=""""audio""""&gt;[sound:""&amp;C4568&amp;"".mp3]&lt;/div&gt;"""),"&lt;ruby&gt;蹴&lt;rt&gt;け&lt;/rt&gt;&lt;/ruby&gt;る&lt;br&gt;&lt;div class=""audio""&gt;[sound:ける.mp3]&lt;/div&gt;")</f>
        <v>&lt;ruby&gt;蹴&lt;rt&gt;け&lt;/rt&gt;&lt;/ruby&gt;る&lt;br&gt;&lt;div class="audio"&gt;[sound:ける.mp3]&lt;/div&gt;</v>
      </c>
      <c r="H4568" s="3" t="str">
        <f t="shared" si="1"/>
        <v>(v): đá</v>
      </c>
      <c r="I4568" s="6" t="s">
        <v>24906</v>
      </c>
      <c r="J4568" s="6" t="s">
        <v>24907</v>
      </c>
      <c r="K4568" s="7">
        <f t="shared" si="2"/>
        <v>0.5045095967</v>
      </c>
    </row>
    <row r="4569">
      <c r="A4569" s="4">
        <v>4569.0</v>
      </c>
      <c r="B4569" s="5" t="s">
        <v>24908</v>
      </c>
      <c r="C4569" s="5" t="s">
        <v>24908</v>
      </c>
      <c r="D4569" s="5" t="s">
        <v>24908</v>
      </c>
      <c r="E4569" s="6" t="s">
        <v>74</v>
      </c>
      <c r="F4569" s="6" t="s">
        <v>24909</v>
      </c>
      <c r="G4569" s="3" t="str">
        <f>IFERROR(__xludf.DUMMYFUNCTION("REGEXREPLACE(
D4569,
""([一-龯々]+)\[([^\]]+)\]"",
""&lt;ruby&gt;$1&lt;rt&gt;$2&lt;/rt&gt;&lt;/ruby&gt;""
)&amp;""&lt;br&gt;&lt;div class=""""audio""""&gt;[sound:""&amp;C4569&amp;"".mp3]&lt;/div&gt;"""),"たんす&lt;br&gt;&lt;div class=""audio""&gt;[sound:たんす.mp3]&lt;/div&gt;")</f>
        <v>たんす&lt;br&gt;&lt;div class="audio"&gt;[sound:たんす.mp3]&lt;/div&gt;</v>
      </c>
      <c r="H4569" s="3" t="str">
        <f t="shared" si="1"/>
        <v>(n): tủ quần áo</v>
      </c>
      <c r="I4569" s="6" t="s">
        <v>24910</v>
      </c>
      <c r="J4569" s="6" t="s">
        <v>24911</v>
      </c>
      <c r="K4569" s="7">
        <f t="shared" si="2"/>
        <v>0.561783714</v>
      </c>
    </row>
    <row r="4570">
      <c r="A4570" s="4">
        <v>4570.0</v>
      </c>
      <c r="B4570" s="5" t="s">
        <v>24912</v>
      </c>
      <c r="C4570" s="5" t="s">
        <v>3563</v>
      </c>
      <c r="D4570" s="5" t="s">
        <v>24913</v>
      </c>
      <c r="E4570" s="6" t="s">
        <v>24</v>
      </c>
      <c r="F4570" s="6" t="s">
        <v>24914</v>
      </c>
      <c r="G4570" s="3" t="str">
        <f>IFERROR(__xludf.DUMMYFUNCTION("REGEXREPLACE(
D4570,
""([一-龯々]+)\[([^\]]+)\]"",
""&lt;ruby&gt;$1&lt;rt&gt;$2&lt;/rt&gt;&lt;/ruby&gt;""
)&amp;""&lt;br&gt;&lt;div class=""""audio""""&gt;[sound:""&amp;C4570&amp;"".mp3]&lt;/div&gt;"""),"&lt;ruby&gt;上京&lt;rt&gt;じょうきょう&lt;/rt&gt;&lt;/ruby&gt;&lt;br&gt;&lt;div class=""audio""&gt;[sound:じょうきょう.mp3]&lt;/div&gt;")</f>
        <v>&lt;ruby&gt;上京&lt;rt&gt;じょうきょう&lt;/rt&gt;&lt;/ruby&gt;&lt;br&gt;&lt;div class="audio"&gt;[sound:じょうきょう.mp3]&lt;/div&gt;</v>
      </c>
      <c r="H4570" s="3" t="str">
        <f t="shared" si="1"/>
        <v>(v): lên thủ đô</v>
      </c>
      <c r="I4570" s="6" t="s">
        <v>24915</v>
      </c>
      <c r="J4570" s="6" t="s">
        <v>24916</v>
      </c>
      <c r="K4570" s="7">
        <f t="shared" si="2"/>
        <v>0.008159680403</v>
      </c>
    </row>
    <row r="4571">
      <c r="A4571" s="4">
        <v>4571.0</v>
      </c>
      <c r="B4571" s="5" t="s">
        <v>24917</v>
      </c>
      <c r="C4571" s="5" t="s">
        <v>24918</v>
      </c>
      <c r="D4571" s="5" t="s">
        <v>24917</v>
      </c>
      <c r="E4571" s="6" t="s">
        <v>74</v>
      </c>
      <c r="F4571" s="6" t="s">
        <v>24919</v>
      </c>
      <c r="G4571" s="3" t="str">
        <f>IFERROR(__xludf.DUMMYFUNCTION("REGEXREPLACE(
D4571,
""([一-龯々]+)\[([^\]]+)\]"",
""&lt;ruby&gt;$1&lt;rt&gt;$2&lt;/rt&gt;&lt;/ruby&gt;""
)&amp;""&lt;br&gt;&lt;div class=""""audio""""&gt;[sound:""&amp;C4571&amp;"".mp3]&lt;/div&gt;"""),"ステーキ&lt;br&gt;&lt;div class=""audio""&gt;[sound:すてーき.mp3]&lt;/div&gt;")</f>
        <v>ステーキ&lt;br&gt;&lt;div class="audio"&gt;[sound:すてーき.mp3]&lt;/div&gt;</v>
      </c>
      <c r="H4571" s="3" t="str">
        <f t="shared" si="1"/>
        <v>(n): bít tết</v>
      </c>
      <c r="I4571" s="6" t="s">
        <v>24920</v>
      </c>
      <c r="J4571" s="6" t="s">
        <v>24921</v>
      </c>
      <c r="K4571" s="7">
        <f t="shared" si="2"/>
        <v>0.8835406852</v>
      </c>
    </row>
    <row r="4572">
      <c r="A4572" s="4">
        <v>4572.0</v>
      </c>
      <c r="B4572" s="5" t="s">
        <v>24922</v>
      </c>
      <c r="C4572" s="5" t="s">
        <v>24923</v>
      </c>
      <c r="D4572" s="5" t="s">
        <v>24924</v>
      </c>
      <c r="E4572" s="6" t="s">
        <v>74</v>
      </c>
      <c r="F4572" s="6" t="s">
        <v>24925</v>
      </c>
      <c r="G4572" s="3" t="str">
        <f>IFERROR(__xludf.DUMMYFUNCTION("REGEXREPLACE(
D4572,
""([一-龯々]+)\[([^\]]+)\]"",
""&lt;ruby&gt;$1&lt;rt&gt;$2&lt;/rt&gt;&lt;/ruby&gt;""
)&amp;""&lt;br&gt;&lt;div class=""""audio""""&gt;[sound:""&amp;C4572&amp;"".mp3]&lt;/div&gt;"""),"&lt;ruby&gt;牛肉&lt;rt&gt;ぎゅうにく&lt;/rt&gt;&lt;/ruby&gt;&lt;br&gt;&lt;div class=""audio""&gt;[sound:ぎゅうにく.mp3]&lt;/div&gt;")</f>
        <v>&lt;ruby&gt;牛肉&lt;rt&gt;ぎゅうにく&lt;/rt&gt;&lt;/ruby&gt;&lt;br&gt;&lt;div class="audio"&gt;[sound:ぎゅうにく.mp3]&lt;/div&gt;</v>
      </c>
      <c r="H4572" s="3" t="str">
        <f t="shared" si="1"/>
        <v>(n): thịt bò</v>
      </c>
      <c r="I4572" s="6" t="s">
        <v>24926</v>
      </c>
      <c r="J4572" s="6" t="s">
        <v>24927</v>
      </c>
      <c r="K4572" s="7">
        <f t="shared" si="2"/>
        <v>0.6029888705</v>
      </c>
    </row>
    <row r="4573">
      <c r="A4573" s="4">
        <v>4573.0</v>
      </c>
      <c r="B4573" s="5" t="s">
        <v>24928</v>
      </c>
      <c r="C4573" s="5" t="s">
        <v>24929</v>
      </c>
      <c r="D4573" s="5" t="s">
        <v>24928</v>
      </c>
      <c r="E4573" s="6" t="s">
        <v>74</v>
      </c>
      <c r="F4573" s="6" t="s">
        <v>24930</v>
      </c>
      <c r="G4573" s="3" t="str">
        <f>IFERROR(__xludf.DUMMYFUNCTION("REGEXREPLACE(
D4573,
""([一-龯々]+)\[([^\]]+)\]"",
""&lt;ruby&gt;$1&lt;rt&gt;$2&lt;/rt&gt;&lt;/ruby&gt;""
)&amp;""&lt;br&gt;&lt;div class=""""audio""""&gt;[sound:""&amp;C4573&amp;"".mp3]&lt;/div&gt;"""),"セーター&lt;br&gt;&lt;div class=""audio""&gt;[sound:せーたー.mp3]&lt;/div&gt;")</f>
        <v>セーター&lt;br&gt;&lt;div class="audio"&gt;[sound:せーたー.mp3]&lt;/div&gt;</v>
      </c>
      <c r="H4573" s="3" t="str">
        <f t="shared" si="1"/>
        <v>(n): áo len</v>
      </c>
      <c r="I4573" s="6" t="s">
        <v>24931</v>
      </c>
      <c r="J4573" s="6" t="s">
        <v>24932</v>
      </c>
      <c r="K4573" s="7">
        <f t="shared" si="2"/>
        <v>0.1595360651</v>
      </c>
    </row>
    <row r="4574">
      <c r="A4574" s="4">
        <v>4574.0</v>
      </c>
      <c r="B4574" s="5" t="s">
        <v>24933</v>
      </c>
      <c r="C4574" s="5" t="s">
        <v>24934</v>
      </c>
      <c r="D4574" s="5" t="s">
        <v>24935</v>
      </c>
      <c r="E4574" s="6" t="s">
        <v>74</v>
      </c>
      <c r="F4574" s="6" t="s">
        <v>24936</v>
      </c>
      <c r="G4574" s="3" t="str">
        <f>IFERROR(__xludf.DUMMYFUNCTION("REGEXREPLACE(
D4574,
""([一-龯々]+)\[([^\]]+)\]"",
""&lt;ruby&gt;$1&lt;rt&gt;$2&lt;/rt&gt;&lt;/ruby&gt;""
)&amp;""&lt;br&gt;&lt;div class=""""audio""""&gt;[sound:""&amp;C4574&amp;"".mp3]&lt;/div&gt;"""),"&lt;ruby&gt;下着&lt;rt&gt;したぎ&lt;/rt&gt;&lt;/ruby&gt;&lt;br&gt;&lt;div class=""audio""&gt;[sound:したぎ.mp3]&lt;/div&gt;")</f>
        <v>&lt;ruby&gt;下着&lt;rt&gt;したぎ&lt;/rt&gt;&lt;/ruby&gt;&lt;br&gt;&lt;div class="audio"&gt;[sound:したぎ.mp3]&lt;/div&gt;</v>
      </c>
      <c r="H4574" s="3" t="str">
        <f t="shared" si="1"/>
        <v>(n): đồ lót</v>
      </c>
      <c r="I4574" s="6" t="s">
        <v>24937</v>
      </c>
      <c r="J4574" s="6" t="s">
        <v>24938</v>
      </c>
      <c r="K4574" s="7">
        <f t="shared" si="2"/>
        <v>0.6411963629</v>
      </c>
    </row>
    <row r="4575">
      <c r="A4575" s="4">
        <v>4575.0</v>
      </c>
      <c r="B4575" s="5" t="s">
        <v>24939</v>
      </c>
      <c r="C4575" s="5" t="s">
        <v>24940</v>
      </c>
      <c r="D4575" s="5" t="s">
        <v>24941</v>
      </c>
      <c r="E4575" s="6" t="s">
        <v>24</v>
      </c>
      <c r="F4575" s="6" t="s">
        <v>24942</v>
      </c>
      <c r="G4575" s="3" t="str">
        <f>IFERROR(__xludf.DUMMYFUNCTION("REGEXREPLACE(
D4575,
""([一-龯々]+)\[([^\]]+)\]"",
""&lt;ruby&gt;$1&lt;rt&gt;$2&lt;/rt&gt;&lt;/ruby&gt;""
)&amp;""&lt;br&gt;&lt;div class=""""audio""""&gt;[sound:""&amp;C4575&amp;"".mp3]&lt;/div&gt;"""),"&lt;ruby&gt;署名&lt;rt&gt;しょめい&lt;/rt&gt;&lt;/ruby&gt;&lt;br&gt;&lt;div class=""audio""&gt;[sound:しょめい.mp3]&lt;/div&gt;")</f>
        <v>&lt;ruby&gt;署名&lt;rt&gt;しょめい&lt;/rt&gt;&lt;/ruby&gt;&lt;br&gt;&lt;div class="audio"&gt;[sound:しょめい.mp3]&lt;/div&gt;</v>
      </c>
      <c r="H4575" s="3" t="str">
        <f t="shared" si="1"/>
        <v>(v): ký tên</v>
      </c>
      <c r="I4575" s="6" t="s">
        <v>24943</v>
      </c>
      <c r="J4575" s="6" t="s">
        <v>24944</v>
      </c>
      <c r="K4575" s="7">
        <f t="shared" si="2"/>
        <v>0.8261966346</v>
      </c>
    </row>
    <row r="4576">
      <c r="A4576" s="4">
        <v>4576.0</v>
      </c>
      <c r="B4576" s="5" t="s">
        <v>24945</v>
      </c>
      <c r="C4576" s="5" t="s">
        <v>24946</v>
      </c>
      <c r="D4576" s="5" t="s">
        <v>24947</v>
      </c>
      <c r="E4576" s="6" t="s">
        <v>24</v>
      </c>
      <c r="F4576" s="6" t="s">
        <v>24948</v>
      </c>
      <c r="G4576" s="3" t="str">
        <f>IFERROR(__xludf.DUMMYFUNCTION("REGEXREPLACE(
D4576,
""([一-龯々]+)\[([^\]]+)\]"",
""&lt;ruby&gt;$1&lt;rt&gt;$2&lt;/rt&gt;&lt;/ruby&gt;""
)&amp;""&lt;br&gt;&lt;div class=""""audio""""&gt;[sound:""&amp;C4576&amp;"".mp3]&lt;/div&gt;"""),"&lt;ruby&gt;交&lt;rt&gt;ま&lt;/rt&gt;&lt;/ruby&gt;ぜる&lt;br&gt;&lt;div class=""audio""&gt;[sound:まぜる.mp3]&lt;/div&gt;")</f>
        <v>&lt;ruby&gt;交&lt;rt&gt;ま&lt;/rt&gt;&lt;/ruby&gt;ぜる&lt;br&gt;&lt;div class="audio"&gt;[sound:まぜる.mp3]&lt;/div&gt;</v>
      </c>
      <c r="H4576" s="3" t="str">
        <f t="shared" si="1"/>
        <v>(v): trộn</v>
      </c>
      <c r="I4576" s="6" t="s">
        <v>24949</v>
      </c>
      <c r="J4576" s="6" t="s">
        <v>24950</v>
      </c>
      <c r="K4576" s="7">
        <f t="shared" si="2"/>
        <v>0.6266080844</v>
      </c>
    </row>
    <row r="4577">
      <c r="A4577" s="4">
        <v>4577.0</v>
      </c>
      <c r="B4577" s="5" t="s">
        <v>24951</v>
      </c>
      <c r="C4577" s="5" t="s">
        <v>24952</v>
      </c>
      <c r="D4577" s="5" t="s">
        <v>24953</v>
      </c>
      <c r="E4577" s="6" t="s">
        <v>74</v>
      </c>
      <c r="F4577" s="6" t="s">
        <v>24954</v>
      </c>
      <c r="G4577" s="3" t="str">
        <f>IFERROR(__xludf.DUMMYFUNCTION("REGEXREPLACE(
D4577,
""([一-龯々]+)\[([^\]]+)\]"",
""&lt;ruby&gt;$1&lt;rt&gt;$2&lt;/rt&gt;&lt;/ruby&gt;""
)&amp;""&lt;br&gt;&lt;div class=""""audio""""&gt;[sound:""&amp;C4577&amp;"".mp3]&lt;/div&gt;"""),"&lt;ruby&gt;塊&lt;rt&gt;かたまり&lt;/rt&gt;&lt;/ruby&gt;&lt;br&gt;&lt;div class=""audio""&gt;[sound:かたまり.mp3]&lt;/div&gt;")</f>
        <v>&lt;ruby&gt;塊&lt;rt&gt;かたまり&lt;/rt&gt;&lt;/ruby&gt;&lt;br&gt;&lt;div class="audio"&gt;[sound:かたまり.mp3]&lt;/div&gt;</v>
      </c>
      <c r="H4577" s="3" t="str">
        <f t="shared" si="1"/>
        <v>(n): khối</v>
      </c>
      <c r="I4577" s="6" t="s">
        <v>24955</v>
      </c>
      <c r="J4577" s="6" t="s">
        <v>24956</v>
      </c>
      <c r="K4577" s="7">
        <f t="shared" si="2"/>
        <v>0.05566331766</v>
      </c>
    </row>
    <row r="4578">
      <c r="A4578" s="4">
        <v>4578.0</v>
      </c>
      <c r="B4578" s="5" t="s">
        <v>24957</v>
      </c>
      <c r="C4578" s="5" t="s">
        <v>24958</v>
      </c>
      <c r="D4578" s="5" t="s">
        <v>24959</v>
      </c>
      <c r="E4578" s="6" t="s">
        <v>74</v>
      </c>
      <c r="F4578" s="6" t="s">
        <v>24960</v>
      </c>
      <c r="G4578" s="3" t="str">
        <f>IFERROR(__xludf.DUMMYFUNCTION("REGEXREPLACE(
D4578,
""([一-龯々]+)\[([^\]]+)\]"",
""&lt;ruby&gt;$1&lt;rt&gt;$2&lt;/rt&gt;&lt;/ruby&gt;""
)&amp;""&lt;br&gt;&lt;div class=""""audio""""&gt;[sound:""&amp;C4578&amp;"".mp3]&lt;/div&gt;"""),"&lt;ruby&gt;切符&lt;rt&gt;きっぷ&lt;/rt&gt;&lt;/ruby&gt;&lt;br&gt;&lt;div class=""audio""&gt;[sound:きっぷ.mp3]&lt;/div&gt;")</f>
        <v>&lt;ruby&gt;切符&lt;rt&gt;きっぷ&lt;/rt&gt;&lt;/ruby&gt;&lt;br&gt;&lt;div class="audio"&gt;[sound:きっぷ.mp3]&lt;/div&gt;</v>
      </c>
      <c r="H4578" s="3" t="str">
        <f t="shared" si="1"/>
        <v>(n): vé</v>
      </c>
      <c r="I4578" s="6" t="s">
        <v>24961</v>
      </c>
      <c r="J4578" s="6" t="s">
        <v>24962</v>
      </c>
      <c r="K4578" s="7">
        <f t="shared" si="2"/>
        <v>0.7070013178</v>
      </c>
    </row>
    <row r="4579">
      <c r="A4579" s="4">
        <v>4579.0</v>
      </c>
      <c r="B4579" s="5" t="s">
        <v>24963</v>
      </c>
      <c r="C4579" s="5" t="s">
        <v>17464</v>
      </c>
      <c r="D4579" s="5" t="s">
        <v>24964</v>
      </c>
      <c r="E4579" s="6" t="s">
        <v>24</v>
      </c>
      <c r="F4579" s="6" t="s">
        <v>2403</v>
      </c>
      <c r="G4579" s="3" t="str">
        <f>IFERROR(__xludf.DUMMYFUNCTION("REGEXREPLACE(
D4579,
""([一-龯々]+)\[([^\]]+)\]"",
""&lt;ruby&gt;$1&lt;rt&gt;$2&lt;/rt&gt;&lt;/ruby&gt;""
)&amp;""&lt;br&gt;&lt;div class=""""audio""""&gt;[sound:""&amp;C4579&amp;"".mp3]&lt;/div&gt;"""),"&lt;ruby&gt;休息&lt;rt&gt;きゅうそく&lt;/rt&gt;&lt;/ruby&gt;&lt;br&gt;&lt;div class=""audio""&gt;[sound:きゅうそく.mp3]&lt;/div&gt;")</f>
        <v>&lt;ruby&gt;休息&lt;rt&gt;きゅうそく&lt;/rt&gt;&lt;/ruby&gt;&lt;br&gt;&lt;div class="audio"&gt;[sound:きゅうそく.mp3]&lt;/div&gt;</v>
      </c>
      <c r="H4579" s="3" t="str">
        <f t="shared" si="1"/>
        <v>(v): nghỉ ngơi</v>
      </c>
      <c r="I4579" s="6" t="s">
        <v>24965</v>
      </c>
      <c r="J4579" s="6" t="s">
        <v>24966</v>
      </c>
      <c r="K4579" s="7">
        <f t="shared" si="2"/>
        <v>0.7361067594</v>
      </c>
    </row>
    <row r="4580">
      <c r="A4580" s="4">
        <v>4580.0</v>
      </c>
      <c r="B4580" s="5" t="s">
        <v>24967</v>
      </c>
      <c r="C4580" s="5" t="s">
        <v>24968</v>
      </c>
      <c r="D4580" s="5" t="s">
        <v>24969</v>
      </c>
      <c r="E4580" s="6" t="s">
        <v>24</v>
      </c>
      <c r="F4580" s="6" t="s">
        <v>24970</v>
      </c>
      <c r="G4580" s="3" t="str">
        <f>IFERROR(__xludf.DUMMYFUNCTION("REGEXREPLACE(
D4580,
""([一-龯々]+)\[([^\]]+)\]"",
""&lt;ruby&gt;$1&lt;rt&gt;$2&lt;/rt&gt;&lt;/ruby&gt;""
)&amp;""&lt;br&gt;&lt;div class=""""audio""""&gt;[sound:""&amp;C4580&amp;"".mp3]&lt;/div&gt;"""),"&lt;ruby&gt;退院&lt;rt&gt;たいいん&lt;/rt&gt;&lt;/ruby&gt;&lt;br&gt;&lt;div class=""audio""&gt;[sound:たいいん.mp3]&lt;/div&gt;")</f>
        <v>&lt;ruby&gt;退院&lt;rt&gt;たいいん&lt;/rt&gt;&lt;/ruby&gt;&lt;br&gt;&lt;div class="audio"&gt;[sound:たいいん.mp3]&lt;/div&gt;</v>
      </c>
      <c r="H4580" s="3" t="str">
        <f t="shared" si="1"/>
        <v>(v): xuất viện</v>
      </c>
      <c r="I4580" s="6" t="s">
        <v>24971</v>
      </c>
      <c r="J4580" s="6" t="s">
        <v>24972</v>
      </c>
      <c r="K4580" s="7">
        <f t="shared" si="2"/>
        <v>0.4472643393</v>
      </c>
    </row>
    <row r="4581">
      <c r="A4581" s="4">
        <v>4581.0</v>
      </c>
      <c r="B4581" s="5" t="s">
        <v>24973</v>
      </c>
      <c r="C4581" s="5" t="s">
        <v>24974</v>
      </c>
      <c r="D4581" s="5" t="s">
        <v>24975</v>
      </c>
      <c r="E4581" s="6" t="s">
        <v>74</v>
      </c>
      <c r="F4581" s="6" t="s">
        <v>24976</v>
      </c>
      <c r="G4581" s="3" t="str">
        <f>IFERROR(__xludf.DUMMYFUNCTION("REGEXREPLACE(
D4581,
""([一-龯々]+)\[([^\]]+)\]"",
""&lt;ruby&gt;$1&lt;rt&gt;$2&lt;/rt&gt;&lt;/ruby&gt;""
)&amp;""&lt;br&gt;&lt;div class=""""audio""""&gt;[sound:""&amp;C4581&amp;"".mp3]&lt;/div&gt;"""),"&lt;ruby&gt;逆&lt;rt&gt;さか&lt;/rt&gt;&lt;/ruby&gt;さ&lt;br&gt;&lt;div class=""audio""&gt;[sound:さかさ.mp3]&lt;/div&gt;")</f>
        <v>&lt;ruby&gt;逆&lt;rt&gt;さか&lt;/rt&gt;&lt;/ruby&gt;さ&lt;br&gt;&lt;div class="audio"&gt;[sound:さかさ.mp3]&lt;/div&gt;</v>
      </c>
      <c r="H4581" s="3" t="str">
        <f t="shared" si="1"/>
        <v>(n): đảo ngược</v>
      </c>
      <c r="I4581" s="6" t="s">
        <v>24977</v>
      </c>
      <c r="J4581" s="6" t="s">
        <v>24978</v>
      </c>
      <c r="K4581" s="7">
        <f t="shared" si="2"/>
        <v>0.3466703769</v>
      </c>
    </row>
    <row r="4582">
      <c r="A4582" s="4">
        <v>4582.0</v>
      </c>
      <c r="B4582" s="5" t="s">
        <v>24979</v>
      </c>
      <c r="C4582" s="5" t="s">
        <v>24980</v>
      </c>
      <c r="D4582" s="5" t="s">
        <v>24981</v>
      </c>
      <c r="E4582" s="6" t="s">
        <v>74</v>
      </c>
      <c r="F4582" s="6" t="s">
        <v>24982</v>
      </c>
      <c r="G4582" s="3" t="str">
        <f>IFERROR(__xludf.DUMMYFUNCTION("REGEXREPLACE(
D4582,
""([一-龯々]+)\[([^\]]+)\]"",
""&lt;ruby&gt;$1&lt;rt&gt;$2&lt;/rt&gt;&lt;/ruby&gt;""
)&amp;""&lt;br&gt;&lt;div class=""""audio""""&gt;[sound:""&amp;C4582&amp;"".mp3]&lt;/div&gt;"""),"&lt;ruby&gt;傘&lt;rt&gt;かさ&lt;/rt&gt;&lt;/ruby&gt;&lt;br&gt;&lt;div class=""audio""&gt;[sound:かさ.mp3]&lt;/div&gt;")</f>
        <v>&lt;ruby&gt;傘&lt;rt&gt;かさ&lt;/rt&gt;&lt;/ruby&gt;&lt;br&gt;&lt;div class="audio"&gt;[sound:かさ.mp3]&lt;/div&gt;</v>
      </c>
      <c r="H4582" s="3" t="str">
        <f t="shared" si="1"/>
        <v>(n): chiếc ô</v>
      </c>
      <c r="I4582" s="6" t="s">
        <v>24983</v>
      </c>
      <c r="J4582" s="6" t="s">
        <v>24984</v>
      </c>
      <c r="K4582" s="7">
        <f t="shared" si="2"/>
        <v>0.004299426799</v>
      </c>
    </row>
    <row r="4583">
      <c r="A4583" s="4">
        <v>4583.0</v>
      </c>
      <c r="B4583" s="5" t="s">
        <v>24985</v>
      </c>
      <c r="C4583" s="5" t="s">
        <v>24986</v>
      </c>
      <c r="D4583" s="5" t="s">
        <v>24987</v>
      </c>
      <c r="E4583" s="6" t="s">
        <v>24</v>
      </c>
      <c r="F4583" s="6" t="s">
        <v>24988</v>
      </c>
      <c r="G4583" s="3" t="str">
        <f>IFERROR(__xludf.DUMMYFUNCTION("REGEXREPLACE(
D4583,
""([一-龯々]+)\[([^\]]+)\]"",
""&lt;ruby&gt;$1&lt;rt&gt;$2&lt;/rt&gt;&lt;/ruby&gt;""
)&amp;""&lt;br&gt;&lt;div class=""""audio""""&gt;[sound:""&amp;C4583&amp;"".mp3]&lt;/div&gt;"""),"&lt;ruby&gt;両替&lt;rt&gt;りょうがえ&lt;/rt&gt;&lt;/ruby&gt;&lt;br&gt;&lt;div class=""audio""&gt;[sound:りょうがえ.mp3]&lt;/div&gt;")</f>
        <v>&lt;ruby&gt;両替&lt;rt&gt;りょうがえ&lt;/rt&gt;&lt;/ruby&gt;&lt;br&gt;&lt;div class="audio"&gt;[sound:りょうがえ.mp3]&lt;/div&gt;</v>
      </c>
      <c r="H4583" s="3" t="str">
        <f t="shared" si="1"/>
        <v>(v): đổi tiền</v>
      </c>
      <c r="I4583" s="6" t="s">
        <v>24989</v>
      </c>
      <c r="J4583" s="6" t="s">
        <v>24990</v>
      </c>
      <c r="K4583" s="7">
        <f t="shared" si="2"/>
        <v>0.446919987</v>
      </c>
    </row>
    <row r="4584">
      <c r="A4584" s="4">
        <v>4584.0</v>
      </c>
      <c r="B4584" s="5" t="s">
        <v>24991</v>
      </c>
      <c r="C4584" s="5" t="s">
        <v>24992</v>
      </c>
      <c r="D4584" s="5" t="s">
        <v>24993</v>
      </c>
      <c r="E4584" s="6" t="s">
        <v>74</v>
      </c>
      <c r="F4584" s="6" t="s">
        <v>24994</v>
      </c>
      <c r="G4584" s="3" t="str">
        <f>IFERROR(__xludf.DUMMYFUNCTION("REGEXREPLACE(
D4584,
""([一-龯々]+)\[([^\]]+)\]"",
""&lt;ruby&gt;$1&lt;rt&gt;$2&lt;/rt&gt;&lt;/ruby&gt;""
)&amp;""&lt;br&gt;&lt;div class=""""audio""""&gt;[sound:""&amp;C4584&amp;"".mp3]&lt;/div&gt;"""),"&lt;ruby&gt;指輪&lt;rt&gt;ゆびわ&lt;/rt&gt;&lt;/ruby&gt;&lt;br&gt;&lt;div class=""audio""&gt;[sound:ゆびわ.mp3]&lt;/div&gt;")</f>
        <v>&lt;ruby&gt;指輪&lt;rt&gt;ゆびわ&lt;/rt&gt;&lt;/ruby&gt;&lt;br&gt;&lt;div class="audio"&gt;[sound:ゆびわ.mp3]&lt;/div&gt;</v>
      </c>
      <c r="H4584" s="3" t="str">
        <f t="shared" si="1"/>
        <v>(n): nhẫn</v>
      </c>
      <c r="I4584" s="6" t="s">
        <v>24995</v>
      </c>
      <c r="J4584" s="6" t="s">
        <v>24996</v>
      </c>
      <c r="K4584" s="7">
        <f t="shared" si="2"/>
        <v>0.6796986576</v>
      </c>
    </row>
    <row r="4585">
      <c r="A4585" s="4">
        <v>4585.0</v>
      </c>
      <c r="B4585" s="5" t="s">
        <v>24997</v>
      </c>
      <c r="C4585" s="5" t="s">
        <v>24998</v>
      </c>
      <c r="D4585" s="5" t="s">
        <v>24997</v>
      </c>
      <c r="E4585" s="6" t="s">
        <v>74</v>
      </c>
      <c r="F4585" s="6" t="s">
        <v>24999</v>
      </c>
      <c r="G4585" s="3" t="str">
        <f>IFERROR(__xludf.DUMMYFUNCTION("REGEXREPLACE(
D4585,
""([一-龯々]+)\[([^\]]+)\]"",
""&lt;ruby&gt;$1&lt;rt&gt;$2&lt;/rt&gt;&lt;/ruby&gt;""
)&amp;""&lt;br&gt;&lt;div class=""""audio""""&gt;[sound:""&amp;C4585&amp;"".mp3]&lt;/div&gt;"""),"テント&lt;br&gt;&lt;div class=""audio""&gt;[sound:てんと.mp3]&lt;/div&gt;")</f>
        <v>テント&lt;br&gt;&lt;div class="audio"&gt;[sound:てんと.mp3]&lt;/div&gt;</v>
      </c>
      <c r="H4585" s="3" t="str">
        <f t="shared" si="1"/>
        <v>(n): lều</v>
      </c>
      <c r="I4585" s="6" t="s">
        <v>25000</v>
      </c>
      <c r="J4585" s="6" t="s">
        <v>25001</v>
      </c>
      <c r="K4585" s="7">
        <f t="shared" si="2"/>
        <v>0.3997751841</v>
      </c>
    </row>
    <row r="4586">
      <c r="A4586" s="4">
        <v>4586.0</v>
      </c>
      <c r="B4586" s="5" t="s">
        <v>25002</v>
      </c>
      <c r="C4586" s="5" t="s">
        <v>25003</v>
      </c>
      <c r="D4586" s="5" t="s">
        <v>25002</v>
      </c>
      <c r="E4586" s="6" t="s">
        <v>74</v>
      </c>
      <c r="F4586" s="6" t="s">
        <v>11781</v>
      </c>
      <c r="G4586" s="3" t="str">
        <f>IFERROR(__xludf.DUMMYFUNCTION("REGEXREPLACE(
D4586,
""([一-龯々]+)\[([^\]]+)\]"",
""&lt;ruby&gt;$1&lt;rt&gt;$2&lt;/rt&gt;&lt;/ruby&gt;""
)&amp;""&lt;br&gt;&lt;div class=""""audio""""&gt;[sound:""&amp;C4586&amp;"".mp3]&lt;/div&gt;"""),"トランプ&lt;br&gt;&lt;div class=""audio""&gt;[sound:とらんぷ.mp3]&lt;/div&gt;")</f>
        <v>トランプ&lt;br&gt;&lt;div class="audio"&gt;[sound:とらんぷ.mp3]&lt;/div&gt;</v>
      </c>
      <c r="H4586" s="3" t="str">
        <f t="shared" si="1"/>
        <v>(n): bài</v>
      </c>
      <c r="I4586" s="6" t="s">
        <v>25004</v>
      </c>
      <c r="J4586" s="6" t="s">
        <v>25005</v>
      </c>
      <c r="K4586" s="7">
        <f t="shared" si="2"/>
        <v>0.9209069208</v>
      </c>
    </row>
    <row r="4587">
      <c r="A4587" s="4">
        <v>4587.0</v>
      </c>
      <c r="B4587" s="5" t="s">
        <v>25006</v>
      </c>
      <c r="C4587" s="5" t="s">
        <v>25007</v>
      </c>
      <c r="D4587" s="5" t="s">
        <v>25008</v>
      </c>
      <c r="E4587" s="6" t="s">
        <v>74</v>
      </c>
      <c r="F4587" s="6" t="s">
        <v>25009</v>
      </c>
      <c r="G4587" s="3" t="str">
        <f>IFERROR(__xludf.DUMMYFUNCTION("REGEXREPLACE(
D4587,
""([一-龯々]+)\[([^\]]+)\]"",
""&lt;ruby&gt;$1&lt;rt&gt;$2&lt;/rt&gt;&lt;/ruby&gt;""
)&amp;""&lt;br&gt;&lt;div class=""""audio""""&gt;[sound:""&amp;C4587&amp;"".mp3]&lt;/div&gt;"""),"&lt;ruby&gt;峠&lt;rt&gt;とうげ&lt;/rt&gt;&lt;/ruby&gt;&lt;br&gt;&lt;div class=""audio""&gt;[sound:とうげ.mp3]&lt;/div&gt;")</f>
        <v>&lt;ruby&gt;峠&lt;rt&gt;とうげ&lt;/rt&gt;&lt;/ruby&gt;&lt;br&gt;&lt;div class="audio"&gt;[sound:とうげ.mp3]&lt;/div&gt;</v>
      </c>
      <c r="H4587" s="3" t="str">
        <f t="shared" si="1"/>
        <v>(n): đèo</v>
      </c>
      <c r="I4587" s="6" t="s">
        <v>25010</v>
      </c>
      <c r="J4587" s="6" t="s">
        <v>25011</v>
      </c>
      <c r="K4587" s="7">
        <f t="shared" si="2"/>
        <v>0.2813601274</v>
      </c>
    </row>
    <row r="4588">
      <c r="A4588" s="4">
        <v>4588.0</v>
      </c>
      <c r="B4588" s="5" t="s">
        <v>25012</v>
      </c>
      <c r="C4588" s="5" t="s">
        <v>25013</v>
      </c>
      <c r="D4588" s="5" t="s">
        <v>25014</v>
      </c>
      <c r="E4588" s="6" t="s">
        <v>24</v>
      </c>
      <c r="F4588" s="6" t="s">
        <v>8312</v>
      </c>
      <c r="G4588" s="3" t="str">
        <f>IFERROR(__xludf.DUMMYFUNCTION("REGEXREPLACE(
D4588,
""([一-龯々]+)\[([^\]]+)\]"",
""&lt;ruby&gt;$1&lt;rt&gt;$2&lt;/rt&gt;&lt;/ruby&gt;""
)&amp;""&lt;br&gt;&lt;div class=""""audio""""&gt;[sound:""&amp;C4588&amp;"".mp3]&lt;/div&gt;"""),"&lt;ruby&gt;予期&lt;rt&gt;よき&lt;/rt&gt;&lt;/ruby&gt;&lt;br&gt;&lt;div class=""audio""&gt;[sound:よき.mp3]&lt;/div&gt;")</f>
        <v>&lt;ruby&gt;予期&lt;rt&gt;よき&lt;/rt&gt;&lt;/ruby&gt;&lt;br&gt;&lt;div class="audio"&gt;[sound:よき.mp3]&lt;/div&gt;</v>
      </c>
      <c r="H4588" s="3" t="str">
        <f t="shared" si="1"/>
        <v>(v): kỳ vọng</v>
      </c>
      <c r="I4588" s="6" t="s">
        <v>25015</v>
      </c>
      <c r="J4588" s="6" t="s">
        <v>25016</v>
      </c>
      <c r="K4588" s="7">
        <f t="shared" si="2"/>
        <v>0.1807166441</v>
      </c>
    </row>
    <row r="4589">
      <c r="A4589" s="4">
        <v>4589.0</v>
      </c>
      <c r="B4589" s="5" t="s">
        <v>25017</v>
      </c>
      <c r="C4589" s="5" t="s">
        <v>8180</v>
      </c>
      <c r="D4589" s="5" t="s">
        <v>25018</v>
      </c>
      <c r="E4589" s="6" t="s">
        <v>74</v>
      </c>
      <c r="F4589" s="6" t="s">
        <v>25019</v>
      </c>
      <c r="G4589" s="3" t="str">
        <f>IFERROR(__xludf.DUMMYFUNCTION("REGEXREPLACE(
D4589,
""([一-龯々]+)\[([^\]]+)\]"",
""&lt;ruby&gt;$1&lt;rt&gt;$2&lt;/rt&gt;&lt;/ruby&gt;""
)&amp;""&lt;br&gt;&lt;div class=""""audio""""&gt;[sound:""&amp;C4589&amp;"".mp3]&lt;/div&gt;"""),"&lt;ruby&gt;意地&lt;rt&gt;いじ&lt;/rt&gt;&lt;/ruby&gt;&lt;br&gt;&lt;div class=""audio""&gt;[sound:いじ.mp3]&lt;/div&gt;")</f>
        <v>&lt;ruby&gt;意地&lt;rt&gt;いじ&lt;/rt&gt;&lt;/ruby&gt;&lt;br&gt;&lt;div class="audio"&gt;[sound:いじ.mp3]&lt;/div&gt;</v>
      </c>
      <c r="H4589" s="3" t="str">
        <f t="shared" si="1"/>
        <v>(n): cố chấp</v>
      </c>
      <c r="I4589" s="6" t="s">
        <v>25020</v>
      </c>
      <c r="J4589" s="6" t="s">
        <v>25021</v>
      </c>
      <c r="K4589" s="7">
        <f t="shared" si="2"/>
        <v>0.7137307095</v>
      </c>
    </row>
    <row r="4590">
      <c r="A4590" s="4">
        <v>4590.0</v>
      </c>
      <c r="B4590" s="5" t="s">
        <v>25022</v>
      </c>
      <c r="C4590" s="5" t="s">
        <v>14085</v>
      </c>
      <c r="D4590" s="5" t="s">
        <v>25023</v>
      </c>
      <c r="E4590" s="6" t="s">
        <v>74</v>
      </c>
      <c r="F4590" s="6" t="s">
        <v>25024</v>
      </c>
      <c r="G4590" s="3" t="str">
        <f>IFERROR(__xludf.DUMMYFUNCTION("REGEXREPLACE(
D4590,
""([一-龯々]+)\[([^\]]+)\]"",
""&lt;ruby&gt;$1&lt;rt&gt;$2&lt;/rt&gt;&lt;/ruby&gt;""
)&amp;""&lt;br&gt;&lt;div class=""""audio""""&gt;[sound:""&amp;C4590&amp;"".mp3]&lt;/div&gt;"""),"&lt;ruby&gt;象&lt;rt&gt;ぞう&lt;/rt&gt;&lt;/ruby&gt;&lt;br&gt;&lt;div class=""audio""&gt;[sound:ぞう.mp3]&lt;/div&gt;")</f>
        <v>&lt;ruby&gt;象&lt;rt&gt;ぞう&lt;/rt&gt;&lt;/ruby&gt;&lt;br&gt;&lt;div class="audio"&gt;[sound:ぞう.mp3]&lt;/div&gt;</v>
      </c>
      <c r="H4590" s="3" t="str">
        <f t="shared" si="1"/>
        <v>(n): voi</v>
      </c>
      <c r="I4590" s="6" t="s">
        <v>25025</v>
      </c>
      <c r="J4590" s="6" t="s">
        <v>25026</v>
      </c>
      <c r="K4590" s="7">
        <f t="shared" si="2"/>
        <v>0.4615228519</v>
      </c>
    </row>
    <row r="4591">
      <c r="A4591" s="4">
        <v>4591.0</v>
      </c>
      <c r="B4591" s="5" t="s">
        <v>25027</v>
      </c>
      <c r="C4591" s="5" t="s">
        <v>25028</v>
      </c>
      <c r="D4591" s="5" t="s">
        <v>25029</v>
      </c>
      <c r="E4591" s="6" t="s">
        <v>74</v>
      </c>
      <c r="F4591" s="6" t="s">
        <v>25030</v>
      </c>
      <c r="G4591" s="3" t="str">
        <f>IFERROR(__xludf.DUMMYFUNCTION("REGEXREPLACE(
D4591,
""([一-龯々]+)\[([^\]]+)\]"",
""&lt;ruby&gt;$1&lt;rt&gt;$2&lt;/rt&gt;&lt;/ruby&gt;""
)&amp;""&lt;br&gt;&lt;div class=""""audio""""&gt;[sound:""&amp;C4591&amp;"".mp3]&lt;/div&gt;"""),"&lt;ruby&gt;田舎&lt;rt&gt;いなか&lt;/rt&gt;&lt;/ruby&gt;&lt;br&gt;&lt;div class=""audio""&gt;[sound:いなか.mp3]&lt;/div&gt;")</f>
        <v>&lt;ruby&gt;田舎&lt;rt&gt;いなか&lt;/rt&gt;&lt;/ruby&gt;&lt;br&gt;&lt;div class="audio"&gt;[sound:いなか.mp3]&lt;/div&gt;</v>
      </c>
      <c r="H4591" s="3" t="str">
        <f t="shared" si="1"/>
        <v>(n): quê</v>
      </c>
      <c r="I4591" s="6" t="s">
        <v>25031</v>
      </c>
      <c r="J4591" s="6" t="s">
        <v>25032</v>
      </c>
      <c r="K4591" s="7">
        <f t="shared" si="2"/>
        <v>0.5528354434</v>
      </c>
    </row>
    <row r="4592">
      <c r="A4592" s="4">
        <v>4592.0</v>
      </c>
      <c r="B4592" s="5" t="s">
        <v>25033</v>
      </c>
      <c r="C4592" s="5" t="s">
        <v>25034</v>
      </c>
      <c r="D4592" s="5" t="s">
        <v>25035</v>
      </c>
      <c r="E4592" s="6" t="s">
        <v>74</v>
      </c>
      <c r="F4592" s="6" t="s">
        <v>25036</v>
      </c>
      <c r="G4592" s="3" t="str">
        <f>IFERROR(__xludf.DUMMYFUNCTION("REGEXREPLACE(
D4592,
""([一-龯々]+)\[([^\]]+)\]"",
""&lt;ruby&gt;$1&lt;rt&gt;$2&lt;/rt&gt;&lt;/ruby&gt;""
)&amp;""&lt;br&gt;&lt;div class=""""audio""""&gt;[sound:""&amp;C4592&amp;"".mp3]&lt;/div&gt;"""),"&lt;ruby&gt;恩&lt;rt&gt;おん&lt;/rt&gt;&lt;/ruby&gt;&lt;br&gt;&lt;div class=""audio""&gt;[sound:おん.mp3]&lt;/div&gt;")</f>
        <v>&lt;ruby&gt;恩&lt;rt&gt;おん&lt;/rt&gt;&lt;/ruby&gt;&lt;br&gt;&lt;div class="audio"&gt;[sound:おん.mp3]&lt;/div&gt;</v>
      </c>
      <c r="H4592" s="3" t="str">
        <f t="shared" si="1"/>
        <v>(n): ơn</v>
      </c>
      <c r="I4592" s="6" t="s">
        <v>25037</v>
      </c>
      <c r="J4592" s="6" t="s">
        <v>25038</v>
      </c>
      <c r="K4592" s="7">
        <f t="shared" si="2"/>
        <v>0.7759378883</v>
      </c>
    </row>
    <row r="4593">
      <c r="A4593" s="4">
        <v>4593.0</v>
      </c>
      <c r="B4593" s="5" t="s">
        <v>25039</v>
      </c>
      <c r="C4593" s="5" t="s">
        <v>25040</v>
      </c>
      <c r="D4593" s="5" t="s">
        <v>25041</v>
      </c>
      <c r="E4593" s="6" t="s">
        <v>74</v>
      </c>
      <c r="F4593" s="6" t="s">
        <v>25042</v>
      </c>
      <c r="G4593" s="3" t="str">
        <f>IFERROR(__xludf.DUMMYFUNCTION("REGEXREPLACE(
D4593,
""([一-龯々]+)\[([^\]]+)\]"",
""&lt;ruby&gt;$1&lt;rt&gt;$2&lt;/rt&gt;&lt;/ruby&gt;""
)&amp;""&lt;br&gt;&lt;div class=""""audio""""&gt;[sound:""&amp;C4593&amp;"".mp3]&lt;/div&gt;"""),"&lt;ruby&gt;光熱費&lt;rt&gt;こうねつひ&lt;/rt&gt;&lt;/ruby&gt;&lt;br&gt;&lt;div class=""audio""&gt;[sound:こうねつひ.mp3]&lt;/div&gt;")</f>
        <v>&lt;ruby&gt;光熱費&lt;rt&gt;こうねつひ&lt;/rt&gt;&lt;/ruby&gt;&lt;br&gt;&lt;div class="audio"&gt;[sound:こうねつひ.mp3]&lt;/div&gt;</v>
      </c>
      <c r="H4593" s="3" t="str">
        <f t="shared" si="1"/>
        <v>(n): chi phí điện nước</v>
      </c>
      <c r="I4593" s="6" t="s">
        <v>25043</v>
      </c>
      <c r="J4593" s="6" t="s">
        <v>25044</v>
      </c>
      <c r="K4593" s="7">
        <f t="shared" si="2"/>
        <v>0.143291379</v>
      </c>
    </row>
    <row r="4594">
      <c r="A4594" s="4">
        <v>4594.0</v>
      </c>
      <c r="B4594" s="5" t="s">
        <v>25045</v>
      </c>
      <c r="C4594" s="5" t="s">
        <v>25046</v>
      </c>
      <c r="D4594" s="5" t="s">
        <v>25047</v>
      </c>
      <c r="E4594" s="6" t="s">
        <v>24</v>
      </c>
      <c r="F4594" s="6" t="s">
        <v>25048</v>
      </c>
      <c r="G4594" s="3" t="str">
        <f>IFERROR(__xludf.DUMMYFUNCTION("REGEXREPLACE(
D4594,
""([一-龯々]+)\[([^\]]+)\]"",
""&lt;ruby&gt;$1&lt;rt&gt;$2&lt;/rt&gt;&lt;/ruby&gt;""
)&amp;""&lt;br&gt;&lt;div class=""""audio""""&gt;[sound:""&amp;C4594&amp;"".mp3]&lt;/div&gt;"""),"&lt;ruby&gt;転勤&lt;rt&gt;てんきん&lt;/rt&gt;&lt;/ruby&gt;&lt;br&gt;&lt;div class=""audio""&gt;[sound:てんきん.mp3]&lt;/div&gt;")</f>
        <v>&lt;ruby&gt;転勤&lt;rt&gt;てんきん&lt;/rt&gt;&lt;/ruby&gt;&lt;br&gt;&lt;div class="audio"&gt;[sound:てんきん.mp3]&lt;/div&gt;</v>
      </c>
      <c r="H4594" s="3" t="str">
        <f t="shared" si="1"/>
        <v>(v): chuyển chỗ làm</v>
      </c>
      <c r="I4594" s="6" t="s">
        <v>25049</v>
      </c>
      <c r="J4594" s="6" t="s">
        <v>25050</v>
      </c>
      <c r="K4594" s="7">
        <f t="shared" si="2"/>
        <v>0.3883792364</v>
      </c>
    </row>
    <row r="4595">
      <c r="A4595" s="4">
        <v>4595.0</v>
      </c>
      <c r="B4595" s="5" t="s">
        <v>25051</v>
      </c>
      <c r="C4595" s="5" t="s">
        <v>25052</v>
      </c>
      <c r="D4595" s="5" t="s">
        <v>25051</v>
      </c>
      <c r="E4595" s="6" t="s">
        <v>74</v>
      </c>
      <c r="F4595" s="6" t="s">
        <v>25053</v>
      </c>
      <c r="G4595" s="3" t="str">
        <f>IFERROR(__xludf.DUMMYFUNCTION("REGEXREPLACE(
D4595,
""([一-龯々]+)\[([^\]]+)\]"",
""&lt;ruby&gt;$1&lt;rt&gt;$2&lt;/rt&gt;&lt;/ruby&gt;""
)&amp;""&lt;br&gt;&lt;div class=""""audio""""&gt;[sound:""&amp;C4595&amp;"".mp3]&lt;/div&gt;"""),"ハンガー&lt;br&gt;&lt;div class=""audio""&gt;[sound:はんがー.mp3]&lt;/div&gt;")</f>
        <v>ハンガー&lt;br&gt;&lt;div class="audio"&gt;[sound:はんがー.mp3]&lt;/div&gt;</v>
      </c>
      <c r="H4595" s="3" t="str">
        <f t="shared" si="1"/>
        <v>(n): móc treo quần áo</v>
      </c>
      <c r="I4595" s="6" t="s">
        <v>25054</v>
      </c>
      <c r="J4595" s="6" t="s">
        <v>25055</v>
      </c>
      <c r="K4595" s="7">
        <f t="shared" si="2"/>
        <v>0.8356761067</v>
      </c>
    </row>
    <row r="4596">
      <c r="A4596" s="4">
        <v>4596.0</v>
      </c>
      <c r="B4596" s="5" t="s">
        <v>25056</v>
      </c>
      <c r="C4596" s="5" t="s">
        <v>25057</v>
      </c>
      <c r="D4596" s="5" t="s">
        <v>25058</v>
      </c>
      <c r="E4596" s="6" t="s">
        <v>74</v>
      </c>
      <c r="F4596" s="6" t="s">
        <v>25059</v>
      </c>
      <c r="G4596" s="3" t="str">
        <f>IFERROR(__xludf.DUMMYFUNCTION("REGEXREPLACE(
D4596,
""([一-龯々]+)\[([^\]]+)\]"",
""&lt;ruby&gt;$1&lt;rt&gt;$2&lt;/rt&gt;&lt;/ruby&gt;""
)&amp;""&lt;br&gt;&lt;div class=""""audio""""&gt;[sound:""&amp;C4596&amp;"".mp3]&lt;/div&gt;"""),"&lt;ruby&gt;軍備&lt;rt&gt;ぐんび&lt;/rt&gt;&lt;/ruby&gt;&lt;br&gt;&lt;div class=""audio""&gt;[sound:ぐんび.mp3]&lt;/div&gt;")</f>
        <v>&lt;ruby&gt;軍備&lt;rt&gt;ぐんび&lt;/rt&gt;&lt;/ruby&gt;&lt;br&gt;&lt;div class="audio"&gt;[sound:ぐんび.mp3]&lt;/div&gt;</v>
      </c>
      <c r="H4596" s="3" t="str">
        <f t="shared" si="1"/>
        <v>(n): trang bị quân sự</v>
      </c>
      <c r="I4596" s="6" t="s">
        <v>25060</v>
      </c>
      <c r="J4596" s="6" t="s">
        <v>25061</v>
      </c>
      <c r="K4596" s="7">
        <f t="shared" si="2"/>
        <v>0.3804862175</v>
      </c>
    </row>
    <row r="4597">
      <c r="A4597" s="4">
        <v>4597.0</v>
      </c>
      <c r="B4597" s="5" t="s">
        <v>25062</v>
      </c>
      <c r="C4597" s="5" t="s">
        <v>25063</v>
      </c>
      <c r="D4597" s="5" t="s">
        <v>25064</v>
      </c>
      <c r="E4597" s="6" t="s">
        <v>24</v>
      </c>
      <c r="F4597" s="6" t="s">
        <v>25065</v>
      </c>
      <c r="G4597" s="3" t="str">
        <f>IFERROR(__xludf.DUMMYFUNCTION("REGEXREPLACE(
D4597,
""([一-龯々]+)\[([^\]]+)\]"",
""&lt;ruby&gt;$1&lt;rt&gt;$2&lt;/rt&gt;&lt;/ruby&gt;""
)&amp;""&lt;br&gt;&lt;div class=""""audio""""&gt;[sound:""&amp;C4597&amp;"".mp3]&lt;/div&gt;"""),"&lt;ruby&gt;失格&lt;rt&gt;しっかく&lt;/rt&gt;&lt;/ruby&gt;&lt;br&gt;&lt;div class=""audio""&gt;[sound:しっかく.mp3]&lt;/div&gt;")</f>
        <v>&lt;ruby&gt;失格&lt;rt&gt;しっかく&lt;/rt&gt;&lt;/ruby&gt;&lt;br&gt;&lt;div class="audio"&gt;[sound:しっかく.mp3]&lt;/div&gt;</v>
      </c>
      <c r="H4597" s="3" t="str">
        <f t="shared" si="1"/>
        <v>(v): mất tư cách</v>
      </c>
      <c r="I4597" s="6" t="s">
        <v>25066</v>
      </c>
      <c r="J4597" s="6" t="s">
        <v>25067</v>
      </c>
      <c r="K4597" s="7">
        <f t="shared" si="2"/>
        <v>0.9762462307</v>
      </c>
    </row>
    <row r="4598">
      <c r="A4598" s="4">
        <v>4598.0</v>
      </c>
      <c r="B4598" s="5" t="s">
        <v>25068</v>
      </c>
      <c r="C4598" s="5" t="s">
        <v>25069</v>
      </c>
      <c r="D4598" s="5" t="s">
        <v>25070</v>
      </c>
      <c r="E4598" s="6" t="s">
        <v>74</v>
      </c>
      <c r="F4598" s="6" t="s">
        <v>25071</v>
      </c>
      <c r="G4598" s="3" t="str">
        <f>IFERROR(__xludf.DUMMYFUNCTION("REGEXREPLACE(
D4598,
""([一-龯々]+)\[([^\]]+)\]"",
""&lt;ruby&gt;$1&lt;rt&gt;$2&lt;/rt&gt;&lt;/ruby&gt;""
)&amp;""&lt;br&gt;&lt;div class=""""audio""""&gt;[sound:""&amp;C4598&amp;"".mp3]&lt;/div&gt;"""),"&lt;ruby&gt;祈&lt;rt&gt;いの&lt;/rt&gt;&lt;/ruby&gt;り&lt;br&gt;&lt;div class=""audio""&gt;[sound:いのり.mp3]&lt;/div&gt;")</f>
        <v>&lt;ruby&gt;祈&lt;rt&gt;いの&lt;/rt&gt;&lt;/ruby&gt;り&lt;br&gt;&lt;div class="audio"&gt;[sound:いのり.mp3]&lt;/div&gt;</v>
      </c>
      <c r="H4598" s="3" t="str">
        <f t="shared" si="1"/>
        <v>(n): lời cầu nguyện</v>
      </c>
      <c r="I4598" s="6" t="s">
        <v>25072</v>
      </c>
      <c r="J4598" s="6" t="s">
        <v>8218</v>
      </c>
      <c r="K4598" s="7">
        <f t="shared" si="2"/>
        <v>0.4521975217</v>
      </c>
    </row>
    <row r="4599">
      <c r="A4599" s="4">
        <v>4599.0</v>
      </c>
      <c r="B4599" s="5" t="s">
        <v>25073</v>
      </c>
      <c r="C4599" s="5" t="s">
        <v>25074</v>
      </c>
      <c r="D4599" s="5" t="s">
        <v>25075</v>
      </c>
      <c r="E4599" s="6" t="s">
        <v>11</v>
      </c>
      <c r="F4599" s="6" t="s">
        <v>25076</v>
      </c>
      <c r="G4599" s="3" t="str">
        <f>IFERROR(__xludf.DUMMYFUNCTION("REGEXREPLACE(
D4599,
""([一-龯々]+)\[([^\]]+)\]"",
""&lt;ruby&gt;$1&lt;rt&gt;$2&lt;/rt&gt;&lt;/ruby&gt;""
)&amp;""&lt;br&gt;&lt;div class=""""audio""""&gt;[sound:""&amp;C4599&amp;"".mp3]&lt;/div&gt;"""),"&lt;ruby&gt;良質&lt;rt&gt;りょうしつ&lt;/rt&gt;&lt;/ruby&gt;&lt;br&gt;&lt;div class=""audio""&gt;[sound:りょうしつ.mp3]&lt;/div&gt;")</f>
        <v>&lt;ruby&gt;良質&lt;rt&gt;りょうしつ&lt;/rt&gt;&lt;/ruby&gt;&lt;br&gt;&lt;div class="audio"&gt;[sound:りょうしつ.mp3]&lt;/div&gt;</v>
      </c>
      <c r="H4599" s="3" t="str">
        <f t="shared" si="1"/>
        <v>(adj): chất lượng tốt</v>
      </c>
      <c r="I4599" s="6" t="s">
        <v>25077</v>
      </c>
      <c r="J4599" s="6" t="s">
        <v>25078</v>
      </c>
      <c r="K4599" s="7">
        <f t="shared" si="2"/>
        <v>0.9016135494</v>
      </c>
    </row>
    <row r="4600">
      <c r="A4600" s="4">
        <v>4600.0</v>
      </c>
      <c r="B4600" s="5" t="s">
        <v>25079</v>
      </c>
      <c r="C4600" s="5" t="s">
        <v>15593</v>
      </c>
      <c r="D4600" s="5" t="s">
        <v>25080</v>
      </c>
      <c r="E4600" s="6" t="s">
        <v>74</v>
      </c>
      <c r="F4600" s="6" t="s">
        <v>25081</v>
      </c>
      <c r="G4600" s="3" t="str">
        <f>IFERROR(__xludf.DUMMYFUNCTION("REGEXREPLACE(
D4600,
""([一-龯々]+)\[([^\]]+)\]"",
""&lt;ruby&gt;$1&lt;rt&gt;$2&lt;/rt&gt;&lt;/ruby&gt;""
)&amp;""&lt;br&gt;&lt;div class=""""audio""""&gt;[sound:""&amp;C4600&amp;"".mp3]&lt;/div&gt;"""),"&lt;ruby&gt;街頭&lt;rt&gt;がいとう&lt;/rt&gt;&lt;/ruby&gt;&lt;br&gt;&lt;div class=""audio""&gt;[sound:がいとう.mp3]&lt;/div&gt;")</f>
        <v>&lt;ruby&gt;街頭&lt;rt&gt;がいとう&lt;/rt&gt;&lt;/ruby&gt;&lt;br&gt;&lt;div class="audio"&gt;[sound:がいとう.mp3]&lt;/div&gt;</v>
      </c>
      <c r="H4600" s="3" t="str">
        <f t="shared" si="1"/>
        <v>(n): trên đường phố</v>
      </c>
      <c r="I4600" s="6" t="s">
        <v>25082</v>
      </c>
      <c r="J4600" s="6" t="s">
        <v>25083</v>
      </c>
      <c r="K4600" s="7">
        <f t="shared" si="2"/>
        <v>0.6536659824</v>
      </c>
    </row>
    <row r="4601">
      <c r="A4601" s="4">
        <v>4601.0</v>
      </c>
      <c r="B4601" s="5" t="s">
        <v>25084</v>
      </c>
      <c r="C4601" s="5" t="s">
        <v>25084</v>
      </c>
      <c r="D4601" s="5" t="s">
        <v>25084</v>
      </c>
      <c r="E4601" s="6" t="s">
        <v>85</v>
      </c>
      <c r="F4601" s="6" t="s">
        <v>25085</v>
      </c>
      <c r="G4601" s="3" t="str">
        <f>IFERROR(__xludf.DUMMYFUNCTION("REGEXREPLACE(
D4601,
""([一-龯々]+)\[([^\]]+)\]"",
""&lt;ruby&gt;$1&lt;rt&gt;$2&lt;/rt&gt;&lt;/ruby&gt;""
)&amp;""&lt;br&gt;&lt;div class=""""audio""""&gt;[sound:""&amp;C4601&amp;"".mp3]&lt;/div&gt;"""),"ぶらぶら&lt;br&gt;&lt;div class=""audio""&gt;[sound:ぶらぶら.mp3]&lt;/div&gt;")</f>
        <v>ぶらぶら&lt;br&gt;&lt;div class="audio"&gt;[sound:ぶらぶら.mp3]&lt;/div&gt;</v>
      </c>
      <c r="H4601" s="3" t="str">
        <f t="shared" si="1"/>
        <v>(adv): đi lang thang</v>
      </c>
      <c r="I4601" s="6" t="s">
        <v>25086</v>
      </c>
      <c r="J4601" s="6" t="s">
        <v>25087</v>
      </c>
      <c r="K4601" s="7">
        <f t="shared" si="2"/>
        <v>0.08338628354</v>
      </c>
    </row>
    <row r="4602">
      <c r="A4602" s="4">
        <v>4602.0</v>
      </c>
      <c r="B4602" s="5" t="s">
        <v>25088</v>
      </c>
      <c r="C4602" s="5" t="s">
        <v>25089</v>
      </c>
      <c r="D4602" s="5" t="s">
        <v>25090</v>
      </c>
      <c r="E4602" s="6" t="s">
        <v>74</v>
      </c>
      <c r="F4602" s="6" t="s">
        <v>25091</v>
      </c>
      <c r="G4602" s="3" t="str">
        <f>IFERROR(__xludf.DUMMYFUNCTION("REGEXREPLACE(
D4602,
""([一-龯々]+)\[([^\]]+)\]"",
""&lt;ruby&gt;$1&lt;rt&gt;$2&lt;/rt&gt;&lt;/ruby&gt;""
)&amp;""&lt;br&gt;&lt;div class=""""audio""""&gt;[sound:""&amp;C4602&amp;"".mp3]&lt;/div&gt;"""),"&lt;ruby&gt;一息&lt;rt&gt;ひといき&lt;/rt&gt;&lt;/ruby&gt;&lt;br&gt;&lt;div class=""audio""&gt;[sound:ひといき.mp3]&lt;/div&gt;")</f>
        <v>&lt;ruby&gt;一息&lt;rt&gt;ひといき&lt;/rt&gt;&lt;/ruby&gt;&lt;br&gt;&lt;div class="audio"&gt;[sound:ひといき.mp3]&lt;/div&gt;</v>
      </c>
      <c r="H4602" s="3" t="str">
        <f t="shared" si="1"/>
        <v>(n): nghỉ một chút</v>
      </c>
      <c r="I4602" s="6" t="s">
        <v>25092</v>
      </c>
      <c r="J4602" s="6" t="s">
        <v>25093</v>
      </c>
      <c r="K4602" s="7">
        <f t="shared" si="2"/>
        <v>0.9926566557</v>
      </c>
    </row>
    <row r="4603">
      <c r="A4603" s="4">
        <v>4603.0</v>
      </c>
      <c r="B4603" s="5" t="s">
        <v>25094</v>
      </c>
      <c r="C4603" s="5" t="s">
        <v>22189</v>
      </c>
      <c r="D4603" s="5" t="s">
        <v>25095</v>
      </c>
      <c r="E4603" s="6" t="s">
        <v>74</v>
      </c>
      <c r="F4603" s="6" t="s">
        <v>25096</v>
      </c>
      <c r="G4603" s="3" t="str">
        <f>IFERROR(__xludf.DUMMYFUNCTION("REGEXREPLACE(
D4603,
""([一-龯々]+)\[([^\]]+)\]"",
""&lt;ruby&gt;$1&lt;rt&gt;$2&lt;/rt&gt;&lt;/ruby&gt;""
)&amp;""&lt;br&gt;&lt;div class=""""audio""""&gt;[sound:""&amp;C4603&amp;"".mp3]&lt;/div&gt;"""),"&lt;ruby&gt;人目&lt;rt&gt;ひとめ&lt;/rt&gt;&lt;/ruby&gt;&lt;br&gt;&lt;div class=""audio""&gt;[sound:ひとめ.mp3]&lt;/div&gt;")</f>
        <v>&lt;ruby&gt;人目&lt;rt&gt;ひとめ&lt;/rt&gt;&lt;/ruby&gt;&lt;br&gt;&lt;div class="audio"&gt;[sound:ひとめ.mp3]&lt;/div&gt;</v>
      </c>
      <c r="H4603" s="3" t="str">
        <f t="shared" si="1"/>
        <v>(n): ánh mắt người</v>
      </c>
      <c r="I4603" s="6" t="s">
        <v>25097</v>
      </c>
      <c r="J4603" s="6" t="s">
        <v>25098</v>
      </c>
      <c r="K4603" s="7">
        <f t="shared" si="2"/>
        <v>0.4046851434</v>
      </c>
    </row>
    <row r="4604">
      <c r="A4604" s="4">
        <v>4604.0</v>
      </c>
      <c r="B4604" s="5" t="s">
        <v>25099</v>
      </c>
      <c r="C4604" s="5" t="s">
        <v>25100</v>
      </c>
      <c r="D4604" s="5" t="s">
        <v>25101</v>
      </c>
      <c r="E4604" s="6" t="s">
        <v>24</v>
      </c>
      <c r="F4604" s="6" t="s">
        <v>25102</v>
      </c>
      <c r="G4604" s="3" t="str">
        <f>IFERROR(__xludf.DUMMYFUNCTION("REGEXREPLACE(
D4604,
""([一-龯々]+)\[([^\]]+)\]"",
""&lt;ruby&gt;$1&lt;rt&gt;$2&lt;/rt&gt;&lt;/ruby&gt;""
)&amp;""&lt;br&gt;&lt;div class=""""audio""""&gt;[sound:""&amp;C4604&amp;"".mp3]&lt;/div&gt;"""),"&lt;ruby&gt;入賞&lt;rt&gt;にゅうしょう&lt;/rt&gt;&lt;/ruby&gt;&lt;br&gt;&lt;div class=""audio""&gt;[sound:にゅうしょう.mp3]&lt;/div&gt;")</f>
        <v>&lt;ruby&gt;入賞&lt;rt&gt;にゅうしょう&lt;/rt&gt;&lt;/ruby&gt;&lt;br&gt;&lt;div class="audio"&gt;[sound:にゅうしょう.mp3]&lt;/div&gt;</v>
      </c>
      <c r="H4604" s="3" t="str">
        <f t="shared" si="1"/>
        <v>(v): đoạt giải</v>
      </c>
      <c r="I4604" s="6" t="s">
        <v>25103</v>
      </c>
      <c r="J4604" s="6" t="s">
        <v>25104</v>
      </c>
      <c r="K4604" s="7">
        <f t="shared" si="2"/>
        <v>0.2075525263</v>
      </c>
    </row>
    <row r="4605">
      <c r="A4605" s="4">
        <v>4605.0</v>
      </c>
      <c r="B4605" s="5" t="s">
        <v>25105</v>
      </c>
      <c r="C4605" s="5" t="s">
        <v>25106</v>
      </c>
      <c r="D4605" s="5" t="s">
        <v>25107</v>
      </c>
      <c r="E4605" s="6" t="s">
        <v>74</v>
      </c>
      <c r="F4605" s="6" t="s">
        <v>25108</v>
      </c>
      <c r="G4605" s="3" t="str">
        <f>IFERROR(__xludf.DUMMYFUNCTION("REGEXREPLACE(
D4605,
""([一-龯々]+)\[([^\]]+)\]"",
""&lt;ruby&gt;$1&lt;rt&gt;$2&lt;/rt&gt;&lt;/ruby&gt;""
)&amp;""&lt;br&gt;&lt;div class=""""audio""""&gt;[sound:""&amp;C4605&amp;"".mp3]&lt;/div&gt;"""),"&lt;ruby&gt;共鳴&lt;rt&gt;きょうめい&lt;/rt&gt;&lt;/ruby&gt;&lt;br&gt;&lt;div class=""audio""&gt;[sound:きょうめい.mp3]&lt;/div&gt;")</f>
        <v>&lt;ruby&gt;共鳴&lt;rt&gt;きょうめい&lt;/rt&gt;&lt;/ruby&gt;&lt;br&gt;&lt;div class="audio"&gt;[sound:きょうめい.mp3]&lt;/div&gt;</v>
      </c>
      <c r="H4605" s="3" t="str">
        <f t="shared" si="1"/>
        <v>(n): cộng hưởng</v>
      </c>
      <c r="I4605" s="6" t="s">
        <v>25109</v>
      </c>
      <c r="J4605" s="6" t="s">
        <v>25110</v>
      </c>
      <c r="K4605" s="7">
        <f t="shared" si="2"/>
        <v>0.2494687942</v>
      </c>
    </row>
    <row r="4606">
      <c r="A4606" s="4">
        <v>4606.0</v>
      </c>
      <c r="B4606" s="5" t="s">
        <v>25111</v>
      </c>
      <c r="C4606" s="5" t="s">
        <v>15521</v>
      </c>
      <c r="D4606" s="5" t="s">
        <v>25112</v>
      </c>
      <c r="E4606" s="6" t="s">
        <v>24</v>
      </c>
      <c r="F4606" s="6" t="s">
        <v>15523</v>
      </c>
      <c r="G4606" s="3" t="str">
        <f>IFERROR(__xludf.DUMMYFUNCTION("REGEXREPLACE(
D4606,
""([一-龯々]+)\[([^\]]+)\]"",
""&lt;ruby&gt;$1&lt;rt&gt;$2&lt;/rt&gt;&lt;/ruby&gt;""
)&amp;""&lt;br&gt;&lt;div class=""""audio""""&gt;[sound:""&amp;C4606&amp;"".mp3]&lt;/div&gt;"""),"&lt;ruby&gt;具&lt;rt&gt;そな&lt;/rt&gt;&lt;/ruby&gt;わる&lt;br&gt;&lt;div class=""audio""&gt;[sound:そなわる.mp3]&lt;/div&gt;")</f>
        <v>&lt;ruby&gt;具&lt;rt&gt;そな&lt;/rt&gt;&lt;/ruby&gt;わる&lt;br&gt;&lt;div class="audio"&gt;[sound:そなわる.mp3]&lt;/div&gt;</v>
      </c>
      <c r="H4606" s="3" t="str">
        <f t="shared" si="1"/>
        <v>(v): được trang bị</v>
      </c>
      <c r="I4606" s="6" t="s">
        <v>25113</v>
      </c>
      <c r="J4606" s="6" t="s">
        <v>25114</v>
      </c>
      <c r="K4606" s="7">
        <f t="shared" si="2"/>
        <v>0.8955859485</v>
      </c>
    </row>
    <row r="4607">
      <c r="A4607" s="4">
        <v>4607.0</v>
      </c>
      <c r="B4607" s="5" t="s">
        <v>25115</v>
      </c>
      <c r="C4607" s="5" t="s">
        <v>25116</v>
      </c>
      <c r="D4607" s="5" t="s">
        <v>25117</v>
      </c>
      <c r="E4607" s="6" t="s">
        <v>24</v>
      </c>
      <c r="F4607" s="6" t="s">
        <v>25118</v>
      </c>
      <c r="G4607" s="3" t="str">
        <f>IFERROR(__xludf.DUMMYFUNCTION("REGEXREPLACE(
D4607,
""([一-龯々]+)\[([^\]]+)\]"",
""&lt;ruby&gt;$1&lt;rt&gt;$2&lt;/rt&gt;&lt;/ruby&gt;""
)&amp;""&lt;br&gt;&lt;div class=""""audio""""&gt;[sound:""&amp;C4607&amp;"".mp3]&lt;/div&gt;"""),"&lt;ruby&gt;兼用&lt;rt&gt;けんよう&lt;/rt&gt;&lt;/ruby&gt;&lt;br&gt;&lt;div class=""audio""&gt;[sound:けんよう.mp3]&lt;/div&gt;")</f>
        <v>&lt;ruby&gt;兼用&lt;rt&gt;けんよう&lt;/rt&gt;&lt;/ruby&gt;&lt;br&gt;&lt;div class="audio"&gt;[sound:けんよう.mp3]&lt;/div&gt;</v>
      </c>
      <c r="H4607" s="3" t="str">
        <f t="shared" si="1"/>
        <v>(v): dùng chung</v>
      </c>
      <c r="I4607" s="6" t="s">
        <v>25119</v>
      </c>
      <c r="J4607" s="6" t="s">
        <v>25120</v>
      </c>
      <c r="K4607" s="7">
        <f t="shared" si="2"/>
        <v>0.2375685852</v>
      </c>
    </row>
    <row r="4608">
      <c r="A4608" s="4">
        <v>4608.0</v>
      </c>
      <c r="B4608" s="5" t="s">
        <v>25121</v>
      </c>
      <c r="C4608" s="5" t="s">
        <v>25122</v>
      </c>
      <c r="D4608" s="5" t="s">
        <v>25123</v>
      </c>
      <c r="E4608" s="6" t="s">
        <v>24</v>
      </c>
      <c r="F4608" s="6" t="s">
        <v>25124</v>
      </c>
      <c r="G4608" s="3" t="str">
        <f>IFERROR(__xludf.DUMMYFUNCTION("REGEXREPLACE(
D4608,
""([一-龯々]+)\[([^\]]+)\]"",
""&lt;ruby&gt;$1&lt;rt&gt;$2&lt;/rt&gt;&lt;/ruby&gt;""
)&amp;""&lt;br&gt;&lt;div class=""""audio""""&gt;[sound:""&amp;C4608&amp;"".mp3]&lt;/div&gt;"""),"&lt;ruby&gt;反乱&lt;rt&gt;はんらん&lt;/rt&gt;&lt;/ruby&gt;&lt;br&gt;&lt;div class=""audio""&gt;[sound:はんらん.mp3]&lt;/div&gt;")</f>
        <v>&lt;ruby&gt;反乱&lt;rt&gt;はんらん&lt;/rt&gt;&lt;/ruby&gt;&lt;br&gt;&lt;div class="audio"&gt;[sound:はんらん.mp3]&lt;/div&gt;</v>
      </c>
      <c r="H4608" s="3" t="str">
        <f t="shared" si="1"/>
        <v>(v): nổi loạn</v>
      </c>
      <c r="I4608" s="6" t="s">
        <v>25125</v>
      </c>
      <c r="J4608" s="6" t="s">
        <v>25126</v>
      </c>
      <c r="K4608" s="7">
        <f t="shared" si="2"/>
        <v>0.1755574892</v>
      </c>
    </row>
    <row r="4609">
      <c r="A4609" s="4">
        <v>4609.0</v>
      </c>
      <c r="B4609" s="5" t="s">
        <v>25127</v>
      </c>
      <c r="C4609" s="5" t="s">
        <v>25128</v>
      </c>
      <c r="D4609" s="5" t="s">
        <v>25129</v>
      </c>
      <c r="E4609" s="6" t="s">
        <v>24</v>
      </c>
      <c r="F4609" s="6" t="s">
        <v>25130</v>
      </c>
      <c r="G4609" s="3" t="str">
        <f>IFERROR(__xludf.DUMMYFUNCTION("REGEXREPLACE(
D4609,
""([一-龯々]+)\[([^\]]+)\]"",
""&lt;ruby&gt;$1&lt;rt&gt;$2&lt;/rt&gt;&lt;/ruby&gt;""
)&amp;""&lt;br&gt;&lt;div class=""""audio""""&gt;[sound:""&amp;C4609&amp;"".mp3]&lt;/div&gt;"""),"&lt;ruby&gt;命中&lt;rt&gt;めいちゅう&lt;/rt&gt;&lt;/ruby&gt;&lt;br&gt;&lt;div class=""audio""&gt;[sound:めいちゅう.mp3]&lt;/div&gt;")</f>
        <v>&lt;ruby&gt;命中&lt;rt&gt;めいちゅう&lt;/rt&gt;&lt;/ruby&gt;&lt;br&gt;&lt;div class="audio"&gt;[sound:めいちゅう.mp3]&lt;/div&gt;</v>
      </c>
      <c r="H4609" s="3" t="str">
        <f t="shared" si="1"/>
        <v>(v): trúng đích</v>
      </c>
      <c r="I4609" s="6" t="s">
        <v>25131</v>
      </c>
      <c r="J4609" s="6" t="s">
        <v>25132</v>
      </c>
      <c r="K4609" s="7">
        <f t="shared" si="2"/>
        <v>0.8371864263</v>
      </c>
    </row>
    <row r="4610">
      <c r="A4610" s="4">
        <v>4610.0</v>
      </c>
      <c r="B4610" s="5" t="s">
        <v>25133</v>
      </c>
      <c r="C4610" s="5" t="s">
        <v>25134</v>
      </c>
      <c r="D4610" s="5" t="s">
        <v>25135</v>
      </c>
      <c r="E4610" s="6" t="s">
        <v>24</v>
      </c>
      <c r="F4610" s="6" t="s">
        <v>25136</v>
      </c>
      <c r="G4610" s="3" t="str">
        <f>IFERROR(__xludf.DUMMYFUNCTION("REGEXREPLACE(
D4610,
""([一-龯々]+)\[([^\]]+)\]"",
""&lt;ruby&gt;$1&lt;rt&gt;$2&lt;/rt&gt;&lt;/ruby&gt;""
)&amp;""&lt;br&gt;&lt;div class=""""audio""""&gt;[sound:""&amp;C4610&amp;"".mp3]&lt;/div&gt;"""),"&lt;ruby&gt;回覧&lt;rt&gt;かいらん&lt;/rt&gt;&lt;/ruby&gt;&lt;br&gt;&lt;div class=""audio""&gt;[sound:かいらん.mp3]&lt;/div&gt;")</f>
        <v>&lt;ruby&gt;回覧&lt;rt&gt;かいらん&lt;/rt&gt;&lt;/ruby&gt;&lt;br&gt;&lt;div class="audio"&gt;[sound:かいらん.mp3]&lt;/div&gt;</v>
      </c>
      <c r="H4610" s="3" t="str">
        <f t="shared" si="1"/>
        <v>(v): truyền tay</v>
      </c>
      <c r="I4610" s="6" t="s">
        <v>25137</v>
      </c>
      <c r="J4610" s="6" t="s">
        <v>25138</v>
      </c>
      <c r="K4610" s="7">
        <f t="shared" si="2"/>
        <v>0.008353445982</v>
      </c>
    </row>
    <row r="4611">
      <c r="A4611" s="4">
        <v>4611.0</v>
      </c>
      <c r="B4611" s="5" t="s">
        <v>25139</v>
      </c>
      <c r="C4611" s="5" t="s">
        <v>25140</v>
      </c>
      <c r="D4611" s="5" t="s">
        <v>25141</v>
      </c>
      <c r="E4611" s="6" t="s">
        <v>24</v>
      </c>
      <c r="F4611" s="6" t="s">
        <v>5906</v>
      </c>
      <c r="G4611" s="3" t="str">
        <f>IFERROR(__xludf.DUMMYFUNCTION("REGEXREPLACE(
D4611,
""([一-龯々]+)\[([^\]]+)\]"",
""&lt;ruby&gt;$1&lt;rt&gt;$2&lt;/rt&gt;&lt;/ruby&gt;""
)&amp;""&lt;br&gt;&lt;div class=""""audio""""&gt;[sound:""&amp;C4611&amp;"".mp3]&lt;/div&gt;"""),"&lt;ruby&gt;増進&lt;rt&gt;ぞうしん&lt;/rt&gt;&lt;/ruby&gt;&lt;br&gt;&lt;div class=""audio""&gt;[sound:ぞうしん.mp3]&lt;/div&gt;")</f>
        <v>&lt;ruby&gt;増進&lt;rt&gt;ぞうしん&lt;/rt&gt;&lt;/ruby&gt;&lt;br&gt;&lt;div class="audio"&gt;[sound:ぞうしん.mp3]&lt;/div&gt;</v>
      </c>
      <c r="H4611" s="3" t="str">
        <f t="shared" si="1"/>
        <v>(v): tăng cường</v>
      </c>
      <c r="I4611" s="6" t="s">
        <v>25142</v>
      </c>
      <c r="J4611" s="6" t="s">
        <v>25143</v>
      </c>
      <c r="K4611" s="7">
        <f t="shared" si="2"/>
        <v>0.979420265</v>
      </c>
    </row>
    <row r="4612">
      <c r="A4612" s="4">
        <v>4612.0</v>
      </c>
      <c r="B4612" s="5" t="s">
        <v>25144</v>
      </c>
      <c r="C4612" s="5" t="s">
        <v>25145</v>
      </c>
      <c r="D4612" s="5" t="s">
        <v>25146</v>
      </c>
      <c r="E4612" s="6" t="s">
        <v>24</v>
      </c>
      <c r="F4612" s="6" t="s">
        <v>25147</v>
      </c>
      <c r="G4612" s="3" t="str">
        <f>IFERROR(__xludf.DUMMYFUNCTION("REGEXREPLACE(
D4612,
""([一-龯々]+)\[([^\]]+)\]"",
""&lt;ruby&gt;$1&lt;rt&gt;$2&lt;/rt&gt;&lt;/ruby&gt;""
)&amp;""&lt;br&gt;&lt;div class=""""audio""""&gt;[sound:""&amp;C4612&amp;"".mp3]&lt;/div&gt;"""),"&lt;ruby&gt;妥結&lt;rt&gt;だけつ&lt;/rt&gt;&lt;/ruby&gt;&lt;br&gt;&lt;div class=""audio""&gt;[sound:だけつ.mp3]&lt;/div&gt;")</f>
        <v>&lt;ruby&gt;妥結&lt;rt&gt;だけつ&lt;/rt&gt;&lt;/ruby&gt;&lt;br&gt;&lt;div class="audio"&gt;[sound:だけつ.mp3]&lt;/div&gt;</v>
      </c>
      <c r="H4612" s="3" t="str">
        <f t="shared" si="1"/>
        <v>(v): thỏa thuận</v>
      </c>
      <c r="I4612" s="6" t="s">
        <v>25148</v>
      </c>
      <c r="J4612" s="6" t="s">
        <v>25149</v>
      </c>
      <c r="K4612" s="7">
        <f t="shared" si="2"/>
        <v>0.6394124884</v>
      </c>
    </row>
    <row r="4613">
      <c r="A4613" s="4">
        <v>4613.0</v>
      </c>
      <c r="B4613" s="5" t="s">
        <v>25150</v>
      </c>
      <c r="C4613" s="5" t="s">
        <v>25151</v>
      </c>
      <c r="D4613" s="5" t="s">
        <v>25152</v>
      </c>
      <c r="E4613" s="6" t="s">
        <v>24</v>
      </c>
      <c r="F4613" s="6" t="s">
        <v>25153</v>
      </c>
      <c r="G4613" s="3" t="str">
        <f>IFERROR(__xludf.DUMMYFUNCTION("REGEXREPLACE(
D4613,
""([一-龯々]+)\[([^\]]+)\]"",
""&lt;ruby&gt;$1&lt;rt&gt;$2&lt;/rt&gt;&lt;/ruby&gt;""
)&amp;""&lt;br&gt;&lt;div class=""""audio""""&gt;[sound:""&amp;C4613&amp;"".mp3]&lt;/div&gt;"""),"&lt;ruby&gt;栽培&lt;rt&gt;さいばい&lt;/rt&gt;&lt;/ruby&gt;&lt;br&gt;&lt;div class=""audio""&gt;[sound:さいばい.mp3]&lt;/div&gt;")</f>
        <v>&lt;ruby&gt;栽培&lt;rt&gt;さいばい&lt;/rt&gt;&lt;/ruby&gt;&lt;br&gt;&lt;div class="audio"&gt;[sound:さいばい.mp3]&lt;/div&gt;</v>
      </c>
      <c r="H4613" s="3" t="str">
        <f t="shared" si="1"/>
        <v>(v): trồng trọt</v>
      </c>
      <c r="I4613" s="6" t="s">
        <v>25154</v>
      </c>
      <c r="J4613" s="6" t="s">
        <v>25155</v>
      </c>
      <c r="K4613" s="7">
        <f t="shared" si="2"/>
        <v>0.1363447778</v>
      </c>
    </row>
    <row r="4614">
      <c r="A4614" s="4">
        <v>4614.0</v>
      </c>
      <c r="B4614" s="5" t="s">
        <v>25156</v>
      </c>
      <c r="C4614" s="5" t="s">
        <v>25157</v>
      </c>
      <c r="D4614" s="5" t="s">
        <v>25158</v>
      </c>
      <c r="E4614" s="6" t="s">
        <v>74</v>
      </c>
      <c r="F4614" s="6" t="s">
        <v>25159</v>
      </c>
      <c r="G4614" s="3" t="str">
        <f>IFERROR(__xludf.DUMMYFUNCTION("REGEXREPLACE(
D4614,
""([一-龯々]+)\[([^\]]+)\]"",
""&lt;ruby&gt;$1&lt;rt&gt;$2&lt;/rt&gt;&lt;/ruby&gt;""
)&amp;""&lt;br&gt;&lt;div class=""""audio""""&gt;[sound:""&amp;C4614&amp;"".mp3]&lt;/div&gt;"""),"&lt;ruby&gt;鉱山&lt;rt&gt;こうざん&lt;/rt&gt;&lt;/ruby&gt;&lt;br&gt;&lt;div class=""audio""&gt;[sound:こうざん.mp3]&lt;/div&gt;")</f>
        <v>&lt;ruby&gt;鉱山&lt;rt&gt;こうざん&lt;/rt&gt;&lt;/ruby&gt;&lt;br&gt;&lt;div class="audio"&gt;[sound:こうざん.mp3]&lt;/div&gt;</v>
      </c>
      <c r="H4614" s="3" t="str">
        <f t="shared" si="1"/>
        <v>(n): mỏ khoáng sản</v>
      </c>
      <c r="I4614" s="6" t="s">
        <v>25160</v>
      </c>
      <c r="J4614" s="6" t="s">
        <v>25161</v>
      </c>
      <c r="K4614" s="7">
        <f t="shared" si="2"/>
        <v>0.6354290342</v>
      </c>
    </row>
    <row r="4615">
      <c r="A4615" s="4">
        <v>4615.0</v>
      </c>
      <c r="B4615" s="5" t="s">
        <v>25162</v>
      </c>
      <c r="C4615" s="5" t="s">
        <v>25163</v>
      </c>
      <c r="D4615" s="5" t="s">
        <v>25162</v>
      </c>
      <c r="E4615" s="6" t="s">
        <v>74</v>
      </c>
      <c r="F4615" s="6" t="s">
        <v>25164</v>
      </c>
      <c r="G4615" s="3" t="str">
        <f>IFERROR(__xludf.DUMMYFUNCTION("REGEXREPLACE(
D4615,
""([一-龯々]+)\[([^\]]+)\]"",
""&lt;ruby&gt;$1&lt;rt&gt;$2&lt;/rt&gt;&lt;/ruby&gt;""
)&amp;""&lt;br&gt;&lt;div class=""""audio""""&gt;[sound:""&amp;C4615&amp;"".mp3]&lt;/div&gt;"""),"ホース&lt;br&gt;&lt;div class=""audio""&gt;[sound:ほーす.mp3]&lt;/div&gt;")</f>
        <v>ホース&lt;br&gt;&lt;div class="audio"&gt;[sound:ほーす.mp3]&lt;/div&gt;</v>
      </c>
      <c r="H4615" s="3" t="str">
        <f t="shared" si="1"/>
        <v>(n): ống dẫn nước</v>
      </c>
      <c r="I4615" s="6" t="s">
        <v>25165</v>
      </c>
      <c r="J4615" s="6" t="s">
        <v>25166</v>
      </c>
      <c r="K4615" s="7">
        <f t="shared" si="2"/>
        <v>0.008612768945</v>
      </c>
    </row>
    <row r="4616">
      <c r="A4616" s="4">
        <v>4616.0</v>
      </c>
      <c r="B4616" s="5" t="s">
        <v>25167</v>
      </c>
      <c r="C4616" s="5" t="s">
        <v>25168</v>
      </c>
      <c r="D4616" s="5" t="s">
        <v>25169</v>
      </c>
      <c r="E4616" s="6" t="s">
        <v>24</v>
      </c>
      <c r="F4616" s="6" t="s">
        <v>25170</v>
      </c>
      <c r="G4616" s="3" t="str">
        <f>IFERROR(__xludf.DUMMYFUNCTION("REGEXREPLACE(
D4616,
""([一-龯々]+)\[([^\]]+)\]"",
""&lt;ruby&gt;$1&lt;rt&gt;$2&lt;/rt&gt;&lt;/ruby&gt;""
)&amp;""&lt;br&gt;&lt;div class=""""audio""""&gt;[sound:""&amp;C4616&amp;"".mp3]&lt;/div&gt;"""),"&lt;ruby&gt;全滅&lt;rt&gt;ぜんめつ&lt;/rt&gt;&lt;/ruby&gt;&lt;br&gt;&lt;div class=""audio""&gt;[sound:ぜんめつ.mp3]&lt;/div&gt;")</f>
        <v>&lt;ruby&gt;全滅&lt;rt&gt;ぜんめつ&lt;/rt&gt;&lt;/ruby&gt;&lt;br&gt;&lt;div class="audio"&gt;[sound:ぜんめつ.mp3]&lt;/div&gt;</v>
      </c>
      <c r="H4616" s="3" t="str">
        <f t="shared" si="1"/>
        <v>(v): tiêu diệt</v>
      </c>
      <c r="I4616" s="6" t="s">
        <v>25171</v>
      </c>
      <c r="J4616" s="6" t="s">
        <v>25172</v>
      </c>
      <c r="K4616" s="7">
        <f t="shared" si="2"/>
        <v>0.0116477602</v>
      </c>
    </row>
    <row r="4617">
      <c r="A4617" s="4">
        <v>4617.0</v>
      </c>
      <c r="B4617" s="5" t="s">
        <v>25173</v>
      </c>
      <c r="C4617" s="5" t="s">
        <v>25174</v>
      </c>
      <c r="D4617" s="5" t="s">
        <v>25175</v>
      </c>
      <c r="E4617" s="6" t="s">
        <v>74</v>
      </c>
      <c r="F4617" s="6" t="s">
        <v>25176</v>
      </c>
      <c r="G4617" s="3" t="str">
        <f>IFERROR(__xludf.DUMMYFUNCTION("REGEXREPLACE(
D4617,
""([一-龯々]+)\[([^\]]+)\]"",
""&lt;ruby&gt;$1&lt;rt&gt;$2&lt;/rt&gt;&lt;/ruby&gt;""
)&amp;""&lt;br&gt;&lt;div class=""""audio""""&gt;[sound:""&amp;C4617&amp;"".mp3]&lt;/div&gt;"""),"&lt;ruby&gt;分業&lt;rt&gt;ぶんぎょう&lt;/rt&gt;&lt;/ruby&gt;&lt;br&gt;&lt;div class=""audio""&gt;[sound:ぶんぎょう.mp3]&lt;/div&gt;")</f>
        <v>&lt;ruby&gt;分業&lt;rt&gt;ぶんぎょう&lt;/rt&gt;&lt;/ruby&gt;&lt;br&gt;&lt;div class="audio"&gt;[sound:ぶんぎょう.mp3]&lt;/div&gt;</v>
      </c>
      <c r="H4617" s="3" t="str">
        <f t="shared" si="1"/>
        <v>(n): sự phân công</v>
      </c>
      <c r="I4617" s="6" t="s">
        <v>25177</v>
      </c>
      <c r="J4617" s="6" t="s">
        <v>25178</v>
      </c>
      <c r="K4617" s="7">
        <f t="shared" si="2"/>
        <v>0.1068968502</v>
      </c>
    </row>
    <row r="4618">
      <c r="A4618" s="4">
        <v>4618.0</v>
      </c>
      <c r="B4618" s="5" t="s">
        <v>25179</v>
      </c>
      <c r="C4618" s="5" t="s">
        <v>25180</v>
      </c>
      <c r="D4618" s="5" t="s">
        <v>25181</v>
      </c>
      <c r="E4618" s="6" t="s">
        <v>74</v>
      </c>
      <c r="F4618" s="6" t="s">
        <v>14165</v>
      </c>
      <c r="G4618" s="3" t="str">
        <f>IFERROR(__xludf.DUMMYFUNCTION("REGEXREPLACE(
D4618,
""([一-龯々]+)\[([^\]]+)\]"",
""&lt;ruby&gt;$1&lt;rt&gt;$2&lt;/rt&gt;&lt;/ruby&gt;""
)&amp;""&lt;br&gt;&lt;div class=""""audio""""&gt;[sound:""&amp;C4618&amp;"".mp3]&lt;/div&gt;"""),"&lt;ruby&gt;受持&lt;rt&gt;うけも&lt;/rt&gt;&lt;/ruby&gt;ち&lt;br&gt;&lt;div class=""audio""&gt;[sound:うけもち.mp3]&lt;/div&gt;")</f>
        <v>&lt;ruby&gt;受持&lt;rt&gt;うけも&lt;/rt&gt;&lt;/ruby&gt;ち&lt;br&gt;&lt;div class="audio"&gt;[sound:うけもち.mp3]&lt;/div&gt;</v>
      </c>
      <c r="H4618" s="3" t="str">
        <f t="shared" si="1"/>
        <v>(n): phụ trách</v>
      </c>
      <c r="I4618" s="6" t="s">
        <v>25182</v>
      </c>
      <c r="J4618" s="6" t="s">
        <v>25183</v>
      </c>
      <c r="K4618" s="7">
        <f t="shared" si="2"/>
        <v>0.6628582287</v>
      </c>
    </row>
    <row r="4619">
      <c r="A4619" s="4">
        <v>4619.0</v>
      </c>
      <c r="B4619" s="5" t="s">
        <v>25184</v>
      </c>
      <c r="C4619" s="5" t="s">
        <v>25185</v>
      </c>
      <c r="D4619" s="5" t="s">
        <v>25186</v>
      </c>
      <c r="E4619" s="6" t="s">
        <v>24</v>
      </c>
      <c r="F4619" s="6" t="s">
        <v>25187</v>
      </c>
      <c r="G4619" s="3" t="str">
        <f>IFERROR(__xludf.DUMMYFUNCTION("REGEXREPLACE(
D4619,
""([一-龯々]+)\[([^\]]+)\]"",
""&lt;ruby&gt;$1&lt;rt&gt;$2&lt;/rt&gt;&lt;/ruby&gt;""
)&amp;""&lt;br&gt;&lt;div class=""""audio""""&gt;[sound:""&amp;C4619&amp;"".mp3]&lt;/div&gt;"""),"&lt;ruby&gt;合唱&lt;rt&gt;がっしょう&lt;/rt&gt;&lt;/ruby&gt;&lt;br&gt;&lt;div class=""audio""&gt;[sound:がっしょう.mp3]&lt;/div&gt;")</f>
        <v>&lt;ruby&gt;合唱&lt;rt&gt;がっしょう&lt;/rt&gt;&lt;/ruby&gt;&lt;br&gt;&lt;div class="audio"&gt;[sound:がっしょう.mp3]&lt;/div&gt;</v>
      </c>
      <c r="H4619" s="3" t="str">
        <f t="shared" si="1"/>
        <v>(v): hợp xướng</v>
      </c>
      <c r="I4619" s="6" t="s">
        <v>25188</v>
      </c>
      <c r="J4619" s="6" t="s">
        <v>25189</v>
      </c>
      <c r="K4619" s="7">
        <f t="shared" si="2"/>
        <v>0.6633359717</v>
      </c>
    </row>
    <row r="4620">
      <c r="A4620" s="4">
        <v>4620.0</v>
      </c>
      <c r="B4620" s="5" t="s">
        <v>25190</v>
      </c>
      <c r="C4620" s="5" t="s">
        <v>25191</v>
      </c>
      <c r="D4620" s="5" t="s">
        <v>25192</v>
      </c>
      <c r="E4620" s="6" t="s">
        <v>24</v>
      </c>
      <c r="F4620" s="6" t="s">
        <v>25193</v>
      </c>
      <c r="G4620" s="3" t="str">
        <f>IFERROR(__xludf.DUMMYFUNCTION("REGEXREPLACE(
D4620,
""([一-龯々]+)\[([^\]]+)\]"",
""&lt;ruby&gt;$1&lt;rt&gt;$2&lt;/rt&gt;&lt;/ruby&gt;""
)&amp;""&lt;br&gt;&lt;div class=""""audio""""&gt;[sound:""&amp;C4620&amp;"".mp3]&lt;/div&gt;"""),"&lt;ruby&gt;呼&lt;rt&gt;よ&lt;/rt&gt;&lt;/ruby&gt;び&lt;ruby&gt;止&lt;rt&gt;と&lt;/rt&gt;&lt;/ruby&gt;める&lt;br&gt;&lt;div class=""audio""&gt;[sound:よびとめる.mp3]&lt;/div&gt;")</f>
        <v>&lt;ruby&gt;呼&lt;rt&gt;よ&lt;/rt&gt;&lt;/ruby&gt;び&lt;ruby&gt;止&lt;rt&gt;と&lt;/rt&gt;&lt;/ruby&gt;める&lt;br&gt;&lt;div class="audio"&gt;[sound:よびとめる.mp3]&lt;/div&gt;</v>
      </c>
      <c r="H4620" s="3" t="str">
        <f t="shared" si="1"/>
        <v>(v): gọi dừng lại</v>
      </c>
      <c r="I4620" s="6" t="s">
        <v>25194</v>
      </c>
      <c r="J4620" s="6" t="s">
        <v>25195</v>
      </c>
      <c r="K4620" s="7">
        <f t="shared" si="2"/>
        <v>0.9755249313</v>
      </c>
    </row>
    <row r="4621">
      <c r="A4621" s="4">
        <v>4621.0</v>
      </c>
      <c r="B4621" s="5" t="s">
        <v>25196</v>
      </c>
      <c r="C4621" s="5" t="s">
        <v>25197</v>
      </c>
      <c r="D4621" s="5" t="s">
        <v>25198</v>
      </c>
      <c r="E4621" s="6" t="s">
        <v>74</v>
      </c>
      <c r="F4621" s="6" t="s">
        <v>25199</v>
      </c>
      <c r="G4621" s="3" t="str">
        <f>IFERROR(__xludf.DUMMYFUNCTION("REGEXREPLACE(
D4621,
""([一-龯々]+)\[([^\]]+)\]"",
""&lt;ruby&gt;$1&lt;rt&gt;$2&lt;/rt&gt;&lt;/ruby&gt;""
)&amp;""&lt;br&gt;&lt;div class=""""audio""""&gt;[sound:""&amp;C4621&amp;"".mp3]&lt;/div&gt;"""),"&lt;ruby&gt;問屋&lt;rt&gt;とんや&lt;/rt&gt;&lt;/ruby&gt;&lt;br&gt;&lt;div class=""audio""&gt;[sound:とんや.mp3]&lt;/div&gt;")</f>
        <v>&lt;ruby&gt;問屋&lt;rt&gt;とんや&lt;/rt&gt;&lt;/ruby&gt;&lt;br&gt;&lt;div class="audio"&gt;[sound:とんや.mp3]&lt;/div&gt;</v>
      </c>
      <c r="H4621" s="3" t="str">
        <f t="shared" si="1"/>
        <v>(n): nhà bán buôn</v>
      </c>
      <c r="I4621" s="6" t="s">
        <v>25200</v>
      </c>
      <c r="J4621" s="6" t="s">
        <v>25201</v>
      </c>
      <c r="K4621" s="7">
        <f t="shared" si="2"/>
        <v>0.7371786021</v>
      </c>
    </row>
    <row r="4622">
      <c r="A4622" s="4">
        <v>4622.0</v>
      </c>
      <c r="B4622" s="5" t="s">
        <v>25202</v>
      </c>
      <c r="C4622" s="5" t="s">
        <v>25203</v>
      </c>
      <c r="D4622" s="5" t="s">
        <v>25204</v>
      </c>
      <c r="E4622" s="6" t="s">
        <v>24</v>
      </c>
      <c r="F4622" s="6" t="s">
        <v>25205</v>
      </c>
      <c r="G4622" s="3" t="str">
        <f>IFERROR(__xludf.DUMMYFUNCTION("REGEXREPLACE(
D4622,
""([一-龯々]+)\[([^\]]+)\]"",
""&lt;ruby&gt;$1&lt;rt&gt;$2&lt;/rt&gt;&lt;/ruby&gt;""
)&amp;""&lt;br&gt;&lt;div class=""""audio""""&gt;[sound:""&amp;C4622&amp;"".mp3]&lt;/div&gt;"""),"&lt;ruby&gt;埋蔵&lt;rt&gt;まいぞう&lt;/rt&gt;&lt;/ruby&gt;&lt;br&gt;&lt;div class=""audio""&gt;[sound:まいぞう.mp3]&lt;/div&gt;")</f>
        <v>&lt;ruby&gt;埋蔵&lt;rt&gt;まいぞう&lt;/rt&gt;&lt;/ruby&gt;&lt;br&gt;&lt;div class="audio"&gt;[sound:まいぞう.mp3]&lt;/div&gt;</v>
      </c>
      <c r="H4622" s="3" t="str">
        <f t="shared" si="1"/>
        <v>(v): chôn giấu</v>
      </c>
      <c r="I4622" s="6" t="s">
        <v>25206</v>
      </c>
      <c r="J4622" s="6" t="s">
        <v>25207</v>
      </c>
      <c r="K4622" s="7">
        <f t="shared" si="2"/>
        <v>0.193391677</v>
      </c>
    </row>
    <row r="4623">
      <c r="A4623" s="4">
        <v>4623.0</v>
      </c>
      <c r="B4623" s="5" t="s">
        <v>25208</v>
      </c>
      <c r="C4623" s="5" t="s">
        <v>25209</v>
      </c>
      <c r="D4623" s="5" t="s">
        <v>25210</v>
      </c>
      <c r="E4623" s="6" t="s">
        <v>74</v>
      </c>
      <c r="F4623" s="6" t="s">
        <v>25211</v>
      </c>
      <c r="G4623" s="3" t="str">
        <f>IFERROR(__xludf.DUMMYFUNCTION("REGEXREPLACE(
D4623,
""([一-龯々]+)\[([^\]]+)\]"",
""&lt;ruby&gt;$1&lt;rt&gt;$2&lt;/rt&gt;&lt;/ruby&gt;""
)&amp;""&lt;br&gt;&lt;div class=""""audio""""&gt;[sound:""&amp;C4623&amp;"".mp3]&lt;/div&gt;"""),"&lt;ruby&gt;夕焼&lt;rt&gt;ゆうや&lt;/rt&gt;&lt;/ruby&gt;け&lt;br&gt;&lt;div class=""audio""&gt;[sound:ゆうやけ.mp3]&lt;/div&gt;")</f>
        <v>&lt;ruby&gt;夕焼&lt;rt&gt;ゆうや&lt;/rt&gt;&lt;/ruby&gt;け&lt;br&gt;&lt;div class="audio"&gt;[sound:ゆうやけ.mp3]&lt;/div&gt;</v>
      </c>
      <c r="H4623" s="3" t="str">
        <f t="shared" si="1"/>
        <v>(n): ánh chiều tà</v>
      </c>
      <c r="I4623" s="6" t="s">
        <v>25212</v>
      </c>
      <c r="J4623" s="6" t="s">
        <v>25213</v>
      </c>
      <c r="K4623" s="7">
        <f t="shared" si="2"/>
        <v>0.2988478057</v>
      </c>
    </row>
    <row r="4624">
      <c r="A4624" s="4">
        <v>4624.0</v>
      </c>
      <c r="B4624" s="5" t="s">
        <v>25214</v>
      </c>
      <c r="C4624" s="5" t="s">
        <v>25215</v>
      </c>
      <c r="D4624" s="5" t="s">
        <v>25216</v>
      </c>
      <c r="E4624" s="6" t="s">
        <v>24</v>
      </c>
      <c r="F4624" s="6" t="s">
        <v>25217</v>
      </c>
      <c r="G4624" s="3" t="str">
        <f>IFERROR(__xludf.DUMMYFUNCTION("REGEXREPLACE(
D4624,
""([一-龯々]+)\[([^\]]+)\]"",
""&lt;ruby&gt;$1&lt;rt&gt;$2&lt;/rt&gt;&lt;/ruby&gt;""
)&amp;""&lt;br&gt;&lt;div class=""""audio""""&gt;[sound:""&amp;C4624&amp;"".mp3]&lt;/div&gt;"""),"&lt;ruby&gt;独占&lt;rt&gt;どくせん&lt;/rt&gt;&lt;/ruby&gt;&lt;br&gt;&lt;div class=""audio""&gt;[sound:どくせん.mp3]&lt;/div&gt;")</f>
        <v>&lt;ruby&gt;独占&lt;rt&gt;どくせん&lt;/rt&gt;&lt;/ruby&gt;&lt;br&gt;&lt;div class="audio"&gt;[sound:どくせん.mp3]&lt;/div&gt;</v>
      </c>
      <c r="H4624" s="3" t="str">
        <f t="shared" si="1"/>
        <v>(v): độc chiếm</v>
      </c>
      <c r="I4624" s="6" t="s">
        <v>25218</v>
      </c>
      <c r="J4624" s="6" t="s">
        <v>25219</v>
      </c>
      <c r="K4624" s="7">
        <f t="shared" si="2"/>
        <v>0.9955158475</v>
      </c>
    </row>
    <row r="4625">
      <c r="A4625" s="4">
        <v>4625.0</v>
      </c>
      <c r="B4625" s="5" t="s">
        <v>25220</v>
      </c>
      <c r="C4625" s="5" t="s">
        <v>25221</v>
      </c>
      <c r="D4625" s="5" t="s">
        <v>25222</v>
      </c>
      <c r="E4625" s="6" t="s">
        <v>24</v>
      </c>
      <c r="F4625" s="6" t="s">
        <v>25223</v>
      </c>
      <c r="G4625" s="3" t="str">
        <f>IFERROR(__xludf.DUMMYFUNCTION("REGEXREPLACE(
D4625,
""([一-龯々]+)\[([^\]]+)\]"",
""&lt;ruby&gt;$1&lt;rt&gt;$2&lt;/rt&gt;&lt;/ruby&gt;""
)&amp;""&lt;br&gt;&lt;div class=""""audio""""&gt;[sound:""&amp;C4625&amp;"".mp3]&lt;/div&gt;"""),"&lt;ruby&gt;舗装&lt;rt&gt;ほそう&lt;/rt&gt;&lt;/ruby&gt;&lt;br&gt;&lt;div class=""audio""&gt;[sound:ほそう.mp3]&lt;/div&gt;")</f>
        <v>&lt;ruby&gt;舗装&lt;rt&gt;ほそう&lt;/rt&gt;&lt;/ruby&gt;&lt;br&gt;&lt;div class="audio"&gt;[sound:ほそう.mp3]&lt;/div&gt;</v>
      </c>
      <c r="H4625" s="3" t="str">
        <f t="shared" si="1"/>
        <v>(v): lát đường</v>
      </c>
      <c r="I4625" s="6" t="s">
        <v>25224</v>
      </c>
      <c r="J4625" s="6" t="s">
        <v>25225</v>
      </c>
      <c r="K4625" s="7">
        <f t="shared" si="2"/>
        <v>0.9076347174</v>
      </c>
    </row>
    <row r="4626">
      <c r="A4626" s="4">
        <v>4626.0</v>
      </c>
      <c r="B4626" s="5" t="s">
        <v>25226</v>
      </c>
      <c r="C4626" s="5" t="s">
        <v>25227</v>
      </c>
      <c r="D4626" s="5" t="s">
        <v>25228</v>
      </c>
      <c r="E4626" s="6" t="s">
        <v>74</v>
      </c>
      <c r="F4626" s="6" t="s">
        <v>25229</v>
      </c>
      <c r="G4626" s="3" t="str">
        <f>IFERROR(__xludf.DUMMYFUNCTION("REGEXREPLACE(
D4626,
""([一-龯々]+)\[([^\]]+)\]"",
""&lt;ruby&gt;$1&lt;rt&gt;$2&lt;/rt&gt;&lt;/ruby&gt;""
)&amp;""&lt;br&gt;&lt;div class=""""audio""""&gt;[sound:""&amp;C4626&amp;"".mp3]&lt;/div&gt;"""),"&lt;ruby&gt;製法&lt;rt&gt;せいほう&lt;/rt&gt;&lt;/ruby&gt;&lt;br&gt;&lt;div class=""audio""&gt;[sound:せいほう.mp3]&lt;/div&gt;")</f>
        <v>&lt;ruby&gt;製法&lt;rt&gt;せいほう&lt;/rt&gt;&lt;/ruby&gt;&lt;br&gt;&lt;div class="audio"&gt;[sound:せいほう.mp3]&lt;/div&gt;</v>
      </c>
      <c r="H4626" s="3" t="str">
        <f t="shared" si="1"/>
        <v>(n): cách chế tạo</v>
      </c>
      <c r="I4626" s="6" t="s">
        <v>25230</v>
      </c>
      <c r="J4626" s="6" t="s">
        <v>25231</v>
      </c>
      <c r="K4626" s="7">
        <f t="shared" si="2"/>
        <v>0.3132720236</v>
      </c>
    </row>
    <row r="4627">
      <c r="A4627" s="4">
        <v>4627.0</v>
      </c>
      <c r="B4627" s="5" t="s">
        <v>25232</v>
      </c>
      <c r="C4627" s="5" t="s">
        <v>25233</v>
      </c>
      <c r="D4627" s="5" t="s">
        <v>25234</v>
      </c>
      <c r="E4627" s="6" t="s">
        <v>24</v>
      </c>
      <c r="F4627" s="6" t="s">
        <v>1565</v>
      </c>
      <c r="G4627" s="3" t="str">
        <f>IFERROR(__xludf.DUMMYFUNCTION("REGEXREPLACE(
D4627,
""([一-龯々]+)\[([^\]]+)\]"",
""&lt;ruby&gt;$1&lt;rt&gt;$2&lt;/rt&gt;&lt;/ruby&gt;""
)&amp;""&lt;br&gt;&lt;div class=""""audio""""&gt;[sound:""&amp;C4627&amp;"".mp3]&lt;/div&gt;"""),"&lt;ruby&gt;討議&lt;rt&gt;とうぎ&lt;/rt&gt;&lt;/ruby&gt;&lt;br&gt;&lt;div class=""audio""&gt;[sound:とうぎ.mp3]&lt;/div&gt;")</f>
        <v>&lt;ruby&gt;討議&lt;rt&gt;とうぎ&lt;/rt&gt;&lt;/ruby&gt;&lt;br&gt;&lt;div class="audio"&gt;[sound:とうぎ.mp3]&lt;/div&gt;</v>
      </c>
      <c r="H4627" s="3" t="str">
        <f t="shared" si="1"/>
        <v>(v): thảo luận</v>
      </c>
      <c r="I4627" s="6" t="s">
        <v>25235</v>
      </c>
      <c r="J4627" s="6" t="s">
        <v>25236</v>
      </c>
      <c r="K4627" s="7">
        <f t="shared" si="2"/>
        <v>0.2122299253</v>
      </c>
    </row>
    <row r="4628">
      <c r="A4628" s="4">
        <v>4628.0</v>
      </c>
      <c r="B4628" s="5" t="s">
        <v>25237</v>
      </c>
      <c r="C4628" s="5" t="s">
        <v>25238</v>
      </c>
      <c r="D4628" s="5" t="s">
        <v>25239</v>
      </c>
      <c r="E4628" s="6" t="s">
        <v>24</v>
      </c>
      <c r="F4628" s="6" t="s">
        <v>25240</v>
      </c>
      <c r="G4628" s="3" t="str">
        <f>IFERROR(__xludf.DUMMYFUNCTION("REGEXREPLACE(
D4628,
""([一-龯々]+)\[([^\]]+)\]"",
""&lt;ruby&gt;$1&lt;rt&gt;$2&lt;/rt&gt;&lt;/ruby&gt;""
)&amp;""&lt;br&gt;&lt;div class=""""audio""""&gt;[sound:""&amp;C4628&amp;"".mp3]&lt;/div&gt;"""),"&lt;ruby&gt;譲歩&lt;rt&gt;じょうほ&lt;/rt&gt;&lt;/ruby&gt;&lt;br&gt;&lt;div class=""audio""&gt;[sound:じょうほ.mp3]&lt;/div&gt;")</f>
        <v>&lt;ruby&gt;譲歩&lt;rt&gt;じょうほ&lt;/rt&gt;&lt;/ruby&gt;&lt;br&gt;&lt;div class="audio"&gt;[sound:じょうほ.mp3]&lt;/div&gt;</v>
      </c>
      <c r="H4628" s="3" t="str">
        <f t="shared" si="1"/>
        <v>(v): nhượng bộ</v>
      </c>
      <c r="I4628" s="6" t="s">
        <v>25241</v>
      </c>
      <c r="J4628" s="6" t="s">
        <v>25242</v>
      </c>
      <c r="K4628" s="7">
        <f t="shared" si="2"/>
        <v>0.7288025257</v>
      </c>
    </row>
    <row r="4629">
      <c r="A4629" s="4">
        <v>4629.0</v>
      </c>
      <c r="B4629" s="5" t="s">
        <v>25243</v>
      </c>
      <c r="C4629" s="5" t="s">
        <v>25244</v>
      </c>
      <c r="D4629" s="5" t="s">
        <v>25245</v>
      </c>
      <c r="E4629" s="6" t="s">
        <v>24</v>
      </c>
      <c r="F4629" s="6" t="s">
        <v>9487</v>
      </c>
      <c r="G4629" s="3" t="str">
        <f>IFERROR(__xludf.DUMMYFUNCTION("REGEXREPLACE(
D4629,
""([一-龯々]+)\[([^\]]+)\]"",
""&lt;ruby&gt;$1&lt;rt&gt;$2&lt;/rt&gt;&lt;/ruby&gt;""
)&amp;""&lt;br&gt;&lt;div class=""""audio""""&gt;[sound:""&amp;C4629&amp;"".mp3]&lt;/div&gt;"""),"&lt;ruby&gt;負傷&lt;rt&gt;ふしょう&lt;/rt&gt;&lt;/ruby&gt;&lt;br&gt;&lt;div class=""audio""&gt;[sound:ふしょう.mp3]&lt;/div&gt;")</f>
        <v>&lt;ruby&gt;負傷&lt;rt&gt;ふしょう&lt;/rt&gt;&lt;/ruby&gt;&lt;br&gt;&lt;div class="audio"&gt;[sound:ふしょう.mp3]&lt;/div&gt;</v>
      </c>
      <c r="H4629" s="3" t="str">
        <f t="shared" si="1"/>
        <v>(v): bị thương</v>
      </c>
      <c r="I4629" s="6" t="s">
        <v>25246</v>
      </c>
      <c r="J4629" s="6" t="s">
        <v>25247</v>
      </c>
      <c r="K4629" s="7">
        <f t="shared" si="2"/>
        <v>0.4755193828</v>
      </c>
    </row>
    <row r="4630">
      <c r="A4630" s="4">
        <v>4630.0</v>
      </c>
      <c r="B4630" s="5" t="s">
        <v>25248</v>
      </c>
      <c r="C4630" s="5" t="s">
        <v>25249</v>
      </c>
      <c r="D4630" s="5" t="s">
        <v>25250</v>
      </c>
      <c r="E4630" s="6" t="s">
        <v>74</v>
      </c>
      <c r="F4630" s="6" t="s">
        <v>25251</v>
      </c>
      <c r="G4630" s="3" t="str">
        <f>IFERROR(__xludf.DUMMYFUNCTION("REGEXREPLACE(
D4630,
""([一-龯々]+)\[([^\]]+)\]"",
""&lt;ruby&gt;$1&lt;rt&gt;$2&lt;/rt&gt;&lt;/ruby&gt;""
)&amp;""&lt;br&gt;&lt;div class=""""audio""""&gt;[sound:""&amp;C4630&amp;"".mp3]&lt;/div&gt;"""),"&lt;ruby&gt;起点&lt;rt&gt;きてん&lt;/rt&gt;&lt;/ruby&gt;&lt;br&gt;&lt;div class=""audio""&gt;[sound:きてん.mp3]&lt;/div&gt;")</f>
        <v>&lt;ruby&gt;起点&lt;rt&gt;きてん&lt;/rt&gt;&lt;/ruby&gt;&lt;br&gt;&lt;div class="audio"&gt;[sound:きてん.mp3]&lt;/div&gt;</v>
      </c>
      <c r="H4630" s="3" t="str">
        <f t="shared" si="1"/>
        <v>(n): điểm bắt đầu</v>
      </c>
      <c r="I4630" s="6" t="s">
        <v>25252</v>
      </c>
      <c r="J4630" s="6" t="s">
        <v>25253</v>
      </c>
      <c r="K4630" s="7">
        <f t="shared" si="2"/>
        <v>0.7571885472</v>
      </c>
    </row>
    <row r="4631">
      <c r="A4631" s="4">
        <v>4631.0</v>
      </c>
      <c r="B4631" s="5" t="s">
        <v>25254</v>
      </c>
      <c r="C4631" s="5" t="s">
        <v>25255</v>
      </c>
      <c r="D4631" s="5" t="s">
        <v>25256</v>
      </c>
      <c r="E4631" s="6" t="s">
        <v>24</v>
      </c>
      <c r="F4631" s="6" t="s">
        <v>25257</v>
      </c>
      <c r="G4631" s="3" t="str">
        <f>IFERROR(__xludf.DUMMYFUNCTION("REGEXREPLACE(
D4631,
""([一-龯々]+)\[([^\]]+)\]"",
""&lt;ruby&gt;$1&lt;rt&gt;$2&lt;/rt&gt;&lt;/ruby&gt;""
)&amp;""&lt;br&gt;&lt;div class=""""audio""""&gt;[sound:""&amp;C4631&amp;"".mp3]&lt;/div&gt;"""),"&lt;ruby&gt;追放&lt;rt&gt;ついほう&lt;/rt&gt;&lt;/ruby&gt;&lt;br&gt;&lt;div class=""audio""&gt;[sound:ついほう.mp3]&lt;/div&gt;")</f>
        <v>&lt;ruby&gt;追放&lt;rt&gt;ついほう&lt;/rt&gt;&lt;/ruby&gt;&lt;br&gt;&lt;div class="audio"&gt;[sound:ついほう.mp3]&lt;/div&gt;</v>
      </c>
      <c r="H4631" s="3" t="str">
        <f t="shared" si="1"/>
        <v>(v): trục xuất</v>
      </c>
      <c r="I4631" s="6" t="s">
        <v>25258</v>
      </c>
      <c r="J4631" s="6" t="s">
        <v>25259</v>
      </c>
      <c r="K4631" s="7">
        <f t="shared" si="2"/>
        <v>0.1838246359</v>
      </c>
    </row>
    <row r="4632">
      <c r="A4632" s="4">
        <v>4632.0</v>
      </c>
      <c r="B4632" s="5" t="s">
        <v>25260</v>
      </c>
      <c r="C4632" s="5" t="s">
        <v>25261</v>
      </c>
      <c r="D4632" s="5" t="s">
        <v>25262</v>
      </c>
      <c r="E4632" s="6" t="s">
        <v>74</v>
      </c>
      <c r="F4632" s="6" t="s">
        <v>25263</v>
      </c>
      <c r="G4632" s="3" t="str">
        <f>IFERROR(__xludf.DUMMYFUNCTION("REGEXREPLACE(
D4632,
""([一-龯々]+)\[([^\]]+)\]"",
""&lt;ruby&gt;$1&lt;rt&gt;$2&lt;/rt&gt;&lt;/ruby&gt;""
)&amp;""&lt;br&gt;&lt;div class=""""audio""""&gt;[sound:""&amp;C4632&amp;"".mp3]&lt;/div&gt;"""),"&lt;ruby&gt;過疎&lt;rt&gt;かそ&lt;/rt&gt;&lt;/ruby&gt;&lt;br&gt;&lt;div class=""audio""&gt;[sound:かそ.mp3]&lt;/div&gt;")</f>
        <v>&lt;ruby&gt;過疎&lt;rt&gt;かそ&lt;/rt&gt;&lt;/ruby&gt;&lt;br&gt;&lt;div class="audio"&gt;[sound:かそ.mp3]&lt;/div&gt;</v>
      </c>
      <c r="H4632" s="3" t="str">
        <f t="shared" si="1"/>
        <v>(n): thưa thớt dân cư</v>
      </c>
      <c r="I4632" s="6" t="s">
        <v>25264</v>
      </c>
      <c r="J4632" s="6" t="s">
        <v>25265</v>
      </c>
      <c r="K4632" s="7">
        <f t="shared" si="2"/>
        <v>0.8919056619</v>
      </c>
    </row>
    <row r="4633">
      <c r="A4633" s="4">
        <v>4633.0</v>
      </c>
      <c r="B4633" s="5" t="s">
        <v>25266</v>
      </c>
      <c r="C4633" s="5" t="s">
        <v>25267</v>
      </c>
      <c r="D4633" s="5" t="s">
        <v>25268</v>
      </c>
      <c r="E4633" s="6" t="s">
        <v>24</v>
      </c>
      <c r="F4633" s="6" t="s">
        <v>25269</v>
      </c>
      <c r="G4633" s="3" t="str">
        <f>IFERROR(__xludf.DUMMYFUNCTION("REGEXREPLACE(
D4633,
""([一-龯々]+)\[([^\]]+)\]"",
""&lt;ruby&gt;$1&lt;rt&gt;$2&lt;/rt&gt;&lt;/ruby&gt;""
)&amp;""&lt;br&gt;&lt;div class=""""audio""""&gt;[sound:""&amp;C4633&amp;"".mp3]&lt;/div&gt;"""),"&lt;ruby&gt;重複&lt;rt&gt;ちょうふく&lt;/rt&gt;&lt;/ruby&gt;&lt;br&gt;&lt;div class=""audio""&gt;[sound:ちょうふく.mp3]&lt;/div&gt;")</f>
        <v>&lt;ruby&gt;重複&lt;rt&gt;ちょうふく&lt;/rt&gt;&lt;/ruby&gt;&lt;br&gt;&lt;div class="audio"&gt;[sound:ちょうふく.mp3]&lt;/div&gt;</v>
      </c>
      <c r="H4633" s="3" t="str">
        <f t="shared" si="1"/>
        <v>(v): trùng lặp</v>
      </c>
      <c r="I4633" s="6" t="s">
        <v>25270</v>
      </c>
      <c r="J4633" s="6" t="s">
        <v>25271</v>
      </c>
      <c r="K4633" s="7">
        <f t="shared" si="2"/>
        <v>0.2775018753</v>
      </c>
    </row>
    <row r="4634">
      <c r="A4634" s="4">
        <v>4634.0</v>
      </c>
      <c r="B4634" s="5" t="s">
        <v>25272</v>
      </c>
      <c r="C4634" s="5" t="s">
        <v>25273</v>
      </c>
      <c r="D4634" s="5" t="s">
        <v>25274</v>
      </c>
      <c r="E4634" s="6" t="s">
        <v>74</v>
      </c>
      <c r="F4634" s="6" t="s">
        <v>25275</v>
      </c>
      <c r="G4634" s="3" t="str">
        <f>IFERROR(__xludf.DUMMYFUNCTION("REGEXREPLACE(
D4634,
""([一-龯々]+)\[([^\]]+)\]"",
""&lt;ruby&gt;$1&lt;rt&gt;$2&lt;/rt&gt;&lt;/ruby&gt;""
)&amp;""&lt;br&gt;&lt;div class=""""audio""""&gt;[sound:""&amp;C4634&amp;"".mp3]&lt;/div&gt;"""),"&lt;ruby&gt;長編&lt;rt&gt;ちょうへん&lt;/rt&gt;&lt;/ruby&gt;&lt;br&gt;&lt;div class=""audio""&gt;[sound:ちょうへん.mp3]&lt;/div&gt;")</f>
        <v>&lt;ruby&gt;長編&lt;rt&gt;ちょうへん&lt;/rt&gt;&lt;/ruby&gt;&lt;br&gt;&lt;div class="audio"&gt;[sound:ちょうへん.mp3]&lt;/div&gt;</v>
      </c>
      <c r="H4634" s="3" t="str">
        <f t="shared" si="1"/>
        <v>(n): tác phẩm dài</v>
      </c>
      <c r="I4634" s="6" t="s">
        <v>25276</v>
      </c>
      <c r="J4634" s="6" t="s">
        <v>25277</v>
      </c>
      <c r="K4634" s="7">
        <f t="shared" si="2"/>
        <v>0.7896671399</v>
      </c>
    </row>
    <row r="4635">
      <c r="A4635" s="4">
        <v>4635.0</v>
      </c>
      <c r="B4635" s="5" t="s">
        <v>25278</v>
      </c>
      <c r="C4635" s="5" t="s">
        <v>25278</v>
      </c>
      <c r="D4635" s="5" t="s">
        <v>25278</v>
      </c>
      <c r="E4635" s="6" t="s">
        <v>85</v>
      </c>
      <c r="F4635" s="6" t="s">
        <v>25279</v>
      </c>
      <c r="G4635" s="3" t="str">
        <f>IFERROR(__xludf.DUMMYFUNCTION("REGEXREPLACE(
D4635,
""([一-龯々]+)\[([^\]]+)\]"",
""&lt;ruby&gt;$1&lt;rt&gt;$2&lt;/rt&gt;&lt;/ruby&gt;""
)&amp;""&lt;br&gt;&lt;div class=""""audio""""&gt;[sound:""&amp;C4635&amp;"".mp3]&lt;/div&gt;"""),"ふらふら&lt;br&gt;&lt;div class=""audio""&gt;[sound:ふらふら.mp3]&lt;/div&gt;")</f>
        <v>ふらふら&lt;br&gt;&lt;div class="audio"&gt;[sound:ふらふら.mp3]&lt;/div&gt;</v>
      </c>
      <c r="H4635" s="3" t="str">
        <f t="shared" si="1"/>
        <v>(adv): choáng váng</v>
      </c>
      <c r="I4635" s="6" t="s">
        <v>25280</v>
      </c>
      <c r="J4635" s="6" t="s">
        <v>25281</v>
      </c>
      <c r="K4635" s="7">
        <f t="shared" si="2"/>
        <v>0.8190989646</v>
      </c>
    </row>
    <row r="4636">
      <c r="A4636" s="4">
        <v>4636.0</v>
      </c>
      <c r="B4636" s="5" t="s">
        <v>25282</v>
      </c>
      <c r="C4636" s="5" t="s">
        <v>25283</v>
      </c>
      <c r="D4636" s="5" t="s">
        <v>25284</v>
      </c>
      <c r="E4636" s="6" t="s">
        <v>85</v>
      </c>
      <c r="F4636" s="6" t="s">
        <v>25285</v>
      </c>
      <c r="G4636" s="3" t="str">
        <f>IFERROR(__xludf.DUMMYFUNCTION("REGEXREPLACE(
D4636,
""([一-龯々]+)\[([^\]]+)\]"",
""&lt;ruby&gt;$1&lt;rt&gt;$2&lt;/rt&gt;&lt;/ruby&gt;""
)&amp;""&lt;br&gt;&lt;div class=""""audio""""&gt;[sound:""&amp;C4636&amp;"".mp3]&lt;/div&gt;"""),"&lt;ruby&gt;今更&lt;rt&gt;いまさら&lt;/rt&gt;&lt;/ruby&gt;&lt;br&gt;&lt;div class=""audio""&gt;[sound:いまさら.mp3]&lt;/div&gt;")</f>
        <v>&lt;ruby&gt;今更&lt;rt&gt;いまさら&lt;/rt&gt;&lt;/ruby&gt;&lt;br&gt;&lt;div class="audio"&gt;[sound:いまさら.mp3]&lt;/div&gt;</v>
      </c>
      <c r="H4636" s="3" t="str">
        <f t="shared" si="1"/>
        <v>(adv): đến lúc này</v>
      </c>
      <c r="I4636" s="6" t="s">
        <v>25286</v>
      </c>
      <c r="J4636" s="6" t="s">
        <v>25287</v>
      </c>
      <c r="K4636" s="7">
        <f t="shared" si="2"/>
        <v>0.2664323356</v>
      </c>
    </row>
    <row r="4637">
      <c r="A4637" s="4">
        <v>4637.0</v>
      </c>
      <c r="B4637" s="5" t="s">
        <v>25288</v>
      </c>
      <c r="C4637" s="5" t="s">
        <v>25289</v>
      </c>
      <c r="D4637" s="5" t="s">
        <v>25290</v>
      </c>
      <c r="E4637" s="6" t="s">
        <v>74</v>
      </c>
      <c r="F4637" s="6" t="s">
        <v>6132</v>
      </c>
      <c r="G4637" s="3" t="str">
        <f>IFERROR(__xludf.DUMMYFUNCTION("REGEXREPLACE(
D4637,
""([一-龯々]+)\[([^\]]+)\]"",
""&lt;ruby&gt;$1&lt;rt&gt;$2&lt;/rt&gt;&lt;/ruby&gt;""
)&amp;""&lt;br&gt;&lt;div class=""""audio""""&gt;[sound:""&amp;C4637&amp;"".mp3]&lt;/div&gt;"""),"&lt;ruby&gt;便宜&lt;rt&gt;べんぎ&lt;/rt&gt;&lt;/ruby&gt;&lt;br&gt;&lt;div class=""audio""&gt;[sound:べんぎ.mp3]&lt;/div&gt;")</f>
        <v>&lt;ruby&gt;便宜&lt;rt&gt;べんぎ&lt;/rt&gt;&lt;/ruby&gt;&lt;br&gt;&lt;div class="audio"&gt;[sound:べんぎ.mp3]&lt;/div&gt;</v>
      </c>
      <c r="H4637" s="3" t="str">
        <f t="shared" si="1"/>
        <v>(n): tiện lợi</v>
      </c>
      <c r="I4637" s="6" t="s">
        <v>25291</v>
      </c>
      <c r="J4637" s="6" t="s">
        <v>25292</v>
      </c>
      <c r="K4637" s="7">
        <f t="shared" si="2"/>
        <v>0.8848021989</v>
      </c>
    </row>
    <row r="4638">
      <c r="A4638" s="4">
        <v>4638.0</v>
      </c>
      <c r="B4638" s="5" t="s">
        <v>25293</v>
      </c>
      <c r="C4638" s="5" t="s">
        <v>25294</v>
      </c>
      <c r="D4638" s="5" t="s">
        <v>25295</v>
      </c>
      <c r="E4638" s="6" t="s">
        <v>24</v>
      </c>
      <c r="F4638" s="6" t="s">
        <v>25296</v>
      </c>
      <c r="G4638" s="3" t="str">
        <f>IFERROR(__xludf.DUMMYFUNCTION("REGEXREPLACE(
D4638,
""([一-龯々]+)\[([^\]]+)\]"",
""&lt;ruby&gt;$1&lt;rt&gt;$2&lt;/rt&gt;&lt;/ruby&gt;""
)&amp;""&lt;br&gt;&lt;div class=""""audio""""&gt;[sound:""&amp;C4638&amp;"".mp3]&lt;/div&gt;"""),"&lt;ruby&gt;免除&lt;rt&gt;めんじょ&lt;/rt&gt;&lt;/ruby&gt;&lt;br&gt;&lt;div class=""audio""&gt;[sound:めんじょ.mp3]&lt;/div&gt;")</f>
        <v>&lt;ruby&gt;免除&lt;rt&gt;めんじょ&lt;/rt&gt;&lt;/ruby&gt;&lt;br&gt;&lt;div class="audio"&gt;[sound:めんじょ.mp3]&lt;/div&gt;</v>
      </c>
      <c r="H4638" s="3" t="str">
        <f t="shared" si="1"/>
        <v>(v): miễn trừ</v>
      </c>
      <c r="I4638" s="6" t="s">
        <v>25297</v>
      </c>
      <c r="J4638" s="6" t="s">
        <v>25298</v>
      </c>
      <c r="K4638" s="7">
        <f t="shared" si="2"/>
        <v>0.5791713741</v>
      </c>
    </row>
    <row r="4639">
      <c r="A4639" s="4">
        <v>4639.0</v>
      </c>
      <c r="B4639" s="5" t="s">
        <v>25299</v>
      </c>
      <c r="C4639" s="5" t="s">
        <v>25300</v>
      </c>
      <c r="D4639" s="5" t="s">
        <v>25301</v>
      </c>
      <c r="E4639" s="6" t="s">
        <v>24</v>
      </c>
      <c r="F4639" s="6" t="s">
        <v>25302</v>
      </c>
      <c r="G4639" s="3" t="str">
        <f>IFERROR(__xludf.DUMMYFUNCTION("REGEXREPLACE(
D4639,
""([一-龯々]+)\[([^\]]+)\]"",
""&lt;ruby&gt;$1&lt;rt&gt;$2&lt;/rt&gt;&lt;/ruby&gt;""
)&amp;""&lt;br&gt;&lt;div class=""""audio""""&gt;[sound:""&amp;C4639&amp;"".mp3]&lt;/div&gt;"""),"&lt;ruby&gt;公募&lt;rt&gt;こうぼ&lt;/rt&gt;&lt;/ruby&gt;&lt;br&gt;&lt;div class=""audio""&gt;[sound:こうぼ.mp3]&lt;/div&gt;")</f>
        <v>&lt;ruby&gt;公募&lt;rt&gt;こうぼ&lt;/rt&gt;&lt;/ruby&gt;&lt;br&gt;&lt;div class="audio"&gt;[sound:こうぼ.mp3]&lt;/div&gt;</v>
      </c>
      <c r="H4639" s="3" t="str">
        <f t="shared" si="1"/>
        <v>(v): tuyển mộ</v>
      </c>
      <c r="I4639" s="6" t="s">
        <v>25303</v>
      </c>
      <c r="J4639" s="6" t="s">
        <v>25304</v>
      </c>
      <c r="K4639" s="7">
        <f t="shared" si="2"/>
        <v>0.9655031838</v>
      </c>
    </row>
    <row r="4640">
      <c r="A4640" s="4">
        <v>4640.0</v>
      </c>
      <c r="B4640" s="5" t="s">
        <v>25305</v>
      </c>
      <c r="C4640" s="5" t="s">
        <v>25306</v>
      </c>
      <c r="D4640" s="5" t="s">
        <v>25307</v>
      </c>
      <c r="E4640" s="6" t="s">
        <v>24</v>
      </c>
      <c r="F4640" s="6" t="s">
        <v>23489</v>
      </c>
      <c r="G4640" s="3" t="str">
        <f>IFERROR(__xludf.DUMMYFUNCTION("REGEXREPLACE(
D4640,
""([一-龯々]+)\[([^\]]+)\]"",
""&lt;ruby&gt;$1&lt;rt&gt;$2&lt;/rt&gt;&lt;/ruby&gt;""
)&amp;""&lt;br&gt;&lt;div class=""""audio""""&gt;[sound:""&amp;C4640&amp;"".mp3]&lt;/div&gt;"""),"&lt;ruby&gt;創刊&lt;rt&gt;そうかん&lt;/rt&gt;&lt;/ruby&gt;&lt;br&gt;&lt;div class=""audio""&gt;[sound:そうかん.mp3]&lt;/div&gt;")</f>
        <v>&lt;ruby&gt;創刊&lt;rt&gt;そうかん&lt;/rt&gt;&lt;/ruby&gt;&lt;br&gt;&lt;div class="audio"&gt;[sound:そうかん.mp3]&lt;/div&gt;</v>
      </c>
      <c r="H4640" s="3" t="str">
        <f t="shared" si="1"/>
        <v>(v): xuất bản</v>
      </c>
      <c r="I4640" s="6" t="s">
        <v>25308</v>
      </c>
      <c r="J4640" s="6" t="s">
        <v>25309</v>
      </c>
      <c r="K4640" s="7">
        <f t="shared" si="2"/>
        <v>0.5640661922</v>
      </c>
    </row>
    <row r="4641">
      <c r="A4641" s="4">
        <v>4641.0</v>
      </c>
      <c r="B4641" s="5" t="s">
        <v>25310</v>
      </c>
      <c r="C4641" s="5" t="s">
        <v>25311</v>
      </c>
      <c r="D4641" s="5" t="s">
        <v>25312</v>
      </c>
      <c r="E4641" s="6" t="s">
        <v>74</v>
      </c>
      <c r="F4641" s="6" t="s">
        <v>25313</v>
      </c>
      <c r="G4641" s="3" t="str">
        <f>IFERROR(__xludf.DUMMYFUNCTION("REGEXREPLACE(
D4641,
""([一-龯々]+)\[([^\]]+)\]"",
""&lt;ruby&gt;$1&lt;rt&gt;$2&lt;/rt&gt;&lt;/ruby&gt;""
)&amp;""&lt;br&gt;&lt;div class=""""audio""""&gt;[sound:""&amp;C4641&amp;"".mp3]&lt;/div&gt;"""),"&lt;ruby&gt;助動詞&lt;rt&gt;じょどうし&lt;/rt&gt;&lt;/ruby&gt;&lt;br&gt;&lt;div class=""audio""&gt;[sound:じょどうし.mp3]&lt;/div&gt;")</f>
        <v>&lt;ruby&gt;助動詞&lt;rt&gt;じょどうし&lt;/rt&gt;&lt;/ruby&gt;&lt;br&gt;&lt;div class="audio"&gt;[sound:じょどうし.mp3]&lt;/div&gt;</v>
      </c>
      <c r="H4641" s="3" t="str">
        <f t="shared" si="1"/>
        <v>(n): trợ động từ</v>
      </c>
      <c r="I4641" s="6" t="s">
        <v>25314</v>
      </c>
      <c r="J4641" s="6" t="s">
        <v>25315</v>
      </c>
      <c r="K4641" s="7">
        <f t="shared" si="2"/>
        <v>0.2394274654</v>
      </c>
    </row>
    <row r="4642">
      <c r="A4642" s="4">
        <v>4642.0</v>
      </c>
      <c r="B4642" s="5" t="s">
        <v>25316</v>
      </c>
      <c r="C4642" s="5" t="s">
        <v>25317</v>
      </c>
      <c r="D4642" s="5" t="s">
        <v>25318</v>
      </c>
      <c r="E4642" s="6" t="s">
        <v>74</v>
      </c>
      <c r="F4642" s="6" t="s">
        <v>14856</v>
      </c>
      <c r="G4642" s="3" t="str">
        <f>IFERROR(__xludf.DUMMYFUNCTION("REGEXREPLACE(
D4642,
""([一-龯々]+)\[([^\]]+)\]"",
""&lt;ruby&gt;$1&lt;rt&gt;$2&lt;/rt&gt;&lt;/ruby&gt;""
)&amp;""&lt;br&gt;&lt;div class=""""audio""""&gt;[sound:""&amp;C4642&amp;"".mp3]&lt;/div&gt;"""),"&lt;ruby&gt;勤労&lt;rt&gt;きんろう&lt;/rt&gt;&lt;/ruby&gt;&lt;br&gt;&lt;div class=""audio""&gt;[sound:きんろう.mp3]&lt;/div&gt;")</f>
        <v>&lt;ruby&gt;勤労&lt;rt&gt;きんろう&lt;/rt&gt;&lt;/ruby&gt;&lt;br&gt;&lt;div class="audio"&gt;[sound:きんろう.mp3]&lt;/div&gt;</v>
      </c>
      <c r="H4642" s="3" t="str">
        <f t="shared" si="1"/>
        <v>(n): lao động</v>
      </c>
      <c r="I4642" s="6" t="s">
        <v>25319</v>
      </c>
      <c r="J4642" s="6" t="s">
        <v>25320</v>
      </c>
      <c r="K4642" s="7">
        <f t="shared" si="2"/>
        <v>0.7054480791</v>
      </c>
    </row>
    <row r="4643">
      <c r="A4643" s="4">
        <v>4643.0</v>
      </c>
      <c r="B4643" s="5" t="s">
        <v>25321</v>
      </c>
      <c r="C4643" s="5" t="s">
        <v>25322</v>
      </c>
      <c r="D4643" s="5" t="s">
        <v>25323</v>
      </c>
      <c r="E4643" s="6" t="s">
        <v>74</v>
      </c>
      <c r="F4643" s="6" t="s">
        <v>25324</v>
      </c>
      <c r="G4643" s="3" t="str">
        <f>IFERROR(__xludf.DUMMYFUNCTION("REGEXREPLACE(
D4643,
""([一-龯々]+)\[([^\]]+)\]"",
""&lt;ruby&gt;$1&lt;rt&gt;$2&lt;/rt&gt;&lt;/ruby&gt;""
)&amp;""&lt;br&gt;&lt;div class=""""audio""""&gt;[sound:""&amp;C4643&amp;"".mp3]&lt;/div&gt;"""),"&lt;ruby&gt;反感&lt;rt&gt;はんかん&lt;/rt&gt;&lt;/ruby&gt;&lt;br&gt;&lt;div class=""audio""&gt;[sound:はんかん.mp3]&lt;/div&gt;")</f>
        <v>&lt;ruby&gt;反感&lt;rt&gt;はんかん&lt;/rt&gt;&lt;/ruby&gt;&lt;br&gt;&lt;div class="audio"&gt;[sound:はんかん.mp3]&lt;/div&gt;</v>
      </c>
      <c r="H4643" s="3" t="str">
        <f t="shared" si="1"/>
        <v>(n): phản cảm</v>
      </c>
      <c r="I4643" s="6" t="s">
        <v>25325</v>
      </c>
      <c r="J4643" s="6" t="s">
        <v>25326</v>
      </c>
      <c r="K4643" s="7">
        <f t="shared" si="2"/>
        <v>0.2259600862</v>
      </c>
    </row>
    <row r="4644">
      <c r="A4644" s="4">
        <v>4644.0</v>
      </c>
      <c r="B4644" s="5" t="s">
        <v>25327</v>
      </c>
      <c r="C4644" s="5" t="s">
        <v>25328</v>
      </c>
      <c r="D4644" s="5" t="s">
        <v>25329</v>
      </c>
      <c r="E4644" s="6" t="s">
        <v>74</v>
      </c>
      <c r="F4644" s="6" t="s">
        <v>25330</v>
      </c>
      <c r="G4644" s="3" t="str">
        <f>IFERROR(__xludf.DUMMYFUNCTION("REGEXREPLACE(
D4644,
""([一-龯々]+)\[([^\]]+)\]"",
""&lt;ruby&gt;$1&lt;rt&gt;$2&lt;/rt&gt;&lt;/ruby&gt;""
)&amp;""&lt;br&gt;&lt;div class=""""audio""""&gt;[sound:""&amp;C4644&amp;"".mp3]&lt;/div&gt;"""),"&lt;ruby&gt;多数決&lt;rt&gt;たすうけつ&lt;/rt&gt;&lt;/ruby&gt;&lt;br&gt;&lt;div class=""audio""&gt;[sound:たすうけつ.mp3]&lt;/div&gt;")</f>
        <v>&lt;ruby&gt;多数決&lt;rt&gt;たすうけつ&lt;/rt&gt;&lt;/ruby&gt;&lt;br&gt;&lt;div class="audio"&gt;[sound:たすうけつ.mp3]&lt;/div&gt;</v>
      </c>
      <c r="H4644" s="3" t="str">
        <f t="shared" si="1"/>
        <v>(n): đa số thắng</v>
      </c>
      <c r="I4644" s="6" t="s">
        <v>25331</v>
      </c>
      <c r="J4644" s="6" t="s">
        <v>25332</v>
      </c>
      <c r="K4644" s="7">
        <f t="shared" si="2"/>
        <v>0.8133061117</v>
      </c>
    </row>
    <row r="4645">
      <c r="A4645" s="4">
        <v>4645.0</v>
      </c>
      <c r="B4645" s="5" t="s">
        <v>25333</v>
      </c>
      <c r="C4645" s="5" t="s">
        <v>25334</v>
      </c>
      <c r="D4645" s="5" t="s">
        <v>25335</v>
      </c>
      <c r="E4645" s="6" t="s">
        <v>24</v>
      </c>
      <c r="F4645" s="6" t="s">
        <v>25336</v>
      </c>
      <c r="G4645" s="3" t="str">
        <f>IFERROR(__xludf.DUMMYFUNCTION("REGEXREPLACE(
D4645,
""([一-龯々]+)\[([^\]]+)\]"",
""&lt;ruby&gt;$1&lt;rt&gt;$2&lt;/rt&gt;&lt;/ruby&gt;""
)&amp;""&lt;br&gt;&lt;div class=""""audio""""&gt;[sound:""&amp;C4645&amp;"".mp3]&lt;/div&gt;"""),"&lt;ruby&gt;奮闘&lt;rt&gt;ふんとう&lt;/rt&gt;&lt;/ruby&gt;&lt;br&gt;&lt;div class=""audio""&gt;[sound:ふんとう.mp3]&lt;/div&gt;")</f>
        <v>&lt;ruby&gt;奮闘&lt;rt&gt;ふんとう&lt;/rt&gt;&lt;/ruby&gt;&lt;br&gt;&lt;div class="audio"&gt;[sound:ふんとう.mp3]&lt;/div&gt;</v>
      </c>
      <c r="H4645" s="3" t="str">
        <f t="shared" si="1"/>
        <v>(v): phấn đấu</v>
      </c>
      <c r="I4645" s="6" t="s">
        <v>25337</v>
      </c>
      <c r="J4645" s="6" t="s">
        <v>25338</v>
      </c>
      <c r="K4645" s="7">
        <f t="shared" si="2"/>
        <v>0.750274737</v>
      </c>
    </row>
    <row r="4646">
      <c r="A4646" s="4">
        <v>4646.0</v>
      </c>
      <c r="B4646" s="5" t="s">
        <v>25339</v>
      </c>
      <c r="C4646" s="5" t="s">
        <v>25340</v>
      </c>
      <c r="D4646" s="5" t="s">
        <v>25341</v>
      </c>
      <c r="E4646" s="6" t="s">
        <v>24</v>
      </c>
      <c r="F4646" s="6" t="s">
        <v>25342</v>
      </c>
      <c r="G4646" s="3" t="str">
        <f>IFERROR(__xludf.DUMMYFUNCTION("REGEXREPLACE(
D4646,
""([一-龯々]+)\[([^\]]+)\]"",
""&lt;ruby&gt;$1&lt;rt&gt;$2&lt;/rt&gt;&lt;/ruby&gt;""
)&amp;""&lt;br&gt;&lt;div class=""""audio""""&gt;[sound:""&amp;C4646&amp;"".mp3]&lt;/div&gt;"""),"&lt;ruby&gt;繁殖&lt;rt&gt;はんしょく&lt;/rt&gt;&lt;/ruby&gt;&lt;br&gt;&lt;div class=""audio""&gt;[sound:はんしょく.mp3]&lt;/div&gt;")</f>
        <v>&lt;ruby&gt;繁殖&lt;rt&gt;はんしょく&lt;/rt&gt;&lt;/ruby&gt;&lt;br&gt;&lt;div class="audio"&gt;[sound:はんしょく.mp3]&lt;/div&gt;</v>
      </c>
      <c r="H4646" s="3" t="str">
        <f t="shared" si="1"/>
        <v>(v): sinh sản</v>
      </c>
      <c r="I4646" s="6" t="s">
        <v>25343</v>
      </c>
      <c r="J4646" s="6" t="s">
        <v>25344</v>
      </c>
      <c r="K4646" s="7">
        <f t="shared" si="2"/>
        <v>0.2111587608</v>
      </c>
    </row>
    <row r="4647">
      <c r="A4647" s="4">
        <v>4647.0</v>
      </c>
      <c r="B4647" s="5" t="s">
        <v>25345</v>
      </c>
      <c r="C4647" s="5" t="s">
        <v>25346</v>
      </c>
      <c r="D4647" s="5" t="s">
        <v>25347</v>
      </c>
      <c r="E4647" s="6" t="s">
        <v>74</v>
      </c>
      <c r="F4647" s="6" t="s">
        <v>25348</v>
      </c>
      <c r="G4647" s="3" t="str">
        <f>IFERROR(__xludf.DUMMYFUNCTION("REGEXREPLACE(
D4647,
""([一-龯々]+)\[([^\]]+)\]"",
""&lt;ruby&gt;$1&lt;rt&gt;$2&lt;/rt&gt;&lt;/ruby&gt;""
)&amp;""&lt;br&gt;&lt;div class=""""audio""""&gt;[sound:""&amp;C4647&amp;"".mp3]&lt;/div&gt;"""),"&lt;ruby&gt;考古学&lt;rt&gt;こうこがく&lt;/rt&gt;&lt;/ruby&gt;&lt;br&gt;&lt;div class=""audio""&gt;[sound:こうこがく.mp3]&lt;/div&gt;")</f>
        <v>&lt;ruby&gt;考古学&lt;rt&gt;こうこがく&lt;/rt&gt;&lt;/ruby&gt;&lt;br&gt;&lt;div class="audio"&gt;[sound:こうこがく.mp3]&lt;/div&gt;</v>
      </c>
      <c r="H4647" s="3" t="str">
        <f t="shared" si="1"/>
        <v>(n): khảo cổ học</v>
      </c>
      <c r="I4647" s="6" t="s">
        <v>25349</v>
      </c>
      <c r="J4647" s="6" t="s">
        <v>25350</v>
      </c>
      <c r="K4647" s="7">
        <f t="shared" si="2"/>
        <v>0.9939427893</v>
      </c>
    </row>
    <row r="4648">
      <c r="A4648" s="4">
        <v>4648.0</v>
      </c>
      <c r="B4648" s="5" t="s">
        <v>25351</v>
      </c>
      <c r="C4648" s="5" t="s">
        <v>25352</v>
      </c>
      <c r="D4648" s="5" t="s">
        <v>25353</v>
      </c>
      <c r="E4648" s="6" t="s">
        <v>24</v>
      </c>
      <c r="F4648" s="6" t="s">
        <v>8072</v>
      </c>
      <c r="G4648" s="3" t="str">
        <f>IFERROR(__xludf.DUMMYFUNCTION("REGEXREPLACE(
D4648,
""([一-龯々]+)\[([^\]]+)\]"",
""&lt;ruby&gt;$1&lt;rt&gt;$2&lt;/rt&gt;&lt;/ruby&gt;""
)&amp;""&lt;br&gt;&lt;div class=""""audio""""&gt;[sound:""&amp;C4648&amp;"".mp3]&lt;/div&gt;"""),"&lt;ruby&gt;許容&lt;rt&gt;きょよう&lt;/rt&gt;&lt;/ruby&gt;&lt;br&gt;&lt;div class=""audio""&gt;[sound:きょよう.mp3]&lt;/div&gt;")</f>
        <v>&lt;ruby&gt;許容&lt;rt&gt;きょよう&lt;/rt&gt;&lt;/ruby&gt;&lt;br&gt;&lt;div class="audio"&gt;[sound:きょよう.mp3]&lt;/div&gt;</v>
      </c>
      <c r="H4648" s="3" t="str">
        <f t="shared" si="1"/>
        <v>(v): cho phép</v>
      </c>
      <c r="I4648" s="6" t="s">
        <v>25354</v>
      </c>
      <c r="J4648" s="6" t="s">
        <v>25355</v>
      </c>
      <c r="K4648" s="7">
        <f t="shared" si="2"/>
        <v>0.7790923166</v>
      </c>
    </row>
    <row r="4649">
      <c r="A4649" s="4">
        <v>4649.0</v>
      </c>
      <c r="B4649" s="5" t="s">
        <v>25356</v>
      </c>
      <c r="C4649" s="5" t="s">
        <v>25357</v>
      </c>
      <c r="D4649" s="5" t="s">
        <v>25358</v>
      </c>
      <c r="E4649" s="6" t="s">
        <v>24</v>
      </c>
      <c r="F4649" s="6" t="s">
        <v>25359</v>
      </c>
      <c r="G4649" s="3" t="str">
        <f>IFERROR(__xludf.DUMMYFUNCTION("REGEXREPLACE(
D4649,
""([一-龯々]+)\[([^\]]+)\]"",
""&lt;ruby&gt;$1&lt;rt&gt;$2&lt;/rt&gt;&lt;/ruby&gt;""
)&amp;""&lt;br&gt;&lt;div class=""""audio""""&gt;[sound:""&amp;C4649&amp;"".mp3]&lt;/div&gt;"""),"&lt;ruby&gt;調停&lt;rt&gt;ちょうてい&lt;/rt&gt;&lt;/ruby&gt;&lt;br&gt;&lt;div class=""audio""&gt;[sound:ちょうてい.mp3]&lt;/div&gt;")</f>
        <v>&lt;ruby&gt;調停&lt;rt&gt;ちょうてい&lt;/rt&gt;&lt;/ruby&gt;&lt;br&gt;&lt;div class="audio"&gt;[sound:ちょうてい.mp3]&lt;/div&gt;</v>
      </c>
      <c r="H4649" s="3" t="str">
        <f t="shared" si="1"/>
        <v>(v): hòa giải</v>
      </c>
      <c r="I4649" s="6" t="s">
        <v>25360</v>
      </c>
      <c r="J4649" s="6" t="s">
        <v>25361</v>
      </c>
      <c r="K4649" s="7">
        <f t="shared" si="2"/>
        <v>0.0343116362</v>
      </c>
    </row>
    <row r="4650">
      <c r="A4650" s="4">
        <v>4650.0</v>
      </c>
      <c r="B4650" s="5" t="s">
        <v>25362</v>
      </c>
      <c r="C4650" s="5" t="s">
        <v>25363</v>
      </c>
      <c r="D4650" s="5" t="s">
        <v>25364</v>
      </c>
      <c r="E4650" s="6" t="s">
        <v>24</v>
      </c>
      <c r="F4650" s="6" t="s">
        <v>25365</v>
      </c>
      <c r="G4650" s="3" t="str">
        <f>IFERROR(__xludf.DUMMYFUNCTION("REGEXREPLACE(
D4650,
""([一-龯々]+)\[([^\]]+)\]"",
""&lt;ruby&gt;$1&lt;rt&gt;$2&lt;/rt&gt;&lt;/ruby&gt;""
)&amp;""&lt;br&gt;&lt;div class=""""audio""""&gt;[sound:""&amp;C4650&amp;"".mp3]&lt;/div&gt;"""),"&lt;ruby&gt;辛抱&lt;rt&gt;しんぼう&lt;/rt&gt;&lt;/ruby&gt;&lt;br&gt;&lt;div class=""audio""&gt;[sound:しんぼう.mp3]&lt;/div&gt;")</f>
        <v>&lt;ruby&gt;辛抱&lt;rt&gt;しんぼう&lt;/rt&gt;&lt;/ruby&gt;&lt;br&gt;&lt;div class="audio"&gt;[sound:しんぼう.mp3]&lt;/div&gt;</v>
      </c>
      <c r="H4650" s="3" t="str">
        <f t="shared" si="1"/>
        <v>(v): nhẫn nại</v>
      </c>
      <c r="I4650" s="6" t="s">
        <v>25366</v>
      </c>
      <c r="J4650" s="6" t="s">
        <v>25367</v>
      </c>
      <c r="K4650" s="7">
        <f t="shared" si="2"/>
        <v>0.7855957232</v>
      </c>
    </row>
    <row r="4651">
      <c r="A4651" s="4">
        <v>4651.0</v>
      </c>
      <c r="B4651" s="5" t="s">
        <v>25368</v>
      </c>
      <c r="C4651" s="5" t="s">
        <v>25369</v>
      </c>
      <c r="D4651" s="5" t="s">
        <v>25370</v>
      </c>
      <c r="E4651" s="6" t="s">
        <v>74</v>
      </c>
      <c r="F4651" s="6" t="s">
        <v>11017</v>
      </c>
      <c r="G4651" s="3" t="str">
        <f>IFERROR(__xludf.DUMMYFUNCTION("REGEXREPLACE(
D4651,
""([一-龯々]+)\[([^\]]+)\]"",
""&lt;ruby&gt;$1&lt;rt&gt;$2&lt;/rt&gt;&lt;/ruby&gt;""
)&amp;""&lt;br&gt;&lt;div class=""""audio""""&gt;[sound:""&amp;C4651&amp;"".mp3]&lt;/div&gt;"""),"&lt;ruby&gt;間柄&lt;rt&gt;あいだがら&lt;/rt&gt;&lt;/ruby&gt;&lt;br&gt;&lt;div class=""audio""&gt;[sound:あいだがら.mp3]&lt;/div&gt;")</f>
        <v>&lt;ruby&gt;間柄&lt;rt&gt;あいだがら&lt;/rt&gt;&lt;/ruby&gt;&lt;br&gt;&lt;div class="audio"&gt;[sound:あいだがら.mp3]&lt;/div&gt;</v>
      </c>
      <c r="H4651" s="3" t="str">
        <f t="shared" si="1"/>
        <v>(n): mối quan hệ</v>
      </c>
      <c r="I4651" s="6" t="s">
        <v>25371</v>
      </c>
      <c r="J4651" s="6" t="s">
        <v>25372</v>
      </c>
      <c r="K4651" s="7">
        <f t="shared" si="2"/>
        <v>0.4946683275</v>
      </c>
    </row>
    <row r="4652">
      <c r="A4652" s="4">
        <v>4652.0</v>
      </c>
      <c r="B4652" s="5" t="s">
        <v>25373</v>
      </c>
      <c r="C4652" s="5" t="s">
        <v>25373</v>
      </c>
      <c r="D4652" s="5" t="s">
        <v>25373</v>
      </c>
      <c r="E4652" s="6" t="s">
        <v>85</v>
      </c>
      <c r="F4652" s="6" t="s">
        <v>25374</v>
      </c>
      <c r="G4652" s="3" t="str">
        <f>IFERROR(__xludf.DUMMYFUNCTION("REGEXREPLACE(
D4652,
""([一-龯々]+)\[([^\]]+)\]"",
""&lt;ruby&gt;$1&lt;rt&gt;$2&lt;/rt&gt;&lt;/ruby&gt;""
)&amp;""&lt;br&gt;&lt;div class=""""audio""""&gt;[sound:""&amp;C4652&amp;"".mp3]&lt;/div&gt;"""),"いやに&lt;br&gt;&lt;div class=""audio""&gt;[sound:いやに.mp3]&lt;/div&gt;")</f>
        <v>いやに&lt;br&gt;&lt;div class="audio"&gt;[sound:いやに.mp3]&lt;/div&gt;</v>
      </c>
      <c r="H4652" s="3" t="str">
        <f t="shared" si="1"/>
        <v>(adv): kinh khủng</v>
      </c>
      <c r="I4652" s="6" t="s">
        <v>25375</v>
      </c>
      <c r="J4652" s="6" t="s">
        <v>25376</v>
      </c>
      <c r="K4652" s="7">
        <f t="shared" si="2"/>
        <v>0.6813417889</v>
      </c>
    </row>
    <row r="4653">
      <c r="A4653" s="4">
        <v>4653.0</v>
      </c>
      <c r="B4653" s="5" t="s">
        <v>25377</v>
      </c>
      <c r="C4653" s="5" t="s">
        <v>25377</v>
      </c>
      <c r="D4653" s="5" t="s">
        <v>25377</v>
      </c>
      <c r="E4653" s="6" t="s">
        <v>85</v>
      </c>
      <c r="F4653" s="6" t="s">
        <v>25378</v>
      </c>
      <c r="G4653" s="3" t="str">
        <f>IFERROR(__xludf.DUMMYFUNCTION("REGEXREPLACE(
D4653,
""([一-龯々]+)\[([^\]]+)\]"",
""&lt;ruby&gt;$1&lt;rt&gt;$2&lt;/rt&gt;&lt;/ruby&gt;""
)&amp;""&lt;br&gt;&lt;div class=""""audio""""&gt;[sound:""&amp;C4653&amp;"".mp3]&lt;/div&gt;"""),"とかく&lt;br&gt;&lt;div class=""audio""&gt;[sound:とかく.mp3]&lt;/div&gt;")</f>
        <v>とかく&lt;br&gt;&lt;div class="audio"&gt;[sound:とかく.mp3]&lt;/div&gt;</v>
      </c>
      <c r="H4653" s="3" t="str">
        <f t="shared" si="1"/>
        <v>(adv): dù sao thì</v>
      </c>
      <c r="I4653" s="6" t="s">
        <v>25379</v>
      </c>
      <c r="J4653" s="6" t="s">
        <v>25380</v>
      </c>
      <c r="K4653" s="7">
        <f t="shared" si="2"/>
        <v>0.2507410123</v>
      </c>
    </row>
    <row r="4654">
      <c r="A4654" s="4">
        <v>4654.0</v>
      </c>
      <c r="B4654" s="5" t="s">
        <v>25381</v>
      </c>
      <c r="C4654" s="5" t="s">
        <v>25382</v>
      </c>
      <c r="D4654" s="5" t="s">
        <v>25383</v>
      </c>
      <c r="E4654" s="6" t="s">
        <v>11</v>
      </c>
      <c r="F4654" s="6" t="s">
        <v>25384</v>
      </c>
      <c r="G4654" s="3" t="str">
        <f>IFERROR(__xludf.DUMMYFUNCTION("REGEXREPLACE(
D4654,
""([一-龯々]+)\[([^\]]+)\]"",
""&lt;ruby&gt;$1&lt;rt&gt;$2&lt;/rt&gt;&lt;/ruby&gt;""
)&amp;""&lt;br&gt;&lt;div class=""""audio""""&gt;[sound:""&amp;C4654&amp;"".mp3]&lt;/div&gt;"""),"&lt;ruby&gt;乏&lt;rt&gt;とぼ&lt;/rt&gt;&lt;/ruby&gt;しい&lt;br&gt;&lt;div class=""audio""&gt;[sound:とぼしい.mp3]&lt;/div&gt;")</f>
        <v>&lt;ruby&gt;乏&lt;rt&gt;とぼ&lt;/rt&gt;&lt;/ruby&gt;しい&lt;br&gt;&lt;div class="audio"&gt;[sound:とぼしい.mp3]&lt;/div&gt;</v>
      </c>
      <c r="H4654" s="3" t="str">
        <f t="shared" si="1"/>
        <v>(adj): thiếu thốn</v>
      </c>
      <c r="I4654" s="6" t="s">
        <v>25385</v>
      </c>
      <c r="J4654" s="6" t="s">
        <v>25386</v>
      </c>
      <c r="K4654" s="7">
        <f t="shared" si="2"/>
        <v>0.2512900861</v>
      </c>
    </row>
    <row r="4655">
      <c r="A4655" s="4">
        <v>4655.0</v>
      </c>
      <c r="B4655" s="5" t="s">
        <v>25387</v>
      </c>
      <c r="C4655" s="5" t="s">
        <v>25388</v>
      </c>
      <c r="D4655" s="5" t="s">
        <v>25389</v>
      </c>
      <c r="E4655" s="6" t="s">
        <v>24</v>
      </c>
      <c r="F4655" s="6" t="s">
        <v>25390</v>
      </c>
      <c r="G4655" s="3" t="str">
        <f>IFERROR(__xludf.DUMMYFUNCTION("REGEXREPLACE(
D4655,
""([一-龯々]+)\[([^\]]+)\]"",
""&lt;ruby&gt;$1&lt;rt&gt;$2&lt;/rt&gt;&lt;/ruby&gt;""
)&amp;""&lt;br&gt;&lt;div class=""""audio""""&gt;[sound:""&amp;C4655&amp;"".mp3]&lt;/div&gt;"""),"&lt;ruby&gt;偽造&lt;rt&gt;ぎぞう&lt;/rt&gt;&lt;/ruby&gt;&lt;br&gt;&lt;div class=""audio""&gt;[sound:ぎぞう.mp3]&lt;/div&gt;")</f>
        <v>&lt;ruby&gt;偽造&lt;rt&gt;ぎぞう&lt;/rt&gt;&lt;/ruby&gt;&lt;br&gt;&lt;div class="audio"&gt;[sound:ぎぞう.mp3]&lt;/div&gt;</v>
      </c>
      <c r="H4655" s="3" t="str">
        <f t="shared" si="1"/>
        <v>(v): làm giả</v>
      </c>
      <c r="I4655" s="6" t="s">
        <v>25391</v>
      </c>
      <c r="J4655" s="6" t="s">
        <v>25392</v>
      </c>
      <c r="K4655" s="7">
        <f t="shared" si="2"/>
        <v>0.03275508524</v>
      </c>
    </row>
    <row r="4656">
      <c r="A4656" s="4">
        <v>4656.0</v>
      </c>
      <c r="B4656" s="5" t="s">
        <v>25393</v>
      </c>
      <c r="C4656" s="5" t="s">
        <v>25394</v>
      </c>
      <c r="D4656" s="5" t="s">
        <v>25395</v>
      </c>
      <c r="E4656" s="6" t="s">
        <v>74</v>
      </c>
      <c r="F4656" s="6" t="s">
        <v>14906</v>
      </c>
      <c r="G4656" s="3" t="str">
        <f>IFERROR(__xludf.DUMMYFUNCTION("REGEXREPLACE(
D4656,
""([一-龯々]+)\[([^\]]+)\]"",
""&lt;ruby&gt;$1&lt;rt&gt;$2&lt;/rt&gt;&lt;/ruby&gt;""
)&amp;""&lt;br&gt;&lt;div class=""""audio""""&gt;[sound:""&amp;C4656&amp;"".mp3]&lt;/div&gt;"""),"&lt;ruby&gt;優越&lt;rt&gt;ゆうえつ&lt;/rt&gt;&lt;/ruby&gt;&lt;br&gt;&lt;div class=""audio""&gt;[sound:ゆうえつ.mp3]&lt;/div&gt;")</f>
        <v>&lt;ruby&gt;優越&lt;rt&gt;ゆうえつ&lt;/rt&gt;&lt;/ruby&gt;&lt;br&gt;&lt;div class="audio"&gt;[sound:ゆうえつ.mp3]&lt;/div&gt;</v>
      </c>
      <c r="H4656" s="3" t="str">
        <f t="shared" si="1"/>
        <v>(n): ưu việt</v>
      </c>
      <c r="I4656" s="6" t="s">
        <v>25396</v>
      </c>
      <c r="J4656" s="6" t="s">
        <v>25397</v>
      </c>
      <c r="K4656" s="7">
        <f t="shared" si="2"/>
        <v>0.1395472513</v>
      </c>
    </row>
    <row r="4657">
      <c r="A4657" s="4">
        <v>4657.0</v>
      </c>
      <c r="B4657" s="5" t="s">
        <v>25398</v>
      </c>
      <c r="C4657" s="5" t="s">
        <v>25399</v>
      </c>
      <c r="D4657" s="5" t="s">
        <v>25400</v>
      </c>
      <c r="E4657" s="6" t="s">
        <v>74</v>
      </c>
      <c r="F4657" s="6" t="s">
        <v>25401</v>
      </c>
      <c r="G4657" s="3" t="str">
        <f>IFERROR(__xludf.DUMMYFUNCTION("REGEXREPLACE(
D4657,
""([一-龯々]+)\[([^\]]+)\]"",
""&lt;ruby&gt;$1&lt;rt&gt;$2&lt;/rt&gt;&lt;/ruby&gt;""
)&amp;""&lt;br&gt;&lt;div class=""""audio""""&gt;[sound:""&amp;C4657&amp;"".mp3]&lt;/div&gt;"""),"&lt;ruby&gt;前置&lt;rt&gt;まえお&lt;/rt&gt;&lt;/ruby&gt;き&lt;br&gt;&lt;div class=""audio""&gt;[sound:まえおき.mp3]&lt;/div&gt;")</f>
        <v>&lt;ruby&gt;前置&lt;rt&gt;まえお&lt;/rt&gt;&lt;/ruby&gt;き&lt;br&gt;&lt;div class="audio"&gt;[sound:まえおき.mp3]&lt;/div&gt;</v>
      </c>
      <c r="H4657" s="3" t="str">
        <f t="shared" si="1"/>
        <v>(n): lời mở đầu</v>
      </c>
      <c r="I4657" s="6" t="s">
        <v>25402</v>
      </c>
      <c r="J4657" s="6" t="s">
        <v>25403</v>
      </c>
      <c r="K4657" s="7">
        <f t="shared" si="2"/>
        <v>0.895001881</v>
      </c>
    </row>
    <row r="4658">
      <c r="A4658" s="4">
        <v>4658.0</v>
      </c>
      <c r="B4658" s="5" t="s">
        <v>25404</v>
      </c>
      <c r="C4658" s="5" t="s">
        <v>25405</v>
      </c>
      <c r="D4658" s="5" t="s">
        <v>25406</v>
      </c>
      <c r="E4658" s="6" t="s">
        <v>74</v>
      </c>
      <c r="F4658" s="6" t="s">
        <v>6165</v>
      </c>
      <c r="G4658" s="3" t="str">
        <f>IFERROR(__xludf.DUMMYFUNCTION("REGEXREPLACE(
D4658,
""([一-龯々]+)\[([^\]]+)\]"",
""&lt;ruby&gt;$1&lt;rt&gt;$2&lt;/rt&gt;&lt;/ruby&gt;""
)&amp;""&lt;br&gt;&lt;div class=""""audio""""&gt;[sound:""&amp;C4658&amp;"".mp3]&lt;/div&gt;"""),"&lt;ruby&gt;勘弁&lt;rt&gt;かんべん&lt;/rt&gt;&lt;/ruby&gt;&lt;br&gt;&lt;div class=""audio""&gt;[sound:かんべん.mp3]&lt;/div&gt;")</f>
        <v>&lt;ruby&gt;勘弁&lt;rt&gt;かんべん&lt;/rt&gt;&lt;/ruby&gt;&lt;br&gt;&lt;div class="audio"&gt;[sound:かんべん.mp3]&lt;/div&gt;</v>
      </c>
      <c r="H4658" s="3" t="str">
        <f t="shared" si="1"/>
        <v>(n): tha thứ</v>
      </c>
      <c r="I4658" s="6" t="s">
        <v>25407</v>
      </c>
      <c r="J4658" s="6" t="s">
        <v>25408</v>
      </c>
      <c r="K4658" s="7">
        <f t="shared" si="2"/>
        <v>0.5135761127</v>
      </c>
    </row>
    <row r="4659">
      <c r="A4659" s="4">
        <v>4659.0</v>
      </c>
      <c r="B4659" s="5" t="s">
        <v>25409</v>
      </c>
      <c r="C4659" s="5" t="s">
        <v>25410</v>
      </c>
      <c r="D4659" s="5" t="s">
        <v>25411</v>
      </c>
      <c r="E4659" s="6" t="s">
        <v>74</v>
      </c>
      <c r="F4659" s="6" t="s">
        <v>5335</v>
      </c>
      <c r="G4659" s="3" t="str">
        <f>IFERROR(__xludf.DUMMYFUNCTION("REGEXREPLACE(
D4659,
""([一-龯々]+)\[([^\]]+)\]"",
""&lt;ruby&gt;$1&lt;rt&gt;$2&lt;/rt&gt;&lt;/ruby&gt;""
)&amp;""&lt;br&gt;&lt;div class=""""audio""""&gt;[sound:""&amp;C4659&amp;"".mp3]&lt;/div&gt;"""),"&lt;ruby&gt;原書&lt;rt&gt;げんしょ&lt;/rt&gt;&lt;/ruby&gt;&lt;br&gt;&lt;div class=""audio""&gt;[sound:げんしょ.mp3]&lt;/div&gt;")</f>
        <v>&lt;ruby&gt;原書&lt;rt&gt;げんしょ&lt;/rt&gt;&lt;/ruby&gt;&lt;br&gt;&lt;div class="audio"&gt;[sound:げんしょ.mp3]&lt;/div&gt;</v>
      </c>
      <c r="H4659" s="3" t="str">
        <f t="shared" si="1"/>
        <v>(n): nguyên bản</v>
      </c>
      <c r="I4659" s="6" t="s">
        <v>25412</v>
      </c>
      <c r="J4659" s="6" t="s">
        <v>25413</v>
      </c>
      <c r="K4659" s="7">
        <f t="shared" si="2"/>
        <v>0.01876231916</v>
      </c>
    </row>
    <row r="4660">
      <c r="A4660" s="4">
        <v>4660.0</v>
      </c>
      <c r="B4660" s="5" t="s">
        <v>25414</v>
      </c>
      <c r="C4660" s="5" t="s">
        <v>25415</v>
      </c>
      <c r="D4660" s="5" t="s">
        <v>25416</v>
      </c>
      <c r="E4660" s="6" t="s">
        <v>24</v>
      </c>
      <c r="F4660" s="6" t="s">
        <v>25417</v>
      </c>
      <c r="G4660" s="3" t="str">
        <f>IFERROR(__xludf.DUMMYFUNCTION("REGEXREPLACE(
D4660,
""([一-龯々]+)\[([^\]]+)\]"",
""&lt;ruby&gt;$1&lt;rt&gt;$2&lt;/rt&gt;&lt;/ruby&gt;""
)&amp;""&lt;br&gt;&lt;div class=""""audio""""&gt;[sound:""&amp;C4660&amp;"".mp3]&lt;/div&gt;"""),"&lt;ruby&gt;取&lt;rt&gt;と&lt;/rt&gt;&lt;/ruby&gt;り&lt;ruby&gt;次&lt;rt&gt;つ&lt;/rt&gt;&lt;/ruby&gt;ぐ&lt;br&gt;&lt;div class=""audio""&gt;[sound:とりつぐ.mp3]&lt;/div&gt;")</f>
        <v>&lt;ruby&gt;取&lt;rt&gt;と&lt;/rt&gt;&lt;/ruby&gt;り&lt;ruby&gt;次&lt;rt&gt;つ&lt;/rt&gt;&lt;/ruby&gt;ぐ&lt;br&gt;&lt;div class="audio"&gt;[sound:とりつぐ.mp3]&lt;/div&gt;</v>
      </c>
      <c r="H4660" s="3" t="str">
        <f t="shared" si="1"/>
        <v>(v): chuyển lời</v>
      </c>
      <c r="I4660" s="6" t="s">
        <v>25418</v>
      </c>
      <c r="J4660" s="6" t="s">
        <v>25419</v>
      </c>
      <c r="K4660" s="7">
        <f t="shared" si="2"/>
        <v>0.8379773539</v>
      </c>
    </row>
    <row r="4661">
      <c r="A4661" s="4">
        <v>4661.0</v>
      </c>
      <c r="B4661" s="5" t="s">
        <v>25420</v>
      </c>
      <c r="C4661" s="5" t="s">
        <v>25421</v>
      </c>
      <c r="D4661" s="5" t="s">
        <v>25422</v>
      </c>
      <c r="E4661" s="6" t="s">
        <v>24</v>
      </c>
      <c r="F4661" s="6" t="s">
        <v>25423</v>
      </c>
      <c r="G4661" s="3" t="str">
        <f>IFERROR(__xludf.DUMMYFUNCTION("REGEXREPLACE(
D4661,
""([一-龯々]+)\[([^\]]+)\]"",
""&lt;ruby&gt;$1&lt;rt&gt;$2&lt;/rt&gt;&lt;/ruby&gt;""
)&amp;""&lt;br&gt;&lt;div class=""""audio""""&gt;[sound:""&amp;C4661&amp;"".mp3]&lt;/div&gt;"""),"&lt;ruby&gt;同封&lt;rt&gt;どうふう&lt;/rt&gt;&lt;/ruby&gt;&lt;br&gt;&lt;div class=""audio""&gt;[sound:どうふう.mp3]&lt;/div&gt;")</f>
        <v>&lt;ruby&gt;同封&lt;rt&gt;どうふう&lt;/rt&gt;&lt;/ruby&gt;&lt;br&gt;&lt;div class="audio"&gt;[sound:どうふう.mp3]&lt;/div&gt;</v>
      </c>
      <c r="H4661" s="3" t="str">
        <f t="shared" si="1"/>
        <v>(v): gửi kèm</v>
      </c>
      <c r="I4661" s="6" t="s">
        <v>25424</v>
      </c>
      <c r="J4661" s="6" t="s">
        <v>25425</v>
      </c>
      <c r="K4661" s="7">
        <f t="shared" si="2"/>
        <v>0.9946531543</v>
      </c>
    </row>
    <row r="4662">
      <c r="A4662" s="4">
        <v>4662.0</v>
      </c>
      <c r="B4662" s="5" t="s">
        <v>25426</v>
      </c>
      <c r="C4662" s="5" t="s">
        <v>25427</v>
      </c>
      <c r="D4662" s="5" t="s">
        <v>25428</v>
      </c>
      <c r="E4662" s="6" t="s">
        <v>24</v>
      </c>
      <c r="F4662" s="6" t="s">
        <v>10254</v>
      </c>
      <c r="G4662" s="3" t="str">
        <f>IFERROR(__xludf.DUMMYFUNCTION("REGEXREPLACE(
D4662,
""([一-龯々]+)\[([^\]]+)\]"",
""&lt;ruby&gt;$1&lt;rt&gt;$2&lt;/rt&gt;&lt;/ruby&gt;""
)&amp;""&lt;br&gt;&lt;div class=""""audio""""&gt;[sound:""&amp;C4662&amp;"".mp3]&lt;/div&gt;"""),"&lt;ruby&gt;吟味&lt;rt&gt;ぎんみ&lt;/rt&gt;&lt;/ruby&gt;&lt;br&gt;&lt;div class=""audio""&gt;[sound:ぎんみ.mp3]&lt;/div&gt;")</f>
        <v>&lt;ruby&gt;吟味&lt;rt&gt;ぎんみ&lt;/rt&gt;&lt;/ruby&gt;&lt;br&gt;&lt;div class="audio"&gt;[sound:ぎんみ.mp3]&lt;/div&gt;</v>
      </c>
      <c r="H4662" s="3" t="str">
        <f t="shared" si="1"/>
        <v>(v): xem xét</v>
      </c>
      <c r="I4662" s="6" t="s">
        <v>25429</v>
      </c>
      <c r="J4662" s="6" t="s">
        <v>25430</v>
      </c>
      <c r="K4662" s="7">
        <f t="shared" si="2"/>
        <v>0.5286845025</v>
      </c>
    </row>
    <row r="4663">
      <c r="A4663" s="4">
        <v>4663.0</v>
      </c>
      <c r="B4663" s="5" t="s">
        <v>25431</v>
      </c>
      <c r="C4663" s="5" t="s">
        <v>25432</v>
      </c>
      <c r="D4663" s="5" t="s">
        <v>25433</v>
      </c>
      <c r="E4663" s="6" t="s">
        <v>74</v>
      </c>
      <c r="F4663" s="6" t="s">
        <v>25434</v>
      </c>
      <c r="G4663" s="3" t="str">
        <f>IFERROR(__xludf.DUMMYFUNCTION("REGEXREPLACE(
D4663,
""([一-龯々]+)\[([^\]]+)\]"",
""&lt;ruby&gt;$1&lt;rt&gt;$2&lt;/rt&gt;&lt;/ruby&gt;""
)&amp;""&lt;br&gt;&lt;div class=""""audio""""&gt;[sound:""&amp;C4663&amp;"".mp3]&lt;/div&gt;"""),"&lt;ruby&gt;嘘&lt;rt&gt;うそ&lt;/rt&gt;&lt;/ruby&gt;つき&lt;br&gt;&lt;div class=""audio""&gt;[sound:うそつき.mp3]&lt;/div&gt;")</f>
        <v>&lt;ruby&gt;嘘&lt;rt&gt;うそ&lt;/rt&gt;&lt;/ruby&gt;つき&lt;br&gt;&lt;div class="audio"&gt;[sound:うそつき.mp3]&lt;/div&gt;</v>
      </c>
      <c r="H4663" s="3" t="str">
        <f t="shared" si="1"/>
        <v>(n): kẻ nói dối</v>
      </c>
      <c r="I4663" s="6" t="s">
        <v>25435</v>
      </c>
      <c r="J4663" s="6" t="s">
        <v>25436</v>
      </c>
      <c r="K4663" s="7">
        <f t="shared" si="2"/>
        <v>0.3753501318</v>
      </c>
    </row>
    <row r="4664">
      <c r="A4664" s="4">
        <v>4664.0</v>
      </c>
      <c r="B4664" s="5" t="s">
        <v>25437</v>
      </c>
      <c r="C4664" s="5" t="s">
        <v>25438</v>
      </c>
      <c r="D4664" s="5" t="s">
        <v>25439</v>
      </c>
      <c r="E4664" s="6" t="s">
        <v>24</v>
      </c>
      <c r="F4664" s="6" t="s">
        <v>25440</v>
      </c>
      <c r="G4664" s="3" t="str">
        <f>IFERROR(__xludf.DUMMYFUNCTION("REGEXREPLACE(
D4664,
""([一-龯々]+)\[([^\]]+)\]"",
""&lt;ruby&gt;$1&lt;rt&gt;$2&lt;/rt&gt;&lt;/ruby&gt;""
)&amp;""&lt;br&gt;&lt;div class=""""audio""""&gt;[sound:""&amp;C4664&amp;"".mp3]&lt;/div&gt;"""),"&lt;ruby&gt;噴出&lt;rt&gt;ふんしゅつ&lt;/rt&gt;&lt;/ruby&gt;&lt;br&gt;&lt;div class=""audio""&gt;[sound:ふんしゅつ.mp3]&lt;/div&gt;")</f>
        <v>&lt;ruby&gt;噴出&lt;rt&gt;ふんしゅつ&lt;/rt&gt;&lt;/ruby&gt;&lt;br&gt;&lt;div class="audio"&gt;[sound:ふんしゅつ.mp3]&lt;/div&gt;</v>
      </c>
      <c r="H4664" s="3" t="str">
        <f t="shared" si="1"/>
        <v>(v): phun ra</v>
      </c>
      <c r="I4664" s="6" t="s">
        <v>25441</v>
      </c>
      <c r="J4664" s="6" t="s">
        <v>25442</v>
      </c>
      <c r="K4664" s="7">
        <f t="shared" si="2"/>
        <v>0.8796480737</v>
      </c>
    </row>
    <row r="4665">
      <c r="A4665" s="4">
        <v>4665.0</v>
      </c>
      <c r="B4665" s="5" t="s">
        <v>25443</v>
      </c>
      <c r="C4665" s="5" t="s">
        <v>25444</v>
      </c>
      <c r="D4665" s="5" t="s">
        <v>25445</v>
      </c>
      <c r="E4665" s="6" t="s">
        <v>74</v>
      </c>
      <c r="F4665" s="6" t="s">
        <v>25446</v>
      </c>
      <c r="G4665" s="3" t="str">
        <f>IFERROR(__xludf.DUMMYFUNCTION("REGEXREPLACE(
D4665,
""([一-龯々]+)\[([^\]]+)\]"",
""&lt;ruby&gt;$1&lt;rt&gt;$2&lt;/rt&gt;&lt;/ruby&gt;""
)&amp;""&lt;br&gt;&lt;div class=""""audio""""&gt;[sound:""&amp;C4665&amp;"".mp3]&lt;/div&gt;"""),"&lt;ruby&gt;始発&lt;rt&gt;しはつ&lt;/rt&gt;&lt;/ruby&gt;&lt;br&gt;&lt;div class=""audio""&gt;[sound:しはつ.mp3]&lt;/div&gt;")</f>
        <v>&lt;ruby&gt;始発&lt;rt&gt;しはつ&lt;/rt&gt;&lt;/ruby&gt;&lt;br&gt;&lt;div class="audio"&gt;[sound:しはつ.mp3]&lt;/div&gt;</v>
      </c>
      <c r="H4665" s="3" t="str">
        <f t="shared" si="1"/>
        <v>(n): chuyến đầu</v>
      </c>
      <c r="I4665" s="6" t="s">
        <v>25447</v>
      </c>
      <c r="J4665" s="6" t="s">
        <v>25448</v>
      </c>
      <c r="K4665" s="7">
        <f t="shared" si="2"/>
        <v>0.8806332181</v>
      </c>
    </row>
    <row r="4666">
      <c r="A4666" s="4">
        <v>4666.0</v>
      </c>
      <c r="B4666" s="5" t="s">
        <v>25449</v>
      </c>
      <c r="C4666" s="5" t="s">
        <v>25450</v>
      </c>
      <c r="D4666" s="5" t="s">
        <v>25451</v>
      </c>
      <c r="E4666" s="6" t="s">
        <v>74</v>
      </c>
      <c r="F4666" s="6" t="s">
        <v>25452</v>
      </c>
      <c r="G4666" s="3" t="str">
        <f>IFERROR(__xludf.DUMMYFUNCTION("REGEXREPLACE(
D4666,
""([一-龯々]+)\[([^\]]+)\]"",
""&lt;ruby&gt;$1&lt;rt&gt;$2&lt;/rt&gt;&lt;/ruby&gt;""
)&amp;""&lt;br&gt;&lt;div class=""""audio""""&gt;[sound:""&amp;C4666&amp;"".mp3]&lt;/div&gt;"""),"&lt;ruby&gt;学説&lt;rt&gt;がくせつ&lt;/rt&gt;&lt;/ruby&gt;&lt;br&gt;&lt;div class=""audio""&gt;[sound:がくせつ.mp3]&lt;/div&gt;")</f>
        <v>&lt;ruby&gt;学説&lt;rt&gt;がくせつ&lt;/rt&gt;&lt;/ruby&gt;&lt;br&gt;&lt;div class="audio"&gt;[sound:がくせつ.mp3]&lt;/div&gt;</v>
      </c>
      <c r="H4666" s="3" t="str">
        <f t="shared" si="1"/>
        <v>(n): học thuyết</v>
      </c>
      <c r="I4666" s="6" t="s">
        <v>25453</v>
      </c>
      <c r="J4666" s="6" t="s">
        <v>25454</v>
      </c>
      <c r="K4666" s="7">
        <f t="shared" si="2"/>
        <v>0.647694993</v>
      </c>
    </row>
    <row r="4667">
      <c r="A4667" s="4">
        <v>4667.0</v>
      </c>
      <c r="B4667" s="5" t="s">
        <v>25455</v>
      </c>
      <c r="C4667" s="5" t="s">
        <v>25456</v>
      </c>
      <c r="D4667" s="5" t="s">
        <v>25457</v>
      </c>
      <c r="E4667" s="6" t="s">
        <v>74</v>
      </c>
      <c r="F4667" s="6" t="s">
        <v>25458</v>
      </c>
      <c r="G4667" s="3" t="str">
        <f>IFERROR(__xludf.DUMMYFUNCTION("REGEXREPLACE(
D4667,
""([一-龯々]+)\[([^\]]+)\]"",
""&lt;ruby&gt;$1&lt;rt&gt;$2&lt;/rt&gt;&lt;/ruby&gt;""
)&amp;""&lt;br&gt;&lt;div class=""""audio""""&gt;[sound:""&amp;C4667&amp;"".mp3]&lt;/div&gt;"""),"&lt;ruby&gt;沈黙&lt;rt&gt;ちんもく&lt;/rt&gt;&lt;/ruby&gt;&lt;br&gt;&lt;div class=""audio""&gt;[sound:ちんもく.mp3]&lt;/div&gt;")</f>
        <v>&lt;ruby&gt;沈黙&lt;rt&gt;ちんもく&lt;/rt&gt;&lt;/ruby&gt;&lt;br&gt;&lt;div class="audio"&gt;[sound:ちんもく.mp3]&lt;/div&gt;</v>
      </c>
      <c r="H4667" s="3" t="str">
        <f t="shared" si="1"/>
        <v>(n): sự im lặng</v>
      </c>
      <c r="I4667" s="6" t="s">
        <v>25459</v>
      </c>
      <c r="J4667" s="6" t="s">
        <v>25460</v>
      </c>
      <c r="K4667" s="7">
        <f t="shared" si="2"/>
        <v>0.608368913</v>
      </c>
    </row>
    <row r="4668">
      <c r="A4668" s="4">
        <v>4668.0</v>
      </c>
      <c r="B4668" s="5" t="s">
        <v>25461</v>
      </c>
      <c r="C4668" s="5" t="s">
        <v>9196</v>
      </c>
      <c r="D4668" s="5" t="s">
        <v>25462</v>
      </c>
      <c r="E4668" s="6" t="s">
        <v>74</v>
      </c>
      <c r="F4668" s="6" t="s">
        <v>16825</v>
      </c>
      <c r="G4668" s="3" t="str">
        <f>IFERROR(__xludf.DUMMYFUNCTION("REGEXREPLACE(
D4668,
""([一-龯々]+)\[([^\]]+)\]"",
""&lt;ruby&gt;$1&lt;rt&gt;$2&lt;/rt&gt;&lt;/ruby&gt;""
)&amp;""&lt;br&gt;&lt;div class=""""audio""""&gt;[sound:""&amp;C4668&amp;"".mp3]&lt;/div&gt;"""),"&lt;ruby&gt;疲労&lt;rt&gt;ひろう&lt;/rt&gt;&lt;/ruby&gt;&lt;br&gt;&lt;div class=""audio""&gt;[sound:ひろう.mp3]&lt;/div&gt;")</f>
        <v>&lt;ruby&gt;疲労&lt;rt&gt;ひろう&lt;/rt&gt;&lt;/ruby&gt;&lt;br&gt;&lt;div class="audio"&gt;[sound:ひろう.mp3]&lt;/div&gt;</v>
      </c>
      <c r="H4668" s="3" t="str">
        <f t="shared" si="1"/>
        <v>(n): mệt mỏi</v>
      </c>
      <c r="I4668" s="6" t="s">
        <v>25463</v>
      </c>
      <c r="J4668" s="6" t="s">
        <v>25464</v>
      </c>
      <c r="K4668" s="7">
        <f t="shared" si="2"/>
        <v>0.1771182815</v>
      </c>
    </row>
    <row r="4669">
      <c r="A4669" s="4">
        <v>4669.0</v>
      </c>
      <c r="B4669" s="5" t="s">
        <v>25465</v>
      </c>
      <c r="C4669" s="5" t="s">
        <v>25466</v>
      </c>
      <c r="D4669" s="5" t="s">
        <v>25467</v>
      </c>
      <c r="E4669" s="6" t="s">
        <v>74</v>
      </c>
      <c r="F4669" s="6" t="s">
        <v>25468</v>
      </c>
      <c r="G4669" s="3" t="str">
        <f>IFERROR(__xludf.DUMMYFUNCTION("REGEXREPLACE(
D4669,
""([一-龯々]+)\[([^\]]+)\]"",
""&lt;ruby&gt;$1&lt;rt&gt;$2&lt;/rt&gt;&lt;/ruby&gt;""
)&amp;""&lt;br&gt;&lt;div class=""""audio""""&gt;[sound:""&amp;C4669&amp;"".mp3]&lt;/div&gt;"""),"&lt;ruby&gt;真相&lt;rt&gt;しんそう&lt;/rt&gt;&lt;/ruby&gt;&lt;br&gt;&lt;div class=""audio""&gt;[sound:しんそう.mp3]&lt;/div&gt;")</f>
        <v>&lt;ruby&gt;真相&lt;rt&gt;しんそう&lt;/rt&gt;&lt;/ruby&gt;&lt;br&gt;&lt;div class="audio"&gt;[sound:しんそう.mp3]&lt;/div&gt;</v>
      </c>
      <c r="H4669" s="3" t="str">
        <f t="shared" si="1"/>
        <v>(n): chân tướng</v>
      </c>
      <c r="I4669" s="6" t="s">
        <v>25469</v>
      </c>
      <c r="J4669" s="6" t="s">
        <v>25470</v>
      </c>
      <c r="K4669" s="7">
        <f t="shared" si="2"/>
        <v>0.0950826246</v>
      </c>
    </row>
    <row r="4670">
      <c r="A4670" s="4">
        <v>4670.0</v>
      </c>
      <c r="B4670" s="5" t="s">
        <v>25471</v>
      </c>
      <c r="C4670" s="5" t="s">
        <v>25472</v>
      </c>
      <c r="D4670" s="5" t="s">
        <v>25473</v>
      </c>
      <c r="E4670" s="6" t="s">
        <v>24</v>
      </c>
      <c r="F4670" s="6" t="s">
        <v>25474</v>
      </c>
      <c r="G4670" s="3" t="str">
        <f>IFERROR(__xludf.DUMMYFUNCTION("REGEXREPLACE(
D4670,
""([一-龯々]+)\[([^\]]+)\]"",
""&lt;ruby&gt;$1&lt;rt&gt;$2&lt;/rt&gt;&lt;/ruby&gt;""
)&amp;""&lt;br&gt;&lt;div class=""""audio""""&gt;[sound:""&amp;C4670&amp;"".mp3]&lt;/div&gt;"""),"&lt;ruby&gt;破損&lt;rt&gt;はそん&lt;/rt&gt;&lt;/ruby&gt;&lt;br&gt;&lt;div class=""audio""&gt;[sound:はそん.mp3]&lt;/div&gt;")</f>
        <v>&lt;ruby&gt;破損&lt;rt&gt;はそん&lt;/rt&gt;&lt;/ruby&gt;&lt;br&gt;&lt;div class="audio"&gt;[sound:はそん.mp3]&lt;/div&gt;</v>
      </c>
      <c r="H4670" s="3" t="str">
        <f t="shared" si="1"/>
        <v>(v): hư hỏng</v>
      </c>
      <c r="I4670" s="6" t="s">
        <v>25475</v>
      </c>
      <c r="J4670" s="6" t="s">
        <v>25476</v>
      </c>
      <c r="K4670" s="7">
        <f t="shared" si="2"/>
        <v>0.9016863136</v>
      </c>
    </row>
    <row r="4671">
      <c r="A4671" s="4">
        <v>4671.0</v>
      </c>
      <c r="B4671" s="5" t="s">
        <v>25477</v>
      </c>
      <c r="C4671" s="5" t="s">
        <v>25478</v>
      </c>
      <c r="D4671" s="5" t="s">
        <v>25479</v>
      </c>
      <c r="E4671" s="6" t="s">
        <v>24</v>
      </c>
      <c r="F4671" s="6" t="s">
        <v>17051</v>
      </c>
      <c r="G4671" s="3" t="str">
        <f>IFERROR(__xludf.DUMMYFUNCTION("REGEXREPLACE(
D4671,
""([一-龯々]+)\[([^\]]+)\]"",
""&lt;ruby&gt;$1&lt;rt&gt;$2&lt;/rt&gt;&lt;/ruby&gt;""
)&amp;""&lt;br&gt;&lt;div class=""""audio""""&gt;[sound:""&amp;C4671&amp;"".mp3]&lt;/div&gt;"""),"&lt;ruby&gt;結合&lt;rt&gt;けつごう&lt;/rt&gt;&lt;/ruby&gt;&lt;br&gt;&lt;div class=""audio""&gt;[sound:けつごう.mp3]&lt;/div&gt;")</f>
        <v>&lt;ruby&gt;結合&lt;rt&gt;けつごう&lt;/rt&gt;&lt;/ruby&gt;&lt;br&gt;&lt;div class="audio"&gt;[sound:けつごう.mp3]&lt;/div&gt;</v>
      </c>
      <c r="H4671" s="3" t="str">
        <f t="shared" si="1"/>
        <v>(v): kết hợp</v>
      </c>
      <c r="I4671" s="6" t="s">
        <v>25480</v>
      </c>
      <c r="J4671" s="6" t="s">
        <v>25481</v>
      </c>
      <c r="K4671" s="7">
        <f t="shared" si="2"/>
        <v>0.169007352</v>
      </c>
    </row>
    <row r="4672">
      <c r="A4672" s="4">
        <v>4672.0</v>
      </c>
      <c r="B4672" s="5" t="s">
        <v>25482</v>
      </c>
      <c r="C4672" s="5" t="s">
        <v>25483</v>
      </c>
      <c r="D4672" s="5" t="s">
        <v>25484</v>
      </c>
      <c r="E4672" s="6" t="s">
        <v>74</v>
      </c>
      <c r="F4672" s="6" t="s">
        <v>25485</v>
      </c>
      <c r="G4672" s="3" t="str">
        <f>IFERROR(__xludf.DUMMYFUNCTION("REGEXREPLACE(
D4672,
""([一-龯々]+)\[([^\]]+)\]"",
""&lt;ruby&gt;$1&lt;rt&gt;$2&lt;/rt&gt;&lt;/ruby&gt;""
)&amp;""&lt;br&gt;&lt;div class=""""audio""""&gt;[sound:""&amp;C4672&amp;"".mp3]&lt;/div&gt;"""),"&lt;ruby&gt;船舶&lt;rt&gt;せんぱく&lt;/rt&gt;&lt;/ruby&gt;&lt;br&gt;&lt;div class=""audio""&gt;[sound:せんぱく.mp3]&lt;/div&gt;")</f>
        <v>&lt;ruby&gt;船舶&lt;rt&gt;せんぱく&lt;/rt&gt;&lt;/ruby&gt;&lt;br&gt;&lt;div class="audio"&gt;[sound:せんぱく.mp3]&lt;/div&gt;</v>
      </c>
      <c r="H4672" s="3" t="str">
        <f t="shared" si="1"/>
        <v>(n): tàu thuyền</v>
      </c>
      <c r="I4672" s="6" t="s">
        <v>25486</v>
      </c>
      <c r="J4672" s="6" t="s">
        <v>25487</v>
      </c>
      <c r="K4672" s="7">
        <f t="shared" si="2"/>
        <v>0.5142954587</v>
      </c>
    </row>
    <row r="4673">
      <c r="A4673" s="4">
        <v>4673.0</v>
      </c>
      <c r="B4673" s="5" t="s">
        <v>25488</v>
      </c>
      <c r="C4673" s="5" t="s">
        <v>25489</v>
      </c>
      <c r="D4673" s="5" t="s">
        <v>25490</v>
      </c>
      <c r="E4673" s="6" t="s">
        <v>74</v>
      </c>
      <c r="F4673" s="6" t="s">
        <v>3663</v>
      </c>
      <c r="G4673" s="3" t="str">
        <f>IFERROR(__xludf.DUMMYFUNCTION("REGEXREPLACE(
D4673,
""([一-龯々]+)\[([^\]]+)\]"",
""&lt;ruby&gt;$1&lt;rt&gt;$2&lt;/rt&gt;&lt;/ruby&gt;""
)&amp;""&lt;br&gt;&lt;div class=""""audio""""&gt;[sound:""&amp;C4673&amp;"".mp3]&lt;/div&gt;"""),"&lt;ruby&gt;覚&lt;rt&gt;おぼ&lt;/rt&gt;&lt;/ruby&gt;え&lt;br&gt;&lt;div class=""audio""&gt;[sound:おぼえ.mp3]&lt;/div&gt;")</f>
        <v>&lt;ruby&gt;覚&lt;rt&gt;おぼ&lt;/rt&gt;&lt;/ruby&gt;え&lt;br&gt;&lt;div class="audio"&gt;[sound:おぼえ.mp3]&lt;/div&gt;</v>
      </c>
      <c r="H4673" s="3" t="str">
        <f t="shared" si="1"/>
        <v>(n): ghi nhớ</v>
      </c>
      <c r="I4673" s="6" t="s">
        <v>25491</v>
      </c>
      <c r="J4673" s="6" t="s">
        <v>25492</v>
      </c>
      <c r="K4673" s="7">
        <f t="shared" si="2"/>
        <v>0.5408631906</v>
      </c>
    </row>
    <row r="4674">
      <c r="A4674" s="4">
        <v>4674.0</v>
      </c>
      <c r="B4674" s="5" t="s">
        <v>25493</v>
      </c>
      <c r="C4674" s="5" t="s">
        <v>25494</v>
      </c>
      <c r="D4674" s="5" t="s">
        <v>25495</v>
      </c>
      <c r="E4674" s="6" t="s">
        <v>24</v>
      </c>
      <c r="F4674" s="6" t="s">
        <v>25496</v>
      </c>
      <c r="G4674" s="3" t="str">
        <f>IFERROR(__xludf.DUMMYFUNCTION("REGEXREPLACE(
D4674,
""([一-龯々]+)\[([^\]]+)\]"",
""&lt;ruby&gt;$1&lt;rt&gt;$2&lt;/rt&gt;&lt;/ruby&gt;""
)&amp;""&lt;br&gt;&lt;div class=""""audio""""&gt;[sound:""&amp;C4674&amp;"".mp3]&lt;/div&gt;"""),"&lt;ruby&gt;辞職&lt;rt&gt;じしょく&lt;/rt&gt;&lt;/ruby&gt;&lt;br&gt;&lt;div class=""audio""&gt;[sound:じしょく.mp3]&lt;/div&gt;")</f>
        <v>&lt;ruby&gt;辞職&lt;rt&gt;じしょく&lt;/rt&gt;&lt;/ruby&gt;&lt;br&gt;&lt;div class="audio"&gt;[sound:じしょく.mp3]&lt;/div&gt;</v>
      </c>
      <c r="H4674" s="3" t="str">
        <f t="shared" si="1"/>
        <v>(v): từ chức</v>
      </c>
      <c r="I4674" s="6" t="s">
        <v>25497</v>
      </c>
      <c r="J4674" s="6" t="s">
        <v>25498</v>
      </c>
      <c r="K4674" s="7">
        <f t="shared" si="2"/>
        <v>0.4076794555</v>
      </c>
    </row>
    <row r="4675">
      <c r="A4675" s="4">
        <v>4675.0</v>
      </c>
      <c r="B4675" s="5" t="s">
        <v>25499</v>
      </c>
      <c r="C4675" s="5" t="s">
        <v>25500</v>
      </c>
      <c r="D4675" s="5" t="s">
        <v>25501</v>
      </c>
      <c r="E4675" s="6" t="s">
        <v>24</v>
      </c>
      <c r="F4675" s="6" t="s">
        <v>25502</v>
      </c>
      <c r="G4675" s="3" t="str">
        <f>IFERROR(__xludf.DUMMYFUNCTION("REGEXREPLACE(
D4675,
""([一-龯々]+)\[([^\]]+)\]"",
""&lt;ruby&gt;$1&lt;rt&gt;$2&lt;/rt&gt;&lt;/ruby&gt;""
)&amp;""&lt;br&gt;&lt;div class=""""audio""""&gt;[sound:""&amp;C4675&amp;"".mp3]&lt;/div&gt;"""),"&lt;ruby&gt;逃亡&lt;rt&gt;とうぼう&lt;/rt&gt;&lt;/ruby&gt;&lt;br&gt;&lt;div class=""audio""&gt;[sound:とうぼう.mp3]&lt;/div&gt;")</f>
        <v>&lt;ruby&gt;逃亡&lt;rt&gt;とうぼう&lt;/rt&gt;&lt;/ruby&gt;&lt;br&gt;&lt;div class="audio"&gt;[sound:とうぼう.mp3]&lt;/div&gt;</v>
      </c>
      <c r="H4675" s="3" t="str">
        <f t="shared" si="1"/>
        <v>(v): bỏ trốn</v>
      </c>
      <c r="I4675" s="6" t="s">
        <v>25503</v>
      </c>
      <c r="J4675" s="6" t="s">
        <v>25504</v>
      </c>
      <c r="K4675" s="7">
        <f t="shared" si="2"/>
        <v>0.7301982871</v>
      </c>
    </row>
    <row r="4676">
      <c r="A4676" s="4">
        <v>4676.0</v>
      </c>
      <c r="B4676" s="5" t="s">
        <v>25505</v>
      </c>
      <c r="C4676" s="5" t="s">
        <v>25506</v>
      </c>
      <c r="D4676" s="5" t="s">
        <v>25507</v>
      </c>
      <c r="E4676" s="6" t="s">
        <v>24</v>
      </c>
      <c r="F4676" s="6" t="s">
        <v>25508</v>
      </c>
      <c r="G4676" s="3" t="str">
        <f>IFERROR(__xludf.DUMMYFUNCTION("REGEXREPLACE(
D4676,
""([一-龯々]+)\[([^\]]+)\]"",
""&lt;ruby&gt;$1&lt;rt&gt;$2&lt;/rt&gt;&lt;/ruby&gt;""
)&amp;""&lt;br&gt;&lt;div class=""""audio""""&gt;[sound:""&amp;C4676&amp;"".mp3]&lt;/div&gt;"""),"&lt;ruby&gt;遭難&lt;rt&gt;そうなん&lt;/rt&gt;&lt;/ruby&gt;&lt;br&gt;&lt;div class=""audio""&gt;[sound:そうなん.mp3]&lt;/div&gt;")</f>
        <v>&lt;ruby&gt;遭難&lt;rt&gt;そうなん&lt;/rt&gt;&lt;/ruby&gt;&lt;br&gt;&lt;div class="audio"&gt;[sound:そうなん.mp3]&lt;/div&gt;</v>
      </c>
      <c r="H4676" s="3" t="str">
        <f t="shared" si="1"/>
        <v>(v): gặp nạn</v>
      </c>
      <c r="I4676" s="6" t="s">
        <v>25509</v>
      </c>
      <c r="J4676" s="6" t="s">
        <v>25510</v>
      </c>
      <c r="K4676" s="7">
        <f t="shared" si="2"/>
        <v>0.1058198628</v>
      </c>
    </row>
    <row r="4677">
      <c r="A4677" s="4">
        <v>4677.0</v>
      </c>
      <c r="B4677" s="5" t="s">
        <v>25511</v>
      </c>
      <c r="C4677" s="5" t="s">
        <v>25512</v>
      </c>
      <c r="D4677" s="5" t="s">
        <v>25513</v>
      </c>
      <c r="E4677" s="6" t="s">
        <v>24</v>
      </c>
      <c r="F4677" s="6" t="s">
        <v>16649</v>
      </c>
      <c r="G4677" s="3" t="str">
        <f>IFERROR(__xludf.DUMMYFUNCTION("REGEXREPLACE(
D4677,
""([一-龯々]+)\[([^\]]+)\]"",
""&lt;ruby&gt;$1&lt;rt&gt;$2&lt;/rt&gt;&lt;/ruby&gt;""
)&amp;""&lt;br&gt;&lt;div class=""""audio""""&gt;[sound:""&amp;C4677&amp;"".mp3]&lt;/div&gt;"""),"&lt;ruby&gt;配列&lt;rt&gt;はいれつ&lt;/rt&gt;&lt;/ruby&gt;&lt;br&gt;&lt;div class=""audio""&gt;[sound:はいれつ.mp3]&lt;/div&gt;")</f>
        <v>&lt;ruby&gt;配列&lt;rt&gt;はいれつ&lt;/rt&gt;&lt;/ruby&gt;&lt;br&gt;&lt;div class="audio"&gt;[sound:はいれつ.mp3]&lt;/div&gt;</v>
      </c>
      <c r="H4677" s="3" t="str">
        <f t="shared" si="1"/>
        <v>(v): sắp xếp</v>
      </c>
      <c r="I4677" s="6" t="s">
        <v>25514</v>
      </c>
      <c r="J4677" s="6" t="s">
        <v>25515</v>
      </c>
      <c r="K4677" s="7">
        <f t="shared" si="2"/>
        <v>0.6781019806</v>
      </c>
    </row>
    <row r="4678">
      <c r="A4678" s="4">
        <v>4678.0</v>
      </c>
      <c r="B4678" s="5" t="s">
        <v>25516</v>
      </c>
      <c r="C4678" s="5" t="s">
        <v>25517</v>
      </c>
      <c r="D4678" s="5" t="s">
        <v>25518</v>
      </c>
      <c r="E4678" s="6" t="s">
        <v>74</v>
      </c>
      <c r="F4678" s="6" t="s">
        <v>25519</v>
      </c>
      <c r="G4678" s="3" t="str">
        <f>IFERROR(__xludf.DUMMYFUNCTION("REGEXREPLACE(
D4678,
""([一-龯々]+)\[([^\]]+)\]"",
""&lt;ruby&gt;$1&lt;rt&gt;$2&lt;/rt&gt;&lt;/ruby&gt;""
)&amp;""&lt;br&gt;&lt;div class=""""audio""""&gt;[sound:""&amp;C4678&amp;"".mp3]&lt;/div&gt;"""),"&lt;ruby&gt;防火&lt;rt&gt;ぼうか&lt;/rt&gt;&lt;/ruby&gt;&lt;br&gt;&lt;div class=""audio""&gt;[sound:ぼうか.mp3]&lt;/div&gt;")</f>
        <v>&lt;ruby&gt;防火&lt;rt&gt;ぼうか&lt;/rt&gt;&lt;/ruby&gt;&lt;br&gt;&lt;div class="audio"&gt;[sound:ぼうか.mp3]&lt;/div&gt;</v>
      </c>
      <c r="H4678" s="3" t="str">
        <f t="shared" si="1"/>
        <v>(n): phòng cháy</v>
      </c>
      <c r="I4678" s="6" t="s">
        <v>25520</v>
      </c>
      <c r="J4678" s="6" t="s">
        <v>25521</v>
      </c>
      <c r="K4678" s="7">
        <f t="shared" si="2"/>
        <v>0.09547813495</v>
      </c>
    </row>
    <row r="4679">
      <c r="A4679" s="4">
        <v>4679.0</v>
      </c>
      <c r="B4679" s="5" t="s">
        <v>25522</v>
      </c>
      <c r="C4679" s="5" t="s">
        <v>25523</v>
      </c>
      <c r="D4679" s="5" t="s">
        <v>25524</v>
      </c>
      <c r="E4679" s="6" t="s">
        <v>74</v>
      </c>
      <c r="F4679" s="6" t="s">
        <v>25525</v>
      </c>
      <c r="G4679" s="3" t="str">
        <f>IFERROR(__xludf.DUMMYFUNCTION("REGEXREPLACE(
D4679,
""([一-龯々]+)\[([^\]]+)\]"",
""&lt;ruby&gt;$1&lt;rt&gt;$2&lt;/rt&gt;&lt;/ruby&gt;""
)&amp;""&lt;br&gt;&lt;div class=""""audio""""&gt;[sound:""&amp;C4679&amp;"".mp3]&lt;/div&gt;"""),"&lt;ruby&gt;雑談&lt;rt&gt;ざつだん&lt;/rt&gt;&lt;/ruby&gt;&lt;br&gt;&lt;div class=""audio""&gt;[sound:ざつだん.mp3]&lt;/div&gt;")</f>
        <v>&lt;ruby&gt;雑談&lt;rt&gt;ざつだん&lt;/rt&gt;&lt;/ruby&gt;&lt;br&gt;&lt;div class="audio"&gt;[sound:ざつだん.mp3]&lt;/div&gt;</v>
      </c>
      <c r="H4679" s="3" t="str">
        <f t="shared" si="1"/>
        <v>(n): tán gẫu</v>
      </c>
      <c r="I4679" s="6" t="s">
        <v>25526</v>
      </c>
      <c r="J4679" s="6" t="s">
        <v>25527</v>
      </c>
      <c r="K4679" s="7">
        <f t="shared" si="2"/>
        <v>0.653802536</v>
      </c>
    </row>
    <row r="4680">
      <c r="A4680" s="4">
        <v>4680.0</v>
      </c>
      <c r="B4680" s="5" t="s">
        <v>25528</v>
      </c>
      <c r="C4680" s="5" t="s">
        <v>25529</v>
      </c>
      <c r="D4680" s="5" t="s">
        <v>25530</v>
      </c>
      <c r="E4680" s="6" t="s">
        <v>24</v>
      </c>
      <c r="F4680" s="6" t="s">
        <v>25531</v>
      </c>
      <c r="G4680" s="3" t="str">
        <f>IFERROR(__xludf.DUMMYFUNCTION("REGEXREPLACE(
D4680,
""([一-龯々]+)\[([^\]]+)\]"",
""&lt;ruby&gt;$1&lt;rt&gt;$2&lt;/rt&gt;&lt;/ruby&gt;""
)&amp;""&lt;br&gt;&lt;div class=""""audio""""&gt;[sound:""&amp;C4680&amp;"".mp3]&lt;/div&gt;"""),"&lt;ruby&gt;飽和&lt;rt&gt;ほうわ&lt;/rt&gt;&lt;/ruby&gt;&lt;br&gt;&lt;div class=""audio""&gt;[sound:ほうわ.mp3]&lt;/div&gt;")</f>
        <v>&lt;ruby&gt;飽和&lt;rt&gt;ほうわ&lt;/rt&gt;&lt;/ruby&gt;&lt;br&gt;&lt;div class="audio"&gt;[sound:ほうわ.mp3]&lt;/div&gt;</v>
      </c>
      <c r="H4680" s="3" t="str">
        <f t="shared" si="1"/>
        <v>(v): bão hòa</v>
      </c>
      <c r="I4680" s="6" t="s">
        <v>25532</v>
      </c>
      <c r="J4680" s="6" t="s">
        <v>25533</v>
      </c>
      <c r="K4680" s="7">
        <f t="shared" si="2"/>
        <v>0.5792288809</v>
      </c>
    </row>
    <row r="4681">
      <c r="A4681" s="4">
        <v>4681.0</v>
      </c>
      <c r="B4681" s="5" t="s">
        <v>25534</v>
      </c>
      <c r="C4681" s="5" t="s">
        <v>25535</v>
      </c>
      <c r="D4681" s="5" t="s">
        <v>25536</v>
      </c>
      <c r="E4681" s="6" t="s">
        <v>11</v>
      </c>
      <c r="F4681" s="6" t="s">
        <v>25537</v>
      </c>
      <c r="G4681" s="3" t="str">
        <f>IFERROR(__xludf.DUMMYFUNCTION("REGEXREPLACE(
D4681,
""([一-龯々]+)\[([^\]]+)\]"",
""&lt;ruby&gt;$1&lt;rt&gt;$2&lt;/rt&gt;&lt;/ruby&gt;""
)&amp;""&lt;br&gt;&lt;div class=""""audio""""&gt;[sound:""&amp;C4681&amp;"".mp3]&lt;/div&gt;"""),"&lt;ruby&gt;動的&lt;rt&gt;どうてき&lt;/rt&gt;&lt;/ruby&gt;&lt;br&gt;&lt;div class=""audio""&gt;[sound:どうてき.mp3]&lt;/div&gt;")</f>
        <v>&lt;ruby&gt;動的&lt;rt&gt;どうてき&lt;/rt&gt;&lt;/ruby&gt;&lt;br&gt;&lt;div class="audio"&gt;[sound:どうてき.mp3]&lt;/div&gt;</v>
      </c>
      <c r="H4681" s="3" t="str">
        <f t="shared" si="1"/>
        <v>(adj): năng động</v>
      </c>
      <c r="I4681" s="6" t="s">
        <v>25538</v>
      </c>
      <c r="J4681" s="6" t="s">
        <v>25539</v>
      </c>
      <c r="K4681" s="7">
        <f t="shared" si="2"/>
        <v>0.4295333429</v>
      </c>
    </row>
    <row r="4682">
      <c r="A4682" s="4">
        <v>4682.0</v>
      </c>
      <c r="B4682" s="5" t="s">
        <v>25540</v>
      </c>
      <c r="C4682" s="5" t="s">
        <v>25540</v>
      </c>
      <c r="D4682" s="5" t="s">
        <v>25540</v>
      </c>
      <c r="E4682" s="6" t="s">
        <v>85</v>
      </c>
      <c r="F4682" s="6" t="s">
        <v>25541</v>
      </c>
      <c r="G4682" s="3" t="str">
        <f>IFERROR(__xludf.DUMMYFUNCTION("REGEXREPLACE(
D4682,
""([一-龯々]+)\[([^\]]+)\]"",
""&lt;ruby&gt;$1&lt;rt&gt;$2&lt;/rt&gt;&lt;/ruby&gt;""
)&amp;""&lt;br&gt;&lt;div class=""""audio""""&gt;[sound:""&amp;C4682&amp;"".mp3]&lt;/div&gt;"""),"かろうじて&lt;br&gt;&lt;div class=""audio""&gt;[sound:かろうじて.mp3]&lt;/div&gt;")</f>
        <v>かろうじて&lt;br&gt;&lt;div class="audio"&gt;[sound:かろうじて.mp3]&lt;/div&gt;</v>
      </c>
      <c r="H4682" s="3" t="str">
        <f t="shared" si="1"/>
        <v>(adv): suýt soát</v>
      </c>
      <c r="I4682" s="6" t="s">
        <v>25542</v>
      </c>
      <c r="J4682" s="6" t="s">
        <v>25543</v>
      </c>
      <c r="K4682" s="7">
        <f t="shared" si="2"/>
        <v>0.3822678291</v>
      </c>
    </row>
    <row r="4683">
      <c r="A4683" s="4">
        <v>4683.0</v>
      </c>
      <c r="B4683" s="5" t="s">
        <v>25544</v>
      </c>
      <c r="C4683" s="5" t="s">
        <v>25545</v>
      </c>
      <c r="D4683" s="5" t="s">
        <v>25544</v>
      </c>
      <c r="E4683" s="6" t="s">
        <v>74</v>
      </c>
      <c r="F4683" s="6" t="s">
        <v>24592</v>
      </c>
      <c r="G4683" s="3" t="str">
        <f>IFERROR(__xludf.DUMMYFUNCTION("REGEXREPLACE(
D4683,
""([一-龯々]+)\[([^\]]+)\]"",
""&lt;ruby&gt;$1&lt;rt&gt;$2&lt;/rt&gt;&lt;/ruby&gt;""
)&amp;""&lt;br&gt;&lt;div class=""""audio""""&gt;[sound:""&amp;C4683&amp;"".mp3]&lt;/div&gt;"""),"ジーパン&lt;br&gt;&lt;div class=""audio""&gt;[sound:じーぱん.mp3]&lt;/div&gt;")</f>
        <v>ジーパン&lt;br&gt;&lt;div class="audio"&gt;[sound:じーぱん.mp3]&lt;/div&gt;</v>
      </c>
      <c r="H4683" s="3" t="str">
        <f t="shared" si="1"/>
        <v>(n): quần jean</v>
      </c>
      <c r="I4683" s="6" t="s">
        <v>25546</v>
      </c>
      <c r="J4683" s="6" t="s">
        <v>25547</v>
      </c>
      <c r="K4683" s="7">
        <f t="shared" si="2"/>
        <v>0.234660435</v>
      </c>
    </row>
    <row r="4684">
      <c r="A4684" s="4">
        <v>4684.0</v>
      </c>
      <c r="B4684" s="5" t="s">
        <v>25548</v>
      </c>
      <c r="C4684" s="5" t="s">
        <v>25549</v>
      </c>
      <c r="D4684" s="5" t="s">
        <v>25548</v>
      </c>
      <c r="E4684" s="6" t="s">
        <v>74</v>
      </c>
      <c r="F4684" s="6" t="s">
        <v>25550</v>
      </c>
      <c r="G4684" s="3" t="str">
        <f>IFERROR(__xludf.DUMMYFUNCTION("REGEXREPLACE(
D4684,
""([一-龯々]+)\[([^\]]+)\]"",
""&lt;ruby&gt;$1&lt;rt&gt;$2&lt;/rt&gt;&lt;/ruby&gt;""
)&amp;""&lt;br&gt;&lt;div class=""""audio""""&gt;[sound:""&amp;C4684&amp;"".mp3]&lt;/div&gt;"""),"ナプキン&lt;br&gt;&lt;div class=""audio""&gt;[sound:なぷきん.mp3]&lt;/div&gt;")</f>
        <v>ナプキン&lt;br&gt;&lt;div class="audio"&gt;[sound:なぷきん.mp3]&lt;/div&gt;</v>
      </c>
      <c r="H4684" s="3" t="str">
        <f t="shared" si="1"/>
        <v>(n): khăn giấy</v>
      </c>
      <c r="I4684" s="6" t="s">
        <v>25551</v>
      </c>
      <c r="J4684" s="6" t="s">
        <v>25552</v>
      </c>
      <c r="K4684" s="7">
        <f t="shared" si="2"/>
        <v>0.309985616</v>
      </c>
    </row>
    <row r="4685">
      <c r="A4685" s="4">
        <v>4685.0</v>
      </c>
      <c r="B4685" s="5" t="s">
        <v>25553</v>
      </c>
      <c r="C4685" s="5" t="s">
        <v>25553</v>
      </c>
      <c r="D4685" s="5" t="s">
        <v>25553</v>
      </c>
      <c r="E4685" s="6" t="s">
        <v>85</v>
      </c>
      <c r="F4685" s="6" t="s">
        <v>8923</v>
      </c>
      <c r="G4685" s="3" t="str">
        <f>IFERROR(__xludf.DUMMYFUNCTION("REGEXREPLACE(
D4685,
""([一-龯々]+)\[([^\]]+)\]"",
""&lt;ruby&gt;$1&lt;rt&gt;$2&lt;/rt&gt;&lt;/ruby&gt;""
)&amp;""&lt;br&gt;&lt;div class=""""audio""""&gt;[sound:""&amp;C4685&amp;"".mp3]&lt;/div&gt;"""),"まさしく&lt;br&gt;&lt;div class=""audio""&gt;[sound:まさしく.mp3]&lt;/div&gt;")</f>
        <v>まさしく&lt;br&gt;&lt;div class="audio"&gt;[sound:まさしく.mp3]&lt;/div&gt;</v>
      </c>
      <c r="H4685" s="3" t="str">
        <f t="shared" si="1"/>
        <v>(adv): chính xác</v>
      </c>
      <c r="I4685" s="6" t="s">
        <v>25554</v>
      </c>
      <c r="J4685" s="6" t="s">
        <v>25555</v>
      </c>
      <c r="K4685" s="7">
        <f t="shared" si="2"/>
        <v>0.4691087395</v>
      </c>
    </row>
    <row r="4686">
      <c r="A4686" s="4">
        <v>4686.0</v>
      </c>
      <c r="B4686" s="5" t="s">
        <v>25556</v>
      </c>
      <c r="C4686" s="5" t="s">
        <v>25556</v>
      </c>
      <c r="D4686" s="5" t="s">
        <v>25556</v>
      </c>
      <c r="E4686" s="6" t="s">
        <v>24</v>
      </c>
      <c r="F4686" s="6" t="s">
        <v>25557</v>
      </c>
      <c r="G4686" s="3" t="str">
        <f>IFERROR(__xludf.DUMMYFUNCTION("REGEXREPLACE(
D4686,
""([一-龯々]+)\[([^\]]+)\]"",
""&lt;ruby&gt;$1&lt;rt&gt;$2&lt;/rt&gt;&lt;/ruby&gt;""
)&amp;""&lt;br&gt;&lt;div class=""""audio""""&gt;[sound:""&amp;C4686&amp;"".mp3]&lt;/div&gt;"""),"もめる&lt;br&gt;&lt;div class=""audio""&gt;[sound:もめる.mp3]&lt;/div&gt;")</f>
        <v>もめる&lt;br&gt;&lt;div class="audio"&gt;[sound:もめる.mp3]&lt;/div&gt;</v>
      </c>
      <c r="H4686" s="3" t="str">
        <f t="shared" si="1"/>
        <v>(v): xích mích</v>
      </c>
      <c r="I4686" s="6" t="s">
        <v>25558</v>
      </c>
      <c r="J4686" s="6" t="s">
        <v>25559</v>
      </c>
      <c r="K4686" s="7">
        <f t="shared" si="2"/>
        <v>0.25484292</v>
      </c>
    </row>
    <row r="4687">
      <c r="A4687" s="4">
        <v>4687.0</v>
      </c>
      <c r="B4687" s="5" t="s">
        <v>25560</v>
      </c>
      <c r="C4687" s="5" t="s">
        <v>23695</v>
      </c>
      <c r="D4687" s="5" t="s">
        <v>25561</v>
      </c>
      <c r="E4687" s="6" t="s">
        <v>74</v>
      </c>
      <c r="F4687" s="6" t="s">
        <v>25562</v>
      </c>
      <c r="G4687" s="3" t="str">
        <f>IFERROR(__xludf.DUMMYFUNCTION("REGEXREPLACE(
D4687,
""([一-龯々]+)\[([^\]]+)\]"",
""&lt;ruby&gt;$1&lt;rt&gt;$2&lt;/rt&gt;&lt;/ruby&gt;""
)&amp;""&lt;br&gt;&lt;div class=""""audio""""&gt;[sound:""&amp;C4687&amp;"".mp3]&lt;/div&gt;"""),"&lt;ruby&gt;丈&lt;rt&gt;たけ&lt;/rt&gt;&lt;/ruby&gt;&lt;br&gt;&lt;div class=""audio""&gt;[sound:たけ.mp3]&lt;/div&gt;")</f>
        <v>&lt;ruby&gt;丈&lt;rt&gt;たけ&lt;/rt&gt;&lt;/ruby&gt;&lt;br&gt;&lt;div class="audio"&gt;[sound:たけ.mp3]&lt;/div&gt;</v>
      </c>
      <c r="H4687" s="3" t="str">
        <f t="shared" si="1"/>
        <v>(n): chiều dài</v>
      </c>
      <c r="I4687" s="6" t="s">
        <v>25563</v>
      </c>
      <c r="J4687" s="6" t="s">
        <v>25564</v>
      </c>
      <c r="K4687" s="7">
        <f t="shared" si="2"/>
        <v>0.2734217797</v>
      </c>
    </row>
    <row r="4688">
      <c r="A4688" s="4">
        <v>4688.0</v>
      </c>
      <c r="B4688" s="5" t="s">
        <v>25565</v>
      </c>
      <c r="C4688" s="5" t="s">
        <v>25566</v>
      </c>
      <c r="D4688" s="5" t="s">
        <v>25567</v>
      </c>
      <c r="E4688" s="6" t="s">
        <v>74</v>
      </c>
      <c r="F4688" s="6" t="s">
        <v>25568</v>
      </c>
      <c r="G4688" s="3" t="str">
        <f>IFERROR(__xludf.DUMMYFUNCTION("REGEXREPLACE(
D4688,
""([一-龯々]+)\[([^\]]+)\]"",
""&lt;ruby&gt;$1&lt;rt&gt;$2&lt;/rt&gt;&lt;/ruby&gt;""
)&amp;""&lt;br&gt;&lt;div class=""""audio""""&gt;[sound:""&amp;C4688&amp;"".mp3]&lt;/div&gt;"""),"&lt;ruby&gt;人柄&lt;rt&gt;ひとがら&lt;/rt&gt;&lt;/ruby&gt;&lt;br&gt;&lt;div class=""audio""&gt;[sound:ひとがら.mp3]&lt;/div&gt;")</f>
        <v>&lt;ruby&gt;人柄&lt;rt&gt;ひとがら&lt;/rt&gt;&lt;/ruby&gt;&lt;br&gt;&lt;div class="audio"&gt;[sound:ひとがら.mp3]&lt;/div&gt;</v>
      </c>
      <c r="H4688" s="3" t="str">
        <f t="shared" si="1"/>
        <v>(n): nhân phẩm</v>
      </c>
      <c r="I4688" s="6" t="s">
        <v>25569</v>
      </c>
      <c r="J4688" s="6" t="s">
        <v>25570</v>
      </c>
      <c r="K4688" s="7">
        <f t="shared" si="2"/>
        <v>0.950588638</v>
      </c>
    </row>
    <row r="4689">
      <c r="A4689" s="4">
        <v>4689.0</v>
      </c>
      <c r="B4689" s="5" t="s">
        <v>25571</v>
      </c>
      <c r="C4689" s="5" t="s">
        <v>25572</v>
      </c>
      <c r="D4689" s="5" t="s">
        <v>25573</v>
      </c>
      <c r="E4689" s="6" t="s">
        <v>11</v>
      </c>
      <c r="F4689" s="6" t="s">
        <v>3779</v>
      </c>
      <c r="G4689" s="3" t="str">
        <f>IFERROR(__xludf.DUMMYFUNCTION("REGEXREPLACE(
D4689,
""([一-龯々]+)\[([^\]]+)\]"",
""&lt;ruby&gt;$1&lt;rt&gt;$2&lt;/rt&gt;&lt;/ruby&gt;""
)&amp;""&lt;br&gt;&lt;div class=""""audio""""&gt;[sound:""&amp;C4689&amp;"".mp3]&lt;/div&gt;"""),"&lt;ruby&gt;健&lt;rt&gt;すこ&lt;/rt&gt;&lt;/ruby&gt;やか&lt;br&gt;&lt;div class=""audio""&gt;[sound:すこやか.mp3]&lt;/div&gt;")</f>
        <v>&lt;ruby&gt;健&lt;rt&gt;すこ&lt;/rt&gt;&lt;/ruby&gt;やか&lt;br&gt;&lt;div class="audio"&gt;[sound:すこやか.mp3]&lt;/div&gt;</v>
      </c>
      <c r="H4689" s="3" t="str">
        <f t="shared" si="1"/>
        <v>(adj): khỏe mạnh</v>
      </c>
      <c r="I4689" s="6" t="s">
        <v>25574</v>
      </c>
      <c r="J4689" s="6" t="s">
        <v>25575</v>
      </c>
      <c r="K4689" s="7">
        <f t="shared" si="2"/>
        <v>0.7372880396</v>
      </c>
    </row>
    <row r="4690">
      <c r="A4690" s="4">
        <v>4690.0</v>
      </c>
      <c r="B4690" s="5" t="s">
        <v>25576</v>
      </c>
      <c r="C4690" s="5" t="s">
        <v>25577</v>
      </c>
      <c r="D4690" s="5" t="s">
        <v>25578</v>
      </c>
      <c r="E4690" s="6" t="s">
        <v>24</v>
      </c>
      <c r="F4690" s="6" t="s">
        <v>16801</v>
      </c>
      <c r="G4690" s="3" t="str">
        <f>IFERROR(__xludf.DUMMYFUNCTION("REGEXREPLACE(
D4690,
""([一-龯々]+)\[([^\]]+)\]"",
""&lt;ruby&gt;$1&lt;rt&gt;$2&lt;/rt&gt;&lt;/ruby&gt;""
)&amp;""&lt;br&gt;&lt;div class=""""audio""""&gt;[sound:""&amp;C4690&amp;"".mp3]&lt;/div&gt;"""),"&lt;ruby&gt;冷&lt;rt&gt;ひ&lt;/rt&gt;&lt;/ruby&gt;やかす&lt;br&gt;&lt;div class=""audio""&gt;[sound:ひやかす.mp3]&lt;/div&gt;")</f>
        <v>&lt;ruby&gt;冷&lt;rt&gt;ひ&lt;/rt&gt;&lt;/ruby&gt;やかす&lt;br&gt;&lt;div class="audio"&gt;[sound:ひやかす.mp3]&lt;/div&gt;</v>
      </c>
      <c r="H4690" s="3" t="str">
        <f t="shared" si="1"/>
        <v>(v): trêu chọc</v>
      </c>
      <c r="I4690" s="6" t="s">
        <v>25579</v>
      </c>
      <c r="J4690" s="6" t="s">
        <v>25580</v>
      </c>
      <c r="K4690" s="7">
        <f t="shared" si="2"/>
        <v>0.4585890974</v>
      </c>
    </row>
    <row r="4691">
      <c r="A4691" s="4">
        <v>4691.0</v>
      </c>
      <c r="B4691" s="5" t="s">
        <v>25581</v>
      </c>
      <c r="C4691" s="5" t="s">
        <v>25582</v>
      </c>
      <c r="D4691" s="5" t="s">
        <v>25583</v>
      </c>
      <c r="E4691" s="6" t="s">
        <v>74</v>
      </c>
      <c r="F4691" s="6" t="s">
        <v>25584</v>
      </c>
      <c r="G4691" s="3" t="str">
        <f>IFERROR(__xludf.DUMMYFUNCTION("REGEXREPLACE(
D4691,
""([一-龯々]+)\[([^\]]+)\]"",
""&lt;ruby&gt;$1&lt;rt&gt;$2&lt;/rt&gt;&lt;/ruby&gt;""
)&amp;""&lt;br&gt;&lt;div class=""""audio""""&gt;[sound:""&amp;C4691&amp;"".mp3]&lt;/div&gt;"""),"&lt;ruby&gt;刑罰&lt;rt&gt;けいばつ&lt;/rt&gt;&lt;/ruby&gt;&lt;br&gt;&lt;div class=""audio""&gt;[sound:けいばつ.mp3]&lt;/div&gt;")</f>
        <v>&lt;ruby&gt;刑罰&lt;rt&gt;けいばつ&lt;/rt&gt;&lt;/ruby&gt;&lt;br&gt;&lt;div class="audio"&gt;[sound:けいばつ.mp3]&lt;/div&gt;</v>
      </c>
      <c r="H4691" s="3" t="str">
        <f t="shared" si="1"/>
        <v>(n): hình phạt</v>
      </c>
      <c r="I4691" s="6" t="s">
        <v>25585</v>
      </c>
      <c r="J4691" s="6" t="s">
        <v>25586</v>
      </c>
      <c r="K4691" s="7">
        <f t="shared" si="2"/>
        <v>0.1521346262</v>
      </c>
    </row>
    <row r="4692">
      <c r="A4692" s="4">
        <v>4692.0</v>
      </c>
      <c r="B4692" s="5" t="s">
        <v>25587</v>
      </c>
      <c r="C4692" s="5" t="s">
        <v>25588</v>
      </c>
      <c r="D4692" s="5" t="s">
        <v>25589</v>
      </c>
      <c r="E4692" s="6" t="s">
        <v>74</v>
      </c>
      <c r="F4692" s="6" t="s">
        <v>8357</v>
      </c>
      <c r="G4692" s="3" t="str">
        <f>IFERROR(__xludf.DUMMYFUNCTION("REGEXREPLACE(
D4692,
""([一-龯々]+)\[([^\]]+)\]"",
""&lt;ruby&gt;$1&lt;rt&gt;$2&lt;/rt&gt;&lt;/ruby&gt;""
)&amp;""&lt;br&gt;&lt;div class=""""audio""""&gt;[sound:""&amp;C4692&amp;"".mp3]&lt;/div&gt;"""),"&lt;ruby&gt;利潤&lt;rt&gt;りじゅん&lt;/rt&gt;&lt;/ruby&gt;&lt;br&gt;&lt;div class=""audio""&gt;[sound:りじゅん.mp3]&lt;/div&gt;")</f>
        <v>&lt;ruby&gt;利潤&lt;rt&gt;りじゅん&lt;/rt&gt;&lt;/ruby&gt;&lt;br&gt;&lt;div class="audio"&gt;[sound:りじゅん.mp3]&lt;/div&gt;</v>
      </c>
      <c r="H4692" s="3" t="str">
        <f t="shared" si="1"/>
        <v>(n): lợi nhuận</v>
      </c>
      <c r="I4692" s="6" t="s">
        <v>25590</v>
      </c>
      <c r="J4692" s="6" t="s">
        <v>25591</v>
      </c>
      <c r="K4692" s="7">
        <f t="shared" si="2"/>
        <v>0.8123631402</v>
      </c>
    </row>
    <row r="4693">
      <c r="A4693" s="4">
        <v>4693.0</v>
      </c>
      <c r="B4693" s="5" t="s">
        <v>25592</v>
      </c>
      <c r="C4693" s="5" t="s">
        <v>25593</v>
      </c>
      <c r="D4693" s="5" t="s">
        <v>25594</v>
      </c>
      <c r="E4693" s="6" t="s">
        <v>74</v>
      </c>
      <c r="F4693" s="6" t="s">
        <v>25595</v>
      </c>
      <c r="G4693" s="3" t="str">
        <f>IFERROR(__xludf.DUMMYFUNCTION("REGEXREPLACE(
D4693,
""([一-龯々]+)\[([^\]]+)\]"",
""&lt;ruby&gt;$1&lt;rt&gt;$2&lt;/rt&gt;&lt;/ruby&gt;""
)&amp;""&lt;br&gt;&lt;div class=""""audio""""&gt;[sound:""&amp;C4693&amp;"".mp3]&lt;/div&gt;"""),"&lt;ruby&gt;化石&lt;rt&gt;かせき&lt;/rt&gt;&lt;/ruby&gt;&lt;br&gt;&lt;div class=""audio""&gt;[sound:かせき.mp3]&lt;/div&gt;")</f>
        <v>&lt;ruby&gt;化石&lt;rt&gt;かせき&lt;/rt&gt;&lt;/ruby&gt;&lt;br&gt;&lt;div class="audio"&gt;[sound:かせき.mp3]&lt;/div&gt;</v>
      </c>
      <c r="H4693" s="3" t="str">
        <f t="shared" si="1"/>
        <v>(n): hóa thạch</v>
      </c>
      <c r="I4693" s="6" t="s">
        <v>25596</v>
      </c>
      <c r="J4693" s="6" t="s">
        <v>25597</v>
      </c>
      <c r="K4693" s="7">
        <f t="shared" si="2"/>
        <v>0.3516221951</v>
      </c>
    </row>
    <row r="4694">
      <c r="A4694" s="4">
        <v>4694.0</v>
      </c>
      <c r="B4694" s="5" t="s">
        <v>25598</v>
      </c>
      <c r="C4694" s="5" t="s">
        <v>25599</v>
      </c>
      <c r="D4694" s="5" t="s">
        <v>25600</v>
      </c>
      <c r="E4694" s="6" t="s">
        <v>74</v>
      </c>
      <c r="F4694" s="6" t="s">
        <v>25601</v>
      </c>
      <c r="G4694" s="3" t="str">
        <f>IFERROR(__xludf.DUMMYFUNCTION("REGEXREPLACE(
D4694,
""([一-龯々]+)\[([^\]]+)\]"",
""&lt;ruby&gt;$1&lt;rt&gt;$2&lt;/rt&gt;&lt;/ruby&gt;""
)&amp;""&lt;br&gt;&lt;div class=""""audio""""&gt;[sound:""&amp;C4694&amp;"".mp3]&lt;/div&gt;"""),"&lt;ruby&gt;同&lt;rt&gt;おな&lt;/rt&gt;&lt;/ruby&gt;い&lt;ruby&gt;年&lt;rt&gt;どし&lt;/rt&gt;&lt;/ruby&gt;&lt;br&gt;&lt;div class=""audio""&gt;[sound:おないどし.mp3]&lt;/div&gt;")</f>
        <v>&lt;ruby&gt;同&lt;rt&gt;おな&lt;/rt&gt;&lt;/ruby&gt;い&lt;ruby&gt;年&lt;rt&gt;どし&lt;/rt&gt;&lt;/ruby&gt;&lt;br&gt;&lt;div class="audio"&gt;[sound:おないどし.mp3]&lt;/div&gt;</v>
      </c>
      <c r="H4694" s="3" t="str">
        <f t="shared" si="1"/>
        <v>(n): bằng tuổi</v>
      </c>
      <c r="I4694" s="6" t="s">
        <v>25602</v>
      </c>
      <c r="J4694" s="6" t="s">
        <v>25603</v>
      </c>
      <c r="K4694" s="7">
        <f t="shared" si="2"/>
        <v>0.1378560851</v>
      </c>
    </row>
    <row r="4695">
      <c r="A4695" s="4">
        <v>4695.0</v>
      </c>
      <c r="B4695" s="5" t="s">
        <v>25604</v>
      </c>
      <c r="C4695" s="5" t="s">
        <v>25605</v>
      </c>
      <c r="D4695" s="5" t="s">
        <v>25606</v>
      </c>
      <c r="E4695" s="6" t="s">
        <v>24</v>
      </c>
      <c r="F4695" s="6" t="s">
        <v>25607</v>
      </c>
      <c r="G4695" s="3" t="str">
        <f>IFERROR(__xludf.DUMMYFUNCTION("REGEXREPLACE(
D4695,
""([一-龯々]+)\[([^\]]+)\]"",
""&lt;ruby&gt;$1&lt;rt&gt;$2&lt;/rt&gt;&lt;/ruby&gt;""
)&amp;""&lt;br&gt;&lt;div class=""""audio""""&gt;[sound:""&amp;C4695&amp;"".mp3]&lt;/div&gt;"""),"&lt;ruby&gt;否決&lt;rt&gt;ひけつ&lt;/rt&gt;&lt;/ruby&gt;&lt;br&gt;&lt;div class=""audio""&gt;[sound:ひけつ.mp3]&lt;/div&gt;")</f>
        <v>&lt;ruby&gt;否決&lt;rt&gt;ひけつ&lt;/rt&gt;&lt;/ruby&gt;&lt;br&gt;&lt;div class="audio"&gt;[sound:ひけつ.mp3]&lt;/div&gt;</v>
      </c>
      <c r="H4695" s="3" t="str">
        <f t="shared" si="1"/>
        <v>(v): bác bỏ</v>
      </c>
      <c r="I4695" s="6" t="s">
        <v>25608</v>
      </c>
      <c r="J4695" s="6" t="s">
        <v>25609</v>
      </c>
      <c r="K4695" s="7">
        <f t="shared" si="2"/>
        <v>0.8648941243</v>
      </c>
    </row>
    <row r="4696">
      <c r="A4696" s="4">
        <v>4696.0</v>
      </c>
      <c r="B4696" s="5" t="s">
        <v>25610</v>
      </c>
      <c r="C4696" s="5" t="s">
        <v>25611</v>
      </c>
      <c r="D4696" s="5" t="s">
        <v>25612</v>
      </c>
      <c r="E4696" s="6" t="s">
        <v>74</v>
      </c>
      <c r="F4696" s="6" t="s">
        <v>3640</v>
      </c>
      <c r="G4696" s="3" t="str">
        <f>IFERROR(__xludf.DUMMYFUNCTION("REGEXREPLACE(
D4696,
""([一-龯々]+)\[([^\]]+)\]"",
""&lt;ruby&gt;$1&lt;rt&gt;$2&lt;/rt&gt;&lt;/ruby&gt;""
)&amp;""&lt;br&gt;&lt;div class=""""audio""""&gt;[sound:""&amp;C4696&amp;"".mp3]&lt;/div&gt;"""),"&lt;ruby&gt;境遇&lt;rt&gt;きょうぐう&lt;/rt&gt;&lt;/ruby&gt;&lt;br&gt;&lt;div class=""audio""&gt;[sound:きょうぐう.mp3]&lt;/div&gt;")</f>
        <v>&lt;ruby&gt;境遇&lt;rt&gt;きょうぐう&lt;/rt&gt;&lt;/ruby&gt;&lt;br&gt;&lt;div class="audio"&gt;[sound:きょうぐう.mp3]&lt;/div&gt;</v>
      </c>
      <c r="H4696" s="3" t="str">
        <f t="shared" si="1"/>
        <v>(n): hoàn cảnh</v>
      </c>
      <c r="I4696" s="6" t="s">
        <v>25613</v>
      </c>
      <c r="J4696" s="6" t="s">
        <v>25614</v>
      </c>
      <c r="K4696" s="7">
        <f t="shared" si="2"/>
        <v>0.4821656857</v>
      </c>
    </row>
    <row r="4697">
      <c r="A4697" s="4">
        <v>4697.0</v>
      </c>
      <c r="B4697" s="5" t="s">
        <v>25615</v>
      </c>
      <c r="C4697" s="5" t="s">
        <v>25616</v>
      </c>
      <c r="D4697" s="5" t="s">
        <v>25617</v>
      </c>
      <c r="E4697" s="6" t="s">
        <v>74</v>
      </c>
      <c r="F4697" s="6" t="s">
        <v>25618</v>
      </c>
      <c r="G4697" s="3" t="str">
        <f>IFERROR(__xludf.DUMMYFUNCTION("REGEXREPLACE(
D4697,
""([一-龯々]+)\[([^\]]+)\]"",
""&lt;ruby&gt;$1&lt;rt&gt;$2&lt;/rt&gt;&lt;/ruby&gt;""
)&amp;""&lt;br&gt;&lt;div class=""""audio""""&gt;[sound:""&amp;C4697&amp;"".mp3]&lt;/div&gt;"""),"&lt;ruby&gt;墓地&lt;rt&gt;ぼち&lt;/rt&gt;&lt;/ruby&gt;&lt;br&gt;&lt;div class=""audio""&gt;[sound:ぼち.mp3]&lt;/div&gt;")</f>
        <v>&lt;ruby&gt;墓地&lt;rt&gt;ぼち&lt;/rt&gt;&lt;/ruby&gt;&lt;br&gt;&lt;div class="audio"&gt;[sound:ぼち.mp3]&lt;/div&gt;</v>
      </c>
      <c r="H4697" s="3" t="str">
        <f t="shared" si="1"/>
        <v>(n): nghĩa địa</v>
      </c>
      <c r="I4697" s="6" t="s">
        <v>25619</v>
      </c>
      <c r="J4697" s="6" t="s">
        <v>25620</v>
      </c>
      <c r="K4697" s="7">
        <f t="shared" si="2"/>
        <v>0.5626822304</v>
      </c>
    </row>
    <row r="4698">
      <c r="A4698" s="4">
        <v>4698.0</v>
      </c>
      <c r="B4698" s="5" t="s">
        <v>25621</v>
      </c>
      <c r="C4698" s="5" t="s">
        <v>25622</v>
      </c>
      <c r="D4698" s="5" t="s">
        <v>25623</v>
      </c>
      <c r="E4698" s="6" t="s">
        <v>74</v>
      </c>
      <c r="F4698" s="6" t="s">
        <v>25624</v>
      </c>
      <c r="G4698" s="3" t="str">
        <f>IFERROR(__xludf.DUMMYFUNCTION("REGEXREPLACE(
D4698,
""([一-龯々]+)\[([^\]]+)\]"",
""&lt;ruby&gt;$1&lt;rt&gt;$2&lt;/rt&gt;&lt;/ruby&gt;""
)&amp;""&lt;br&gt;&lt;div class=""""audio""""&gt;[sound:""&amp;C4698&amp;"".mp3]&lt;/div&gt;"""),"&lt;ruby&gt;外来&lt;rt&gt;がいらい&lt;/rt&gt;&lt;/ruby&gt;&lt;br&gt;&lt;div class=""audio""&gt;[sound:がいらい.mp3]&lt;/div&gt;")</f>
        <v>&lt;ruby&gt;外来&lt;rt&gt;がいらい&lt;/rt&gt;&lt;/ruby&gt;&lt;br&gt;&lt;div class="audio"&gt;[sound:がいらい.mp3]&lt;/div&gt;</v>
      </c>
      <c r="H4698" s="3" t="str">
        <f t="shared" si="1"/>
        <v>(n): ngoại lai</v>
      </c>
      <c r="I4698" s="6" t="s">
        <v>25625</v>
      </c>
      <c r="J4698" s="6" t="s">
        <v>25626</v>
      </c>
      <c r="K4698" s="7">
        <f t="shared" si="2"/>
        <v>0.3241132861</v>
      </c>
    </row>
    <row r="4699">
      <c r="A4699" s="4">
        <v>4699.0</v>
      </c>
      <c r="B4699" s="5" t="s">
        <v>25627</v>
      </c>
      <c r="C4699" s="5" t="s">
        <v>25628</v>
      </c>
      <c r="D4699" s="5" t="s">
        <v>25629</v>
      </c>
      <c r="E4699" s="6" t="s">
        <v>74</v>
      </c>
      <c r="F4699" s="6" t="s">
        <v>25630</v>
      </c>
      <c r="G4699" s="3" t="str">
        <f>IFERROR(__xludf.DUMMYFUNCTION("REGEXREPLACE(
D4699,
""([一-龯々]+)\[([^\]]+)\]"",
""&lt;ruby&gt;$1&lt;rt&gt;$2&lt;/rt&gt;&lt;/ruby&gt;""
)&amp;""&lt;br&gt;&lt;div class=""""audio""""&gt;[sound:""&amp;C4699&amp;"".mp3]&lt;/div&gt;"""),"&lt;ruby&gt;天体&lt;rt&gt;てんたい&lt;/rt&gt;&lt;/ruby&gt;&lt;br&gt;&lt;div class=""audio""&gt;[sound:てんたい.mp3]&lt;/div&gt;")</f>
        <v>&lt;ruby&gt;天体&lt;rt&gt;てんたい&lt;/rt&gt;&lt;/ruby&gt;&lt;br&gt;&lt;div class="audio"&gt;[sound:てんたい.mp3]&lt;/div&gt;</v>
      </c>
      <c r="H4699" s="3" t="str">
        <f t="shared" si="1"/>
        <v>(n): thiên thể</v>
      </c>
      <c r="I4699" s="6" t="s">
        <v>25631</v>
      </c>
      <c r="J4699" s="6" t="s">
        <v>25632</v>
      </c>
      <c r="K4699" s="7">
        <f t="shared" si="2"/>
        <v>0.3904228571</v>
      </c>
    </row>
    <row r="4700">
      <c r="A4700" s="4">
        <v>4700.0</v>
      </c>
      <c r="B4700" s="5" t="s">
        <v>25633</v>
      </c>
      <c r="C4700" s="5" t="s">
        <v>25634</v>
      </c>
      <c r="D4700" s="5" t="s">
        <v>25635</v>
      </c>
      <c r="E4700" s="6" t="s">
        <v>24</v>
      </c>
      <c r="F4700" s="6" t="s">
        <v>8239</v>
      </c>
      <c r="G4700" s="3" t="str">
        <f>IFERROR(__xludf.DUMMYFUNCTION("REGEXREPLACE(
D4700,
""([一-龯々]+)\[([^\]]+)\]"",
""&lt;ruby&gt;$1&lt;rt&gt;$2&lt;/rt&gt;&lt;/ruby&gt;""
)&amp;""&lt;br&gt;&lt;div class=""""audio""""&gt;[sound:""&amp;C4700&amp;"".mp3]&lt;/div&gt;"""),"&lt;ruby&gt;準&lt;rt&gt;じゅん&lt;/rt&gt;&lt;/ruby&gt;じる&lt;br&gt;&lt;div class=""audio""&gt;[sound:じゅんじる.mp3]&lt;/div&gt;")</f>
        <v>&lt;ruby&gt;準&lt;rt&gt;じゅん&lt;/rt&gt;&lt;/ruby&gt;じる&lt;br&gt;&lt;div class="audio"&gt;[sound:じゅんじる.mp3]&lt;/div&gt;</v>
      </c>
      <c r="H4700" s="3" t="str">
        <f t="shared" si="1"/>
        <v>(v): tuân theo</v>
      </c>
      <c r="I4700" s="6" t="s">
        <v>25636</v>
      </c>
      <c r="J4700" s="6" t="s">
        <v>25637</v>
      </c>
      <c r="K4700" s="7">
        <f t="shared" si="2"/>
        <v>0.6861184327</v>
      </c>
    </row>
    <row r="4701">
      <c r="A4701" s="4">
        <v>4701.0</v>
      </c>
      <c r="B4701" s="5" t="s">
        <v>25638</v>
      </c>
      <c r="C4701" s="5" t="s">
        <v>25639</v>
      </c>
      <c r="D4701" s="5" t="s">
        <v>25640</v>
      </c>
      <c r="E4701" s="6" t="s">
        <v>24</v>
      </c>
      <c r="F4701" s="6" t="s">
        <v>25641</v>
      </c>
      <c r="G4701" s="3" t="str">
        <f>IFERROR(__xludf.DUMMYFUNCTION("REGEXREPLACE(
D4701,
""([一-龯々]+)\[([^\]]+)\]"",
""&lt;ruby&gt;$1&lt;rt&gt;$2&lt;/rt&gt;&lt;/ruby&gt;""
)&amp;""&lt;br&gt;&lt;div class=""""audio""""&gt;[sound:""&amp;C4701&amp;"".mp3]&lt;/div&gt;"""),"&lt;ruby&gt;絡&lt;rt&gt;から&lt;/rt&gt;&lt;/ruby&gt;む&lt;br&gt;&lt;div class=""audio""&gt;[sound:からむ.mp3]&lt;/div&gt;")</f>
        <v>&lt;ruby&gt;絡&lt;rt&gt;から&lt;/rt&gt;&lt;/ruby&gt;む&lt;br&gt;&lt;div class="audio"&gt;[sound:からむ.mp3]&lt;/div&gt;</v>
      </c>
      <c r="H4701" s="3" t="str">
        <f t="shared" si="1"/>
        <v>(v): vướng vào</v>
      </c>
      <c r="I4701" s="6" t="s">
        <v>25642</v>
      </c>
      <c r="J4701" s="6" t="s">
        <v>25643</v>
      </c>
      <c r="K4701" s="7">
        <f t="shared" si="2"/>
        <v>0.04308467438</v>
      </c>
    </row>
    <row r="4702">
      <c r="A4702" s="4">
        <v>4702.0</v>
      </c>
      <c r="B4702" s="5" t="s">
        <v>25644</v>
      </c>
      <c r="C4702" s="5" t="s">
        <v>25645</v>
      </c>
      <c r="D4702" s="5" t="s">
        <v>25646</v>
      </c>
      <c r="E4702" s="6" t="s">
        <v>24</v>
      </c>
      <c r="F4702" s="6" t="s">
        <v>25647</v>
      </c>
      <c r="G4702" s="3" t="str">
        <f>IFERROR(__xludf.DUMMYFUNCTION("REGEXREPLACE(
D4702,
""([一-龯々]+)\[([^\]]+)\]"",
""&lt;ruby&gt;$1&lt;rt&gt;$2&lt;/rt&gt;&lt;/ruby&gt;""
)&amp;""&lt;br&gt;&lt;div class=""""audio""""&gt;[sound:""&amp;C4702&amp;"".mp3]&lt;/div&gt;"""),"&lt;ruby&gt;腐敗&lt;rt&gt;ふはい&lt;/rt&gt;&lt;/ruby&gt;&lt;br&gt;&lt;div class=""audio""&gt;[sound:ふはい.mp3]&lt;/div&gt;")</f>
        <v>&lt;ruby&gt;腐敗&lt;rt&gt;ふはい&lt;/rt&gt;&lt;/ruby&gt;&lt;br&gt;&lt;div class="audio"&gt;[sound:ふはい.mp3]&lt;/div&gt;</v>
      </c>
      <c r="H4702" s="3" t="str">
        <f t="shared" si="1"/>
        <v>(v): hủ bại</v>
      </c>
      <c r="I4702" s="6" t="s">
        <v>25648</v>
      </c>
      <c r="J4702" s="6" t="s">
        <v>25649</v>
      </c>
      <c r="K4702" s="7">
        <f t="shared" si="2"/>
        <v>0.1262892982</v>
      </c>
    </row>
    <row r="4703">
      <c r="A4703" s="4">
        <v>4703.0</v>
      </c>
      <c r="B4703" s="5" t="s">
        <v>25650</v>
      </c>
      <c r="C4703" s="5" t="s">
        <v>25651</v>
      </c>
      <c r="D4703" s="5" t="s">
        <v>25652</v>
      </c>
      <c r="E4703" s="6" t="s">
        <v>74</v>
      </c>
      <c r="F4703" s="6" t="s">
        <v>25653</v>
      </c>
      <c r="G4703" s="3" t="str">
        <f>IFERROR(__xludf.DUMMYFUNCTION("REGEXREPLACE(
D4703,
""([一-龯々]+)\[([^\]]+)\]"",
""&lt;ruby&gt;$1&lt;rt&gt;$2&lt;/rt&gt;&lt;/ruby&gt;""
)&amp;""&lt;br&gt;&lt;div class=""""audio""""&gt;[sound:""&amp;C4703&amp;"".mp3]&lt;/div&gt;"""),"&lt;ruby&gt;誘惑&lt;rt&gt;ゆうわく&lt;/rt&gt;&lt;/ruby&gt;&lt;br&gt;&lt;div class=""audio""&gt;[sound:ゆうわく.mp3]&lt;/div&gt;")</f>
        <v>&lt;ruby&gt;誘惑&lt;rt&gt;ゆうわく&lt;/rt&gt;&lt;/ruby&gt;&lt;br&gt;&lt;div class="audio"&gt;[sound:ゆうわく.mp3]&lt;/div&gt;</v>
      </c>
      <c r="H4703" s="3" t="str">
        <f t="shared" si="1"/>
        <v>(n): cám dỗ</v>
      </c>
      <c r="I4703" s="6" t="s">
        <v>25654</v>
      </c>
      <c r="J4703" s="6" t="s">
        <v>25655</v>
      </c>
      <c r="K4703" s="7">
        <f t="shared" si="2"/>
        <v>0.3842738152</v>
      </c>
    </row>
    <row r="4704">
      <c r="A4704" s="4">
        <v>4704.0</v>
      </c>
      <c r="B4704" s="5" t="s">
        <v>25656</v>
      </c>
      <c r="C4704" s="5" t="s">
        <v>25657</v>
      </c>
      <c r="D4704" s="5" t="s">
        <v>25658</v>
      </c>
      <c r="E4704" s="6" t="s">
        <v>24</v>
      </c>
      <c r="F4704" s="6" t="s">
        <v>8099</v>
      </c>
      <c r="G4704" s="3" t="str">
        <f>IFERROR(__xludf.DUMMYFUNCTION("REGEXREPLACE(
D4704,
""([一-龯々]+)\[([^\]]+)\]"",
""&lt;ruby&gt;$1&lt;rt&gt;$2&lt;/rt&gt;&lt;/ruby&gt;""
)&amp;""&lt;br&gt;&lt;div class=""""audio""""&gt;[sound:""&amp;C4704&amp;"".mp3]&lt;/div&gt;"""),"&lt;ruby&gt;護衛&lt;rt&gt;ごえい&lt;/rt&gt;&lt;/ruby&gt;&lt;br&gt;&lt;div class=""audio""&gt;[sound:ごえい.mp3]&lt;/div&gt;")</f>
        <v>&lt;ruby&gt;護衛&lt;rt&gt;ごえい&lt;/rt&gt;&lt;/ruby&gt;&lt;br&gt;&lt;div class="audio"&gt;[sound:ごえい.mp3]&lt;/div&gt;</v>
      </c>
      <c r="H4704" s="3" t="str">
        <f t="shared" si="1"/>
        <v>(v): bảo vệ</v>
      </c>
      <c r="I4704" s="6" t="s">
        <v>25659</v>
      </c>
      <c r="J4704" s="6" t="s">
        <v>25660</v>
      </c>
      <c r="K4704" s="7">
        <f t="shared" si="2"/>
        <v>0.9486208719</v>
      </c>
    </row>
    <row r="4705">
      <c r="A4705" s="4">
        <v>4705.0</v>
      </c>
      <c r="B4705" s="5" t="s">
        <v>25661</v>
      </c>
      <c r="C4705" s="5" t="s">
        <v>15321</v>
      </c>
      <c r="D4705" s="5" t="s">
        <v>25662</v>
      </c>
      <c r="E4705" s="6" t="s">
        <v>11</v>
      </c>
      <c r="F4705" s="6" t="s">
        <v>25663</v>
      </c>
      <c r="G4705" s="3" t="str">
        <f>IFERROR(__xludf.DUMMYFUNCTION("REGEXREPLACE(
D4705,
""([一-龯々]+)\[([^\]]+)\]"",
""&lt;ruby&gt;$1&lt;rt&gt;$2&lt;/rt&gt;&lt;/ruby&gt;""
)&amp;""&lt;br&gt;&lt;div class=""""audio""""&gt;[sound:""&amp;C4705&amp;"".mp3]&lt;/div&gt;"""),"&lt;ruby&gt;賢明&lt;rt&gt;けんめい&lt;/rt&gt;&lt;/ruby&gt;&lt;br&gt;&lt;div class=""audio""&gt;[sound:けんめい.mp3]&lt;/div&gt;")</f>
        <v>&lt;ruby&gt;賢明&lt;rt&gt;けんめい&lt;/rt&gt;&lt;/ruby&gt;&lt;br&gt;&lt;div class="audio"&gt;[sound:けんめい.mp3]&lt;/div&gt;</v>
      </c>
      <c r="H4705" s="3" t="str">
        <f t="shared" si="1"/>
        <v>(adj): sáng suốt</v>
      </c>
      <c r="I4705" s="6" t="s">
        <v>25664</v>
      </c>
      <c r="J4705" s="6" t="s">
        <v>25665</v>
      </c>
      <c r="K4705" s="7">
        <f t="shared" si="2"/>
        <v>0.5913090809</v>
      </c>
    </row>
    <row r="4706">
      <c r="A4706" s="4">
        <v>4706.0</v>
      </c>
      <c r="B4706" s="5" t="s">
        <v>25666</v>
      </c>
      <c r="C4706" s="5" t="s">
        <v>25667</v>
      </c>
      <c r="D4706" s="5" t="s">
        <v>25668</v>
      </c>
      <c r="E4706" s="6" t="s">
        <v>74</v>
      </c>
      <c r="F4706" s="6" t="s">
        <v>25669</v>
      </c>
      <c r="G4706" s="3" t="str">
        <f>IFERROR(__xludf.DUMMYFUNCTION("REGEXREPLACE(
D4706,
""([一-龯々]+)\[([^\]]+)\]"",
""&lt;ruby&gt;$1&lt;rt&gt;$2&lt;/rt&gt;&lt;/ruby&gt;""
)&amp;""&lt;br&gt;&lt;div class=""""audio""""&gt;[sound:""&amp;C4706&amp;"".mp3]&lt;/div&gt;"""),"&lt;ruby&gt;農場&lt;rt&gt;のうじょう&lt;/rt&gt;&lt;/ruby&gt;&lt;br&gt;&lt;div class=""audio""&gt;[sound:のうじょう.mp3]&lt;/div&gt;")</f>
        <v>&lt;ruby&gt;農場&lt;rt&gt;のうじょう&lt;/rt&gt;&lt;/ruby&gt;&lt;br&gt;&lt;div class="audio"&gt;[sound:のうじょう.mp3]&lt;/div&gt;</v>
      </c>
      <c r="H4706" s="3" t="str">
        <f t="shared" si="1"/>
        <v>(n): nông trại</v>
      </c>
      <c r="I4706" s="6" t="s">
        <v>25670</v>
      </c>
      <c r="J4706" s="6" t="s">
        <v>25671</v>
      </c>
      <c r="K4706" s="7">
        <f t="shared" si="2"/>
        <v>0.341953628</v>
      </c>
    </row>
    <row r="4707">
      <c r="A4707" s="4">
        <v>4707.0</v>
      </c>
      <c r="B4707" s="5" t="s">
        <v>25672</v>
      </c>
      <c r="C4707" s="5" t="s">
        <v>25673</v>
      </c>
      <c r="D4707" s="5" t="s">
        <v>25674</v>
      </c>
      <c r="E4707" s="6" t="s">
        <v>24</v>
      </c>
      <c r="F4707" s="6" t="s">
        <v>11221</v>
      </c>
      <c r="G4707" s="3" t="str">
        <f>IFERROR(__xludf.DUMMYFUNCTION("REGEXREPLACE(
D4707,
""([一-龯々]+)\[([^\]]+)\]"",
""&lt;ruby&gt;$1&lt;rt&gt;$2&lt;/rt&gt;&lt;/ruby&gt;""
)&amp;""&lt;br&gt;&lt;div class=""""audio""""&gt;[sound:""&amp;C4707&amp;"".mp3]&lt;/div&gt;"""),"&lt;ruby&gt;逃&lt;rt&gt;に&lt;/rt&gt;&lt;/ruby&gt;げ&lt;ruby&gt;出&lt;rt&gt;だ&lt;/rt&gt;&lt;/ruby&gt;す&lt;br&gt;&lt;div class=""audio""&gt;[sound:にげだす.mp3]&lt;/div&gt;")</f>
        <v>&lt;ruby&gt;逃&lt;rt&gt;に&lt;/rt&gt;&lt;/ruby&gt;げ&lt;ruby&gt;出&lt;rt&gt;だ&lt;/rt&gt;&lt;/ruby&gt;す&lt;br&gt;&lt;div class="audio"&gt;[sound:にげだす.mp3]&lt;/div&gt;</v>
      </c>
      <c r="H4707" s="3" t="str">
        <f t="shared" si="1"/>
        <v>(v): chạy trốn</v>
      </c>
      <c r="I4707" s="6" t="s">
        <v>25675</v>
      </c>
      <c r="J4707" s="6" t="s">
        <v>25676</v>
      </c>
      <c r="K4707" s="7">
        <f t="shared" si="2"/>
        <v>0.4154187678</v>
      </c>
    </row>
    <row r="4708">
      <c r="A4708" s="4">
        <v>4708.0</v>
      </c>
      <c r="B4708" s="5" t="s">
        <v>25677</v>
      </c>
      <c r="C4708" s="5" t="s">
        <v>25678</v>
      </c>
      <c r="D4708" s="5" t="s">
        <v>25679</v>
      </c>
      <c r="E4708" s="6" t="s">
        <v>74</v>
      </c>
      <c r="F4708" s="6" t="s">
        <v>19425</v>
      </c>
      <c r="G4708" s="3" t="str">
        <f>IFERROR(__xludf.DUMMYFUNCTION("REGEXREPLACE(
D4708,
""([一-龯々]+)\[([^\]]+)\]"",
""&lt;ruby&gt;$1&lt;rt&gt;$2&lt;/rt&gt;&lt;/ruby&gt;""
)&amp;""&lt;br&gt;&lt;div class=""""audio""""&gt;[sound:""&amp;C4708&amp;"".mp3]&lt;/div&gt;"""),"&lt;ruby&gt;連盟&lt;rt&gt;れんめい&lt;/rt&gt;&lt;/ruby&gt;&lt;br&gt;&lt;div class=""audio""&gt;[sound:れんめい.mp3]&lt;/div&gt;")</f>
        <v>&lt;ruby&gt;連盟&lt;rt&gt;れんめい&lt;/rt&gt;&lt;/ruby&gt;&lt;br&gt;&lt;div class="audio"&gt;[sound:れんめい.mp3]&lt;/div&gt;</v>
      </c>
      <c r="H4708" s="3" t="str">
        <f t="shared" si="1"/>
        <v>(n): liên minh</v>
      </c>
      <c r="I4708" s="6" t="s">
        <v>25680</v>
      </c>
      <c r="J4708" s="6" t="s">
        <v>25681</v>
      </c>
      <c r="K4708" s="7">
        <f t="shared" si="2"/>
        <v>0.03727027399</v>
      </c>
    </row>
    <row r="4709">
      <c r="A4709" s="4">
        <v>4709.0</v>
      </c>
      <c r="B4709" s="5" t="s">
        <v>25682</v>
      </c>
      <c r="C4709" s="5" t="s">
        <v>25683</v>
      </c>
      <c r="D4709" s="5" t="s">
        <v>25684</v>
      </c>
      <c r="E4709" s="6" t="s">
        <v>74</v>
      </c>
      <c r="F4709" s="6" t="s">
        <v>25685</v>
      </c>
      <c r="G4709" s="3" t="str">
        <f>IFERROR(__xludf.DUMMYFUNCTION("REGEXREPLACE(
D4709,
""([一-龯々]+)\[([^\]]+)\]"",
""&lt;ruby&gt;$1&lt;rt&gt;$2&lt;/rt&gt;&lt;/ruby&gt;""
)&amp;""&lt;br&gt;&lt;div class=""""audio""""&gt;[sound:""&amp;C4709&amp;"".mp3]&lt;/div&gt;"""),"&lt;ruby&gt;遠方&lt;rt&gt;えんぽう&lt;/rt&gt;&lt;/ruby&gt;&lt;br&gt;&lt;div class=""audio""&gt;[sound:えんぽう.mp3]&lt;/div&gt;")</f>
        <v>&lt;ruby&gt;遠方&lt;rt&gt;えんぽう&lt;/rt&gt;&lt;/ruby&gt;&lt;br&gt;&lt;div class="audio"&gt;[sound:えんぽう.mp3]&lt;/div&gt;</v>
      </c>
      <c r="H4709" s="3" t="str">
        <f t="shared" si="1"/>
        <v>(n): phương xa</v>
      </c>
      <c r="I4709" s="6" t="s">
        <v>25686</v>
      </c>
      <c r="J4709" s="6" t="s">
        <v>25687</v>
      </c>
      <c r="K4709" s="7">
        <f t="shared" si="2"/>
        <v>0.2821984823</v>
      </c>
    </row>
    <row r="4710">
      <c r="A4710" s="4">
        <v>4710.0</v>
      </c>
      <c r="B4710" s="5" t="s">
        <v>25688</v>
      </c>
      <c r="C4710" s="5" t="s">
        <v>25689</v>
      </c>
      <c r="D4710" s="5" t="s">
        <v>25690</v>
      </c>
      <c r="E4710" s="6" t="s">
        <v>24</v>
      </c>
      <c r="F4710" s="6" t="s">
        <v>17783</v>
      </c>
      <c r="G4710" s="3" t="str">
        <f>IFERROR(__xludf.DUMMYFUNCTION("REGEXREPLACE(
D4710,
""([一-龯々]+)\[([^\]]+)\]"",
""&lt;ruby&gt;$1&lt;rt&gt;$2&lt;/rt&gt;&lt;/ruby&gt;""
)&amp;""&lt;br&gt;&lt;div class=""""audio""""&gt;[sound:""&amp;C4710&amp;"".mp3]&lt;/div&gt;"""),"&lt;ruby&gt;重&lt;rt&gt;おも&lt;/rt&gt;&lt;/ruby&gt;んずる&lt;br&gt;&lt;div class=""audio""&gt;[sound:おもんずる.mp3]&lt;/div&gt;")</f>
        <v>&lt;ruby&gt;重&lt;rt&gt;おも&lt;/rt&gt;&lt;/ruby&gt;んずる&lt;br&gt;&lt;div class="audio"&gt;[sound:おもんずる.mp3]&lt;/div&gt;</v>
      </c>
      <c r="H4710" s="3" t="str">
        <f t="shared" si="1"/>
        <v>(v): trọng tâm</v>
      </c>
      <c r="I4710" s="6" t="s">
        <v>25691</v>
      </c>
      <c r="J4710" s="6" t="s">
        <v>25692</v>
      </c>
      <c r="K4710" s="7">
        <f t="shared" si="2"/>
        <v>0.4785066515</v>
      </c>
    </row>
    <row r="4711">
      <c r="A4711" s="4">
        <v>4711.0</v>
      </c>
      <c r="B4711" s="5" t="s">
        <v>25693</v>
      </c>
      <c r="C4711" s="5" t="s">
        <v>4328</v>
      </c>
      <c r="D4711" s="5" t="s">
        <v>25694</v>
      </c>
      <c r="E4711" s="6" t="s">
        <v>74</v>
      </c>
      <c r="F4711" s="6" t="s">
        <v>25695</v>
      </c>
      <c r="G4711" s="3" t="str">
        <f>IFERROR(__xludf.DUMMYFUNCTION("REGEXREPLACE(
D4711,
""([一-龯々]+)\[([^\]]+)\]"",
""&lt;ruby&gt;$1&lt;rt&gt;$2&lt;/rt&gt;&lt;/ruby&gt;""
)&amp;""&lt;br&gt;&lt;div class=""""audio""""&gt;[sound:""&amp;C4711&amp;"".mp3]&lt;/div&gt;"""),"&lt;ruby&gt;雄&lt;rt&gt;おす&lt;/rt&gt;&lt;/ruby&gt;&lt;br&gt;&lt;div class=""audio""&gt;[sound:おす.mp3]&lt;/div&gt;")</f>
        <v>&lt;ruby&gt;雄&lt;rt&gt;おす&lt;/rt&gt;&lt;/ruby&gt;&lt;br&gt;&lt;div class="audio"&gt;[sound:おす.mp3]&lt;/div&gt;</v>
      </c>
      <c r="H4711" s="3" t="str">
        <f t="shared" si="1"/>
        <v>(n): giống đực</v>
      </c>
      <c r="I4711" s="6" t="s">
        <v>25696</v>
      </c>
      <c r="J4711" s="6" t="s">
        <v>25697</v>
      </c>
      <c r="K4711" s="7">
        <f t="shared" si="2"/>
        <v>0.875303491</v>
      </c>
    </row>
    <row r="4712">
      <c r="A4712" s="4">
        <v>4712.0</v>
      </c>
      <c r="B4712" s="5" t="s">
        <v>25698</v>
      </c>
      <c r="C4712" s="5" t="s">
        <v>25699</v>
      </c>
      <c r="D4712" s="5" t="s">
        <v>25700</v>
      </c>
      <c r="E4712" s="6" t="s">
        <v>74</v>
      </c>
      <c r="F4712" s="6" t="s">
        <v>25701</v>
      </c>
      <c r="G4712" s="3" t="str">
        <f>IFERROR(__xludf.DUMMYFUNCTION("REGEXREPLACE(
D4712,
""([一-龯々]+)\[([^\]]+)\]"",
""&lt;ruby&gt;$1&lt;rt&gt;$2&lt;/rt&gt;&lt;/ruby&gt;""
)&amp;""&lt;br&gt;&lt;div class=""""audio""""&gt;[sound:""&amp;C4712&amp;"".mp3]&lt;/div&gt;"""),"&lt;ruby&gt;雌&lt;rt&gt;めす&lt;/rt&gt;&lt;/ruby&gt;&lt;br&gt;&lt;div class=""audio""&gt;[sound:めす.mp3]&lt;/div&gt;")</f>
        <v>&lt;ruby&gt;雌&lt;rt&gt;めす&lt;/rt&gt;&lt;/ruby&gt;&lt;br&gt;&lt;div class="audio"&gt;[sound:めす.mp3]&lt;/div&gt;</v>
      </c>
      <c r="H4712" s="3" t="str">
        <f t="shared" si="1"/>
        <v>(n): giống cái</v>
      </c>
      <c r="I4712" s="6" t="s">
        <v>25702</v>
      </c>
      <c r="J4712" s="6" t="s">
        <v>25703</v>
      </c>
      <c r="K4712" s="7">
        <f t="shared" si="2"/>
        <v>0.5329547003</v>
      </c>
    </row>
    <row r="4713">
      <c r="A4713" s="4">
        <v>4713.0</v>
      </c>
      <c r="B4713" s="5" t="s">
        <v>25704</v>
      </c>
      <c r="C4713" s="5" t="s">
        <v>25705</v>
      </c>
      <c r="D4713" s="5" t="s">
        <v>25706</v>
      </c>
      <c r="E4713" s="6" t="s">
        <v>11</v>
      </c>
      <c r="F4713" s="6" t="s">
        <v>874</v>
      </c>
      <c r="G4713" s="3" t="str">
        <f>IFERROR(__xludf.DUMMYFUNCTION("REGEXREPLACE(
D4713,
""([一-龯々]+)\[([^\]]+)\]"",
""&lt;ruby&gt;$1&lt;rt&gt;$2&lt;/rt&gt;&lt;/ruby&gt;""
)&amp;""&lt;br&gt;&lt;div class=""""audio""""&gt;[sound:""&amp;C4713&amp;"".mp3]&lt;/div&gt;"""),"&lt;ruby&gt;頑丈&lt;rt&gt;がんじょう&lt;/rt&gt;&lt;/ruby&gt;&lt;br&gt;&lt;div class=""audio""&gt;[sound:がんじょう.mp3]&lt;/div&gt;")</f>
        <v>&lt;ruby&gt;頑丈&lt;rt&gt;がんじょう&lt;/rt&gt;&lt;/ruby&gt;&lt;br&gt;&lt;div class="audio"&gt;[sound:がんじょう.mp3]&lt;/div&gt;</v>
      </c>
      <c r="H4713" s="3" t="str">
        <f t="shared" si="1"/>
        <v>(adj): chắc chắn</v>
      </c>
      <c r="I4713" s="6" t="s">
        <v>25707</v>
      </c>
      <c r="J4713" s="6" t="s">
        <v>25708</v>
      </c>
      <c r="K4713" s="7">
        <f t="shared" si="2"/>
        <v>0.2024789448</v>
      </c>
    </row>
    <row r="4714">
      <c r="A4714" s="4">
        <v>4714.0</v>
      </c>
      <c r="B4714" s="5" t="s">
        <v>25709</v>
      </c>
      <c r="C4714" s="5" t="s">
        <v>25710</v>
      </c>
      <c r="D4714" s="5" t="s">
        <v>25711</v>
      </c>
      <c r="E4714" s="6" t="s">
        <v>24</v>
      </c>
      <c r="F4714" s="6" t="s">
        <v>25712</v>
      </c>
      <c r="G4714" s="3" t="str">
        <f>IFERROR(__xludf.DUMMYFUNCTION("REGEXREPLACE(
D4714,
""([一-龯々]+)\[([^\]]+)\]"",
""&lt;ruby&gt;$1&lt;rt&gt;$2&lt;/rt&gt;&lt;/ruby&gt;""
)&amp;""&lt;br&gt;&lt;div class=""""audio""""&gt;[sound:""&amp;C4714&amp;"".mp3]&lt;/div&gt;"""),"&lt;ruby&gt;顧&lt;rt&gt;かえり&lt;/rt&gt;&lt;/ruby&gt;みる&lt;br&gt;&lt;div class=""audio""&gt;[sound:かえりみる.mp3]&lt;/div&gt;")</f>
        <v>&lt;ruby&gt;顧&lt;rt&gt;かえり&lt;/rt&gt;&lt;/ruby&gt;みる&lt;br&gt;&lt;div class="audio"&gt;[sound:かえりみる.mp3]&lt;/div&gt;</v>
      </c>
      <c r="H4714" s="3" t="str">
        <f t="shared" si="1"/>
        <v>(v): hồi tưởng</v>
      </c>
      <c r="I4714" s="6" t="s">
        <v>25713</v>
      </c>
      <c r="J4714" s="6" t="s">
        <v>25714</v>
      </c>
      <c r="K4714" s="7">
        <f t="shared" si="2"/>
        <v>0.8503022858</v>
      </c>
    </row>
    <row r="4715">
      <c r="A4715" s="4">
        <v>4715.0</v>
      </c>
      <c r="B4715" s="5" t="s">
        <v>25715</v>
      </c>
      <c r="C4715" s="5" t="s">
        <v>25716</v>
      </c>
      <c r="D4715" s="5" t="s">
        <v>25717</v>
      </c>
      <c r="E4715" s="6" t="s">
        <v>74</v>
      </c>
      <c r="F4715" s="6" t="s">
        <v>25718</v>
      </c>
      <c r="G4715" s="3" t="str">
        <f>IFERROR(__xludf.DUMMYFUNCTION("REGEXREPLACE(
D4715,
""([一-龯々]+)\[([^\]]+)\]"",
""&lt;ruby&gt;$1&lt;rt&gt;$2&lt;/rt&gt;&lt;/ruby&gt;""
)&amp;""&lt;br&gt;&lt;div class=""""audio""""&gt;[sound:""&amp;C4715&amp;"".mp3]&lt;/div&gt;"""),"&lt;ruby&gt;風土&lt;rt&gt;ふうど&lt;/rt&gt;&lt;/ruby&gt;&lt;br&gt;&lt;div class=""audio""&gt;[sound:ふうど.mp3]&lt;/div&gt;")</f>
        <v>&lt;ruby&gt;風土&lt;rt&gt;ふうど&lt;/rt&gt;&lt;/ruby&gt;&lt;br&gt;&lt;div class="audio"&gt;[sound:ふうど.mp3]&lt;/div&gt;</v>
      </c>
      <c r="H4715" s="3" t="str">
        <f t="shared" si="1"/>
        <v>(n): phong thổ</v>
      </c>
      <c r="I4715" s="6" t="s">
        <v>25719</v>
      </c>
      <c r="J4715" s="6" t="s">
        <v>25720</v>
      </c>
      <c r="K4715" s="7">
        <f t="shared" si="2"/>
        <v>0.2470230071</v>
      </c>
    </row>
    <row r="4716">
      <c r="A4716" s="4">
        <v>4716.0</v>
      </c>
      <c r="B4716" s="5" t="s">
        <v>25721</v>
      </c>
      <c r="C4716" s="5" t="s">
        <v>25721</v>
      </c>
      <c r="D4716" s="5" t="s">
        <v>25721</v>
      </c>
      <c r="E4716" s="6" t="s">
        <v>85</v>
      </c>
      <c r="F4716" s="6" t="s">
        <v>13909</v>
      </c>
      <c r="G4716" s="3" t="str">
        <f>IFERROR(__xludf.DUMMYFUNCTION("REGEXREPLACE(
D4716,
""([一-龯々]+)\[([^\]]+)\]"",
""&lt;ruby&gt;$1&lt;rt&gt;$2&lt;/rt&gt;&lt;/ruby&gt;""
)&amp;""&lt;br&gt;&lt;div class=""""audio""""&gt;[sound:""&amp;C4716&amp;"".mp3]&lt;/div&gt;"""),"いっそ&lt;br&gt;&lt;div class=""audio""&gt;[sound:いっそ.mp3]&lt;/div&gt;")</f>
        <v>いっそ&lt;br&gt;&lt;div class="audio"&gt;[sound:いっそ.mp3]&lt;/div&gt;</v>
      </c>
      <c r="H4716" s="3" t="str">
        <f t="shared" si="1"/>
        <v>(adv): thà rằng</v>
      </c>
      <c r="I4716" s="6" t="s">
        <v>25722</v>
      </c>
      <c r="J4716" s="6" t="s">
        <v>25723</v>
      </c>
      <c r="K4716" s="7">
        <f t="shared" si="2"/>
        <v>0.1192655164</v>
      </c>
    </row>
    <row r="4717">
      <c r="A4717" s="4">
        <v>4717.0</v>
      </c>
      <c r="B4717" s="5" t="s">
        <v>25724</v>
      </c>
      <c r="C4717" s="5" t="s">
        <v>25725</v>
      </c>
      <c r="D4717" s="5" t="s">
        <v>25724</v>
      </c>
      <c r="E4717" s="6" t="s">
        <v>74</v>
      </c>
      <c r="F4717" s="6" t="s">
        <v>25726</v>
      </c>
      <c r="G4717" s="3" t="str">
        <f>IFERROR(__xludf.DUMMYFUNCTION("REGEXREPLACE(
D4717,
""([一-龯々]+)\[([^\]]+)\]"",
""&lt;ruby&gt;$1&lt;rt&gt;$2&lt;/rt&gt;&lt;/ruby&gt;""
)&amp;""&lt;br&gt;&lt;div class=""""audio""""&gt;[sound:""&amp;C4717&amp;"".mp3]&lt;/div&gt;"""),"カンニング&lt;br&gt;&lt;div class=""audio""&gt;[sound:かんにんぐ.mp3]&lt;/div&gt;")</f>
        <v>カンニング&lt;br&gt;&lt;div class="audio"&gt;[sound:かんにんぐ.mp3]&lt;/div&gt;</v>
      </c>
      <c r="H4717" s="3" t="str">
        <f t="shared" si="1"/>
        <v>(n): gian lận</v>
      </c>
      <c r="I4717" s="6" t="s">
        <v>25727</v>
      </c>
      <c r="J4717" s="6" t="s">
        <v>25728</v>
      </c>
      <c r="K4717" s="7">
        <f t="shared" si="2"/>
        <v>0.1723297299</v>
      </c>
    </row>
    <row r="4718">
      <c r="A4718" s="4">
        <v>4718.0</v>
      </c>
      <c r="B4718" s="5" t="s">
        <v>25729</v>
      </c>
      <c r="C4718" s="5" t="s">
        <v>25729</v>
      </c>
      <c r="D4718" s="5" t="s">
        <v>25729</v>
      </c>
      <c r="E4718" s="6" t="s">
        <v>85</v>
      </c>
      <c r="F4718" s="6" t="s">
        <v>25730</v>
      </c>
      <c r="G4718" s="3" t="str">
        <f>IFERROR(__xludf.DUMMYFUNCTION("REGEXREPLACE(
D4718,
""([一-龯々]+)\[([^\]]+)\]"",
""&lt;ruby&gt;$1&lt;rt&gt;$2&lt;/rt&gt;&lt;/ruby&gt;""
)&amp;""&lt;br&gt;&lt;div class=""""audio""""&gt;[sound:""&amp;C4718&amp;"".mp3]&lt;/div&gt;"""),"きちっと&lt;br&gt;&lt;div class=""audio""&gt;[sound:きちっと.mp3]&lt;/div&gt;")</f>
        <v>きちっと&lt;br&gt;&lt;div class="audio"&gt;[sound:きちっと.mp3]&lt;/div&gt;</v>
      </c>
      <c r="H4718" s="3" t="str">
        <f t="shared" si="1"/>
        <v>(adv): chỉnh tề</v>
      </c>
      <c r="I4718" s="6" t="s">
        <v>25731</v>
      </c>
      <c r="J4718" s="6" t="s">
        <v>25732</v>
      </c>
      <c r="K4718" s="7">
        <f t="shared" si="2"/>
        <v>0.5006349393</v>
      </c>
    </row>
    <row r="4719">
      <c r="A4719" s="4">
        <v>4719.0</v>
      </c>
      <c r="B4719" s="5" t="s">
        <v>25733</v>
      </c>
      <c r="C4719" s="5" t="s">
        <v>25734</v>
      </c>
      <c r="D4719" s="5" t="s">
        <v>25733</v>
      </c>
      <c r="E4719" s="6" t="s">
        <v>74</v>
      </c>
      <c r="F4719" s="6" t="s">
        <v>5371</v>
      </c>
      <c r="G4719" s="3" t="str">
        <f>IFERROR(__xludf.DUMMYFUNCTION("REGEXREPLACE(
D4719,
""([一-龯々]+)\[([^\]]+)\]"",
""&lt;ruby&gt;$1&lt;rt&gt;$2&lt;/rt&gt;&lt;/ruby&gt;""
)&amp;""&lt;br&gt;&lt;div class=""""audio""""&gt;[sound:""&amp;C4719&amp;"".mp3]&lt;/div&gt;"""),"ジャンパー&lt;br&gt;&lt;div class=""audio""&gt;[sound:じゃんぱー.mp3]&lt;/div&gt;")</f>
        <v>ジャンパー&lt;br&gt;&lt;div class="audio"&gt;[sound:じゃんぱー.mp3]&lt;/div&gt;</v>
      </c>
      <c r="H4719" s="3" t="str">
        <f t="shared" si="1"/>
        <v>(n): áo khoác</v>
      </c>
      <c r="I4719" s="6" t="s">
        <v>25735</v>
      </c>
      <c r="J4719" s="6" t="s">
        <v>25736</v>
      </c>
      <c r="K4719" s="7">
        <f t="shared" si="2"/>
        <v>0.6380895725</v>
      </c>
    </row>
    <row r="4720">
      <c r="A4720" s="4">
        <v>4720.0</v>
      </c>
      <c r="B4720" s="5" t="s">
        <v>25737</v>
      </c>
      <c r="C4720" s="5" t="s">
        <v>25737</v>
      </c>
      <c r="D4720" s="5" t="s">
        <v>25737</v>
      </c>
      <c r="E4720" s="6" t="s">
        <v>74</v>
      </c>
      <c r="F4720" s="6" t="s">
        <v>25738</v>
      </c>
      <c r="G4720" s="3" t="str">
        <f>IFERROR(__xludf.DUMMYFUNCTION("REGEXREPLACE(
D4720,
""([一-龯々]+)\[([^\]]+)\]"",
""&lt;ruby&gt;$1&lt;rt&gt;$2&lt;/rt&gt;&lt;/ruby&gt;""
)&amp;""&lt;br&gt;&lt;div class=""""audio""""&gt;[sound:""&amp;C4720&amp;"".mp3]&lt;/div&gt;"""),"すれちがい&lt;br&gt;&lt;div class=""audio""&gt;[sound:すれちがい.mp3]&lt;/div&gt;")</f>
        <v>すれちがい&lt;br&gt;&lt;div class="audio"&gt;[sound:すれちがい.mp3]&lt;/div&gt;</v>
      </c>
      <c r="H4720" s="3" t="str">
        <f t="shared" si="1"/>
        <v>(n): lướt qua</v>
      </c>
      <c r="I4720" s="6" t="s">
        <v>25739</v>
      </c>
      <c r="J4720" s="6" t="s">
        <v>25740</v>
      </c>
      <c r="K4720" s="7">
        <f t="shared" si="2"/>
        <v>0.34650858</v>
      </c>
    </row>
    <row r="4721">
      <c r="A4721" s="4">
        <v>4721.0</v>
      </c>
      <c r="B4721" s="5" t="s">
        <v>25741</v>
      </c>
      <c r="C4721" s="5" t="s">
        <v>25742</v>
      </c>
      <c r="D4721" s="5" t="s">
        <v>25741</v>
      </c>
      <c r="E4721" s="6" t="s">
        <v>74</v>
      </c>
      <c r="F4721" s="6" t="s">
        <v>25743</v>
      </c>
      <c r="G4721" s="3" t="str">
        <f>IFERROR(__xludf.DUMMYFUNCTION("REGEXREPLACE(
D4721,
""([一-龯々]+)\[([^\]]+)\]"",
""&lt;ruby&gt;$1&lt;rt&gt;$2&lt;/rt&gt;&lt;/ruby&gt;""
)&amp;""&lt;br&gt;&lt;div class=""""audio""""&gt;[sound:""&amp;C4721&amp;"".mp3]&lt;/div&gt;"""),"タイル&lt;br&gt;&lt;div class=""audio""&gt;[sound:たいる.mp3]&lt;/div&gt;")</f>
        <v>タイル&lt;br&gt;&lt;div class="audio"&gt;[sound:たいる.mp3]&lt;/div&gt;</v>
      </c>
      <c r="H4721" s="3" t="str">
        <f t="shared" si="1"/>
        <v>(n): gạch men</v>
      </c>
      <c r="I4721" s="6" t="s">
        <v>25744</v>
      </c>
      <c r="J4721" s="6" t="s">
        <v>25745</v>
      </c>
      <c r="K4721" s="7">
        <f t="shared" si="2"/>
        <v>0.2729808735</v>
      </c>
    </row>
    <row r="4722">
      <c r="A4722" s="4">
        <v>4722.0</v>
      </c>
      <c r="B4722" s="5" t="s">
        <v>25746</v>
      </c>
      <c r="C4722" s="5" t="s">
        <v>25746</v>
      </c>
      <c r="D4722" s="5" t="s">
        <v>25746</v>
      </c>
      <c r="E4722" s="6" t="s">
        <v>85</v>
      </c>
      <c r="F4722" s="6" t="s">
        <v>25747</v>
      </c>
      <c r="G4722" s="3" t="str">
        <f>IFERROR(__xludf.DUMMYFUNCTION("REGEXREPLACE(
D4722,
""([一-龯々]+)\[([^\]]+)\]"",
""&lt;ruby&gt;$1&lt;rt&gt;$2&lt;/rt&gt;&lt;/ruby&gt;""
)&amp;""&lt;br&gt;&lt;div class=""""audio""""&gt;[sound:""&amp;C4722&amp;"".mp3]&lt;/div&gt;"""),"ちらっと&lt;br&gt;&lt;div class=""audio""&gt;[sound:ちらっと.mp3]&lt;/div&gt;")</f>
        <v>ちらっと&lt;br&gt;&lt;div class="audio"&gt;[sound:ちらっと.mp3]&lt;/div&gt;</v>
      </c>
      <c r="H4722" s="3" t="str">
        <f t="shared" si="1"/>
        <v>(adv): liếc qua</v>
      </c>
      <c r="I4722" s="6" t="s">
        <v>25748</v>
      </c>
      <c r="J4722" s="6" t="s">
        <v>25749</v>
      </c>
      <c r="K4722" s="7">
        <f t="shared" si="2"/>
        <v>0.186780505</v>
      </c>
    </row>
    <row r="4723">
      <c r="A4723" s="4">
        <v>4723.0</v>
      </c>
      <c r="B4723" s="5" t="s">
        <v>25750</v>
      </c>
      <c r="C4723" s="5" t="s">
        <v>25750</v>
      </c>
      <c r="D4723" s="5" t="s">
        <v>25750</v>
      </c>
      <c r="E4723" s="6" t="s">
        <v>85</v>
      </c>
      <c r="F4723" s="6" t="s">
        <v>25751</v>
      </c>
      <c r="G4723" s="3" t="str">
        <f>IFERROR(__xludf.DUMMYFUNCTION("REGEXREPLACE(
D4723,
""([一-龯々]+)\[([^\]]+)\]"",
""&lt;ruby&gt;$1&lt;rt&gt;$2&lt;/rt&gt;&lt;/ruby&gt;""
)&amp;""&lt;br&gt;&lt;div class=""""audio""""&gt;[sound:""&amp;C4723&amp;"".mp3]&lt;/div&gt;"""),"てっきり&lt;br&gt;&lt;div class=""audio""&gt;[sound:てっきり.mp3]&lt;/div&gt;")</f>
        <v>てっきり&lt;br&gt;&lt;div class="audio"&gt;[sound:てっきり.mp3]&lt;/div&gt;</v>
      </c>
      <c r="H4723" s="3" t="str">
        <f t="shared" si="1"/>
        <v>(adv): cứ tưởng</v>
      </c>
      <c r="I4723" s="6" t="s">
        <v>25752</v>
      </c>
      <c r="J4723" s="6" t="s">
        <v>25753</v>
      </c>
      <c r="K4723" s="7">
        <f t="shared" si="2"/>
        <v>0.3523364375</v>
      </c>
    </row>
    <row r="4724">
      <c r="A4724" s="4">
        <v>4724.0</v>
      </c>
      <c r="B4724" s="5" t="s">
        <v>25754</v>
      </c>
      <c r="C4724" s="5" t="s">
        <v>25755</v>
      </c>
      <c r="D4724" s="5" t="s">
        <v>25754</v>
      </c>
      <c r="E4724" s="6" t="s">
        <v>74</v>
      </c>
      <c r="F4724" s="6" t="s">
        <v>25756</v>
      </c>
      <c r="G4724" s="3" t="str">
        <f>IFERROR(__xludf.DUMMYFUNCTION("REGEXREPLACE(
D4724,
""([一-龯々]+)\[([^\]]+)\]"",
""&lt;ruby&gt;$1&lt;rt&gt;$2&lt;/rt&gt;&lt;/ruby&gt;""
)&amp;""&lt;br&gt;&lt;div class=""""audio""""&gt;[sound:""&amp;C4724&amp;"".mp3]&lt;/div&gt;"""),"ヤング&lt;br&gt;&lt;div class=""audio""&gt;[sound:やんぐ.mp3]&lt;/div&gt;")</f>
        <v>ヤング&lt;br&gt;&lt;div class="audio"&gt;[sound:やんぐ.mp3]&lt;/div&gt;</v>
      </c>
      <c r="H4724" s="3" t="str">
        <f t="shared" si="1"/>
        <v>(n): giới trẻ</v>
      </c>
      <c r="I4724" s="6" t="s">
        <v>25757</v>
      </c>
      <c r="J4724" s="6" t="s">
        <v>25758</v>
      </c>
      <c r="K4724" s="7">
        <f t="shared" si="2"/>
        <v>0.692976873</v>
      </c>
    </row>
    <row r="4725">
      <c r="A4725" s="4">
        <v>4725.0</v>
      </c>
      <c r="B4725" s="5" t="s">
        <v>25759</v>
      </c>
      <c r="C4725" s="5" t="s">
        <v>25760</v>
      </c>
      <c r="D4725" s="5" t="s">
        <v>25761</v>
      </c>
      <c r="E4725" s="6" t="s">
        <v>74</v>
      </c>
      <c r="F4725" s="6" t="s">
        <v>3344</v>
      </c>
      <c r="G4725" s="3" t="str">
        <f>IFERROR(__xludf.DUMMYFUNCTION("REGEXREPLACE(
D4725,
""([一-龯々]+)\[([^\]]+)\]"",
""&lt;ruby&gt;$1&lt;rt&gt;$2&lt;/rt&gt;&lt;/ruby&gt;""
)&amp;""&lt;br&gt;&lt;div class=""""audio""""&gt;[sound:""&amp;C4725&amp;"".mp3]&lt;/div&gt;"""),"&lt;ruby&gt;上空&lt;rt&gt;じょうくう&lt;/rt&gt;&lt;/ruby&gt;&lt;br&gt;&lt;div class=""audio""&gt;[sound:じょうくう.mp3]&lt;/div&gt;")</f>
        <v>&lt;ruby&gt;上空&lt;rt&gt;じょうくう&lt;/rt&gt;&lt;/ruby&gt;&lt;br&gt;&lt;div class="audio"&gt;[sound:じょうくう.mp3]&lt;/div&gt;</v>
      </c>
      <c r="H4725" s="3" t="str">
        <f t="shared" si="1"/>
        <v>(n): bầu trời</v>
      </c>
      <c r="I4725" s="6" t="s">
        <v>25762</v>
      </c>
      <c r="J4725" s="6" t="s">
        <v>25763</v>
      </c>
      <c r="K4725" s="7">
        <f t="shared" si="2"/>
        <v>0.5755102883</v>
      </c>
    </row>
    <row r="4726">
      <c r="A4726" s="4">
        <v>4726.0</v>
      </c>
      <c r="B4726" s="5" t="s">
        <v>25764</v>
      </c>
      <c r="C4726" s="5" t="s">
        <v>25765</v>
      </c>
      <c r="D4726" s="5" t="s">
        <v>25766</v>
      </c>
      <c r="E4726" s="6" t="s">
        <v>74</v>
      </c>
      <c r="F4726" s="6" t="s">
        <v>25767</v>
      </c>
      <c r="G4726" s="3" t="str">
        <f>IFERROR(__xludf.DUMMYFUNCTION("REGEXREPLACE(
D4726,
""([一-龯々]+)\[([^\]]+)\]"",
""&lt;ruby&gt;$1&lt;rt&gt;$2&lt;/rt&gt;&lt;/ruby&gt;""
)&amp;""&lt;br&gt;&lt;div class=""""audio""""&gt;[sound:""&amp;C4726&amp;"".mp3]&lt;/div&gt;"""),"&lt;ruby&gt;主観&lt;rt&gt;しゅかん&lt;/rt&gt;&lt;/ruby&gt;&lt;br&gt;&lt;div class=""audio""&gt;[sound:しゅかん.mp3]&lt;/div&gt;")</f>
        <v>&lt;ruby&gt;主観&lt;rt&gt;しゅかん&lt;/rt&gt;&lt;/ruby&gt;&lt;br&gt;&lt;div class="audio"&gt;[sound:しゅかん.mp3]&lt;/div&gt;</v>
      </c>
      <c r="H4726" s="3" t="str">
        <f t="shared" si="1"/>
        <v>(n): chủ quan</v>
      </c>
      <c r="I4726" s="6" t="s">
        <v>25768</v>
      </c>
      <c r="J4726" s="6" t="s">
        <v>25769</v>
      </c>
      <c r="K4726" s="7">
        <f t="shared" si="2"/>
        <v>0.5617890819</v>
      </c>
    </row>
    <row r="4727">
      <c r="A4727" s="4">
        <v>4727.0</v>
      </c>
      <c r="B4727" s="5" t="s">
        <v>25770</v>
      </c>
      <c r="C4727" s="5" t="s">
        <v>25771</v>
      </c>
      <c r="D4727" s="5" t="s">
        <v>25772</v>
      </c>
      <c r="E4727" s="6" t="s">
        <v>74</v>
      </c>
      <c r="F4727" s="6" t="s">
        <v>25773</v>
      </c>
      <c r="G4727" s="3" t="str">
        <f>IFERROR(__xludf.DUMMYFUNCTION("REGEXREPLACE(
D4727,
""([一-龯々]+)\[([^\]]+)\]"",
""&lt;ruby&gt;$1&lt;rt&gt;$2&lt;/rt&gt;&lt;/ruby&gt;""
)&amp;""&lt;br&gt;&lt;div class=""""audio""""&gt;[sound:""&amp;C4727&amp;"".mp3]&lt;/div&gt;"""),"&lt;ruby&gt;予感&lt;rt&gt;よかん&lt;/rt&gt;&lt;/ruby&gt;&lt;br&gt;&lt;div class=""audio""&gt;[sound:よかん.mp3]&lt;/div&gt;")</f>
        <v>&lt;ruby&gt;予感&lt;rt&gt;よかん&lt;/rt&gt;&lt;/ruby&gt;&lt;br&gt;&lt;div class="audio"&gt;[sound:よかん.mp3]&lt;/div&gt;</v>
      </c>
      <c r="H4727" s="3" t="str">
        <f t="shared" si="1"/>
        <v>(n): linh cảm</v>
      </c>
      <c r="I4727" s="6" t="s">
        <v>25774</v>
      </c>
      <c r="J4727" s="6" t="s">
        <v>25775</v>
      </c>
      <c r="K4727" s="7">
        <f t="shared" si="2"/>
        <v>0.8048212446</v>
      </c>
    </row>
    <row r="4728">
      <c r="A4728" s="4">
        <v>4728.0</v>
      </c>
      <c r="B4728" s="5" t="s">
        <v>25776</v>
      </c>
      <c r="C4728" s="5" t="s">
        <v>25777</v>
      </c>
      <c r="D4728" s="5" t="s">
        <v>25778</v>
      </c>
      <c r="E4728" s="6" t="s">
        <v>85</v>
      </c>
      <c r="F4728" s="6" t="s">
        <v>1909</v>
      </c>
      <c r="G4728" s="3" t="str">
        <f>IFERROR(__xludf.DUMMYFUNCTION("REGEXREPLACE(
D4728,
""([一-龯々]+)\[([^\]]+)\]"",
""&lt;ruby&gt;$1&lt;rt&gt;$2&lt;/rt&gt;&lt;/ruby&gt;""
)&amp;""&lt;br&gt;&lt;div class=""""audio""""&gt;[sound:""&amp;C4728&amp;"".mp3]&lt;/div&gt;"""),"&lt;ruby&gt;交互&lt;rt&gt;こうご&lt;/rt&gt;&lt;/ruby&gt;&lt;br&gt;&lt;div class=""audio""&gt;[sound:こうご.mp3]&lt;/div&gt;")</f>
        <v>&lt;ruby&gt;交互&lt;rt&gt;こうご&lt;/rt&gt;&lt;/ruby&gt;&lt;br&gt;&lt;div class="audio"&gt;[sound:こうご.mp3]&lt;/div&gt;</v>
      </c>
      <c r="H4728" s="3" t="str">
        <f t="shared" si="1"/>
        <v>(adv): lẫn nhau</v>
      </c>
      <c r="I4728" s="6" t="s">
        <v>25779</v>
      </c>
      <c r="J4728" s="6" t="s">
        <v>25780</v>
      </c>
      <c r="K4728" s="7">
        <f t="shared" si="2"/>
        <v>0.7197793384</v>
      </c>
    </row>
    <row r="4729">
      <c r="A4729" s="4">
        <v>4729.0</v>
      </c>
      <c r="B4729" s="5" t="s">
        <v>25781</v>
      </c>
      <c r="C4729" s="5" t="s">
        <v>25782</v>
      </c>
      <c r="D4729" s="5" t="s">
        <v>25783</v>
      </c>
      <c r="E4729" s="6" t="s">
        <v>24</v>
      </c>
      <c r="F4729" s="6" t="s">
        <v>25784</v>
      </c>
      <c r="G4729" s="3" t="str">
        <f>IFERROR(__xludf.DUMMYFUNCTION("REGEXREPLACE(
D4729,
""([一-龯々]+)\[([^\]]+)\]"",
""&lt;ruby&gt;$1&lt;rt&gt;$2&lt;/rt&gt;&lt;/ruby&gt;""
)&amp;""&lt;br&gt;&lt;div class=""""audio""""&gt;[sound:""&amp;C4729&amp;"".mp3]&lt;/div&gt;"""),"&lt;ruby&gt;交付&lt;rt&gt;こうふ&lt;/rt&gt;&lt;/ruby&gt;&lt;br&gt;&lt;div class=""audio""&gt;[sound:こうふ.mp3]&lt;/div&gt;")</f>
        <v>&lt;ruby&gt;交付&lt;rt&gt;こうふ&lt;/rt&gt;&lt;/ruby&gt;&lt;br&gt;&lt;div class="audio"&gt;[sound:こうふ.mp3]&lt;/div&gt;</v>
      </c>
      <c r="H4729" s="3" t="str">
        <f t="shared" si="1"/>
        <v>(v): cấp phát</v>
      </c>
      <c r="I4729" s="6" t="s">
        <v>25785</v>
      </c>
      <c r="J4729" s="6" t="s">
        <v>25786</v>
      </c>
      <c r="K4729" s="7">
        <f t="shared" si="2"/>
        <v>0.197457848</v>
      </c>
    </row>
    <row r="4730">
      <c r="A4730" s="4">
        <v>4730.0</v>
      </c>
      <c r="B4730" s="5" t="s">
        <v>25787</v>
      </c>
      <c r="C4730" s="5" t="s">
        <v>25788</v>
      </c>
      <c r="D4730" s="5" t="s">
        <v>25789</v>
      </c>
      <c r="E4730" s="6" t="s">
        <v>24</v>
      </c>
      <c r="F4730" s="6" t="s">
        <v>25790</v>
      </c>
      <c r="G4730" s="3" t="str">
        <f>IFERROR(__xludf.DUMMYFUNCTION("REGEXREPLACE(
D4730,
""([一-龯々]+)\[([^\]]+)\]"",
""&lt;ruby&gt;$1&lt;rt&gt;$2&lt;/rt&gt;&lt;/ruby&gt;""
)&amp;""&lt;br&gt;&lt;div class=""""audio""""&gt;[sound:""&amp;C4730&amp;"".mp3]&lt;/div&gt;"""),"&lt;ruby&gt;任命&lt;rt&gt;にんめい&lt;/rt&gt;&lt;/ruby&gt;&lt;br&gt;&lt;div class=""audio""&gt;[sound:にんめい.mp3]&lt;/div&gt;")</f>
        <v>&lt;ruby&gt;任命&lt;rt&gt;にんめい&lt;/rt&gt;&lt;/ruby&gt;&lt;br&gt;&lt;div class="audio"&gt;[sound:にんめい.mp3]&lt;/div&gt;</v>
      </c>
      <c r="H4730" s="3" t="str">
        <f t="shared" si="1"/>
        <v>(v): bổ nhiệm</v>
      </c>
      <c r="I4730" s="6" t="s">
        <v>25791</v>
      </c>
      <c r="J4730" s="6" t="s">
        <v>25792</v>
      </c>
      <c r="K4730" s="7">
        <f t="shared" si="2"/>
        <v>0.9884845239</v>
      </c>
    </row>
    <row r="4731">
      <c r="A4731" s="4">
        <v>4731.0</v>
      </c>
      <c r="B4731" s="5" t="s">
        <v>25793</v>
      </c>
      <c r="C4731" s="5" t="s">
        <v>25794</v>
      </c>
      <c r="D4731" s="5" t="s">
        <v>25795</v>
      </c>
      <c r="E4731" s="6" t="s">
        <v>74</v>
      </c>
      <c r="F4731" s="6" t="s">
        <v>25796</v>
      </c>
      <c r="G4731" s="3" t="str">
        <f>IFERROR(__xludf.DUMMYFUNCTION("REGEXREPLACE(
D4731,
""([一-龯々]+)\[([^\]]+)\]"",
""&lt;ruby&gt;$1&lt;rt&gt;$2&lt;/rt&gt;&lt;/ruby&gt;""
)&amp;""&lt;br&gt;&lt;div class=""""audio""""&gt;[sound:""&amp;C4731&amp;"".mp3]&lt;/div&gt;"""),"&lt;ruby&gt;共和&lt;rt&gt;きょうわ&lt;/rt&gt;&lt;/ruby&gt;&lt;br&gt;&lt;div class=""audio""&gt;[sound:きょうわ.mp3]&lt;/div&gt;")</f>
        <v>&lt;ruby&gt;共和&lt;rt&gt;きょうわ&lt;/rt&gt;&lt;/ruby&gt;&lt;br&gt;&lt;div class="audio"&gt;[sound:きょうわ.mp3]&lt;/div&gt;</v>
      </c>
      <c r="H4731" s="3" t="str">
        <f t="shared" si="1"/>
        <v>(n): cộng hòa</v>
      </c>
      <c r="I4731" s="6" t="s">
        <v>25797</v>
      </c>
      <c r="J4731" s="6" t="s">
        <v>25798</v>
      </c>
      <c r="K4731" s="7">
        <f t="shared" si="2"/>
        <v>0.2681625598</v>
      </c>
    </row>
    <row r="4732">
      <c r="A4732" s="4">
        <v>4732.0</v>
      </c>
      <c r="B4732" s="5" t="s">
        <v>25799</v>
      </c>
      <c r="C4732" s="5" t="s">
        <v>25800</v>
      </c>
      <c r="D4732" s="5" t="s">
        <v>25801</v>
      </c>
      <c r="E4732" s="6" t="s">
        <v>11</v>
      </c>
      <c r="F4732" s="6" t="s">
        <v>25802</v>
      </c>
      <c r="G4732" s="3" t="str">
        <f>IFERROR(__xludf.DUMMYFUNCTION("REGEXREPLACE(
D4732,
""([一-龯々]+)\[([^\]]+)\]"",
""&lt;ruby&gt;$1&lt;rt&gt;$2&lt;/rt&gt;&lt;/ruby&gt;""
)&amp;""&lt;br&gt;&lt;div class=""""audio""""&gt;[sound:""&amp;C4732&amp;"".mp3]&lt;/div&gt;"""),"&lt;ruby&gt;円満&lt;rt&gt;えんまん&lt;/rt&gt;&lt;/ruby&gt;&lt;br&gt;&lt;div class=""audio""&gt;[sound:えんまん.mp3]&lt;/div&gt;")</f>
        <v>&lt;ruby&gt;円満&lt;rt&gt;えんまん&lt;/rt&gt;&lt;/ruby&gt;&lt;br&gt;&lt;div class="audio"&gt;[sound:えんまん.mp3]&lt;/div&gt;</v>
      </c>
      <c r="H4732" s="3" t="str">
        <f t="shared" si="1"/>
        <v>(adj): viên mãn</v>
      </c>
      <c r="I4732" s="6" t="s">
        <v>25803</v>
      </c>
      <c r="J4732" s="6" t="s">
        <v>25804</v>
      </c>
      <c r="K4732" s="7">
        <f t="shared" si="2"/>
        <v>0.9954043018</v>
      </c>
    </row>
    <row r="4733">
      <c r="A4733" s="4">
        <v>4733.0</v>
      </c>
      <c r="B4733" s="5" t="s">
        <v>25805</v>
      </c>
      <c r="C4733" s="5" t="s">
        <v>25806</v>
      </c>
      <c r="D4733" s="5" t="s">
        <v>25807</v>
      </c>
      <c r="E4733" s="6" t="s">
        <v>11</v>
      </c>
      <c r="F4733" s="6" t="s">
        <v>25808</v>
      </c>
      <c r="G4733" s="3" t="str">
        <f>IFERROR(__xludf.DUMMYFUNCTION("REGEXREPLACE(
D4733,
""([一-龯々]+)\[([^\]]+)\]"",
""&lt;ruby&gt;$1&lt;rt&gt;$2&lt;/rt&gt;&lt;/ruby&gt;""
)&amp;""&lt;br&gt;&lt;div class=""""audio""""&gt;[sound:""&amp;C4733&amp;"".mp3]&lt;/div&gt;"""),"&lt;ruby&gt;単調&lt;rt&gt;たんちょう&lt;/rt&gt;&lt;/ruby&gt;&lt;br&gt;&lt;div class=""audio""&gt;[sound:たんちょう.mp3]&lt;/div&gt;")</f>
        <v>&lt;ruby&gt;単調&lt;rt&gt;たんちょう&lt;/rt&gt;&lt;/ruby&gt;&lt;br&gt;&lt;div class="audio"&gt;[sound:たんちょう.mp3]&lt;/div&gt;</v>
      </c>
      <c r="H4733" s="3" t="str">
        <f t="shared" si="1"/>
        <v>(adj): đơn điệu</v>
      </c>
      <c r="I4733" s="6" t="s">
        <v>25809</v>
      </c>
      <c r="J4733" s="6" t="s">
        <v>25810</v>
      </c>
      <c r="K4733" s="7">
        <f t="shared" si="2"/>
        <v>0.7015691293</v>
      </c>
    </row>
    <row r="4734">
      <c r="A4734" s="4">
        <v>4734.0</v>
      </c>
      <c r="B4734" s="5" t="s">
        <v>25811</v>
      </c>
      <c r="C4734" s="5" t="s">
        <v>25812</v>
      </c>
      <c r="D4734" s="5" t="s">
        <v>25813</v>
      </c>
      <c r="E4734" s="6" t="s">
        <v>24</v>
      </c>
      <c r="F4734" s="6" t="s">
        <v>23669</v>
      </c>
      <c r="G4734" s="3" t="str">
        <f>IFERROR(__xludf.DUMMYFUNCTION("REGEXREPLACE(
D4734,
""([一-龯々]+)\[([^\]]+)\]"",
""&lt;ruby&gt;$1&lt;rt&gt;$2&lt;/rt&gt;&lt;/ruby&gt;""
)&amp;""&lt;br&gt;&lt;div class=""""audio""""&gt;[sound:""&amp;C4734&amp;"".mp3]&lt;/div&gt;"""),"&lt;ruby&gt;危&lt;rt&gt;あや&lt;/rt&gt;&lt;/ruby&gt;ぶむ&lt;br&gt;&lt;div class=""audio""&gt;[sound:あやぶむ.mp3]&lt;/div&gt;")</f>
        <v>&lt;ruby&gt;危&lt;rt&gt;あや&lt;/rt&gt;&lt;/ruby&gt;ぶむ&lt;br&gt;&lt;div class="audio"&gt;[sound:あやぶむ.mp3]&lt;/div&gt;</v>
      </c>
      <c r="H4734" s="3" t="str">
        <f t="shared" si="1"/>
        <v>(v): nghi ngờ</v>
      </c>
      <c r="I4734" s="6" t="s">
        <v>25814</v>
      </c>
      <c r="J4734" s="6" t="s">
        <v>25815</v>
      </c>
      <c r="K4734" s="7">
        <f t="shared" si="2"/>
        <v>0.1291339915</v>
      </c>
    </row>
    <row r="4735">
      <c r="A4735" s="4">
        <v>4735.0</v>
      </c>
      <c r="B4735" s="5" t="s">
        <v>25816</v>
      </c>
      <c r="C4735" s="5" t="s">
        <v>25817</v>
      </c>
      <c r="D4735" s="5" t="s">
        <v>25818</v>
      </c>
      <c r="E4735" s="6" t="s">
        <v>74</v>
      </c>
      <c r="F4735" s="6" t="s">
        <v>25819</v>
      </c>
      <c r="G4735" s="3" t="str">
        <f>IFERROR(__xludf.DUMMYFUNCTION("REGEXREPLACE(
D4735,
""([一-龯々]+)\[([^\]]+)\]"",
""&lt;ruby&gt;$1&lt;rt&gt;$2&lt;/rt&gt;&lt;/ruby&gt;""
)&amp;""&lt;br&gt;&lt;div class=""""audio""""&gt;[sound:""&amp;C4735&amp;"".mp3]&lt;/div&gt;"""),"&lt;ruby&gt;台無&lt;rt&gt;だいな&lt;/rt&gt;&lt;/ruby&gt;し&lt;br&gt;&lt;div class=""audio""&gt;[sound:だいなし.mp3]&lt;/div&gt;")</f>
        <v>&lt;ruby&gt;台無&lt;rt&gt;だいな&lt;/rt&gt;&lt;/ruby&gt;し&lt;br&gt;&lt;div class="audio"&gt;[sound:だいなし.mp3]&lt;/div&gt;</v>
      </c>
      <c r="H4735" s="3" t="str">
        <f t="shared" si="1"/>
        <v>(n): phá hỏng</v>
      </c>
      <c r="I4735" s="6" t="s">
        <v>25820</v>
      </c>
      <c r="J4735" s="6" t="s">
        <v>25821</v>
      </c>
      <c r="K4735" s="7">
        <f t="shared" si="2"/>
        <v>0.7795639492</v>
      </c>
    </row>
    <row r="4736">
      <c r="A4736" s="4">
        <v>4736.0</v>
      </c>
      <c r="B4736" s="5" t="s">
        <v>25822</v>
      </c>
      <c r="C4736" s="5" t="s">
        <v>25823</v>
      </c>
      <c r="D4736" s="5" t="s">
        <v>25824</v>
      </c>
      <c r="E4736" s="6" t="s">
        <v>74</v>
      </c>
      <c r="F4736" s="6" t="s">
        <v>25825</v>
      </c>
      <c r="G4736" s="3" t="str">
        <f>IFERROR(__xludf.DUMMYFUNCTION("REGEXREPLACE(
D4736,
""([一-龯々]+)\[([^\]]+)\]"",
""&lt;ruby&gt;$1&lt;rt&gt;$2&lt;/rt&gt;&lt;/ruby&gt;""
)&amp;""&lt;br&gt;&lt;div class=""""audio""""&gt;[sound:""&amp;C4736&amp;"".mp3]&lt;/div&gt;"""),"&lt;ruby&gt;合議&lt;rt&gt;ごうぎ&lt;/rt&gt;&lt;/ruby&gt;&lt;br&gt;&lt;div class=""audio""&gt;[sound:ごうぎ.mp3]&lt;/div&gt;")</f>
        <v>&lt;ruby&gt;合議&lt;rt&gt;ごうぎ&lt;/rt&gt;&lt;/ruby&gt;&lt;br&gt;&lt;div class="audio"&gt;[sound:ごうぎ.mp3]&lt;/div&gt;</v>
      </c>
      <c r="H4736" s="3" t="str">
        <f t="shared" si="1"/>
        <v>(n): hội ý</v>
      </c>
      <c r="I4736" s="6" t="s">
        <v>25826</v>
      </c>
      <c r="J4736" s="6" t="s">
        <v>25827</v>
      </c>
      <c r="K4736" s="7">
        <f t="shared" si="2"/>
        <v>0.2523278414</v>
      </c>
    </row>
    <row r="4737">
      <c r="A4737" s="4">
        <v>4737.0</v>
      </c>
      <c r="B4737" s="5" t="s">
        <v>25828</v>
      </c>
      <c r="C4737" s="5" t="s">
        <v>25829</v>
      </c>
      <c r="D4737" s="5" t="s">
        <v>25830</v>
      </c>
      <c r="E4737" s="6" t="s">
        <v>74</v>
      </c>
      <c r="F4737" s="6" t="s">
        <v>25831</v>
      </c>
      <c r="G4737" s="3" t="str">
        <f>IFERROR(__xludf.DUMMYFUNCTION("REGEXREPLACE(
D4737,
""([一-龯々]+)\[([^\]]+)\]"",
""&lt;ruby&gt;$1&lt;rt&gt;$2&lt;/rt&gt;&lt;/ruby&gt;""
)&amp;""&lt;br&gt;&lt;div class=""""audio""""&gt;[sound:""&amp;C4737&amp;"".mp3]&lt;/div&gt;"""),"&lt;ruby&gt;同級&lt;rt&gt;どうきゅう&lt;/rt&gt;&lt;/ruby&gt;&lt;br&gt;&lt;div class=""audio""&gt;[sound:どうきゅう.mp3]&lt;/div&gt;")</f>
        <v>&lt;ruby&gt;同級&lt;rt&gt;どうきゅう&lt;/rt&gt;&lt;/ruby&gt;&lt;br&gt;&lt;div class="audio"&gt;[sound:どうきゅう.mp3]&lt;/div&gt;</v>
      </c>
      <c r="H4737" s="3" t="str">
        <f t="shared" si="1"/>
        <v>(n): cùng cấp</v>
      </c>
      <c r="I4737" s="6" t="s">
        <v>25832</v>
      </c>
      <c r="J4737" s="6" t="s">
        <v>25833</v>
      </c>
      <c r="K4737" s="7">
        <f t="shared" si="2"/>
        <v>0.8949270108</v>
      </c>
    </row>
    <row r="4738">
      <c r="A4738" s="4">
        <v>4738.0</v>
      </c>
      <c r="B4738" s="5" t="s">
        <v>25834</v>
      </c>
      <c r="C4738" s="5" t="s">
        <v>25835</v>
      </c>
      <c r="D4738" s="5" t="s">
        <v>25836</v>
      </c>
      <c r="E4738" s="6" t="s">
        <v>85</v>
      </c>
      <c r="F4738" s="6" t="s">
        <v>25837</v>
      </c>
      <c r="G4738" s="3" t="str">
        <f>IFERROR(__xludf.DUMMYFUNCTION("REGEXREPLACE(
D4738,
""([一-龯々]+)\[([^\]]+)\]"",
""&lt;ruby&gt;$1&lt;rt&gt;$2&lt;/rt&gt;&lt;/ruby&gt;""
)&amp;""&lt;br&gt;&lt;div class=""""audio""""&gt;[sound:""&amp;C4738&amp;"".mp3]&lt;/div&gt;"""),"&lt;ruby&gt;呆然&lt;rt&gt;ぼうぜん&lt;/rt&gt;&lt;/ruby&gt;&lt;br&gt;&lt;div class=""audio""&gt;[sound:ぼうぜん.mp3]&lt;/div&gt;")</f>
        <v>&lt;ruby&gt;呆然&lt;rt&gt;ぼうぜん&lt;/rt&gt;&lt;/ruby&gt;&lt;br&gt;&lt;div class="audio"&gt;[sound:ぼうぜん.mp3]&lt;/div&gt;</v>
      </c>
      <c r="H4738" s="3" t="str">
        <f t="shared" si="1"/>
        <v>(adv): ngẩn ngơ</v>
      </c>
      <c r="I4738" s="6" t="s">
        <v>25838</v>
      </c>
      <c r="J4738" s="6" t="s">
        <v>25839</v>
      </c>
      <c r="K4738" s="7">
        <f t="shared" si="2"/>
        <v>0.5685086286</v>
      </c>
    </row>
    <row r="4739">
      <c r="A4739" s="4">
        <v>4739.0</v>
      </c>
      <c r="B4739" s="5" t="s">
        <v>25840</v>
      </c>
      <c r="C4739" s="5" t="s">
        <v>25841</v>
      </c>
      <c r="D4739" s="5" t="s">
        <v>25842</v>
      </c>
      <c r="E4739" s="6" t="s">
        <v>11</v>
      </c>
      <c r="F4739" s="6" t="s">
        <v>7713</v>
      </c>
      <c r="G4739" s="3" t="str">
        <f>IFERROR(__xludf.DUMMYFUNCTION("REGEXREPLACE(
D4739,
""([一-龯々]+)\[([^\]]+)\]"",
""&lt;ruby&gt;$1&lt;rt&gt;$2&lt;/rt&gt;&lt;/ruby&gt;""
)&amp;""&lt;br&gt;&lt;div class=""""audio""""&gt;[sound:""&amp;C4739&amp;"".mp3]&lt;/div&gt;"""),"&lt;ruby&gt;和&lt;rt&gt;なご&lt;/rt&gt;&lt;/ruby&gt;やか&lt;br&gt;&lt;div class=""audio""&gt;[sound:なごやか.mp3]&lt;/div&gt;")</f>
        <v>&lt;ruby&gt;和&lt;rt&gt;なご&lt;/rt&gt;&lt;/ruby&gt;やか&lt;br&gt;&lt;div class="audio"&gt;[sound:なごやか.mp3]&lt;/div&gt;</v>
      </c>
      <c r="H4739" s="3" t="str">
        <f t="shared" si="1"/>
        <v>(adj): hòa bình</v>
      </c>
      <c r="I4739" s="6" t="s">
        <v>25843</v>
      </c>
      <c r="J4739" s="6" t="s">
        <v>25844</v>
      </c>
      <c r="K4739" s="7">
        <f t="shared" si="2"/>
        <v>0.03485001829</v>
      </c>
    </row>
    <row r="4740">
      <c r="A4740" s="4">
        <v>4740.0</v>
      </c>
      <c r="B4740" s="5" t="s">
        <v>25845</v>
      </c>
      <c r="C4740" s="5" t="s">
        <v>25846</v>
      </c>
      <c r="D4740" s="5" t="s">
        <v>25847</v>
      </c>
      <c r="E4740" s="6" t="s">
        <v>74</v>
      </c>
      <c r="F4740" s="6" t="s">
        <v>25848</v>
      </c>
      <c r="G4740" s="3" t="str">
        <f>IFERROR(__xludf.DUMMYFUNCTION("REGEXREPLACE(
D4740,
""([一-龯々]+)\[([^\]]+)\]"",
""&lt;ruby&gt;$1&lt;rt&gt;$2&lt;/rt&gt;&lt;/ruby&gt;""
)&amp;""&lt;br&gt;&lt;div class=""""audio""""&gt;[sound:""&amp;C4740&amp;"".mp3]&lt;/div&gt;"""),"&lt;ruby&gt;喜劇&lt;rt&gt;きげき&lt;/rt&gt;&lt;/ruby&gt;&lt;br&gt;&lt;div class=""audio""&gt;[sound:きげき.mp3]&lt;/div&gt;")</f>
        <v>&lt;ruby&gt;喜劇&lt;rt&gt;きげき&lt;/rt&gt;&lt;/ruby&gt;&lt;br&gt;&lt;div class="audio"&gt;[sound:きげき.mp3]&lt;/div&gt;</v>
      </c>
      <c r="H4740" s="3" t="str">
        <f t="shared" si="1"/>
        <v>(n): hài kịch</v>
      </c>
      <c r="I4740" s="6" t="s">
        <v>25849</v>
      </c>
      <c r="J4740" s="6" t="s">
        <v>25850</v>
      </c>
      <c r="K4740" s="7">
        <f t="shared" si="2"/>
        <v>0.9303611597</v>
      </c>
    </row>
    <row r="4741">
      <c r="A4741" s="4">
        <v>4741.0</v>
      </c>
      <c r="B4741" s="5" t="s">
        <v>25851</v>
      </c>
      <c r="C4741" s="5" t="s">
        <v>25852</v>
      </c>
      <c r="D4741" s="5" t="s">
        <v>25853</v>
      </c>
      <c r="E4741" s="6" t="s">
        <v>74</v>
      </c>
      <c r="F4741" s="6" t="s">
        <v>25854</v>
      </c>
      <c r="G4741" s="3" t="str">
        <f>IFERROR(__xludf.DUMMYFUNCTION("REGEXREPLACE(
D4741,
""([一-龯々]+)\[([^\]]+)\]"",
""&lt;ruby&gt;$1&lt;rt&gt;$2&lt;/rt&gt;&lt;/ruby&gt;""
)&amp;""&lt;br&gt;&lt;div class=""""audio""""&gt;[sound:""&amp;C4741&amp;"".mp3]&lt;/div&gt;"""),"&lt;ruby&gt;外貨&lt;rt&gt;がいか&lt;/rt&gt;&lt;/ruby&gt;&lt;br&gt;&lt;div class=""audio""&gt;[sound:がいか.mp3]&lt;/div&gt;")</f>
        <v>&lt;ruby&gt;外貨&lt;rt&gt;がいか&lt;/rt&gt;&lt;/ruby&gt;&lt;br&gt;&lt;div class="audio"&gt;[sound:がいか.mp3]&lt;/div&gt;</v>
      </c>
      <c r="H4741" s="3" t="str">
        <f t="shared" si="1"/>
        <v>(n): ngoại tệ</v>
      </c>
      <c r="I4741" s="6" t="s">
        <v>25855</v>
      </c>
      <c r="J4741" s="6" t="s">
        <v>25856</v>
      </c>
      <c r="K4741" s="7">
        <f t="shared" si="2"/>
        <v>0.2869243175</v>
      </c>
    </row>
    <row r="4742">
      <c r="A4742" s="4">
        <v>4742.0</v>
      </c>
      <c r="B4742" s="5" t="s">
        <v>25857</v>
      </c>
      <c r="C4742" s="5" t="s">
        <v>25858</v>
      </c>
      <c r="D4742" s="5" t="s">
        <v>25859</v>
      </c>
      <c r="E4742" s="6" t="s">
        <v>74</v>
      </c>
      <c r="F4742" s="6" t="s">
        <v>3344</v>
      </c>
      <c r="G4742" s="3" t="str">
        <f>IFERROR(__xludf.DUMMYFUNCTION("REGEXREPLACE(
D4742,
""([一-龯々]+)\[([^\]]+)\]"",
""&lt;ruby&gt;$1&lt;rt&gt;$2&lt;/rt&gt;&lt;/ruby&gt;""
)&amp;""&lt;br&gt;&lt;div class=""""audio""""&gt;[sound:""&amp;C4742&amp;"".mp3]&lt;/div&gt;"""),"&lt;ruby&gt;大空&lt;rt&gt;おおぞら&lt;/rt&gt;&lt;/ruby&gt;&lt;br&gt;&lt;div class=""audio""&gt;[sound:おおぞら.mp3]&lt;/div&gt;")</f>
        <v>&lt;ruby&gt;大空&lt;rt&gt;おおぞら&lt;/rt&gt;&lt;/ruby&gt;&lt;br&gt;&lt;div class="audio"&gt;[sound:おおぞら.mp3]&lt;/div&gt;</v>
      </c>
      <c r="H4742" s="3" t="str">
        <f t="shared" si="1"/>
        <v>(n): bầu trời</v>
      </c>
      <c r="I4742" s="6" t="s">
        <v>25860</v>
      </c>
      <c r="J4742" s="6" t="s">
        <v>25763</v>
      </c>
      <c r="K4742" s="7">
        <f t="shared" si="2"/>
        <v>0.2485639736</v>
      </c>
    </row>
    <row r="4743">
      <c r="A4743" s="4">
        <v>4743.0</v>
      </c>
      <c r="B4743" s="5" t="s">
        <v>25861</v>
      </c>
      <c r="C4743" s="5" t="s">
        <v>25862</v>
      </c>
      <c r="D4743" s="5" t="s">
        <v>25863</v>
      </c>
      <c r="E4743" s="6" t="s">
        <v>74</v>
      </c>
      <c r="F4743" s="6" t="s">
        <v>16714</v>
      </c>
      <c r="G4743" s="3" t="str">
        <f>IFERROR(__xludf.DUMMYFUNCTION("REGEXREPLACE(
D4743,
""([一-龯々]+)\[([^\]]+)\]"",
""&lt;ruby&gt;$1&lt;rt&gt;$2&lt;/rt&gt;&lt;/ruby&gt;""
)&amp;""&lt;br&gt;&lt;div class=""""audio""""&gt;[sound:""&amp;C4743&amp;"".mp3]&lt;/div&gt;"""),"&lt;ruby&gt;根底&lt;rt&gt;こんてい&lt;/rt&gt;&lt;/ruby&gt;&lt;br&gt;&lt;div class=""audio""&gt;[sound:こんてい.mp3]&lt;/div&gt;")</f>
        <v>&lt;ruby&gt;根底&lt;rt&gt;こんてい&lt;/rt&gt;&lt;/ruby&gt;&lt;br&gt;&lt;div class="audio"&gt;[sound:こんてい.mp3]&lt;/div&gt;</v>
      </c>
      <c r="H4743" s="3" t="str">
        <f t="shared" si="1"/>
        <v>(n): nền tảng</v>
      </c>
      <c r="I4743" s="6" t="s">
        <v>25864</v>
      </c>
      <c r="J4743" s="6" t="s">
        <v>25865</v>
      </c>
      <c r="K4743" s="7">
        <f t="shared" si="2"/>
        <v>0.2491589846</v>
      </c>
    </row>
    <row r="4744">
      <c r="A4744" s="4">
        <v>4744.0</v>
      </c>
      <c r="B4744" s="5" t="s">
        <v>25866</v>
      </c>
      <c r="C4744" s="5" t="s">
        <v>25867</v>
      </c>
      <c r="D4744" s="5" t="s">
        <v>25868</v>
      </c>
      <c r="E4744" s="6" t="s">
        <v>74</v>
      </c>
      <c r="F4744" s="6" t="s">
        <v>25869</v>
      </c>
      <c r="G4744" s="3" t="str">
        <f>IFERROR(__xludf.DUMMYFUNCTION("REGEXREPLACE(
D4744,
""([一-龯々]+)\[([^\]]+)\]"",
""&lt;ruby&gt;$1&lt;rt&gt;$2&lt;/rt&gt;&lt;/ruby&gt;""
)&amp;""&lt;br&gt;&lt;div class=""""audio""""&gt;[sound:""&amp;C4744&amp;"".mp3]&lt;/div&gt;"""),"&lt;ruby&gt;歯科&lt;rt&gt;しか&lt;/rt&gt;&lt;/ruby&gt;&lt;br&gt;&lt;div class=""audio""&gt;[sound:しか.mp3]&lt;/div&gt;")</f>
        <v>&lt;ruby&gt;歯科&lt;rt&gt;しか&lt;/rt&gt;&lt;/ruby&gt;&lt;br&gt;&lt;div class="audio"&gt;[sound:しか.mp3]&lt;/div&gt;</v>
      </c>
      <c r="H4744" s="3" t="str">
        <f t="shared" si="1"/>
        <v>(n): nha khoa</v>
      </c>
      <c r="I4744" s="6" t="s">
        <v>25870</v>
      </c>
      <c r="J4744" s="6" t="s">
        <v>25871</v>
      </c>
      <c r="K4744" s="7">
        <f t="shared" si="2"/>
        <v>0.8600630452</v>
      </c>
    </row>
    <row r="4745">
      <c r="A4745" s="4">
        <v>4745.0</v>
      </c>
      <c r="B4745" s="5" t="s">
        <v>25872</v>
      </c>
      <c r="C4745" s="5" t="s">
        <v>25873</v>
      </c>
      <c r="D4745" s="5" t="s">
        <v>25874</v>
      </c>
      <c r="E4745" s="6" t="s">
        <v>11</v>
      </c>
      <c r="F4745" s="6" t="s">
        <v>25875</v>
      </c>
      <c r="G4745" s="3" t="str">
        <f>IFERROR(__xludf.DUMMYFUNCTION("REGEXREPLACE(
D4745,
""([一-龯々]+)\[([^\]]+)\]"",
""&lt;ruby&gt;$1&lt;rt&gt;$2&lt;/rt&gt;&lt;/ruby&gt;""
)&amp;""&lt;br&gt;&lt;div class=""""audio""""&gt;[sound:""&amp;C4745&amp;"".mp3]&lt;/div&gt;"""),"&lt;ruby&gt;残酷&lt;rt&gt;ざんこく&lt;/rt&gt;&lt;/ruby&gt;&lt;br&gt;&lt;div class=""audio""&gt;[sound:ざんこく.mp3]&lt;/div&gt;")</f>
        <v>&lt;ruby&gt;残酷&lt;rt&gt;ざんこく&lt;/rt&gt;&lt;/ruby&gt;&lt;br&gt;&lt;div class="audio"&gt;[sound:ざんこく.mp3]&lt;/div&gt;</v>
      </c>
      <c r="H4745" s="3" t="str">
        <f t="shared" si="1"/>
        <v>(adj): tàn khốc</v>
      </c>
      <c r="I4745" s="6" t="s">
        <v>25876</v>
      </c>
      <c r="J4745" s="6" t="s">
        <v>25877</v>
      </c>
      <c r="K4745" s="7">
        <f t="shared" si="2"/>
        <v>0.8209763298</v>
      </c>
    </row>
    <row r="4746">
      <c r="A4746" s="4">
        <v>4746.0</v>
      </c>
      <c r="B4746" s="5" t="s">
        <v>25878</v>
      </c>
      <c r="C4746" s="5" t="s">
        <v>25879</v>
      </c>
      <c r="D4746" s="5" t="s">
        <v>25880</v>
      </c>
      <c r="E4746" s="6" t="s">
        <v>11</v>
      </c>
      <c r="F4746" s="6" t="s">
        <v>2844</v>
      </c>
      <c r="G4746" s="3" t="str">
        <f>IFERROR(__xludf.DUMMYFUNCTION("REGEXREPLACE(
D4746,
""([一-龯々]+)\[([^\]]+)\]"",
""&lt;ruby&gt;$1&lt;rt&gt;$2&lt;/rt&gt;&lt;/ruby&gt;""
)&amp;""&lt;br&gt;&lt;div class=""""audio""""&gt;[sound:""&amp;C4746&amp;"".mp3]&lt;/div&gt;"""),"&lt;ruby&gt;簡易&lt;rt&gt;かんい&lt;/rt&gt;&lt;/ruby&gt;&lt;br&gt;&lt;div class=""audio""&gt;[sound:かんい.mp3]&lt;/div&gt;")</f>
        <v>&lt;ruby&gt;簡易&lt;rt&gt;かんい&lt;/rt&gt;&lt;/ruby&gt;&lt;br&gt;&lt;div class="audio"&gt;[sound:かんい.mp3]&lt;/div&gt;</v>
      </c>
      <c r="H4746" s="3" t="str">
        <f t="shared" si="1"/>
        <v>(adj): đơn giản</v>
      </c>
      <c r="I4746" s="6" t="s">
        <v>25881</v>
      </c>
      <c r="J4746" s="6" t="s">
        <v>25882</v>
      </c>
      <c r="K4746" s="7">
        <f t="shared" si="2"/>
        <v>0.4197265206</v>
      </c>
    </row>
    <row r="4747">
      <c r="A4747" s="4">
        <v>4747.0</v>
      </c>
      <c r="B4747" s="5" t="s">
        <v>25883</v>
      </c>
      <c r="C4747" s="5" t="s">
        <v>25884</v>
      </c>
      <c r="D4747" s="5" t="s">
        <v>25885</v>
      </c>
      <c r="E4747" s="6" t="s">
        <v>74</v>
      </c>
      <c r="F4747" s="6" t="s">
        <v>25886</v>
      </c>
      <c r="G4747" s="3" t="str">
        <f>IFERROR(__xludf.DUMMYFUNCTION("REGEXREPLACE(
D4747,
""([一-龯々]+)\[([^\]]+)\]"",
""&lt;ruby&gt;$1&lt;rt&gt;$2&lt;/rt&gt;&lt;/ruby&gt;""
)&amp;""&lt;br&gt;&lt;div class=""""audio""""&gt;[sound:""&amp;C4747&amp;"".mp3]&lt;/div&gt;"""),"&lt;ruby&gt;経路&lt;rt&gt;けいろ&lt;/rt&gt;&lt;/ruby&gt;&lt;br&gt;&lt;div class=""audio""&gt;[sound:けいろ.mp3]&lt;/div&gt;")</f>
        <v>&lt;ruby&gt;経路&lt;rt&gt;けいろ&lt;/rt&gt;&lt;/ruby&gt;&lt;br&gt;&lt;div class="audio"&gt;[sound:けいろ.mp3]&lt;/div&gt;</v>
      </c>
      <c r="H4747" s="3" t="str">
        <f t="shared" si="1"/>
        <v>(n): lộ trình</v>
      </c>
      <c r="I4747" s="6" t="s">
        <v>25887</v>
      </c>
      <c r="J4747" s="6" t="s">
        <v>25888</v>
      </c>
      <c r="K4747" s="7">
        <f t="shared" si="2"/>
        <v>0.7735070664</v>
      </c>
    </row>
    <row r="4748">
      <c r="A4748" s="4">
        <v>4748.0</v>
      </c>
      <c r="B4748" s="5" t="s">
        <v>25889</v>
      </c>
      <c r="C4748" s="5" t="s">
        <v>25890</v>
      </c>
      <c r="D4748" s="5" t="s">
        <v>25891</v>
      </c>
      <c r="E4748" s="6" t="s">
        <v>24</v>
      </c>
      <c r="F4748" s="6" t="s">
        <v>25892</v>
      </c>
      <c r="G4748" s="3" t="str">
        <f>IFERROR(__xludf.DUMMYFUNCTION("REGEXREPLACE(
D4748,
""([一-龯々]+)\[([^\]]+)\]"",
""&lt;ruby&gt;$1&lt;rt&gt;$2&lt;/rt&gt;&lt;/ruby&gt;""
)&amp;""&lt;br&gt;&lt;div class=""""audio""""&gt;[sound:""&amp;C4748&amp;"".mp3]&lt;/div&gt;"""),"&lt;ruby&gt;背&lt;rt&gt;そむ&lt;/rt&gt;&lt;/ruby&gt;く&lt;br&gt;&lt;div class=""audio""&gt;[sound:そむく.mp3]&lt;/div&gt;")</f>
        <v>&lt;ruby&gt;背&lt;rt&gt;そむ&lt;/rt&gt;&lt;/ruby&gt;く&lt;br&gt;&lt;div class="audio"&gt;[sound:そむく.mp3]&lt;/div&gt;</v>
      </c>
      <c r="H4748" s="3" t="str">
        <f t="shared" si="1"/>
        <v>(v): làm trái</v>
      </c>
      <c r="I4748" s="6" t="s">
        <v>25893</v>
      </c>
      <c r="J4748" s="6" t="s">
        <v>25894</v>
      </c>
      <c r="K4748" s="7">
        <f t="shared" si="2"/>
        <v>0.3444266742</v>
      </c>
    </row>
    <row r="4749">
      <c r="A4749" s="4">
        <v>4749.0</v>
      </c>
      <c r="B4749" s="5" t="s">
        <v>25895</v>
      </c>
      <c r="C4749" s="5" t="s">
        <v>25896</v>
      </c>
      <c r="D4749" s="5" t="s">
        <v>25897</v>
      </c>
      <c r="E4749" s="6" t="s">
        <v>24</v>
      </c>
      <c r="F4749" s="6" t="s">
        <v>25898</v>
      </c>
      <c r="G4749" s="3" t="str">
        <f>IFERROR(__xludf.DUMMYFUNCTION("REGEXREPLACE(
D4749,
""([一-龯々]+)\[([^\]]+)\]"",
""&lt;ruby&gt;$1&lt;rt&gt;$2&lt;/rt&gt;&lt;/ruby&gt;""
)&amp;""&lt;br&gt;&lt;div class=""""audio""""&gt;[sound:""&amp;C4749&amp;"".mp3]&lt;/div&gt;"""),"&lt;ruby&gt;見合&lt;rt&gt;みあ&lt;/rt&gt;&lt;/ruby&gt;わせる&lt;br&gt;&lt;div class=""audio""&gt;[sound:みあわせる.mp3]&lt;/div&gt;")</f>
        <v>&lt;ruby&gt;見合&lt;rt&gt;みあ&lt;/rt&gt;&lt;/ruby&gt;わせる&lt;br&gt;&lt;div class="audio"&gt;[sound:みあわせる.mp3]&lt;/div&gt;</v>
      </c>
      <c r="H4749" s="3" t="str">
        <f t="shared" si="1"/>
        <v>(v): tạm hoãn</v>
      </c>
      <c r="I4749" s="6" t="s">
        <v>25899</v>
      </c>
      <c r="J4749" s="6" t="s">
        <v>25900</v>
      </c>
      <c r="K4749" s="7">
        <f t="shared" si="2"/>
        <v>0.007566983771</v>
      </c>
    </row>
    <row r="4750">
      <c r="A4750" s="4">
        <v>4750.0</v>
      </c>
      <c r="B4750" s="5" t="s">
        <v>25901</v>
      </c>
      <c r="C4750" s="5" t="s">
        <v>25902</v>
      </c>
      <c r="D4750" s="5" t="s">
        <v>25903</v>
      </c>
      <c r="E4750" s="6" t="s">
        <v>74</v>
      </c>
      <c r="F4750" s="6" t="s">
        <v>6028</v>
      </c>
      <c r="G4750" s="3" t="str">
        <f>IFERROR(__xludf.DUMMYFUNCTION("REGEXREPLACE(
D4750,
""([一-龯々]+)\[([^\]]+)\]"",
""&lt;ruby&gt;$1&lt;rt&gt;$2&lt;/rt&gt;&lt;/ruby&gt;""
)&amp;""&lt;br&gt;&lt;div class=""""audio""""&gt;[sound:""&amp;C4750&amp;"".mp3]&lt;/div&gt;"""),"&lt;ruby&gt;講習&lt;rt&gt;こうしゅう&lt;/rt&gt;&lt;/ruby&gt;&lt;br&gt;&lt;div class=""audio""&gt;[sound:こうしゅう.mp3]&lt;/div&gt;")</f>
        <v>&lt;ruby&gt;講習&lt;rt&gt;こうしゅう&lt;/rt&gt;&lt;/ruby&gt;&lt;br&gt;&lt;div class="audio"&gt;[sound:こうしゅう.mp3]&lt;/div&gt;</v>
      </c>
      <c r="H4750" s="3" t="str">
        <f t="shared" si="1"/>
        <v>(n): khóa học</v>
      </c>
      <c r="I4750" s="6" t="s">
        <v>25904</v>
      </c>
      <c r="J4750" s="6" t="s">
        <v>25905</v>
      </c>
      <c r="K4750" s="7">
        <f t="shared" si="2"/>
        <v>0.1467812802</v>
      </c>
    </row>
    <row r="4751">
      <c r="A4751" s="4">
        <v>4751.0</v>
      </c>
      <c r="B4751" s="5" t="s">
        <v>25906</v>
      </c>
      <c r="C4751" s="5" t="s">
        <v>25907</v>
      </c>
      <c r="D4751" s="5" t="s">
        <v>25908</v>
      </c>
      <c r="E4751" s="6" t="s">
        <v>24</v>
      </c>
      <c r="F4751" s="6" t="s">
        <v>14724</v>
      </c>
      <c r="G4751" s="3" t="str">
        <f>IFERROR(__xludf.DUMMYFUNCTION("REGEXREPLACE(
D4751,
""([一-龯々]+)\[([^\]]+)\]"",
""&lt;ruby&gt;$1&lt;rt&gt;$2&lt;/rt&gt;&lt;/ruby&gt;""
)&amp;""&lt;br&gt;&lt;div class=""""audio""""&gt;[sound:""&amp;C4751&amp;"".mp3]&lt;/div&gt;"""),"&lt;ruby&gt;賑&lt;rt&gt;にぎ&lt;/rt&gt;&lt;/ruby&gt;わう&lt;br&gt;&lt;div class=""audio""&gt;[sound:にぎわう.mp3]&lt;/div&gt;")</f>
        <v>&lt;ruby&gt;賑&lt;rt&gt;にぎ&lt;/rt&gt;&lt;/ruby&gt;わう&lt;br&gt;&lt;div class="audio"&gt;[sound:にぎわう.mp3]&lt;/div&gt;</v>
      </c>
      <c r="H4751" s="3" t="str">
        <f t="shared" si="1"/>
        <v>(v): đông đúc</v>
      </c>
      <c r="I4751" s="6" t="s">
        <v>25909</v>
      </c>
      <c r="J4751" s="6" t="s">
        <v>25910</v>
      </c>
      <c r="K4751" s="7">
        <f t="shared" si="2"/>
        <v>0.7222601959</v>
      </c>
    </row>
    <row r="4752">
      <c r="A4752" s="4">
        <v>4752.0</v>
      </c>
      <c r="B4752" s="5" t="s">
        <v>25911</v>
      </c>
      <c r="C4752" s="5" t="s">
        <v>19122</v>
      </c>
      <c r="D4752" s="5" t="s">
        <v>25912</v>
      </c>
      <c r="E4752" s="6" t="s">
        <v>74</v>
      </c>
      <c r="F4752" s="6" t="s">
        <v>25913</v>
      </c>
      <c r="G4752" s="3" t="str">
        <f>IFERROR(__xludf.DUMMYFUNCTION("REGEXREPLACE(
D4752,
""([一-龯々]+)\[([^\]]+)\]"",
""&lt;ruby&gt;$1&lt;rt&gt;$2&lt;/rt&gt;&lt;/ruby&gt;""
)&amp;""&lt;br&gt;&lt;div class=""""audio""""&gt;[sound:""&amp;C4752&amp;"".mp3]&lt;/div&gt;"""),"&lt;ruby&gt;道場&lt;rt&gt;どうじょう&lt;/rt&gt;&lt;/ruby&gt;&lt;br&gt;&lt;div class=""audio""&gt;[sound:どうじょう.mp3]&lt;/div&gt;")</f>
        <v>&lt;ruby&gt;道場&lt;rt&gt;どうじょう&lt;/rt&gt;&lt;/ruby&gt;&lt;br&gt;&lt;div class="audio"&gt;[sound:どうじょう.mp3]&lt;/div&gt;</v>
      </c>
      <c r="H4752" s="3" t="str">
        <f t="shared" si="1"/>
        <v>(n): võ đường</v>
      </c>
      <c r="I4752" s="6" t="s">
        <v>25914</v>
      </c>
      <c r="J4752" s="6" t="s">
        <v>25915</v>
      </c>
      <c r="K4752" s="7">
        <f t="shared" si="2"/>
        <v>0.3081830008</v>
      </c>
    </row>
    <row r="4753">
      <c r="A4753" s="4">
        <v>4753.0</v>
      </c>
      <c r="B4753" s="5" t="s">
        <v>25916</v>
      </c>
      <c r="C4753" s="5" t="s">
        <v>25917</v>
      </c>
      <c r="D4753" s="5" t="s">
        <v>25918</v>
      </c>
      <c r="E4753" s="6" t="s">
        <v>24</v>
      </c>
      <c r="F4753" s="6" t="s">
        <v>25919</v>
      </c>
      <c r="G4753" s="3" t="str">
        <f>IFERROR(__xludf.DUMMYFUNCTION("REGEXREPLACE(
D4753,
""([一-龯々]+)\[([^\]]+)\]"",
""&lt;ruby&gt;$1&lt;rt&gt;$2&lt;/rt&gt;&lt;/ruby&gt;""
)&amp;""&lt;br&gt;&lt;div class=""""audio""""&gt;[sound:""&amp;C4753&amp;"".mp3]&lt;/div&gt;"""),"&lt;ruby&gt;食&lt;rt&gt;く&lt;/rt&gt;&lt;/ruby&gt;い&lt;ruby&gt;違&lt;rt&gt;ちが&lt;/rt&gt;&lt;/ruby&gt;う&lt;br&gt;&lt;div class=""audio""&gt;[sound:くいちがう.mp3]&lt;/div&gt;")</f>
        <v>&lt;ruby&gt;食&lt;rt&gt;く&lt;/rt&gt;&lt;/ruby&gt;い&lt;ruby&gt;違&lt;rt&gt;ちが&lt;/rt&gt;&lt;/ruby&gt;う&lt;br&gt;&lt;div class="audio"&gt;[sound:くいちがう.mp3]&lt;/div&gt;</v>
      </c>
      <c r="H4753" s="3" t="str">
        <f t="shared" si="1"/>
        <v>(v): bất đồng</v>
      </c>
      <c r="I4753" s="6" t="s">
        <v>25920</v>
      </c>
      <c r="J4753" s="6" t="s">
        <v>25921</v>
      </c>
      <c r="K4753" s="7">
        <f t="shared" si="2"/>
        <v>0.2551684556</v>
      </c>
    </row>
    <row r="4754">
      <c r="A4754" s="4">
        <v>4754.0</v>
      </c>
      <c r="B4754" s="5" t="s">
        <v>25922</v>
      </c>
      <c r="C4754" s="5" t="s">
        <v>3271</v>
      </c>
      <c r="D4754" s="5" t="s">
        <v>25923</v>
      </c>
      <c r="E4754" s="6" t="s">
        <v>74</v>
      </c>
      <c r="F4754" s="6" t="s">
        <v>25924</v>
      </c>
      <c r="G4754" s="3" t="str">
        <f>IFERROR(__xludf.DUMMYFUNCTION("REGEXREPLACE(
D4754,
""([一-龯々]+)\[([^\]]+)\]"",
""&lt;ruby&gt;$1&lt;rt&gt;$2&lt;/rt&gt;&lt;/ruby&gt;""
)&amp;""&lt;br&gt;&lt;div class=""""audio""""&gt;[sound:""&amp;C4754&amp;"".mp3]&lt;/div&gt;"""),"&lt;ruby&gt;麻&lt;rt&gt;あさ&lt;/rt&gt;&lt;/ruby&gt;&lt;br&gt;&lt;div class=""audio""&gt;[sound:あさ.mp3]&lt;/div&gt;")</f>
        <v>&lt;ruby&gt;麻&lt;rt&gt;あさ&lt;/rt&gt;&lt;/ruby&gt;&lt;br&gt;&lt;div class="audio"&gt;[sound:あさ.mp3]&lt;/div&gt;</v>
      </c>
      <c r="H4754" s="3" t="str">
        <f t="shared" si="1"/>
        <v>(n): vải lanh</v>
      </c>
      <c r="I4754" s="6" t="s">
        <v>25925</v>
      </c>
      <c r="J4754" s="6" t="s">
        <v>25926</v>
      </c>
      <c r="K4754" s="7">
        <f t="shared" si="2"/>
        <v>0.1466120513</v>
      </c>
    </row>
    <row r="4755">
      <c r="A4755" s="4">
        <v>4755.0</v>
      </c>
      <c r="B4755" s="5" t="s">
        <v>25927</v>
      </c>
      <c r="C4755" s="5" t="s">
        <v>25927</v>
      </c>
      <c r="D4755" s="5" t="s">
        <v>25927</v>
      </c>
      <c r="E4755" s="6" t="s">
        <v>74</v>
      </c>
      <c r="F4755" s="6" t="s">
        <v>25928</v>
      </c>
      <c r="G4755" s="3" t="str">
        <f>IFERROR(__xludf.DUMMYFUNCTION("REGEXREPLACE(
D4755,
""([一-龯々]+)\[([^\]]+)\]"",
""&lt;ruby&gt;$1&lt;rt&gt;$2&lt;/rt&gt;&lt;/ruby&gt;""
)&amp;""&lt;br&gt;&lt;div class=""""audio""""&gt;[sound:""&amp;C4755&amp;"".mp3]&lt;/div&gt;"""),"あざ&lt;br&gt;&lt;div class=""audio""&gt;[sound:あざ.mp3]&lt;/div&gt;")</f>
        <v>あざ&lt;br&gt;&lt;div class="audio"&gt;[sound:あざ.mp3]&lt;/div&gt;</v>
      </c>
      <c r="H4755" s="3" t="str">
        <f t="shared" si="1"/>
        <v>(n): vết bầm</v>
      </c>
      <c r="I4755" s="6" t="s">
        <v>25929</v>
      </c>
      <c r="J4755" s="6" t="s">
        <v>25930</v>
      </c>
      <c r="K4755" s="7">
        <f t="shared" si="2"/>
        <v>0.988618413</v>
      </c>
    </row>
    <row r="4756">
      <c r="A4756" s="4">
        <v>4756.0</v>
      </c>
      <c r="B4756" s="5" t="s">
        <v>25931</v>
      </c>
      <c r="C4756" s="5" t="s">
        <v>25931</v>
      </c>
      <c r="D4756" s="5" t="s">
        <v>25931</v>
      </c>
      <c r="E4756" s="6" t="s">
        <v>85</v>
      </c>
      <c r="F4756" s="6" t="s">
        <v>2848</v>
      </c>
      <c r="G4756" s="3" t="str">
        <f>IFERROR(__xludf.DUMMYFUNCTION("REGEXREPLACE(
D4756,
""([一-龯々]+)\[([^\]]+)\]"",
""&lt;ruby&gt;$1&lt;rt&gt;$2&lt;/rt&gt;&lt;/ruby&gt;""
)&amp;""&lt;br&gt;&lt;div class=""""audio""""&gt;[sound:""&amp;C4756&amp;"".mp3]&lt;/div&gt;"""),"くっきり&lt;br&gt;&lt;div class=""audio""&gt;[sound:くっきり.mp3]&lt;/div&gt;")</f>
        <v>くっきり&lt;br&gt;&lt;div class="audio"&gt;[sound:くっきり.mp3]&lt;/div&gt;</v>
      </c>
      <c r="H4756" s="3" t="str">
        <f t="shared" si="1"/>
        <v>(adv): rõ ràng</v>
      </c>
      <c r="I4756" s="6" t="s">
        <v>25932</v>
      </c>
      <c r="J4756" s="6" t="s">
        <v>25933</v>
      </c>
      <c r="K4756" s="7">
        <f t="shared" si="2"/>
        <v>0.5014454669</v>
      </c>
    </row>
    <row r="4757">
      <c r="A4757" s="4">
        <v>4757.0</v>
      </c>
      <c r="B4757" s="5" t="s">
        <v>25934</v>
      </c>
      <c r="C4757" s="5" t="s">
        <v>25935</v>
      </c>
      <c r="D4757" s="5" t="s">
        <v>25934</v>
      </c>
      <c r="E4757" s="6" t="s">
        <v>74</v>
      </c>
      <c r="F4757" s="6" t="s">
        <v>25936</v>
      </c>
      <c r="G4757" s="3" t="str">
        <f>IFERROR(__xludf.DUMMYFUNCTION("REGEXREPLACE(
D4757,
""([一-龯々]+)\[([^\]]+)\]"",
""&lt;ruby&gt;$1&lt;rt&gt;$2&lt;/rt&gt;&lt;/ruby&gt;""
)&amp;""&lt;br&gt;&lt;div class=""""audio""""&gt;[sound:""&amp;C4757&amp;"".mp3]&lt;/div&gt;"""),"レバー&lt;br&gt;&lt;div class=""audio""&gt;[sound:ればー.mp3]&lt;/div&gt;")</f>
        <v>レバー&lt;br&gt;&lt;div class="audio"&gt;[sound:ればー.mp3]&lt;/div&gt;</v>
      </c>
      <c r="H4757" s="3" t="str">
        <f t="shared" si="1"/>
        <v>(n): cần gạt</v>
      </c>
      <c r="I4757" s="6" t="s">
        <v>25937</v>
      </c>
      <c r="J4757" s="6" t="s">
        <v>25938</v>
      </c>
      <c r="K4757" s="7">
        <f t="shared" si="2"/>
        <v>0.02076822195</v>
      </c>
    </row>
    <row r="4758">
      <c r="A4758" s="4">
        <v>4758.0</v>
      </c>
      <c r="B4758" s="5" t="s">
        <v>25939</v>
      </c>
      <c r="C4758" s="5" t="s">
        <v>25940</v>
      </c>
      <c r="D4758" s="5" t="s">
        <v>25941</v>
      </c>
      <c r="E4758" s="6" t="s">
        <v>85</v>
      </c>
      <c r="F4758" s="6" t="s">
        <v>16056</v>
      </c>
      <c r="G4758" s="3" t="str">
        <f>IFERROR(__xludf.DUMMYFUNCTION("REGEXREPLACE(
D4758,
""([一-龯々]+)\[([^\]]+)\]"",
""&lt;ruby&gt;$1&lt;rt&gt;$2&lt;/rt&gt;&lt;/ruby&gt;""
)&amp;""&lt;br&gt;&lt;div class=""""audio""""&gt;[sound:""&amp;C4758&amp;"".mp3]&lt;/div&gt;"""),"&lt;ruby&gt;一挙&lt;rt&gt;いっきょ&lt;/rt&gt;&lt;/ruby&gt;に&lt;br&gt;&lt;div class=""audio""&gt;[sound:いっきょに.mp3]&lt;/div&gt;")</f>
        <v>&lt;ruby&gt;一挙&lt;rt&gt;いっきょ&lt;/rt&gt;&lt;/ruby&gt;に&lt;br&gt;&lt;div class="audio"&gt;[sound:いっきょに.mp3]&lt;/div&gt;</v>
      </c>
      <c r="H4758" s="3" t="str">
        <f t="shared" si="1"/>
        <v>(adv): một hơi</v>
      </c>
      <c r="I4758" s="6" t="s">
        <v>25942</v>
      </c>
      <c r="J4758" s="6" t="s">
        <v>25943</v>
      </c>
      <c r="K4758" s="7">
        <f t="shared" si="2"/>
        <v>0.8805546766</v>
      </c>
    </row>
    <row r="4759">
      <c r="A4759" s="4">
        <v>4759.0</v>
      </c>
      <c r="B4759" s="5" t="s">
        <v>25944</v>
      </c>
      <c r="C4759" s="5" t="s">
        <v>25945</v>
      </c>
      <c r="D4759" s="5" t="s">
        <v>25946</v>
      </c>
      <c r="E4759" s="6" t="s">
        <v>11</v>
      </c>
      <c r="F4759" s="6" t="s">
        <v>25947</v>
      </c>
      <c r="G4759" s="3" t="str">
        <f>IFERROR(__xludf.DUMMYFUNCTION("REGEXREPLACE(
D4759,
""([一-龯々]+)\[([^\]]+)\]"",
""&lt;ruby&gt;$1&lt;rt&gt;$2&lt;/rt&gt;&lt;/ruby&gt;""
)&amp;""&lt;br&gt;&lt;div class=""""audio""""&gt;[sound:""&amp;C4759&amp;"".mp3]&lt;/div&gt;"""),"&lt;ruby&gt;万能&lt;rt&gt;ばんのう&lt;/rt&gt;&lt;/ruby&gt;&lt;br&gt;&lt;div class=""audio""&gt;[sound:ばんのう.mp3]&lt;/div&gt;")</f>
        <v>&lt;ruby&gt;万能&lt;rt&gt;ばんのう&lt;/rt&gt;&lt;/ruby&gt;&lt;br&gt;&lt;div class="audio"&gt;[sound:ばんのう.mp3]&lt;/div&gt;</v>
      </c>
      <c r="H4759" s="3" t="str">
        <f t="shared" si="1"/>
        <v>(adj): đa năng</v>
      </c>
      <c r="I4759" s="6" t="s">
        <v>25948</v>
      </c>
      <c r="J4759" s="6" t="s">
        <v>25949</v>
      </c>
      <c r="K4759" s="7">
        <f t="shared" si="2"/>
        <v>0.8035392705</v>
      </c>
    </row>
    <row r="4760">
      <c r="A4760" s="4">
        <v>4760.0</v>
      </c>
      <c r="B4760" s="5" t="s">
        <v>25950</v>
      </c>
      <c r="C4760" s="5" t="s">
        <v>19847</v>
      </c>
      <c r="D4760" s="5" t="s">
        <v>25951</v>
      </c>
      <c r="E4760" s="6" t="s">
        <v>74</v>
      </c>
      <c r="F4760" s="6" t="s">
        <v>25952</v>
      </c>
      <c r="G4760" s="3" t="str">
        <f>IFERROR(__xludf.DUMMYFUNCTION("REGEXREPLACE(
D4760,
""([一-龯々]+)\[([^\]]+)\]"",
""&lt;ruby&gt;$1&lt;rt&gt;$2&lt;/rt&gt;&lt;/ruby&gt;""
)&amp;""&lt;br&gt;&lt;div class=""""audio""""&gt;[sound:""&amp;C4760&amp;"".mp3]&lt;/div&gt;"""),"&lt;ruby&gt;修士&lt;rt&gt;しゅうし&lt;/rt&gt;&lt;/ruby&gt;&lt;br&gt;&lt;div class=""audio""&gt;[sound:しゅうし.mp3]&lt;/div&gt;")</f>
        <v>&lt;ruby&gt;修士&lt;rt&gt;しゅうし&lt;/rt&gt;&lt;/ruby&gt;&lt;br&gt;&lt;div class="audio"&gt;[sound:しゅうし.mp3]&lt;/div&gt;</v>
      </c>
      <c r="H4760" s="3" t="str">
        <f t="shared" si="1"/>
        <v>(n): thạc sĩ</v>
      </c>
      <c r="I4760" s="6" t="s">
        <v>25953</v>
      </c>
      <c r="J4760" s="6" t="s">
        <v>25954</v>
      </c>
      <c r="K4760" s="7">
        <f t="shared" si="2"/>
        <v>0.9680535917</v>
      </c>
    </row>
    <row r="4761">
      <c r="A4761" s="4">
        <v>4761.0</v>
      </c>
      <c r="B4761" s="5" t="s">
        <v>25955</v>
      </c>
      <c r="C4761" s="5" t="s">
        <v>25956</v>
      </c>
      <c r="D4761" s="5" t="s">
        <v>25957</v>
      </c>
      <c r="E4761" s="6" t="s">
        <v>11</v>
      </c>
      <c r="F4761" s="6" t="s">
        <v>25958</v>
      </c>
      <c r="G4761" s="3" t="str">
        <f>IFERROR(__xludf.DUMMYFUNCTION("REGEXREPLACE(
D4761,
""([一-龯々]+)\[([^\]]+)\]"",
""&lt;ruby&gt;$1&lt;rt&gt;$2&lt;/rt&gt;&lt;/ruby&gt;""
)&amp;""&lt;br&gt;&lt;div class=""""audio""""&gt;[sound:""&amp;C4761&amp;"".mp3]&lt;/div&gt;"""),"&lt;ruby&gt;半端&lt;rt&gt;はんぱ&lt;/rt&gt;&lt;/ruby&gt;&lt;br&gt;&lt;div class=""audio""&gt;[sound:はんぱ.mp3]&lt;/div&gt;")</f>
        <v>&lt;ruby&gt;半端&lt;rt&gt;はんぱ&lt;/rt&gt;&lt;/ruby&gt;&lt;br&gt;&lt;div class="audio"&gt;[sound:はんぱ.mp3]&lt;/div&gt;</v>
      </c>
      <c r="H4761" s="3" t="str">
        <f t="shared" si="1"/>
        <v>(adj): dở dang</v>
      </c>
      <c r="I4761" s="6" t="s">
        <v>25959</v>
      </c>
      <c r="J4761" s="6" t="s">
        <v>25960</v>
      </c>
      <c r="K4761" s="7">
        <f t="shared" si="2"/>
        <v>0.3831838094</v>
      </c>
    </row>
    <row r="4762">
      <c r="A4762" s="4">
        <v>4762.0</v>
      </c>
      <c r="B4762" s="5" t="s">
        <v>25961</v>
      </c>
      <c r="C4762" s="5" t="s">
        <v>25962</v>
      </c>
      <c r="D4762" s="5" t="s">
        <v>25963</v>
      </c>
      <c r="E4762" s="6" t="s">
        <v>74</v>
      </c>
      <c r="F4762" s="6" t="s">
        <v>25964</v>
      </c>
      <c r="G4762" s="3" t="str">
        <f>IFERROR(__xludf.DUMMYFUNCTION("REGEXREPLACE(
D4762,
""([一-龯々]+)\[([^\]]+)\]"",
""&lt;ruby&gt;$1&lt;rt&gt;$2&lt;/rt&gt;&lt;/ruby&gt;""
)&amp;""&lt;br&gt;&lt;div class=""""audio""""&gt;[sound:""&amp;C4762&amp;"".mp3]&lt;/div&gt;"""),"&lt;ruby&gt;受身&lt;rt&gt;うけみ&lt;/rt&gt;&lt;/ruby&gt;&lt;br&gt;&lt;div class=""audio""&gt;[sound:うけみ.mp3]&lt;/div&gt;")</f>
        <v>&lt;ruby&gt;受身&lt;rt&gt;うけみ&lt;/rt&gt;&lt;/ruby&gt;&lt;br&gt;&lt;div class="audio"&gt;[sound:うけみ.mp3]&lt;/div&gt;</v>
      </c>
      <c r="H4762" s="3" t="str">
        <f t="shared" si="1"/>
        <v>(n): bị động</v>
      </c>
      <c r="I4762" s="6" t="s">
        <v>25965</v>
      </c>
      <c r="J4762" s="6" t="s">
        <v>25966</v>
      </c>
      <c r="K4762" s="7">
        <f t="shared" si="2"/>
        <v>0.3758810499</v>
      </c>
    </row>
    <row r="4763">
      <c r="A4763" s="4">
        <v>4763.0</v>
      </c>
      <c r="B4763" s="5" t="s">
        <v>25967</v>
      </c>
      <c r="C4763" s="5" t="s">
        <v>25968</v>
      </c>
      <c r="D4763" s="5" t="s">
        <v>25969</v>
      </c>
      <c r="E4763" s="6" t="s">
        <v>24</v>
      </c>
      <c r="F4763" s="6" t="s">
        <v>1591</v>
      </c>
      <c r="G4763" s="3" t="str">
        <f>IFERROR(__xludf.DUMMYFUNCTION("REGEXREPLACE(
D4763,
""([一-龯々]+)\[([^\]]+)\]"",
""&lt;ruby&gt;$1&lt;rt&gt;$2&lt;/rt&gt;&lt;/ruby&gt;""
)&amp;""&lt;br&gt;&lt;div class=""""audio""""&gt;[sound:""&amp;C4763&amp;"".mp3]&lt;/div&gt;"""),"&lt;ruby&gt;司&lt;rt&gt;つかさど&lt;/rt&gt;&lt;/ruby&gt;る&lt;br&gt;&lt;div class=""audio""&gt;[sound:つかさどる.mp3]&lt;/div&gt;")</f>
        <v>&lt;ruby&gt;司&lt;rt&gt;つかさど&lt;/rt&gt;&lt;/ruby&gt;る&lt;br&gt;&lt;div class="audio"&gt;[sound:つかさどる.mp3]&lt;/div&gt;</v>
      </c>
      <c r="H4763" s="3" t="str">
        <f t="shared" si="1"/>
        <v>(v): quản lý</v>
      </c>
      <c r="I4763" s="6" t="s">
        <v>25970</v>
      </c>
      <c r="J4763" s="6" t="s">
        <v>25971</v>
      </c>
      <c r="K4763" s="7">
        <f t="shared" si="2"/>
        <v>0.4280965169</v>
      </c>
    </row>
    <row r="4764">
      <c r="A4764" s="4">
        <v>4764.0</v>
      </c>
      <c r="B4764" s="5" t="s">
        <v>25972</v>
      </c>
      <c r="C4764" s="5" t="s">
        <v>25973</v>
      </c>
      <c r="D4764" s="5" t="s">
        <v>25974</v>
      </c>
      <c r="E4764" s="6" t="s">
        <v>74</v>
      </c>
      <c r="F4764" s="6" t="s">
        <v>25975</v>
      </c>
      <c r="G4764" s="3" t="str">
        <f>IFERROR(__xludf.DUMMYFUNCTION("REGEXREPLACE(
D4764,
""([一-龯々]+)\[([^\]]+)\]"",
""&lt;ruby&gt;$1&lt;rt&gt;$2&lt;/rt&gt;&lt;/ruby&gt;""
)&amp;""&lt;br&gt;&lt;div class=""""audio""""&gt;[sound:""&amp;C4764&amp;"".mp3]&lt;/div&gt;"""),"&lt;ruby&gt;名札&lt;rt&gt;なふだ&lt;/rt&gt;&lt;/ruby&gt;&lt;br&gt;&lt;div class=""audio""&gt;[sound:なふだ.mp3]&lt;/div&gt;")</f>
        <v>&lt;ruby&gt;名札&lt;rt&gt;なふだ&lt;/rt&gt;&lt;/ruby&gt;&lt;br&gt;&lt;div class="audio"&gt;[sound:なふだ.mp3]&lt;/div&gt;</v>
      </c>
      <c r="H4764" s="3" t="str">
        <f t="shared" si="1"/>
        <v>(n): thẻ tên</v>
      </c>
      <c r="I4764" s="6" t="s">
        <v>25976</v>
      </c>
      <c r="J4764" s="6" t="s">
        <v>25977</v>
      </c>
      <c r="K4764" s="7">
        <f t="shared" si="2"/>
        <v>0.1188560442</v>
      </c>
    </row>
    <row r="4765">
      <c r="A4765" s="4">
        <v>4765.0</v>
      </c>
      <c r="B4765" s="5" t="s">
        <v>25978</v>
      </c>
      <c r="C4765" s="5" t="s">
        <v>25979</v>
      </c>
      <c r="D4765" s="5" t="s">
        <v>25980</v>
      </c>
      <c r="E4765" s="6" t="s">
        <v>74</v>
      </c>
      <c r="F4765" s="6" t="s">
        <v>17403</v>
      </c>
      <c r="G4765" s="3" t="str">
        <f>IFERROR(__xludf.DUMMYFUNCTION("REGEXREPLACE(
D4765,
""([一-龯々]+)\[([^\]]+)\]"",
""&lt;ruby&gt;$1&lt;rt&gt;$2&lt;/rt&gt;&lt;/ruby&gt;""
)&amp;""&lt;br&gt;&lt;div class=""""audio""""&gt;[sound:""&amp;C4765&amp;"".mp3]&lt;/div&gt;"""),"&lt;ruby&gt;名残&lt;rt&gt;なごり&lt;/rt&gt;&lt;/ruby&gt;&lt;br&gt;&lt;div class=""audio""&gt;[sound:なごり.mp3]&lt;/div&gt;")</f>
        <v>&lt;ruby&gt;名残&lt;rt&gt;なごり&lt;/rt&gt;&lt;/ruby&gt;&lt;br&gt;&lt;div class="audio"&gt;[sound:なごり.mp3]&lt;/div&gt;</v>
      </c>
      <c r="H4765" s="3" t="str">
        <f t="shared" si="1"/>
        <v>(n): dấu vết</v>
      </c>
      <c r="I4765" s="6" t="s">
        <v>25981</v>
      </c>
      <c r="J4765" s="6" t="s">
        <v>25982</v>
      </c>
      <c r="K4765" s="7">
        <f t="shared" si="2"/>
        <v>0.7800406643</v>
      </c>
    </row>
    <row r="4766">
      <c r="A4766" s="4">
        <v>4766.0</v>
      </c>
      <c r="B4766" s="5" t="s">
        <v>25983</v>
      </c>
      <c r="C4766" s="5" t="s">
        <v>25984</v>
      </c>
      <c r="D4766" s="5" t="s">
        <v>25985</v>
      </c>
      <c r="E4766" s="6" t="s">
        <v>74</v>
      </c>
      <c r="F4766" s="6" t="s">
        <v>25986</v>
      </c>
      <c r="G4766" s="3" t="str">
        <f>IFERROR(__xludf.DUMMYFUNCTION("REGEXREPLACE(
D4766,
""([一-龯々]+)\[([^\]]+)\]"",
""&lt;ruby&gt;$1&lt;rt&gt;$2&lt;/rt&gt;&lt;/ruby&gt;""
)&amp;""&lt;br&gt;&lt;div class=""""audio""""&gt;[sound:""&amp;C4766&amp;"".mp3]&lt;/div&gt;"""),"&lt;ruby&gt;味覚&lt;rt&gt;みかく&lt;/rt&gt;&lt;/ruby&gt;&lt;br&gt;&lt;div class=""audio""&gt;[sound:みかく.mp3]&lt;/div&gt;")</f>
        <v>&lt;ruby&gt;味覚&lt;rt&gt;みかく&lt;/rt&gt;&lt;/ruby&gt;&lt;br&gt;&lt;div class="audio"&gt;[sound:みかく.mp3]&lt;/div&gt;</v>
      </c>
      <c r="H4766" s="3" t="str">
        <f t="shared" si="1"/>
        <v>(n): vị giác</v>
      </c>
      <c r="I4766" s="6" t="s">
        <v>25987</v>
      </c>
      <c r="J4766" s="6" t="s">
        <v>25988</v>
      </c>
      <c r="K4766" s="7">
        <f t="shared" si="2"/>
        <v>0.208939498</v>
      </c>
    </row>
    <row r="4767">
      <c r="A4767" s="4">
        <v>4767.0</v>
      </c>
      <c r="B4767" s="5" t="s">
        <v>25989</v>
      </c>
      <c r="C4767" s="5" t="s">
        <v>25990</v>
      </c>
      <c r="D4767" s="5" t="s">
        <v>25991</v>
      </c>
      <c r="E4767" s="6" t="s">
        <v>74</v>
      </c>
      <c r="F4767" s="6" t="s">
        <v>25992</v>
      </c>
      <c r="G4767" s="3" t="str">
        <f>IFERROR(__xludf.DUMMYFUNCTION("REGEXREPLACE(
D4767,
""([一-龯々]+)\[([^\]]+)\]"",
""&lt;ruby&gt;$1&lt;rt&gt;$2&lt;/rt&gt;&lt;/ruby&gt;""
)&amp;""&lt;br&gt;&lt;div class=""""audio""""&gt;[sound:""&amp;C4767&amp;"".mp3]&lt;/div&gt;"""),"&lt;ruby&gt;善&lt;rt&gt;よ&lt;/rt&gt;&lt;/ruby&gt;し&lt;ruby&gt;悪&lt;rt&gt;あ&lt;/rt&gt;&lt;/ruby&gt;し&lt;br&gt;&lt;div class=""audio""&gt;[sound:よしあし.mp3]&lt;/div&gt;")</f>
        <v>&lt;ruby&gt;善&lt;rt&gt;よ&lt;/rt&gt;&lt;/ruby&gt;し&lt;ruby&gt;悪&lt;rt&gt;あ&lt;/rt&gt;&lt;/ruby&gt;し&lt;br&gt;&lt;div class="audio"&gt;[sound:よしあし.mp3]&lt;/div&gt;</v>
      </c>
      <c r="H4767" s="3" t="str">
        <f t="shared" si="1"/>
        <v>(n): tốt xấu</v>
      </c>
      <c r="I4767" s="6" t="s">
        <v>25993</v>
      </c>
      <c r="J4767" s="6" t="s">
        <v>25994</v>
      </c>
      <c r="K4767" s="7">
        <f t="shared" si="2"/>
        <v>0.6600905559</v>
      </c>
    </row>
    <row r="4768">
      <c r="A4768" s="4">
        <v>4768.0</v>
      </c>
      <c r="B4768" s="5" t="s">
        <v>25995</v>
      </c>
      <c r="C4768" s="5" t="s">
        <v>25996</v>
      </c>
      <c r="D4768" s="5" t="s">
        <v>25997</v>
      </c>
      <c r="E4768" s="6" t="s">
        <v>74</v>
      </c>
      <c r="F4768" s="6" t="s">
        <v>25998</v>
      </c>
      <c r="G4768" s="3" t="str">
        <f>IFERROR(__xludf.DUMMYFUNCTION("REGEXREPLACE(
D4768,
""([一-龯々]+)\[([^\]]+)\]"",
""&lt;ruby&gt;$1&lt;rt&gt;$2&lt;/rt&gt;&lt;/ruby&gt;""
)&amp;""&lt;br&gt;&lt;div class=""""audio""""&gt;[sound:""&amp;C4768&amp;"".mp3]&lt;/div&gt;"""),"&lt;ruby&gt;地主&lt;rt&gt;じぬし&lt;/rt&gt;&lt;/ruby&gt;&lt;br&gt;&lt;div class=""audio""&gt;[sound:じぬし.mp3]&lt;/div&gt;")</f>
        <v>&lt;ruby&gt;地主&lt;rt&gt;じぬし&lt;/rt&gt;&lt;/ruby&gt;&lt;br&gt;&lt;div class="audio"&gt;[sound:じぬし.mp3]&lt;/div&gt;</v>
      </c>
      <c r="H4768" s="3" t="str">
        <f t="shared" si="1"/>
        <v>(n): chủ đất</v>
      </c>
      <c r="I4768" s="6" t="s">
        <v>25999</v>
      </c>
      <c r="J4768" s="6" t="s">
        <v>26000</v>
      </c>
      <c r="K4768" s="7">
        <f t="shared" si="2"/>
        <v>0.7863066233</v>
      </c>
    </row>
    <row r="4769">
      <c r="A4769" s="4">
        <v>4769.0</v>
      </c>
      <c r="B4769" s="5" t="s">
        <v>26001</v>
      </c>
      <c r="C4769" s="5" t="s">
        <v>26002</v>
      </c>
      <c r="D4769" s="5" t="s">
        <v>26003</v>
      </c>
      <c r="E4769" s="6" t="s">
        <v>11</v>
      </c>
      <c r="F4769" s="6" t="s">
        <v>26004</v>
      </c>
      <c r="G4769" s="3" t="str">
        <f>IFERROR(__xludf.DUMMYFUNCTION("REGEXREPLACE(
D4769,
""([一-龯々]+)\[([^\]]+)\]"",
""&lt;ruby&gt;$1&lt;rt&gt;$2&lt;/rt&gt;&lt;/ruby&gt;""
)&amp;""&lt;br&gt;&lt;div class=""""audio""""&gt;[sound:""&amp;C4769&amp;"".mp3]&lt;/div&gt;"""),"&lt;ruby&gt;壮大&lt;rt&gt;そうだい&lt;/rt&gt;&lt;/ruby&gt;&lt;br&gt;&lt;div class=""audio""&gt;[sound:そうだい.mp3]&lt;/div&gt;")</f>
        <v>&lt;ruby&gt;壮大&lt;rt&gt;そうだい&lt;/rt&gt;&lt;/ruby&gt;&lt;br&gt;&lt;div class="audio"&gt;[sound:そうだい.mp3]&lt;/div&gt;</v>
      </c>
      <c r="H4769" s="3" t="str">
        <f t="shared" si="1"/>
        <v>(adj): hùng vĩ</v>
      </c>
      <c r="I4769" s="6" t="s">
        <v>26005</v>
      </c>
      <c r="J4769" s="6" t="s">
        <v>26006</v>
      </c>
      <c r="K4769" s="7">
        <f t="shared" si="2"/>
        <v>0.9432331934</v>
      </c>
    </row>
    <row r="4770">
      <c r="A4770" s="4">
        <v>4770.0</v>
      </c>
      <c r="B4770" s="5" t="s">
        <v>26007</v>
      </c>
      <c r="C4770" s="5" t="s">
        <v>26008</v>
      </c>
      <c r="D4770" s="5" t="s">
        <v>26009</v>
      </c>
      <c r="E4770" s="6" t="s">
        <v>11</v>
      </c>
      <c r="F4770" s="6" t="s">
        <v>3602</v>
      </c>
      <c r="G4770" s="3" t="str">
        <f>IFERROR(__xludf.DUMMYFUNCTION("REGEXREPLACE(
D4770,
""([一-龯々]+)\[([^\]]+)\]"",
""&lt;ruby&gt;$1&lt;rt&gt;$2&lt;/rt&gt;&lt;/ruby&gt;""
)&amp;""&lt;br&gt;&lt;div class=""""audio""""&gt;[sound:""&amp;C4770&amp;"".mp3]&lt;/div&gt;"""),"&lt;ruby&gt;多忙&lt;rt&gt;たぼう&lt;/rt&gt;&lt;/ruby&gt;&lt;br&gt;&lt;div class=""audio""&gt;[sound:たぼう.mp3]&lt;/div&gt;")</f>
        <v>&lt;ruby&gt;多忙&lt;rt&gt;たぼう&lt;/rt&gt;&lt;/ruby&gt;&lt;br&gt;&lt;div class="audio"&gt;[sound:たぼう.mp3]&lt;/div&gt;</v>
      </c>
      <c r="H4770" s="3" t="str">
        <f t="shared" si="1"/>
        <v>(adj): bận rộn</v>
      </c>
      <c r="I4770" s="6" t="s">
        <v>26010</v>
      </c>
      <c r="J4770" s="6" t="s">
        <v>26011</v>
      </c>
      <c r="K4770" s="7">
        <f t="shared" si="2"/>
        <v>0.4467349629</v>
      </c>
    </row>
    <row r="4771">
      <c r="A4771" s="4">
        <v>4771.0</v>
      </c>
      <c r="B4771" s="5" t="s">
        <v>26012</v>
      </c>
      <c r="C4771" s="5" t="s">
        <v>26013</v>
      </c>
      <c r="D4771" s="5" t="s">
        <v>26014</v>
      </c>
      <c r="E4771" s="6" t="s">
        <v>85</v>
      </c>
      <c r="F4771" s="6" t="s">
        <v>894</v>
      </c>
      <c r="G4771" s="3" t="str">
        <f>IFERROR(__xludf.DUMMYFUNCTION("REGEXREPLACE(
D4771,
""([一-龯々]+)\[([^\]]+)\]"",
""&lt;ruby&gt;$1&lt;rt&gt;$2&lt;/rt&gt;&lt;/ruby&gt;""
)&amp;""&lt;br&gt;&lt;div class=""""audio""""&gt;[sound:""&amp;C4771&amp;"".mp3]&lt;/div&gt;"""),"&lt;ruby&gt;大概&lt;rt&gt;たいがい&lt;/rt&gt;&lt;/ruby&gt;&lt;br&gt;&lt;div class=""audio""&gt;[sound:たいがい.mp3]&lt;/div&gt;")</f>
        <v>&lt;ruby&gt;大概&lt;rt&gt;たいがい&lt;/rt&gt;&lt;/ruby&gt;&lt;br&gt;&lt;div class="audio"&gt;[sound:たいがい.mp3]&lt;/div&gt;</v>
      </c>
      <c r="H4771" s="3" t="str">
        <f t="shared" si="1"/>
        <v>(adv): hầu như</v>
      </c>
      <c r="I4771" s="6" t="s">
        <v>26015</v>
      </c>
      <c r="J4771" s="6" t="s">
        <v>26016</v>
      </c>
      <c r="K4771" s="7">
        <f t="shared" si="2"/>
        <v>0.5827979948</v>
      </c>
    </row>
    <row r="4772">
      <c r="A4772" s="4">
        <v>4772.0</v>
      </c>
      <c r="B4772" s="5" t="s">
        <v>26017</v>
      </c>
      <c r="C4772" s="5" t="s">
        <v>26018</v>
      </c>
      <c r="D4772" s="5" t="s">
        <v>26019</v>
      </c>
      <c r="E4772" s="6" t="s">
        <v>74</v>
      </c>
      <c r="F4772" s="6" t="s">
        <v>21431</v>
      </c>
      <c r="G4772" s="3" t="str">
        <f>IFERROR(__xludf.DUMMYFUNCTION("REGEXREPLACE(
D4772,
""([一-龯々]+)\[([^\]]+)\]"",
""&lt;ruby&gt;$1&lt;rt&gt;$2&lt;/rt&gt;&lt;/ruby&gt;""
)&amp;""&lt;br&gt;&lt;div class=""""audio""""&gt;[sound:""&amp;C4772&amp;"".mp3]&lt;/div&gt;"""),"&lt;ruby&gt;大筋&lt;rt&gt;おおすじ&lt;/rt&gt;&lt;/ruby&gt;&lt;br&gt;&lt;div class=""audio""&gt;[sound:おおすじ.mp3]&lt;/div&gt;")</f>
        <v>&lt;ruby&gt;大筋&lt;rt&gt;おおすじ&lt;/rt&gt;&lt;/ruby&gt;&lt;br&gt;&lt;div class="audio"&gt;[sound:おおすじ.mp3]&lt;/div&gt;</v>
      </c>
      <c r="H4772" s="3" t="str">
        <f t="shared" si="1"/>
        <v>(n): tóm tắt</v>
      </c>
      <c r="I4772" s="6" t="s">
        <v>26020</v>
      </c>
      <c r="J4772" s="6" t="s">
        <v>26021</v>
      </c>
      <c r="K4772" s="7">
        <f t="shared" si="2"/>
        <v>0.5791288465</v>
      </c>
    </row>
    <row r="4773">
      <c r="A4773" s="4">
        <v>4773.0</v>
      </c>
      <c r="B4773" s="5" t="s">
        <v>26022</v>
      </c>
      <c r="C4773" s="5" t="s">
        <v>26023</v>
      </c>
      <c r="D4773" s="5" t="s">
        <v>26024</v>
      </c>
      <c r="E4773" s="6" t="s">
        <v>24</v>
      </c>
      <c r="F4773" s="6" t="s">
        <v>26025</v>
      </c>
      <c r="G4773" s="3" t="str">
        <f>IFERROR(__xludf.DUMMYFUNCTION("REGEXREPLACE(
D4773,
""([一-龯々]+)\[([^\]]+)\]"",
""&lt;ruby&gt;$1&lt;rt&gt;$2&lt;/rt&gt;&lt;/ruby&gt;""
)&amp;""&lt;br&gt;&lt;div class=""""audio""""&gt;[sound:""&amp;C4773&amp;"".mp3]&lt;/div&gt;"""),"&lt;ruby&gt;妬&lt;rt&gt;ねた&lt;/rt&gt;&lt;/ruby&gt;む&lt;br&gt;&lt;div class=""audio""&gt;[sound:ねたむ.mp3]&lt;/div&gt;")</f>
        <v>&lt;ruby&gt;妬&lt;rt&gt;ねた&lt;/rt&gt;&lt;/ruby&gt;む&lt;br&gt;&lt;div class="audio"&gt;[sound:ねたむ.mp3]&lt;/div&gt;</v>
      </c>
      <c r="H4773" s="3" t="str">
        <f t="shared" si="1"/>
        <v>(v): ghen tị</v>
      </c>
      <c r="I4773" s="6" t="s">
        <v>26026</v>
      </c>
      <c r="J4773" s="6" t="s">
        <v>26027</v>
      </c>
      <c r="K4773" s="7">
        <f t="shared" si="2"/>
        <v>0.517885448</v>
      </c>
    </row>
    <row r="4774">
      <c r="A4774" s="4">
        <v>4774.0</v>
      </c>
      <c r="B4774" s="5" t="s">
        <v>26028</v>
      </c>
      <c r="C4774" s="5" t="s">
        <v>1376</v>
      </c>
      <c r="D4774" s="5" t="s">
        <v>26029</v>
      </c>
      <c r="E4774" s="6" t="s">
        <v>74</v>
      </c>
      <c r="F4774" s="6" t="s">
        <v>26030</v>
      </c>
      <c r="G4774" s="3" t="str">
        <f>IFERROR(__xludf.DUMMYFUNCTION("REGEXREPLACE(
D4774,
""([一-龯々]+)\[([^\]]+)\]"",
""&lt;ruby&gt;$1&lt;rt&gt;$2&lt;/rt&gt;&lt;/ruby&gt;""
)&amp;""&lt;br&gt;&lt;div class=""""audio""""&gt;[sound:""&amp;C4774&amp;"".mp3]&lt;/div&gt;"""),"&lt;ruby&gt;無効&lt;rt&gt;むこう&lt;/rt&gt;&lt;/ruby&gt;&lt;br&gt;&lt;div class=""audio""&gt;[sound:むこう.mp3]&lt;/div&gt;")</f>
        <v>&lt;ruby&gt;無効&lt;rt&gt;むこう&lt;/rt&gt;&lt;/ruby&gt;&lt;br&gt;&lt;div class="audio"&gt;[sound:むこう.mp3]&lt;/div&gt;</v>
      </c>
      <c r="H4774" s="3" t="str">
        <f t="shared" si="1"/>
        <v>(n): vô hiệu</v>
      </c>
      <c r="I4774" s="6" t="s">
        <v>26031</v>
      </c>
      <c r="J4774" s="6" t="s">
        <v>26032</v>
      </c>
      <c r="K4774" s="7">
        <f t="shared" si="2"/>
        <v>0.1142403167</v>
      </c>
    </row>
    <row r="4775">
      <c r="A4775" s="4">
        <v>4775.0</v>
      </c>
      <c r="B4775" s="5" t="s">
        <v>26033</v>
      </c>
      <c r="C4775" s="5" t="s">
        <v>26034</v>
      </c>
      <c r="D4775" s="5" t="s">
        <v>26035</v>
      </c>
      <c r="E4775" s="6" t="s">
        <v>74</v>
      </c>
      <c r="F4775" s="6" t="s">
        <v>4590</v>
      </c>
      <c r="G4775" s="3" t="str">
        <f>IFERROR(__xludf.DUMMYFUNCTION("REGEXREPLACE(
D4775,
""([一-龯々]+)\[([^\]]+)\]"",
""&lt;ruby&gt;$1&lt;rt&gt;$2&lt;/rt&gt;&lt;/ruby&gt;""
)&amp;""&lt;br&gt;&lt;div class=""""audio""""&gt;[sound:""&amp;C4775&amp;"".mp3]&lt;/div&gt;"""),"&lt;ruby&gt;無断&lt;rt&gt;むだん&lt;/rt&gt;&lt;/ruby&gt;&lt;br&gt;&lt;div class=""audio""&gt;[sound:むだん.mp3]&lt;/div&gt;")</f>
        <v>&lt;ruby&gt;無断&lt;rt&gt;むだん&lt;/rt&gt;&lt;/ruby&gt;&lt;br&gt;&lt;div class="audio"&gt;[sound:むだん.mp3]&lt;/div&gt;</v>
      </c>
      <c r="H4775" s="3" t="str">
        <f t="shared" si="1"/>
        <v>(n): tự tiện</v>
      </c>
      <c r="I4775" s="6" t="s">
        <v>26036</v>
      </c>
      <c r="J4775" s="6" t="s">
        <v>26037</v>
      </c>
      <c r="K4775" s="7">
        <f t="shared" si="2"/>
        <v>0.3870670097</v>
      </c>
    </row>
    <row r="4776">
      <c r="A4776" s="4">
        <v>4776.0</v>
      </c>
      <c r="B4776" s="5" t="s">
        <v>26038</v>
      </c>
      <c r="C4776" s="5" t="s">
        <v>26039</v>
      </c>
      <c r="D4776" s="5" t="s">
        <v>26040</v>
      </c>
      <c r="E4776" s="6" t="s">
        <v>74</v>
      </c>
      <c r="F4776" s="6" t="s">
        <v>26041</v>
      </c>
      <c r="G4776" s="3" t="str">
        <f>IFERROR(__xludf.DUMMYFUNCTION("REGEXREPLACE(
D4776,
""([一-龯々]+)\[([^\]]+)\]"",
""&lt;ruby&gt;$1&lt;rt&gt;$2&lt;/rt&gt;&lt;/ruby&gt;""
)&amp;""&lt;br&gt;&lt;div class=""""audio""""&gt;[sound:""&amp;C4776&amp;"".mp3]&lt;/div&gt;"""),"&lt;ruby&gt;物体&lt;rt&gt;ぶったい&lt;/rt&gt;&lt;/ruby&gt;&lt;br&gt;&lt;div class=""audio""&gt;[sound:ぶったい.mp3]&lt;/div&gt;")</f>
        <v>&lt;ruby&gt;物体&lt;rt&gt;ぶったい&lt;/rt&gt;&lt;/ruby&gt;&lt;br&gt;&lt;div class="audio"&gt;[sound:ぶったい.mp3]&lt;/div&gt;</v>
      </c>
      <c r="H4776" s="3" t="str">
        <f t="shared" si="1"/>
        <v>(n): vật thể</v>
      </c>
      <c r="I4776" s="6" t="s">
        <v>26042</v>
      </c>
      <c r="J4776" s="6" t="s">
        <v>26043</v>
      </c>
      <c r="K4776" s="7">
        <f t="shared" si="2"/>
        <v>0.7044385136</v>
      </c>
    </row>
    <row r="4777">
      <c r="A4777" s="4">
        <v>4777.0</v>
      </c>
      <c r="B4777" s="5" t="s">
        <v>26044</v>
      </c>
      <c r="C4777" s="5" t="s">
        <v>26045</v>
      </c>
      <c r="D4777" s="5" t="s">
        <v>26046</v>
      </c>
      <c r="E4777" s="6" t="s">
        <v>74</v>
      </c>
      <c r="F4777" s="6" t="s">
        <v>17394</v>
      </c>
      <c r="G4777" s="3" t="str">
        <f>IFERROR(__xludf.DUMMYFUNCTION("REGEXREPLACE(
D4777,
""([一-龯々]+)\[([^\]]+)\]"",
""&lt;ruby&gt;$1&lt;rt&gt;$2&lt;/rt&gt;&lt;/ruby&gt;""
)&amp;""&lt;br&gt;&lt;div class=""""audio""""&gt;[sound:""&amp;C4777&amp;"".mp3]&lt;/div&gt;"""),"&lt;ruby&gt;知性&lt;rt&gt;ちせい&lt;/rt&gt;&lt;/ruby&gt;&lt;br&gt;&lt;div class=""audio""&gt;[sound:ちせい.mp3]&lt;/div&gt;")</f>
        <v>&lt;ruby&gt;知性&lt;rt&gt;ちせい&lt;/rt&gt;&lt;/ruby&gt;&lt;br&gt;&lt;div class="audio"&gt;[sound:ちせい.mp3]&lt;/div&gt;</v>
      </c>
      <c r="H4777" s="3" t="str">
        <f t="shared" si="1"/>
        <v>(n): trí tuệ</v>
      </c>
      <c r="I4777" s="6" t="s">
        <v>26047</v>
      </c>
      <c r="J4777" s="6" t="s">
        <v>26048</v>
      </c>
      <c r="K4777" s="7">
        <f t="shared" si="2"/>
        <v>0.4562720573</v>
      </c>
    </row>
    <row r="4778">
      <c r="A4778" s="4">
        <v>4778.0</v>
      </c>
      <c r="B4778" s="5" t="s">
        <v>26049</v>
      </c>
      <c r="C4778" s="5" t="s">
        <v>26050</v>
      </c>
      <c r="D4778" s="5" t="s">
        <v>26051</v>
      </c>
      <c r="E4778" s="6" t="s">
        <v>11</v>
      </c>
      <c r="F4778" s="6" t="s">
        <v>26052</v>
      </c>
      <c r="G4778" s="3" t="str">
        <f>IFERROR(__xludf.DUMMYFUNCTION("REGEXREPLACE(
D4778,
""([一-龯々]+)\[([^\]]+)\]"",
""&lt;ruby&gt;$1&lt;rt&gt;$2&lt;/rt&gt;&lt;/ruby&gt;""
)&amp;""&lt;br&gt;&lt;div class=""""audio""""&gt;[sound:""&amp;C4778&amp;"".mp3]&lt;/div&gt;"""),"&lt;ruby&gt;精密&lt;rt&gt;せいみつ&lt;/rt&gt;&lt;/ruby&gt;&lt;br&gt;&lt;div class=""audio""&gt;[sound:せいみつ.mp3]&lt;/div&gt;")</f>
        <v>&lt;ruby&gt;精密&lt;rt&gt;せいみつ&lt;/rt&gt;&lt;/ruby&gt;&lt;br&gt;&lt;div class="audio"&gt;[sound:せいみつ.mp3]&lt;/div&gt;</v>
      </c>
      <c r="H4778" s="3" t="str">
        <f t="shared" si="1"/>
        <v>(adj): tinh vi</v>
      </c>
      <c r="I4778" s="6" t="s">
        <v>26053</v>
      </c>
      <c r="J4778" s="6" t="s">
        <v>26054</v>
      </c>
      <c r="K4778" s="7">
        <f t="shared" si="2"/>
        <v>0.931487832</v>
      </c>
    </row>
    <row r="4779">
      <c r="A4779" s="4">
        <v>4779.0</v>
      </c>
      <c r="B4779" s="5" t="s">
        <v>26055</v>
      </c>
      <c r="C4779" s="5" t="s">
        <v>26056</v>
      </c>
      <c r="D4779" s="5" t="s">
        <v>26057</v>
      </c>
      <c r="E4779" s="6" t="s">
        <v>24</v>
      </c>
      <c r="F4779" s="6" t="s">
        <v>7880</v>
      </c>
      <c r="G4779" s="3" t="str">
        <f>IFERROR(__xludf.DUMMYFUNCTION("REGEXREPLACE(
D4779,
""([一-龯々]+)\[([^\]]+)\]"",
""&lt;ruby&gt;$1&lt;rt&gt;$2&lt;/rt&gt;&lt;/ruby&gt;""
)&amp;""&lt;br&gt;&lt;div class=""""audio""""&gt;[sound:""&amp;C4779&amp;"".mp3]&lt;/div&gt;"""),"&lt;ruby&gt;結&lt;rt&gt;むす&lt;/rt&gt;&lt;/ruby&gt;び&lt;ruby&gt;付&lt;rt&gt;つ&lt;/rt&gt;&lt;/ruby&gt;ける&lt;br&gt;&lt;div class=""audio""&gt;[sound:むすびつける.mp3]&lt;/div&gt;")</f>
        <v>&lt;ruby&gt;結&lt;rt&gt;むす&lt;/rt&gt;&lt;/ruby&gt;び&lt;ruby&gt;付&lt;rt&gt;つ&lt;/rt&gt;&lt;/ruby&gt;ける&lt;br&gt;&lt;div class="audio"&gt;[sound:むすびつける.mp3]&lt;/div&gt;</v>
      </c>
      <c r="H4779" s="3" t="str">
        <f t="shared" si="1"/>
        <v>(v): kết nối</v>
      </c>
      <c r="I4779" s="6" t="s">
        <v>26058</v>
      </c>
      <c r="J4779" s="6" t="s">
        <v>26059</v>
      </c>
      <c r="K4779" s="7">
        <f t="shared" si="2"/>
        <v>0.1575367852</v>
      </c>
    </row>
    <row r="4780">
      <c r="A4780" s="4">
        <v>4780.0</v>
      </c>
      <c r="B4780" s="5" t="s">
        <v>26060</v>
      </c>
      <c r="C4780" s="5" t="s">
        <v>26061</v>
      </c>
      <c r="D4780" s="5" t="s">
        <v>26062</v>
      </c>
      <c r="E4780" s="6" t="s">
        <v>74</v>
      </c>
      <c r="F4780" s="6" t="s">
        <v>4760</v>
      </c>
      <c r="G4780" s="3" t="str">
        <f>IFERROR(__xludf.DUMMYFUNCTION("REGEXREPLACE(
D4780,
""([一-龯々]+)\[([^\]]+)\]"",
""&lt;ruby&gt;$1&lt;rt&gt;$2&lt;/rt&gt;&lt;/ruby&gt;""
)&amp;""&lt;br&gt;&lt;div class=""""audio""""&gt;[sound:""&amp;C4780&amp;"".mp3]&lt;/div&gt;"""),"&lt;ruby&gt;総会&lt;rt&gt;そうかい&lt;/rt&gt;&lt;/ruby&gt;&lt;br&gt;&lt;div class=""audio""&gt;[sound:そうかい.mp3]&lt;/div&gt;")</f>
        <v>&lt;ruby&gt;総会&lt;rt&gt;そうかい&lt;/rt&gt;&lt;/ruby&gt;&lt;br&gt;&lt;div class="audio"&gt;[sound:そうかい.mp3]&lt;/div&gt;</v>
      </c>
      <c r="H4780" s="3" t="str">
        <f t="shared" si="1"/>
        <v>(n): đại hội</v>
      </c>
      <c r="I4780" s="6" t="s">
        <v>26063</v>
      </c>
      <c r="J4780" s="6" t="s">
        <v>26064</v>
      </c>
      <c r="K4780" s="7">
        <f t="shared" si="2"/>
        <v>0.1795956433</v>
      </c>
    </row>
    <row r="4781">
      <c r="A4781" s="4">
        <v>4781.0</v>
      </c>
      <c r="B4781" s="5" t="s">
        <v>26065</v>
      </c>
      <c r="C4781" s="5" t="s">
        <v>26066</v>
      </c>
      <c r="D4781" s="5" t="s">
        <v>26067</v>
      </c>
      <c r="E4781" s="6" t="s">
        <v>74</v>
      </c>
      <c r="F4781" s="6" t="s">
        <v>26068</v>
      </c>
      <c r="G4781" s="3" t="str">
        <f>IFERROR(__xludf.DUMMYFUNCTION("REGEXREPLACE(
D4781,
""([一-龯々]+)\[([^\]]+)\]"",
""&lt;ruby&gt;$1&lt;rt&gt;$2&lt;/rt&gt;&lt;/ruby&gt;""
)&amp;""&lt;br&gt;&lt;div class=""""audio""""&gt;[sound:""&amp;C4781&amp;"".mp3]&lt;/div&gt;"""),"&lt;ruby&gt;貴族&lt;rt&gt;きぞく&lt;/rt&gt;&lt;/ruby&gt;&lt;br&gt;&lt;div class=""audio""&gt;[sound:きぞく.mp3]&lt;/div&gt;")</f>
        <v>&lt;ruby&gt;貴族&lt;rt&gt;きぞく&lt;/rt&gt;&lt;/ruby&gt;&lt;br&gt;&lt;div class="audio"&gt;[sound:きぞく.mp3]&lt;/div&gt;</v>
      </c>
      <c r="H4781" s="3" t="str">
        <f t="shared" si="1"/>
        <v>(n): quý tộc</v>
      </c>
      <c r="I4781" s="6" t="s">
        <v>26069</v>
      </c>
      <c r="J4781" s="6" t="s">
        <v>26070</v>
      </c>
      <c r="K4781" s="7">
        <f t="shared" si="2"/>
        <v>0.04085630328</v>
      </c>
    </row>
    <row r="4782">
      <c r="A4782" s="4">
        <v>4782.0</v>
      </c>
      <c r="B4782" s="5" t="s">
        <v>26071</v>
      </c>
      <c r="C4782" s="5" t="s">
        <v>26072</v>
      </c>
      <c r="D4782" s="5" t="s">
        <v>26073</v>
      </c>
      <c r="E4782" s="6" t="s">
        <v>24</v>
      </c>
      <c r="F4782" s="6" t="s">
        <v>26074</v>
      </c>
      <c r="G4782" s="3" t="str">
        <f>IFERROR(__xludf.DUMMYFUNCTION("REGEXREPLACE(
D4782,
""([一-龯々]+)\[([^\]]+)\]"",
""&lt;ruby&gt;$1&lt;rt&gt;$2&lt;/rt&gt;&lt;/ruby&gt;""
)&amp;""&lt;br&gt;&lt;div class=""""audio""""&gt;[sound:""&amp;C4782&amp;"".mp3]&lt;/div&gt;"""),"&lt;ruby&gt;追&lt;rt&gt;お&lt;/rt&gt;&lt;/ruby&gt;い&lt;ruby&gt;出&lt;rt&gt;だ&lt;/rt&gt;&lt;/ruby&gt;す&lt;br&gt;&lt;div class=""audio""&gt;[sound:おいだす.mp3]&lt;/div&gt;")</f>
        <v>&lt;ruby&gt;追&lt;rt&gt;お&lt;/rt&gt;&lt;/ruby&gt;い&lt;ruby&gt;出&lt;rt&gt;だ&lt;/rt&gt;&lt;/ruby&gt;す&lt;br&gt;&lt;div class="audio"&gt;[sound:おいだす.mp3]&lt;/div&gt;</v>
      </c>
      <c r="H4782" s="3" t="str">
        <f t="shared" si="1"/>
        <v>(v): đuổi ra</v>
      </c>
      <c r="I4782" s="6" t="s">
        <v>26075</v>
      </c>
      <c r="J4782" s="6" t="s">
        <v>26076</v>
      </c>
      <c r="K4782" s="7">
        <f t="shared" si="2"/>
        <v>0.6474976459</v>
      </c>
    </row>
    <row r="4783">
      <c r="A4783" s="4">
        <v>4783.0</v>
      </c>
      <c r="B4783" s="5" t="s">
        <v>26077</v>
      </c>
      <c r="C4783" s="5" t="s">
        <v>26078</v>
      </c>
      <c r="D4783" s="5" t="s">
        <v>26079</v>
      </c>
      <c r="E4783" s="6" t="s">
        <v>24</v>
      </c>
      <c r="F4783" s="6" t="s">
        <v>7880</v>
      </c>
      <c r="G4783" s="3" t="str">
        <f>IFERROR(__xludf.DUMMYFUNCTION("REGEXREPLACE(
D4783,
""([一-龯々]+)\[([^\]]+)\]"",
""&lt;ruby&gt;$1&lt;rt&gt;$2&lt;/rt&gt;&lt;/ruby&gt;""
)&amp;""&lt;br&gt;&lt;div class=""""audio""""&gt;[sound:""&amp;C4783&amp;"".mp3]&lt;/div&gt;"""),"&lt;ruby&gt;連&lt;rt&gt;つら&lt;/rt&gt;&lt;/ruby&gt;ねる&lt;br&gt;&lt;div class=""audio""&gt;[sound:つらねる.mp3]&lt;/div&gt;")</f>
        <v>&lt;ruby&gt;連&lt;rt&gt;つら&lt;/rt&gt;&lt;/ruby&gt;ねる&lt;br&gt;&lt;div class="audio"&gt;[sound:つらねる.mp3]&lt;/div&gt;</v>
      </c>
      <c r="H4783" s="3" t="str">
        <f t="shared" si="1"/>
        <v>(v): kết nối</v>
      </c>
      <c r="I4783" s="6" t="s">
        <v>26080</v>
      </c>
      <c r="J4783" s="6" t="s">
        <v>26081</v>
      </c>
      <c r="K4783" s="7">
        <f t="shared" si="2"/>
        <v>0.2295782535</v>
      </c>
    </row>
    <row r="4784">
      <c r="A4784" s="4">
        <v>4784.0</v>
      </c>
      <c r="B4784" s="5" t="s">
        <v>26082</v>
      </c>
      <c r="C4784" s="5" t="s">
        <v>26083</v>
      </c>
      <c r="D4784" s="5" t="s">
        <v>26084</v>
      </c>
      <c r="E4784" s="6" t="s">
        <v>74</v>
      </c>
      <c r="F4784" s="6" t="s">
        <v>26085</v>
      </c>
      <c r="G4784" s="3" t="str">
        <f>IFERROR(__xludf.DUMMYFUNCTION("REGEXREPLACE(
D4784,
""([一-龯々]+)\[([^\]]+)\]"",
""&lt;ruby&gt;$1&lt;rt&gt;$2&lt;/rt&gt;&lt;/ruby&gt;""
)&amp;""&lt;br&gt;&lt;div class=""""audio""""&gt;[sound:""&amp;C4784&amp;"".mp3]&lt;/div&gt;"""),"&lt;ruby&gt;進度&lt;rt&gt;しんど&lt;/rt&gt;&lt;/ruby&gt;&lt;br&gt;&lt;div class=""audio""&gt;[sound:しんど.mp3]&lt;/div&gt;")</f>
        <v>&lt;ruby&gt;進度&lt;rt&gt;しんど&lt;/rt&gt;&lt;/ruby&gt;&lt;br&gt;&lt;div class="audio"&gt;[sound:しんど.mp3]&lt;/div&gt;</v>
      </c>
      <c r="H4784" s="3" t="str">
        <f t="shared" si="1"/>
        <v>(n): tiến độ</v>
      </c>
      <c r="I4784" s="6" t="s">
        <v>26086</v>
      </c>
      <c r="J4784" s="6" t="s">
        <v>26087</v>
      </c>
      <c r="K4784" s="7">
        <f t="shared" si="2"/>
        <v>0.01719049477</v>
      </c>
    </row>
    <row r="4785">
      <c r="A4785" s="4">
        <v>4785.0</v>
      </c>
      <c r="B4785" s="5" t="s">
        <v>26088</v>
      </c>
      <c r="C4785" s="5" t="s">
        <v>26089</v>
      </c>
      <c r="D4785" s="5" t="s">
        <v>26090</v>
      </c>
      <c r="E4785" s="6" t="s">
        <v>74</v>
      </c>
      <c r="F4785" s="6" t="s">
        <v>24099</v>
      </c>
      <c r="G4785" s="3" t="str">
        <f>IFERROR(__xludf.DUMMYFUNCTION("REGEXREPLACE(
D4785,
""([一-龯々]+)\[([^\]]+)\]"",
""&lt;ruby&gt;$1&lt;rt&gt;$2&lt;/rt&gt;&lt;/ruby&gt;""
)&amp;""&lt;br&gt;&lt;div class=""""audio""""&gt;[sound:""&amp;C4785&amp;"".mp3]&lt;/div&gt;"""),"&lt;ruby&gt;過&lt;rt&gt;あやま&lt;/rt&gt;&lt;/ruby&gt;ち&lt;br&gt;&lt;div class=""audio""&gt;[sound:あやまち.mp3]&lt;/div&gt;")</f>
        <v>&lt;ruby&gt;過&lt;rt&gt;あやま&lt;/rt&gt;&lt;/ruby&gt;ち&lt;br&gt;&lt;div class="audio"&gt;[sound:あやまち.mp3]&lt;/div&gt;</v>
      </c>
      <c r="H4785" s="3" t="str">
        <f t="shared" si="1"/>
        <v>(n): lỗi lầm</v>
      </c>
      <c r="I4785" s="6" t="s">
        <v>26091</v>
      </c>
      <c r="J4785" s="6" t="s">
        <v>26092</v>
      </c>
      <c r="K4785" s="7">
        <f t="shared" si="2"/>
        <v>0.3095470777</v>
      </c>
    </row>
    <row r="4786">
      <c r="A4786" s="4">
        <v>4786.0</v>
      </c>
      <c r="B4786" s="5" t="s">
        <v>26093</v>
      </c>
      <c r="C4786" s="5" t="s">
        <v>26094</v>
      </c>
      <c r="D4786" s="5" t="s">
        <v>26095</v>
      </c>
      <c r="E4786" s="6" t="s">
        <v>74</v>
      </c>
      <c r="F4786" s="6" t="s">
        <v>26096</v>
      </c>
      <c r="G4786" s="3" t="str">
        <f>IFERROR(__xludf.DUMMYFUNCTION("REGEXREPLACE(
D4786,
""([一-龯々]+)\[([^\]]+)\]"",
""&lt;ruby&gt;$1&lt;rt&gt;$2&lt;/rt&gt;&lt;/ruby&gt;""
)&amp;""&lt;br&gt;&lt;div class=""""audio""""&gt;[sound:""&amp;C4786&amp;"".mp3]&lt;/div&gt;"""),"&lt;ruby&gt;適性&lt;rt&gt;てきせい&lt;/rt&gt;&lt;/ruby&gt;&lt;br&gt;&lt;div class=""audio""&gt;[sound:てきせい.mp3]&lt;/div&gt;")</f>
        <v>&lt;ruby&gt;適性&lt;rt&gt;てきせい&lt;/rt&gt;&lt;/ruby&gt;&lt;br&gt;&lt;div class="audio"&gt;[sound:てきせい.mp3]&lt;/div&gt;</v>
      </c>
      <c r="H4786" s="3" t="str">
        <f t="shared" si="1"/>
        <v>(n): tố chất</v>
      </c>
      <c r="I4786" s="6" t="s">
        <v>26097</v>
      </c>
      <c r="J4786" s="6" t="s">
        <v>26098</v>
      </c>
      <c r="K4786" s="7">
        <f t="shared" si="2"/>
        <v>0.2873579894</v>
      </c>
    </row>
    <row r="4787">
      <c r="A4787" s="4">
        <v>4787.0</v>
      </c>
      <c r="B4787" s="5" t="s">
        <v>26099</v>
      </c>
      <c r="C4787" s="5" t="s">
        <v>26100</v>
      </c>
      <c r="D4787" s="5" t="s">
        <v>26101</v>
      </c>
      <c r="E4787" s="6" t="s">
        <v>24</v>
      </c>
      <c r="F4787" s="6" t="s">
        <v>26102</v>
      </c>
      <c r="G4787" s="3" t="str">
        <f>IFERROR(__xludf.DUMMYFUNCTION("REGEXREPLACE(
D4787,
""([一-龯々]+)\[([^\]]+)\]"",
""&lt;ruby&gt;$1&lt;rt&gt;$2&lt;/rt&gt;&lt;/ruby&gt;""
)&amp;""&lt;br&gt;&lt;div class=""""audio""""&gt;[sound:""&amp;C4787&amp;"".mp3]&lt;/div&gt;"""),"&lt;ruby&gt;隔&lt;rt&gt;へだ&lt;/rt&gt;&lt;/ruby&gt;たる&lt;br&gt;&lt;div class=""audio""&gt;[sound:へだたる.mp3]&lt;/div&gt;")</f>
        <v>&lt;ruby&gt;隔&lt;rt&gt;へだ&lt;/rt&gt;&lt;/ruby&gt;たる&lt;br&gt;&lt;div class="audio"&gt;[sound:へだたる.mp3]&lt;/div&gt;</v>
      </c>
      <c r="H4787" s="3" t="str">
        <f t="shared" si="1"/>
        <v>(v): cách xa</v>
      </c>
      <c r="I4787" s="6" t="s">
        <v>26103</v>
      </c>
      <c r="J4787" s="6" t="s">
        <v>26104</v>
      </c>
      <c r="K4787" s="7">
        <f t="shared" si="2"/>
        <v>0.09562496619</v>
      </c>
    </row>
    <row r="4788">
      <c r="A4788" s="4">
        <v>4788.0</v>
      </c>
      <c r="B4788" s="5" t="s">
        <v>26105</v>
      </c>
      <c r="C4788" s="5" t="s">
        <v>26106</v>
      </c>
      <c r="D4788" s="5" t="s">
        <v>26107</v>
      </c>
      <c r="E4788" s="6" t="s">
        <v>11</v>
      </c>
      <c r="F4788" s="6" t="s">
        <v>26108</v>
      </c>
      <c r="G4788" s="3" t="str">
        <f>IFERROR(__xludf.DUMMYFUNCTION("REGEXREPLACE(
D4788,
""([一-龯々]+)\[([^\]]+)\]"",
""&lt;ruby&gt;$1&lt;rt&gt;$2&lt;/rt&gt;&lt;/ruby&gt;""
)&amp;""&lt;br&gt;&lt;div class=""""audio""""&gt;[sound:""&amp;C4788&amp;"".mp3]&lt;/div&gt;"""),"&lt;ruby&gt;雑&lt;rt&gt;ざつ&lt;/rt&gt;&lt;/ruby&gt;&lt;br&gt;&lt;div class=""audio""&gt;[sound:ざつ.mp3]&lt;/div&gt;")</f>
        <v>&lt;ruby&gt;雑&lt;rt&gt;ざつ&lt;/rt&gt;&lt;/ruby&gt;&lt;br&gt;&lt;div class="audio"&gt;[sound:ざつ.mp3]&lt;/div&gt;</v>
      </c>
      <c r="H4788" s="3" t="str">
        <f t="shared" si="1"/>
        <v>(adj): cẩu thả</v>
      </c>
      <c r="I4788" s="6" t="s">
        <v>26109</v>
      </c>
      <c r="J4788" s="6" t="s">
        <v>26110</v>
      </c>
      <c r="K4788" s="7">
        <f t="shared" si="2"/>
        <v>0.533951054</v>
      </c>
    </row>
    <row r="4789">
      <c r="A4789" s="4">
        <v>4789.0</v>
      </c>
      <c r="B4789" s="5" t="s">
        <v>26111</v>
      </c>
      <c r="C4789" s="5" t="s">
        <v>26112</v>
      </c>
      <c r="D4789" s="5" t="s">
        <v>26113</v>
      </c>
      <c r="E4789" s="6" t="s">
        <v>74</v>
      </c>
      <c r="F4789" s="6" t="s">
        <v>26114</v>
      </c>
      <c r="G4789" s="3" t="str">
        <f>IFERROR(__xludf.DUMMYFUNCTION("REGEXREPLACE(
D4789,
""([一-龯々]+)\[([^\]]+)\]"",
""&lt;ruby&gt;$1&lt;rt&gt;$2&lt;/rt&gt;&lt;/ruby&gt;""
)&amp;""&lt;br&gt;&lt;div class=""""audio""""&gt;[sound:""&amp;C4789&amp;"".mp3]&lt;/div&gt;"""),"&lt;ruby&gt;雑貨&lt;rt&gt;ざっか&lt;/rt&gt;&lt;/ruby&gt;&lt;br&gt;&lt;div class=""audio""&gt;[sound:ざっか.mp3]&lt;/div&gt;")</f>
        <v>&lt;ruby&gt;雑貨&lt;rt&gt;ざっか&lt;/rt&gt;&lt;/ruby&gt;&lt;br&gt;&lt;div class="audio"&gt;[sound:ざっか.mp3]&lt;/div&gt;</v>
      </c>
      <c r="H4789" s="3" t="str">
        <f t="shared" si="1"/>
        <v>(n): tạp hóa</v>
      </c>
      <c r="I4789" s="6" t="s">
        <v>26115</v>
      </c>
      <c r="J4789" s="6" t="s">
        <v>26116</v>
      </c>
      <c r="K4789" s="7">
        <f t="shared" si="2"/>
        <v>0.7314715595</v>
      </c>
    </row>
    <row r="4790">
      <c r="A4790" s="4">
        <v>4790.0</v>
      </c>
      <c r="B4790" s="5" t="s">
        <v>26117</v>
      </c>
      <c r="C4790" s="5" t="s">
        <v>26118</v>
      </c>
      <c r="D4790" s="5" t="s">
        <v>26119</v>
      </c>
      <c r="E4790" s="6" t="s">
        <v>74</v>
      </c>
      <c r="F4790" s="6" t="s">
        <v>26120</v>
      </c>
      <c r="G4790" s="3" t="str">
        <f>IFERROR(__xludf.DUMMYFUNCTION("REGEXREPLACE(
D4790,
""([一-龯々]+)\[([^\]]+)\]"",
""&lt;ruby&gt;$1&lt;rt&gt;$2&lt;/rt&gt;&lt;/ruby&gt;""
)&amp;""&lt;br&gt;&lt;div class=""""audio""""&gt;[sound:""&amp;C4790&amp;"".mp3]&lt;/div&gt;"""),"&lt;ruby&gt;顔付&lt;rt&gt;かおつ&lt;/rt&gt;&lt;/ruby&gt;き&lt;br&gt;&lt;div class=""audio""&gt;[sound:かおつき.mp3]&lt;/div&gt;")</f>
        <v>&lt;ruby&gt;顔付&lt;rt&gt;かおつ&lt;/rt&gt;&lt;/ruby&gt;き&lt;br&gt;&lt;div class="audio"&gt;[sound:かおつき.mp3]&lt;/div&gt;</v>
      </c>
      <c r="H4790" s="3" t="str">
        <f t="shared" si="1"/>
        <v>(n): nét mặt</v>
      </c>
      <c r="I4790" s="6" t="s">
        <v>26121</v>
      </c>
      <c r="J4790" s="6" t="s">
        <v>26122</v>
      </c>
      <c r="K4790" s="7">
        <f t="shared" si="2"/>
        <v>0.02427970222</v>
      </c>
    </row>
    <row r="4791">
      <c r="A4791" s="4">
        <v>4791.0</v>
      </c>
      <c r="B4791" s="5" t="s">
        <v>26123</v>
      </c>
      <c r="C4791" s="5" t="s">
        <v>26124</v>
      </c>
      <c r="D4791" s="5" t="s">
        <v>26123</v>
      </c>
      <c r="E4791" s="6" t="s">
        <v>33</v>
      </c>
      <c r="F4791" s="6" t="s">
        <v>99</v>
      </c>
      <c r="G4791" s="3" t="str">
        <f>IFERROR(__xludf.DUMMYFUNCTION("REGEXREPLACE(
D4791,
""([一-龯々]+)\[([^\]]+)\]"",
""&lt;ruby&gt;$1&lt;rt&gt;$2&lt;/rt&gt;&lt;/ruby&gt;""
)&amp;""&lt;br&gt;&lt;div class=""""audio""""&gt;[sound:""&amp;C4791&amp;"".mp3]&lt;/div&gt;"""),"サンキュー&lt;br&gt;&lt;div class=""audio""&gt;[sound:さんきゅー.mp3]&lt;/div&gt;")</f>
        <v>サンキュー&lt;br&gt;&lt;div class="audio"&gt;[sound:さんきゅー.mp3]&lt;/div&gt;</v>
      </c>
      <c r="H4791" s="3" t="str">
        <f t="shared" si="1"/>
        <v>(int): cảm ơn</v>
      </c>
      <c r="I4791" s="6" t="s">
        <v>26125</v>
      </c>
      <c r="J4791" s="6" t="s">
        <v>26126</v>
      </c>
      <c r="K4791" s="7">
        <f t="shared" si="2"/>
        <v>0.8678820622</v>
      </c>
    </row>
    <row r="4792">
      <c r="A4792" s="4">
        <v>4792.0</v>
      </c>
      <c r="B4792" s="5" t="s">
        <v>26127</v>
      </c>
      <c r="C4792" s="5" t="s">
        <v>26128</v>
      </c>
      <c r="D4792" s="5" t="s">
        <v>26127</v>
      </c>
      <c r="E4792" s="6" t="s">
        <v>74</v>
      </c>
      <c r="F4792" s="6" t="s">
        <v>26129</v>
      </c>
      <c r="G4792" s="3" t="str">
        <f>IFERROR(__xludf.DUMMYFUNCTION("REGEXREPLACE(
D4792,
""([一-龯々]+)\[([^\]]+)\]"",
""&lt;ruby&gt;$1&lt;rt&gt;$2&lt;/rt&gt;&lt;/ruby&gt;""
)&amp;""&lt;br&gt;&lt;div class=""""audio""""&gt;[sound:""&amp;C4792&amp;"".mp3]&lt;/div&gt;"""),"ソロ&lt;br&gt;&lt;div class=""audio""&gt;[sound:そろ.mp3]&lt;/div&gt;")</f>
        <v>ソロ&lt;br&gt;&lt;div class="audio"&gt;[sound:そろ.mp3]&lt;/div&gt;</v>
      </c>
      <c r="H4792" s="3" t="str">
        <f t="shared" si="1"/>
        <v>(n): đơn ca</v>
      </c>
      <c r="I4792" s="6" t="s">
        <v>26130</v>
      </c>
      <c r="J4792" s="6" t="s">
        <v>26131</v>
      </c>
      <c r="K4792" s="7">
        <f t="shared" si="2"/>
        <v>0.407991942</v>
      </c>
    </row>
    <row r="4793">
      <c r="A4793" s="4">
        <v>4793.0</v>
      </c>
      <c r="B4793" s="5" t="s">
        <v>26132</v>
      </c>
      <c r="C4793" s="5" t="s">
        <v>26132</v>
      </c>
      <c r="D4793" s="5" t="s">
        <v>26132</v>
      </c>
      <c r="E4793" s="6" t="s">
        <v>11</v>
      </c>
      <c r="F4793" s="6" t="s">
        <v>26133</v>
      </c>
      <c r="G4793" s="3" t="str">
        <f>IFERROR(__xludf.DUMMYFUNCTION("REGEXREPLACE(
D4793,
""([一-龯々]+)\[([^\]]+)\]"",
""&lt;ruby&gt;$1&lt;rt&gt;$2&lt;/rt&gt;&lt;/ruby&gt;""
)&amp;""&lt;br&gt;&lt;div class=""""audio""""&gt;[sound:""&amp;C4793&amp;"".mp3]&lt;/div&gt;"""),"たくましい&lt;br&gt;&lt;div class=""audio""&gt;[sound:たくましい.mp3]&lt;/div&gt;")</f>
        <v>たくましい&lt;br&gt;&lt;div class="audio"&gt;[sound:たくましい.mp3]&lt;/div&gt;</v>
      </c>
      <c r="H4793" s="3" t="str">
        <f t="shared" si="1"/>
        <v>(adj): vạm vỡ</v>
      </c>
      <c r="I4793" s="6" t="s">
        <v>26134</v>
      </c>
      <c r="J4793" s="6" t="s">
        <v>26135</v>
      </c>
      <c r="K4793" s="7">
        <f t="shared" si="2"/>
        <v>0.2130065508</v>
      </c>
    </row>
    <row r="4794">
      <c r="A4794" s="4">
        <v>4794.0</v>
      </c>
      <c r="B4794" s="5" t="s">
        <v>26136</v>
      </c>
      <c r="C4794" s="5" t="s">
        <v>26136</v>
      </c>
      <c r="D4794" s="5" t="s">
        <v>26136</v>
      </c>
      <c r="E4794" s="6" t="s">
        <v>11</v>
      </c>
      <c r="F4794" s="6" t="s">
        <v>26137</v>
      </c>
      <c r="G4794" s="3" t="str">
        <f>IFERROR(__xludf.DUMMYFUNCTION("REGEXREPLACE(
D4794,
""([一-龯々]+)\[([^\]]+)\]"",
""&lt;ruby&gt;$1&lt;rt&gt;$2&lt;/rt&gt;&lt;/ruby&gt;""
)&amp;""&lt;br&gt;&lt;div class=""""audio""""&gt;[sound:""&amp;C4794&amp;"".mp3]&lt;/div&gt;"""),"だるい&lt;br&gt;&lt;div class=""audio""&gt;[sound:だるい.mp3]&lt;/div&gt;")</f>
        <v>だるい&lt;br&gt;&lt;div class="audio"&gt;[sound:だるい.mp3]&lt;/div&gt;</v>
      </c>
      <c r="H4794" s="3" t="str">
        <f t="shared" si="1"/>
        <v>(adj): uể oải</v>
      </c>
      <c r="I4794" s="6" t="s">
        <v>26138</v>
      </c>
      <c r="J4794" s="6" t="s">
        <v>26139</v>
      </c>
      <c r="K4794" s="7">
        <f t="shared" si="2"/>
        <v>0.190205306</v>
      </c>
    </row>
    <row r="4795">
      <c r="A4795" s="4">
        <v>4795.0</v>
      </c>
      <c r="B4795" s="5" t="s">
        <v>26140</v>
      </c>
      <c r="C4795" s="5" t="s">
        <v>26141</v>
      </c>
      <c r="D4795" s="5" t="s">
        <v>26140</v>
      </c>
      <c r="E4795" s="6" t="s">
        <v>74</v>
      </c>
      <c r="F4795" s="6" t="s">
        <v>26142</v>
      </c>
      <c r="G4795" s="3" t="str">
        <f>IFERROR(__xludf.DUMMYFUNCTION("REGEXREPLACE(
D4795,
""([一-龯々]+)\[([^\]]+)\]"",
""&lt;ruby&gt;$1&lt;rt&gt;$2&lt;/rt&gt;&lt;/ruby&gt;""
)&amp;""&lt;br&gt;&lt;div class=""""audio""""&gt;[sound:""&amp;C4795&amp;"".mp3]&lt;/div&gt;"""),"ダンプ&lt;br&gt;&lt;div class=""audio""&gt;[sound:だんぷ.mp3]&lt;/div&gt;")</f>
        <v>ダンプ&lt;br&gt;&lt;div class="audio"&gt;[sound:だんぷ.mp3]&lt;/div&gt;</v>
      </c>
      <c r="H4795" s="3" t="str">
        <f t="shared" si="1"/>
        <v>(n): xe ben</v>
      </c>
      <c r="I4795" s="6" t="s">
        <v>26143</v>
      </c>
      <c r="J4795" s="6" t="s">
        <v>26144</v>
      </c>
      <c r="K4795" s="7">
        <f t="shared" si="2"/>
        <v>0.9889727254</v>
      </c>
    </row>
    <row r="4796">
      <c r="A4796" s="4">
        <v>4796.0</v>
      </c>
      <c r="B4796" s="5" t="s">
        <v>26145</v>
      </c>
      <c r="C4796" s="5" t="s">
        <v>26146</v>
      </c>
      <c r="D4796" s="5" t="s">
        <v>26147</v>
      </c>
      <c r="E4796" s="6" t="s">
        <v>74</v>
      </c>
      <c r="F4796" s="6" t="s">
        <v>26148</v>
      </c>
      <c r="G4796" s="3" t="str">
        <f>IFERROR(__xludf.DUMMYFUNCTION("REGEXREPLACE(
D4796,
""([一-龯々]+)\[([^\]]+)\]"",
""&lt;ruby&gt;$1&lt;rt&gt;$2&lt;/rt&gt;&lt;/ruby&gt;""
)&amp;""&lt;br&gt;&lt;div class=""""audio""""&gt;[sound:""&amp;C4796&amp;"".mp3]&lt;/div&gt;"""),"&lt;ruby&gt;仕掛&lt;rt&gt;しかけ&lt;/rt&gt;&lt;/ruby&gt;&lt;br&gt;&lt;div class=""audio""&gt;[sound:しかけ.mp3]&lt;/div&gt;")</f>
        <v>&lt;ruby&gt;仕掛&lt;rt&gt;しかけ&lt;/rt&gt;&lt;/ruby&gt;&lt;br&gt;&lt;div class="audio"&gt;[sound:しかけ.mp3]&lt;/div&gt;</v>
      </c>
      <c r="H4796" s="3" t="str">
        <f t="shared" si="1"/>
        <v>(n): cơ chế</v>
      </c>
      <c r="I4796" s="6" t="s">
        <v>26149</v>
      </c>
      <c r="J4796" s="6" t="s">
        <v>26150</v>
      </c>
      <c r="K4796" s="7">
        <f t="shared" si="2"/>
        <v>0.4887079585</v>
      </c>
    </row>
    <row r="4797">
      <c r="A4797" s="4">
        <v>4797.0</v>
      </c>
      <c r="B4797" s="5" t="s">
        <v>26151</v>
      </c>
      <c r="C4797" s="5" t="s">
        <v>26152</v>
      </c>
      <c r="D4797" s="5" t="s">
        <v>26153</v>
      </c>
      <c r="E4797" s="6" t="s">
        <v>74</v>
      </c>
      <c r="F4797" s="6" t="s">
        <v>16202</v>
      </c>
      <c r="G4797" s="3" t="str">
        <f>IFERROR(__xludf.DUMMYFUNCTION("REGEXREPLACE(
D4797,
""([一-龯々]+)\[([^\]]+)\]"",
""&lt;ruby&gt;$1&lt;rt&gt;$2&lt;/rt&gt;&lt;/ruby&gt;""
)&amp;""&lt;br&gt;&lt;div class=""""audio""""&gt;[sound:""&amp;C4797&amp;"".mp3]&lt;/div&gt;"""),"&lt;ruby&gt;優勢&lt;rt&gt;ゆうせい&lt;/rt&gt;&lt;/ruby&gt;&lt;br&gt;&lt;div class=""audio""&gt;[sound:ゆうせい.mp3]&lt;/div&gt;")</f>
        <v>&lt;ruby&gt;優勢&lt;rt&gt;ゆうせい&lt;/rt&gt;&lt;/ruby&gt;&lt;br&gt;&lt;div class="audio"&gt;[sound:ゆうせい.mp3]&lt;/div&gt;</v>
      </c>
      <c r="H4797" s="3" t="str">
        <f t="shared" si="1"/>
        <v>(n): ưu thế</v>
      </c>
      <c r="I4797" s="6" t="s">
        <v>26154</v>
      </c>
      <c r="J4797" s="6" t="s">
        <v>26155</v>
      </c>
      <c r="K4797" s="7">
        <f t="shared" si="2"/>
        <v>0.9015056876</v>
      </c>
    </row>
    <row r="4798">
      <c r="A4798" s="4">
        <v>4798.0</v>
      </c>
      <c r="B4798" s="5" t="s">
        <v>26156</v>
      </c>
      <c r="C4798" s="5" t="s">
        <v>26157</v>
      </c>
      <c r="D4798" s="5" t="s">
        <v>26158</v>
      </c>
      <c r="E4798" s="6" t="s">
        <v>74</v>
      </c>
      <c r="F4798" s="6" t="s">
        <v>26159</v>
      </c>
      <c r="G4798" s="3" t="str">
        <f>IFERROR(__xludf.DUMMYFUNCTION("REGEXREPLACE(
D4798,
""([一-龯々]+)\[([^\]]+)\]"",
""&lt;ruby&gt;$1&lt;rt&gt;$2&lt;/rt&gt;&lt;/ruby&gt;""
)&amp;""&lt;br&gt;&lt;div class=""""audio""""&gt;[sound:""&amp;C4798&amp;"".mp3]&lt;/div&gt;"""),"&lt;ruby&gt;分母&lt;rt&gt;ぶんぼ&lt;/rt&gt;&lt;/ruby&gt;&lt;br&gt;&lt;div class=""audio""&gt;[sound:ぶんぼ.mp3]&lt;/div&gt;")</f>
        <v>&lt;ruby&gt;分母&lt;rt&gt;ぶんぼ&lt;/rt&gt;&lt;/ruby&gt;&lt;br&gt;&lt;div class="audio"&gt;[sound:ぶんぼ.mp3]&lt;/div&gt;</v>
      </c>
      <c r="H4798" s="3" t="str">
        <f t="shared" si="1"/>
        <v>(n): mẫu số</v>
      </c>
      <c r="I4798" s="6" t="s">
        <v>26160</v>
      </c>
      <c r="J4798" s="6" t="s">
        <v>26161</v>
      </c>
      <c r="K4798" s="7">
        <f t="shared" si="2"/>
        <v>0.1465607204</v>
      </c>
    </row>
    <row r="4799">
      <c r="A4799" s="4">
        <v>4799.0</v>
      </c>
      <c r="B4799" s="5" t="s">
        <v>26162</v>
      </c>
      <c r="C4799" s="5" t="s">
        <v>26163</v>
      </c>
      <c r="D4799" s="5" t="s">
        <v>26164</v>
      </c>
      <c r="E4799" s="6" t="s">
        <v>74</v>
      </c>
      <c r="F4799" s="6" t="s">
        <v>18136</v>
      </c>
      <c r="G4799" s="3" t="str">
        <f>IFERROR(__xludf.DUMMYFUNCTION("REGEXREPLACE(
D4799,
""([一-龯々]+)\[([^\]]+)\]"",
""&lt;ruby&gt;$1&lt;rt&gt;$2&lt;/rt&gt;&lt;/ruby&gt;""
)&amp;""&lt;br&gt;&lt;div class=""""audio""""&gt;[sound:""&amp;C4799&amp;"".mp3]&lt;/div&gt;"""),"&lt;ruby&gt;十字路&lt;rt&gt;じゅうじろ&lt;/rt&gt;&lt;/ruby&gt;&lt;br&gt;&lt;div class=""audio""&gt;[sound:じゅうじろ.mp3]&lt;/div&gt;")</f>
        <v>&lt;ruby&gt;十字路&lt;rt&gt;じゅうじろ&lt;/rt&gt;&lt;/ruby&gt;&lt;br&gt;&lt;div class="audio"&gt;[sound:じゅうじろ.mp3]&lt;/div&gt;</v>
      </c>
      <c r="H4799" s="3" t="str">
        <f t="shared" si="1"/>
        <v>(n): ngã tư</v>
      </c>
      <c r="I4799" s="6" t="s">
        <v>26165</v>
      </c>
      <c r="J4799" s="6" t="s">
        <v>26166</v>
      </c>
      <c r="K4799" s="7">
        <f t="shared" si="2"/>
        <v>0.2229007172</v>
      </c>
    </row>
    <row r="4800">
      <c r="A4800" s="4">
        <v>4800.0</v>
      </c>
      <c r="B4800" s="5" t="s">
        <v>26167</v>
      </c>
      <c r="C4800" s="5" t="s">
        <v>26168</v>
      </c>
      <c r="D4800" s="5" t="s">
        <v>26169</v>
      </c>
      <c r="E4800" s="6" t="s">
        <v>74</v>
      </c>
      <c r="F4800" s="6" t="s">
        <v>26170</v>
      </c>
      <c r="G4800" s="3" t="str">
        <f>IFERROR(__xludf.DUMMYFUNCTION("REGEXREPLACE(
D4800,
""([一-龯々]+)\[([^\]]+)\]"",
""&lt;ruby&gt;$1&lt;rt&gt;$2&lt;/rt&gt;&lt;/ruby&gt;""
)&amp;""&lt;br&gt;&lt;div class=""""audio""""&gt;[sound:""&amp;C4800&amp;"".mp3]&lt;/div&gt;"""),"&lt;ruby&gt;土俵&lt;rt&gt;どひょう&lt;/rt&gt;&lt;/ruby&gt;&lt;br&gt;&lt;div class=""audio""&gt;[sound:どひょう.mp3]&lt;/div&gt;")</f>
        <v>&lt;ruby&gt;土俵&lt;rt&gt;どひょう&lt;/rt&gt;&lt;/ruby&gt;&lt;br&gt;&lt;div class="audio"&gt;[sound:どひょう.mp3]&lt;/div&gt;</v>
      </c>
      <c r="H4800" s="3" t="str">
        <f t="shared" si="1"/>
        <v>(n): võ đài</v>
      </c>
      <c r="I4800" s="6" t="s">
        <v>26171</v>
      </c>
      <c r="J4800" s="6" t="s">
        <v>26172</v>
      </c>
      <c r="K4800" s="7">
        <f t="shared" si="2"/>
        <v>0.6497479553</v>
      </c>
    </row>
    <row r="4801">
      <c r="A4801" s="4">
        <v>4801.0</v>
      </c>
      <c r="B4801" s="5" t="s">
        <v>26173</v>
      </c>
      <c r="C4801" s="5" t="s">
        <v>26174</v>
      </c>
      <c r="D4801" s="5" t="s">
        <v>26175</v>
      </c>
      <c r="E4801" s="6" t="s">
        <v>24</v>
      </c>
      <c r="F4801" s="6" t="s">
        <v>3674</v>
      </c>
      <c r="G4801" s="3" t="str">
        <f>IFERROR(__xludf.DUMMYFUNCTION("REGEXREPLACE(
D4801,
""([一-龯々]+)\[([^\]]+)\]"",
""&lt;ruby&gt;$1&lt;rt&gt;$2&lt;/rt&gt;&lt;/ruby&gt;""
)&amp;""&lt;br&gt;&lt;div class=""""audio""""&gt;[sound:""&amp;C4801&amp;"".mp3]&lt;/div&gt;"""),"&lt;ruby&gt;墜落&lt;rt&gt;ついらく&lt;/rt&gt;&lt;/ruby&gt;&lt;br&gt;&lt;div class=""audio""&gt;[sound:ついらく.mp3]&lt;/div&gt;")</f>
        <v>&lt;ruby&gt;墜落&lt;rt&gt;ついらく&lt;/rt&gt;&lt;/ruby&gt;&lt;br&gt;&lt;div class="audio"&gt;[sound:ついらく.mp3]&lt;/div&gt;</v>
      </c>
      <c r="H4801" s="3" t="str">
        <f t="shared" si="1"/>
        <v>(v): rơi</v>
      </c>
      <c r="I4801" s="6" t="s">
        <v>26176</v>
      </c>
      <c r="J4801" s="6" t="s">
        <v>26177</v>
      </c>
      <c r="K4801" s="7">
        <f t="shared" si="2"/>
        <v>0.7981059193</v>
      </c>
    </row>
    <row r="4802">
      <c r="A4802" s="4">
        <v>4802.0</v>
      </c>
      <c r="B4802" s="5" t="s">
        <v>26178</v>
      </c>
      <c r="C4802" s="5" t="s">
        <v>26179</v>
      </c>
      <c r="D4802" s="5" t="s">
        <v>26180</v>
      </c>
      <c r="E4802" s="6" t="s">
        <v>74</v>
      </c>
      <c r="F4802" s="6" t="s">
        <v>26181</v>
      </c>
      <c r="G4802" s="3" t="str">
        <f>IFERROR(__xludf.DUMMYFUNCTION("REGEXREPLACE(
D4802,
""([一-龯々]+)\[([^\]]+)\]"",
""&lt;ruby&gt;$1&lt;rt&gt;$2&lt;/rt&gt;&lt;/ruby&gt;""
)&amp;""&lt;br&gt;&lt;div class=""""audio""""&gt;[sound:""&amp;C4802&amp;"".mp3]&lt;/div&gt;"""),"&lt;ruby&gt;物資&lt;rt&gt;ぶっし&lt;/rt&gt;&lt;/ruby&gt;&lt;br&gt;&lt;div class=""audio""&gt;[sound:ぶっし.mp3]&lt;/div&gt;")</f>
        <v>&lt;ruby&gt;物資&lt;rt&gt;ぶっし&lt;/rt&gt;&lt;/ruby&gt;&lt;br&gt;&lt;div class="audio"&gt;[sound:ぶっし.mp3]&lt;/div&gt;</v>
      </c>
      <c r="H4802" s="3" t="str">
        <f t="shared" si="1"/>
        <v>(n): vật tư</v>
      </c>
      <c r="I4802" s="6" t="s">
        <v>26182</v>
      </c>
      <c r="J4802" s="6" t="s">
        <v>26183</v>
      </c>
      <c r="K4802" s="7">
        <f t="shared" si="2"/>
        <v>0.3509957079</v>
      </c>
    </row>
    <row r="4803">
      <c r="A4803" s="4">
        <v>4803.0</v>
      </c>
      <c r="B4803" s="5" t="s">
        <v>26184</v>
      </c>
      <c r="C4803" s="5" t="s">
        <v>26185</v>
      </c>
      <c r="D4803" s="5" t="s">
        <v>26186</v>
      </c>
      <c r="E4803" s="6" t="s">
        <v>24</v>
      </c>
      <c r="F4803" s="6" t="s">
        <v>26187</v>
      </c>
      <c r="G4803" s="3" t="str">
        <f>IFERROR(__xludf.DUMMYFUNCTION("REGEXREPLACE(
D4803,
""([一-龯々]+)\[([^\]]+)\]"",
""&lt;ruby&gt;$1&lt;rt&gt;$2&lt;/rt&gt;&lt;/ruby&gt;""
)&amp;""&lt;br&gt;&lt;div class=""""audio""""&gt;[sound:""&amp;C4803&amp;"".mp3]&lt;/div&gt;"""),"&lt;ruby&gt;脅&lt;rt&gt;おど&lt;/rt&gt;&lt;/ruby&gt;す&lt;br&gt;&lt;div class=""audio""&gt;[sound:おどす.mp3]&lt;/div&gt;")</f>
        <v>&lt;ruby&gt;脅&lt;rt&gt;おど&lt;/rt&gt;&lt;/ruby&gt;す&lt;br&gt;&lt;div class="audio"&gt;[sound:おどす.mp3]&lt;/div&gt;</v>
      </c>
      <c r="H4803" s="3" t="str">
        <f t="shared" si="1"/>
        <v>(v): đe dọa</v>
      </c>
      <c r="I4803" s="6" t="s">
        <v>26188</v>
      </c>
      <c r="J4803" s="6" t="s">
        <v>26189</v>
      </c>
      <c r="K4803" s="7">
        <f t="shared" si="2"/>
        <v>0.955778822</v>
      </c>
    </row>
    <row r="4804">
      <c r="A4804" s="4">
        <v>4804.0</v>
      </c>
      <c r="B4804" s="5" t="s">
        <v>26190</v>
      </c>
      <c r="C4804" s="5" t="s">
        <v>26191</v>
      </c>
      <c r="D4804" s="5" t="s">
        <v>26192</v>
      </c>
      <c r="E4804" s="6" t="s">
        <v>74</v>
      </c>
      <c r="F4804" s="6" t="s">
        <v>26193</v>
      </c>
      <c r="G4804" s="3" t="str">
        <f>IFERROR(__xludf.DUMMYFUNCTION("REGEXREPLACE(
D4804,
""([一-龯々]+)\[([^\]]+)\]"",
""&lt;ruby&gt;$1&lt;rt&gt;$2&lt;/rt&gt;&lt;/ruby&gt;""
)&amp;""&lt;br&gt;&lt;div class=""""audio""""&gt;[sound:""&amp;C4804&amp;"".mp3]&lt;/div&gt;"""),"&lt;ruby&gt;親父&lt;rt&gt;おやじ&lt;/rt&gt;&lt;/ruby&gt;&lt;br&gt;&lt;div class=""audio""&gt;[sound:おやじ.mp3]&lt;/div&gt;")</f>
        <v>&lt;ruby&gt;親父&lt;rt&gt;おやじ&lt;/rt&gt;&lt;/ruby&gt;&lt;br&gt;&lt;div class="audio"&gt;[sound:おやじ.mp3]&lt;/div&gt;</v>
      </c>
      <c r="H4804" s="3" t="str">
        <f t="shared" si="1"/>
        <v>(n): ông bố</v>
      </c>
      <c r="I4804" s="6" t="s">
        <v>26194</v>
      </c>
      <c r="J4804" s="6" t="s">
        <v>26195</v>
      </c>
      <c r="K4804" s="7">
        <f t="shared" si="2"/>
        <v>0.1678875696</v>
      </c>
    </row>
    <row r="4805">
      <c r="A4805" s="4">
        <v>4805.0</v>
      </c>
      <c r="B4805" s="5" t="s">
        <v>26196</v>
      </c>
      <c r="C4805" s="5" t="s">
        <v>26197</v>
      </c>
      <c r="D4805" s="5" t="s">
        <v>26198</v>
      </c>
      <c r="E4805" s="6" t="s">
        <v>24</v>
      </c>
      <c r="F4805" s="6" t="s">
        <v>26199</v>
      </c>
      <c r="G4805" s="3" t="str">
        <f>IFERROR(__xludf.DUMMYFUNCTION("REGEXREPLACE(
D4805,
""([一-龯々]+)\[([^\]]+)\]"",
""&lt;ruby&gt;$1&lt;rt&gt;$2&lt;/rt&gt;&lt;/ruby&gt;""
)&amp;""&lt;br&gt;&lt;div class=""""audio""""&gt;[sound:""&amp;C4805&amp;"".mp3]&lt;/div&gt;"""),"&lt;ruby&gt;読&lt;rt&gt;よ&lt;/rt&gt;&lt;/ruby&gt;み&lt;ruby&gt;上&lt;rt&gt;あ&lt;/rt&gt;&lt;/ruby&gt;げる&lt;br&gt;&lt;div class=""audio""&gt;[sound:よみあげる.mp3]&lt;/div&gt;")</f>
        <v>&lt;ruby&gt;読&lt;rt&gt;よ&lt;/rt&gt;&lt;/ruby&gt;み&lt;ruby&gt;上&lt;rt&gt;あ&lt;/rt&gt;&lt;/ruby&gt;げる&lt;br&gt;&lt;div class="audio"&gt;[sound:よみあげる.mp3]&lt;/div&gt;</v>
      </c>
      <c r="H4805" s="3" t="str">
        <f t="shared" si="1"/>
        <v>(v): đọc to</v>
      </c>
      <c r="I4805" s="6" t="s">
        <v>26200</v>
      </c>
      <c r="J4805" s="6" t="s">
        <v>26201</v>
      </c>
      <c r="K4805" s="7">
        <f t="shared" si="2"/>
        <v>0.891191509</v>
      </c>
    </row>
    <row r="4806">
      <c r="A4806" s="4">
        <v>4806.0</v>
      </c>
      <c r="B4806" s="5" t="s">
        <v>26202</v>
      </c>
      <c r="C4806" s="5" t="s">
        <v>26203</v>
      </c>
      <c r="D4806" s="5" t="s">
        <v>26204</v>
      </c>
      <c r="E4806" s="6" t="s">
        <v>74</v>
      </c>
      <c r="F4806" s="6" t="s">
        <v>2581</v>
      </c>
      <c r="G4806" s="3" t="str">
        <f>IFERROR(__xludf.DUMMYFUNCTION("REGEXREPLACE(
D4806,
""([一-龯々]+)\[([^\]]+)\]"",
""&lt;ruby&gt;$1&lt;rt&gt;$2&lt;/rt&gt;&lt;/ruby&gt;""
)&amp;""&lt;br&gt;&lt;div class=""""audio""""&gt;[sound:""&amp;C4806&amp;"".mp3]&lt;/div&gt;"""),"&lt;ruby&gt;趣&lt;rt&gt;おもむき&lt;/rt&gt;&lt;/ruby&gt;&lt;br&gt;&lt;div class=""audio""&gt;[sound:おもむき.mp3]&lt;/div&gt;")</f>
        <v>&lt;ruby&gt;趣&lt;rt&gt;おもむき&lt;/rt&gt;&lt;/ruby&gt;&lt;br&gt;&lt;div class="audio"&gt;[sound:おもむき.mp3]&lt;/div&gt;</v>
      </c>
      <c r="H4806" s="3" t="str">
        <f t="shared" si="1"/>
        <v>(n): vẻ đẹp</v>
      </c>
      <c r="I4806" s="6" t="s">
        <v>26205</v>
      </c>
      <c r="J4806" s="6" t="s">
        <v>26206</v>
      </c>
      <c r="K4806" s="7">
        <f t="shared" si="2"/>
        <v>0.9764667619</v>
      </c>
    </row>
    <row r="4807">
      <c r="A4807" s="4">
        <v>4807.0</v>
      </c>
      <c r="B4807" s="5" t="s">
        <v>26207</v>
      </c>
      <c r="C4807" s="5" t="s">
        <v>26208</v>
      </c>
      <c r="D4807" s="5" t="s">
        <v>26209</v>
      </c>
      <c r="E4807" s="6" t="s">
        <v>74</v>
      </c>
      <c r="F4807" s="6" t="s">
        <v>26210</v>
      </c>
      <c r="G4807" s="3" t="str">
        <f>IFERROR(__xludf.DUMMYFUNCTION("REGEXREPLACE(
D4807,
""([一-龯々]+)\[([^\]]+)\]"",
""&lt;ruby&gt;$1&lt;rt&gt;$2&lt;/rt&gt;&lt;/ruby&gt;""
)&amp;""&lt;br&gt;&lt;div class=""""audio""""&gt;[sound:""&amp;C4807&amp;"".mp3]&lt;/div&gt;"""),"&lt;ruby&gt;香辛料&lt;rt&gt;こうしんりょう&lt;/rt&gt;&lt;/ruby&gt;&lt;br&gt;&lt;div class=""audio""&gt;[sound:こうしんりょう.mp3]&lt;/div&gt;")</f>
        <v>&lt;ruby&gt;香辛料&lt;rt&gt;こうしんりょう&lt;/rt&gt;&lt;/ruby&gt;&lt;br&gt;&lt;div class="audio"&gt;[sound:こうしんりょう.mp3]&lt;/div&gt;</v>
      </c>
      <c r="H4807" s="3" t="str">
        <f t="shared" si="1"/>
        <v>(n): gia vị</v>
      </c>
      <c r="I4807" s="6" t="s">
        <v>26211</v>
      </c>
      <c r="J4807" s="6" t="s">
        <v>26212</v>
      </c>
      <c r="K4807" s="7">
        <f t="shared" si="2"/>
        <v>0.4890930247</v>
      </c>
    </row>
    <row r="4808">
      <c r="A4808" s="4">
        <v>4808.0</v>
      </c>
      <c r="B4808" s="5" t="s">
        <v>26213</v>
      </c>
      <c r="C4808" s="5" t="s">
        <v>26214</v>
      </c>
      <c r="D4808" s="5" t="s">
        <v>26213</v>
      </c>
      <c r="E4808" s="6" t="s">
        <v>74</v>
      </c>
      <c r="F4808" s="6" t="s">
        <v>24673</v>
      </c>
      <c r="G4808" s="3" t="str">
        <f>IFERROR(__xludf.DUMMYFUNCTION("REGEXREPLACE(
D4808,
""([一-龯々]+)\[([^\]]+)\]"",
""&lt;ruby&gt;$1&lt;rt&gt;$2&lt;/rt&gt;&lt;/ruby&gt;""
)&amp;""&lt;br&gt;&lt;div class=""""audio""""&gt;[sound:""&amp;C4808&amp;"".mp3]&lt;/div&gt;"""),"スプリング&lt;br&gt;&lt;div class=""audio""&gt;[sound:すぷりんぐ.mp3]&lt;/div&gt;")</f>
        <v>スプリング&lt;br&gt;&lt;div class="audio"&gt;[sound:すぷりんぐ.mp3]&lt;/div&gt;</v>
      </c>
      <c r="H4808" s="3" t="str">
        <f t="shared" si="1"/>
        <v>(n): lò xo</v>
      </c>
      <c r="I4808" s="6" t="s">
        <v>26215</v>
      </c>
      <c r="J4808" s="6" t="s">
        <v>26216</v>
      </c>
      <c r="K4808" s="7">
        <f t="shared" si="2"/>
        <v>0.2092523987</v>
      </c>
    </row>
    <row r="4809">
      <c r="A4809" s="4">
        <v>4809.0</v>
      </c>
      <c r="B4809" s="5" t="s">
        <v>26217</v>
      </c>
      <c r="C4809" s="5" t="s">
        <v>26218</v>
      </c>
      <c r="D4809" s="5" t="s">
        <v>26219</v>
      </c>
      <c r="E4809" s="6" t="s">
        <v>24</v>
      </c>
      <c r="F4809" s="6" t="s">
        <v>26220</v>
      </c>
      <c r="G4809" s="3" t="str">
        <f>IFERROR(__xludf.DUMMYFUNCTION("REGEXREPLACE(
D4809,
""([一-龯々]+)\[([^\]]+)\]"",
""&lt;ruby&gt;$1&lt;rt&gt;$2&lt;/rt&gt;&lt;/ruby&gt;""
)&amp;""&lt;br&gt;&lt;div class=""""audio""""&gt;[sound:""&amp;C4809&amp;"".mp3]&lt;/div&gt;"""),"&lt;ruby&gt;切開&lt;rt&gt;せっかい&lt;/rt&gt;&lt;/ruby&gt;&lt;br&gt;&lt;div class=""audio""&gt;[sound:せっかい.mp3]&lt;/div&gt;")</f>
        <v>&lt;ruby&gt;切開&lt;rt&gt;せっかい&lt;/rt&gt;&lt;/ruby&gt;&lt;br&gt;&lt;div class="audio"&gt;[sound:せっかい.mp3]&lt;/div&gt;</v>
      </c>
      <c r="H4809" s="3" t="str">
        <f t="shared" si="1"/>
        <v>(v): mổ</v>
      </c>
      <c r="I4809" s="6" t="s">
        <v>26221</v>
      </c>
      <c r="J4809" s="6" t="s">
        <v>26222</v>
      </c>
      <c r="K4809" s="7">
        <f t="shared" si="2"/>
        <v>0.378539314</v>
      </c>
    </row>
    <row r="4810">
      <c r="A4810" s="4">
        <v>4810.0</v>
      </c>
      <c r="B4810" s="5" t="s">
        <v>26223</v>
      </c>
      <c r="C4810" s="5" t="s">
        <v>26224</v>
      </c>
      <c r="D4810" s="5" t="s">
        <v>26225</v>
      </c>
      <c r="E4810" s="6" t="s">
        <v>74</v>
      </c>
      <c r="F4810" s="6" t="s">
        <v>26226</v>
      </c>
      <c r="G4810" s="3" t="str">
        <f>IFERROR(__xludf.DUMMYFUNCTION("REGEXREPLACE(
D4810,
""([一-龯々]+)\[([^\]]+)\]"",
""&lt;ruby&gt;$1&lt;rt&gt;$2&lt;/rt&gt;&lt;/ruby&gt;""
)&amp;""&lt;br&gt;&lt;div class=""""audio""""&gt;[sound:""&amp;C4810&amp;"".mp3]&lt;/div&gt;"""),"&lt;ruby&gt;土手&lt;rt&gt;どて&lt;/rt&gt;&lt;/ruby&gt;&lt;br&gt;&lt;div class=""audio""&gt;[sound:どて.mp3]&lt;/div&gt;")</f>
        <v>&lt;ruby&gt;土手&lt;rt&gt;どて&lt;/rt&gt;&lt;/ruby&gt;&lt;br&gt;&lt;div class="audio"&gt;[sound:どて.mp3]&lt;/div&gt;</v>
      </c>
      <c r="H4810" s="3" t="str">
        <f t="shared" si="1"/>
        <v>(n): bờ đê</v>
      </c>
      <c r="I4810" s="6" t="s">
        <v>26227</v>
      </c>
      <c r="J4810" s="6" t="s">
        <v>26228</v>
      </c>
      <c r="K4810" s="7">
        <f t="shared" si="2"/>
        <v>0.8657738601</v>
      </c>
    </row>
    <row r="4811">
      <c r="A4811" s="4">
        <v>4811.0</v>
      </c>
      <c r="B4811" s="5" t="s">
        <v>26229</v>
      </c>
      <c r="C4811" s="5" t="s">
        <v>26230</v>
      </c>
      <c r="D4811" s="5" t="s">
        <v>26231</v>
      </c>
      <c r="E4811" s="6" t="s">
        <v>24</v>
      </c>
      <c r="F4811" s="6" t="s">
        <v>26232</v>
      </c>
      <c r="G4811" s="3" t="str">
        <f>IFERROR(__xludf.DUMMYFUNCTION("REGEXREPLACE(
D4811,
""([一-龯々]+)\[([^\]]+)\]"",
""&lt;ruby&gt;$1&lt;rt&gt;$2&lt;/rt&gt;&lt;/ruby&gt;""
)&amp;""&lt;br&gt;&lt;div class=""""audio""""&gt;[sound:""&amp;C4811&amp;"".mp3]&lt;/div&gt;"""),"&lt;ruby&gt;染&lt;rt&gt;そ&lt;/rt&gt;&lt;/ruby&gt;める&lt;br&gt;&lt;div class=""audio""&gt;[sound:そめる.mp3]&lt;/div&gt;")</f>
        <v>&lt;ruby&gt;染&lt;rt&gt;そ&lt;/rt&gt;&lt;/ruby&gt;める&lt;br&gt;&lt;div class="audio"&gt;[sound:そめる.mp3]&lt;/div&gt;</v>
      </c>
      <c r="H4811" s="3" t="str">
        <f t="shared" si="1"/>
        <v>(v): nhuộm</v>
      </c>
      <c r="I4811" s="6" t="s">
        <v>26233</v>
      </c>
      <c r="J4811" s="6" t="s">
        <v>26234</v>
      </c>
      <c r="K4811" s="7">
        <f t="shared" si="2"/>
        <v>0.317842241</v>
      </c>
    </row>
    <row r="4812">
      <c r="A4812" s="4">
        <v>4812.0</v>
      </c>
      <c r="B4812" s="5" t="s">
        <v>26235</v>
      </c>
      <c r="C4812" s="5" t="s">
        <v>26236</v>
      </c>
      <c r="D4812" s="5" t="s">
        <v>26237</v>
      </c>
      <c r="E4812" s="6" t="s">
        <v>74</v>
      </c>
      <c r="F4812" s="6" t="s">
        <v>26238</v>
      </c>
      <c r="G4812" s="3" t="str">
        <f>IFERROR(__xludf.DUMMYFUNCTION("REGEXREPLACE(
D4812,
""([一-龯々]+)\[([^\]]+)\]"",
""&lt;ruby&gt;$1&lt;rt&gt;$2&lt;/rt&gt;&lt;/ruby&gt;""
)&amp;""&lt;br&gt;&lt;div class=""""audio""""&gt;[sound:""&amp;C4812&amp;"".mp3]&lt;/div&gt;"""),"&lt;ruby&gt;理屈&lt;rt&gt;りくつ&lt;/rt&gt;&lt;/ruby&gt;&lt;br&gt;&lt;div class=""audio""&gt;[sound:りくつ.mp3]&lt;/div&gt;")</f>
        <v>&lt;ruby&gt;理屈&lt;rt&gt;りくつ&lt;/rt&gt;&lt;/ruby&gt;&lt;br&gt;&lt;div class="audio"&gt;[sound:りくつ.mp3]&lt;/div&gt;</v>
      </c>
      <c r="H4812" s="3" t="str">
        <f t="shared" si="1"/>
        <v>(n): lý lẽ</v>
      </c>
      <c r="I4812" s="6" t="s">
        <v>26239</v>
      </c>
      <c r="J4812" s="6" t="s">
        <v>26240</v>
      </c>
      <c r="K4812" s="7">
        <f t="shared" si="2"/>
        <v>0.009225671344</v>
      </c>
    </row>
    <row r="4813">
      <c r="A4813" s="4">
        <v>4813.0</v>
      </c>
      <c r="B4813" s="5" t="s">
        <v>26241</v>
      </c>
      <c r="C4813" s="5" t="s">
        <v>26242</v>
      </c>
      <c r="D4813" s="5" t="s">
        <v>26243</v>
      </c>
      <c r="E4813" s="6" t="s">
        <v>11</v>
      </c>
      <c r="F4813" s="6" t="s">
        <v>26244</v>
      </c>
      <c r="G4813" s="3" t="str">
        <f>IFERROR(__xludf.DUMMYFUNCTION("REGEXREPLACE(
D4813,
""([一-龯々]+)\[([^\]]+)\]"",
""&lt;ruby&gt;$1&lt;rt&gt;$2&lt;/rt&gt;&lt;/ruby&gt;""
)&amp;""&lt;br&gt;&lt;div class=""""audio""""&gt;[sound:""&amp;C4813&amp;"".mp3]&lt;/div&gt;"""),"&lt;ruby&gt;脆&lt;rt&gt;もろ&lt;/rt&gt;&lt;/ruby&gt;い&lt;br&gt;&lt;div class=""audio""&gt;[sound:もろい.mp3]&lt;/div&gt;")</f>
        <v>&lt;ruby&gt;脆&lt;rt&gt;もろ&lt;/rt&gt;&lt;/ruby&gt;い&lt;br&gt;&lt;div class="audio"&gt;[sound:もろい.mp3]&lt;/div&gt;</v>
      </c>
      <c r="H4813" s="3" t="str">
        <f t="shared" si="1"/>
        <v>(adj): dễ vỡ</v>
      </c>
      <c r="I4813" s="6" t="s">
        <v>26245</v>
      </c>
      <c r="J4813" s="6" t="s">
        <v>26246</v>
      </c>
      <c r="K4813" s="7">
        <f t="shared" si="2"/>
        <v>0.5588641777</v>
      </c>
    </row>
    <row r="4814">
      <c r="A4814" s="4">
        <v>4814.0</v>
      </c>
      <c r="B4814" s="5" t="s">
        <v>26247</v>
      </c>
      <c r="C4814" s="5" t="s">
        <v>26248</v>
      </c>
      <c r="D4814" s="5" t="s">
        <v>26249</v>
      </c>
      <c r="E4814" s="6" t="s">
        <v>24</v>
      </c>
      <c r="F4814" s="6" t="s">
        <v>26250</v>
      </c>
      <c r="G4814" s="3" t="str">
        <f>IFERROR(__xludf.DUMMYFUNCTION("REGEXREPLACE(
D4814,
""([一-龯々]+)\[([^\]]+)\]"",
""&lt;ruby&gt;$1&lt;rt&gt;$2&lt;/rt&gt;&lt;/ruby&gt;""
)&amp;""&lt;br&gt;&lt;div class=""""audio""""&gt;[sound:""&amp;C4814&amp;"".mp3]&lt;/div&gt;"""),"&lt;ruby&gt;膨&lt;rt&gt;ふく&lt;/rt&gt;&lt;/ruby&gt;れる&lt;br&gt;&lt;div class=""audio""&gt;[sound:ふくれる.mp3]&lt;/div&gt;")</f>
        <v>&lt;ruby&gt;膨&lt;rt&gt;ふく&lt;/rt&gt;&lt;/ruby&gt;れる&lt;br&gt;&lt;div class="audio"&gt;[sound:ふくれる.mp3]&lt;/div&gt;</v>
      </c>
      <c r="H4814" s="3" t="str">
        <f t="shared" si="1"/>
        <v>(v): phồng</v>
      </c>
      <c r="I4814" s="6" t="s">
        <v>26251</v>
      </c>
      <c r="J4814" s="6" t="s">
        <v>26252</v>
      </c>
      <c r="K4814" s="7">
        <f t="shared" si="2"/>
        <v>0.4376706805</v>
      </c>
    </row>
    <row r="4815">
      <c r="A4815" s="4">
        <v>4815.0</v>
      </c>
      <c r="B4815" s="5" t="s">
        <v>26253</v>
      </c>
      <c r="C4815" s="5" t="s">
        <v>26254</v>
      </c>
      <c r="D4815" s="5" t="s">
        <v>26255</v>
      </c>
      <c r="E4815" s="6" t="s">
        <v>24</v>
      </c>
      <c r="F4815" s="6" t="s">
        <v>26256</v>
      </c>
      <c r="G4815" s="3" t="str">
        <f>IFERROR(__xludf.DUMMYFUNCTION("REGEXREPLACE(
D4815,
""([一-龯々]+)\[([^\]]+)\]"",
""&lt;ruby&gt;$1&lt;rt&gt;$2&lt;/rt&gt;&lt;/ruby&gt;""
)&amp;""&lt;br&gt;&lt;div class=""""audio""""&gt;[sound:""&amp;C4815&amp;"".mp3]&lt;/div&gt;"""),"&lt;ruby&gt;剥&lt;rt&gt;は&lt;/rt&gt;&lt;/ruby&gt;げる&lt;br&gt;&lt;div class=""audio""&gt;[sound:はげる.mp3]&lt;/div&gt;")</f>
        <v>&lt;ruby&gt;剥&lt;rt&gt;は&lt;/rt&gt;&lt;/ruby&gt;げる&lt;br&gt;&lt;div class="audio"&gt;[sound:はげる.mp3]&lt;/div&gt;</v>
      </c>
      <c r="H4815" s="3" t="str">
        <f t="shared" si="1"/>
        <v>(v): bong</v>
      </c>
      <c r="I4815" s="6" t="s">
        <v>26257</v>
      </c>
      <c r="J4815" s="6" t="s">
        <v>26258</v>
      </c>
      <c r="K4815" s="7">
        <f t="shared" si="2"/>
        <v>0.3517139716</v>
      </c>
    </row>
    <row r="4816">
      <c r="A4816" s="4">
        <v>4816.0</v>
      </c>
      <c r="B4816" s="5" t="s">
        <v>26259</v>
      </c>
      <c r="C4816" s="5" t="s">
        <v>26260</v>
      </c>
      <c r="D4816" s="5" t="s">
        <v>26261</v>
      </c>
      <c r="E4816" s="6" t="s">
        <v>24</v>
      </c>
      <c r="F4816" s="6" t="s">
        <v>26262</v>
      </c>
      <c r="G4816" s="3" t="str">
        <f>IFERROR(__xludf.DUMMYFUNCTION("REGEXREPLACE(
D4816,
""([一-龯々]+)\[([^\]]+)\]"",
""&lt;ruby&gt;$1&lt;rt&gt;$2&lt;/rt&gt;&lt;/ruby&gt;""
)&amp;""&lt;br&gt;&lt;div class=""""audio""""&gt;[sound:""&amp;C4816&amp;"".mp3]&lt;/div&gt;"""),"&lt;ruby&gt;嘗&lt;rt&gt;な&lt;/rt&gt;&lt;/ruby&gt;める&lt;br&gt;&lt;div class=""audio""&gt;[sound:なめる.mp3]&lt;/div&gt;")</f>
        <v>&lt;ruby&gt;嘗&lt;rt&gt;な&lt;/rt&gt;&lt;/ruby&gt;める&lt;br&gt;&lt;div class="audio"&gt;[sound:なめる.mp3]&lt;/div&gt;</v>
      </c>
      <c r="H4816" s="3" t="str">
        <f t="shared" si="1"/>
        <v>(v): liếm</v>
      </c>
      <c r="I4816" s="6" t="s">
        <v>26263</v>
      </c>
      <c r="J4816" s="6" t="s">
        <v>26264</v>
      </c>
      <c r="K4816" s="7">
        <f t="shared" si="2"/>
        <v>0.2435076214</v>
      </c>
    </row>
    <row r="4817">
      <c r="A4817" s="4">
        <v>4817.0</v>
      </c>
      <c r="B4817" s="5" t="s">
        <v>26265</v>
      </c>
      <c r="C4817" s="5" t="s">
        <v>12735</v>
      </c>
      <c r="D4817" s="5" t="s">
        <v>26266</v>
      </c>
      <c r="E4817" s="6" t="s">
        <v>74</v>
      </c>
      <c r="F4817" s="6" t="s">
        <v>26267</v>
      </c>
      <c r="G4817" s="3" t="str">
        <f>IFERROR(__xludf.DUMMYFUNCTION("REGEXREPLACE(
D4817,
""([一-龯々]+)\[([^\]]+)\]"",
""&lt;ruby&gt;$1&lt;rt&gt;$2&lt;/rt&gt;&lt;/ruby&gt;""
)&amp;""&lt;br&gt;&lt;div class=""""audio""""&gt;[sound:""&amp;C4817&amp;"".mp3]&lt;/div&gt;"""),"&lt;ruby&gt;腸&lt;rt&gt;ちょう&lt;/rt&gt;&lt;/ruby&gt;&lt;br&gt;&lt;div class=""audio""&gt;[sound:ちょう.mp3]&lt;/div&gt;")</f>
        <v>&lt;ruby&gt;腸&lt;rt&gt;ちょう&lt;/rt&gt;&lt;/ruby&gt;&lt;br&gt;&lt;div class="audio"&gt;[sound:ちょう.mp3]&lt;/div&gt;</v>
      </c>
      <c r="H4817" s="3" t="str">
        <f t="shared" si="1"/>
        <v>(n): ruột</v>
      </c>
      <c r="I4817" s="6" t="s">
        <v>26268</v>
      </c>
      <c r="J4817" s="6" t="s">
        <v>26269</v>
      </c>
      <c r="K4817" s="7">
        <f t="shared" si="2"/>
        <v>0.1424289462</v>
      </c>
    </row>
    <row r="4818">
      <c r="A4818" s="4">
        <v>4818.0</v>
      </c>
      <c r="B4818" s="5" t="s">
        <v>26270</v>
      </c>
      <c r="C4818" s="5" t="s">
        <v>26271</v>
      </c>
      <c r="D4818" s="5" t="s">
        <v>26270</v>
      </c>
      <c r="E4818" s="6" t="s">
        <v>74</v>
      </c>
      <c r="F4818" s="6" t="s">
        <v>26272</v>
      </c>
      <c r="G4818" s="3" t="str">
        <f>IFERROR(__xludf.DUMMYFUNCTION("REGEXREPLACE(
D4818,
""([一-龯々]+)\[([^\]]+)\]"",
""&lt;ruby&gt;$1&lt;rt&gt;$2&lt;/rt&gt;&lt;/ruby&gt;""
)&amp;""&lt;br&gt;&lt;div class=""""audio""""&gt;[sound:""&amp;C4818&amp;"".mp3]&lt;/div&gt;"""),"ソックス&lt;br&gt;&lt;div class=""audio""&gt;[sound:そっくす.mp3]&lt;/div&gt;")</f>
        <v>ソックス&lt;br&gt;&lt;div class="audio"&gt;[sound:そっくす.mp3]&lt;/div&gt;</v>
      </c>
      <c r="H4818" s="3" t="str">
        <f t="shared" si="1"/>
        <v>(n): tất</v>
      </c>
      <c r="I4818" s="6" t="s">
        <v>26273</v>
      </c>
      <c r="J4818" s="6" t="s">
        <v>26274</v>
      </c>
      <c r="K4818" s="7">
        <f t="shared" si="2"/>
        <v>0.3999254162</v>
      </c>
    </row>
    <row r="4819">
      <c r="A4819" s="4">
        <v>4819.0</v>
      </c>
      <c r="B4819" s="5" t="s">
        <v>26275</v>
      </c>
      <c r="C4819" s="5" t="s">
        <v>26276</v>
      </c>
      <c r="D4819" s="5" t="s">
        <v>26275</v>
      </c>
      <c r="E4819" s="6" t="s">
        <v>74</v>
      </c>
      <c r="F4819" s="6" t="s">
        <v>26277</v>
      </c>
      <c r="G4819" s="3" t="str">
        <f>IFERROR(__xludf.DUMMYFUNCTION("REGEXREPLACE(
D4819,
""([一-龯々]+)\[([^\]]+)\]"",
""&lt;ruby&gt;$1&lt;rt&gt;$2&lt;/rt&gt;&lt;/ruby&gt;""
)&amp;""&lt;br&gt;&lt;div class=""""audio""""&gt;[sound:""&amp;C4819&amp;"".mp3]&lt;/div&gt;"""),"ワット&lt;br&gt;&lt;div class=""audio""&gt;[sound:わっと.mp3]&lt;/div&gt;")</f>
        <v>ワット&lt;br&gt;&lt;div class="audio"&gt;[sound:わっと.mp3]&lt;/div&gt;</v>
      </c>
      <c r="H4819" s="3" t="str">
        <f t="shared" si="1"/>
        <v>(n): oát</v>
      </c>
      <c r="I4819" s="6" t="s">
        <v>26278</v>
      </c>
      <c r="J4819" s="6" t="s">
        <v>26279</v>
      </c>
      <c r="K4819" s="7">
        <f t="shared" si="2"/>
        <v>0.6595271613</v>
      </c>
    </row>
    <row r="4820">
      <c r="A4820" s="4">
        <v>4820.0</v>
      </c>
      <c r="B4820" s="5" t="s">
        <v>26280</v>
      </c>
      <c r="C4820" s="5" t="s">
        <v>26281</v>
      </c>
      <c r="D4820" s="5" t="s">
        <v>26282</v>
      </c>
      <c r="E4820" s="6" t="s">
        <v>85</v>
      </c>
      <c r="F4820" s="6" t="s">
        <v>960</v>
      </c>
      <c r="G4820" s="3" t="str">
        <f>IFERROR(__xludf.DUMMYFUNCTION("REGEXREPLACE(
D4820,
""([一-龯々]+)\[([^\]]+)\]"",
""&lt;ruby&gt;$1&lt;rt&gt;$2&lt;/rt&gt;&lt;/ruby&gt;""
)&amp;""&lt;br&gt;&lt;div class=""""audio""""&gt;[sound:""&amp;C4820&amp;"".mp3]&lt;/div&gt;"""),"&lt;ruby&gt;余程&lt;rt&gt;よほど&lt;/rt&gt;&lt;/ruby&gt;&lt;br&gt;&lt;div class=""audio""&gt;[sound:よほど.mp3]&lt;/div&gt;")</f>
        <v>&lt;ruby&gt;余程&lt;rt&gt;よほど&lt;/rt&gt;&lt;/ruby&gt;&lt;br&gt;&lt;div class="audio"&gt;[sound:よほど.mp3]&lt;/div&gt;</v>
      </c>
      <c r="H4820" s="3" t="str">
        <f t="shared" si="1"/>
        <v>(adv): khá</v>
      </c>
      <c r="I4820" s="6" t="s">
        <v>26283</v>
      </c>
      <c r="J4820" s="6" t="s">
        <v>26284</v>
      </c>
      <c r="K4820" s="7">
        <f t="shared" si="2"/>
        <v>0.9051762335</v>
      </c>
    </row>
    <row r="4821">
      <c r="A4821" s="4">
        <v>4821.0</v>
      </c>
      <c r="B4821" s="5" t="s">
        <v>26285</v>
      </c>
      <c r="C4821" s="5" t="s">
        <v>26286</v>
      </c>
      <c r="D4821" s="5" t="s">
        <v>26287</v>
      </c>
      <c r="E4821" s="6" t="s">
        <v>74</v>
      </c>
      <c r="F4821" s="6" t="s">
        <v>26288</v>
      </c>
      <c r="G4821" s="3" t="str">
        <f>IFERROR(__xludf.DUMMYFUNCTION("REGEXREPLACE(
D4821,
""([一-龯々]+)\[([^\]]+)\]"",
""&lt;ruby&gt;$1&lt;rt&gt;$2&lt;/rt&gt;&lt;/ruby&gt;""
)&amp;""&lt;br&gt;&lt;div class=""""audio""""&gt;[sound:""&amp;C4821&amp;"".mp3]&lt;/div&gt;"""),"&lt;ruby&gt;爆弾&lt;rt&gt;ばくだん&lt;/rt&gt;&lt;/ruby&gt;&lt;br&gt;&lt;div class=""audio""&gt;[sound:ばくだん.mp3]&lt;/div&gt;")</f>
        <v>&lt;ruby&gt;爆弾&lt;rt&gt;ばくだん&lt;/rt&gt;&lt;/ruby&gt;&lt;br&gt;&lt;div class="audio"&gt;[sound:ばくだん.mp3]&lt;/div&gt;</v>
      </c>
      <c r="H4821" s="3" t="str">
        <f t="shared" si="1"/>
        <v>(n): bom</v>
      </c>
      <c r="I4821" s="6" t="s">
        <v>26289</v>
      </c>
      <c r="J4821" s="6" t="s">
        <v>26290</v>
      </c>
      <c r="K4821" s="7">
        <f t="shared" si="2"/>
        <v>0.05557845955</v>
      </c>
    </row>
    <row r="4822">
      <c r="A4822" s="4">
        <v>4822.0</v>
      </c>
      <c r="B4822" s="5" t="s">
        <v>26291</v>
      </c>
      <c r="C4822" s="5" t="s">
        <v>26292</v>
      </c>
      <c r="D4822" s="5" t="s">
        <v>26293</v>
      </c>
      <c r="E4822" s="6" t="s">
        <v>74</v>
      </c>
      <c r="F4822" s="6" t="s">
        <v>848</v>
      </c>
      <c r="G4822" s="3" t="str">
        <f>IFERROR(__xludf.DUMMYFUNCTION("REGEXREPLACE(
D4822,
""([一-龯々]+)\[([^\]]+)\]"",
""&lt;ruby&gt;$1&lt;rt&gt;$2&lt;/rt&gt;&lt;/ruby&gt;""
)&amp;""&lt;br&gt;&lt;div class=""""audio""""&gt;[sound:""&amp;C4822&amp;"".mp3]&lt;/div&gt;"""),"お&lt;ruby&gt;袋&lt;rt&gt;ふくろ&lt;/rt&gt;&lt;/ruby&gt;&lt;br&gt;&lt;div class=""audio""&gt;[sound:おふくろ.mp3]&lt;/div&gt;")</f>
        <v>お&lt;ruby&gt;袋&lt;rt&gt;ふくろ&lt;/rt&gt;&lt;/ruby&gt;&lt;br&gt;&lt;div class="audio"&gt;[sound:おふくろ.mp3]&lt;/div&gt;</v>
      </c>
      <c r="H4822" s="3" t="str">
        <f t="shared" si="1"/>
        <v>(n): mẹ</v>
      </c>
      <c r="I4822" s="6" t="s">
        <v>26294</v>
      </c>
      <c r="J4822" s="6" t="s">
        <v>26295</v>
      </c>
      <c r="K4822" s="7">
        <f t="shared" si="2"/>
        <v>0.7702170598</v>
      </c>
    </row>
    <row r="4823">
      <c r="A4823" s="4">
        <v>4823.0</v>
      </c>
      <c r="B4823" s="5" t="s">
        <v>26296</v>
      </c>
      <c r="C4823" s="5" t="s">
        <v>26296</v>
      </c>
      <c r="D4823" s="5" t="s">
        <v>26296</v>
      </c>
      <c r="E4823" s="6" t="s">
        <v>74</v>
      </c>
      <c r="F4823" s="6" t="s">
        <v>26297</v>
      </c>
      <c r="G4823" s="3" t="str">
        <f>IFERROR(__xludf.DUMMYFUNCTION("REGEXREPLACE(
D4823,
""([一-龯々]+)\[([^\]]+)\]"",
""&lt;ruby&gt;$1&lt;rt&gt;$2&lt;/rt&gt;&lt;/ruby&gt;""
)&amp;""&lt;br&gt;&lt;div class=""""audio""""&gt;[sound:""&amp;C4823&amp;"".mp3]&lt;/div&gt;"""),"ほっぺた&lt;br&gt;&lt;div class=""audio""&gt;[sound:ほっぺた.mp3]&lt;/div&gt;")</f>
        <v>ほっぺた&lt;br&gt;&lt;div class="audio"&gt;[sound:ほっぺた.mp3]&lt;/div&gt;</v>
      </c>
      <c r="H4823" s="3" t="str">
        <f t="shared" si="1"/>
        <v>(n): má</v>
      </c>
      <c r="I4823" s="6" t="s">
        <v>26298</v>
      </c>
      <c r="J4823" s="6" t="s">
        <v>26299</v>
      </c>
      <c r="K4823" s="7">
        <f t="shared" si="2"/>
        <v>0.5954923814</v>
      </c>
    </row>
    <row r="4824">
      <c r="A4824" s="4">
        <v>4824.0</v>
      </c>
      <c r="B4824" s="5" t="s">
        <v>26300</v>
      </c>
      <c r="C4824" s="5" t="s">
        <v>26301</v>
      </c>
      <c r="D4824" s="5" t="s">
        <v>26302</v>
      </c>
      <c r="E4824" s="6" t="s">
        <v>90</v>
      </c>
      <c r="F4824" s="6" t="s">
        <v>348</v>
      </c>
      <c r="G4824" s="3" t="str">
        <f>IFERROR(__xludf.DUMMYFUNCTION("REGEXREPLACE(
D4824,
""([一-龯々]+)\[([^\]]+)\]"",
""&lt;ruby&gt;$1&lt;rt&gt;$2&lt;/rt&gt;&lt;/ruby&gt;""
)&amp;""&lt;br&gt;&lt;div class=""""audio""""&gt;[sound:""&amp;C4824&amp;"".mp3]&lt;/div&gt;"""),"&lt;ruby&gt;並&lt;rt&gt;なら&lt;/rt&gt;&lt;/ruby&gt;びに&lt;br&gt;&lt;div class=""audio""&gt;[sound:ならびに.mp3]&lt;/div&gt;")</f>
        <v>&lt;ruby&gt;並&lt;rt&gt;なら&lt;/rt&gt;&lt;/ruby&gt;びに&lt;br&gt;&lt;div class="audio"&gt;[sound:ならびに.mp3]&lt;/div&gt;</v>
      </c>
      <c r="H4824" s="3" t="str">
        <f t="shared" si="1"/>
        <v>(conj): và</v>
      </c>
      <c r="I4824" s="6" t="s">
        <v>26303</v>
      </c>
      <c r="J4824" s="6" t="s">
        <v>26304</v>
      </c>
      <c r="K4824" s="7">
        <f t="shared" si="2"/>
        <v>0.7262322216</v>
      </c>
    </row>
    <row r="4825">
      <c r="A4825" s="4">
        <v>4825.0</v>
      </c>
      <c r="B4825" s="5" t="s">
        <v>26305</v>
      </c>
      <c r="C4825" s="5" t="s">
        <v>26306</v>
      </c>
      <c r="D4825" s="5" t="s">
        <v>26307</v>
      </c>
      <c r="E4825" s="6" t="s">
        <v>74</v>
      </c>
      <c r="F4825" s="6" t="s">
        <v>26308</v>
      </c>
      <c r="G4825" s="3" t="str">
        <f>IFERROR(__xludf.DUMMYFUNCTION("REGEXREPLACE(
D4825,
""([一-龯々]+)\[([^\]]+)\]"",
""&lt;ruby&gt;$1&lt;rt&gt;$2&lt;/rt&gt;&lt;/ruby&gt;""
)&amp;""&lt;br&gt;&lt;div class=""""audio""""&gt;[sound:""&amp;C4825&amp;"".mp3]&lt;/div&gt;"""),"&lt;ruby&gt;堤防&lt;rt&gt;ていぼう&lt;/rt&gt;&lt;/ruby&gt;&lt;br&gt;&lt;div class=""audio""&gt;[sound:ていぼう.mp3]&lt;/div&gt;")</f>
        <v>&lt;ruby&gt;堤防&lt;rt&gt;ていぼう&lt;/rt&gt;&lt;/ruby&gt;&lt;br&gt;&lt;div class="audio"&gt;[sound:ていぼう.mp3]&lt;/div&gt;</v>
      </c>
      <c r="H4825" s="3" t="str">
        <f t="shared" si="1"/>
        <v>(n): đê</v>
      </c>
      <c r="I4825" s="6" t="s">
        <v>26309</v>
      </c>
      <c r="J4825" s="6" t="s">
        <v>26310</v>
      </c>
      <c r="K4825" s="7">
        <f t="shared" si="2"/>
        <v>0.2955028951</v>
      </c>
    </row>
    <row r="4826">
      <c r="A4826" s="4">
        <v>4826.0</v>
      </c>
      <c r="B4826" s="5" t="s">
        <v>26311</v>
      </c>
      <c r="C4826" s="5" t="s">
        <v>26312</v>
      </c>
      <c r="D4826" s="5" t="s">
        <v>26313</v>
      </c>
      <c r="E4826" s="6" t="s">
        <v>74</v>
      </c>
      <c r="F4826" s="6" t="s">
        <v>18597</v>
      </c>
      <c r="G4826" s="3" t="str">
        <f>IFERROR(__xludf.DUMMYFUNCTION("REGEXREPLACE(
D4826,
""([一-龯々]+)\[([^\]]+)\]"",
""&lt;ruby&gt;$1&lt;rt&gt;$2&lt;/rt&gt;&lt;/ruby&gt;""
)&amp;""&lt;br&gt;&lt;div class=""""audio""""&gt;[sound:""&amp;C4826&amp;"".mp3]&lt;/div&gt;"""),"&lt;ruby&gt;芝&lt;rt&gt;しば&lt;/rt&gt;&lt;/ruby&gt;&lt;br&gt;&lt;div class=""audio""&gt;[sound:しば.mp3]&lt;/div&gt;")</f>
        <v>&lt;ruby&gt;芝&lt;rt&gt;しば&lt;/rt&gt;&lt;/ruby&gt;&lt;br&gt;&lt;div class="audio"&gt;[sound:しば.mp3]&lt;/div&gt;</v>
      </c>
      <c r="H4826" s="3" t="str">
        <f t="shared" si="1"/>
        <v>(n): cỏ</v>
      </c>
      <c r="I4826" s="6" t="s">
        <v>26314</v>
      </c>
      <c r="J4826" s="6" t="s">
        <v>26315</v>
      </c>
      <c r="K4826" s="7">
        <f t="shared" si="2"/>
        <v>0.7575101559</v>
      </c>
    </row>
    <row r="4827">
      <c r="A4827" s="4">
        <v>4827.0</v>
      </c>
      <c r="B4827" s="5" t="s">
        <v>26316</v>
      </c>
      <c r="C4827" s="5" t="s">
        <v>26317</v>
      </c>
      <c r="D4827" s="5" t="s">
        <v>26318</v>
      </c>
      <c r="E4827" s="6" t="s">
        <v>74</v>
      </c>
      <c r="F4827" s="6" t="s">
        <v>26319</v>
      </c>
      <c r="G4827" s="3" t="str">
        <f>IFERROR(__xludf.DUMMYFUNCTION("REGEXREPLACE(
D4827,
""([一-龯々]+)\[([^\]]+)\]"",
""&lt;ruby&gt;$1&lt;rt&gt;$2&lt;/rt&gt;&lt;/ruby&gt;""
)&amp;""&lt;br&gt;&lt;div class=""""audio""""&gt;[sound:""&amp;C4827&amp;"".mp3]&lt;/div&gt;"""),"&lt;ruby&gt;未満&lt;rt&gt;みまん&lt;/rt&gt;&lt;/ruby&gt;&lt;br&gt;&lt;div class=""audio""&gt;[sound:みまん.mp3]&lt;/div&gt;")</f>
        <v>&lt;ruby&gt;未満&lt;rt&gt;みまん&lt;/rt&gt;&lt;/ruby&gt;&lt;br&gt;&lt;div class="audio"&gt;[sound:みまん.mp3]&lt;/div&gt;</v>
      </c>
      <c r="H4827" s="3" t="str">
        <f t="shared" si="1"/>
        <v>(n): dưới</v>
      </c>
      <c r="I4827" s="6" t="s">
        <v>26320</v>
      </c>
      <c r="J4827" s="6" t="s">
        <v>26321</v>
      </c>
      <c r="K4827" s="7">
        <f t="shared" si="2"/>
        <v>0.1004116183</v>
      </c>
    </row>
    <row r="4828">
      <c r="A4828" s="4">
        <v>4828.0</v>
      </c>
      <c r="B4828" s="5" t="s">
        <v>26322</v>
      </c>
      <c r="C4828" s="5" t="s">
        <v>26323</v>
      </c>
      <c r="D4828" s="5" t="s">
        <v>26324</v>
      </c>
      <c r="E4828" s="6" t="s">
        <v>74</v>
      </c>
      <c r="F4828" s="6" t="s">
        <v>26325</v>
      </c>
      <c r="G4828" s="3" t="str">
        <f>IFERROR(__xludf.DUMMYFUNCTION("REGEXREPLACE(
D4828,
""([一-龯々]+)\[([^\]]+)\]"",
""&lt;ruby&gt;$1&lt;rt&gt;$2&lt;/rt&gt;&lt;/ruby&gt;""
)&amp;""&lt;br&gt;&lt;div class=""""audio""""&gt;[sound:""&amp;C4828&amp;"".mp3]&lt;/div&gt;"""),"&lt;ruby&gt;月末&lt;rt&gt;げつまつ&lt;/rt&gt;&lt;/ruby&gt;&lt;br&gt;&lt;div class=""audio""&gt;[sound:げつまつ.mp3]&lt;/div&gt;")</f>
        <v>&lt;ruby&gt;月末&lt;rt&gt;げつまつ&lt;/rt&gt;&lt;/ruby&gt;&lt;br&gt;&lt;div class="audio"&gt;[sound:げつまつ.mp3]&lt;/div&gt;</v>
      </c>
      <c r="H4828" s="3" t="str">
        <f t="shared" si="1"/>
        <v>(n): cuối tháng</v>
      </c>
      <c r="I4828" s="6" t="s">
        <v>26326</v>
      </c>
      <c r="J4828" s="6" t="s">
        <v>26327</v>
      </c>
      <c r="K4828" s="7">
        <f t="shared" si="2"/>
        <v>0.8119936025</v>
      </c>
    </row>
    <row r="4829">
      <c r="A4829" s="4">
        <v>4829.0</v>
      </c>
      <c r="B4829" s="5" t="s">
        <v>26328</v>
      </c>
      <c r="C4829" s="5" t="s">
        <v>26329</v>
      </c>
      <c r="D4829" s="5" t="s">
        <v>26330</v>
      </c>
      <c r="E4829" s="6" t="s">
        <v>24</v>
      </c>
      <c r="F4829" s="6" t="s">
        <v>5026</v>
      </c>
      <c r="G4829" s="3" t="str">
        <f>IFERROR(__xludf.DUMMYFUNCTION("REGEXREPLACE(
D4829,
""([一-龯々]+)\[([^\]]+)\]"",
""&lt;ruby&gt;$1&lt;rt&gt;$2&lt;/rt&gt;&lt;/ruby&gt;""
)&amp;""&lt;br&gt;&lt;div class=""""audio""""&gt;[sound:""&amp;C4829&amp;"".mp3]&lt;/div&gt;"""),"&lt;ruby&gt;接近&lt;rt&gt;せっきん&lt;/rt&gt;&lt;/ruby&gt;&lt;br&gt;&lt;div class=""audio""&gt;[sound:せっきん.mp3]&lt;/div&gt;")</f>
        <v>&lt;ruby&gt;接近&lt;rt&gt;せっきん&lt;/rt&gt;&lt;/ruby&gt;&lt;br&gt;&lt;div class="audio"&gt;[sound:せっきん.mp3]&lt;/div&gt;</v>
      </c>
      <c r="H4829" s="3" t="str">
        <f t="shared" si="1"/>
        <v>(v): tiếp cận</v>
      </c>
      <c r="I4829" s="6" t="s">
        <v>26331</v>
      </c>
      <c r="J4829" s="6" t="s">
        <v>26332</v>
      </c>
      <c r="K4829" s="7">
        <f t="shared" si="2"/>
        <v>0.02923018232</v>
      </c>
    </row>
    <row r="4830">
      <c r="A4830" s="4">
        <v>4830.0</v>
      </c>
      <c r="B4830" s="5" t="s">
        <v>26333</v>
      </c>
      <c r="C4830" s="5" t="s">
        <v>26334</v>
      </c>
      <c r="D4830" s="5" t="s">
        <v>26335</v>
      </c>
      <c r="E4830" s="6" t="s">
        <v>74</v>
      </c>
      <c r="F4830" s="6" t="s">
        <v>12967</v>
      </c>
      <c r="G4830" s="3" t="str">
        <f>IFERROR(__xludf.DUMMYFUNCTION("REGEXREPLACE(
D4830,
""([一-龯々]+)\[([^\]]+)\]"",
""&lt;ruby&gt;$1&lt;rt&gt;$2&lt;/rt&gt;&lt;/ruby&gt;""
)&amp;""&lt;br&gt;&lt;div class=""""audio""""&gt;[sound:""&amp;C4830&amp;"".mp3]&lt;/div&gt;"""),"&lt;ruby&gt;機構&lt;rt&gt;きこう&lt;/rt&gt;&lt;/ruby&gt;&lt;br&gt;&lt;div class=""audio""&gt;[sound:きこう.mp3]&lt;/div&gt;")</f>
        <v>&lt;ruby&gt;機構&lt;rt&gt;きこう&lt;/rt&gt;&lt;/ruby&gt;&lt;br&gt;&lt;div class="audio"&gt;[sound:きこう.mp3]&lt;/div&gt;</v>
      </c>
      <c r="H4830" s="3" t="str">
        <f t="shared" si="1"/>
        <v>(n): cơ cấu</v>
      </c>
      <c r="I4830" s="6" t="s">
        <v>26336</v>
      </c>
      <c r="J4830" s="6" t="s">
        <v>26337</v>
      </c>
      <c r="K4830" s="7">
        <f t="shared" si="2"/>
        <v>0.5145586459</v>
      </c>
    </row>
    <row r="4831">
      <c r="A4831" s="4">
        <v>4831.0</v>
      </c>
      <c r="B4831" s="5" t="s">
        <v>26338</v>
      </c>
      <c r="C4831" s="5" t="s">
        <v>11748</v>
      </c>
      <c r="D4831" s="5" t="s">
        <v>26339</v>
      </c>
      <c r="E4831" s="6" t="s">
        <v>11</v>
      </c>
      <c r="F4831" s="6" t="s">
        <v>26340</v>
      </c>
      <c r="G4831" s="3" t="str">
        <f>IFERROR(__xludf.DUMMYFUNCTION("REGEXREPLACE(
D4831,
""([一-龯々]+)\[([^\]]+)\]"",
""&lt;ruby&gt;$1&lt;rt&gt;$2&lt;/rt&gt;&lt;/ruby&gt;""
)&amp;""&lt;br&gt;&lt;div class=""""audio""""&gt;[sound:""&amp;C4831&amp;"".mp3]&lt;/div&gt;"""),"&lt;ruby&gt;易&lt;rt&gt;やさ&lt;/rt&gt;&lt;/ruby&gt;しい&lt;br&gt;&lt;div class=""audio""&gt;[sound:やさしい.mp3]&lt;/div&gt;")</f>
        <v>&lt;ruby&gt;易&lt;rt&gt;やさ&lt;/rt&gt;&lt;/ruby&gt;しい&lt;br&gt;&lt;div class="audio"&gt;[sound:やさしい.mp3]&lt;/div&gt;</v>
      </c>
      <c r="H4831" s="3" t="str">
        <f t="shared" si="1"/>
        <v>(adj): dễ</v>
      </c>
      <c r="I4831" s="6" t="s">
        <v>26341</v>
      </c>
      <c r="J4831" s="6" t="s">
        <v>26342</v>
      </c>
      <c r="K4831" s="7">
        <f t="shared" si="2"/>
        <v>0.5617585336</v>
      </c>
    </row>
    <row r="4832">
      <c r="A4832" s="4">
        <v>4832.0</v>
      </c>
      <c r="B4832" s="5" t="s">
        <v>26343</v>
      </c>
      <c r="C4832" s="5" t="s">
        <v>26344</v>
      </c>
      <c r="D4832" s="5" t="s">
        <v>26345</v>
      </c>
      <c r="E4832" s="6" t="s">
        <v>74</v>
      </c>
      <c r="F4832" s="6" t="s">
        <v>26346</v>
      </c>
      <c r="G4832" s="3" t="str">
        <f>IFERROR(__xludf.DUMMYFUNCTION("REGEXREPLACE(
D4832,
""([一-龯々]+)\[([^\]]+)\]"",
""&lt;ruby&gt;$1&lt;rt&gt;$2&lt;/rt&gt;&lt;/ruby&gt;""
)&amp;""&lt;br&gt;&lt;div class=""""audio""""&gt;[sound:""&amp;C4832&amp;"".mp3]&lt;/div&gt;"""),"&lt;ruby&gt;毛&lt;rt&gt;け&lt;/rt&gt;&lt;/ruby&gt;&lt;br&gt;&lt;div class=""audio""&gt;[sound:け.mp3]&lt;/div&gt;")</f>
        <v>&lt;ruby&gt;毛&lt;rt&gt;け&lt;/rt&gt;&lt;/ruby&gt;&lt;br&gt;&lt;div class="audio"&gt;[sound:け.mp3]&lt;/div&gt;</v>
      </c>
      <c r="H4832" s="3" t="str">
        <f t="shared" si="1"/>
        <v>(n): lông</v>
      </c>
      <c r="I4832" s="6" t="s">
        <v>26347</v>
      </c>
      <c r="J4832" s="6" t="s">
        <v>26348</v>
      </c>
      <c r="K4832" s="7">
        <f t="shared" si="2"/>
        <v>0.6928381137</v>
      </c>
    </row>
    <row r="4833">
      <c r="A4833" s="4">
        <v>4833.0</v>
      </c>
      <c r="B4833" s="5" t="s">
        <v>26349</v>
      </c>
      <c r="C4833" s="5" t="s">
        <v>26350</v>
      </c>
      <c r="D4833" s="5" t="s">
        <v>26351</v>
      </c>
      <c r="E4833" s="6" t="s">
        <v>74</v>
      </c>
      <c r="F4833" s="6" t="s">
        <v>26352</v>
      </c>
      <c r="G4833" s="3" t="str">
        <f>IFERROR(__xludf.DUMMYFUNCTION("REGEXREPLACE(
D4833,
""([一-龯々]+)\[([^\]]+)\]"",
""&lt;ruby&gt;$1&lt;rt&gt;$2&lt;/rt&gt;&lt;/ruby&gt;""
)&amp;""&lt;br&gt;&lt;div class=""""audio""""&gt;[sound:""&amp;C4833&amp;"".mp3]&lt;/div&gt;"""),"&lt;ruby&gt;宮殿&lt;rt&gt;きゅうでん&lt;/rt&gt;&lt;/ruby&gt;&lt;br&gt;&lt;div class=""audio""&gt;[sound:きゅうでん.mp3]&lt;/div&gt;")</f>
        <v>&lt;ruby&gt;宮殿&lt;rt&gt;きゅうでん&lt;/rt&gt;&lt;/ruby&gt;&lt;br&gt;&lt;div class="audio"&gt;[sound:きゅうでん.mp3]&lt;/div&gt;</v>
      </c>
      <c r="H4833" s="3" t="str">
        <f t="shared" si="1"/>
        <v>(n): cung điện</v>
      </c>
      <c r="I4833" s="6" t="s">
        <v>26353</v>
      </c>
      <c r="J4833" s="6" t="s">
        <v>26354</v>
      </c>
      <c r="K4833" s="7">
        <f t="shared" si="2"/>
        <v>0.9247933288</v>
      </c>
    </row>
    <row r="4834">
      <c r="A4834" s="4">
        <v>4834.0</v>
      </c>
      <c r="B4834" s="5" t="s">
        <v>26355</v>
      </c>
      <c r="C4834" s="5" t="s">
        <v>26356</v>
      </c>
      <c r="D4834" s="5" t="s">
        <v>26357</v>
      </c>
      <c r="E4834" s="6" t="s">
        <v>24</v>
      </c>
      <c r="F4834" s="6" t="s">
        <v>4106</v>
      </c>
      <c r="G4834" s="3" t="str">
        <f>IFERROR(__xludf.DUMMYFUNCTION("REGEXREPLACE(
D4834,
""([一-龯々]+)\[([^\]]+)\]"",
""&lt;ruby&gt;$1&lt;rt&gt;$2&lt;/rt&gt;&lt;/ruby&gt;""
)&amp;""&lt;br&gt;&lt;div class=""""audio""""&gt;[sound:""&amp;C4834&amp;"".mp3]&lt;/div&gt;"""),"&lt;ruby&gt;引下&lt;rt&gt;ひきさ&lt;/rt&gt;&lt;/ruby&gt;げる&lt;br&gt;&lt;div class=""audio""&gt;[sound:ひきさげる.mp3]&lt;/div&gt;")</f>
        <v>&lt;ruby&gt;引下&lt;rt&gt;ひきさ&lt;/rt&gt;&lt;/ruby&gt;げる&lt;br&gt;&lt;div class="audio"&gt;[sound:ひきさげる.mp3]&lt;/div&gt;</v>
      </c>
      <c r="H4834" s="3" t="str">
        <f t="shared" si="1"/>
        <v>(v): hạ xuống</v>
      </c>
      <c r="I4834" s="6" t="s">
        <v>26358</v>
      </c>
      <c r="J4834" s="6" t="s">
        <v>26359</v>
      </c>
      <c r="K4834" s="7">
        <f t="shared" si="2"/>
        <v>0.6364470585</v>
      </c>
    </row>
    <row r="4835">
      <c r="A4835" s="4">
        <v>4835.0</v>
      </c>
      <c r="B4835" s="5" t="s">
        <v>26360</v>
      </c>
      <c r="C4835" s="5" t="s">
        <v>26361</v>
      </c>
      <c r="D4835" s="5" t="s">
        <v>26362</v>
      </c>
      <c r="E4835" s="6" t="s">
        <v>11</v>
      </c>
      <c r="F4835" s="6" t="s">
        <v>16588</v>
      </c>
      <c r="G4835" s="3" t="str">
        <f>IFERROR(__xludf.DUMMYFUNCTION("REGEXREPLACE(
D4835,
""([一-龯々]+)\[([^\]]+)\]"",
""&lt;ruby&gt;$1&lt;rt&gt;$2&lt;/rt&gt;&lt;/ruby&gt;""
)&amp;""&lt;br&gt;&lt;div class=""""audio""""&gt;[sound:""&amp;C4835&amp;"".mp3]&lt;/div&gt;"""),"&lt;ruby&gt;正式&lt;rt&gt;せいしき&lt;/rt&gt;&lt;/ruby&gt;&lt;br&gt;&lt;div class=""audio""&gt;[sound:せいしき.mp3]&lt;/div&gt;")</f>
        <v>&lt;ruby&gt;正式&lt;rt&gt;せいしき&lt;/rt&gt;&lt;/ruby&gt;&lt;br&gt;&lt;div class="audio"&gt;[sound:せいしき.mp3]&lt;/div&gt;</v>
      </c>
      <c r="H4835" s="3" t="str">
        <f t="shared" si="1"/>
        <v>(adj): chính thức</v>
      </c>
      <c r="I4835" s="6" t="s">
        <v>26363</v>
      </c>
      <c r="J4835" s="6" t="s">
        <v>26364</v>
      </c>
      <c r="K4835" s="7">
        <f t="shared" si="2"/>
        <v>0.8636517068</v>
      </c>
    </row>
    <row r="4836">
      <c r="A4836" s="4">
        <v>4836.0</v>
      </c>
      <c r="B4836" s="5" t="s">
        <v>26365</v>
      </c>
      <c r="C4836" s="5" t="s">
        <v>26366</v>
      </c>
      <c r="D4836" s="5" t="s">
        <v>26367</v>
      </c>
      <c r="E4836" s="6" t="s">
        <v>24</v>
      </c>
      <c r="F4836" s="6" t="s">
        <v>26368</v>
      </c>
      <c r="G4836" s="3" t="str">
        <f>IFERROR(__xludf.DUMMYFUNCTION("REGEXREPLACE(
D4836,
""([一-龯々]+)\[([^\]]+)\]"",
""&lt;ruby&gt;$1&lt;rt&gt;$2&lt;/rt&gt;&lt;/ruby&gt;""
)&amp;""&lt;br&gt;&lt;div class=""""audio""""&gt;[sound:""&amp;C4836&amp;"".mp3]&lt;/div&gt;"""),"&lt;ruby&gt;曲&lt;rt&gt;ま&lt;/rt&gt;&lt;/ruby&gt;げる&lt;br&gt;&lt;div class=""audio""&gt;[sound:まげる.mp3]&lt;/div&gt;")</f>
        <v>&lt;ruby&gt;曲&lt;rt&gt;ま&lt;/rt&gt;&lt;/ruby&gt;げる&lt;br&gt;&lt;div class="audio"&gt;[sound:まげる.mp3]&lt;/div&gt;</v>
      </c>
      <c r="H4836" s="3" t="str">
        <f t="shared" si="1"/>
        <v>(v): uốn cong</v>
      </c>
      <c r="I4836" s="6" t="s">
        <v>26369</v>
      </c>
      <c r="J4836" s="6" t="s">
        <v>26370</v>
      </c>
      <c r="K4836" s="7">
        <f t="shared" si="2"/>
        <v>0.4401746948</v>
      </c>
    </row>
    <row r="4837">
      <c r="A4837" s="4">
        <v>4837.0</v>
      </c>
      <c r="B4837" s="5" t="s">
        <v>26371</v>
      </c>
      <c r="C4837" s="5" t="s">
        <v>26372</v>
      </c>
      <c r="D4837" s="5" t="s">
        <v>26373</v>
      </c>
      <c r="E4837" s="6" t="s">
        <v>74</v>
      </c>
      <c r="F4837" s="6" t="s">
        <v>16938</v>
      </c>
      <c r="G4837" s="3" t="str">
        <f>IFERROR(__xludf.DUMMYFUNCTION("REGEXREPLACE(
D4837,
""([一-龯々]+)\[([^\]]+)\]"",
""&lt;ruby&gt;$1&lt;rt&gt;$2&lt;/rt&gt;&lt;/ruby&gt;""
)&amp;""&lt;br&gt;&lt;div class=""""audio""""&gt;[sound:""&amp;C4837&amp;"".mp3]&lt;/div&gt;"""),"&lt;ruby&gt;服装&lt;rt&gt;ふくそう&lt;/rt&gt;&lt;/ruby&gt;&lt;br&gt;&lt;div class=""audio""&gt;[sound:ふくそう.mp3]&lt;/div&gt;")</f>
        <v>&lt;ruby&gt;服装&lt;rt&gt;ふくそう&lt;/rt&gt;&lt;/ruby&gt;&lt;br&gt;&lt;div class="audio"&gt;[sound:ふくそう.mp3]&lt;/div&gt;</v>
      </c>
      <c r="H4837" s="3" t="str">
        <f t="shared" si="1"/>
        <v>(n): trang phục</v>
      </c>
      <c r="I4837" s="6" t="s">
        <v>26374</v>
      </c>
      <c r="J4837" s="6" t="s">
        <v>16940</v>
      </c>
      <c r="K4837" s="7">
        <f t="shared" si="2"/>
        <v>0.6527136154</v>
      </c>
    </row>
    <row r="4838">
      <c r="A4838" s="4">
        <v>4838.0</v>
      </c>
      <c r="B4838" s="5" t="s">
        <v>26375</v>
      </c>
      <c r="C4838" s="5" t="s">
        <v>26376</v>
      </c>
      <c r="D4838" s="5" t="s">
        <v>26377</v>
      </c>
      <c r="E4838" s="6" t="s">
        <v>74</v>
      </c>
      <c r="F4838" s="6" t="s">
        <v>26378</v>
      </c>
      <c r="G4838" s="3" t="str">
        <f>IFERROR(__xludf.DUMMYFUNCTION("REGEXREPLACE(
D4838,
""([一-龯々]+)\[([^\]]+)\]"",
""&lt;ruby&gt;$1&lt;rt&gt;$2&lt;/rt&gt;&lt;/ruby&gt;""
)&amp;""&lt;br&gt;&lt;div class=""""audio""""&gt;[sound:""&amp;C4838&amp;"".mp3]&lt;/div&gt;"""),"&lt;ruby&gt;敬語&lt;rt&gt;けいご&lt;/rt&gt;&lt;/ruby&gt;&lt;br&gt;&lt;div class=""audio""&gt;[sound:けいご.mp3]&lt;/div&gt;")</f>
        <v>&lt;ruby&gt;敬語&lt;rt&gt;けいご&lt;/rt&gt;&lt;/ruby&gt;&lt;br&gt;&lt;div class="audio"&gt;[sound:けいご.mp3]&lt;/div&gt;</v>
      </c>
      <c r="H4838" s="3" t="str">
        <f t="shared" si="1"/>
        <v>(n): kính ngữ</v>
      </c>
      <c r="I4838" s="6" t="s">
        <v>26379</v>
      </c>
      <c r="J4838" s="6" t="s">
        <v>26380</v>
      </c>
      <c r="K4838" s="7">
        <f t="shared" si="2"/>
        <v>0.550585573</v>
      </c>
    </row>
    <row r="4839">
      <c r="A4839" s="4">
        <v>4839.0</v>
      </c>
      <c r="B4839" s="5" t="s">
        <v>26381</v>
      </c>
      <c r="C4839" s="5" t="s">
        <v>26382</v>
      </c>
      <c r="D4839" s="5" t="s">
        <v>26383</v>
      </c>
      <c r="E4839" s="6" t="s">
        <v>74</v>
      </c>
      <c r="F4839" s="6" t="s">
        <v>26384</v>
      </c>
      <c r="G4839" s="3" t="str">
        <f>IFERROR(__xludf.DUMMYFUNCTION("REGEXREPLACE(
D4839,
""([一-龯々]+)\[([^\]]+)\]"",
""&lt;ruby&gt;$1&lt;rt&gt;$2&lt;/rt&gt;&lt;/ruby&gt;""
)&amp;""&lt;br&gt;&lt;div class=""""audio""""&gt;[sound:""&amp;C4839&amp;"".mp3]&lt;/div&gt;"""),"&lt;ruby&gt;模様&lt;rt&gt;もよう&lt;/rt&gt;&lt;/ruby&gt;&lt;br&gt;&lt;div class=""audio""&gt;[sound:もよう.mp3]&lt;/div&gt;")</f>
        <v>&lt;ruby&gt;模様&lt;rt&gt;もよう&lt;/rt&gt;&lt;/ruby&gt;&lt;br&gt;&lt;div class="audio"&gt;[sound:もよう.mp3]&lt;/div&gt;</v>
      </c>
      <c r="H4839" s="3" t="str">
        <f t="shared" si="1"/>
        <v>(n): hoa văn</v>
      </c>
      <c r="I4839" s="6" t="s">
        <v>26385</v>
      </c>
      <c r="J4839" s="6" t="s">
        <v>26386</v>
      </c>
      <c r="K4839" s="7">
        <f t="shared" si="2"/>
        <v>0.1610527594</v>
      </c>
    </row>
    <row r="4840">
      <c r="A4840" s="4">
        <v>4840.0</v>
      </c>
      <c r="B4840" s="5" t="s">
        <v>26387</v>
      </c>
      <c r="C4840" s="5" t="s">
        <v>26388</v>
      </c>
      <c r="D4840" s="5" t="s">
        <v>26389</v>
      </c>
      <c r="E4840" s="6" t="s">
        <v>74</v>
      </c>
      <c r="F4840" s="6" t="s">
        <v>14448</v>
      </c>
      <c r="G4840" s="3" t="str">
        <f>IFERROR(__xludf.DUMMYFUNCTION("REGEXREPLACE(
D4840,
""([一-龯々]+)\[([^\]]+)\]"",
""&lt;ruby&gt;$1&lt;rt&gt;$2&lt;/rt&gt;&lt;/ruby&gt;""
)&amp;""&lt;br&gt;&lt;div class=""""audio""""&gt;[sound:""&amp;C4840&amp;"".mp3]&lt;/div&gt;"""),"&lt;ruby&gt;気温&lt;rt&gt;きおん&lt;/rt&gt;&lt;/ruby&gt;&lt;br&gt;&lt;div class=""audio""&gt;[sound:きおん.mp3]&lt;/div&gt;")</f>
        <v>&lt;ruby&gt;気温&lt;rt&gt;きおん&lt;/rt&gt;&lt;/ruby&gt;&lt;br&gt;&lt;div class="audio"&gt;[sound:きおん.mp3]&lt;/div&gt;</v>
      </c>
      <c r="H4840" s="3" t="str">
        <f t="shared" si="1"/>
        <v>(n): nhiệt độ</v>
      </c>
      <c r="I4840" s="6" t="s">
        <v>26390</v>
      </c>
      <c r="J4840" s="6" t="s">
        <v>6906</v>
      </c>
      <c r="K4840" s="7">
        <f t="shared" si="2"/>
        <v>0.8421579109</v>
      </c>
    </row>
    <row r="4841">
      <c r="A4841" s="4">
        <v>4841.0</v>
      </c>
      <c r="B4841" s="5" t="s">
        <v>26391</v>
      </c>
      <c r="C4841" s="5" t="s">
        <v>26392</v>
      </c>
      <c r="D4841" s="5" t="s">
        <v>26393</v>
      </c>
      <c r="E4841" s="6" t="s">
        <v>74</v>
      </c>
      <c r="F4841" s="6" t="s">
        <v>11487</v>
      </c>
      <c r="G4841" s="3" t="str">
        <f>IFERROR(__xludf.DUMMYFUNCTION("REGEXREPLACE(
D4841,
""([一-龯々]+)\[([^\]]+)\]"",
""&lt;ruby&gt;$1&lt;rt&gt;$2&lt;/rt&gt;&lt;/ruby&gt;""
)&amp;""&lt;br&gt;&lt;div class=""""audio""""&gt;[sound:""&amp;C4841&amp;"".mp3]&lt;/div&gt;"""),"&lt;ruby&gt;明&lt;rt&gt;あ&lt;/rt&gt;&lt;/ruby&gt;かり&lt;br&gt;&lt;div class=""audio""&gt;[sound:あかり.mp3]&lt;/div&gt;")</f>
        <v>&lt;ruby&gt;明&lt;rt&gt;あ&lt;/rt&gt;&lt;/ruby&gt;かり&lt;br&gt;&lt;div class="audio"&gt;[sound:あかり.mp3]&lt;/div&gt;</v>
      </c>
      <c r="H4841" s="3" t="str">
        <f t="shared" si="1"/>
        <v>(n): ánh sáng</v>
      </c>
      <c r="I4841" s="6" t="s">
        <v>26394</v>
      </c>
      <c r="J4841" s="6" t="s">
        <v>26395</v>
      </c>
      <c r="K4841" s="7">
        <f t="shared" si="2"/>
        <v>0.6023856052</v>
      </c>
    </row>
    <row r="4842">
      <c r="A4842" s="4">
        <v>4842.0</v>
      </c>
      <c r="B4842" s="5" t="s">
        <v>26396</v>
      </c>
      <c r="C4842" s="5" t="s">
        <v>210</v>
      </c>
      <c r="D4842" s="5" t="s">
        <v>26397</v>
      </c>
      <c r="E4842" s="6" t="s">
        <v>24</v>
      </c>
      <c r="F4842" s="6" t="s">
        <v>9836</v>
      </c>
      <c r="G4842" s="3" t="str">
        <f>IFERROR(__xludf.DUMMYFUNCTION("REGEXREPLACE(
D4842,
""([一-龯々]+)\[([^\]]+)\]"",
""&lt;ruby&gt;$1&lt;rt&gt;$2&lt;/rt&gt;&lt;/ruby&gt;""
)&amp;""&lt;br&gt;&lt;div class=""""audio""""&gt;[sound:""&amp;C4842&amp;"".mp3]&lt;/div&gt;"""),"&lt;ruby&gt;捕&lt;rt&gt;と&lt;/rt&gt;&lt;/ruby&gt;る&lt;br&gt;&lt;div class=""audio""&gt;[sound:とる.mp3]&lt;/div&gt;")</f>
        <v>&lt;ruby&gt;捕&lt;rt&gt;と&lt;/rt&gt;&lt;/ruby&gt;る&lt;br&gt;&lt;div class="audio"&gt;[sound:とる.mp3]&lt;/div&gt;</v>
      </c>
      <c r="H4842" s="3" t="str">
        <f t="shared" si="1"/>
        <v>(v): bắt</v>
      </c>
      <c r="I4842" s="6" t="s">
        <v>26398</v>
      </c>
      <c r="J4842" s="6" t="s">
        <v>26399</v>
      </c>
      <c r="K4842" s="7">
        <f t="shared" si="2"/>
        <v>0.6203327923</v>
      </c>
    </row>
    <row r="4843">
      <c r="A4843" s="4">
        <v>4843.0</v>
      </c>
      <c r="B4843" s="5" t="s">
        <v>26400</v>
      </c>
      <c r="C4843" s="5" t="s">
        <v>26401</v>
      </c>
      <c r="D4843" s="5" t="s">
        <v>26402</v>
      </c>
      <c r="E4843" s="6" t="s">
        <v>74</v>
      </c>
      <c r="F4843" s="6" t="s">
        <v>26403</v>
      </c>
      <c r="G4843" s="3" t="str">
        <f>IFERROR(__xludf.DUMMYFUNCTION("REGEXREPLACE(
D4843,
""([一-龯々]+)\[([^\]]+)\]"",
""&lt;ruby&gt;$1&lt;rt&gt;$2&lt;/rt&gt;&lt;/ruby&gt;""
)&amp;""&lt;br&gt;&lt;div class=""""audio""""&gt;[sound:""&amp;C4843&amp;"".mp3]&lt;/div&gt;"""),"&lt;ruby&gt;悲鳴&lt;rt&gt;ひめい&lt;/rt&gt;&lt;/ruby&gt;&lt;br&gt;&lt;div class=""audio""&gt;[sound:ひめい.mp3]&lt;/div&gt;")</f>
        <v>&lt;ruby&gt;悲鳴&lt;rt&gt;ひめい&lt;/rt&gt;&lt;/ruby&gt;&lt;br&gt;&lt;div class="audio"&gt;[sound:ひめい.mp3]&lt;/div&gt;</v>
      </c>
      <c r="H4843" s="3" t="str">
        <f t="shared" si="1"/>
        <v>(n): tiếng thét</v>
      </c>
      <c r="I4843" s="6" t="s">
        <v>26404</v>
      </c>
      <c r="J4843" s="6" t="s">
        <v>26405</v>
      </c>
      <c r="K4843" s="7">
        <f t="shared" si="2"/>
        <v>0.4720922786</v>
      </c>
    </row>
    <row r="4844">
      <c r="A4844" s="4">
        <v>4844.0</v>
      </c>
      <c r="B4844" s="5" t="s">
        <v>26406</v>
      </c>
      <c r="C4844" s="5" t="s">
        <v>26407</v>
      </c>
      <c r="D4844" s="5" t="s">
        <v>26408</v>
      </c>
      <c r="E4844" s="6" t="s">
        <v>24</v>
      </c>
      <c r="F4844" s="6" t="s">
        <v>6802</v>
      </c>
      <c r="G4844" s="3" t="str">
        <f>IFERROR(__xludf.DUMMYFUNCTION("REGEXREPLACE(
D4844,
""([一-龯々]+)\[([^\]]+)\]"",
""&lt;ruby&gt;$1&lt;rt&gt;$2&lt;/rt&gt;&lt;/ruby&gt;""
)&amp;""&lt;br&gt;&lt;div class=""""audio""""&gt;[sound:""&amp;C4844&amp;"".mp3]&lt;/div&gt;"""),"&lt;ruby&gt;扶養&lt;rt&gt;ふよう&lt;/rt&gt;&lt;/ruby&gt;&lt;br&gt;&lt;div class=""audio""&gt;[sound:ふよう.mp3]&lt;/div&gt;")</f>
        <v>&lt;ruby&gt;扶養&lt;rt&gt;ふよう&lt;/rt&gt;&lt;/ruby&gt;&lt;br&gt;&lt;div class="audio"&gt;[sound:ふよう.mp3]&lt;/div&gt;</v>
      </c>
      <c r="H4844" s="3" t="str">
        <f t="shared" si="1"/>
        <v>(v): nuôi dưỡng</v>
      </c>
      <c r="I4844" s="6" t="s">
        <v>26409</v>
      </c>
      <c r="J4844" s="6" t="s">
        <v>12604</v>
      </c>
      <c r="K4844" s="7">
        <f t="shared" si="2"/>
        <v>0.889542041</v>
      </c>
    </row>
    <row r="4845">
      <c r="A4845" s="4">
        <v>4845.0</v>
      </c>
      <c r="B4845" s="5" t="s">
        <v>26410</v>
      </c>
      <c r="C4845" s="5" t="s">
        <v>26411</v>
      </c>
      <c r="D4845" s="5" t="s">
        <v>26412</v>
      </c>
      <c r="E4845" s="6" t="s">
        <v>74</v>
      </c>
      <c r="F4845" s="6" t="s">
        <v>26413</v>
      </c>
      <c r="G4845" s="3" t="str">
        <f>IFERROR(__xludf.DUMMYFUNCTION("REGEXREPLACE(
D4845,
""([一-龯々]+)\[([^\]]+)\]"",
""&lt;ruby&gt;$1&lt;rt&gt;$2&lt;/rt&gt;&lt;/ruby&gt;""
)&amp;""&lt;br&gt;&lt;div class=""""audio""""&gt;[sound:""&amp;C4845&amp;"".mp3]&lt;/div&gt;"""),"&lt;ruby&gt;年賀&lt;rt&gt;ねんが&lt;/rt&gt;&lt;/ruby&gt;&lt;br&gt;&lt;div class=""audio""&gt;[sound:ねんが.mp3]&lt;/div&gt;")</f>
        <v>&lt;ruby&gt;年賀&lt;rt&gt;ねんが&lt;/rt&gt;&lt;/ruby&gt;&lt;br&gt;&lt;div class="audio"&gt;[sound:ねんが.mp3]&lt;/div&gt;</v>
      </c>
      <c r="H4845" s="3" t="str">
        <f t="shared" si="1"/>
        <v>(n): chúc tết</v>
      </c>
      <c r="I4845" s="6" t="s">
        <v>26414</v>
      </c>
      <c r="J4845" s="6" t="s">
        <v>26415</v>
      </c>
      <c r="K4845" s="7">
        <f t="shared" si="2"/>
        <v>0.1206455387</v>
      </c>
    </row>
    <row r="4846">
      <c r="A4846" s="4">
        <v>4846.0</v>
      </c>
      <c r="B4846" s="5" t="s">
        <v>26416</v>
      </c>
      <c r="C4846" s="5" t="s">
        <v>26417</v>
      </c>
      <c r="D4846" s="5" t="s">
        <v>26418</v>
      </c>
      <c r="E4846" s="6" t="s">
        <v>24</v>
      </c>
      <c r="F4846" s="6" t="s">
        <v>26419</v>
      </c>
      <c r="G4846" s="3" t="str">
        <f>IFERROR(__xludf.DUMMYFUNCTION("REGEXREPLACE(
D4846,
""([一-龯々]+)\[([^\]]+)\]"",
""&lt;ruby&gt;$1&lt;rt&gt;$2&lt;/rt&gt;&lt;/ruby&gt;""
)&amp;""&lt;br&gt;&lt;div class=""""audio""""&gt;[sound:""&amp;C4846&amp;"".mp3]&lt;/div&gt;"""),"&lt;ruby&gt;打&lt;rt&gt;う&lt;/rt&gt;&lt;/ruby&gt;ち&lt;ruby&gt;明&lt;rt&gt;あ&lt;/rt&gt;&lt;/ruby&gt;ける&lt;br&gt;&lt;div class=""audio""&gt;[sound:うちあける.mp3]&lt;/div&gt;")</f>
        <v>&lt;ruby&gt;打&lt;rt&gt;う&lt;/rt&gt;&lt;/ruby&gt;ち&lt;ruby&gt;明&lt;rt&gt;あ&lt;/rt&gt;&lt;/ruby&gt;ける&lt;br&gt;&lt;div class="audio"&gt;[sound:うちあける.mp3]&lt;/div&gt;</v>
      </c>
      <c r="H4846" s="3" t="str">
        <f t="shared" si="1"/>
        <v>(v): tâm sự</v>
      </c>
      <c r="I4846" s="6" t="s">
        <v>26420</v>
      </c>
      <c r="J4846" s="6" t="s">
        <v>26421</v>
      </c>
      <c r="K4846" s="7">
        <f t="shared" si="2"/>
        <v>0.8674283165</v>
      </c>
    </row>
    <row r="4847">
      <c r="A4847" s="4">
        <v>4847.0</v>
      </c>
      <c r="B4847" s="5" t="s">
        <v>26422</v>
      </c>
      <c r="C4847" s="5" t="s">
        <v>26423</v>
      </c>
      <c r="D4847" s="5" t="s">
        <v>26424</v>
      </c>
      <c r="E4847" s="6" t="s">
        <v>74</v>
      </c>
      <c r="F4847" s="6" t="s">
        <v>26425</v>
      </c>
      <c r="G4847" s="3" t="str">
        <f>IFERROR(__xludf.DUMMYFUNCTION("REGEXREPLACE(
D4847,
""([一-龯々]+)\[([^\]]+)\]"",
""&lt;ruby&gt;$1&lt;rt&gt;$2&lt;/rt&gt;&lt;/ruby&gt;""
)&amp;""&lt;br&gt;&lt;div class=""""audio""""&gt;[sound:""&amp;C4847&amp;"".mp3]&lt;/div&gt;"""),"&lt;ruby&gt;幽霊&lt;rt&gt;ゆうれい&lt;/rt&gt;&lt;/ruby&gt;&lt;br&gt;&lt;div class=""audio""&gt;[sound:ゆうれい.mp3]&lt;/div&gt;")</f>
        <v>&lt;ruby&gt;幽霊&lt;rt&gt;ゆうれい&lt;/rt&gt;&lt;/ruby&gt;&lt;br&gt;&lt;div class="audio"&gt;[sound:ゆうれい.mp3]&lt;/div&gt;</v>
      </c>
      <c r="H4847" s="3" t="str">
        <f t="shared" si="1"/>
        <v>(n): ma</v>
      </c>
      <c r="I4847" s="6" t="s">
        <v>26426</v>
      </c>
      <c r="J4847" s="6" t="s">
        <v>26427</v>
      </c>
      <c r="K4847" s="7">
        <f t="shared" si="2"/>
        <v>0.3982461185</v>
      </c>
    </row>
    <row r="4848">
      <c r="A4848" s="4">
        <v>4848.0</v>
      </c>
      <c r="B4848" s="5" t="s">
        <v>26428</v>
      </c>
      <c r="C4848" s="5" t="s">
        <v>26429</v>
      </c>
      <c r="D4848" s="5" t="s">
        <v>26430</v>
      </c>
      <c r="E4848" s="6" t="s">
        <v>74</v>
      </c>
      <c r="F4848" s="6" t="s">
        <v>26431</v>
      </c>
      <c r="G4848" s="3" t="str">
        <f>IFERROR(__xludf.DUMMYFUNCTION("REGEXREPLACE(
D4848,
""([一-龯々]+)\[([^\]]+)\]"",
""&lt;ruby&gt;$1&lt;rt&gt;$2&lt;/rt&gt;&lt;/ruby&gt;""
)&amp;""&lt;br&gt;&lt;div class=""""audio""""&gt;[sound:""&amp;C4848&amp;"".mp3]&lt;/div&gt;"""),"&lt;ruby&gt;日時&lt;rt&gt;にちじ&lt;/rt&gt;&lt;/ruby&gt;&lt;br&gt;&lt;div class=""audio""&gt;[sound:にちじ.mp3]&lt;/div&gt;")</f>
        <v>&lt;ruby&gt;日時&lt;rt&gt;にちじ&lt;/rt&gt;&lt;/ruby&gt;&lt;br&gt;&lt;div class="audio"&gt;[sound:にちじ.mp3]&lt;/div&gt;</v>
      </c>
      <c r="H4848" s="3" t="str">
        <f t="shared" si="1"/>
        <v>(n): ngày giờ</v>
      </c>
      <c r="I4848" s="6" t="s">
        <v>26432</v>
      </c>
      <c r="J4848" s="6" t="s">
        <v>26433</v>
      </c>
      <c r="K4848" s="7">
        <f t="shared" si="2"/>
        <v>0.9832042325</v>
      </c>
    </row>
    <row r="4849">
      <c r="A4849" s="4">
        <v>4849.0</v>
      </c>
      <c r="B4849" s="5" t="s">
        <v>26434</v>
      </c>
      <c r="C4849" s="5" t="s">
        <v>26435</v>
      </c>
      <c r="D4849" s="5" t="s">
        <v>26436</v>
      </c>
      <c r="E4849" s="6" t="s">
        <v>74</v>
      </c>
      <c r="F4849" s="6" t="s">
        <v>26437</v>
      </c>
      <c r="G4849" s="3" t="str">
        <f>IFERROR(__xludf.DUMMYFUNCTION("REGEXREPLACE(
D4849,
""([一-龯々]+)\[([^\]]+)\]"",
""&lt;ruby&gt;$1&lt;rt&gt;$2&lt;/rt&gt;&lt;/ruby&gt;""
)&amp;""&lt;br&gt;&lt;div class=""""audio""""&gt;[sound:""&amp;C4849&amp;"".mp3]&lt;/div&gt;"""),"&lt;ruby&gt;昨夜&lt;rt&gt;さくや&lt;/rt&gt;&lt;/ruby&gt;&lt;br&gt;&lt;div class=""audio""&gt;[sound:さくや.mp3]&lt;/div&gt;")</f>
        <v>&lt;ruby&gt;昨夜&lt;rt&gt;さくや&lt;/rt&gt;&lt;/ruby&gt;&lt;br&gt;&lt;div class="audio"&gt;[sound:さくや.mp3]&lt;/div&gt;</v>
      </c>
      <c r="H4849" s="3" t="str">
        <f t="shared" si="1"/>
        <v>(n): tối hôm qua</v>
      </c>
      <c r="I4849" s="6" t="s">
        <v>26438</v>
      </c>
      <c r="J4849" s="6" t="s">
        <v>26439</v>
      </c>
      <c r="K4849" s="7">
        <f t="shared" si="2"/>
        <v>0.9987501352</v>
      </c>
    </row>
    <row r="4850">
      <c r="A4850" s="4">
        <v>4850.0</v>
      </c>
      <c r="B4850" s="5" t="s">
        <v>26440</v>
      </c>
      <c r="C4850" s="5" t="s">
        <v>26441</v>
      </c>
      <c r="D4850" s="5" t="s">
        <v>26442</v>
      </c>
      <c r="E4850" s="6" t="s">
        <v>11</v>
      </c>
      <c r="F4850" s="6" t="s">
        <v>26443</v>
      </c>
      <c r="G4850" s="3" t="str">
        <f>IFERROR(__xludf.DUMMYFUNCTION("REGEXREPLACE(
D4850,
""([一-龯々]+)\[([^\]]+)\]"",
""&lt;ruby&gt;$1&lt;rt&gt;$2&lt;/rt&gt;&lt;/ruby&gt;""
)&amp;""&lt;br&gt;&lt;div class=""""audio""""&gt;[sound:""&amp;C4850&amp;"".mp3]&lt;/div&gt;"""),"&lt;ruby&gt;有料&lt;rt&gt;ゆうりょう&lt;/rt&gt;&lt;/ruby&gt;&lt;br&gt;&lt;div class=""audio""&gt;[sound:ゆうりょう.mp3]&lt;/div&gt;")</f>
        <v>&lt;ruby&gt;有料&lt;rt&gt;ゆうりょう&lt;/rt&gt;&lt;/ruby&gt;&lt;br&gt;&lt;div class="audio"&gt;[sound:ゆうりょう.mp3]&lt;/div&gt;</v>
      </c>
      <c r="H4850" s="3" t="str">
        <f t="shared" si="1"/>
        <v>(adj): trả phí</v>
      </c>
      <c r="I4850" s="6" t="s">
        <v>26444</v>
      </c>
      <c r="J4850" s="6" t="s">
        <v>26445</v>
      </c>
      <c r="K4850" s="7">
        <f t="shared" si="2"/>
        <v>0.707674599</v>
      </c>
    </row>
    <row r="4851">
      <c r="A4851" s="4">
        <v>4851.0</v>
      </c>
      <c r="B4851" s="5" t="s">
        <v>26446</v>
      </c>
      <c r="C4851" s="5" t="s">
        <v>23</v>
      </c>
      <c r="D4851" s="5" t="s">
        <v>26447</v>
      </c>
      <c r="E4851" s="6" t="s">
        <v>24</v>
      </c>
      <c r="F4851" s="6" t="s">
        <v>26448</v>
      </c>
      <c r="G4851" s="3" t="str">
        <f>IFERROR(__xludf.DUMMYFUNCTION("REGEXREPLACE(
D4851,
""([一-龯々]+)\[([^\]]+)\]"",
""&lt;ruby&gt;$1&lt;rt&gt;$2&lt;/rt&gt;&lt;/ruby&gt;""
)&amp;""&lt;br&gt;&lt;div class=""""audio""""&gt;[sound:""&amp;C4851&amp;"".mp3]&lt;/div&gt;"""),"&lt;ruby&gt;揚&lt;rt&gt;あ&lt;/rt&gt;&lt;/ruby&gt;げる&lt;br&gt;&lt;div class=""audio""&gt;[sound:あげる.mp3]&lt;/div&gt;")</f>
        <v>&lt;ruby&gt;揚&lt;rt&gt;あ&lt;/rt&gt;&lt;/ruby&gt;げる&lt;br&gt;&lt;div class="audio"&gt;[sound:あげる.mp3]&lt;/div&gt;</v>
      </c>
      <c r="H4851" s="3" t="str">
        <f t="shared" si="1"/>
        <v>(v): chiên</v>
      </c>
      <c r="I4851" s="6" t="s">
        <v>26449</v>
      </c>
      <c r="J4851" s="6" t="s">
        <v>26450</v>
      </c>
      <c r="K4851" s="7">
        <f t="shared" si="2"/>
        <v>0.15415554</v>
      </c>
    </row>
    <row r="4852">
      <c r="A4852" s="4">
        <v>4852.0</v>
      </c>
      <c r="B4852" s="5" t="s">
        <v>26451</v>
      </c>
      <c r="C4852" s="5" t="s">
        <v>26452</v>
      </c>
      <c r="D4852" s="5" t="s">
        <v>26453</v>
      </c>
      <c r="E4852" s="6" t="s">
        <v>24</v>
      </c>
      <c r="F4852" s="6" t="s">
        <v>4903</v>
      </c>
      <c r="G4852" s="3" t="str">
        <f>IFERROR(__xludf.DUMMYFUNCTION("REGEXREPLACE(
D4852,
""([一-龯々]+)\[([^\]]+)\]"",
""&lt;ruby&gt;$1&lt;rt&gt;$2&lt;/rt&gt;&lt;/ruby&gt;""
)&amp;""&lt;br&gt;&lt;div class=""""audio""""&gt;[sound:""&amp;C4852&amp;"".mp3]&lt;/div&gt;"""),"&lt;ruby&gt;次&lt;rt&gt;つ&lt;/rt&gt;&lt;/ruby&gt;ぐ&lt;br&gt;&lt;div class=""audio""&gt;[sound:つぐ.mp3]&lt;/div&gt;")</f>
        <v>&lt;ruby&gt;次&lt;rt&gt;つ&lt;/rt&gt;&lt;/ruby&gt;ぐ&lt;br&gt;&lt;div class="audio"&gt;[sound:つぐ.mp3]&lt;/div&gt;</v>
      </c>
      <c r="H4852" s="3" t="str">
        <f t="shared" si="1"/>
        <v>(v): tiếp theo</v>
      </c>
      <c r="I4852" s="6" t="s">
        <v>26454</v>
      </c>
      <c r="J4852" s="6" t="s">
        <v>26455</v>
      </c>
      <c r="K4852" s="7">
        <f t="shared" si="2"/>
        <v>0.342249474</v>
      </c>
    </row>
    <row r="4853">
      <c r="A4853" s="4">
        <v>4853.0</v>
      </c>
      <c r="B4853" s="5" t="s">
        <v>26456</v>
      </c>
      <c r="C4853" s="5" t="s">
        <v>26457</v>
      </c>
      <c r="D4853" s="5" t="s">
        <v>26458</v>
      </c>
      <c r="E4853" s="6" t="s">
        <v>74</v>
      </c>
      <c r="F4853" s="6" t="s">
        <v>26459</v>
      </c>
      <c r="G4853" s="3" t="str">
        <f>IFERROR(__xludf.DUMMYFUNCTION("REGEXREPLACE(
D4853,
""([一-龯々]+)\[([^\]]+)\]"",
""&lt;ruby&gt;$1&lt;rt&gt;$2&lt;/rt&gt;&lt;/ruby&gt;""
)&amp;""&lt;br&gt;&lt;div class=""""audio""""&gt;[sound:""&amp;C4853&amp;"".mp3]&lt;/div&gt;"""),"&lt;ruby&gt;文明&lt;rt&gt;ぶんめい&lt;/rt&gt;&lt;/ruby&gt;&lt;br&gt;&lt;div class=""audio""&gt;[sound:ぶんめい.mp3]&lt;/div&gt;")</f>
        <v>&lt;ruby&gt;文明&lt;rt&gt;ぶんめい&lt;/rt&gt;&lt;/ruby&gt;&lt;br&gt;&lt;div class="audio"&gt;[sound:ぶんめい.mp3]&lt;/div&gt;</v>
      </c>
      <c r="H4853" s="3" t="str">
        <f t="shared" si="1"/>
        <v>(n): văn minh</v>
      </c>
      <c r="I4853" s="6" t="s">
        <v>26460</v>
      </c>
      <c r="J4853" s="6" t="s">
        <v>26461</v>
      </c>
      <c r="K4853" s="7">
        <f t="shared" si="2"/>
        <v>0.5091874982</v>
      </c>
    </row>
    <row r="4854">
      <c r="A4854" s="4">
        <v>4854.0</v>
      </c>
      <c r="B4854" s="5" t="s">
        <v>26462</v>
      </c>
      <c r="C4854" s="5" t="s">
        <v>26463</v>
      </c>
      <c r="D4854" s="5" t="s">
        <v>26464</v>
      </c>
      <c r="E4854" s="6" t="s">
        <v>74</v>
      </c>
      <c r="F4854" s="6" t="s">
        <v>26465</v>
      </c>
      <c r="G4854" s="3" t="str">
        <f>IFERROR(__xludf.DUMMYFUNCTION("REGEXREPLACE(
D4854,
""([一-龯々]+)\[([^\]]+)\]"",
""&lt;ruby&gt;$1&lt;rt&gt;$2&lt;/rt&gt;&lt;/ruby&gt;""
)&amp;""&lt;br&gt;&lt;div class=""""audio""""&gt;[sound:""&amp;C4854&amp;"".mp3]&lt;/div&gt;"""),"&lt;ruby&gt;枝&lt;rt&gt;えだ&lt;/rt&gt;&lt;/ruby&gt;&lt;br&gt;&lt;div class=""audio""&gt;[sound:えだ.mp3]&lt;/div&gt;")</f>
        <v>&lt;ruby&gt;枝&lt;rt&gt;えだ&lt;/rt&gt;&lt;/ruby&gt;&lt;br&gt;&lt;div class="audio"&gt;[sound:えだ.mp3]&lt;/div&gt;</v>
      </c>
      <c r="H4854" s="3" t="str">
        <f t="shared" si="1"/>
        <v>(n): cành cây</v>
      </c>
      <c r="I4854" s="6" t="s">
        <v>26466</v>
      </c>
      <c r="J4854" s="6" t="s">
        <v>26467</v>
      </c>
      <c r="K4854" s="7">
        <f t="shared" si="2"/>
        <v>0.9898159038</v>
      </c>
    </row>
    <row r="4855">
      <c r="A4855" s="4">
        <v>4855.0</v>
      </c>
      <c r="B4855" s="5" t="s">
        <v>26468</v>
      </c>
      <c r="C4855" s="5" t="s">
        <v>26469</v>
      </c>
      <c r="D4855" s="5" t="s">
        <v>26470</v>
      </c>
      <c r="E4855" s="6" t="s">
        <v>74</v>
      </c>
      <c r="F4855" s="6" t="s">
        <v>26471</v>
      </c>
      <c r="G4855" s="3" t="str">
        <f>IFERROR(__xludf.DUMMYFUNCTION("REGEXREPLACE(
D4855,
""([一-龯々]+)\[([^\]]+)\]"",
""&lt;ruby&gt;$1&lt;rt&gt;$2&lt;/rt&gt;&lt;/ruby&gt;""
)&amp;""&lt;br&gt;&lt;div class=""""audio""""&gt;[sound:""&amp;C4855&amp;"".mp3]&lt;/div&gt;"""),"&lt;ruby&gt;毎晩&lt;rt&gt;まいばん&lt;/rt&gt;&lt;/ruby&gt;&lt;br&gt;&lt;div class=""audio""&gt;[sound:まいばん.mp3]&lt;/div&gt;")</f>
        <v>&lt;ruby&gt;毎晩&lt;rt&gt;まいばん&lt;/rt&gt;&lt;/ruby&gt;&lt;br&gt;&lt;div class="audio"&gt;[sound:まいばん.mp3]&lt;/div&gt;</v>
      </c>
      <c r="H4855" s="3" t="str">
        <f t="shared" si="1"/>
        <v>(n): mỗi tối</v>
      </c>
      <c r="I4855" s="6" t="s">
        <v>26472</v>
      </c>
      <c r="J4855" s="6" t="s">
        <v>26473</v>
      </c>
      <c r="K4855" s="7">
        <f t="shared" si="2"/>
        <v>0.6172046101</v>
      </c>
    </row>
    <row r="4856">
      <c r="A4856" s="4">
        <v>4856.0</v>
      </c>
      <c r="B4856" s="5" t="s">
        <v>26474</v>
      </c>
      <c r="C4856" s="5" t="s">
        <v>26475</v>
      </c>
      <c r="D4856" s="5" t="s">
        <v>26476</v>
      </c>
      <c r="E4856" s="6" t="s">
        <v>74</v>
      </c>
      <c r="F4856" s="6" t="s">
        <v>26477</v>
      </c>
      <c r="G4856" s="3" t="str">
        <f>IFERROR(__xludf.DUMMYFUNCTION("REGEXREPLACE(
D4856,
""([一-龯々]+)\[([^\]]+)\]"",
""&lt;ruby&gt;$1&lt;rt&gt;$2&lt;/rt&gt;&lt;/ruby&gt;""
)&amp;""&lt;br&gt;&lt;div class=""""audio""""&gt;[sound:""&amp;C4856&amp;"".mp3]&lt;/div&gt;"""),"&lt;ruby&gt;時差&lt;rt&gt;じさ&lt;/rt&gt;&lt;/ruby&gt;&lt;br&gt;&lt;div class=""audio""&gt;[sound:じさ.mp3]&lt;/div&gt;")</f>
        <v>&lt;ruby&gt;時差&lt;rt&gt;じさ&lt;/rt&gt;&lt;/ruby&gt;&lt;br&gt;&lt;div class="audio"&gt;[sound:じさ.mp3]&lt;/div&gt;</v>
      </c>
      <c r="H4856" s="3" t="str">
        <f t="shared" si="1"/>
        <v>(n): chênh lệch giờ</v>
      </c>
      <c r="I4856" s="6" t="s">
        <v>26478</v>
      </c>
      <c r="J4856" s="6" t="s">
        <v>26479</v>
      </c>
      <c r="K4856" s="7">
        <f t="shared" si="2"/>
        <v>0.06524191143</v>
      </c>
    </row>
    <row r="4857">
      <c r="A4857" s="4">
        <v>4857.0</v>
      </c>
      <c r="B4857" s="5" t="s">
        <v>26480</v>
      </c>
      <c r="C4857" s="5" t="s">
        <v>26481</v>
      </c>
      <c r="D4857" s="5" t="s">
        <v>26482</v>
      </c>
      <c r="E4857" s="6" t="s">
        <v>74</v>
      </c>
      <c r="F4857" s="6" t="s">
        <v>26483</v>
      </c>
      <c r="G4857" s="3" t="str">
        <f>IFERROR(__xludf.DUMMYFUNCTION("REGEXREPLACE(
D4857,
""([一-龯々]+)\[([^\]]+)\]"",
""&lt;ruby&gt;$1&lt;rt&gt;$2&lt;/rt&gt;&lt;/ruby&gt;""
)&amp;""&lt;br&gt;&lt;div class=""""audio""""&gt;[sound:""&amp;C4857&amp;"".mp3]&lt;/div&gt;"""),"&lt;ruby&gt;敗戦&lt;rt&gt;はいせん&lt;/rt&gt;&lt;/ruby&gt;&lt;br&gt;&lt;div class=""audio""&gt;[sound:はいせん.mp3]&lt;/div&gt;")</f>
        <v>&lt;ruby&gt;敗戦&lt;rt&gt;はいせん&lt;/rt&gt;&lt;/ruby&gt;&lt;br&gt;&lt;div class="audio"&gt;[sound:はいせん.mp3]&lt;/div&gt;</v>
      </c>
      <c r="H4857" s="3" t="str">
        <f t="shared" si="1"/>
        <v>(n): thua trận</v>
      </c>
      <c r="I4857" s="6" t="s">
        <v>26484</v>
      </c>
      <c r="J4857" s="6" t="s">
        <v>26485</v>
      </c>
      <c r="K4857" s="7">
        <f t="shared" si="2"/>
        <v>0.02518798352</v>
      </c>
    </row>
    <row r="4858">
      <c r="A4858" s="4">
        <v>4858.0</v>
      </c>
      <c r="B4858" s="5" t="s">
        <v>26486</v>
      </c>
      <c r="C4858" s="5" t="s">
        <v>26487</v>
      </c>
      <c r="D4858" s="5" t="s">
        <v>26488</v>
      </c>
      <c r="E4858" s="6" t="s">
        <v>74</v>
      </c>
      <c r="F4858" s="6" t="s">
        <v>26489</v>
      </c>
      <c r="G4858" s="3" t="str">
        <f>IFERROR(__xludf.DUMMYFUNCTION("REGEXREPLACE(
D4858,
""([一-龯々]+)\[([^\]]+)\]"",
""&lt;ruby&gt;$1&lt;rt&gt;$2&lt;/rt&gt;&lt;/ruby&gt;""
)&amp;""&lt;br&gt;&lt;div class=""""audio""""&gt;[sound:""&amp;C4858&amp;"".mp3]&lt;/div&gt;"""),"&lt;ruby&gt;年長&lt;rt&gt;ねんちょう&lt;/rt&gt;&lt;/ruby&gt;&lt;br&gt;&lt;div class=""audio""&gt;[sound:ねんちょう.mp3]&lt;/div&gt;")</f>
        <v>&lt;ruby&gt;年長&lt;rt&gt;ねんちょう&lt;/rt&gt;&lt;/ruby&gt;&lt;br&gt;&lt;div class="audio"&gt;[sound:ねんちょう.mp3]&lt;/div&gt;</v>
      </c>
      <c r="H4858" s="3" t="str">
        <f t="shared" si="1"/>
        <v>(n): lớn tuổi</v>
      </c>
      <c r="I4858" s="6" t="s">
        <v>26490</v>
      </c>
      <c r="J4858" s="6" t="s">
        <v>26491</v>
      </c>
      <c r="K4858" s="7">
        <f t="shared" si="2"/>
        <v>0.9293191817</v>
      </c>
    </row>
    <row r="4859">
      <c r="A4859" s="4">
        <v>4859.0</v>
      </c>
      <c r="B4859" s="5" t="s">
        <v>26492</v>
      </c>
      <c r="C4859" s="5" t="s">
        <v>26493</v>
      </c>
      <c r="D4859" s="5" t="s">
        <v>26494</v>
      </c>
      <c r="E4859" s="6" t="s">
        <v>24</v>
      </c>
      <c r="F4859" s="6" t="s">
        <v>26495</v>
      </c>
      <c r="G4859" s="3" t="str">
        <f>IFERROR(__xludf.DUMMYFUNCTION("REGEXREPLACE(
D4859,
""([一-龯々]+)\[([^\]]+)\]"",
""&lt;ruby&gt;$1&lt;rt&gt;$2&lt;/rt&gt;&lt;/ruby&gt;""
)&amp;""&lt;br&gt;&lt;div class=""""audio""""&gt;[sound:""&amp;C4859&amp;"".mp3]&lt;/div&gt;"""),"&lt;ruby&gt;待&lt;rt&gt;ま&lt;/rt&gt;&lt;/ruby&gt;ち&lt;ruby&gt;望&lt;rt&gt;のぞ&lt;/rt&gt;&lt;/ruby&gt;む&lt;br&gt;&lt;div class=""audio""&gt;[sound:まちのぞむ.mp3]&lt;/div&gt;")</f>
        <v>&lt;ruby&gt;待&lt;rt&gt;ま&lt;/rt&gt;&lt;/ruby&gt;ち&lt;ruby&gt;望&lt;rt&gt;のぞ&lt;/rt&gt;&lt;/ruby&gt;む&lt;br&gt;&lt;div class="audio"&gt;[sound:まちのぞむ.mp3]&lt;/div&gt;</v>
      </c>
      <c r="H4859" s="3" t="str">
        <f t="shared" si="1"/>
        <v>(v): mong đợi</v>
      </c>
      <c r="I4859" s="6" t="s">
        <v>26496</v>
      </c>
      <c r="J4859" s="6" t="s">
        <v>26497</v>
      </c>
      <c r="K4859" s="7">
        <f t="shared" si="2"/>
        <v>0.2915386614</v>
      </c>
    </row>
    <row r="4860">
      <c r="A4860" s="4">
        <v>4860.0</v>
      </c>
      <c r="B4860" s="5" t="s">
        <v>26498</v>
      </c>
      <c r="C4860" s="5" t="s">
        <v>26499</v>
      </c>
      <c r="D4860" s="5" t="s">
        <v>26500</v>
      </c>
      <c r="E4860" s="6" t="s">
        <v>74</v>
      </c>
      <c r="F4860" s="6" t="s">
        <v>5388</v>
      </c>
      <c r="G4860" s="3" t="str">
        <f>IFERROR(__xludf.DUMMYFUNCTION("REGEXREPLACE(
D4860,
""([一-龯々]+)\[([^\]]+)\]"",
""&lt;ruby&gt;$1&lt;rt&gt;$2&lt;/rt&gt;&lt;/ruby&gt;""
)&amp;""&lt;br&gt;&lt;div class=""""audio""""&gt;[sound:""&amp;C4860&amp;"".mp3]&lt;/div&gt;"""),"&lt;ruby&gt;微笑&lt;rt&gt;びしょう&lt;/rt&gt;&lt;/ruby&gt;&lt;br&gt;&lt;div class=""audio""&gt;[sound:びしょう.mp3]&lt;/div&gt;")</f>
        <v>&lt;ruby&gt;微笑&lt;rt&gt;びしょう&lt;/rt&gt;&lt;/ruby&gt;&lt;br&gt;&lt;div class="audio"&gt;[sound:びしょう.mp3]&lt;/div&gt;</v>
      </c>
      <c r="H4860" s="3" t="str">
        <f t="shared" si="1"/>
        <v>(n): nụ cười</v>
      </c>
      <c r="I4860" s="6" t="s">
        <v>26501</v>
      </c>
      <c r="J4860" s="6" t="s">
        <v>26502</v>
      </c>
      <c r="K4860" s="7">
        <f t="shared" si="2"/>
        <v>0.1769912421</v>
      </c>
    </row>
    <row r="4861">
      <c r="A4861" s="4">
        <v>4861.0</v>
      </c>
      <c r="B4861" s="5" t="s">
        <v>26503</v>
      </c>
      <c r="C4861" s="5" t="s">
        <v>26504</v>
      </c>
      <c r="D4861" s="5" t="s">
        <v>26505</v>
      </c>
      <c r="E4861" s="6" t="s">
        <v>74</v>
      </c>
      <c r="F4861" s="6" t="s">
        <v>15487</v>
      </c>
      <c r="G4861" s="3" t="str">
        <f>IFERROR(__xludf.DUMMYFUNCTION("REGEXREPLACE(
D4861,
""([一-龯々]+)\[([^\]]+)\]"",
""&lt;ruby&gt;$1&lt;rt&gt;$2&lt;/rt&gt;&lt;/ruby&gt;""
)&amp;""&lt;br&gt;&lt;div class=""""audio""""&gt;[sound:""&amp;C4861&amp;"".mp3]&lt;/div&gt;"""),"&lt;ruby&gt;思&lt;rt&gt;おも&lt;/rt&gt;&lt;/ruby&gt;い&lt;ruby&gt;付&lt;rt&gt;つ&lt;/rt&gt;&lt;/ruby&gt;き&lt;br&gt;&lt;div class=""audio""&gt;[sound:おもいつき.mp3]&lt;/div&gt;")</f>
        <v>&lt;ruby&gt;思&lt;rt&gt;おも&lt;/rt&gt;&lt;/ruby&gt;い&lt;ruby&gt;付&lt;rt&gt;つ&lt;/rt&gt;&lt;/ruby&gt;き&lt;br&gt;&lt;div class="audio"&gt;[sound:おもいつき.mp3]&lt;/div&gt;</v>
      </c>
      <c r="H4861" s="3" t="str">
        <f t="shared" si="1"/>
        <v>(n): ý tưởng</v>
      </c>
      <c r="I4861" s="6" t="s">
        <v>26506</v>
      </c>
      <c r="J4861" s="6" t="s">
        <v>26507</v>
      </c>
      <c r="K4861" s="7">
        <f t="shared" si="2"/>
        <v>0.1434974792</v>
      </c>
    </row>
    <row r="4862">
      <c r="A4862" s="4">
        <v>4862.0</v>
      </c>
      <c r="B4862" s="5" t="s">
        <v>26508</v>
      </c>
      <c r="C4862" s="5" t="s">
        <v>26509</v>
      </c>
      <c r="D4862" s="5" t="s">
        <v>26510</v>
      </c>
      <c r="E4862" s="6" t="s">
        <v>24</v>
      </c>
      <c r="F4862" s="6" t="s">
        <v>26511</v>
      </c>
      <c r="G4862" s="3" t="str">
        <f>IFERROR(__xludf.DUMMYFUNCTION("REGEXREPLACE(
D4862,
""([一-龯々]+)\[([^\]]+)\]"",
""&lt;ruby&gt;$1&lt;rt&gt;$2&lt;/rt&gt;&lt;/ruby&gt;""
)&amp;""&lt;br&gt;&lt;div class=""""audio""""&gt;[sound:""&amp;C4862&amp;"".mp3]&lt;/div&gt;"""),"&lt;ruby&gt;折&lt;rt&gt;お&lt;/rt&gt;&lt;/ruby&gt;り&lt;ruby&gt;返&lt;rt&gt;かえ&lt;/rt&gt;&lt;/ruby&gt;す&lt;br&gt;&lt;div class=""audio""&gt;[sound:おりかえす.mp3]&lt;/div&gt;")</f>
        <v>&lt;ruby&gt;折&lt;rt&gt;お&lt;/rt&gt;&lt;/ruby&gt;り&lt;ruby&gt;返&lt;rt&gt;かえ&lt;/rt&gt;&lt;/ruby&gt;す&lt;br&gt;&lt;div class="audio"&gt;[sound:おりかえす.mp3]&lt;/div&gt;</v>
      </c>
      <c r="H4862" s="3" t="str">
        <f t="shared" si="1"/>
        <v>(v): gấp lại</v>
      </c>
      <c r="I4862" s="6" t="s">
        <v>26512</v>
      </c>
      <c r="J4862" s="6" t="s">
        <v>26513</v>
      </c>
      <c r="K4862" s="7">
        <f t="shared" si="2"/>
        <v>0.2367706511</v>
      </c>
    </row>
    <row r="4863">
      <c r="A4863" s="4">
        <v>4863.0</v>
      </c>
      <c r="B4863" s="5" t="s">
        <v>26514</v>
      </c>
      <c r="C4863" s="5" t="s">
        <v>26515</v>
      </c>
      <c r="D4863" s="5" t="s">
        <v>26516</v>
      </c>
      <c r="E4863" s="6" t="s">
        <v>74</v>
      </c>
      <c r="F4863" s="6" t="s">
        <v>26517</v>
      </c>
      <c r="G4863" s="3" t="str">
        <f>IFERROR(__xludf.DUMMYFUNCTION("REGEXREPLACE(
D4863,
""([一-龯々]+)\[([^\]]+)\]"",
""&lt;ruby&gt;$1&lt;rt&gt;$2&lt;/rt&gt;&lt;/ruby&gt;""
)&amp;""&lt;br&gt;&lt;div class=""""audio""""&gt;[sound:""&amp;C4863&amp;"".mp3]&lt;/div&gt;"""),"&lt;ruby&gt;断面&lt;rt&gt;だんめん&lt;/rt&gt;&lt;/ruby&gt;&lt;br&gt;&lt;div class=""audio""&gt;[sound:だんめん.mp3]&lt;/div&gt;")</f>
        <v>&lt;ruby&gt;断面&lt;rt&gt;だんめん&lt;/rt&gt;&lt;/ruby&gt;&lt;br&gt;&lt;div class="audio"&gt;[sound:だんめん.mp3]&lt;/div&gt;</v>
      </c>
      <c r="H4863" s="3" t="str">
        <f t="shared" si="1"/>
        <v>(n): mặt cắt</v>
      </c>
      <c r="I4863" s="6" t="s">
        <v>26518</v>
      </c>
      <c r="J4863" s="6" t="s">
        <v>26519</v>
      </c>
      <c r="K4863" s="7">
        <f t="shared" si="2"/>
        <v>0.9220280749</v>
      </c>
    </row>
    <row r="4864">
      <c r="A4864" s="4">
        <v>4864.0</v>
      </c>
      <c r="B4864" s="5" t="s">
        <v>26520</v>
      </c>
      <c r="C4864" s="5" t="s">
        <v>26521</v>
      </c>
      <c r="D4864" s="5" t="s">
        <v>26522</v>
      </c>
      <c r="E4864" s="6" t="s">
        <v>74</v>
      </c>
      <c r="F4864" s="6" t="s">
        <v>26523</v>
      </c>
      <c r="G4864" s="3" t="str">
        <f>IFERROR(__xludf.DUMMYFUNCTION("REGEXREPLACE(
D4864,
""([一-龯々]+)\[([^\]]+)\]"",
""&lt;ruby&gt;$1&lt;rt&gt;$2&lt;/rt&gt;&lt;/ruby&gt;""
)&amp;""&lt;br&gt;&lt;div class=""""audio""""&gt;[sound:""&amp;C4864&amp;"".mp3]&lt;/div&gt;"""),"&lt;ruby&gt;恵&lt;rt&gt;めぐ&lt;/rt&gt;&lt;/ruby&gt;み&lt;br&gt;&lt;div class=""audio""&gt;[sound:めぐみ.mp3]&lt;/div&gt;")</f>
        <v>&lt;ruby&gt;恵&lt;rt&gt;めぐ&lt;/rt&gt;&lt;/ruby&gt;み&lt;br&gt;&lt;div class="audio"&gt;[sound:めぐみ.mp3]&lt;/div&gt;</v>
      </c>
      <c r="H4864" s="3" t="str">
        <f t="shared" si="1"/>
        <v>(n): ban ơn</v>
      </c>
      <c r="I4864" s="6" t="s">
        <v>26524</v>
      </c>
      <c r="J4864" s="6" t="s">
        <v>26525</v>
      </c>
      <c r="K4864" s="7">
        <f t="shared" si="2"/>
        <v>0.7794543476</v>
      </c>
    </row>
    <row r="4865">
      <c r="A4865" s="4">
        <v>4865.0</v>
      </c>
      <c r="B4865" s="5" t="s">
        <v>26526</v>
      </c>
      <c r="C4865" s="5" t="s">
        <v>26527</v>
      </c>
      <c r="D4865" s="5" t="s">
        <v>26528</v>
      </c>
      <c r="E4865" s="6" t="s">
        <v>74</v>
      </c>
      <c r="F4865" s="6" t="s">
        <v>26529</v>
      </c>
      <c r="G4865" s="3" t="str">
        <f>IFERROR(__xludf.DUMMYFUNCTION("REGEXREPLACE(
D4865,
""([一-龯々]+)\[([^\]]+)\]"",
""&lt;ruby&gt;$1&lt;rt&gt;$2&lt;/rt&gt;&lt;/ruby&gt;""
)&amp;""&lt;br&gt;&lt;div class=""""audio""""&gt;[sound:""&amp;C4865&amp;"".mp3]&lt;/div&gt;"""),"&lt;ruby&gt;欧米&lt;rt&gt;おうべい&lt;/rt&gt;&lt;/ruby&gt;&lt;br&gt;&lt;div class=""audio""&gt;[sound:おうべい.mp3]&lt;/div&gt;")</f>
        <v>&lt;ruby&gt;欧米&lt;rt&gt;おうべい&lt;/rt&gt;&lt;/ruby&gt;&lt;br&gt;&lt;div class="audio"&gt;[sound:おうべい.mp3]&lt;/div&gt;</v>
      </c>
      <c r="H4865" s="3" t="str">
        <f t="shared" si="1"/>
        <v>(n): âu mỹ</v>
      </c>
      <c r="I4865" s="6" t="s">
        <v>26530</v>
      </c>
      <c r="J4865" s="6" t="s">
        <v>26531</v>
      </c>
      <c r="K4865" s="7">
        <f t="shared" si="2"/>
        <v>0.2749213519</v>
      </c>
    </row>
    <row r="4866">
      <c r="A4866" s="4">
        <v>4866.0</v>
      </c>
      <c r="B4866" s="5" t="s">
        <v>26532</v>
      </c>
      <c r="C4866" s="5" t="s">
        <v>26533</v>
      </c>
      <c r="D4866" s="5" t="s">
        <v>26534</v>
      </c>
      <c r="E4866" s="6" t="s">
        <v>24</v>
      </c>
      <c r="F4866" s="6" t="s">
        <v>26535</v>
      </c>
      <c r="G4866" s="3" t="str">
        <f>IFERROR(__xludf.DUMMYFUNCTION("REGEXREPLACE(
D4866,
""([一-龯々]+)\[([^\]]+)\]"",
""&lt;ruby&gt;$1&lt;rt&gt;$2&lt;/rt&gt;&lt;/ruby&gt;""
)&amp;""&lt;br&gt;&lt;div class=""""audio""""&gt;[sound:""&amp;C4866&amp;"".mp3]&lt;/div&gt;"""),"&lt;ruby&gt;推定&lt;rt&gt;すいてい&lt;/rt&gt;&lt;/ruby&gt;&lt;br&gt;&lt;div class=""audio""&gt;[sound:すいてい.mp3]&lt;/div&gt;")</f>
        <v>&lt;ruby&gt;推定&lt;rt&gt;すいてい&lt;/rt&gt;&lt;/ruby&gt;&lt;br&gt;&lt;div class="audio"&gt;[sound:すいてい.mp3]&lt;/div&gt;</v>
      </c>
      <c r="H4866" s="3" t="str">
        <f t="shared" si="1"/>
        <v>(v): suy đoán</v>
      </c>
      <c r="I4866" s="6" t="s">
        <v>26536</v>
      </c>
      <c r="J4866" s="6" t="s">
        <v>26537</v>
      </c>
      <c r="K4866" s="7">
        <f t="shared" si="2"/>
        <v>0.8548584477</v>
      </c>
    </row>
    <row r="4867">
      <c r="A4867" s="4">
        <v>4867.0</v>
      </c>
      <c r="B4867" s="5" t="s">
        <v>26538</v>
      </c>
      <c r="C4867" s="5" t="s">
        <v>8889</v>
      </c>
      <c r="D4867" s="5" t="s">
        <v>26539</v>
      </c>
      <c r="E4867" s="6" t="s">
        <v>74</v>
      </c>
      <c r="F4867" s="6" t="s">
        <v>26540</v>
      </c>
      <c r="G4867" s="3" t="str">
        <f>IFERROR(__xludf.DUMMYFUNCTION("REGEXREPLACE(
D4867,
""([一-龯々]+)\[([^\]]+)\]"",
""&lt;ruby&gt;$1&lt;rt&gt;$2&lt;/rt&gt;&lt;/ruby&gt;""
)&amp;""&lt;br&gt;&lt;div class=""""audio""""&gt;[sound:""&amp;C4867&amp;"".mp3]&lt;/div&gt;"""),"&lt;ruby&gt;極&lt;rt&gt;きょく&lt;/rt&gt;&lt;/ruby&gt;&lt;br&gt;&lt;div class=""audio""&gt;[sound:きょく.mp3]&lt;/div&gt;")</f>
        <v>&lt;ruby&gt;極&lt;rt&gt;きょく&lt;/rt&gt;&lt;/ruby&gt;&lt;br&gt;&lt;div class="audio"&gt;[sound:きょく.mp3]&lt;/div&gt;</v>
      </c>
      <c r="H4867" s="3" t="str">
        <f t="shared" si="1"/>
        <v>(n): cực</v>
      </c>
      <c r="I4867" s="6" t="s">
        <v>26541</v>
      </c>
      <c r="J4867" s="6" t="s">
        <v>26542</v>
      </c>
      <c r="K4867" s="7">
        <f t="shared" si="2"/>
        <v>0.990751722</v>
      </c>
    </row>
    <row r="4868">
      <c r="A4868" s="4">
        <v>4868.0</v>
      </c>
      <c r="B4868" s="5" t="s">
        <v>26543</v>
      </c>
      <c r="C4868" s="5" t="s">
        <v>26544</v>
      </c>
      <c r="D4868" s="5" t="s">
        <v>26545</v>
      </c>
      <c r="E4868" s="6" t="s">
        <v>24</v>
      </c>
      <c r="F4868" s="6" t="s">
        <v>26546</v>
      </c>
      <c r="G4868" s="3" t="str">
        <f>IFERROR(__xludf.DUMMYFUNCTION("REGEXREPLACE(
D4868,
""([一-龯々]+)\[([^\]]+)\]"",
""&lt;ruby&gt;$1&lt;rt&gt;$2&lt;/rt&gt;&lt;/ruby&gt;""
)&amp;""&lt;br&gt;&lt;div class=""""audio""""&gt;[sound:""&amp;C4868&amp;"".mp3]&lt;/div&gt;"""),"&lt;ruby&gt;教&lt;rt&gt;おそ&lt;/rt&gt;&lt;/ruby&gt;わる&lt;br&gt;&lt;div class=""audio""&gt;[sound:おそわる.mp3]&lt;/div&gt;")</f>
        <v>&lt;ruby&gt;教&lt;rt&gt;おそ&lt;/rt&gt;&lt;/ruby&gt;わる&lt;br&gt;&lt;div class="audio"&gt;[sound:おそわる.mp3]&lt;/div&gt;</v>
      </c>
      <c r="H4868" s="3" t="str">
        <f t="shared" si="1"/>
        <v>(v): được dạy</v>
      </c>
      <c r="I4868" s="6" t="s">
        <v>26547</v>
      </c>
      <c r="J4868" s="6" t="s">
        <v>26548</v>
      </c>
      <c r="K4868" s="7">
        <f t="shared" si="2"/>
        <v>0.1176960632</v>
      </c>
    </row>
    <row r="4869">
      <c r="A4869" s="4">
        <v>4869.0</v>
      </c>
      <c r="B4869" s="5" t="s">
        <v>26549</v>
      </c>
      <c r="C4869" s="5" t="s">
        <v>26550</v>
      </c>
      <c r="D4869" s="5" t="s">
        <v>26551</v>
      </c>
      <c r="E4869" s="6" t="s">
        <v>74</v>
      </c>
      <c r="F4869" s="6" t="s">
        <v>18472</v>
      </c>
      <c r="G4869" s="3" t="str">
        <f>IFERROR(__xludf.DUMMYFUNCTION("REGEXREPLACE(
D4869,
""([一-龯々]+)\[([^\]]+)\]"",
""&lt;ruby&gt;$1&lt;rt&gt;$2&lt;/rt&gt;&lt;/ruby&gt;""
)&amp;""&lt;br&gt;&lt;div class=""""audio""""&gt;[sound:""&amp;C4869&amp;"".mp3]&lt;/div&gt;"""),"&lt;ruby&gt;暖房&lt;rt&gt;だんぼう&lt;/rt&gt;&lt;/ruby&gt;&lt;br&gt;&lt;div class=""audio""&gt;[sound:だんぼう.mp3]&lt;/div&gt;")</f>
        <v>&lt;ruby&gt;暖房&lt;rt&gt;だんぼう&lt;/rt&gt;&lt;/ruby&gt;&lt;br&gt;&lt;div class="audio"&gt;[sound:だんぼう.mp3]&lt;/div&gt;</v>
      </c>
      <c r="H4869" s="3" t="str">
        <f t="shared" si="1"/>
        <v>(n): lò sưởi</v>
      </c>
      <c r="I4869" s="6" t="s">
        <v>26552</v>
      </c>
      <c r="J4869" s="6" t="s">
        <v>26553</v>
      </c>
      <c r="K4869" s="7">
        <f t="shared" si="2"/>
        <v>0.8673422615</v>
      </c>
    </row>
    <row r="4870">
      <c r="A4870" s="4">
        <v>4870.0</v>
      </c>
      <c r="B4870" s="5" t="s">
        <v>26554</v>
      </c>
      <c r="C4870" s="5" t="s">
        <v>26555</v>
      </c>
      <c r="D4870" s="5" t="s">
        <v>26556</v>
      </c>
      <c r="E4870" s="6" t="s">
        <v>74</v>
      </c>
      <c r="F4870" s="6" t="s">
        <v>26557</v>
      </c>
      <c r="G4870" s="3" t="str">
        <f>IFERROR(__xludf.DUMMYFUNCTION("REGEXREPLACE(
D4870,
""([一-龯々]+)\[([^\]]+)\]"",
""&lt;ruby&gt;$1&lt;rt&gt;$2&lt;/rt&gt;&lt;/ruby&gt;""
)&amp;""&lt;br&gt;&lt;div class=""""audio""""&gt;[sound:""&amp;C4870&amp;"".mp3]&lt;/div&gt;"""),"&lt;ruby&gt;板&lt;rt&gt;いた&lt;/rt&gt;&lt;/ruby&gt;&lt;br&gt;&lt;div class=""audio""&gt;[sound:いた.mp3]&lt;/div&gt;")</f>
        <v>&lt;ruby&gt;板&lt;rt&gt;いた&lt;/rt&gt;&lt;/ruby&gt;&lt;br&gt;&lt;div class="audio"&gt;[sound:いた.mp3]&lt;/div&gt;</v>
      </c>
      <c r="H4870" s="3" t="str">
        <f t="shared" si="1"/>
        <v>(n): tấm ván</v>
      </c>
      <c r="I4870" s="6" t="s">
        <v>26558</v>
      </c>
      <c r="J4870" s="6" t="s">
        <v>26559</v>
      </c>
      <c r="K4870" s="7">
        <f t="shared" si="2"/>
        <v>0.2384204278</v>
      </c>
    </row>
    <row r="4871">
      <c r="A4871" s="4">
        <v>4871.0</v>
      </c>
      <c r="B4871" s="5" t="s">
        <v>26560</v>
      </c>
      <c r="C4871" s="5" t="s">
        <v>26561</v>
      </c>
      <c r="D4871" s="5" t="s">
        <v>26562</v>
      </c>
      <c r="E4871" s="6" t="s">
        <v>24</v>
      </c>
      <c r="F4871" s="6" t="s">
        <v>26563</v>
      </c>
      <c r="G4871" s="3" t="str">
        <f>IFERROR(__xludf.DUMMYFUNCTION("REGEXREPLACE(
D4871,
""([一-龯々]+)\[([^\]]+)\]"",
""&lt;ruby&gt;$1&lt;rt&gt;$2&lt;/rt&gt;&lt;/ruby&gt;""
)&amp;""&lt;br&gt;&lt;div class=""""audio""""&gt;[sound:""&amp;C4871&amp;"".mp3]&lt;/div&gt;"""),"&lt;ruby&gt;密集&lt;rt&gt;みっしゅう&lt;/rt&gt;&lt;/ruby&gt;&lt;br&gt;&lt;div class=""audio""&gt;[sound:みっしゅう.mp3]&lt;/div&gt;")</f>
        <v>&lt;ruby&gt;密集&lt;rt&gt;みっしゅう&lt;/rt&gt;&lt;/ruby&gt;&lt;br&gt;&lt;div class="audio"&gt;[sound:みっしゅう.mp3]&lt;/div&gt;</v>
      </c>
      <c r="H4871" s="3" t="str">
        <f t="shared" si="1"/>
        <v>(v): tập trung đông</v>
      </c>
      <c r="I4871" s="6" t="s">
        <v>26564</v>
      </c>
      <c r="J4871" s="6" t="s">
        <v>26565</v>
      </c>
      <c r="K4871" s="7">
        <f t="shared" si="2"/>
        <v>0.4818950107</v>
      </c>
    </row>
    <row r="4872">
      <c r="A4872" s="4">
        <v>4872.0</v>
      </c>
      <c r="B4872" s="5" t="s">
        <v>26566</v>
      </c>
      <c r="C4872" s="5" t="s">
        <v>26567</v>
      </c>
      <c r="D4872" s="5" t="s">
        <v>26568</v>
      </c>
      <c r="E4872" s="6" t="s">
        <v>11</v>
      </c>
      <c r="F4872" s="6" t="s">
        <v>26569</v>
      </c>
      <c r="G4872" s="3" t="str">
        <f>IFERROR(__xludf.DUMMYFUNCTION("REGEXREPLACE(
D4872,
""([一-龯々]+)\[([^\]]+)\]"",
""&lt;ruby&gt;$1&lt;rt&gt;$2&lt;/rt&gt;&lt;/ruby&gt;""
)&amp;""&lt;br&gt;&lt;div class=""""audio""""&gt;[sound:""&amp;C4872&amp;"".mp3]&lt;/div&gt;"""),"&lt;ruby&gt;愚&lt;rt&gt;おろ&lt;/rt&gt;&lt;/ruby&gt;か&lt;br&gt;&lt;div class=""audio""&gt;[sound:おろか.mp3]&lt;/div&gt;")</f>
        <v>&lt;ruby&gt;愚&lt;rt&gt;おろ&lt;/rt&gt;&lt;/ruby&gt;か&lt;br&gt;&lt;div class="audio"&gt;[sound:おろか.mp3]&lt;/div&gt;</v>
      </c>
      <c r="H4872" s="3" t="str">
        <f t="shared" si="1"/>
        <v>(adj): ngu ngốc</v>
      </c>
      <c r="I4872" s="6" t="s">
        <v>26570</v>
      </c>
      <c r="J4872" s="6" t="s">
        <v>26571</v>
      </c>
      <c r="K4872" s="7">
        <f t="shared" si="2"/>
        <v>0.9704855533</v>
      </c>
    </row>
    <row r="4873">
      <c r="A4873" s="4">
        <v>4873.0</v>
      </c>
      <c r="B4873" s="5" t="s">
        <v>26572</v>
      </c>
      <c r="C4873" s="5" t="s">
        <v>26573</v>
      </c>
      <c r="D4873" s="5" t="s">
        <v>26574</v>
      </c>
      <c r="E4873" s="6" t="s">
        <v>11</v>
      </c>
      <c r="F4873" s="6" t="s">
        <v>2744</v>
      </c>
      <c r="G4873" s="3" t="str">
        <f>IFERROR(__xludf.DUMMYFUNCTION("REGEXREPLACE(
D4873,
""([一-龯々]+)\[([^\]]+)\]"",
""&lt;ruby&gt;$1&lt;rt&gt;$2&lt;/rt&gt;&lt;/ruby&gt;""
)&amp;""&lt;br&gt;&lt;div class=""""audio""""&gt;[sound:""&amp;C4873&amp;"".mp3]&lt;/div&gt;"""),"&lt;ruby&gt;心強&lt;rt&gt;こころづよ&lt;/rt&gt;&lt;/ruby&gt;い&lt;br&gt;&lt;div class=""audio""&gt;[sound:こころづよい.mp3]&lt;/div&gt;")</f>
        <v>&lt;ruby&gt;心強&lt;rt&gt;こころづよ&lt;/rt&gt;&lt;/ruby&gt;い&lt;br&gt;&lt;div class="audio"&gt;[sound:こころづよい.mp3]&lt;/div&gt;</v>
      </c>
      <c r="H4873" s="3" t="str">
        <f t="shared" si="1"/>
        <v>(adj): an tâm</v>
      </c>
      <c r="I4873" s="6" t="s">
        <v>26575</v>
      </c>
      <c r="J4873" s="6" t="s">
        <v>26576</v>
      </c>
      <c r="K4873" s="7">
        <f t="shared" si="2"/>
        <v>0.7823605689</v>
      </c>
    </row>
    <row r="4874">
      <c r="A4874" s="4">
        <v>4874.0</v>
      </c>
      <c r="B4874" s="5" t="s">
        <v>26577</v>
      </c>
      <c r="C4874" s="5" t="s">
        <v>26578</v>
      </c>
      <c r="D4874" s="5" t="s">
        <v>26579</v>
      </c>
      <c r="E4874" s="6" t="s">
        <v>24</v>
      </c>
      <c r="F4874" s="6" t="s">
        <v>26187</v>
      </c>
      <c r="G4874" s="3" t="str">
        <f>IFERROR(__xludf.DUMMYFUNCTION("REGEXREPLACE(
D4874,
""([一-龯々]+)\[([^\]]+)\]"",
""&lt;ruby&gt;$1&lt;rt&gt;$2&lt;/rt&gt;&lt;/ruby&gt;""
)&amp;""&lt;br&gt;&lt;div class=""""audio""""&gt;[sound:""&amp;C4874&amp;"".mp3]&lt;/div&gt;"""),"&lt;ruby&gt;脅&lt;rt&gt;おびや&lt;/rt&gt;&lt;/ruby&gt;かす&lt;br&gt;&lt;div class=""audio""&gt;[sound:おびやかす.mp3]&lt;/div&gt;")</f>
        <v>&lt;ruby&gt;脅&lt;rt&gt;おびや&lt;/rt&gt;&lt;/ruby&gt;かす&lt;br&gt;&lt;div class="audio"&gt;[sound:おびやかす.mp3]&lt;/div&gt;</v>
      </c>
      <c r="H4874" s="3" t="str">
        <f t="shared" si="1"/>
        <v>(v): đe dọa</v>
      </c>
      <c r="I4874" s="6" t="s">
        <v>26580</v>
      </c>
      <c r="J4874" s="6" t="s">
        <v>26581</v>
      </c>
      <c r="K4874" s="7">
        <f t="shared" si="2"/>
        <v>0.03879369191</v>
      </c>
    </row>
    <row r="4875">
      <c r="A4875" s="4">
        <v>4875.0</v>
      </c>
      <c r="B4875" s="5" t="s">
        <v>26582</v>
      </c>
      <c r="C4875" s="5" t="s">
        <v>26583</v>
      </c>
      <c r="D4875" s="5" t="s">
        <v>26584</v>
      </c>
      <c r="E4875" s="6" t="s">
        <v>74</v>
      </c>
      <c r="F4875" s="6" t="s">
        <v>26585</v>
      </c>
      <c r="G4875" s="3" t="str">
        <f>IFERROR(__xludf.DUMMYFUNCTION("REGEXREPLACE(
D4875,
""([一-龯々]+)\[([^\]]+)\]"",
""&lt;ruby&gt;$1&lt;rt&gt;$2&lt;/rt&gt;&lt;/ruby&gt;""
)&amp;""&lt;br&gt;&lt;div class=""""audio""""&gt;[sound:""&amp;C4875&amp;"".mp3]&lt;/div&gt;"""),"&lt;ruby&gt;最中&lt;rt&gt;さなか&lt;/rt&gt;&lt;/ruby&gt;&lt;br&gt;&lt;div class=""audio""&gt;[sound:さなか.mp3]&lt;/div&gt;")</f>
        <v>&lt;ruby&gt;最中&lt;rt&gt;さなか&lt;/rt&gt;&lt;/ruby&gt;&lt;br&gt;&lt;div class="audio"&gt;[sound:さなか.mp3]&lt;/div&gt;</v>
      </c>
      <c r="H4875" s="3" t="str">
        <f t="shared" si="1"/>
        <v>(n): giữa</v>
      </c>
      <c r="I4875" s="6" t="s">
        <v>26586</v>
      </c>
      <c r="J4875" s="6" t="s">
        <v>26587</v>
      </c>
      <c r="K4875" s="7">
        <f t="shared" si="2"/>
        <v>0.1105273323</v>
      </c>
    </row>
    <row r="4876">
      <c r="A4876" s="4">
        <v>4876.0</v>
      </c>
      <c r="B4876" s="5" t="s">
        <v>26588</v>
      </c>
      <c r="C4876" s="5" t="s">
        <v>26589</v>
      </c>
      <c r="D4876" s="5" t="s">
        <v>26590</v>
      </c>
      <c r="E4876" s="6" t="s">
        <v>74</v>
      </c>
      <c r="F4876" s="6" t="s">
        <v>26591</v>
      </c>
      <c r="G4876" s="3" t="str">
        <f>IFERROR(__xludf.DUMMYFUNCTION("REGEXREPLACE(
D4876,
""([一-龯々]+)\[([^\]]+)\]"",
""&lt;ruby&gt;$1&lt;rt&gt;$2&lt;/rt&gt;&lt;/ruby&gt;""
)&amp;""&lt;br&gt;&lt;div class=""""audio""""&gt;[sound:""&amp;C4876&amp;"".mp3]&lt;/div&gt;"""),"&lt;ruby&gt;私鉄&lt;rt&gt;してつ&lt;/rt&gt;&lt;/ruby&gt;&lt;br&gt;&lt;div class=""audio""&gt;[sound:してつ.mp3]&lt;/div&gt;")</f>
        <v>&lt;ruby&gt;私鉄&lt;rt&gt;してつ&lt;/rt&gt;&lt;/ruby&gt;&lt;br&gt;&lt;div class="audio"&gt;[sound:してつ.mp3]&lt;/div&gt;</v>
      </c>
      <c r="H4876" s="3" t="str">
        <f t="shared" si="1"/>
        <v>(n): đường sắt tư nhân</v>
      </c>
      <c r="I4876" s="6" t="s">
        <v>26592</v>
      </c>
      <c r="J4876" s="6" t="s">
        <v>26593</v>
      </c>
      <c r="K4876" s="7">
        <f t="shared" si="2"/>
        <v>0.2799872819</v>
      </c>
    </row>
    <row r="4877">
      <c r="A4877" s="4">
        <v>4877.0</v>
      </c>
      <c r="B4877" s="5" t="s">
        <v>26594</v>
      </c>
      <c r="C4877" s="5" t="s">
        <v>26595</v>
      </c>
      <c r="D4877" s="5" t="s">
        <v>26596</v>
      </c>
      <c r="E4877" s="6" t="s">
        <v>74</v>
      </c>
      <c r="F4877" s="6" t="s">
        <v>26597</v>
      </c>
      <c r="G4877" s="3" t="str">
        <f>IFERROR(__xludf.DUMMYFUNCTION("REGEXREPLACE(
D4877,
""([一-龯々]+)\[([^\]]+)\]"",
""&lt;ruby&gt;$1&lt;rt&gt;$2&lt;/rt&gt;&lt;/ruby&gt;""
)&amp;""&lt;br&gt;&lt;div class=""""audio""""&gt;[sound:""&amp;C4877&amp;"".mp3]&lt;/div&gt;"""),"&lt;ruby&gt;大家&lt;rt&gt;おおや&lt;/rt&gt;&lt;/ruby&gt;&lt;br&gt;&lt;div class=""audio""&gt;[sound:おおや.mp3]&lt;/div&gt;")</f>
        <v>&lt;ruby&gt;大家&lt;rt&gt;おおや&lt;/rt&gt;&lt;/ruby&gt;&lt;br&gt;&lt;div class="audio"&gt;[sound:おおや.mp3]&lt;/div&gt;</v>
      </c>
      <c r="H4877" s="3" t="str">
        <f t="shared" si="1"/>
        <v>(n): chủ nhà</v>
      </c>
      <c r="I4877" s="6" t="s">
        <v>26598</v>
      </c>
      <c r="J4877" s="6" t="s">
        <v>26599</v>
      </c>
      <c r="K4877" s="7">
        <f t="shared" si="2"/>
        <v>0.8594015633</v>
      </c>
    </row>
    <row r="4878">
      <c r="A4878" s="4">
        <v>4878.0</v>
      </c>
      <c r="B4878" s="5" t="s">
        <v>26600</v>
      </c>
      <c r="C4878" s="5" t="s">
        <v>26601</v>
      </c>
      <c r="D4878" s="5" t="s">
        <v>26602</v>
      </c>
      <c r="E4878" s="6" t="s">
        <v>11</v>
      </c>
      <c r="F4878" s="6" t="s">
        <v>18478</v>
      </c>
      <c r="G4878" s="3" t="str">
        <f>IFERROR(__xludf.DUMMYFUNCTION("REGEXREPLACE(
D4878,
""([一-龯々]+)\[([^\]]+)\]"",
""&lt;ruby&gt;$1&lt;rt&gt;$2&lt;/rt&gt;&lt;/ruby&gt;""
)&amp;""&lt;br&gt;&lt;div class=""""audio""""&gt;[sound:""&amp;C4878&amp;"".mp3]&lt;/div&gt;"""),"&lt;ruby&gt;高級&lt;rt&gt;こうきゅう&lt;/rt&gt;&lt;/ruby&gt;&lt;br&gt;&lt;div class=""audio""&gt;[sound:こうきゅう.mp3]&lt;/div&gt;")</f>
        <v>&lt;ruby&gt;高級&lt;rt&gt;こうきゅう&lt;/rt&gt;&lt;/ruby&gt;&lt;br&gt;&lt;div class="audio"&gt;[sound:こうきゅう.mp3]&lt;/div&gt;</v>
      </c>
      <c r="H4878" s="3" t="str">
        <f t="shared" si="1"/>
        <v>(adj): cao cấp</v>
      </c>
      <c r="I4878" s="6" t="s">
        <v>26603</v>
      </c>
      <c r="J4878" s="6" t="s">
        <v>26604</v>
      </c>
      <c r="K4878" s="7">
        <f t="shared" si="2"/>
        <v>0.386709933</v>
      </c>
    </row>
    <row r="4879">
      <c r="A4879" s="4">
        <v>4879.0</v>
      </c>
      <c r="B4879" s="5" t="s">
        <v>26605</v>
      </c>
      <c r="C4879" s="5" t="s">
        <v>26606</v>
      </c>
      <c r="D4879" s="5" t="s">
        <v>26607</v>
      </c>
      <c r="E4879" s="6" t="s">
        <v>74</v>
      </c>
      <c r="F4879" s="6" t="s">
        <v>26608</v>
      </c>
      <c r="G4879" s="3" t="str">
        <f>IFERROR(__xludf.DUMMYFUNCTION("REGEXREPLACE(
D4879,
""([一-龯々]+)\[([^\]]+)\]"",
""&lt;ruby&gt;$1&lt;rt&gt;$2&lt;/rt&gt;&lt;/ruby&gt;""
)&amp;""&lt;br&gt;&lt;div class=""""audio""""&gt;[sound:""&amp;C4879&amp;"".mp3]&lt;/div&gt;"""),"&lt;ruby&gt;受話器&lt;rt&gt;じゅわき&lt;/rt&gt;&lt;/ruby&gt;&lt;br&gt;&lt;div class=""audio""&gt;[sound:じゅわき.mp3]&lt;/div&gt;")</f>
        <v>&lt;ruby&gt;受話器&lt;rt&gt;じゅわき&lt;/rt&gt;&lt;/ruby&gt;&lt;br&gt;&lt;div class="audio"&gt;[sound:じゅわき.mp3]&lt;/div&gt;</v>
      </c>
      <c r="H4879" s="3" t="str">
        <f t="shared" si="1"/>
        <v>(n): ống nghe</v>
      </c>
      <c r="I4879" s="6" t="s">
        <v>26609</v>
      </c>
      <c r="J4879" s="6" t="s">
        <v>26610</v>
      </c>
      <c r="K4879" s="7">
        <f t="shared" si="2"/>
        <v>0.6765446888</v>
      </c>
    </row>
    <row r="4880">
      <c r="A4880" s="4">
        <v>4880.0</v>
      </c>
      <c r="B4880" s="5" t="s">
        <v>26611</v>
      </c>
      <c r="C4880" s="5" t="s">
        <v>26612</v>
      </c>
      <c r="D4880" s="5" t="s">
        <v>26613</v>
      </c>
      <c r="E4880" s="6" t="s">
        <v>74</v>
      </c>
      <c r="F4880" s="6" t="s">
        <v>26614</v>
      </c>
      <c r="G4880" s="3" t="str">
        <f>IFERROR(__xludf.DUMMYFUNCTION("REGEXREPLACE(
D4880,
""([一-龯々]+)\[([^\]]+)\]"",
""&lt;ruby&gt;$1&lt;rt&gt;$2&lt;/rt&gt;&lt;/ruby&gt;""
)&amp;""&lt;br&gt;&lt;div class=""""audio""""&gt;[sound:""&amp;C4880&amp;"".mp3]&lt;/div&gt;"""),"&lt;ruby&gt;青年&lt;rt&gt;せいねん&lt;/rt&gt;&lt;/ruby&gt;&lt;br&gt;&lt;div class=""audio""&gt;[sound:せいねん.mp3]&lt;/div&gt;")</f>
        <v>&lt;ruby&gt;青年&lt;rt&gt;せいねん&lt;/rt&gt;&lt;/ruby&gt;&lt;br&gt;&lt;div class="audio"&gt;[sound:せいねん.mp3]&lt;/div&gt;</v>
      </c>
      <c r="H4880" s="3" t="str">
        <f t="shared" si="1"/>
        <v>(n): thanh niên</v>
      </c>
      <c r="I4880" s="6" t="s">
        <v>26615</v>
      </c>
      <c r="J4880" s="6" t="s">
        <v>26616</v>
      </c>
      <c r="K4880" s="7">
        <f t="shared" si="2"/>
        <v>0.3461388484</v>
      </c>
    </row>
    <row r="4881">
      <c r="A4881" s="4">
        <v>4881.0</v>
      </c>
      <c r="B4881" s="5" t="s">
        <v>26617</v>
      </c>
      <c r="C4881" s="5" t="s">
        <v>26618</v>
      </c>
      <c r="D4881" s="5" t="s">
        <v>26619</v>
      </c>
      <c r="E4881" s="6" t="s">
        <v>74</v>
      </c>
      <c r="F4881" s="6" t="s">
        <v>26620</v>
      </c>
      <c r="G4881" s="3" t="str">
        <f>IFERROR(__xludf.DUMMYFUNCTION("REGEXREPLACE(
D4881,
""([一-龯々]+)\[([^\]]+)\]"",
""&lt;ruby&gt;$1&lt;rt&gt;$2&lt;/rt&gt;&lt;/ruby&gt;""
)&amp;""&lt;br&gt;&lt;div class=""""audio""""&gt;[sound:""&amp;C4881&amp;"".mp3]&lt;/div&gt;"""),"&lt;ruby&gt;響&lt;rt&gt;ひび&lt;/rt&gt;&lt;/ruby&gt;き&lt;br&gt;&lt;div class=""audio""&gt;[sound:ひびき.mp3]&lt;/div&gt;")</f>
        <v>&lt;ruby&gt;響&lt;rt&gt;ひび&lt;/rt&gt;&lt;/ruby&gt;き&lt;br&gt;&lt;div class="audio"&gt;[sound:ひびき.mp3]&lt;/div&gt;</v>
      </c>
      <c r="H4881" s="3" t="str">
        <f t="shared" si="1"/>
        <v>(n): tiếng vang</v>
      </c>
      <c r="I4881" s="6" t="s">
        <v>26621</v>
      </c>
      <c r="J4881" s="6" t="s">
        <v>26622</v>
      </c>
      <c r="K4881" s="7">
        <f t="shared" si="2"/>
        <v>0.3700783495</v>
      </c>
    </row>
    <row r="4882">
      <c r="A4882" s="4">
        <v>4882.0</v>
      </c>
      <c r="B4882" s="5" t="s">
        <v>26623</v>
      </c>
      <c r="C4882" s="5" t="s">
        <v>26624</v>
      </c>
      <c r="D4882" s="5" t="s">
        <v>26625</v>
      </c>
      <c r="E4882" s="6" t="s">
        <v>74</v>
      </c>
      <c r="F4882" s="6" t="s">
        <v>26626</v>
      </c>
      <c r="G4882" s="3" t="str">
        <f>IFERROR(__xludf.DUMMYFUNCTION("REGEXREPLACE(
D4882,
""([一-龯々]+)\[([^\]]+)\]"",
""&lt;ruby&gt;$1&lt;rt&gt;$2&lt;/rt&gt;&lt;/ruby&gt;""
)&amp;""&lt;br&gt;&lt;div class=""""audio""""&gt;[sound:""&amp;C4882&amp;"".mp3]&lt;/div&gt;"""),"&lt;ruby&gt;名人&lt;rt&gt;めいじん&lt;/rt&gt;&lt;/ruby&gt;&lt;br&gt;&lt;div class=""audio""&gt;[sound:めいじん.mp3]&lt;/div&gt;")</f>
        <v>&lt;ruby&gt;名人&lt;rt&gt;めいじん&lt;/rt&gt;&lt;/ruby&gt;&lt;br&gt;&lt;div class="audio"&gt;[sound:めいじん.mp3]&lt;/div&gt;</v>
      </c>
      <c r="H4882" s="3" t="str">
        <f t="shared" si="1"/>
        <v>(n): cao thủ</v>
      </c>
      <c r="I4882" s="6" t="s">
        <v>26627</v>
      </c>
      <c r="J4882" s="6" t="s">
        <v>26628</v>
      </c>
      <c r="K4882" s="7">
        <f t="shared" si="2"/>
        <v>0.70723926</v>
      </c>
    </row>
    <row r="4883">
      <c r="A4883" s="4">
        <v>4883.0</v>
      </c>
      <c r="B4883" s="5" t="s">
        <v>26629</v>
      </c>
      <c r="C4883" s="5" t="s">
        <v>26452</v>
      </c>
      <c r="D4883" s="5" t="s">
        <v>26630</v>
      </c>
      <c r="E4883" s="6" t="s">
        <v>24</v>
      </c>
      <c r="F4883" s="6" t="s">
        <v>19855</v>
      </c>
      <c r="G4883" s="3" t="str">
        <f>IFERROR(__xludf.DUMMYFUNCTION("REGEXREPLACE(
D4883,
""([一-龯々]+)\[([^\]]+)\]"",
""&lt;ruby&gt;$1&lt;rt&gt;$2&lt;/rt&gt;&lt;/ruby&gt;""
)&amp;""&lt;br&gt;&lt;div class=""""audio""""&gt;[sound:""&amp;C4883&amp;"".mp3]&lt;/div&gt;"""),"&lt;ruby&gt;継&lt;rt&gt;つ&lt;/rt&gt;&lt;/ruby&gt;ぐ&lt;br&gt;&lt;div class=""audio""&gt;[sound:つぐ.mp3]&lt;/div&gt;")</f>
        <v>&lt;ruby&gt;継&lt;rt&gt;つ&lt;/rt&gt;&lt;/ruby&gt;ぐ&lt;br&gt;&lt;div class="audio"&gt;[sound:つぐ.mp3]&lt;/div&gt;</v>
      </c>
      <c r="H4883" s="3" t="str">
        <f t="shared" si="1"/>
        <v>(v): kế thừa</v>
      </c>
      <c r="I4883" s="6" t="s">
        <v>26631</v>
      </c>
      <c r="J4883" s="6" t="s">
        <v>26632</v>
      </c>
      <c r="K4883" s="7">
        <f t="shared" si="2"/>
        <v>0.3271329515</v>
      </c>
    </row>
    <row r="4884">
      <c r="A4884" s="4">
        <v>4884.0</v>
      </c>
      <c r="B4884" s="5" t="s">
        <v>26633</v>
      </c>
      <c r="C4884" s="5" t="s">
        <v>26634</v>
      </c>
      <c r="D4884" s="5" t="s">
        <v>26635</v>
      </c>
      <c r="E4884" s="6" t="s">
        <v>74</v>
      </c>
      <c r="F4884" s="6" t="s">
        <v>26636</v>
      </c>
      <c r="G4884" s="3" t="str">
        <f>IFERROR(__xludf.DUMMYFUNCTION("REGEXREPLACE(
D4884,
""([一-龯々]+)\[([^\]]+)\]"",
""&lt;ruby&gt;$1&lt;rt&gt;$2&lt;/rt&gt;&lt;/ruby&gt;""
)&amp;""&lt;br&gt;&lt;div class=""""audio""""&gt;[sound:""&amp;C4884&amp;"".mp3]&lt;/div&gt;"""),"&lt;ruby&gt;冷蔵庫&lt;rt&gt;れいぞうこ&lt;/rt&gt;&lt;/ruby&gt;&lt;br&gt;&lt;div class=""audio""&gt;[sound:れいぞうこ.mp3]&lt;/div&gt;")</f>
        <v>&lt;ruby&gt;冷蔵庫&lt;rt&gt;れいぞうこ&lt;/rt&gt;&lt;/ruby&gt;&lt;br&gt;&lt;div class="audio"&gt;[sound:れいぞうこ.mp3]&lt;/div&gt;</v>
      </c>
      <c r="H4884" s="3" t="str">
        <f t="shared" si="1"/>
        <v>(n): tủ lạnh</v>
      </c>
      <c r="I4884" s="6" t="s">
        <v>26637</v>
      </c>
      <c r="J4884" s="6" t="s">
        <v>26638</v>
      </c>
      <c r="K4884" s="7">
        <f t="shared" si="2"/>
        <v>0.2286903709</v>
      </c>
    </row>
    <row r="4885">
      <c r="A4885" s="4">
        <v>4885.0</v>
      </c>
      <c r="B4885" s="5" t="s">
        <v>26639</v>
      </c>
      <c r="C4885" s="5" t="s">
        <v>2561</v>
      </c>
      <c r="D4885" s="5" t="s">
        <v>26640</v>
      </c>
      <c r="E4885" s="6" t="s">
        <v>74</v>
      </c>
      <c r="F4885" s="6" t="s">
        <v>26641</v>
      </c>
      <c r="G4885" s="3" t="str">
        <f>IFERROR(__xludf.DUMMYFUNCTION("REGEXREPLACE(
D4885,
""([一-龯々]+)\[([^\]]+)\]"",
""&lt;ruby&gt;$1&lt;rt&gt;$2&lt;/rt&gt;&lt;/ruby&gt;""
)&amp;""&lt;br&gt;&lt;div class=""""audio""""&gt;[sound:""&amp;C4885&amp;"".mp3]&lt;/div&gt;"""),"&lt;ruby&gt;保健&lt;rt&gt;ほけん&lt;/rt&gt;&lt;/ruby&gt;&lt;br&gt;&lt;div class=""audio""&gt;[sound:ほけん.mp3]&lt;/div&gt;")</f>
        <v>&lt;ruby&gt;保健&lt;rt&gt;ほけん&lt;/rt&gt;&lt;/ruby&gt;&lt;br&gt;&lt;div class="audio"&gt;[sound:ほけん.mp3]&lt;/div&gt;</v>
      </c>
      <c r="H4885" s="3" t="str">
        <f t="shared" si="1"/>
        <v>(n): bảo vệ sức khỏe</v>
      </c>
      <c r="I4885" s="6" t="s">
        <v>26642</v>
      </c>
      <c r="J4885" s="6" t="s">
        <v>26643</v>
      </c>
      <c r="K4885" s="7">
        <f t="shared" si="2"/>
        <v>0.8907954666</v>
      </c>
    </row>
    <row r="4886">
      <c r="A4886" s="4">
        <v>4886.0</v>
      </c>
      <c r="B4886" s="5" t="s">
        <v>26644</v>
      </c>
      <c r="C4886" s="5" t="s">
        <v>26645</v>
      </c>
      <c r="D4886" s="5" t="s">
        <v>26646</v>
      </c>
      <c r="E4886" s="6" t="s">
        <v>11</v>
      </c>
      <c r="F4886" s="6" t="s">
        <v>23328</v>
      </c>
      <c r="G4886" s="3" t="str">
        <f>IFERROR(__xludf.DUMMYFUNCTION("REGEXREPLACE(
D4886,
""([一-龯々]+)\[([^\]]+)\]"",
""&lt;ruby&gt;$1&lt;rt&gt;$2&lt;/rt&gt;&lt;/ruby&gt;""
)&amp;""&lt;br&gt;&lt;div class=""""audio""""&gt;[sound:""&amp;C4886&amp;"".mp3]&lt;/div&gt;"""),"&lt;ruby&gt;四角&lt;rt&gt;しかく&lt;/rt&gt;&lt;/ruby&gt;い&lt;br&gt;&lt;div class=""audio""&gt;[sound:しかくい.mp3]&lt;/div&gt;")</f>
        <v>&lt;ruby&gt;四角&lt;rt&gt;しかく&lt;/rt&gt;&lt;/ruby&gt;い&lt;br&gt;&lt;div class="audio"&gt;[sound:しかくい.mp3]&lt;/div&gt;</v>
      </c>
      <c r="H4886" s="3" t="str">
        <f t="shared" si="1"/>
        <v>(adj): hình vuông</v>
      </c>
      <c r="I4886" s="6" t="s">
        <v>26647</v>
      </c>
      <c r="J4886" s="6" t="s">
        <v>26648</v>
      </c>
      <c r="K4886" s="7">
        <f t="shared" si="2"/>
        <v>0.145792054</v>
      </c>
    </row>
    <row r="4887">
      <c r="A4887" s="4">
        <v>4887.0</v>
      </c>
      <c r="B4887" s="5" t="s">
        <v>26649</v>
      </c>
      <c r="C4887" s="5" t="s">
        <v>26650</v>
      </c>
      <c r="D4887" s="5" t="s">
        <v>26651</v>
      </c>
      <c r="E4887" s="6" t="s">
        <v>74</v>
      </c>
      <c r="F4887" s="6" t="s">
        <v>26652</v>
      </c>
      <c r="G4887" s="3" t="str">
        <f>IFERROR(__xludf.DUMMYFUNCTION("REGEXREPLACE(
D4887,
""([一-龯々]+)\[([^\]]+)\]"",
""&lt;ruby&gt;$1&lt;rt&gt;$2&lt;/rt&gt;&lt;/ruby&gt;""
)&amp;""&lt;br&gt;&lt;div class=""""audio""""&gt;[sound:""&amp;C4887&amp;"".mp3]&lt;/div&gt;"""),"&lt;ruby&gt;留学生&lt;rt&gt;りゅうがくせい&lt;/rt&gt;&lt;/ruby&gt;&lt;br&gt;&lt;div class=""audio""&gt;[sound:りゅうがくせい.mp3]&lt;/div&gt;")</f>
        <v>&lt;ruby&gt;留学生&lt;rt&gt;りゅうがくせい&lt;/rt&gt;&lt;/ruby&gt;&lt;br&gt;&lt;div class="audio"&gt;[sound:りゅうがくせい.mp3]&lt;/div&gt;</v>
      </c>
      <c r="H4887" s="3" t="str">
        <f t="shared" si="1"/>
        <v>(n): du học sinh</v>
      </c>
      <c r="I4887" s="6" t="s">
        <v>26653</v>
      </c>
      <c r="J4887" s="6" t="s">
        <v>26654</v>
      </c>
      <c r="K4887" s="7">
        <f t="shared" si="2"/>
        <v>0.2894276972</v>
      </c>
    </row>
    <row r="4888">
      <c r="A4888" s="4">
        <v>4888.0</v>
      </c>
      <c r="B4888" s="5" t="s">
        <v>26655</v>
      </c>
      <c r="C4888" s="5" t="s">
        <v>26656</v>
      </c>
      <c r="D4888" s="5" t="s">
        <v>26657</v>
      </c>
      <c r="E4888" s="6" t="s">
        <v>11</v>
      </c>
      <c r="F4888" s="6" t="s">
        <v>26658</v>
      </c>
      <c r="G4888" s="3" t="str">
        <f>IFERROR(__xludf.DUMMYFUNCTION("REGEXREPLACE(
D4888,
""([一-龯々]+)\[([^\]]+)\]"",
""&lt;ruby&gt;$1&lt;rt&gt;$2&lt;/rt&gt;&lt;/ruby&gt;""
)&amp;""&lt;br&gt;&lt;div class=""""audio""""&gt;[sound:""&amp;C4888&amp;"".mp3]&lt;/div&gt;"""),"&lt;ruby&gt;地味&lt;rt&gt;じみ&lt;/rt&gt;&lt;/ruby&gt;&lt;br&gt;&lt;div class=""audio""&gt;[sound:じみ.mp3]&lt;/div&gt;")</f>
        <v>&lt;ruby&gt;地味&lt;rt&gt;じみ&lt;/rt&gt;&lt;/ruby&gt;&lt;br&gt;&lt;div class="audio"&gt;[sound:じみ.mp3]&lt;/div&gt;</v>
      </c>
      <c r="H4888" s="3" t="str">
        <f t="shared" si="1"/>
        <v>(adj): giản dị</v>
      </c>
      <c r="I4888" s="6" t="s">
        <v>26659</v>
      </c>
      <c r="J4888" s="6" t="s">
        <v>26660</v>
      </c>
      <c r="K4888" s="7">
        <f t="shared" si="2"/>
        <v>0.2235133699</v>
      </c>
    </row>
    <row r="4889">
      <c r="A4889" s="4">
        <v>4889.0</v>
      </c>
      <c r="B4889" s="5" t="s">
        <v>26661</v>
      </c>
      <c r="C4889" s="5" t="s">
        <v>26662</v>
      </c>
      <c r="D4889" s="5" t="s">
        <v>26663</v>
      </c>
      <c r="E4889" s="6" t="s">
        <v>11</v>
      </c>
      <c r="F4889" s="6" t="s">
        <v>26025</v>
      </c>
      <c r="G4889" s="3" t="str">
        <f>IFERROR(__xludf.DUMMYFUNCTION("REGEXREPLACE(
D4889,
""([一-龯々]+)\[([^\]]+)\]"",
""&lt;ruby&gt;$1&lt;rt&gt;$2&lt;/rt&gt;&lt;/ruby&gt;""
)&amp;""&lt;br&gt;&lt;div class=""""audio""""&gt;[sound:""&amp;C4889&amp;"".mp3]&lt;/div&gt;"""),"&lt;ruby&gt;羨&lt;rt&gt;うらや&lt;/rt&gt;&lt;/ruby&gt;ましい&lt;br&gt;&lt;div class=""audio""&gt;[sound:うらやましい.mp3]&lt;/div&gt;")</f>
        <v>&lt;ruby&gt;羨&lt;rt&gt;うらや&lt;/rt&gt;&lt;/ruby&gt;ましい&lt;br&gt;&lt;div class="audio"&gt;[sound:うらやましい.mp3]&lt;/div&gt;</v>
      </c>
      <c r="H4889" s="3" t="str">
        <f t="shared" si="1"/>
        <v>(adj): ghen tị</v>
      </c>
      <c r="I4889" s="6" t="s">
        <v>26664</v>
      </c>
      <c r="J4889" s="6" t="s">
        <v>26665</v>
      </c>
      <c r="K4889" s="7">
        <f t="shared" si="2"/>
        <v>0.1030229574</v>
      </c>
    </row>
    <row r="4890">
      <c r="A4890" s="4">
        <v>4890.0</v>
      </c>
      <c r="B4890" s="5" t="s">
        <v>26666</v>
      </c>
      <c r="C4890" s="5" t="s">
        <v>26667</v>
      </c>
      <c r="D4890" s="5" t="s">
        <v>26668</v>
      </c>
      <c r="E4890" s="6" t="s">
        <v>74</v>
      </c>
      <c r="F4890" s="6" t="s">
        <v>26669</v>
      </c>
      <c r="G4890" s="3" t="str">
        <f>IFERROR(__xludf.DUMMYFUNCTION("REGEXREPLACE(
D4890,
""([一-龯々]+)\[([^\]]+)\]"",
""&lt;ruby&gt;$1&lt;rt&gt;$2&lt;/rt&gt;&lt;/ruby&gt;""
)&amp;""&lt;br&gt;&lt;div class=""""audio""""&gt;[sound:""&amp;C4890&amp;"".mp3]&lt;/div&gt;"""),"&lt;ruby&gt;恩恵&lt;rt&gt;おんけい&lt;/rt&gt;&lt;/ruby&gt;&lt;br&gt;&lt;div class=""audio""&gt;[sound:おんけい.mp3]&lt;/div&gt;")</f>
        <v>&lt;ruby&gt;恩恵&lt;rt&gt;おんけい&lt;/rt&gt;&lt;/ruby&gt;&lt;br&gt;&lt;div class="audio"&gt;[sound:おんけい.mp3]&lt;/div&gt;</v>
      </c>
      <c r="H4890" s="3" t="str">
        <f t="shared" si="1"/>
        <v>(n): ân huệ</v>
      </c>
      <c r="I4890" s="6" t="s">
        <v>26670</v>
      </c>
      <c r="J4890" s="6" t="s">
        <v>26671</v>
      </c>
      <c r="K4890" s="7">
        <f t="shared" si="2"/>
        <v>0.2359470149</v>
      </c>
    </row>
    <row r="4891">
      <c r="A4891" s="4">
        <v>4891.0</v>
      </c>
      <c r="B4891" s="5" t="s">
        <v>26672</v>
      </c>
      <c r="C4891" s="5" t="s">
        <v>26673</v>
      </c>
      <c r="D4891" s="5" t="s">
        <v>26674</v>
      </c>
      <c r="E4891" s="6" t="s">
        <v>24</v>
      </c>
      <c r="F4891" s="6" t="s">
        <v>26675</v>
      </c>
      <c r="G4891" s="3" t="str">
        <f>IFERROR(__xludf.DUMMYFUNCTION("REGEXREPLACE(
D4891,
""([一-龯々]+)\[([^\]]+)\]"",
""&lt;ruby&gt;$1&lt;rt&gt;$2&lt;/rt&gt;&lt;/ruby&gt;""
)&amp;""&lt;br&gt;&lt;div class=""""audio""""&gt;[sound:""&amp;C4891&amp;"".mp3]&lt;/div&gt;"""),"&lt;ruby&gt;浮&lt;rt&gt;う&lt;/rt&gt;&lt;/ruby&gt;く&lt;br&gt;&lt;div class=""audio""&gt;[sound:うく.mp3]&lt;/div&gt;")</f>
        <v>&lt;ruby&gt;浮&lt;rt&gt;う&lt;/rt&gt;&lt;/ruby&gt;く&lt;br&gt;&lt;div class="audio"&gt;[sound:うく.mp3]&lt;/div&gt;</v>
      </c>
      <c r="H4891" s="3" t="str">
        <f t="shared" si="1"/>
        <v>(v): nổi</v>
      </c>
      <c r="I4891" s="6" t="s">
        <v>26676</v>
      </c>
      <c r="J4891" s="6" t="s">
        <v>26677</v>
      </c>
      <c r="K4891" s="7">
        <f t="shared" si="2"/>
        <v>0.06961738561</v>
      </c>
    </row>
    <row r="4892">
      <c r="A4892" s="4">
        <v>4892.0</v>
      </c>
      <c r="B4892" s="5" t="s">
        <v>26678</v>
      </c>
      <c r="C4892" s="5" t="s">
        <v>26679</v>
      </c>
      <c r="D4892" s="5" t="s">
        <v>26680</v>
      </c>
      <c r="E4892" s="6" t="s">
        <v>24</v>
      </c>
      <c r="F4892" s="6" t="s">
        <v>26681</v>
      </c>
      <c r="G4892" s="3" t="str">
        <f>IFERROR(__xludf.DUMMYFUNCTION("REGEXREPLACE(
D4892,
""([一-龯々]+)\[([^\]]+)\]"",
""&lt;ruby&gt;$1&lt;rt&gt;$2&lt;/rt&gt;&lt;/ruby&gt;""
)&amp;""&lt;br&gt;&lt;div class=""""audio""""&gt;[sound:""&amp;C4892&amp;"".mp3]&lt;/div&gt;"""),"&lt;ruby&gt;背負&lt;rt&gt;せお&lt;/rt&gt;&lt;/ruby&gt;う&lt;br&gt;&lt;div class=""audio""&gt;[sound:せおう.mp3]&lt;/div&gt;")</f>
        <v>&lt;ruby&gt;背負&lt;rt&gt;せお&lt;/rt&gt;&lt;/ruby&gt;う&lt;br&gt;&lt;div class="audio"&gt;[sound:せおう.mp3]&lt;/div&gt;</v>
      </c>
      <c r="H4892" s="3" t="str">
        <f t="shared" si="1"/>
        <v>(v): đeo trên lưng</v>
      </c>
      <c r="I4892" s="6" t="s">
        <v>26682</v>
      </c>
      <c r="J4892" s="6" t="s">
        <v>26683</v>
      </c>
      <c r="K4892" s="7">
        <f t="shared" si="2"/>
        <v>0.4096690791</v>
      </c>
    </row>
    <row r="4893">
      <c r="A4893" s="4">
        <v>4893.0</v>
      </c>
      <c r="B4893" s="5" t="s">
        <v>26684</v>
      </c>
      <c r="C4893" s="5" t="s">
        <v>26685</v>
      </c>
      <c r="D4893" s="5" t="s">
        <v>26686</v>
      </c>
      <c r="E4893" s="6" t="s">
        <v>24</v>
      </c>
      <c r="F4893" s="6" t="s">
        <v>26687</v>
      </c>
      <c r="G4893" s="3" t="str">
        <f>IFERROR(__xludf.DUMMYFUNCTION("REGEXREPLACE(
D4893,
""([一-龯々]+)\[([^\]]+)\]"",
""&lt;ruby&gt;$1&lt;rt&gt;$2&lt;/rt&gt;&lt;/ruby&gt;""
)&amp;""&lt;br&gt;&lt;div class=""""audio""""&gt;[sound:""&amp;C4893&amp;"".mp3]&lt;/div&gt;"""),"&lt;ruby&gt;深&lt;rt&gt;ふか&lt;/rt&gt;&lt;/ruby&gt;める&lt;br&gt;&lt;div class=""audio""&gt;[sound:ふかめる.mp3]&lt;/div&gt;")</f>
        <v>&lt;ruby&gt;深&lt;rt&gt;ふか&lt;/rt&gt;&lt;/ruby&gt;める&lt;br&gt;&lt;div class="audio"&gt;[sound:ふかめる.mp3]&lt;/div&gt;</v>
      </c>
      <c r="H4893" s="3" t="str">
        <f t="shared" si="1"/>
        <v>(v): làm sâu sắc</v>
      </c>
      <c r="I4893" s="6" t="s">
        <v>26688</v>
      </c>
      <c r="J4893" s="6" t="s">
        <v>26689</v>
      </c>
      <c r="K4893" s="7">
        <f t="shared" si="2"/>
        <v>0.168366076</v>
      </c>
    </row>
    <row r="4894">
      <c r="A4894" s="4">
        <v>4894.0</v>
      </c>
      <c r="B4894" s="5" t="s">
        <v>26690</v>
      </c>
      <c r="C4894" s="5" t="s">
        <v>6543</v>
      </c>
      <c r="D4894" s="5" t="s">
        <v>26691</v>
      </c>
      <c r="E4894" s="6" t="s">
        <v>24</v>
      </c>
      <c r="F4894" s="6" t="s">
        <v>26692</v>
      </c>
      <c r="G4894" s="3" t="str">
        <f>IFERROR(__xludf.DUMMYFUNCTION("REGEXREPLACE(
D4894,
""([一-龯々]+)\[([^\]]+)\]"",
""&lt;ruby&gt;$1&lt;rt&gt;$2&lt;/rt&gt;&lt;/ruby&gt;""
)&amp;""&lt;br&gt;&lt;div class=""""audio""""&gt;[sound:""&amp;C4894&amp;"".mp3]&lt;/div&gt;"""),"&lt;ruby&gt;射&lt;rt&gt;さ&lt;/rt&gt;&lt;/ruby&gt;す&lt;br&gt;&lt;div class=""audio""&gt;[sound:さす.mp3]&lt;/div&gt;")</f>
        <v>&lt;ruby&gt;射&lt;rt&gt;さ&lt;/rt&gt;&lt;/ruby&gt;す&lt;br&gt;&lt;div class="audio"&gt;[sound:さす.mp3]&lt;/div&gt;</v>
      </c>
      <c r="H4894" s="3" t="str">
        <f t="shared" si="1"/>
        <v>(v): chiếu sáng</v>
      </c>
      <c r="I4894" s="6" t="s">
        <v>26693</v>
      </c>
      <c r="J4894" s="6" t="s">
        <v>26694</v>
      </c>
      <c r="K4894" s="7">
        <f t="shared" si="2"/>
        <v>0.3978808257</v>
      </c>
    </row>
    <row r="4895">
      <c r="A4895" s="4">
        <v>4895.0</v>
      </c>
      <c r="B4895" s="5" t="s">
        <v>26695</v>
      </c>
      <c r="C4895" s="5" t="s">
        <v>165</v>
      </c>
      <c r="D4895" s="5" t="s">
        <v>26696</v>
      </c>
      <c r="E4895" s="6" t="s">
        <v>24</v>
      </c>
      <c r="F4895" s="6" t="s">
        <v>26697</v>
      </c>
      <c r="G4895" s="3" t="str">
        <f>IFERROR(__xludf.DUMMYFUNCTION("REGEXREPLACE(
D4895,
""([一-龯々]+)\[([^\]]+)\]"",
""&lt;ruby&gt;$1&lt;rt&gt;$2&lt;/rt&gt;&lt;/ruby&gt;""
)&amp;""&lt;br&gt;&lt;div class=""""audio""""&gt;[sound:""&amp;C4895&amp;"".mp3]&lt;/div&gt;"""),"&lt;ruby&gt;沿&lt;rt&gt;そ&lt;/rt&gt;&lt;/ruby&gt;う&lt;br&gt;&lt;div class=""audio""&gt;[sound:そう.mp3]&lt;/div&gt;")</f>
        <v>&lt;ruby&gt;沿&lt;rt&gt;そ&lt;/rt&gt;&lt;/ruby&gt;う&lt;br&gt;&lt;div class="audio"&gt;[sound:そう.mp3]&lt;/div&gt;</v>
      </c>
      <c r="H4895" s="3" t="str">
        <f t="shared" si="1"/>
        <v>(v): dọc theo</v>
      </c>
      <c r="I4895" s="6" t="s">
        <v>26698</v>
      </c>
      <c r="J4895" s="6" t="s">
        <v>26699</v>
      </c>
      <c r="K4895" s="7">
        <f t="shared" si="2"/>
        <v>0.205556037</v>
      </c>
    </row>
    <row r="4896">
      <c r="A4896" s="4">
        <v>4896.0</v>
      </c>
      <c r="B4896" s="5" t="s">
        <v>26700</v>
      </c>
      <c r="C4896" s="5" t="s">
        <v>26701</v>
      </c>
      <c r="D4896" s="5" t="s">
        <v>26702</v>
      </c>
      <c r="E4896" s="6" t="s">
        <v>74</v>
      </c>
      <c r="F4896" s="6" t="s">
        <v>21525</v>
      </c>
      <c r="G4896" s="3" t="str">
        <f>IFERROR(__xludf.DUMMYFUNCTION("REGEXREPLACE(
D4896,
""([一-龯々]+)\[([^\]]+)\]"",
""&lt;ruby&gt;$1&lt;rt&gt;$2&lt;/rt&gt;&lt;/ruby&gt;""
)&amp;""&lt;br&gt;&lt;div class=""""audio""""&gt;[sound:""&amp;C4896&amp;"".mp3]&lt;/div&gt;"""),"&lt;ruby&gt;体操&lt;rt&gt;たいそう&lt;/rt&gt;&lt;/ruby&gt;&lt;br&gt;&lt;div class=""audio""&gt;[sound:たいそう.mp3]&lt;/div&gt;")</f>
        <v>&lt;ruby&gt;体操&lt;rt&gt;たいそう&lt;/rt&gt;&lt;/ruby&gt;&lt;br&gt;&lt;div class="audio"&gt;[sound:たいそう.mp3]&lt;/div&gt;</v>
      </c>
      <c r="H4896" s="3" t="str">
        <f t="shared" si="1"/>
        <v>(n): thể dục</v>
      </c>
      <c r="I4896" s="6" t="s">
        <v>26703</v>
      </c>
      <c r="J4896" s="6" t="s">
        <v>26704</v>
      </c>
      <c r="K4896" s="7">
        <f t="shared" si="2"/>
        <v>0.2998601518</v>
      </c>
    </row>
    <row r="4897">
      <c r="A4897" s="4">
        <v>4897.0</v>
      </c>
      <c r="B4897" s="5" t="s">
        <v>26705</v>
      </c>
      <c r="C4897" s="5" t="s">
        <v>26706</v>
      </c>
      <c r="D4897" s="5" t="s">
        <v>26707</v>
      </c>
      <c r="E4897" s="6" t="s">
        <v>24</v>
      </c>
      <c r="F4897" s="6" t="s">
        <v>26708</v>
      </c>
      <c r="G4897" s="3" t="str">
        <f>IFERROR(__xludf.DUMMYFUNCTION("REGEXREPLACE(
D4897,
""([一-龯々]+)\[([^\]]+)\]"",
""&lt;ruby&gt;$1&lt;rt&gt;$2&lt;/rt&gt;&lt;/ruby&gt;""
)&amp;""&lt;br&gt;&lt;div class=""""audio""""&gt;[sound:""&amp;C4897&amp;"".mp3]&lt;/div&gt;"""),"&lt;ruby&gt;縮&lt;rt&gt;ちぢ&lt;/rt&gt;&lt;/ruby&gt;める&lt;br&gt;&lt;div class=""audio""&gt;[sound:ちぢめる.mp3]&lt;/div&gt;")</f>
        <v>&lt;ruby&gt;縮&lt;rt&gt;ちぢ&lt;/rt&gt;&lt;/ruby&gt;める&lt;br&gt;&lt;div class="audio"&gt;[sound:ちぢめる.mp3]&lt;/div&gt;</v>
      </c>
      <c r="H4897" s="3" t="str">
        <f t="shared" si="1"/>
        <v>(v): làm ngắn lại</v>
      </c>
      <c r="I4897" s="6" t="s">
        <v>26709</v>
      </c>
      <c r="J4897" s="6" t="s">
        <v>26710</v>
      </c>
      <c r="K4897" s="7">
        <f t="shared" si="2"/>
        <v>0.6195013985</v>
      </c>
    </row>
    <row r="4898">
      <c r="A4898" s="4">
        <v>4898.0</v>
      </c>
      <c r="B4898" s="5" t="s">
        <v>26711</v>
      </c>
      <c r="C4898" s="5" t="s">
        <v>26712</v>
      </c>
      <c r="D4898" s="5" t="s">
        <v>26713</v>
      </c>
      <c r="E4898" s="6" t="s">
        <v>44</v>
      </c>
      <c r="F4898" s="6" t="s">
        <v>26714</v>
      </c>
      <c r="G4898" s="3" t="str">
        <f>IFERROR(__xludf.DUMMYFUNCTION("REGEXREPLACE(
D4898,
""([一-龯々]+)\[([^\]]+)\]"",
""&lt;ruby&gt;$1&lt;rt&gt;$2&lt;/rt&gt;&lt;/ruby&gt;""
)&amp;""&lt;br&gt;&lt;div class=""""audio""""&gt;[sound:""&amp;C4898&amp;"".mp3]&lt;/div&gt;"""),"&lt;ruby&gt;各々&lt;rt&gt;おのおの&lt;/rt&gt;&lt;/ruby&gt;&lt;br&gt;&lt;div class=""audio""&gt;[sound:おのおの.mp3]&lt;/div&gt;")</f>
        <v>&lt;ruby&gt;各々&lt;rt&gt;おのおの&lt;/rt&gt;&lt;/ruby&gt;&lt;br&gt;&lt;div class="audio"&gt;[sound:おのおの.mp3]&lt;/div&gt;</v>
      </c>
      <c r="H4898" s="3" t="str">
        <f t="shared" si="1"/>
        <v>(pron): mỗi người</v>
      </c>
      <c r="I4898" s="6" t="s">
        <v>26715</v>
      </c>
      <c r="J4898" s="6" t="s">
        <v>26716</v>
      </c>
      <c r="K4898" s="7">
        <f t="shared" si="2"/>
        <v>0.2204329369</v>
      </c>
    </row>
    <row r="4899">
      <c r="A4899" s="4">
        <v>4899.0</v>
      </c>
      <c r="B4899" s="5" t="s">
        <v>26717</v>
      </c>
      <c r="C4899" s="5" t="s">
        <v>26718</v>
      </c>
      <c r="D4899" s="5" t="s">
        <v>26717</v>
      </c>
      <c r="E4899" s="6" t="s">
        <v>74</v>
      </c>
      <c r="F4899" s="6" t="s">
        <v>26719</v>
      </c>
      <c r="G4899" s="3" t="str">
        <f>IFERROR(__xludf.DUMMYFUNCTION("REGEXREPLACE(
D4899,
""([一-龯々]+)\[([^\]]+)\]"",
""&lt;ruby&gt;$1&lt;rt&gt;$2&lt;/rt&gt;&lt;/ruby&gt;""
)&amp;""&lt;br&gt;&lt;div class=""""audio""""&gt;[sound:""&amp;C4899&amp;"".mp3]&lt;/div&gt;"""),"ハイキング&lt;br&gt;&lt;div class=""audio""&gt;[sound:はいきんぐ.mp3]&lt;/div&gt;")</f>
        <v>ハイキング&lt;br&gt;&lt;div class="audio"&gt;[sound:はいきんぐ.mp3]&lt;/div&gt;</v>
      </c>
      <c r="H4899" s="3" t="str">
        <f t="shared" si="1"/>
        <v>(n): đi bộ đường dài</v>
      </c>
      <c r="I4899" s="6" t="s">
        <v>26720</v>
      </c>
      <c r="J4899" s="6" t="s">
        <v>26721</v>
      </c>
      <c r="K4899" s="7">
        <f t="shared" si="2"/>
        <v>0.4070226384</v>
      </c>
    </row>
    <row r="4900">
      <c r="A4900" s="4">
        <v>4900.0</v>
      </c>
      <c r="B4900" s="5" t="s">
        <v>26722</v>
      </c>
      <c r="C4900" s="5" t="s">
        <v>26723</v>
      </c>
      <c r="D4900" s="5" t="s">
        <v>26724</v>
      </c>
      <c r="E4900" s="6" t="s">
        <v>74</v>
      </c>
      <c r="F4900" s="6" t="s">
        <v>10368</v>
      </c>
      <c r="G4900" s="3" t="str">
        <f>IFERROR(__xludf.DUMMYFUNCTION("REGEXREPLACE(
D4900,
""([一-龯々]+)\[([^\]]+)\]"",
""&lt;ruby&gt;$1&lt;rt&gt;$2&lt;/rt&gt;&lt;/ruby&gt;""
)&amp;""&lt;br&gt;&lt;div class=""""audio""""&gt;[sound:""&amp;C4900&amp;"".mp3]&lt;/div&gt;"""),"&lt;ruby&gt;監督&lt;rt&gt;かんとく&lt;/rt&gt;&lt;/ruby&gt;&lt;br&gt;&lt;div class=""audio""&gt;[sound:かんとく.mp3]&lt;/div&gt;")</f>
        <v>&lt;ruby&gt;監督&lt;rt&gt;かんとく&lt;/rt&gt;&lt;/ruby&gt;&lt;br&gt;&lt;div class="audio"&gt;[sound:かんとく.mp3]&lt;/div&gt;</v>
      </c>
      <c r="H4900" s="3" t="str">
        <f t="shared" si="1"/>
        <v>(n): huấn luyện viên</v>
      </c>
      <c r="I4900" s="6" t="s">
        <v>26725</v>
      </c>
      <c r="J4900" s="6" t="s">
        <v>26726</v>
      </c>
      <c r="K4900" s="7">
        <f t="shared" si="2"/>
        <v>0.5692713844</v>
      </c>
    </row>
    <row r="4901">
      <c r="A4901" s="4">
        <v>4901.0</v>
      </c>
      <c r="B4901" s="5" t="s">
        <v>26727</v>
      </c>
      <c r="C4901" s="5" t="s">
        <v>26728</v>
      </c>
      <c r="D4901" s="5" t="s">
        <v>26729</v>
      </c>
      <c r="E4901" s="6" t="s">
        <v>74</v>
      </c>
      <c r="F4901" s="6" t="s">
        <v>5685</v>
      </c>
      <c r="G4901" s="3" t="str">
        <f>IFERROR(__xludf.DUMMYFUNCTION("REGEXREPLACE(
D4901,
""([一-龯々]+)\[([^\]]+)\]"",
""&lt;ruby&gt;$1&lt;rt&gt;$2&lt;/rt&gt;&lt;/ruby&gt;""
)&amp;""&lt;br&gt;&lt;div class=""""audio""""&gt;[sound:""&amp;C4901&amp;"".mp3]&lt;/div&gt;"""),"&lt;ruby&gt;水準&lt;rt&gt;すいじゅん&lt;/rt&gt;&lt;/ruby&gt;&lt;br&gt;&lt;div class=""audio""&gt;[sound:すいじゅん.mp3]&lt;/div&gt;")</f>
        <v>&lt;ruby&gt;水準&lt;rt&gt;すいじゅん&lt;/rt&gt;&lt;/ruby&gt;&lt;br&gt;&lt;div class="audio"&gt;[sound:すいじゅん.mp3]&lt;/div&gt;</v>
      </c>
      <c r="H4901" s="3" t="str">
        <f t="shared" si="1"/>
        <v>(n): tiêu chuẩn</v>
      </c>
      <c r="I4901" s="6" t="s">
        <v>26730</v>
      </c>
      <c r="J4901" s="6" t="s">
        <v>26731</v>
      </c>
      <c r="K4901" s="7">
        <f t="shared" si="2"/>
        <v>0.1582449854</v>
      </c>
    </row>
    <row r="4902">
      <c r="A4902" s="4">
        <v>4902.0</v>
      </c>
      <c r="B4902" s="5" t="s">
        <v>26732</v>
      </c>
      <c r="C4902" s="5" t="s">
        <v>10967</v>
      </c>
      <c r="D4902" s="5" t="s">
        <v>26733</v>
      </c>
      <c r="E4902" s="6" t="s">
        <v>24</v>
      </c>
      <c r="F4902" s="6" t="s">
        <v>1565</v>
      </c>
      <c r="G4902" s="3" t="str">
        <f>IFERROR(__xludf.DUMMYFUNCTION("REGEXREPLACE(
D4902,
""([一-龯々]+)\[([^\]]+)\]"",
""&lt;ruby&gt;$1&lt;rt&gt;$2&lt;/rt&gt;&lt;/ruby&gt;""
)&amp;""&lt;br&gt;&lt;div class=""""audio""""&gt;[sound:""&amp;C4902&amp;"".mp3]&lt;/div&gt;"""),"&lt;ruby&gt;協議&lt;rt&gt;きょうぎ&lt;/rt&gt;&lt;/ruby&gt;&lt;br&gt;&lt;div class=""audio""&gt;[sound:きょうぎ.mp3]&lt;/div&gt;")</f>
        <v>&lt;ruby&gt;協議&lt;rt&gt;きょうぎ&lt;/rt&gt;&lt;/ruby&gt;&lt;br&gt;&lt;div class="audio"&gt;[sound:きょうぎ.mp3]&lt;/div&gt;</v>
      </c>
      <c r="H4902" s="3" t="str">
        <f t="shared" si="1"/>
        <v>(v): thảo luận</v>
      </c>
      <c r="I4902" s="6" t="s">
        <v>26734</v>
      </c>
      <c r="J4902" s="6" t="s">
        <v>26735</v>
      </c>
      <c r="K4902" s="7">
        <f t="shared" si="2"/>
        <v>0.250346862</v>
      </c>
    </row>
    <row r="4903">
      <c r="A4903" s="4">
        <v>4903.0</v>
      </c>
      <c r="B4903" s="5" t="s">
        <v>26736</v>
      </c>
      <c r="C4903" s="5" t="s">
        <v>26737</v>
      </c>
      <c r="D4903" s="5" t="s">
        <v>26738</v>
      </c>
      <c r="E4903" s="6" t="s">
        <v>74</v>
      </c>
      <c r="F4903" s="6" t="s">
        <v>16821</v>
      </c>
      <c r="G4903" s="3" t="str">
        <f>IFERROR(__xludf.DUMMYFUNCTION("REGEXREPLACE(
D4903,
""([一-龯々]+)\[([^\]]+)\]"",
""&lt;ruby&gt;$1&lt;rt&gt;$2&lt;/rt&gt;&lt;/ruby&gt;""
)&amp;""&lt;br&gt;&lt;div class=""""audio""""&gt;[sound:""&amp;C4903&amp;"".mp3]&lt;/div&gt;"""),"&lt;ruby&gt;会合&lt;rt&gt;かいごう&lt;/rt&gt;&lt;/ruby&gt;&lt;br&gt;&lt;div class=""audio""&gt;[sound:かいごう.mp3]&lt;/div&gt;")</f>
        <v>&lt;ruby&gt;会合&lt;rt&gt;かいごう&lt;/rt&gt;&lt;/ruby&gt;&lt;br&gt;&lt;div class="audio"&gt;[sound:かいごう.mp3]&lt;/div&gt;</v>
      </c>
      <c r="H4903" s="3" t="str">
        <f t="shared" si="1"/>
        <v>(n): cuộc họp</v>
      </c>
      <c r="I4903" s="6" t="s">
        <v>26739</v>
      </c>
      <c r="J4903" s="6" t="s">
        <v>26740</v>
      </c>
      <c r="K4903" s="7">
        <f t="shared" si="2"/>
        <v>0.3210844714</v>
      </c>
    </row>
    <row r="4904">
      <c r="A4904" s="4">
        <v>4904.0</v>
      </c>
      <c r="B4904" s="5" t="s">
        <v>26741</v>
      </c>
      <c r="C4904" s="5" t="s">
        <v>14916</v>
      </c>
      <c r="D4904" s="5" t="s">
        <v>26742</v>
      </c>
      <c r="E4904" s="6" t="s">
        <v>74</v>
      </c>
      <c r="F4904" s="6" t="s">
        <v>26743</v>
      </c>
      <c r="G4904" s="3" t="str">
        <f>IFERROR(__xludf.DUMMYFUNCTION("REGEXREPLACE(
D4904,
""([一-龯々]+)\[([^\]]+)\]"",
""&lt;ruby&gt;$1&lt;rt&gt;$2&lt;/rt&gt;&lt;/ruby&gt;""
)&amp;""&lt;br&gt;&lt;div class=""""audio""""&gt;[sound:""&amp;C4904&amp;"".mp3]&lt;/div&gt;"""),"&lt;ruby&gt;四季&lt;rt&gt;しき&lt;/rt&gt;&lt;/ruby&gt;&lt;br&gt;&lt;div class=""audio""&gt;[sound:しき.mp3]&lt;/div&gt;")</f>
        <v>&lt;ruby&gt;四季&lt;rt&gt;しき&lt;/rt&gt;&lt;/ruby&gt;&lt;br&gt;&lt;div class="audio"&gt;[sound:しき.mp3]&lt;/div&gt;</v>
      </c>
      <c r="H4904" s="3" t="str">
        <f t="shared" si="1"/>
        <v>(n): bốn mùa</v>
      </c>
      <c r="I4904" s="6" t="s">
        <v>26744</v>
      </c>
      <c r="J4904" s="6" t="s">
        <v>26745</v>
      </c>
      <c r="K4904" s="7">
        <f t="shared" si="2"/>
        <v>0.6864384553</v>
      </c>
    </row>
    <row r="4905">
      <c r="A4905" s="4">
        <v>4905.0</v>
      </c>
      <c r="B4905" s="5" t="s">
        <v>26746</v>
      </c>
      <c r="C4905" s="5" t="s">
        <v>21471</v>
      </c>
      <c r="D4905" s="5" t="s">
        <v>26747</v>
      </c>
      <c r="E4905" s="6" t="s">
        <v>74</v>
      </c>
      <c r="F4905" s="6" t="s">
        <v>26748</v>
      </c>
      <c r="G4905" s="3" t="str">
        <f>IFERROR(__xludf.DUMMYFUNCTION("REGEXREPLACE(
D4905,
""([一-龯々]+)\[([^\]]+)\]"",
""&lt;ruby&gt;$1&lt;rt&gt;$2&lt;/rt&gt;&lt;/ruby&gt;""
)&amp;""&lt;br&gt;&lt;div class=""""audio""""&gt;[sound:""&amp;C4905&amp;"".mp3]&lt;/div&gt;"""),"&lt;ruby&gt;婦人&lt;rt&gt;ふじん&lt;/rt&gt;&lt;/ruby&gt;&lt;br&gt;&lt;div class=""audio""&gt;[sound:ふじん.mp3]&lt;/div&gt;")</f>
        <v>&lt;ruby&gt;婦人&lt;rt&gt;ふじん&lt;/rt&gt;&lt;/ruby&gt;&lt;br&gt;&lt;div class="audio"&gt;[sound:ふじん.mp3]&lt;/div&gt;</v>
      </c>
      <c r="H4905" s="3" t="str">
        <f t="shared" si="1"/>
        <v>(n): quý bà</v>
      </c>
      <c r="I4905" s="6" t="s">
        <v>26749</v>
      </c>
      <c r="J4905" s="6" t="s">
        <v>26750</v>
      </c>
      <c r="K4905" s="7">
        <f t="shared" si="2"/>
        <v>0.3584638978</v>
      </c>
    </row>
    <row r="4906">
      <c r="A4906" s="4">
        <v>4906.0</v>
      </c>
      <c r="B4906" s="5" t="s">
        <v>26751</v>
      </c>
      <c r="C4906" s="5" t="s">
        <v>26752</v>
      </c>
      <c r="D4906" s="5" t="s">
        <v>26753</v>
      </c>
      <c r="E4906" s="6" t="s">
        <v>24</v>
      </c>
      <c r="F4906" s="6" t="s">
        <v>26754</v>
      </c>
      <c r="G4906" s="3" t="str">
        <f>IFERROR(__xludf.DUMMYFUNCTION("REGEXREPLACE(
D4906,
""([一-龯々]+)\[([^\]]+)\]"",
""&lt;ruby&gt;$1&lt;rt&gt;$2&lt;/rt&gt;&lt;/ruby&gt;""
)&amp;""&lt;br&gt;&lt;div class=""""audio""""&gt;[sound:""&amp;C4906&amp;"".mp3]&lt;/div&gt;"""),"&lt;ruby&gt;救助&lt;rt&gt;きゅうじょ&lt;/rt&gt;&lt;/ruby&gt;&lt;br&gt;&lt;div class=""audio""&gt;[sound:きゅうじょ.mp3]&lt;/div&gt;")</f>
        <v>&lt;ruby&gt;救助&lt;rt&gt;きゅうじょ&lt;/rt&gt;&lt;/ruby&gt;&lt;br&gt;&lt;div class="audio"&gt;[sound:きゅうじょ.mp3]&lt;/div&gt;</v>
      </c>
      <c r="H4906" s="3" t="str">
        <f t="shared" si="1"/>
        <v>(v): cứu hộ</v>
      </c>
      <c r="I4906" s="6" t="s">
        <v>26755</v>
      </c>
      <c r="J4906" s="6" t="s">
        <v>26756</v>
      </c>
      <c r="K4906" s="7">
        <f t="shared" si="2"/>
        <v>0.1889868457</v>
      </c>
    </row>
    <row r="4907">
      <c r="A4907" s="4">
        <v>4907.0</v>
      </c>
      <c r="B4907" s="5" t="s">
        <v>26757</v>
      </c>
      <c r="C4907" s="5" t="s">
        <v>26758</v>
      </c>
      <c r="D4907" s="5" t="s">
        <v>26759</v>
      </c>
      <c r="E4907" s="6" t="s">
        <v>24</v>
      </c>
      <c r="F4907" s="6" t="s">
        <v>26760</v>
      </c>
      <c r="G4907" s="3" t="str">
        <f>IFERROR(__xludf.DUMMYFUNCTION("REGEXREPLACE(
D4907,
""([一-龯々]+)\[([^\]]+)\]"",
""&lt;ruby&gt;$1&lt;rt&gt;$2&lt;/rt&gt;&lt;/ruby&gt;""
)&amp;""&lt;br&gt;&lt;div class=""""audio""""&gt;[sound:""&amp;C4907&amp;"".mp3]&lt;/div&gt;"""),"&lt;ruby&gt;振舞&lt;rt&gt;ふるま&lt;/rt&gt;&lt;/ruby&gt;う&lt;br&gt;&lt;div class=""audio""&gt;[sound:ふるまう.mp3]&lt;/div&gt;")</f>
        <v>&lt;ruby&gt;振舞&lt;rt&gt;ふるま&lt;/rt&gt;&lt;/ruby&gt;う&lt;br&gt;&lt;div class="audio"&gt;[sound:ふるまう.mp3]&lt;/div&gt;</v>
      </c>
      <c r="H4907" s="3" t="str">
        <f t="shared" si="1"/>
        <v>(v): cư xử</v>
      </c>
      <c r="I4907" s="6" t="s">
        <v>26761</v>
      </c>
      <c r="J4907" s="6" t="s">
        <v>26762</v>
      </c>
      <c r="K4907" s="7">
        <f t="shared" si="2"/>
        <v>0.2195921619</v>
      </c>
    </row>
    <row r="4908">
      <c r="A4908" s="4">
        <v>4908.0</v>
      </c>
      <c r="B4908" s="5" t="s">
        <v>26763</v>
      </c>
      <c r="C4908" s="5" t="s">
        <v>26764</v>
      </c>
      <c r="D4908" s="5" t="s">
        <v>26765</v>
      </c>
      <c r="E4908" s="6" t="s">
        <v>24</v>
      </c>
      <c r="F4908" s="6" t="s">
        <v>3074</v>
      </c>
      <c r="G4908" s="3" t="str">
        <f>IFERROR(__xludf.DUMMYFUNCTION("REGEXREPLACE(
D4908,
""([一-龯々]+)\[([^\]]+)\]"",
""&lt;ruby&gt;$1&lt;rt&gt;$2&lt;/rt&gt;&lt;/ruby&gt;""
)&amp;""&lt;br&gt;&lt;div class=""""audio""""&gt;[sound:""&amp;C4908&amp;"".mp3]&lt;/div&gt;"""),"&lt;ruby&gt;出来上&lt;rt&gt;できあ&lt;/rt&gt;&lt;/ruby&gt;がる&lt;br&gt;&lt;div class=""audio""&gt;[sound:できあがる.mp3]&lt;/div&gt;")</f>
        <v>&lt;ruby&gt;出来上&lt;rt&gt;できあ&lt;/rt&gt;&lt;/ruby&gt;がる&lt;br&gt;&lt;div class="audio"&gt;[sound:できあがる.mp3]&lt;/div&gt;</v>
      </c>
      <c r="H4908" s="3" t="str">
        <f t="shared" si="1"/>
        <v>(v): hoàn thành</v>
      </c>
      <c r="I4908" s="6" t="s">
        <v>26766</v>
      </c>
      <c r="J4908" s="6" t="s">
        <v>26767</v>
      </c>
      <c r="K4908" s="7">
        <f t="shared" si="2"/>
        <v>0.02466663937</v>
      </c>
    </row>
    <row r="4909">
      <c r="A4909" s="4">
        <v>4909.0</v>
      </c>
      <c r="B4909" s="5" t="s">
        <v>26768</v>
      </c>
      <c r="C4909" s="5" t="s">
        <v>26769</v>
      </c>
      <c r="D4909" s="5" t="s">
        <v>26770</v>
      </c>
      <c r="E4909" s="6" t="s">
        <v>74</v>
      </c>
      <c r="F4909" s="6" t="s">
        <v>26771</v>
      </c>
      <c r="G4909" s="3" t="str">
        <f>IFERROR(__xludf.DUMMYFUNCTION("REGEXREPLACE(
D4909,
""([一-龯々]+)\[([^\]]+)\]"",
""&lt;ruby&gt;$1&lt;rt&gt;$2&lt;/rt&gt;&lt;/ruby&gt;""
)&amp;""&lt;br&gt;&lt;div class=""""audio""""&gt;[sound:""&amp;C4909&amp;"".mp3]&lt;/div&gt;"""),"&lt;ruby&gt;食料&lt;rt&gt;しょくりょう&lt;/rt&gt;&lt;/ruby&gt;&lt;br&gt;&lt;div class=""audio""&gt;[sound:しょくりょう.mp3]&lt;/div&gt;")</f>
        <v>&lt;ruby&gt;食料&lt;rt&gt;しょくりょう&lt;/rt&gt;&lt;/ruby&gt;&lt;br&gt;&lt;div class="audio"&gt;[sound:しょくりょう.mp3]&lt;/div&gt;</v>
      </c>
      <c r="H4909" s="3" t="str">
        <f t="shared" si="1"/>
        <v>(n): lương thực</v>
      </c>
      <c r="I4909" s="6" t="s">
        <v>26772</v>
      </c>
      <c r="J4909" s="6" t="s">
        <v>26773</v>
      </c>
      <c r="K4909" s="7">
        <f t="shared" si="2"/>
        <v>0.03423754107</v>
      </c>
    </row>
    <row r="4910">
      <c r="A4910" s="4">
        <v>4910.0</v>
      </c>
      <c r="B4910" s="5" t="s">
        <v>26774</v>
      </c>
      <c r="C4910" s="5" t="s">
        <v>26775</v>
      </c>
      <c r="D4910" s="5" t="s">
        <v>26776</v>
      </c>
      <c r="E4910" s="6" t="s">
        <v>11</v>
      </c>
      <c r="F4910" s="6" t="s">
        <v>14679</v>
      </c>
      <c r="G4910" s="3" t="str">
        <f>IFERROR(__xludf.DUMMYFUNCTION("REGEXREPLACE(
D4910,
""([一-龯々]+)\[([^\]]+)\]"",
""&lt;ruby&gt;$1&lt;rt&gt;$2&lt;/rt&gt;&lt;/ruby&gt;""
)&amp;""&lt;br&gt;&lt;div class=""""audio""""&gt;[sound:""&amp;C4910&amp;"".mp3]&lt;/div&gt;"""),"&lt;ruby&gt;冷静&lt;rt&gt;れいせい&lt;/rt&gt;&lt;/ruby&gt;&lt;br&gt;&lt;div class=""audio""&gt;[sound:れいせい.mp3]&lt;/div&gt;")</f>
        <v>&lt;ruby&gt;冷静&lt;rt&gt;れいせい&lt;/rt&gt;&lt;/ruby&gt;&lt;br&gt;&lt;div class="audio"&gt;[sound:れいせい.mp3]&lt;/div&gt;</v>
      </c>
      <c r="H4910" s="3" t="str">
        <f t="shared" si="1"/>
        <v>(adj): bình tĩnh</v>
      </c>
      <c r="I4910" s="6" t="s">
        <v>26777</v>
      </c>
      <c r="J4910" s="6" t="s">
        <v>26778</v>
      </c>
      <c r="K4910" s="7">
        <f t="shared" si="2"/>
        <v>0.9798368897</v>
      </c>
    </row>
    <row r="4911">
      <c r="A4911" s="4">
        <v>4911.0</v>
      </c>
      <c r="B4911" s="5" t="s">
        <v>26779</v>
      </c>
      <c r="C4911" s="5" t="s">
        <v>26780</v>
      </c>
      <c r="D4911" s="5" t="s">
        <v>26781</v>
      </c>
      <c r="E4911" s="6" t="s">
        <v>74</v>
      </c>
      <c r="F4911" s="6" t="s">
        <v>26782</v>
      </c>
      <c r="G4911" s="3" t="str">
        <f>IFERROR(__xludf.DUMMYFUNCTION("REGEXREPLACE(
D4911,
""([一-龯々]+)\[([^\]]+)\]"",
""&lt;ruby&gt;$1&lt;rt&gt;$2&lt;/rt&gt;&lt;/ruby&gt;""
)&amp;""&lt;br&gt;&lt;div class=""""audio""""&gt;[sound:""&amp;C4911&amp;"".mp3]&lt;/div&gt;"""),"&lt;ruby&gt;国籍&lt;rt&gt;こくせき&lt;/rt&gt;&lt;/ruby&gt;&lt;br&gt;&lt;div class=""audio""&gt;[sound:こくせき.mp3]&lt;/div&gt;")</f>
        <v>&lt;ruby&gt;国籍&lt;rt&gt;こくせき&lt;/rt&gt;&lt;/ruby&gt;&lt;br&gt;&lt;div class="audio"&gt;[sound:こくせき.mp3]&lt;/div&gt;</v>
      </c>
      <c r="H4911" s="3" t="str">
        <f t="shared" si="1"/>
        <v>(n): quốc tịch</v>
      </c>
      <c r="I4911" s="6" t="s">
        <v>26783</v>
      </c>
      <c r="J4911" s="6" t="s">
        <v>26784</v>
      </c>
      <c r="K4911" s="7">
        <f t="shared" si="2"/>
        <v>0.6216538151</v>
      </c>
    </row>
    <row r="4912">
      <c r="A4912" s="4">
        <v>4912.0</v>
      </c>
      <c r="B4912" s="5" t="s">
        <v>26785</v>
      </c>
      <c r="C4912" s="5" t="s">
        <v>26786</v>
      </c>
      <c r="D4912" s="5" t="s">
        <v>26787</v>
      </c>
      <c r="E4912" s="6" t="s">
        <v>74</v>
      </c>
      <c r="F4912" s="6" t="s">
        <v>26788</v>
      </c>
      <c r="G4912" s="3" t="str">
        <f>IFERROR(__xludf.DUMMYFUNCTION("REGEXREPLACE(
D4912,
""([一-龯々]+)\[([^\]]+)\]"",
""&lt;ruby&gt;$1&lt;rt&gt;$2&lt;/rt&gt;&lt;/ruby&gt;""
)&amp;""&lt;br&gt;&lt;div class=""""audio""""&gt;[sound:""&amp;C4912&amp;"".mp3]&lt;/div&gt;"""),"&lt;ruby&gt;眺&lt;rt&gt;なが&lt;/rt&gt;&lt;/ruby&gt;め&lt;br&gt;&lt;div class=""audio""&gt;[sound:ながめ.mp3]&lt;/div&gt;")</f>
        <v>&lt;ruby&gt;眺&lt;rt&gt;なが&lt;/rt&gt;&lt;/ruby&gt;め&lt;br&gt;&lt;div class="audio"&gt;[sound:ながめ.mp3]&lt;/div&gt;</v>
      </c>
      <c r="H4912" s="3" t="str">
        <f t="shared" si="1"/>
        <v>(n): cảnh quan</v>
      </c>
      <c r="I4912" s="6" t="s">
        <v>26789</v>
      </c>
      <c r="J4912" s="6" t="s">
        <v>26790</v>
      </c>
      <c r="K4912" s="7">
        <f t="shared" si="2"/>
        <v>0.6936537991</v>
      </c>
    </row>
    <row r="4913">
      <c r="A4913" s="4">
        <v>4913.0</v>
      </c>
      <c r="B4913" s="5" t="s">
        <v>26791</v>
      </c>
      <c r="C4913" s="5" t="s">
        <v>26792</v>
      </c>
      <c r="D4913" s="5" t="s">
        <v>26793</v>
      </c>
      <c r="E4913" s="6" t="s">
        <v>74</v>
      </c>
      <c r="F4913" s="6" t="s">
        <v>3634</v>
      </c>
      <c r="G4913" s="3" t="str">
        <f>IFERROR(__xludf.DUMMYFUNCTION("REGEXREPLACE(
D4913,
""([一-龯々]+)\[([^\]]+)\]"",
""&lt;ruby&gt;$1&lt;rt&gt;$2&lt;/rt&gt;&lt;/ruby&gt;""
)&amp;""&lt;br&gt;&lt;div class=""""audio""""&gt;[sound:""&amp;C4913&amp;"".mp3]&lt;/div&gt;"""),"&lt;ruby&gt;稽古&lt;rt&gt;けいこ&lt;/rt&gt;&lt;/ruby&gt;&lt;br&gt;&lt;div class=""audio""&gt;[sound:けいこ.mp3]&lt;/div&gt;")</f>
        <v>&lt;ruby&gt;稽古&lt;rt&gt;けいこ&lt;/rt&gt;&lt;/ruby&gt;&lt;br&gt;&lt;div class="audio"&gt;[sound:けいこ.mp3]&lt;/div&gt;</v>
      </c>
      <c r="H4913" s="3" t="str">
        <f t="shared" si="1"/>
        <v>(n): luyện tập</v>
      </c>
      <c r="I4913" s="6" t="s">
        <v>26794</v>
      </c>
      <c r="J4913" s="6" t="s">
        <v>26795</v>
      </c>
      <c r="K4913" s="7">
        <f t="shared" si="2"/>
        <v>0.9526206908</v>
      </c>
    </row>
    <row r="4914">
      <c r="A4914" s="4">
        <v>4914.0</v>
      </c>
      <c r="B4914" s="5" t="s">
        <v>26796</v>
      </c>
      <c r="C4914" s="5" t="s">
        <v>26797</v>
      </c>
      <c r="D4914" s="5" t="s">
        <v>26798</v>
      </c>
      <c r="E4914" s="6" t="s">
        <v>74</v>
      </c>
      <c r="F4914" s="6" t="s">
        <v>26799</v>
      </c>
      <c r="G4914" s="3" t="str">
        <f>IFERROR(__xludf.DUMMYFUNCTION("REGEXREPLACE(
D4914,
""([一-龯々]+)\[([^\]]+)\]"",
""&lt;ruby&gt;$1&lt;rt&gt;$2&lt;/rt&gt;&lt;/ruby&gt;""
)&amp;""&lt;br&gt;&lt;div class=""""audio""""&gt;[sound:""&amp;C4914&amp;"".mp3]&lt;/div&gt;"""),"&lt;ruby&gt;図形&lt;rt&gt;ずけい&lt;/rt&gt;&lt;/ruby&gt;&lt;br&gt;&lt;div class=""audio""&gt;[sound:ずけい.mp3]&lt;/div&gt;")</f>
        <v>&lt;ruby&gt;図形&lt;rt&gt;ずけい&lt;/rt&gt;&lt;/ruby&gt;&lt;br&gt;&lt;div class="audio"&gt;[sound:ずけい.mp3]&lt;/div&gt;</v>
      </c>
      <c r="H4914" s="3" t="str">
        <f t="shared" si="1"/>
        <v>(n): hình học</v>
      </c>
      <c r="I4914" s="6" t="s">
        <v>26800</v>
      </c>
      <c r="J4914" s="6" t="s">
        <v>26801</v>
      </c>
      <c r="K4914" s="7">
        <f t="shared" si="2"/>
        <v>0.2593468948</v>
      </c>
    </row>
    <row r="4915">
      <c r="A4915" s="4">
        <v>4915.0</v>
      </c>
      <c r="B4915" s="5" t="s">
        <v>26802</v>
      </c>
      <c r="C4915" s="5" t="s">
        <v>26803</v>
      </c>
      <c r="D4915" s="5" t="s">
        <v>26804</v>
      </c>
      <c r="E4915" s="6" t="s">
        <v>74</v>
      </c>
      <c r="F4915" s="6" t="s">
        <v>18627</v>
      </c>
      <c r="G4915" s="3" t="str">
        <f>IFERROR(__xludf.DUMMYFUNCTION("REGEXREPLACE(
D4915,
""([一-龯々]+)\[([^\]]+)\]"",
""&lt;ruby&gt;$1&lt;rt&gt;$2&lt;/rt&gt;&lt;/ruby&gt;""
)&amp;""&lt;br&gt;&lt;div class=""""audio""""&gt;[sound:""&amp;C4915&amp;"".mp3]&lt;/div&gt;"""),"&lt;ruby&gt;翼&lt;rt&gt;つばさ&lt;/rt&gt;&lt;/ruby&gt;&lt;br&gt;&lt;div class=""audio""&gt;[sound:つばさ.mp3]&lt;/div&gt;")</f>
        <v>&lt;ruby&gt;翼&lt;rt&gt;つばさ&lt;/rt&gt;&lt;/ruby&gt;&lt;br&gt;&lt;div class="audio"&gt;[sound:つばさ.mp3]&lt;/div&gt;</v>
      </c>
      <c r="H4915" s="3" t="str">
        <f t="shared" si="1"/>
        <v>(n): cánh</v>
      </c>
      <c r="I4915" s="6" t="s">
        <v>26805</v>
      </c>
      <c r="J4915" s="6" t="s">
        <v>26806</v>
      </c>
      <c r="K4915" s="7">
        <f t="shared" si="2"/>
        <v>0.2360072078</v>
      </c>
    </row>
    <row r="4916">
      <c r="A4916" s="4">
        <v>4916.0</v>
      </c>
      <c r="B4916" s="5" t="s">
        <v>26807</v>
      </c>
      <c r="C4916" s="5" t="s">
        <v>17453</v>
      </c>
      <c r="D4916" s="5" t="s">
        <v>26808</v>
      </c>
      <c r="E4916" s="6" t="s">
        <v>24</v>
      </c>
      <c r="F4916" s="6" t="s">
        <v>26809</v>
      </c>
      <c r="G4916" s="3" t="str">
        <f>IFERROR(__xludf.DUMMYFUNCTION("REGEXREPLACE(
D4916,
""([一-龯々]+)\[([^\]]+)\]"",
""&lt;ruby&gt;$1&lt;rt&gt;$2&lt;/rt&gt;&lt;/ruby&gt;""
)&amp;""&lt;br&gt;&lt;div class=""""audio""""&gt;[sound:""&amp;C4916&amp;"".mp3]&lt;/div&gt;"""),"&lt;ruby&gt;雇&lt;rt&gt;やと&lt;/rt&gt;&lt;/ruby&gt;う&lt;br&gt;&lt;div class=""audio""&gt;[sound:やとう.mp3]&lt;/div&gt;")</f>
        <v>&lt;ruby&gt;雇&lt;rt&gt;やと&lt;/rt&gt;&lt;/ruby&gt;う&lt;br&gt;&lt;div class="audio"&gt;[sound:やとう.mp3]&lt;/div&gt;</v>
      </c>
      <c r="H4916" s="3" t="str">
        <f t="shared" si="1"/>
        <v>(v): thuê</v>
      </c>
      <c r="I4916" s="6" t="s">
        <v>26810</v>
      </c>
      <c r="J4916" s="6" t="s">
        <v>26811</v>
      </c>
      <c r="K4916" s="7">
        <f t="shared" si="2"/>
        <v>0.8983550267</v>
      </c>
    </row>
    <row r="4917">
      <c r="A4917" s="4">
        <v>4917.0</v>
      </c>
      <c r="B4917" s="5" t="s">
        <v>26812</v>
      </c>
      <c r="C4917" s="5" t="s">
        <v>26813</v>
      </c>
      <c r="D4917" s="5" t="s">
        <v>26814</v>
      </c>
      <c r="E4917" s="6" t="s">
        <v>74</v>
      </c>
      <c r="F4917" s="6" t="s">
        <v>26815</v>
      </c>
      <c r="G4917" s="3" t="str">
        <f>IFERROR(__xludf.DUMMYFUNCTION("REGEXREPLACE(
D4917,
""([一-龯々]+)\[([^\]]+)\]"",
""&lt;ruby&gt;$1&lt;rt&gt;$2&lt;/rt&gt;&lt;/ruby&gt;""
)&amp;""&lt;br&gt;&lt;div class=""""audio""""&gt;[sound:""&amp;C4917&amp;"".mp3]&lt;/div&gt;"""),"&lt;ruby&gt;家賃&lt;rt&gt;やちん&lt;/rt&gt;&lt;/ruby&gt;&lt;br&gt;&lt;div class=""audio""&gt;[sound:やちん.mp3]&lt;/div&gt;")</f>
        <v>&lt;ruby&gt;家賃&lt;rt&gt;やちん&lt;/rt&gt;&lt;/ruby&gt;&lt;br&gt;&lt;div class="audio"&gt;[sound:やちん.mp3]&lt;/div&gt;</v>
      </c>
      <c r="H4917" s="3" t="str">
        <f t="shared" si="1"/>
        <v>(n): tiền thuê nhà</v>
      </c>
      <c r="I4917" s="6" t="s">
        <v>26816</v>
      </c>
      <c r="J4917" s="6" t="s">
        <v>26817</v>
      </c>
      <c r="K4917" s="7">
        <f t="shared" si="2"/>
        <v>0.645555201</v>
      </c>
    </row>
    <row r="4918">
      <c r="A4918" s="4">
        <v>4918.0</v>
      </c>
      <c r="B4918" s="5" t="s">
        <v>26818</v>
      </c>
      <c r="C4918" s="5" t="s">
        <v>26819</v>
      </c>
      <c r="D4918" s="5" t="s">
        <v>26820</v>
      </c>
      <c r="E4918" s="6" t="s">
        <v>74</v>
      </c>
      <c r="F4918" s="6" t="s">
        <v>26821</v>
      </c>
      <c r="G4918" s="3" t="str">
        <f>IFERROR(__xludf.DUMMYFUNCTION("REGEXREPLACE(
D4918,
""([一-龯々]+)\[([^\]]+)\]"",
""&lt;ruby&gt;$1&lt;rt&gt;$2&lt;/rt&gt;&lt;/ruby&gt;""
)&amp;""&lt;br&gt;&lt;div class=""""audio""""&gt;[sound:""&amp;C4918&amp;"".mp3]&lt;/div&gt;"""),"&lt;ruby&gt;英文&lt;rt&gt;えいぶん&lt;/rt&gt;&lt;/ruby&gt;&lt;br&gt;&lt;div class=""audio""&gt;[sound:えいぶん.mp3]&lt;/div&gt;")</f>
        <v>&lt;ruby&gt;英文&lt;rt&gt;えいぶん&lt;/rt&gt;&lt;/ruby&gt;&lt;br&gt;&lt;div class="audio"&gt;[sound:えいぶん.mp3]&lt;/div&gt;</v>
      </c>
      <c r="H4918" s="3" t="str">
        <f t="shared" si="1"/>
        <v>(n): câu tiếng anh</v>
      </c>
      <c r="I4918" s="6" t="s">
        <v>26822</v>
      </c>
      <c r="J4918" s="6" t="s">
        <v>26823</v>
      </c>
      <c r="K4918" s="7">
        <f t="shared" si="2"/>
        <v>0.03919830672</v>
      </c>
    </row>
    <row r="4919">
      <c r="A4919" s="4">
        <v>4919.0</v>
      </c>
      <c r="B4919" s="5" t="s">
        <v>26824</v>
      </c>
      <c r="C4919" s="5" t="s">
        <v>26825</v>
      </c>
      <c r="D4919" s="5" t="s">
        <v>26826</v>
      </c>
      <c r="E4919" s="6" t="s">
        <v>24</v>
      </c>
      <c r="F4919" s="6" t="s">
        <v>5900</v>
      </c>
      <c r="G4919" s="3" t="str">
        <f>IFERROR(__xludf.DUMMYFUNCTION("REGEXREPLACE(
D4919,
""([一-龯々]+)\[([^\]]+)\]"",
""&lt;ruby&gt;$1&lt;rt&gt;$2&lt;/rt&gt;&lt;/ruby&gt;""
)&amp;""&lt;br&gt;&lt;div class=""""audio""""&gt;[sound:""&amp;C4919&amp;"".mp3]&lt;/div&gt;"""),"&lt;ruby&gt;肯定&lt;rt&gt;こうてい&lt;/rt&gt;&lt;/ruby&gt;&lt;br&gt;&lt;div class=""audio""&gt;[sound:こうてい.mp3]&lt;/div&gt;")</f>
        <v>&lt;ruby&gt;肯定&lt;rt&gt;こうてい&lt;/rt&gt;&lt;/ruby&gt;&lt;br&gt;&lt;div class="audio"&gt;[sound:こうてい.mp3]&lt;/div&gt;</v>
      </c>
      <c r="H4919" s="3" t="str">
        <f t="shared" si="1"/>
        <v>(v): khẳng định</v>
      </c>
      <c r="I4919" s="6" t="s">
        <v>26827</v>
      </c>
      <c r="J4919" s="6" t="s">
        <v>5902</v>
      </c>
      <c r="K4919" s="7">
        <f t="shared" si="2"/>
        <v>0.6365278098</v>
      </c>
    </row>
    <row r="4920">
      <c r="A4920" s="4">
        <v>4920.0</v>
      </c>
      <c r="B4920" s="5" t="s">
        <v>26828</v>
      </c>
      <c r="C4920" s="5" t="s">
        <v>26829</v>
      </c>
      <c r="D4920" s="5" t="s">
        <v>26830</v>
      </c>
      <c r="E4920" s="6" t="s">
        <v>24</v>
      </c>
      <c r="F4920" s="6" t="s">
        <v>26831</v>
      </c>
      <c r="G4920" s="3" t="str">
        <f>IFERROR(__xludf.DUMMYFUNCTION("REGEXREPLACE(
D4920,
""([一-龯々]+)\[([^\]]+)\]"",
""&lt;ruby&gt;$1&lt;rt&gt;$2&lt;/rt&gt;&lt;/ruby&gt;""
)&amp;""&lt;br&gt;&lt;div class=""""audio""""&gt;[sound:""&amp;C4920&amp;"".mp3]&lt;/div&gt;"""),"&lt;ruby&gt;裏返&lt;rt&gt;うらがえ&lt;/rt&gt;&lt;/ruby&gt;す&lt;br&gt;&lt;div class=""audio""&gt;[sound:うらがえす.mp3]&lt;/div&gt;")</f>
        <v>&lt;ruby&gt;裏返&lt;rt&gt;うらがえ&lt;/rt&gt;&lt;/ruby&gt;す&lt;br&gt;&lt;div class="audio"&gt;[sound:うらがえす.mp3]&lt;/div&gt;</v>
      </c>
      <c r="H4920" s="3" t="str">
        <f t="shared" si="1"/>
        <v>(v): lật ngược</v>
      </c>
      <c r="I4920" s="6" t="s">
        <v>26832</v>
      </c>
      <c r="J4920" s="6" t="s">
        <v>26833</v>
      </c>
      <c r="K4920" s="7">
        <f t="shared" si="2"/>
        <v>0.1057592577</v>
      </c>
    </row>
    <row r="4921">
      <c r="A4921" s="4">
        <v>4921.0</v>
      </c>
      <c r="B4921" s="5" t="s">
        <v>26834</v>
      </c>
      <c r="C4921" s="5" t="s">
        <v>16630</v>
      </c>
      <c r="D4921" s="5" t="s">
        <v>26835</v>
      </c>
      <c r="E4921" s="6" t="s">
        <v>24</v>
      </c>
      <c r="F4921" s="6" t="s">
        <v>26836</v>
      </c>
      <c r="G4921" s="3" t="str">
        <f>IFERROR(__xludf.DUMMYFUNCTION("REGEXREPLACE(
D4921,
""([一-龯々]+)\[([^\]]+)\]"",
""&lt;ruby&gt;$1&lt;rt&gt;$2&lt;/rt&gt;&lt;/ruby&gt;""
)&amp;""&lt;br&gt;&lt;div class=""""audio""""&gt;[sound:""&amp;C4921&amp;"".mp3]&lt;/div&gt;"""),"&lt;ruby&gt;創作&lt;rt&gt;そうさく&lt;/rt&gt;&lt;/ruby&gt;&lt;br&gt;&lt;div class=""audio""&gt;[sound:そうさく.mp3]&lt;/div&gt;")</f>
        <v>&lt;ruby&gt;創作&lt;rt&gt;そうさく&lt;/rt&gt;&lt;/ruby&gt;&lt;br&gt;&lt;div class="audio"&gt;[sound:そうさく.mp3]&lt;/div&gt;</v>
      </c>
      <c r="H4921" s="3" t="str">
        <f t="shared" si="1"/>
        <v>(v): sáng tạo</v>
      </c>
      <c r="I4921" s="6" t="s">
        <v>26837</v>
      </c>
      <c r="J4921" s="6" t="s">
        <v>26838</v>
      </c>
      <c r="K4921" s="7">
        <f t="shared" si="2"/>
        <v>0.3069229268</v>
      </c>
    </row>
    <row r="4922">
      <c r="A4922" s="4">
        <v>4922.0</v>
      </c>
      <c r="B4922" s="5" t="s">
        <v>26839</v>
      </c>
      <c r="C4922" s="5" t="s">
        <v>26840</v>
      </c>
      <c r="D4922" s="5" t="s">
        <v>26841</v>
      </c>
      <c r="E4922" s="6" t="s">
        <v>85</v>
      </c>
      <c r="F4922" s="6" t="s">
        <v>10342</v>
      </c>
      <c r="G4922" s="3" t="str">
        <f>IFERROR(__xludf.DUMMYFUNCTION("REGEXREPLACE(
D4922,
""([一-龯々]+)\[([^\]]+)\]"",
""&lt;ruby&gt;$1&lt;rt&gt;$2&lt;/rt&gt;&lt;/ruby&gt;""
)&amp;""&lt;br&gt;&lt;div class=""""audio""""&gt;[sound:""&amp;C4922&amp;"".mp3]&lt;/div&gt;"""),"&lt;ruby&gt;至急&lt;rt&gt;しきゅう&lt;/rt&gt;&lt;/ruby&gt;&lt;br&gt;&lt;div class=""audio""&gt;[sound:しきゅう.mp3]&lt;/div&gt;")</f>
        <v>&lt;ruby&gt;至急&lt;rt&gt;しきゅう&lt;/rt&gt;&lt;/ruby&gt;&lt;br&gt;&lt;div class="audio"&gt;[sound:しきゅう.mp3]&lt;/div&gt;</v>
      </c>
      <c r="H4922" s="3" t="str">
        <f t="shared" si="1"/>
        <v>(adv): khẩn cấp</v>
      </c>
      <c r="I4922" s="6" t="s">
        <v>26842</v>
      </c>
      <c r="J4922" s="6" t="s">
        <v>26843</v>
      </c>
      <c r="K4922" s="7">
        <f t="shared" si="2"/>
        <v>0.2898196851</v>
      </c>
    </row>
    <row r="4923">
      <c r="A4923" s="4">
        <v>4923.0</v>
      </c>
      <c r="B4923" s="5" t="s">
        <v>26844</v>
      </c>
      <c r="C4923" s="5" t="s">
        <v>26845</v>
      </c>
      <c r="D4923" s="5" t="s">
        <v>26846</v>
      </c>
      <c r="E4923" s="6" t="s">
        <v>74</v>
      </c>
      <c r="F4923" s="6" t="s">
        <v>8318</v>
      </c>
      <c r="G4923" s="3" t="str">
        <f>IFERROR(__xludf.DUMMYFUNCTION("REGEXREPLACE(
D4923,
""([一-龯々]+)\[([^\]]+)\]"",
""&lt;ruby&gt;$1&lt;rt&gt;$2&lt;/rt&gt;&lt;/ruby&gt;""
)&amp;""&lt;br&gt;&lt;div class=""""audio""""&gt;[sound:""&amp;C4923&amp;"".mp3]&lt;/div&gt;"""),"&lt;ruby&gt;器具&lt;rt&gt;きぐ&lt;/rt&gt;&lt;/ruby&gt;&lt;br&gt;&lt;div class=""audio""&gt;[sound:きぐ.mp3]&lt;/div&gt;")</f>
        <v>&lt;ruby&gt;器具&lt;rt&gt;きぐ&lt;/rt&gt;&lt;/ruby&gt;&lt;br&gt;&lt;div class="audio"&gt;[sound:きぐ.mp3]&lt;/div&gt;</v>
      </c>
      <c r="H4923" s="3" t="str">
        <f t="shared" si="1"/>
        <v>(n): dụng cụ</v>
      </c>
      <c r="I4923" s="6" t="s">
        <v>26847</v>
      </c>
      <c r="J4923" s="6" t="s">
        <v>26848</v>
      </c>
      <c r="K4923" s="7">
        <f t="shared" si="2"/>
        <v>0.7686820504</v>
      </c>
    </row>
    <row r="4924">
      <c r="A4924" s="4">
        <v>4924.0</v>
      </c>
      <c r="B4924" s="5" t="s">
        <v>26849</v>
      </c>
      <c r="C4924" s="5" t="s">
        <v>26850</v>
      </c>
      <c r="D4924" s="5" t="s">
        <v>26851</v>
      </c>
      <c r="E4924" s="6" t="s">
        <v>74</v>
      </c>
      <c r="F4924" s="6" t="s">
        <v>26852</v>
      </c>
      <c r="G4924" s="3" t="str">
        <f>IFERROR(__xludf.DUMMYFUNCTION("REGEXREPLACE(
D4924,
""([一-龯々]+)\[([^\]]+)\]"",
""&lt;ruby&gt;$1&lt;rt&gt;$2&lt;/rt&gt;&lt;/ruby&gt;""
)&amp;""&lt;br&gt;&lt;div class=""""audio""""&gt;[sound:""&amp;C4924&amp;"".mp3]&lt;/div&gt;"""),"&lt;ruby&gt;学問&lt;rt&gt;がくもん&lt;/rt&gt;&lt;/ruby&gt;&lt;br&gt;&lt;div class=""audio""&gt;[sound:がくもん.mp3]&lt;/div&gt;")</f>
        <v>&lt;ruby&gt;学問&lt;rt&gt;がくもん&lt;/rt&gt;&lt;/ruby&gt;&lt;br&gt;&lt;div class="audio"&gt;[sound:がくもん.mp3]&lt;/div&gt;</v>
      </c>
      <c r="H4924" s="3" t="str">
        <f t="shared" si="1"/>
        <v>(n): học vấn</v>
      </c>
      <c r="I4924" s="6" t="s">
        <v>26853</v>
      </c>
      <c r="J4924" s="6" t="s">
        <v>26854</v>
      </c>
      <c r="K4924" s="7">
        <f t="shared" si="2"/>
        <v>0.6801306323</v>
      </c>
    </row>
    <row r="4925">
      <c r="A4925" s="4">
        <v>4925.0</v>
      </c>
      <c r="B4925" s="5" t="s">
        <v>26855</v>
      </c>
      <c r="C4925" s="5" t="s">
        <v>26856</v>
      </c>
      <c r="D4925" s="5" t="s">
        <v>26857</v>
      </c>
      <c r="E4925" s="6" t="s">
        <v>74</v>
      </c>
      <c r="F4925" s="6" t="s">
        <v>26858</v>
      </c>
      <c r="G4925" s="3" t="str">
        <f>IFERROR(__xludf.DUMMYFUNCTION("REGEXREPLACE(
D4925,
""([一-龯々]+)\[([^\]]+)\]"",
""&lt;ruby&gt;$1&lt;rt&gt;$2&lt;/rt&gt;&lt;/ruby&gt;""
)&amp;""&lt;br&gt;&lt;div class=""""audio""""&gt;[sound:""&amp;C4925&amp;"".mp3]&lt;/div&gt;"""),"&lt;ruby&gt;苦痛&lt;rt&gt;くつう&lt;/rt&gt;&lt;/ruby&gt;&lt;br&gt;&lt;div class=""audio""&gt;[sound:くつう.mp3]&lt;/div&gt;")</f>
        <v>&lt;ruby&gt;苦痛&lt;rt&gt;くつう&lt;/rt&gt;&lt;/ruby&gt;&lt;br&gt;&lt;div class="audio"&gt;[sound:くつう.mp3]&lt;/div&gt;</v>
      </c>
      <c r="H4925" s="3" t="str">
        <f t="shared" si="1"/>
        <v>(n): đau đớn</v>
      </c>
      <c r="I4925" s="6" t="s">
        <v>26859</v>
      </c>
      <c r="J4925" s="6" t="s">
        <v>26860</v>
      </c>
      <c r="K4925" s="7">
        <f t="shared" si="2"/>
        <v>0.1484274918</v>
      </c>
    </row>
    <row r="4926">
      <c r="A4926" s="4">
        <v>4926.0</v>
      </c>
      <c r="B4926" s="5" t="s">
        <v>26861</v>
      </c>
      <c r="C4926" s="5" t="s">
        <v>16490</v>
      </c>
      <c r="D4926" s="5" t="s">
        <v>26862</v>
      </c>
      <c r="E4926" s="6" t="s">
        <v>74</v>
      </c>
      <c r="F4926" s="6" t="s">
        <v>6274</v>
      </c>
      <c r="G4926" s="3" t="str">
        <f>IFERROR(__xludf.DUMMYFUNCTION("REGEXREPLACE(
D4926,
""([一-龯々]+)\[([^\]]+)\]"",
""&lt;ruby&gt;$1&lt;rt&gt;$2&lt;/rt&gt;&lt;/ruby&gt;""
)&amp;""&lt;br&gt;&lt;div class=""""audio""""&gt;[sound:""&amp;C4926&amp;"".mp3]&lt;/div&gt;"""),"&lt;ruby&gt;契機&lt;rt&gt;けいき&lt;/rt&gt;&lt;/ruby&gt;&lt;br&gt;&lt;div class=""audio""&gt;[sound:けいき.mp3]&lt;/div&gt;")</f>
        <v>&lt;ruby&gt;契機&lt;rt&gt;けいき&lt;/rt&gt;&lt;/ruby&gt;&lt;br&gt;&lt;div class="audio"&gt;[sound:けいき.mp3]&lt;/div&gt;</v>
      </c>
      <c r="H4926" s="3" t="str">
        <f t="shared" si="1"/>
        <v>(n): cơ hội</v>
      </c>
      <c r="I4926" s="6" t="s">
        <v>26863</v>
      </c>
      <c r="J4926" s="6" t="s">
        <v>26864</v>
      </c>
      <c r="K4926" s="7">
        <f t="shared" si="2"/>
        <v>0.3029902696</v>
      </c>
    </row>
    <row r="4927">
      <c r="A4927" s="4">
        <v>4927.0</v>
      </c>
      <c r="B4927" s="5" t="s">
        <v>26865</v>
      </c>
      <c r="C4927" s="5" t="s">
        <v>26866</v>
      </c>
      <c r="D4927" s="5" t="s">
        <v>26867</v>
      </c>
      <c r="E4927" s="6" t="s">
        <v>24</v>
      </c>
      <c r="F4927" s="6" t="s">
        <v>26868</v>
      </c>
      <c r="G4927" s="3" t="str">
        <f>IFERROR(__xludf.DUMMYFUNCTION("REGEXREPLACE(
D4927,
""([一-龯々]+)\[([^\]]+)\]"",
""&lt;ruby&gt;$1&lt;rt&gt;$2&lt;/rt&gt;&lt;/ruby&gt;""
)&amp;""&lt;br&gt;&lt;div class=""""audio""""&gt;[sound:""&amp;C4927&amp;"".mp3]&lt;/div&gt;"""),"&lt;ruby&gt;録音&lt;rt&gt;ろくおん&lt;/rt&gt;&lt;/ruby&gt;&lt;br&gt;&lt;div class=""audio""&gt;[sound:ろくおん.mp3]&lt;/div&gt;")</f>
        <v>&lt;ruby&gt;録音&lt;rt&gt;ろくおん&lt;/rt&gt;&lt;/ruby&gt;&lt;br&gt;&lt;div class="audio"&gt;[sound:ろくおん.mp3]&lt;/div&gt;</v>
      </c>
      <c r="H4927" s="3" t="str">
        <f t="shared" si="1"/>
        <v>(v): ghi âm</v>
      </c>
      <c r="I4927" s="6" t="s">
        <v>26869</v>
      </c>
      <c r="J4927" s="6" t="s">
        <v>26870</v>
      </c>
      <c r="K4927" s="7">
        <f t="shared" si="2"/>
        <v>0.7255546697</v>
      </c>
    </row>
    <row r="4928">
      <c r="A4928" s="4">
        <v>4928.0</v>
      </c>
      <c r="B4928" s="5" t="s">
        <v>26871</v>
      </c>
      <c r="C4928" s="5" t="s">
        <v>26872</v>
      </c>
      <c r="D4928" s="5" t="s">
        <v>26873</v>
      </c>
      <c r="E4928" s="6" t="s">
        <v>74</v>
      </c>
      <c r="F4928" s="6" t="s">
        <v>26874</v>
      </c>
      <c r="G4928" s="3" t="str">
        <f>IFERROR(__xludf.DUMMYFUNCTION("REGEXREPLACE(
D4928,
""([一-龯々]+)\[([^\]]+)\]"",
""&lt;ruby&gt;$1&lt;rt&gt;$2&lt;/rt&gt;&lt;/ruby&gt;""
)&amp;""&lt;br&gt;&lt;div class=""""audio""""&gt;[sound:""&amp;C4928&amp;"".mp3]&lt;/div&gt;"""),"&lt;ruby&gt;大気&lt;rt&gt;たいき&lt;/rt&gt;&lt;/ruby&gt;&lt;br&gt;&lt;div class=""audio""&gt;[sound:たいき.mp3]&lt;/div&gt;")</f>
        <v>&lt;ruby&gt;大気&lt;rt&gt;たいき&lt;/rt&gt;&lt;/ruby&gt;&lt;br&gt;&lt;div class="audio"&gt;[sound:たいき.mp3]&lt;/div&gt;</v>
      </c>
      <c r="H4928" s="3" t="str">
        <f t="shared" si="1"/>
        <v>(n): khí quyển</v>
      </c>
      <c r="I4928" s="6" t="s">
        <v>26875</v>
      </c>
      <c r="J4928" s="6" t="s">
        <v>26876</v>
      </c>
      <c r="K4928" s="7">
        <f t="shared" si="2"/>
        <v>0.9334006641</v>
      </c>
    </row>
    <row r="4929">
      <c r="A4929" s="4">
        <v>4929.0</v>
      </c>
      <c r="B4929" s="5" t="s">
        <v>26877</v>
      </c>
      <c r="C4929" s="5" t="s">
        <v>8674</v>
      </c>
      <c r="D4929" s="5" t="s">
        <v>26878</v>
      </c>
      <c r="E4929" s="6" t="s">
        <v>74</v>
      </c>
      <c r="F4929" s="6" t="s">
        <v>26879</v>
      </c>
      <c r="G4929" s="3" t="str">
        <f>IFERROR(__xludf.DUMMYFUNCTION("REGEXREPLACE(
D4929,
""([一-龯々]+)\[([^\]]+)\]"",
""&lt;ruby&gt;$1&lt;rt&gt;$2&lt;/rt&gt;&lt;/ruby&gt;""
)&amp;""&lt;br&gt;&lt;div class=""""audio""""&gt;[sound:""&amp;C4929&amp;"".mp3]&lt;/div&gt;"""),"&lt;ruby&gt;同志&lt;rt&gt;どうし&lt;/rt&gt;&lt;/ruby&gt;&lt;br&gt;&lt;div class=""audio""&gt;[sound:どうし.mp3]&lt;/div&gt;")</f>
        <v>&lt;ruby&gt;同志&lt;rt&gt;どうし&lt;/rt&gt;&lt;/ruby&gt;&lt;br&gt;&lt;div class="audio"&gt;[sound:どうし.mp3]&lt;/div&gt;</v>
      </c>
      <c r="H4929" s="3" t="str">
        <f t="shared" si="1"/>
        <v>(n): đồng chí</v>
      </c>
      <c r="I4929" s="6" t="s">
        <v>26880</v>
      </c>
      <c r="J4929" s="6" t="s">
        <v>26881</v>
      </c>
      <c r="K4929" s="7">
        <f t="shared" si="2"/>
        <v>0.1319382758</v>
      </c>
    </row>
    <row r="4930">
      <c r="A4930" s="4">
        <v>4930.0</v>
      </c>
      <c r="B4930" s="5" t="s">
        <v>26882</v>
      </c>
      <c r="C4930" s="5" t="s">
        <v>26883</v>
      </c>
      <c r="D4930" s="5" t="s">
        <v>26884</v>
      </c>
      <c r="E4930" s="6" t="s">
        <v>24</v>
      </c>
      <c r="F4930" s="6" t="s">
        <v>26885</v>
      </c>
      <c r="G4930" s="3" t="str">
        <f>IFERROR(__xludf.DUMMYFUNCTION("REGEXREPLACE(
D4930,
""([一-龯々]+)\[([^\]]+)\]"",
""&lt;ruby&gt;$1&lt;rt&gt;$2&lt;/rt&gt;&lt;/ruby&gt;""
)&amp;""&lt;br&gt;&lt;div class=""""audio""""&gt;[sound:""&amp;C4930&amp;"".mp3]&lt;/div&gt;"""),"&lt;ruby&gt;囁&lt;rt&gt;ささや&lt;/rt&gt;&lt;/ruby&gt;く&lt;br&gt;&lt;div class=""audio""&gt;[sound:ささやく.mp3]&lt;/div&gt;")</f>
        <v>&lt;ruby&gt;囁&lt;rt&gt;ささや&lt;/rt&gt;&lt;/ruby&gt;く&lt;br&gt;&lt;div class="audio"&gt;[sound:ささやく.mp3]&lt;/div&gt;</v>
      </c>
      <c r="H4930" s="3" t="str">
        <f t="shared" si="1"/>
        <v>(v): thì thầm</v>
      </c>
      <c r="I4930" s="6" t="s">
        <v>26886</v>
      </c>
      <c r="J4930" s="6" t="s">
        <v>26887</v>
      </c>
      <c r="K4930" s="7">
        <f t="shared" si="2"/>
        <v>0.3256275366</v>
      </c>
    </row>
    <row r="4931">
      <c r="A4931" s="4">
        <v>4931.0</v>
      </c>
      <c r="B4931" s="5" t="s">
        <v>26888</v>
      </c>
      <c r="C4931" s="5" t="s">
        <v>21064</v>
      </c>
      <c r="D4931" s="5" t="s">
        <v>26889</v>
      </c>
      <c r="E4931" s="6" t="s">
        <v>74</v>
      </c>
      <c r="F4931" s="6" t="s">
        <v>26890</v>
      </c>
      <c r="G4931" s="3" t="str">
        <f>IFERROR(__xludf.DUMMYFUNCTION("REGEXREPLACE(
D4931,
""([一-龯々]+)\[([^\]]+)\]"",
""&lt;ruby&gt;$1&lt;rt&gt;$2&lt;/rt&gt;&lt;/ruby&gt;""
)&amp;""&lt;br&gt;&lt;div class=""""audio""""&gt;[sound:""&amp;C4931&amp;"".mp3]&lt;/div&gt;"""),"&lt;ruby&gt;声明&lt;rt&gt;せいめい&lt;/rt&gt;&lt;/ruby&gt;&lt;br&gt;&lt;div class=""audio""&gt;[sound:せいめい.mp3]&lt;/div&gt;")</f>
        <v>&lt;ruby&gt;声明&lt;rt&gt;せいめい&lt;/rt&gt;&lt;/ruby&gt;&lt;br&gt;&lt;div class="audio"&gt;[sound:せいめい.mp3]&lt;/div&gt;</v>
      </c>
      <c r="H4931" s="3" t="str">
        <f t="shared" si="1"/>
        <v>(n): tuyên bố</v>
      </c>
      <c r="I4931" s="6" t="s">
        <v>26891</v>
      </c>
      <c r="J4931" s="6" t="s">
        <v>26892</v>
      </c>
      <c r="K4931" s="7">
        <f t="shared" si="2"/>
        <v>0.2291496264</v>
      </c>
    </row>
    <row r="4932">
      <c r="A4932" s="4">
        <v>4932.0</v>
      </c>
      <c r="B4932" s="5" t="s">
        <v>26893</v>
      </c>
      <c r="C4932" s="5" t="s">
        <v>16958</v>
      </c>
      <c r="D4932" s="5" t="s">
        <v>26894</v>
      </c>
      <c r="E4932" s="6" t="s">
        <v>74</v>
      </c>
      <c r="F4932" s="6" t="s">
        <v>26895</v>
      </c>
      <c r="G4932" s="3" t="str">
        <f>IFERROR(__xludf.DUMMYFUNCTION("REGEXREPLACE(
D4932,
""([一-龯々]+)\[([^\]]+)\]"",
""&lt;ruby&gt;$1&lt;rt&gt;$2&lt;/rt&gt;&lt;/ruby&gt;""
)&amp;""&lt;br&gt;&lt;div class=""""audio""""&gt;[sound:""&amp;C4932&amp;"".mp3]&lt;/div&gt;"""),"&lt;ruby&gt;売買&lt;rt&gt;ばいばい&lt;/rt&gt;&lt;/ruby&gt;&lt;br&gt;&lt;div class=""audio""&gt;[sound:ばいばい.mp3]&lt;/div&gt;")</f>
        <v>&lt;ruby&gt;売買&lt;rt&gt;ばいばい&lt;/rt&gt;&lt;/ruby&gt;&lt;br&gt;&lt;div class="audio"&gt;[sound:ばいばい.mp3]&lt;/div&gt;</v>
      </c>
      <c r="H4932" s="3" t="str">
        <f t="shared" si="1"/>
        <v>(n): mua bán</v>
      </c>
      <c r="I4932" s="6" t="s">
        <v>26896</v>
      </c>
      <c r="J4932" s="6" t="s">
        <v>26897</v>
      </c>
      <c r="K4932" s="7">
        <f t="shared" si="2"/>
        <v>0.7297794102</v>
      </c>
    </row>
    <row r="4933">
      <c r="A4933" s="4">
        <v>4933.0</v>
      </c>
      <c r="B4933" s="5" t="s">
        <v>26898</v>
      </c>
      <c r="C4933" s="5" t="s">
        <v>26899</v>
      </c>
      <c r="D4933" s="5" t="s">
        <v>26900</v>
      </c>
      <c r="E4933" s="6" t="s">
        <v>24</v>
      </c>
      <c r="F4933" s="6" t="s">
        <v>9700</v>
      </c>
      <c r="G4933" s="3" t="str">
        <f>IFERROR(__xludf.DUMMYFUNCTION("REGEXREPLACE(
D4933,
""([一-龯々]+)\[([^\]]+)\]"",
""&lt;ruby&gt;$1&lt;rt&gt;$2&lt;/rt&gt;&lt;/ruby&gt;""
)&amp;""&lt;br&gt;&lt;div class=""""audio""""&gt;[sound:""&amp;C4933&amp;"".mp3]&lt;/div&gt;"""),"&lt;ruby&gt;爆発&lt;rt&gt;ばくはつ&lt;/rt&gt;&lt;/ruby&gt;&lt;br&gt;&lt;div class=""audio""&gt;[sound:ばくはつ.mp3]&lt;/div&gt;")</f>
        <v>&lt;ruby&gt;爆発&lt;rt&gt;ばくはつ&lt;/rt&gt;&lt;/ruby&gt;&lt;br&gt;&lt;div class="audio"&gt;[sound:ばくはつ.mp3]&lt;/div&gt;</v>
      </c>
      <c r="H4933" s="3" t="str">
        <f t="shared" si="1"/>
        <v>(v): bùng nổ</v>
      </c>
      <c r="I4933" s="6" t="s">
        <v>26901</v>
      </c>
      <c r="J4933" s="6" t="s">
        <v>26902</v>
      </c>
      <c r="K4933" s="7">
        <f t="shared" si="2"/>
        <v>0.69612438</v>
      </c>
    </row>
    <row r="4934">
      <c r="A4934" s="4">
        <v>4934.0</v>
      </c>
      <c r="B4934" s="5" t="s">
        <v>26903</v>
      </c>
      <c r="C4934" s="5" t="s">
        <v>26904</v>
      </c>
      <c r="D4934" s="5" t="s">
        <v>26905</v>
      </c>
      <c r="E4934" s="6" t="s">
        <v>24</v>
      </c>
      <c r="F4934" s="6" t="s">
        <v>26906</v>
      </c>
      <c r="G4934" s="3" t="str">
        <f>IFERROR(__xludf.DUMMYFUNCTION("REGEXREPLACE(
D4934,
""([一-龯々]+)\[([^\]]+)\]"",
""&lt;ruby&gt;$1&lt;rt&gt;$2&lt;/rt&gt;&lt;/ruby&gt;""
)&amp;""&lt;br&gt;&lt;div class=""""audio""""&gt;[sound:""&amp;C4934&amp;"".mp3]&lt;/div&gt;"""),"&lt;ruby&gt;集合&lt;rt&gt;しゅうごう&lt;/rt&gt;&lt;/ruby&gt;&lt;br&gt;&lt;div class=""audio""&gt;[sound:しゅうごう.mp3]&lt;/div&gt;")</f>
        <v>&lt;ruby&gt;集合&lt;rt&gt;しゅうごう&lt;/rt&gt;&lt;/ruby&gt;&lt;br&gt;&lt;div class="audio"&gt;[sound:しゅうごう.mp3]&lt;/div&gt;</v>
      </c>
      <c r="H4934" s="3" t="str">
        <f t="shared" si="1"/>
        <v>(v): tập hợp</v>
      </c>
      <c r="I4934" s="6" t="s">
        <v>26907</v>
      </c>
      <c r="J4934" s="6" t="s">
        <v>26908</v>
      </c>
      <c r="K4934" s="7">
        <f t="shared" si="2"/>
        <v>0.9773624632</v>
      </c>
    </row>
    <row r="4935">
      <c r="A4935" s="4">
        <v>4935.0</v>
      </c>
      <c r="B4935" s="5" t="s">
        <v>26909</v>
      </c>
      <c r="C4935" s="5" t="s">
        <v>26910</v>
      </c>
      <c r="D4935" s="5" t="s">
        <v>26911</v>
      </c>
      <c r="E4935" s="6" t="s">
        <v>74</v>
      </c>
      <c r="F4935" s="6" t="s">
        <v>26912</v>
      </c>
      <c r="G4935" s="3" t="str">
        <f>IFERROR(__xludf.DUMMYFUNCTION("REGEXREPLACE(
D4935,
""([一-龯々]+)\[([^\]]+)\]"",
""&lt;ruby&gt;$1&lt;rt&gt;$2&lt;/rt&gt;&lt;/ruby&gt;""
)&amp;""&lt;br&gt;&lt;div class=""""audio""""&gt;[sound:""&amp;C4935&amp;"".mp3]&lt;/div&gt;"""),"&lt;ruby&gt;髪&lt;rt&gt;かみ&lt;/rt&gt;&lt;/ruby&gt;の&lt;ruby&gt;毛&lt;rt&gt;け&lt;/rt&gt;&lt;/ruby&gt;&lt;br&gt;&lt;div class=""audio""&gt;[sound:かみのけ.mp3]&lt;/div&gt;")</f>
        <v>&lt;ruby&gt;髪&lt;rt&gt;かみ&lt;/rt&gt;&lt;/ruby&gt;の&lt;ruby&gt;毛&lt;rt&gt;け&lt;/rt&gt;&lt;/ruby&gt;&lt;br&gt;&lt;div class="audio"&gt;[sound:かみのけ.mp3]&lt;/div&gt;</v>
      </c>
      <c r="H4935" s="3" t="str">
        <f t="shared" si="1"/>
        <v>(n): sợi tóc</v>
      </c>
      <c r="I4935" s="6" t="s">
        <v>26913</v>
      </c>
      <c r="J4935" s="6" t="s">
        <v>26914</v>
      </c>
      <c r="K4935" s="7">
        <f t="shared" si="2"/>
        <v>0.9059846073</v>
      </c>
    </row>
    <row r="4936">
      <c r="A4936" s="4">
        <v>4936.0</v>
      </c>
      <c r="B4936" s="5" t="s">
        <v>26915</v>
      </c>
      <c r="C4936" s="5" t="s">
        <v>26916</v>
      </c>
      <c r="D4936" s="5" t="s">
        <v>26917</v>
      </c>
      <c r="E4936" s="6" t="s">
        <v>74</v>
      </c>
      <c r="F4936" s="6" t="s">
        <v>26918</v>
      </c>
      <c r="G4936" s="3" t="str">
        <f>IFERROR(__xludf.DUMMYFUNCTION("REGEXREPLACE(
D4936,
""([一-龯々]+)\[([^\]]+)\]"",
""&lt;ruby&gt;$1&lt;rt&gt;$2&lt;/rt&gt;&lt;/ruby&gt;""
)&amp;""&lt;br&gt;&lt;div class=""""audio""""&gt;[sound:""&amp;C4936&amp;"".mp3]&lt;/div&gt;"""),"&lt;ruby&gt;宝石&lt;rt&gt;ほうせき&lt;/rt&gt;&lt;/ruby&gt;&lt;br&gt;&lt;div class=""audio""&gt;[sound:ほうせき.mp3]&lt;/div&gt;")</f>
        <v>&lt;ruby&gt;宝石&lt;rt&gt;ほうせき&lt;/rt&gt;&lt;/ruby&gt;&lt;br&gt;&lt;div class="audio"&gt;[sound:ほうせき.mp3]&lt;/div&gt;</v>
      </c>
      <c r="H4936" s="3" t="str">
        <f t="shared" si="1"/>
        <v>(n): đá quý</v>
      </c>
      <c r="I4936" s="6" t="s">
        <v>26919</v>
      </c>
      <c r="J4936" s="6" t="s">
        <v>26920</v>
      </c>
      <c r="K4936" s="7">
        <f t="shared" si="2"/>
        <v>0.8822875767</v>
      </c>
    </row>
    <row r="4937">
      <c r="A4937" s="4">
        <v>4937.0</v>
      </c>
      <c r="B4937" s="5" t="s">
        <v>26921</v>
      </c>
      <c r="C4937" s="5" t="s">
        <v>26922</v>
      </c>
      <c r="D4937" s="5" t="s">
        <v>26923</v>
      </c>
      <c r="E4937" s="6" t="s">
        <v>74</v>
      </c>
      <c r="F4937" s="6" t="s">
        <v>26924</v>
      </c>
      <c r="G4937" s="3" t="str">
        <f>IFERROR(__xludf.DUMMYFUNCTION("REGEXREPLACE(
D4937,
""([一-龯々]+)\[([^\]]+)\]"",
""&lt;ruby&gt;$1&lt;rt&gt;$2&lt;/rt&gt;&lt;/ruby&gt;""
)&amp;""&lt;br&gt;&lt;div class=""""audio""""&gt;[sound:""&amp;C4937&amp;"".mp3]&lt;/div&gt;"""),"&lt;ruby&gt;渋滞&lt;rt&gt;じゅうたい&lt;/rt&gt;&lt;/ruby&gt;&lt;br&gt;&lt;div class=""audio""&gt;[sound:じゅうたい.mp3]&lt;/div&gt;")</f>
        <v>&lt;ruby&gt;渋滞&lt;rt&gt;じゅうたい&lt;/rt&gt;&lt;/ruby&gt;&lt;br&gt;&lt;div class="audio"&gt;[sound:じゅうたい.mp3]&lt;/div&gt;</v>
      </c>
      <c r="H4937" s="3" t="str">
        <f t="shared" si="1"/>
        <v>(n): kẹt xe</v>
      </c>
      <c r="I4937" s="6" t="s">
        <v>26925</v>
      </c>
      <c r="J4937" s="6" t="s">
        <v>26926</v>
      </c>
      <c r="K4937" s="7">
        <f t="shared" si="2"/>
        <v>0.9516530121</v>
      </c>
    </row>
    <row r="4938">
      <c r="A4938" s="4">
        <v>4938.0</v>
      </c>
      <c r="B4938" s="5" t="s">
        <v>26927</v>
      </c>
      <c r="C4938" s="5" t="s">
        <v>24946</v>
      </c>
      <c r="D4938" s="5" t="s">
        <v>26928</v>
      </c>
      <c r="E4938" s="6" t="s">
        <v>24</v>
      </c>
      <c r="F4938" s="6" t="s">
        <v>24948</v>
      </c>
      <c r="G4938" s="3" t="str">
        <f>IFERROR(__xludf.DUMMYFUNCTION("REGEXREPLACE(
D4938,
""([一-龯々]+)\[([^\]]+)\]"",
""&lt;ruby&gt;$1&lt;rt&gt;$2&lt;/rt&gt;&lt;/ruby&gt;""
)&amp;""&lt;br&gt;&lt;div class=""""audio""""&gt;[sound:""&amp;C4938&amp;"".mp3]&lt;/div&gt;"""),"&lt;ruby&gt;混&lt;rt&gt;ま&lt;/rt&gt;&lt;/ruby&gt;ぜる&lt;br&gt;&lt;div class=""audio""&gt;[sound:まぜる.mp3]&lt;/div&gt;")</f>
        <v>&lt;ruby&gt;混&lt;rt&gt;ま&lt;/rt&gt;&lt;/ruby&gt;ぜる&lt;br&gt;&lt;div class="audio"&gt;[sound:まぜる.mp3]&lt;/div&gt;</v>
      </c>
      <c r="H4938" s="3" t="str">
        <f t="shared" si="1"/>
        <v>(v): trộn</v>
      </c>
      <c r="I4938" s="6" t="s">
        <v>26929</v>
      </c>
      <c r="J4938" s="6" t="s">
        <v>26930</v>
      </c>
      <c r="K4938" s="7">
        <f t="shared" si="2"/>
        <v>0.3912640404</v>
      </c>
    </row>
    <row r="4939">
      <c r="A4939" s="4">
        <v>4939.0</v>
      </c>
      <c r="B4939" s="5" t="s">
        <v>26931</v>
      </c>
      <c r="C4939" s="5" t="s">
        <v>26932</v>
      </c>
      <c r="D4939" s="5" t="s">
        <v>26933</v>
      </c>
      <c r="E4939" s="6" t="s">
        <v>24</v>
      </c>
      <c r="F4939" s="6" t="s">
        <v>1332</v>
      </c>
      <c r="G4939" s="3" t="str">
        <f>IFERROR(__xludf.DUMMYFUNCTION("REGEXREPLACE(
D4939,
""([一-龯々]+)\[([^\]]+)\]"",
""&lt;ruby&gt;$1&lt;rt&gt;$2&lt;/rt&gt;&lt;/ruby&gt;""
)&amp;""&lt;br&gt;&lt;div class=""""audio""""&gt;[sound:""&amp;C4939&amp;"".mp3]&lt;/div&gt;"""),"&lt;ruby&gt;着&lt;rt&gt;き&lt;/rt&gt;&lt;/ruby&gt;せる&lt;br&gt;&lt;div class=""audio""&gt;[sound:きせる.mp3]&lt;/div&gt;")</f>
        <v>&lt;ruby&gt;着&lt;rt&gt;き&lt;/rt&gt;&lt;/ruby&gt;せる&lt;br&gt;&lt;div class="audio"&gt;[sound:きせる.mp3]&lt;/div&gt;</v>
      </c>
      <c r="H4939" s="3" t="str">
        <f t="shared" si="1"/>
        <v>(v): mặc</v>
      </c>
      <c r="I4939" s="6" t="s">
        <v>26934</v>
      </c>
      <c r="J4939" s="6" t="s">
        <v>26935</v>
      </c>
      <c r="K4939" s="7">
        <f t="shared" si="2"/>
        <v>0.7555687565</v>
      </c>
    </row>
    <row r="4940">
      <c r="A4940" s="4">
        <v>4940.0</v>
      </c>
      <c r="B4940" s="5" t="s">
        <v>26936</v>
      </c>
      <c r="C4940" s="5" t="s">
        <v>4497</v>
      </c>
      <c r="D4940" s="5" t="s">
        <v>26937</v>
      </c>
      <c r="E4940" s="6" t="s">
        <v>24</v>
      </c>
      <c r="F4940" s="6" t="s">
        <v>13664</v>
      </c>
      <c r="G4940" s="3" t="str">
        <f>IFERROR(__xludf.DUMMYFUNCTION("REGEXREPLACE(
D4940,
""([一-龯々]+)\[([^\]]+)\]"",
""&lt;ruby&gt;$1&lt;rt&gt;$2&lt;/rt&gt;&lt;/ruby&gt;""
)&amp;""&lt;br&gt;&lt;div class=""""audio""""&gt;[sound:""&amp;C4940&amp;"".mp3]&lt;/div&gt;"""),"&lt;ruby&gt;儲&lt;rt&gt;もう&lt;/rt&gt;&lt;/ruby&gt;ける&lt;br&gt;&lt;div class=""audio""&gt;[sound:もうける.mp3]&lt;/div&gt;")</f>
        <v>&lt;ruby&gt;儲&lt;rt&gt;もう&lt;/rt&gt;&lt;/ruby&gt;ける&lt;br&gt;&lt;div class="audio"&gt;[sound:もうける.mp3]&lt;/div&gt;</v>
      </c>
      <c r="H4940" s="3" t="str">
        <f t="shared" si="1"/>
        <v>(v): kiếm tiền</v>
      </c>
      <c r="I4940" s="6" t="s">
        <v>26938</v>
      </c>
      <c r="J4940" s="6" t="s">
        <v>26939</v>
      </c>
      <c r="K4940" s="7">
        <f t="shared" si="2"/>
        <v>0.5837932187</v>
      </c>
    </row>
    <row r="4941">
      <c r="A4941" s="4">
        <v>4941.0</v>
      </c>
      <c r="B4941" s="5" t="s">
        <v>26940</v>
      </c>
      <c r="C4941" s="5" t="s">
        <v>26941</v>
      </c>
      <c r="D4941" s="5" t="s">
        <v>26942</v>
      </c>
      <c r="E4941" s="6" t="s">
        <v>24</v>
      </c>
      <c r="F4941" s="6" t="s">
        <v>26943</v>
      </c>
      <c r="G4941" s="3" t="str">
        <f>IFERROR(__xludf.DUMMYFUNCTION("REGEXREPLACE(
D4941,
""([一-龯々]+)\[([^\]]+)\]"",
""&lt;ruby&gt;$1&lt;rt&gt;$2&lt;/rt&gt;&lt;/ruby&gt;""
)&amp;""&lt;br&gt;&lt;div class=""""audio""""&gt;[sound:""&amp;C4941&amp;"".mp3]&lt;/div&gt;"""),"&lt;ruby&gt;狂&lt;rt&gt;くる&lt;/rt&gt;&lt;/ruby&gt;う&lt;br&gt;&lt;div class=""audio""&gt;[sound:くるう.mp3]&lt;/div&gt;")</f>
        <v>&lt;ruby&gt;狂&lt;rt&gt;くる&lt;/rt&gt;&lt;/ruby&gt;う&lt;br&gt;&lt;div class="audio"&gt;[sound:くるう.mp3]&lt;/div&gt;</v>
      </c>
      <c r="H4941" s="3" t="str">
        <f t="shared" si="1"/>
        <v>(v): phát điên</v>
      </c>
      <c r="I4941" s="6" t="s">
        <v>26944</v>
      </c>
      <c r="J4941" s="6" t="s">
        <v>26945</v>
      </c>
      <c r="K4941" s="7">
        <f t="shared" si="2"/>
        <v>0.8319206253</v>
      </c>
    </row>
    <row r="4942">
      <c r="A4942" s="4">
        <v>4942.0</v>
      </c>
      <c r="B4942" s="5" t="s">
        <v>26946</v>
      </c>
      <c r="C4942" s="5" t="s">
        <v>13606</v>
      </c>
      <c r="D4942" s="5" t="s">
        <v>26947</v>
      </c>
      <c r="E4942" s="6" t="s">
        <v>24</v>
      </c>
      <c r="F4942" s="6" t="s">
        <v>26948</v>
      </c>
      <c r="G4942" s="3" t="str">
        <f>IFERROR(__xludf.DUMMYFUNCTION("REGEXREPLACE(
D4942,
""([一-龯々]+)\[([^\]]+)\]"",
""&lt;ruby&gt;$1&lt;rt&gt;$2&lt;/rt&gt;&lt;/ruby&gt;""
)&amp;""&lt;br&gt;&lt;div class=""""audio""""&gt;[sound:""&amp;C4942&amp;"".mp3]&lt;/div&gt;"""),"&lt;ruby&gt;覗&lt;rt&gt;のぞ&lt;/rt&gt;&lt;/ruby&gt;く&lt;br&gt;&lt;div class=""audio""&gt;[sound:のぞく.mp3]&lt;/div&gt;")</f>
        <v>&lt;ruby&gt;覗&lt;rt&gt;のぞ&lt;/rt&gt;&lt;/ruby&gt;く&lt;br&gt;&lt;div class="audio"&gt;[sound:のぞく.mp3]&lt;/div&gt;</v>
      </c>
      <c r="H4942" s="3" t="str">
        <f t="shared" si="1"/>
        <v>(v): nhìn trộm</v>
      </c>
      <c r="I4942" s="6" t="s">
        <v>26949</v>
      </c>
      <c r="J4942" s="6" t="s">
        <v>26950</v>
      </c>
      <c r="K4942" s="7">
        <f t="shared" si="2"/>
        <v>0.850082662</v>
      </c>
    </row>
    <row r="4943">
      <c r="A4943" s="4">
        <v>4943.0</v>
      </c>
      <c r="B4943" s="5" t="s">
        <v>26951</v>
      </c>
      <c r="C4943" s="5" t="s">
        <v>26952</v>
      </c>
      <c r="D4943" s="5" t="s">
        <v>26953</v>
      </c>
      <c r="E4943" s="6" t="s">
        <v>74</v>
      </c>
      <c r="F4943" s="6" t="s">
        <v>23657</v>
      </c>
      <c r="G4943" s="3" t="str">
        <f>IFERROR(__xludf.DUMMYFUNCTION("REGEXREPLACE(
D4943,
""([一-龯々]+)\[([^\]]+)\]"",
""&lt;ruby&gt;$1&lt;rt&gt;$2&lt;/rt&gt;&lt;/ruby&gt;""
)&amp;""&lt;br&gt;&lt;div class=""""audio""""&gt;[sound:""&amp;C4943&amp;"".mp3]&lt;/div&gt;"""),"&lt;ruby&gt;苦情&lt;rt&gt;くじょう&lt;/rt&gt;&lt;/ruby&gt;&lt;br&gt;&lt;div class=""audio""&gt;[sound:くじょう.mp3]&lt;/div&gt;")</f>
        <v>&lt;ruby&gt;苦情&lt;rt&gt;くじょう&lt;/rt&gt;&lt;/ruby&gt;&lt;br&gt;&lt;div class="audio"&gt;[sound:くじょう.mp3]&lt;/div&gt;</v>
      </c>
      <c r="H4943" s="3" t="str">
        <f t="shared" si="1"/>
        <v>(n): phàn nàn</v>
      </c>
      <c r="I4943" s="6" t="s">
        <v>26954</v>
      </c>
      <c r="J4943" s="6" t="s">
        <v>26955</v>
      </c>
      <c r="K4943" s="7">
        <f t="shared" si="2"/>
        <v>0.1761745495</v>
      </c>
    </row>
    <row r="4944">
      <c r="A4944" s="4">
        <v>4944.0</v>
      </c>
      <c r="B4944" s="5" t="s">
        <v>26956</v>
      </c>
      <c r="C4944" s="5" t="s">
        <v>26957</v>
      </c>
      <c r="D4944" s="5" t="s">
        <v>26958</v>
      </c>
      <c r="E4944" s="6" t="s">
        <v>24</v>
      </c>
      <c r="F4944" s="6" t="s">
        <v>26959</v>
      </c>
      <c r="G4944" s="3" t="str">
        <f>IFERROR(__xludf.DUMMYFUNCTION("REGEXREPLACE(
D4944,
""([一-龯々]+)\[([^\]]+)\]"",
""&lt;ruby&gt;$1&lt;rt&gt;$2&lt;/rt&gt;&lt;/ruby&gt;""
)&amp;""&lt;br&gt;&lt;div class=""""audio""""&gt;[sound:""&amp;C4944&amp;"".mp3]&lt;/div&gt;"""),"&lt;ruby&gt;失業&lt;rt&gt;しつぎょう&lt;/rt&gt;&lt;/ruby&gt;&lt;br&gt;&lt;div class=""audio""&gt;[sound:しつぎょう.mp3]&lt;/div&gt;")</f>
        <v>&lt;ruby&gt;失業&lt;rt&gt;しつぎょう&lt;/rt&gt;&lt;/ruby&gt;&lt;br&gt;&lt;div class="audio"&gt;[sound:しつぎょう.mp3]&lt;/div&gt;</v>
      </c>
      <c r="H4944" s="3" t="str">
        <f t="shared" si="1"/>
        <v>(v): thất nghiệp</v>
      </c>
      <c r="I4944" s="6" t="s">
        <v>26960</v>
      </c>
      <c r="J4944" s="6" t="s">
        <v>26961</v>
      </c>
      <c r="K4944" s="7">
        <f t="shared" si="2"/>
        <v>0.0262707271</v>
      </c>
    </row>
    <row r="4945">
      <c r="A4945" s="4">
        <v>4945.0</v>
      </c>
      <c r="B4945" s="5" t="s">
        <v>26962</v>
      </c>
      <c r="C4945" s="5" t="s">
        <v>26963</v>
      </c>
      <c r="D4945" s="5" t="s">
        <v>26964</v>
      </c>
      <c r="E4945" s="6" t="s">
        <v>74</v>
      </c>
      <c r="F4945" s="6" t="s">
        <v>26965</v>
      </c>
      <c r="G4945" s="3" t="str">
        <f>IFERROR(__xludf.DUMMYFUNCTION("REGEXREPLACE(
D4945,
""([一-龯々]+)\[([^\]]+)\]"",
""&lt;ruby&gt;$1&lt;rt&gt;$2&lt;/rt&gt;&lt;/ruby&gt;""
)&amp;""&lt;br&gt;&lt;div class=""""audio""""&gt;[sound:""&amp;C4945&amp;"".mp3]&lt;/div&gt;"""),"&lt;ruby&gt;缶詰&lt;rt&gt;かんづめ&lt;/rt&gt;&lt;/ruby&gt;&lt;br&gt;&lt;div class=""audio""&gt;[sound:かんづめ.mp3]&lt;/div&gt;")</f>
        <v>&lt;ruby&gt;缶詰&lt;rt&gt;かんづめ&lt;/rt&gt;&lt;/ruby&gt;&lt;br&gt;&lt;div class="audio"&gt;[sound:かんづめ.mp3]&lt;/div&gt;</v>
      </c>
      <c r="H4945" s="3" t="str">
        <f t="shared" si="1"/>
        <v>(n): đồ đóng hộp</v>
      </c>
      <c r="I4945" s="6" t="s">
        <v>26966</v>
      </c>
      <c r="J4945" s="6" t="s">
        <v>26967</v>
      </c>
      <c r="K4945" s="7">
        <f t="shared" si="2"/>
        <v>0.8552315477</v>
      </c>
    </row>
    <row r="4946">
      <c r="A4946" s="4">
        <v>4946.0</v>
      </c>
      <c r="B4946" s="5" t="s">
        <v>26968</v>
      </c>
      <c r="C4946" s="5" t="s">
        <v>26969</v>
      </c>
      <c r="D4946" s="5" t="s">
        <v>26970</v>
      </c>
      <c r="E4946" s="6" t="s">
        <v>24</v>
      </c>
      <c r="F4946" s="6" t="s">
        <v>26971</v>
      </c>
      <c r="G4946" s="3" t="str">
        <f>IFERROR(__xludf.DUMMYFUNCTION("REGEXREPLACE(
D4946,
""([一-龯々]+)\[([^\]]+)\]"",
""&lt;ruby&gt;$1&lt;rt&gt;$2&lt;/rt&gt;&lt;/ruby&gt;""
)&amp;""&lt;br&gt;&lt;div class=""""audio""""&gt;[sound:""&amp;C4946&amp;"".mp3]&lt;/div&gt;"""),"&lt;ruby&gt;見下&lt;rt&gt;みお&lt;/rt&gt;&lt;/ruby&gt;ろす&lt;br&gt;&lt;div class=""audio""&gt;[sound:みおろす.mp3]&lt;/div&gt;")</f>
        <v>&lt;ruby&gt;見下&lt;rt&gt;みお&lt;/rt&gt;&lt;/ruby&gt;ろす&lt;br&gt;&lt;div class="audio"&gt;[sound:みおろす.mp3]&lt;/div&gt;</v>
      </c>
      <c r="H4946" s="3" t="str">
        <f t="shared" si="1"/>
        <v>(v): nhìn xuống</v>
      </c>
      <c r="I4946" s="6" t="s">
        <v>26972</v>
      </c>
      <c r="J4946" s="6" t="s">
        <v>26973</v>
      </c>
      <c r="K4946" s="7">
        <f t="shared" si="2"/>
        <v>0.929639095</v>
      </c>
    </row>
    <row r="4947">
      <c r="A4947" s="4">
        <v>4947.0</v>
      </c>
      <c r="B4947" s="5" t="s">
        <v>26974</v>
      </c>
      <c r="C4947" s="5" t="s">
        <v>26975</v>
      </c>
      <c r="D4947" s="5" t="s">
        <v>26976</v>
      </c>
      <c r="E4947" s="6" t="s">
        <v>74</v>
      </c>
      <c r="F4947" s="6" t="s">
        <v>26977</v>
      </c>
      <c r="G4947" s="3" t="str">
        <f>IFERROR(__xludf.DUMMYFUNCTION("REGEXREPLACE(
D4947,
""([一-龯々]+)\[([^\]]+)\]"",
""&lt;ruby&gt;$1&lt;rt&gt;$2&lt;/rt&gt;&lt;/ruby&gt;""
)&amp;""&lt;br&gt;&lt;div class=""""audio""""&gt;[sound:""&amp;C4947&amp;"".mp3]&lt;/div&gt;"""),"&lt;ruby&gt;容積&lt;rt&gt;ようせき&lt;/rt&gt;&lt;/ruby&gt;&lt;br&gt;&lt;div class=""audio""&gt;[sound:ようせき.mp3]&lt;/div&gt;")</f>
        <v>&lt;ruby&gt;容積&lt;rt&gt;ようせき&lt;/rt&gt;&lt;/ruby&gt;&lt;br&gt;&lt;div class="audio"&gt;[sound:ようせき.mp3]&lt;/div&gt;</v>
      </c>
      <c r="H4947" s="3" t="str">
        <f t="shared" si="1"/>
        <v>(n): dung tích</v>
      </c>
      <c r="I4947" s="6" t="s">
        <v>26978</v>
      </c>
      <c r="J4947" s="6" t="s">
        <v>26979</v>
      </c>
      <c r="K4947" s="7">
        <f t="shared" si="2"/>
        <v>0.5343841445</v>
      </c>
    </row>
    <row r="4948">
      <c r="A4948" s="4">
        <v>4948.0</v>
      </c>
      <c r="B4948" s="5" t="s">
        <v>26980</v>
      </c>
      <c r="C4948" s="5" t="s">
        <v>24205</v>
      </c>
      <c r="D4948" s="5" t="s">
        <v>26981</v>
      </c>
      <c r="E4948" s="6" t="s">
        <v>74</v>
      </c>
      <c r="F4948" s="6" t="s">
        <v>26982</v>
      </c>
      <c r="G4948" s="3" t="str">
        <f>IFERROR(__xludf.DUMMYFUNCTION("REGEXREPLACE(
D4948,
""([一-龯々]+)\[([^\]]+)\]"",
""&lt;ruby&gt;$1&lt;rt&gt;$2&lt;/rt&gt;&lt;/ruby&gt;""
)&amp;""&lt;br&gt;&lt;div class=""""audio""""&gt;[sound:""&amp;C4948&amp;"".mp3]&lt;/div&gt;"""),"&lt;ruby&gt;火事&lt;rt&gt;かじ&lt;/rt&gt;&lt;/ruby&gt;&lt;br&gt;&lt;div class=""audio""&gt;[sound:かじ.mp3]&lt;/div&gt;")</f>
        <v>&lt;ruby&gt;火事&lt;rt&gt;かじ&lt;/rt&gt;&lt;/ruby&gt;&lt;br&gt;&lt;div class="audio"&gt;[sound:かじ.mp3]&lt;/div&gt;</v>
      </c>
      <c r="H4948" s="3" t="str">
        <f t="shared" si="1"/>
        <v>(n): hỏa hoạn</v>
      </c>
      <c r="I4948" s="6" t="s">
        <v>26983</v>
      </c>
      <c r="J4948" s="6" t="s">
        <v>26984</v>
      </c>
      <c r="K4948" s="7">
        <f t="shared" si="2"/>
        <v>0.1793812258</v>
      </c>
    </row>
    <row r="4949">
      <c r="A4949" s="4">
        <v>4949.0</v>
      </c>
      <c r="B4949" s="5" t="s">
        <v>26985</v>
      </c>
      <c r="C4949" s="5" t="s">
        <v>26986</v>
      </c>
      <c r="D4949" s="5" t="s">
        <v>26987</v>
      </c>
      <c r="E4949" s="6" t="s">
        <v>24</v>
      </c>
      <c r="F4949" s="6" t="s">
        <v>1747</v>
      </c>
      <c r="G4949" s="3" t="str">
        <f>IFERROR(__xludf.DUMMYFUNCTION("REGEXREPLACE(
D4949,
""([一-龯々]+)\[([^\]]+)\]"",
""&lt;ruby&gt;$1&lt;rt&gt;$2&lt;/rt&gt;&lt;/ruby&gt;""
)&amp;""&lt;br&gt;&lt;div class=""""audio""""&gt;[sound:""&amp;C4949&amp;"".mp3]&lt;/div&gt;"""),"&lt;ruby&gt;腰掛&lt;rt&gt;こしか&lt;/rt&gt;&lt;/ruby&gt;ける&lt;br&gt;&lt;div class=""audio""&gt;[sound:こしかける.mp3]&lt;/div&gt;")</f>
        <v>&lt;ruby&gt;腰掛&lt;rt&gt;こしか&lt;/rt&gt;&lt;/ruby&gt;ける&lt;br&gt;&lt;div class="audio"&gt;[sound:こしかける.mp3]&lt;/div&gt;</v>
      </c>
      <c r="H4949" s="3" t="str">
        <f t="shared" si="1"/>
        <v>(v): ngồi</v>
      </c>
      <c r="I4949" s="6" t="s">
        <v>26988</v>
      </c>
      <c r="J4949" s="6" t="s">
        <v>26989</v>
      </c>
      <c r="K4949" s="7">
        <f t="shared" si="2"/>
        <v>0.4795334021</v>
      </c>
    </row>
    <row r="4950">
      <c r="A4950" s="4">
        <v>4950.0</v>
      </c>
      <c r="B4950" s="5" t="s">
        <v>26990</v>
      </c>
      <c r="C4950" s="5" t="s">
        <v>26991</v>
      </c>
      <c r="D4950" s="5" t="s">
        <v>26992</v>
      </c>
      <c r="E4950" s="6" t="s">
        <v>11</v>
      </c>
      <c r="F4950" s="6" t="s">
        <v>26993</v>
      </c>
      <c r="G4950" s="3" t="str">
        <f>IFERROR(__xludf.DUMMYFUNCTION("REGEXREPLACE(
D4950,
""([一-龯々]+)\[([^\]]+)\]"",
""&lt;ruby&gt;$1&lt;rt&gt;$2&lt;/rt&gt;&lt;/ruby&gt;""
)&amp;""&lt;br&gt;&lt;div class=""""audio""""&gt;[sound:""&amp;C4950&amp;"".mp3]&lt;/div&gt;"""),"&lt;ruby&gt;大人&lt;rt&gt;おとな&lt;/rt&gt;&lt;/ruby&gt;しい&lt;br&gt;&lt;div class=""audio""&gt;[sound:おとなしい.mp3]&lt;/div&gt;")</f>
        <v>&lt;ruby&gt;大人&lt;rt&gt;おとな&lt;/rt&gt;&lt;/ruby&gt;しい&lt;br&gt;&lt;div class="audio"&gt;[sound:おとなしい.mp3]&lt;/div&gt;</v>
      </c>
      <c r="H4950" s="3" t="str">
        <f t="shared" si="1"/>
        <v>(adj): hiền lành</v>
      </c>
      <c r="I4950" s="6" t="s">
        <v>26994</v>
      </c>
      <c r="J4950" s="6" t="s">
        <v>26995</v>
      </c>
      <c r="K4950" s="7">
        <f t="shared" si="2"/>
        <v>0.8064946461</v>
      </c>
    </row>
    <row r="4951">
      <c r="A4951" s="4">
        <v>4951.0</v>
      </c>
      <c r="B4951" s="5" t="s">
        <v>26996</v>
      </c>
      <c r="C4951" s="5" t="s">
        <v>26997</v>
      </c>
      <c r="D4951" s="5" t="s">
        <v>26998</v>
      </c>
      <c r="E4951" s="6" t="s">
        <v>74</v>
      </c>
      <c r="F4951" s="6" t="s">
        <v>26999</v>
      </c>
      <c r="G4951" s="3" t="str">
        <f>IFERROR(__xludf.DUMMYFUNCTION("REGEXREPLACE(
D4951,
""([一-龯々]+)\[([^\]]+)\]"",
""&lt;ruby&gt;$1&lt;rt&gt;$2&lt;/rt&gt;&lt;/ruby&gt;""
)&amp;""&lt;br&gt;&lt;div class=""""audio""""&gt;[sound:""&amp;C4951&amp;"".mp3]&lt;/div&gt;"""),"&lt;ruby&gt;全力&lt;rt&gt;ぜんりょく&lt;/rt&gt;&lt;/ruby&gt;&lt;br&gt;&lt;div class=""audio""&gt;[sound:ぜんりょく.mp3]&lt;/div&gt;")</f>
        <v>&lt;ruby&gt;全力&lt;rt&gt;ぜんりょく&lt;/rt&gt;&lt;/ruby&gt;&lt;br&gt;&lt;div class="audio"&gt;[sound:ぜんりょく.mp3]&lt;/div&gt;</v>
      </c>
      <c r="H4951" s="3" t="str">
        <f t="shared" si="1"/>
        <v>(n): toàn lực</v>
      </c>
      <c r="I4951" s="6" t="s">
        <v>27000</v>
      </c>
      <c r="J4951" s="6" t="s">
        <v>27001</v>
      </c>
      <c r="K4951" s="7">
        <f t="shared" si="2"/>
        <v>0.5432113171</v>
      </c>
    </row>
    <row r="4952">
      <c r="A4952" s="4">
        <v>4952.0</v>
      </c>
      <c r="B4952" s="5" t="s">
        <v>27002</v>
      </c>
      <c r="C4952" s="5" t="s">
        <v>27003</v>
      </c>
      <c r="D4952" s="5" t="s">
        <v>27004</v>
      </c>
      <c r="E4952" s="6" t="s">
        <v>74</v>
      </c>
      <c r="F4952" s="6" t="s">
        <v>27005</v>
      </c>
      <c r="G4952" s="3" t="str">
        <f>IFERROR(__xludf.DUMMYFUNCTION("REGEXREPLACE(
D4952,
""([一-龯々]+)\[([^\]]+)\]"",
""&lt;ruby&gt;$1&lt;rt&gt;$2&lt;/rt&gt;&lt;/ruby&gt;""
)&amp;""&lt;br&gt;&lt;div class=""""audio""""&gt;[sound:""&amp;C4952&amp;"".mp3]&lt;/div&gt;"""),"&lt;ruby&gt;奨学金&lt;rt&gt;しょうがくきん&lt;/rt&gt;&lt;/ruby&gt;&lt;br&gt;&lt;div class=""audio""&gt;[sound:しょうがくきん.mp3]&lt;/div&gt;")</f>
        <v>&lt;ruby&gt;奨学金&lt;rt&gt;しょうがくきん&lt;/rt&gt;&lt;/ruby&gt;&lt;br&gt;&lt;div class="audio"&gt;[sound:しょうがくきん.mp3]&lt;/div&gt;</v>
      </c>
      <c r="H4952" s="3" t="str">
        <f t="shared" si="1"/>
        <v>(n): học bổng</v>
      </c>
      <c r="I4952" s="6" t="s">
        <v>27006</v>
      </c>
      <c r="J4952" s="6" t="s">
        <v>27007</v>
      </c>
      <c r="K4952" s="7">
        <f t="shared" si="2"/>
        <v>0.4231077433</v>
      </c>
    </row>
    <row r="4953">
      <c r="A4953" s="4">
        <v>4953.0</v>
      </c>
      <c r="B4953" s="5" t="s">
        <v>27008</v>
      </c>
      <c r="C4953" s="5" t="s">
        <v>27009</v>
      </c>
      <c r="D4953" s="5" t="s">
        <v>27010</v>
      </c>
      <c r="E4953" s="6" t="s">
        <v>24</v>
      </c>
      <c r="F4953" s="6" t="s">
        <v>27011</v>
      </c>
      <c r="G4953" s="3" t="str">
        <f>IFERROR(__xludf.DUMMYFUNCTION("REGEXREPLACE(
D4953,
""([一-龯々]+)\[([^\]]+)\]"",
""&lt;ruby&gt;$1&lt;rt&gt;$2&lt;/rt&gt;&lt;/ruby&gt;""
)&amp;""&lt;br&gt;&lt;div class=""""audio""""&gt;[sound:""&amp;C4953&amp;"".mp3]&lt;/div&gt;"""),"&lt;ruby&gt;省&lt;rt&gt;はぶ&lt;/rt&gt;&lt;/ruby&gt;く&lt;br&gt;&lt;div class=""audio""&gt;[sound:はぶく.mp3]&lt;/div&gt;")</f>
        <v>&lt;ruby&gt;省&lt;rt&gt;はぶ&lt;/rt&gt;&lt;/ruby&gt;く&lt;br&gt;&lt;div class="audio"&gt;[sound:はぶく.mp3]&lt;/div&gt;</v>
      </c>
      <c r="H4953" s="3" t="str">
        <f t="shared" si="1"/>
        <v>(v): lược bớt</v>
      </c>
      <c r="I4953" s="6" t="s">
        <v>27012</v>
      </c>
      <c r="J4953" s="6" t="s">
        <v>27013</v>
      </c>
      <c r="K4953" s="7">
        <f t="shared" si="2"/>
        <v>0.5122646454</v>
      </c>
    </row>
    <row r="4954">
      <c r="A4954" s="4">
        <v>4954.0</v>
      </c>
      <c r="B4954" s="5" t="s">
        <v>27014</v>
      </c>
      <c r="C4954" s="5" t="s">
        <v>27015</v>
      </c>
      <c r="D4954" s="5" t="s">
        <v>27016</v>
      </c>
      <c r="E4954" s="6" t="s">
        <v>74</v>
      </c>
      <c r="F4954" s="6" t="s">
        <v>27017</v>
      </c>
      <c r="G4954" s="3" t="str">
        <f>IFERROR(__xludf.DUMMYFUNCTION("REGEXREPLACE(
D4954,
""([一-龯々]+)\[([^\]]+)\]"",
""&lt;ruby&gt;$1&lt;rt&gt;$2&lt;/rt&gt;&lt;/ruby&gt;""
)&amp;""&lt;br&gt;&lt;div class=""""audio""""&gt;[sound:""&amp;C4954&amp;"".mp3]&lt;/div&gt;"""),"&lt;ruby&gt;石鹸&lt;rt&gt;せっけん&lt;/rt&gt;&lt;/ruby&gt;&lt;br&gt;&lt;div class=""audio""&gt;[sound:せっけん.mp3]&lt;/div&gt;")</f>
        <v>&lt;ruby&gt;石鹸&lt;rt&gt;せっけん&lt;/rt&gt;&lt;/ruby&gt;&lt;br&gt;&lt;div class="audio"&gt;[sound:せっけん.mp3]&lt;/div&gt;</v>
      </c>
      <c r="H4954" s="3" t="str">
        <f t="shared" si="1"/>
        <v>(n): xà phòng</v>
      </c>
      <c r="I4954" s="6" t="s">
        <v>27018</v>
      </c>
      <c r="J4954" s="6" t="s">
        <v>27019</v>
      </c>
      <c r="K4954" s="7">
        <f t="shared" si="2"/>
        <v>0.4387948246</v>
      </c>
    </row>
    <row r="4955">
      <c r="A4955" s="4">
        <v>4955.0</v>
      </c>
      <c r="B4955" s="5" t="s">
        <v>27020</v>
      </c>
      <c r="C4955" s="5" t="s">
        <v>27021</v>
      </c>
      <c r="D4955" s="5" t="s">
        <v>27022</v>
      </c>
      <c r="E4955" s="6" t="s">
        <v>74</v>
      </c>
      <c r="F4955" s="6" t="s">
        <v>27023</v>
      </c>
      <c r="G4955" s="3" t="str">
        <f>IFERROR(__xludf.DUMMYFUNCTION("REGEXREPLACE(
D4955,
""([一-龯々]+)\[([^\]]+)\]"",
""&lt;ruby&gt;$1&lt;rt&gt;$2&lt;/rt&gt;&lt;/ruby&gt;""
)&amp;""&lt;br&gt;&lt;div class=""""audio""""&gt;[sound:""&amp;C4955&amp;"".mp3]&lt;/div&gt;"""),"&lt;ruby&gt;容器&lt;rt&gt;ようき&lt;/rt&gt;&lt;/ruby&gt;&lt;br&gt;&lt;div class=""audio""&gt;[sound:ようき.mp3]&lt;/div&gt;")</f>
        <v>&lt;ruby&gt;容器&lt;rt&gt;ようき&lt;/rt&gt;&lt;/ruby&gt;&lt;br&gt;&lt;div class="audio"&gt;[sound:ようき.mp3]&lt;/div&gt;</v>
      </c>
      <c r="H4955" s="3" t="str">
        <f t="shared" si="1"/>
        <v>(n): đồ chứa</v>
      </c>
      <c r="I4955" s="6" t="s">
        <v>27024</v>
      </c>
      <c r="J4955" s="6" t="s">
        <v>27025</v>
      </c>
      <c r="K4955" s="7">
        <f t="shared" si="2"/>
        <v>0.6481705494</v>
      </c>
    </row>
    <row r="4956">
      <c r="A4956" s="4">
        <v>4956.0</v>
      </c>
      <c r="B4956" s="5" t="s">
        <v>27026</v>
      </c>
      <c r="C4956" s="5" t="s">
        <v>27027</v>
      </c>
      <c r="D4956" s="5" t="s">
        <v>27028</v>
      </c>
      <c r="E4956" s="6" t="s">
        <v>11</v>
      </c>
      <c r="F4956" s="6" t="s">
        <v>12820</v>
      </c>
      <c r="G4956" s="3" t="str">
        <f>IFERROR(__xludf.DUMMYFUNCTION("REGEXREPLACE(
D4956,
""([一-龯々]+)\[([^\]]+)\]"",
""&lt;ruby&gt;$1&lt;rt&gt;$2&lt;/rt&gt;&lt;/ruby&gt;""
)&amp;""&lt;br&gt;&lt;div class=""""audio""""&gt;[sound:""&amp;C4956&amp;"".mp3]&lt;/div&gt;"""),"&lt;ruby&gt;独特&lt;rt&gt;どくとく&lt;/rt&gt;&lt;/ruby&gt;&lt;br&gt;&lt;div class=""audio""&gt;[sound:どくとく.mp3]&lt;/div&gt;")</f>
        <v>&lt;ruby&gt;独特&lt;rt&gt;どくとく&lt;/rt&gt;&lt;/ruby&gt;&lt;br&gt;&lt;div class="audio"&gt;[sound:どくとく.mp3]&lt;/div&gt;</v>
      </c>
      <c r="H4956" s="3" t="str">
        <f t="shared" si="1"/>
        <v>(adj): độc đáo</v>
      </c>
      <c r="I4956" s="6" t="s">
        <v>27029</v>
      </c>
      <c r="J4956" s="6" t="s">
        <v>27030</v>
      </c>
      <c r="K4956" s="7">
        <f t="shared" si="2"/>
        <v>0.3590600184</v>
      </c>
    </row>
    <row r="4957">
      <c r="A4957" s="4">
        <v>4957.0</v>
      </c>
      <c r="B4957" s="5" t="s">
        <v>27031</v>
      </c>
      <c r="C4957" s="5" t="s">
        <v>27032</v>
      </c>
      <c r="D4957" s="5" t="s">
        <v>27033</v>
      </c>
      <c r="E4957" s="6" t="s">
        <v>74</v>
      </c>
      <c r="F4957" s="6" t="s">
        <v>27034</v>
      </c>
      <c r="G4957" s="3" t="str">
        <f>IFERROR(__xludf.DUMMYFUNCTION("REGEXREPLACE(
D4957,
""([一-龯々]+)\[([^\]]+)\]"",
""&lt;ruby&gt;$1&lt;rt&gt;$2&lt;/rt&gt;&lt;/ruby&gt;""
)&amp;""&lt;br&gt;&lt;div class=""""audio""""&gt;[sound:""&amp;C4957&amp;"".mp3]&lt;/div&gt;"""),"&lt;ruby&gt;鉛筆&lt;rt&gt;えんぴつ&lt;/rt&gt;&lt;/ruby&gt;&lt;br&gt;&lt;div class=""audio""&gt;[sound:えんぴつ.mp3]&lt;/div&gt;")</f>
        <v>&lt;ruby&gt;鉛筆&lt;rt&gt;えんぴつ&lt;/rt&gt;&lt;/ruby&gt;&lt;br&gt;&lt;div class="audio"&gt;[sound:えんぴつ.mp3]&lt;/div&gt;</v>
      </c>
      <c r="H4957" s="3" t="str">
        <f t="shared" si="1"/>
        <v>(n): bút chì</v>
      </c>
      <c r="I4957" s="6" t="s">
        <v>27035</v>
      </c>
      <c r="J4957" s="6" t="s">
        <v>27036</v>
      </c>
      <c r="K4957" s="7">
        <f t="shared" si="2"/>
        <v>0.6755640348</v>
      </c>
    </row>
    <row r="4958">
      <c r="A4958" s="4">
        <v>4958.0</v>
      </c>
      <c r="B4958" s="5" t="s">
        <v>27037</v>
      </c>
      <c r="C4958" s="5" t="s">
        <v>27038</v>
      </c>
      <c r="D4958" s="5" t="s">
        <v>27039</v>
      </c>
      <c r="E4958" s="6" t="s">
        <v>11</v>
      </c>
      <c r="F4958" s="6" t="s">
        <v>27040</v>
      </c>
      <c r="G4958" s="3" t="str">
        <f>IFERROR(__xludf.DUMMYFUNCTION("REGEXREPLACE(
D4958,
""([一-龯々]+)\[([^\]]+)\]"",
""&lt;ruby&gt;$1&lt;rt&gt;$2&lt;/rt&gt;&lt;/ruby&gt;""
)&amp;""&lt;br&gt;&lt;div class=""""audio""""&gt;[sound:""&amp;C4958&amp;"".mp3]&lt;/div&gt;"""),"&lt;ruby&gt;鋭&lt;rt&gt;するど&lt;/rt&gt;&lt;/ruby&gt;い&lt;br&gt;&lt;div class=""audio""&gt;[sound:するどい.mp3]&lt;/div&gt;")</f>
        <v>&lt;ruby&gt;鋭&lt;rt&gt;するど&lt;/rt&gt;&lt;/ruby&gt;い&lt;br&gt;&lt;div class="audio"&gt;[sound:するどい.mp3]&lt;/div&gt;</v>
      </c>
      <c r="H4958" s="3" t="str">
        <f t="shared" si="1"/>
        <v>(adj): sắc bén</v>
      </c>
      <c r="I4958" s="6" t="s">
        <v>27041</v>
      </c>
      <c r="J4958" s="6" t="s">
        <v>27042</v>
      </c>
      <c r="K4958" s="7">
        <f t="shared" si="2"/>
        <v>0.7871874543</v>
      </c>
    </row>
    <row r="4959">
      <c r="A4959" s="4">
        <v>4959.0</v>
      </c>
      <c r="B4959" s="5" t="s">
        <v>27043</v>
      </c>
      <c r="C4959" s="5" t="s">
        <v>27044</v>
      </c>
      <c r="D4959" s="5" t="s">
        <v>27045</v>
      </c>
      <c r="E4959" s="6" t="s">
        <v>24</v>
      </c>
      <c r="F4959" s="6" t="s">
        <v>27046</v>
      </c>
      <c r="G4959" s="3" t="str">
        <f>IFERROR(__xludf.DUMMYFUNCTION("REGEXREPLACE(
D4959,
""([一-龯々]+)\[([^\]]+)\]"",
""&lt;ruby&gt;$1&lt;rt&gt;$2&lt;/rt&gt;&lt;/ruby&gt;""
)&amp;""&lt;br&gt;&lt;div class=""""audio""""&gt;[sound:""&amp;C4959&amp;"".mp3]&lt;/div&gt;"""),"&lt;ruby&gt;縮&lt;rt&gt;ちぢ&lt;/rt&gt;&lt;/ruby&gt;む&lt;br&gt;&lt;div class=""audio""&gt;[sound:ちぢむ.mp3]&lt;/div&gt;")</f>
        <v>&lt;ruby&gt;縮&lt;rt&gt;ちぢ&lt;/rt&gt;&lt;/ruby&gt;む&lt;br&gt;&lt;div class="audio"&gt;[sound:ちぢむ.mp3]&lt;/div&gt;</v>
      </c>
      <c r="H4959" s="3" t="str">
        <f t="shared" si="1"/>
        <v>(v): co lại</v>
      </c>
      <c r="I4959" s="6" t="s">
        <v>27047</v>
      </c>
      <c r="J4959" s="6" t="s">
        <v>27048</v>
      </c>
      <c r="K4959" s="7">
        <f t="shared" si="2"/>
        <v>0.211484516</v>
      </c>
    </row>
    <row r="4960">
      <c r="A4960" s="4">
        <v>4960.0</v>
      </c>
      <c r="B4960" s="5" t="s">
        <v>27049</v>
      </c>
      <c r="C4960" s="5" t="s">
        <v>27050</v>
      </c>
      <c r="D4960" s="5" t="s">
        <v>27051</v>
      </c>
      <c r="E4960" s="6" t="s">
        <v>74</v>
      </c>
      <c r="F4960" s="6" t="s">
        <v>27052</v>
      </c>
      <c r="G4960" s="3" t="str">
        <f>IFERROR(__xludf.DUMMYFUNCTION("REGEXREPLACE(
D4960,
""([一-龯々]+)\[([^\]]+)\]"",
""&lt;ruby&gt;$1&lt;rt&gt;$2&lt;/rt&gt;&lt;/ruby&gt;""
)&amp;""&lt;br&gt;&lt;div class=""""audio""""&gt;[sound:""&amp;C4960&amp;"".mp3]&lt;/div&gt;"""),"&lt;ruby&gt;紅葉&lt;rt&gt;こうよう&lt;/rt&gt;&lt;/ruby&gt;&lt;br&gt;&lt;div class=""audio""&gt;[sound:こうよう.mp3]&lt;/div&gt;")</f>
        <v>&lt;ruby&gt;紅葉&lt;rt&gt;こうよう&lt;/rt&gt;&lt;/ruby&gt;&lt;br&gt;&lt;div class="audio"&gt;[sound:こうよう.mp3]&lt;/div&gt;</v>
      </c>
      <c r="H4960" s="3" t="str">
        <f t="shared" si="1"/>
        <v>(n): lá đỏ</v>
      </c>
      <c r="I4960" s="6" t="s">
        <v>27053</v>
      </c>
      <c r="J4960" s="6" t="s">
        <v>27054</v>
      </c>
      <c r="K4960" s="7">
        <f t="shared" si="2"/>
        <v>0.6611978262</v>
      </c>
    </row>
    <row r="4961">
      <c r="A4961" s="4">
        <v>4961.0</v>
      </c>
      <c r="B4961" s="5" t="s">
        <v>27055</v>
      </c>
      <c r="C4961" s="5" t="s">
        <v>27056</v>
      </c>
      <c r="D4961" s="5" t="s">
        <v>27057</v>
      </c>
      <c r="E4961" s="6" t="s">
        <v>58</v>
      </c>
      <c r="F4961" s="6" t="s">
        <v>27058</v>
      </c>
      <c r="G4961" s="3" t="str">
        <f>IFERROR(__xludf.DUMMYFUNCTION("REGEXREPLACE(
D4961,
""([一-龯々]+)\[([^\]]+)\]"",
""&lt;ruby&gt;$1&lt;rt&gt;$2&lt;/rt&gt;&lt;/ruby&gt;""
)&amp;""&lt;br&gt;&lt;div class=""""audio""""&gt;[sound:""&amp;C4961&amp;"".mp3]&lt;/div&gt;"""),"&lt;ruby&gt;八日&lt;rt&gt;ようか&lt;/rt&gt;&lt;/ruby&gt;&lt;br&gt;&lt;div class=""audio""&gt;[sound:ようか.mp3]&lt;/div&gt;")</f>
        <v>&lt;ruby&gt;八日&lt;rt&gt;ようか&lt;/rt&gt;&lt;/ruby&gt;&lt;br&gt;&lt;div class="audio"&gt;[sound:ようか.mp3]&lt;/div&gt;</v>
      </c>
      <c r="H4961" s="3" t="str">
        <f t="shared" si="1"/>
        <v>(num): ngày tám</v>
      </c>
      <c r="I4961" s="6" t="s">
        <v>27059</v>
      </c>
      <c r="J4961" s="6" t="s">
        <v>27060</v>
      </c>
      <c r="K4961" s="7">
        <f t="shared" si="2"/>
        <v>0.2210378564</v>
      </c>
    </row>
    <row r="4962">
      <c r="A4962" s="4">
        <v>4962.0</v>
      </c>
      <c r="B4962" s="5" t="s">
        <v>27061</v>
      </c>
      <c r="C4962" s="5" t="s">
        <v>20830</v>
      </c>
      <c r="D4962" s="5" t="s">
        <v>27062</v>
      </c>
      <c r="E4962" s="6" t="s">
        <v>74</v>
      </c>
      <c r="F4962" s="6" t="s">
        <v>27063</v>
      </c>
      <c r="G4962" s="3" t="str">
        <f>IFERROR(__xludf.DUMMYFUNCTION("REGEXREPLACE(
D4962,
""([一-龯々]+)\[([^\]]+)\]"",
""&lt;ruby&gt;$1&lt;rt&gt;$2&lt;/rt&gt;&lt;/ruby&gt;""
)&amp;""&lt;br&gt;&lt;div class=""""audio""""&gt;[sound:""&amp;C4962&amp;"".mp3]&lt;/div&gt;"""),"&lt;ruby&gt;出合&lt;rt&gt;であ&lt;/rt&gt;&lt;/ruby&gt;い&lt;br&gt;&lt;div class=""audio""&gt;[sound:であい.mp3]&lt;/div&gt;")</f>
        <v>&lt;ruby&gt;出合&lt;rt&gt;であ&lt;/rt&gt;&lt;/ruby&gt;い&lt;br&gt;&lt;div class="audio"&gt;[sound:であい.mp3]&lt;/div&gt;</v>
      </c>
      <c r="H4962" s="3" t="str">
        <f t="shared" si="1"/>
        <v>(n): cuộc gặp</v>
      </c>
      <c r="I4962" s="6" t="s">
        <v>27064</v>
      </c>
      <c r="J4962" s="6" t="s">
        <v>27065</v>
      </c>
      <c r="K4962" s="7">
        <f t="shared" si="2"/>
        <v>0.1069735303</v>
      </c>
    </row>
    <row r="4963">
      <c r="A4963" s="4">
        <v>4963.0</v>
      </c>
      <c r="B4963" s="5" t="s">
        <v>27066</v>
      </c>
      <c r="C4963" s="5" t="s">
        <v>27067</v>
      </c>
      <c r="D4963" s="5" t="s">
        <v>27068</v>
      </c>
      <c r="E4963" s="6" t="s">
        <v>74</v>
      </c>
      <c r="F4963" s="6" t="s">
        <v>27069</v>
      </c>
      <c r="G4963" s="3" t="str">
        <f>IFERROR(__xludf.DUMMYFUNCTION("REGEXREPLACE(
D4963,
""([一-龯々]+)\[([^\]]+)\]"",
""&lt;ruby&gt;$1&lt;rt&gt;$2&lt;/rt&gt;&lt;/ruby&gt;""
)&amp;""&lt;br&gt;&lt;div class=""""audio""""&gt;[sound:""&amp;C4963&amp;"".mp3]&lt;/div&gt;"""),"&lt;ruby&gt;炎&lt;rt&gt;ほのお&lt;/rt&gt;&lt;/ruby&gt;&lt;br&gt;&lt;div class=""audio""&gt;[sound:ほのお.mp3]&lt;/div&gt;")</f>
        <v>&lt;ruby&gt;炎&lt;rt&gt;ほのお&lt;/rt&gt;&lt;/ruby&gt;&lt;br&gt;&lt;div class="audio"&gt;[sound:ほのお.mp3]&lt;/div&gt;</v>
      </c>
      <c r="H4963" s="3" t="str">
        <f t="shared" si="1"/>
        <v>(n): ngọn lửa</v>
      </c>
      <c r="I4963" s="6" t="s">
        <v>27070</v>
      </c>
      <c r="J4963" s="6" t="s">
        <v>27071</v>
      </c>
      <c r="K4963" s="7">
        <f t="shared" si="2"/>
        <v>0.5316922596</v>
      </c>
    </row>
    <row r="4964">
      <c r="A4964" s="4">
        <v>4964.0</v>
      </c>
      <c r="B4964" s="5" t="s">
        <v>27072</v>
      </c>
      <c r="C4964" s="5" t="s">
        <v>27073</v>
      </c>
      <c r="D4964" s="5" t="s">
        <v>27074</v>
      </c>
      <c r="E4964" s="6" t="s">
        <v>11</v>
      </c>
      <c r="F4964" s="6" t="s">
        <v>8282</v>
      </c>
      <c r="G4964" s="3" t="str">
        <f>IFERROR(__xludf.DUMMYFUNCTION("REGEXREPLACE(
D4964,
""([一-龯々]+)\[([^\]]+)\]"",
""&lt;ruby&gt;$1&lt;rt&gt;$2&lt;/rt&gt;&lt;/ruby&gt;""
)&amp;""&lt;br&gt;&lt;div class=""""audio""""&gt;[sound:""&amp;C4964&amp;"".mp3]&lt;/div&gt;"""),"&lt;ruby&gt;膨大&lt;rt&gt;ぼうだい&lt;/rt&gt;&lt;/ruby&gt;&lt;br&gt;&lt;div class=""audio""&gt;[sound:ぼうだい.mp3]&lt;/div&gt;")</f>
        <v>&lt;ruby&gt;膨大&lt;rt&gt;ぼうだい&lt;/rt&gt;&lt;/ruby&gt;&lt;br&gt;&lt;div class="audio"&gt;[sound:ぼうだい.mp3]&lt;/div&gt;</v>
      </c>
      <c r="H4964" s="3" t="str">
        <f t="shared" si="1"/>
        <v>(adj): khổng lồ</v>
      </c>
      <c r="I4964" s="6" t="s">
        <v>27075</v>
      </c>
      <c r="J4964" s="6" t="s">
        <v>27076</v>
      </c>
      <c r="K4964" s="7">
        <f t="shared" si="2"/>
        <v>0.2691033645</v>
      </c>
    </row>
    <row r="4965">
      <c r="A4965" s="4">
        <v>4965.0</v>
      </c>
      <c r="B4965" s="5" t="s">
        <v>27077</v>
      </c>
      <c r="C4965" s="5" t="s">
        <v>27078</v>
      </c>
      <c r="D4965" s="5" t="s">
        <v>27079</v>
      </c>
      <c r="E4965" s="6" t="s">
        <v>24</v>
      </c>
      <c r="F4965" s="6" t="s">
        <v>15001</v>
      </c>
      <c r="G4965" s="3" t="str">
        <f>IFERROR(__xludf.DUMMYFUNCTION("REGEXREPLACE(
D4965,
""([一-龯々]+)\[([^\]]+)\]"",
""&lt;ruby&gt;$1&lt;rt&gt;$2&lt;/rt&gt;&lt;/ruby&gt;""
)&amp;""&lt;br&gt;&lt;div class=""""audio""""&gt;[sound:""&amp;C4965&amp;"".mp3]&lt;/div&gt;"""),"&lt;ruby&gt;余&lt;rt&gt;あま&lt;/rt&gt;&lt;/ruby&gt;る&lt;br&gt;&lt;div class=""audio""&gt;[sound:あまる.mp3]&lt;/div&gt;")</f>
        <v>&lt;ruby&gt;余&lt;rt&gt;あま&lt;/rt&gt;&lt;/ruby&gt;る&lt;br&gt;&lt;div class="audio"&gt;[sound:あまる.mp3]&lt;/div&gt;</v>
      </c>
      <c r="H4965" s="3" t="str">
        <f t="shared" si="1"/>
        <v>(v): dư thừa</v>
      </c>
      <c r="I4965" s="6" t="s">
        <v>27080</v>
      </c>
      <c r="J4965" s="6" t="s">
        <v>27081</v>
      </c>
      <c r="K4965" s="7">
        <f t="shared" si="2"/>
        <v>0.438475691</v>
      </c>
    </row>
    <row r="4966">
      <c r="A4966" s="4">
        <v>4966.0</v>
      </c>
      <c r="B4966" s="5" t="s">
        <v>27082</v>
      </c>
      <c r="C4966" s="5" t="s">
        <v>27083</v>
      </c>
      <c r="D4966" s="5" t="s">
        <v>27084</v>
      </c>
      <c r="E4966" s="6" t="s">
        <v>24</v>
      </c>
      <c r="F4966" s="6" t="s">
        <v>4134</v>
      </c>
      <c r="G4966" s="3" t="str">
        <f>IFERROR(__xludf.DUMMYFUNCTION("REGEXREPLACE(
D4966,
""([一-龯々]+)\[([^\]]+)\]"",
""&lt;ruby&gt;$1&lt;rt&gt;$2&lt;/rt&gt;&lt;/ruby&gt;""
)&amp;""&lt;br&gt;&lt;div class=""""audio""""&gt;[sound:""&amp;C4966&amp;"".mp3]&lt;/div&gt;"""),"&lt;ruby&gt;拡充&lt;rt&gt;かくじゅう&lt;/rt&gt;&lt;/ruby&gt;&lt;br&gt;&lt;div class=""audio""&gt;[sound:かくじゅう.mp3]&lt;/div&gt;")</f>
        <v>&lt;ruby&gt;拡充&lt;rt&gt;かくじゅう&lt;/rt&gt;&lt;/ruby&gt;&lt;br&gt;&lt;div class="audio"&gt;[sound:かくじゅう.mp3]&lt;/div&gt;</v>
      </c>
      <c r="H4966" s="3" t="str">
        <f t="shared" si="1"/>
        <v>(v): mở rộng</v>
      </c>
      <c r="I4966" s="6" t="s">
        <v>27085</v>
      </c>
      <c r="J4966" s="6" t="s">
        <v>27086</v>
      </c>
      <c r="K4966" s="7">
        <f t="shared" si="2"/>
        <v>0.6131572326</v>
      </c>
    </row>
    <row r="4967">
      <c r="A4967" s="4">
        <v>4967.0</v>
      </c>
      <c r="B4967" s="5" t="s">
        <v>27087</v>
      </c>
      <c r="C4967" s="5" t="s">
        <v>27088</v>
      </c>
      <c r="D4967" s="5" t="s">
        <v>27089</v>
      </c>
      <c r="E4967" s="6" t="s">
        <v>74</v>
      </c>
      <c r="F4967" s="6" t="s">
        <v>10214</v>
      </c>
      <c r="G4967" s="3" t="str">
        <f>IFERROR(__xludf.DUMMYFUNCTION("REGEXREPLACE(
D4967,
""([一-龯々]+)\[([^\]]+)\]"",
""&lt;ruby&gt;$1&lt;rt&gt;$2&lt;/rt&gt;&lt;/ruby&gt;""
)&amp;""&lt;br&gt;&lt;div class=""""audio""""&gt;[sound:""&amp;C4967&amp;"".mp3]&lt;/div&gt;"""),"&lt;ruby&gt;点数&lt;rt&gt;てんすう&lt;/rt&gt;&lt;/ruby&gt;&lt;br&gt;&lt;div class=""audio""&gt;[sound:てんすう.mp3]&lt;/div&gt;")</f>
        <v>&lt;ruby&gt;点数&lt;rt&gt;てんすう&lt;/rt&gt;&lt;/ruby&gt;&lt;br&gt;&lt;div class="audio"&gt;[sound:てんすう.mp3]&lt;/div&gt;</v>
      </c>
      <c r="H4967" s="3" t="str">
        <f t="shared" si="1"/>
        <v>(n): điểm số</v>
      </c>
      <c r="I4967" s="6" t="s">
        <v>27090</v>
      </c>
      <c r="J4967" s="6" t="s">
        <v>27091</v>
      </c>
      <c r="K4967" s="7">
        <f t="shared" si="2"/>
        <v>0.6392403148</v>
      </c>
    </row>
    <row r="4968">
      <c r="A4968" s="4">
        <v>4968.0</v>
      </c>
      <c r="B4968" s="5" t="s">
        <v>27092</v>
      </c>
      <c r="C4968" s="5" t="s">
        <v>27093</v>
      </c>
      <c r="D4968" s="5" t="s">
        <v>27094</v>
      </c>
      <c r="E4968" s="6" t="s">
        <v>11</v>
      </c>
      <c r="F4968" s="6" t="s">
        <v>852</v>
      </c>
      <c r="G4968" s="3" t="str">
        <f>IFERROR(__xludf.DUMMYFUNCTION("REGEXREPLACE(
D4968,
""([一-龯々]+)\[([^\]]+)\]"",
""&lt;ruby&gt;$1&lt;rt&gt;$2&lt;/rt&gt;&lt;/ruby&gt;""
)&amp;""&lt;br&gt;&lt;div class=""""audio""""&gt;[sound:""&amp;C4968&amp;"".mp3]&lt;/div&gt;"""),"&lt;ruby&gt;奇妙&lt;rt&gt;きみょう&lt;/rt&gt;&lt;/ruby&gt;&lt;br&gt;&lt;div class=""audio""&gt;[sound:きみょう.mp3]&lt;/div&gt;")</f>
        <v>&lt;ruby&gt;奇妙&lt;rt&gt;きみょう&lt;/rt&gt;&lt;/ruby&gt;&lt;br&gt;&lt;div class="audio"&gt;[sound:きみょう.mp3]&lt;/div&gt;</v>
      </c>
      <c r="H4968" s="3" t="str">
        <f t="shared" si="1"/>
        <v>(adj): kỳ lạ</v>
      </c>
      <c r="I4968" s="6" t="s">
        <v>27095</v>
      </c>
      <c r="J4968" s="6" t="s">
        <v>6089</v>
      </c>
      <c r="K4968" s="7">
        <f t="shared" si="2"/>
        <v>0.5755671231</v>
      </c>
    </row>
    <row r="4969">
      <c r="A4969" s="4">
        <v>4969.0</v>
      </c>
      <c r="B4969" s="5" t="s">
        <v>27096</v>
      </c>
      <c r="C4969" s="5" t="s">
        <v>27097</v>
      </c>
      <c r="D4969" s="5" t="s">
        <v>27098</v>
      </c>
      <c r="E4969" s="6" t="s">
        <v>74</v>
      </c>
      <c r="F4969" s="6" t="s">
        <v>2934</v>
      </c>
      <c r="G4969" s="3" t="str">
        <f>IFERROR(__xludf.DUMMYFUNCTION("REGEXREPLACE(
D4969,
""([一-龯々]+)\[([^\]]+)\]"",
""&lt;ruby&gt;$1&lt;rt&gt;$2&lt;/rt&gt;&lt;/ruby&gt;""
)&amp;""&lt;br&gt;&lt;div class=""""audio""""&gt;[sound:""&amp;C4969&amp;"".mp3]&lt;/div&gt;"""),"&lt;ruby&gt;宴会&lt;rt&gt;えんかい&lt;/rt&gt;&lt;/ruby&gt;&lt;br&gt;&lt;div class=""audio""&gt;[sound:えんかい.mp3]&lt;/div&gt;")</f>
        <v>&lt;ruby&gt;宴会&lt;rt&gt;えんかい&lt;/rt&gt;&lt;/ruby&gt;&lt;br&gt;&lt;div class="audio"&gt;[sound:えんかい.mp3]&lt;/div&gt;</v>
      </c>
      <c r="H4969" s="3" t="str">
        <f t="shared" si="1"/>
        <v>(n): tiệc</v>
      </c>
      <c r="I4969" s="6" t="s">
        <v>27099</v>
      </c>
      <c r="J4969" s="6" t="s">
        <v>27100</v>
      </c>
      <c r="K4969" s="7">
        <f t="shared" si="2"/>
        <v>0.009350989024</v>
      </c>
    </row>
    <row r="4970">
      <c r="A4970" s="4">
        <v>4970.0</v>
      </c>
      <c r="B4970" s="5" t="s">
        <v>27101</v>
      </c>
      <c r="C4970" s="5" t="s">
        <v>6543</v>
      </c>
      <c r="D4970" s="5" t="s">
        <v>27102</v>
      </c>
      <c r="E4970" s="6" t="s">
        <v>24</v>
      </c>
      <c r="F4970" s="6" t="s">
        <v>7984</v>
      </c>
      <c r="G4970" s="3" t="str">
        <f>IFERROR(__xludf.DUMMYFUNCTION("REGEXREPLACE(
D4970,
""([一-龯々]+)\[([^\]]+)\]"",
""&lt;ruby&gt;$1&lt;rt&gt;$2&lt;/rt&gt;&lt;/ruby&gt;""
)&amp;""&lt;br&gt;&lt;div class=""""audio""""&gt;[sound:""&amp;C4970&amp;"".mp3]&lt;/div&gt;"""),"&lt;ruby&gt;刺&lt;rt&gt;さ&lt;/rt&gt;&lt;/ruby&gt;す&lt;br&gt;&lt;div class=""audio""&gt;[sound:さす.mp3]&lt;/div&gt;")</f>
        <v>&lt;ruby&gt;刺&lt;rt&gt;さ&lt;/rt&gt;&lt;/ruby&gt;す&lt;br&gt;&lt;div class="audio"&gt;[sound:さす.mp3]&lt;/div&gt;</v>
      </c>
      <c r="H4970" s="3" t="str">
        <f t="shared" si="1"/>
        <v>(v): đâm</v>
      </c>
      <c r="I4970" s="6" t="s">
        <v>27103</v>
      </c>
      <c r="J4970" s="6" t="s">
        <v>27104</v>
      </c>
      <c r="K4970" s="7">
        <f t="shared" si="2"/>
        <v>0.496818917</v>
      </c>
    </row>
    <row r="4971">
      <c r="A4971" s="4">
        <v>4971.0</v>
      </c>
      <c r="B4971" s="5" t="s">
        <v>27105</v>
      </c>
      <c r="C4971" s="5" t="s">
        <v>11580</v>
      </c>
      <c r="D4971" s="5" t="s">
        <v>27106</v>
      </c>
      <c r="E4971" s="6" t="s">
        <v>74</v>
      </c>
      <c r="F4971" s="6" t="s">
        <v>27107</v>
      </c>
      <c r="G4971" s="3" t="str">
        <f>IFERROR(__xludf.DUMMYFUNCTION("REGEXREPLACE(
D4971,
""([一-龯々]+)\[([^\]]+)\]"",
""&lt;ruby&gt;$1&lt;rt&gt;$2&lt;/rt&gt;&lt;/ruby&gt;""
)&amp;""&lt;br&gt;&lt;div class=""""audio""""&gt;[sound:""&amp;C4971&amp;"".mp3]&lt;/div&gt;"""),"&lt;ruby&gt;王&lt;rt&gt;おう&lt;/rt&gt;&lt;/ruby&gt;&lt;br&gt;&lt;div class=""audio""&gt;[sound:おう.mp3]&lt;/div&gt;")</f>
        <v>&lt;ruby&gt;王&lt;rt&gt;おう&lt;/rt&gt;&lt;/ruby&gt;&lt;br&gt;&lt;div class="audio"&gt;[sound:おう.mp3]&lt;/div&gt;</v>
      </c>
      <c r="H4971" s="3" t="str">
        <f t="shared" si="1"/>
        <v>(n): vua</v>
      </c>
      <c r="I4971" s="6" t="s">
        <v>27108</v>
      </c>
      <c r="J4971" s="6" t="s">
        <v>27109</v>
      </c>
      <c r="K4971" s="7">
        <f t="shared" si="2"/>
        <v>0.3682090784</v>
      </c>
    </row>
    <row r="4972">
      <c r="A4972" s="4">
        <v>4972.0</v>
      </c>
      <c r="B4972" s="5" t="s">
        <v>27110</v>
      </c>
      <c r="C4972" s="5" t="s">
        <v>4073</v>
      </c>
      <c r="D4972" s="5" t="s">
        <v>27111</v>
      </c>
      <c r="E4972" s="6" t="s">
        <v>11</v>
      </c>
      <c r="F4972" s="6" t="s">
        <v>472</v>
      </c>
      <c r="G4972" s="3" t="str">
        <f>IFERROR(__xludf.DUMMYFUNCTION("REGEXREPLACE(
D4972,
""([一-龯々]+)\[([^\]]+)\]"",
""&lt;ruby&gt;$1&lt;rt&gt;$2&lt;/rt&gt;&lt;/ruby&gt;""
)&amp;""&lt;br&gt;&lt;div class=""""audio""""&gt;[sound:""&amp;C4972&amp;"".mp3]&lt;/div&gt;"""),"&lt;ruby&gt;旧&lt;rt&gt;きゅう&lt;/rt&gt;&lt;/ruby&gt;&lt;br&gt;&lt;div class=""audio""&gt;[sound:きゅう.mp3]&lt;/div&gt;")</f>
        <v>&lt;ruby&gt;旧&lt;rt&gt;きゅう&lt;/rt&gt;&lt;/ruby&gt;&lt;br&gt;&lt;div class="audio"&gt;[sound:きゅう.mp3]&lt;/div&gt;</v>
      </c>
      <c r="H4972" s="3" t="str">
        <f t="shared" si="1"/>
        <v>(adj): cũ</v>
      </c>
      <c r="I4972" s="6" t="s">
        <v>27112</v>
      </c>
      <c r="J4972" s="6" t="s">
        <v>27113</v>
      </c>
      <c r="K4972" s="7">
        <f t="shared" si="2"/>
        <v>0.5151334168</v>
      </c>
    </row>
    <row r="4973">
      <c r="A4973" s="4">
        <v>4973.0</v>
      </c>
      <c r="B4973" s="5" t="s">
        <v>27114</v>
      </c>
      <c r="C4973" s="5" t="s">
        <v>27115</v>
      </c>
      <c r="D4973" s="5" t="s">
        <v>27116</v>
      </c>
      <c r="E4973" s="6" t="s">
        <v>74</v>
      </c>
      <c r="F4973" s="6" t="s">
        <v>27117</v>
      </c>
      <c r="G4973" s="3" t="str">
        <f>IFERROR(__xludf.DUMMYFUNCTION("REGEXREPLACE(
D4973,
""([一-龯々]+)\[([^\]]+)\]"",
""&lt;ruby&gt;$1&lt;rt&gt;$2&lt;/rt&gt;&lt;/ruby&gt;""
)&amp;""&lt;br&gt;&lt;div class=""""audio""""&gt;[sound:""&amp;C4973&amp;"".mp3]&lt;/div&gt;"""),"&lt;ruby&gt;虎&lt;rt&gt;とら&lt;/rt&gt;&lt;/ruby&gt;&lt;br&gt;&lt;div class=""audio""&gt;[sound:とら.mp3]&lt;/div&gt;")</f>
        <v>&lt;ruby&gt;虎&lt;rt&gt;とら&lt;/rt&gt;&lt;/ruby&gt;&lt;br&gt;&lt;div class="audio"&gt;[sound:とら.mp3]&lt;/div&gt;</v>
      </c>
      <c r="H4973" s="3" t="str">
        <f t="shared" si="1"/>
        <v>(n): hổ</v>
      </c>
      <c r="I4973" s="6" t="s">
        <v>27118</v>
      </c>
      <c r="J4973" s="6" t="s">
        <v>27119</v>
      </c>
      <c r="K4973" s="7">
        <f t="shared" si="2"/>
        <v>0.4186377518</v>
      </c>
    </row>
    <row r="4974">
      <c r="A4974" s="4">
        <v>4974.0</v>
      </c>
      <c r="B4974" s="5" t="s">
        <v>27120</v>
      </c>
      <c r="C4974" s="5" t="s">
        <v>27121</v>
      </c>
      <c r="D4974" s="5" t="s">
        <v>27122</v>
      </c>
      <c r="E4974" s="6" t="s">
        <v>24</v>
      </c>
      <c r="F4974" s="6" t="s">
        <v>27123</v>
      </c>
      <c r="G4974" s="3" t="str">
        <f>IFERROR(__xludf.DUMMYFUNCTION("REGEXREPLACE(
D4974,
""([一-龯々]+)\[([^\]]+)\]"",
""&lt;ruby&gt;$1&lt;rt&gt;$2&lt;/rt&gt;&lt;/ruby&gt;""
)&amp;""&lt;br&gt;&lt;div class=""""audio""""&gt;[sound:""&amp;C4974&amp;"".mp3]&lt;/div&gt;"""),"&lt;ruby&gt;演奏&lt;rt&gt;えんそう&lt;/rt&gt;&lt;/ruby&gt;&lt;br&gt;&lt;div class=""audio""&gt;[sound:えんそう.mp3]&lt;/div&gt;")</f>
        <v>&lt;ruby&gt;演奏&lt;rt&gt;えんそう&lt;/rt&gt;&lt;/ruby&gt;&lt;br&gt;&lt;div class="audio"&gt;[sound:えんそう.mp3]&lt;/div&gt;</v>
      </c>
      <c r="H4974" s="3" t="str">
        <f t="shared" si="1"/>
        <v>(v): biểu diễn</v>
      </c>
      <c r="I4974" s="6" t="s">
        <v>27124</v>
      </c>
      <c r="J4974" s="6" t="s">
        <v>27125</v>
      </c>
      <c r="K4974" s="7">
        <f t="shared" si="2"/>
        <v>0.3542432189</v>
      </c>
    </row>
    <row r="4975">
      <c r="A4975" s="4">
        <v>4975.0</v>
      </c>
      <c r="B4975" s="5" t="s">
        <v>27126</v>
      </c>
      <c r="C4975" s="5" t="s">
        <v>27127</v>
      </c>
      <c r="D4975" s="5" t="s">
        <v>27128</v>
      </c>
      <c r="E4975" s="6" t="s">
        <v>74</v>
      </c>
      <c r="F4975" s="6" t="s">
        <v>27129</v>
      </c>
      <c r="G4975" s="3" t="str">
        <f>IFERROR(__xludf.DUMMYFUNCTION("REGEXREPLACE(
D4975,
""([一-龯々]+)\[([^\]]+)\]"",
""&lt;ruby&gt;$1&lt;rt&gt;$2&lt;/rt&gt;&lt;/ruby&gt;""
)&amp;""&lt;br&gt;&lt;div class=""""audio""""&gt;[sound:""&amp;C4975&amp;"".mp3]&lt;/div&gt;"""),"&lt;ruby&gt;勇気&lt;rt&gt;ゆうき&lt;/rt&gt;&lt;/ruby&gt;&lt;br&gt;&lt;div class=""audio""&gt;[sound:ゆうき.mp3]&lt;/div&gt;")</f>
        <v>&lt;ruby&gt;勇気&lt;rt&gt;ゆうき&lt;/rt&gt;&lt;/ruby&gt;&lt;br&gt;&lt;div class="audio"&gt;[sound:ゆうき.mp3]&lt;/div&gt;</v>
      </c>
      <c r="H4975" s="3" t="str">
        <f t="shared" si="1"/>
        <v>(n): dũng khí</v>
      </c>
      <c r="I4975" s="6" t="s">
        <v>27130</v>
      </c>
      <c r="J4975" s="6" t="s">
        <v>27131</v>
      </c>
      <c r="K4975" s="7">
        <f t="shared" si="2"/>
        <v>0.4201476335</v>
      </c>
    </row>
    <row r="4976">
      <c r="A4976" s="4">
        <v>4976.0</v>
      </c>
      <c r="B4976" s="5" t="s">
        <v>27132</v>
      </c>
      <c r="C4976" s="5" t="s">
        <v>27133</v>
      </c>
      <c r="D4976" s="5" t="s">
        <v>27134</v>
      </c>
      <c r="E4976" s="6" t="s">
        <v>74</v>
      </c>
      <c r="F4976" s="6" t="s">
        <v>27135</v>
      </c>
      <c r="G4976" s="3" t="str">
        <f>IFERROR(__xludf.DUMMYFUNCTION("REGEXREPLACE(
D4976,
""([一-龯々]+)\[([^\]]+)\]"",
""&lt;ruby&gt;$1&lt;rt&gt;$2&lt;/rt&gt;&lt;/ruby&gt;""
)&amp;""&lt;br&gt;&lt;div class=""""audio""""&gt;[sound:""&amp;C4976&amp;"".mp3]&lt;/div&gt;"""),"&lt;ruby&gt;葬式&lt;rt&gt;そうしき&lt;/rt&gt;&lt;/ruby&gt;&lt;br&gt;&lt;div class=""audio""&gt;[sound:そうしき.mp3]&lt;/div&gt;")</f>
        <v>&lt;ruby&gt;葬式&lt;rt&gt;そうしき&lt;/rt&gt;&lt;/ruby&gt;&lt;br&gt;&lt;div class="audio"&gt;[sound:そうしき.mp3]&lt;/div&gt;</v>
      </c>
      <c r="H4976" s="3" t="str">
        <f t="shared" si="1"/>
        <v>(n): đám tang</v>
      </c>
      <c r="I4976" s="6" t="s">
        <v>27136</v>
      </c>
      <c r="J4976" s="6" t="s">
        <v>27137</v>
      </c>
      <c r="K4976" s="7">
        <f t="shared" si="2"/>
        <v>0.6213857805</v>
      </c>
    </row>
    <row r="4977">
      <c r="A4977" s="4">
        <v>4977.0</v>
      </c>
      <c r="B4977" s="5" t="s">
        <v>27138</v>
      </c>
      <c r="C4977" s="5" t="s">
        <v>27139</v>
      </c>
      <c r="D4977" s="5" t="s">
        <v>27140</v>
      </c>
      <c r="E4977" s="6" t="s">
        <v>74</v>
      </c>
      <c r="F4977" s="6" t="s">
        <v>27141</v>
      </c>
      <c r="G4977" s="3" t="str">
        <f>IFERROR(__xludf.DUMMYFUNCTION("REGEXREPLACE(
D4977,
""([一-龯々]+)\[([^\]]+)\]"",
""&lt;ruby&gt;$1&lt;rt&gt;$2&lt;/rt&gt;&lt;/ruby&gt;""
)&amp;""&lt;br&gt;&lt;div class=""""audio""""&gt;[sound:""&amp;C4977&amp;"".mp3]&lt;/div&gt;"""),"&lt;ruby&gt;列車&lt;rt&gt;れっしゃ&lt;/rt&gt;&lt;/ruby&gt;&lt;br&gt;&lt;div class=""audio""&gt;[sound:れっしゃ.mp3]&lt;/div&gt;")</f>
        <v>&lt;ruby&gt;列車&lt;rt&gt;れっしゃ&lt;/rt&gt;&lt;/ruby&gt;&lt;br&gt;&lt;div class="audio"&gt;[sound:れっしゃ.mp3]&lt;/div&gt;</v>
      </c>
      <c r="H4977" s="3" t="str">
        <f t="shared" si="1"/>
        <v>(n): tàu hỏa</v>
      </c>
      <c r="I4977" s="6" t="s">
        <v>27142</v>
      </c>
      <c r="J4977" s="6" t="s">
        <v>27143</v>
      </c>
      <c r="K4977" s="7">
        <f t="shared" si="2"/>
        <v>0.05742034013</v>
      </c>
    </row>
    <row r="4978">
      <c r="A4978" s="4">
        <v>4978.0</v>
      </c>
      <c r="B4978" s="5" t="s">
        <v>27144</v>
      </c>
      <c r="C4978" s="5" t="s">
        <v>27145</v>
      </c>
      <c r="D4978" s="5" t="s">
        <v>27146</v>
      </c>
      <c r="E4978" s="6" t="s">
        <v>74</v>
      </c>
      <c r="F4978" s="6" t="s">
        <v>19919</v>
      </c>
      <c r="G4978" s="3" t="str">
        <f>IFERROR(__xludf.DUMMYFUNCTION("REGEXREPLACE(
D4978,
""([一-龯々]+)\[([^\]]+)\]"",
""&lt;ruby&gt;$1&lt;rt&gt;$2&lt;/rt&gt;&lt;/ruby&gt;""
)&amp;""&lt;br&gt;&lt;div class=""""audio""""&gt;[sound:""&amp;C4978&amp;"".mp3]&lt;/div&gt;"""),"&lt;ruby&gt;単語&lt;rt&gt;たんご&lt;/rt&gt;&lt;/ruby&gt;&lt;br&gt;&lt;div class=""audio""&gt;[sound:たんご.mp3]&lt;/div&gt;")</f>
        <v>&lt;ruby&gt;単語&lt;rt&gt;たんご&lt;/rt&gt;&lt;/ruby&gt;&lt;br&gt;&lt;div class="audio"&gt;[sound:たんご.mp3]&lt;/div&gt;</v>
      </c>
      <c r="H4978" s="3" t="str">
        <f t="shared" si="1"/>
        <v>(n): từ vựng</v>
      </c>
      <c r="I4978" s="6" t="s">
        <v>27147</v>
      </c>
      <c r="J4978" s="6" t="s">
        <v>27148</v>
      </c>
      <c r="K4978" s="7">
        <f t="shared" si="2"/>
        <v>0.5794918734</v>
      </c>
    </row>
    <row r="4979">
      <c r="A4979" s="4">
        <v>4979.0</v>
      </c>
      <c r="B4979" s="5" t="s">
        <v>27149</v>
      </c>
      <c r="C4979" s="5" t="s">
        <v>27150</v>
      </c>
      <c r="D4979" s="5" t="s">
        <v>27151</v>
      </c>
      <c r="E4979" s="6" t="s">
        <v>24</v>
      </c>
      <c r="F4979" s="6" t="s">
        <v>27152</v>
      </c>
      <c r="G4979" s="3" t="str">
        <f>IFERROR(__xludf.DUMMYFUNCTION("REGEXREPLACE(
D4979,
""([一-龯々]+)\[([^\]]+)\]"",
""&lt;ruby&gt;$1&lt;rt&gt;$2&lt;/rt&gt;&lt;/ruby&gt;""
)&amp;""&lt;br&gt;&lt;div class=""""audio""""&gt;[sound:""&amp;C4979&amp;"".mp3]&lt;/div&gt;"""),"&lt;ruby&gt;太&lt;rt&gt;ふと&lt;/rt&gt;&lt;/ruby&gt;る&lt;br&gt;&lt;div class=""audio""&gt;[sound:ふとる.mp3]&lt;/div&gt;")</f>
        <v>&lt;ruby&gt;太&lt;rt&gt;ふと&lt;/rt&gt;&lt;/ruby&gt;る&lt;br&gt;&lt;div class="audio"&gt;[sound:ふとる.mp3]&lt;/div&gt;</v>
      </c>
      <c r="H4979" s="3" t="str">
        <f t="shared" si="1"/>
        <v>(v): béo lên</v>
      </c>
      <c r="I4979" s="6" t="s">
        <v>27153</v>
      </c>
      <c r="J4979" s="6" t="s">
        <v>27154</v>
      </c>
      <c r="K4979" s="7">
        <f t="shared" si="2"/>
        <v>0.008060179554</v>
      </c>
    </row>
    <row r="4980">
      <c r="A4980" s="4">
        <v>4980.0</v>
      </c>
      <c r="B4980" s="5" t="s">
        <v>27155</v>
      </c>
      <c r="C4980" s="5" t="s">
        <v>27156</v>
      </c>
      <c r="D4980" s="5" t="s">
        <v>27157</v>
      </c>
      <c r="E4980" s="6" t="s">
        <v>74</v>
      </c>
      <c r="F4980" s="6" t="s">
        <v>27158</v>
      </c>
      <c r="G4980" s="3" t="str">
        <f>IFERROR(__xludf.DUMMYFUNCTION("REGEXREPLACE(
D4980,
""([一-龯々]+)\[([^\]]+)\]"",
""&lt;ruby&gt;$1&lt;rt&gt;$2&lt;/rt&gt;&lt;/ruby&gt;""
)&amp;""&lt;br&gt;&lt;div class=""""audio""""&gt;[sound:""&amp;C4980&amp;"".mp3]&lt;/div&gt;"""),"&lt;ruby&gt;嫁&lt;rt&gt;よめ&lt;/rt&gt;&lt;/ruby&gt;&lt;br&gt;&lt;div class=""audio""&gt;[sound:よめ.mp3]&lt;/div&gt;")</f>
        <v>&lt;ruby&gt;嫁&lt;rt&gt;よめ&lt;/rt&gt;&lt;/ruby&gt;&lt;br&gt;&lt;div class="audio"&gt;[sound:よめ.mp3]&lt;/div&gt;</v>
      </c>
      <c r="H4980" s="3" t="str">
        <f t="shared" si="1"/>
        <v>(n): con dâu</v>
      </c>
      <c r="I4980" s="6" t="s">
        <v>27159</v>
      </c>
      <c r="J4980" s="6" t="s">
        <v>27160</v>
      </c>
      <c r="K4980" s="7">
        <f t="shared" si="2"/>
        <v>0.1881338972</v>
      </c>
    </row>
    <row r="4981">
      <c r="A4981" s="4">
        <v>4981.0</v>
      </c>
      <c r="B4981" s="5" t="s">
        <v>27161</v>
      </c>
      <c r="C4981" s="5" t="s">
        <v>27162</v>
      </c>
      <c r="D4981" s="5" t="s">
        <v>27163</v>
      </c>
      <c r="E4981" s="6" t="s">
        <v>74</v>
      </c>
      <c r="F4981" s="6" t="s">
        <v>27164</v>
      </c>
      <c r="G4981" s="3" t="str">
        <f>IFERROR(__xludf.DUMMYFUNCTION("REGEXREPLACE(
D4981,
""([一-龯々]+)\[([^\]]+)\]"",
""&lt;ruby&gt;$1&lt;rt&gt;$2&lt;/rt&gt;&lt;/ruby&gt;""
)&amp;""&lt;br&gt;&lt;div class=""""audio""""&gt;[sound:""&amp;C4981&amp;"".mp3]&lt;/div&gt;"""),"&lt;ruby&gt;本物&lt;rt&gt;ほんもの&lt;/rt&gt;&lt;/ruby&gt;&lt;br&gt;&lt;div class=""audio""&gt;[sound:ほんもの.mp3]&lt;/div&gt;")</f>
        <v>&lt;ruby&gt;本物&lt;rt&gt;ほんもの&lt;/rt&gt;&lt;/ruby&gt;&lt;br&gt;&lt;div class="audio"&gt;[sound:ほんもの.mp3]&lt;/div&gt;</v>
      </c>
      <c r="H4981" s="3" t="str">
        <f t="shared" si="1"/>
        <v>(n): đồ thật</v>
      </c>
      <c r="I4981" s="6" t="s">
        <v>27165</v>
      </c>
      <c r="J4981" s="6" t="s">
        <v>27166</v>
      </c>
      <c r="K4981" s="7">
        <f t="shared" si="2"/>
        <v>0.2239683986</v>
      </c>
    </row>
    <row r="4982">
      <c r="A4982" s="4">
        <v>4982.0</v>
      </c>
      <c r="B4982" s="5" t="s">
        <v>27167</v>
      </c>
      <c r="C4982" s="5" t="s">
        <v>27168</v>
      </c>
      <c r="D4982" s="5" t="s">
        <v>27169</v>
      </c>
      <c r="E4982" s="6" t="s">
        <v>74</v>
      </c>
      <c r="F4982" s="6" t="s">
        <v>27170</v>
      </c>
      <c r="G4982" s="3" t="str">
        <f>IFERROR(__xludf.DUMMYFUNCTION("REGEXREPLACE(
D4982,
""([一-龯々]+)\[([^\]]+)\]"",
""&lt;ruby&gt;$1&lt;rt&gt;$2&lt;/rt&gt;&lt;/ruby&gt;""
)&amp;""&lt;br&gt;&lt;div class=""""audio""""&gt;[sound:""&amp;C4982&amp;"".mp3]&lt;/div&gt;"""),"&lt;ruby&gt;膝&lt;rt&gt;ひざ&lt;/rt&gt;&lt;/ruby&gt;&lt;br&gt;&lt;div class=""audio""&gt;[sound:ひざ.mp3]&lt;/div&gt;")</f>
        <v>&lt;ruby&gt;膝&lt;rt&gt;ひざ&lt;/rt&gt;&lt;/ruby&gt;&lt;br&gt;&lt;div class="audio"&gt;[sound:ひざ.mp3]&lt;/div&gt;</v>
      </c>
      <c r="H4982" s="3" t="str">
        <f t="shared" si="1"/>
        <v>(n): đầu gối</v>
      </c>
      <c r="I4982" s="6" t="s">
        <v>27171</v>
      </c>
      <c r="J4982" s="6" t="s">
        <v>27172</v>
      </c>
      <c r="K4982" s="7">
        <f t="shared" si="2"/>
        <v>0.1666186967</v>
      </c>
    </row>
    <row r="4983">
      <c r="A4983" s="4">
        <v>4983.0</v>
      </c>
      <c r="B4983" s="5" t="s">
        <v>27173</v>
      </c>
      <c r="C4983" s="5" t="s">
        <v>27174</v>
      </c>
      <c r="D4983" s="5" t="s">
        <v>27175</v>
      </c>
      <c r="E4983" s="6" t="s">
        <v>74</v>
      </c>
      <c r="F4983" s="6" t="s">
        <v>16207</v>
      </c>
      <c r="G4983" s="3" t="str">
        <f>IFERROR(__xludf.DUMMYFUNCTION("REGEXREPLACE(
D4983,
""([一-龯々]+)\[([^\]]+)\]"",
""&lt;ruby&gt;$1&lt;rt&gt;$2&lt;/rt&gt;&lt;/ruby&gt;""
)&amp;""&lt;br&gt;&lt;div class=""""audio""""&gt;[sound:""&amp;C4983&amp;"".mp3]&lt;/div&gt;"""),"&lt;ruby&gt;武器&lt;rt&gt;ぶき&lt;/rt&gt;&lt;/ruby&gt;&lt;br&gt;&lt;div class=""audio""&gt;[sound:ぶき.mp3]&lt;/div&gt;")</f>
        <v>&lt;ruby&gt;武器&lt;rt&gt;ぶき&lt;/rt&gt;&lt;/ruby&gt;&lt;br&gt;&lt;div class="audio"&gt;[sound:ぶき.mp3]&lt;/div&gt;</v>
      </c>
      <c r="H4983" s="3" t="str">
        <f t="shared" si="1"/>
        <v>(n): vũ khí</v>
      </c>
      <c r="I4983" s="6" t="s">
        <v>27176</v>
      </c>
      <c r="J4983" s="6" t="s">
        <v>27177</v>
      </c>
      <c r="K4983" s="7">
        <f t="shared" si="2"/>
        <v>0.1969074644</v>
      </c>
    </row>
    <row r="4984">
      <c r="A4984" s="4">
        <v>4984.0</v>
      </c>
      <c r="B4984" s="5" t="s">
        <v>27178</v>
      </c>
      <c r="C4984" s="5" t="s">
        <v>27179</v>
      </c>
      <c r="D4984" s="5" t="s">
        <v>27180</v>
      </c>
      <c r="E4984" s="6" t="s">
        <v>74</v>
      </c>
      <c r="F4984" s="6" t="s">
        <v>27181</v>
      </c>
      <c r="G4984" s="3" t="str">
        <f>IFERROR(__xludf.DUMMYFUNCTION("REGEXREPLACE(
D4984,
""([一-龯々]+)\[([^\]]+)\]"",
""&lt;ruby&gt;$1&lt;rt&gt;$2&lt;/rt&gt;&lt;/ruby&gt;""
)&amp;""&lt;br&gt;&lt;div class=""""audio""""&gt;[sound:""&amp;C4984&amp;"".mp3]&lt;/div&gt;"""),"&lt;ruby&gt;重量&lt;rt&gt;じゅうりょう&lt;/rt&gt;&lt;/ruby&gt;&lt;br&gt;&lt;div class=""audio""&gt;[sound:じゅうりょう.mp3]&lt;/div&gt;")</f>
        <v>&lt;ruby&gt;重量&lt;rt&gt;じゅうりょう&lt;/rt&gt;&lt;/ruby&gt;&lt;br&gt;&lt;div class="audio"&gt;[sound:じゅうりょう.mp3]&lt;/div&gt;</v>
      </c>
      <c r="H4984" s="3" t="str">
        <f t="shared" si="1"/>
        <v>(n): trọng lượng</v>
      </c>
      <c r="I4984" s="6" t="s">
        <v>27182</v>
      </c>
      <c r="J4984" s="6" t="s">
        <v>27183</v>
      </c>
      <c r="K4984" s="7">
        <f t="shared" si="2"/>
        <v>0.6432978762</v>
      </c>
    </row>
    <row r="4985">
      <c r="A4985" s="4">
        <v>4985.0</v>
      </c>
      <c r="B4985" s="5" t="s">
        <v>27184</v>
      </c>
      <c r="C4985" s="5" t="s">
        <v>27185</v>
      </c>
      <c r="D4985" s="5" t="s">
        <v>27186</v>
      </c>
      <c r="E4985" s="6" t="s">
        <v>74</v>
      </c>
      <c r="F4985" s="6" t="s">
        <v>27187</v>
      </c>
      <c r="G4985" s="3" t="str">
        <f>IFERROR(__xludf.DUMMYFUNCTION("REGEXREPLACE(
D4985,
""([一-龯々]+)\[([^\]]+)\]"",
""&lt;ruby&gt;$1&lt;rt&gt;$2&lt;/rt&gt;&lt;/ruby&gt;""
)&amp;""&lt;br&gt;&lt;div class=""""audio""""&gt;[sound:""&amp;C4985&amp;"".mp3]&lt;/div&gt;"""),"&lt;ruby&gt;劇場&lt;rt&gt;げきじょう&lt;/rt&gt;&lt;/ruby&gt;&lt;br&gt;&lt;div class=""audio""&gt;[sound:げきじょう.mp3]&lt;/div&gt;")</f>
        <v>&lt;ruby&gt;劇場&lt;rt&gt;げきじょう&lt;/rt&gt;&lt;/ruby&gt;&lt;br&gt;&lt;div class="audio"&gt;[sound:げきじょう.mp3]&lt;/div&gt;</v>
      </c>
      <c r="H4985" s="3" t="str">
        <f t="shared" si="1"/>
        <v>(n): nhà hát</v>
      </c>
      <c r="I4985" s="6" t="s">
        <v>27188</v>
      </c>
      <c r="J4985" s="6" t="s">
        <v>27189</v>
      </c>
      <c r="K4985" s="7">
        <f t="shared" si="2"/>
        <v>0.9623944267</v>
      </c>
    </row>
    <row r="4986">
      <c r="A4986" s="4">
        <v>4986.0</v>
      </c>
      <c r="B4986" s="5" t="s">
        <v>27190</v>
      </c>
      <c r="C4986" s="5" t="s">
        <v>27191</v>
      </c>
      <c r="D4986" s="5" t="s">
        <v>27192</v>
      </c>
      <c r="E4986" s="6" t="s">
        <v>11</v>
      </c>
      <c r="F4986" s="6" t="s">
        <v>27193</v>
      </c>
      <c r="G4986" s="3" t="str">
        <f>IFERROR(__xludf.DUMMYFUNCTION("REGEXREPLACE(
D4986,
""([一-龯々]+)\[([^\]]+)\]"",
""&lt;ruby&gt;$1&lt;rt&gt;$2&lt;/rt&gt;&lt;/ruby&gt;""
)&amp;""&lt;br&gt;&lt;div class=""""audio""""&gt;[sound:""&amp;C4986&amp;"".mp3]&lt;/div&gt;"""),"&lt;ruby&gt;物凄&lt;rt&gt;ものすご&lt;/rt&gt;&lt;/ruby&gt;い&lt;br&gt;&lt;div class=""audio""&gt;[sound:ものすごい.mp3]&lt;/div&gt;")</f>
        <v>&lt;ruby&gt;物凄&lt;rt&gt;ものすご&lt;/rt&gt;&lt;/ruby&gt;い&lt;br&gt;&lt;div class="audio"&gt;[sound:ものすごい.mp3]&lt;/div&gt;</v>
      </c>
      <c r="H4986" s="3" t="str">
        <f t="shared" si="1"/>
        <v>(adj): ghê gớm</v>
      </c>
      <c r="I4986" s="6" t="s">
        <v>27194</v>
      </c>
      <c r="J4986" s="6" t="s">
        <v>27195</v>
      </c>
      <c r="K4986" s="7">
        <f t="shared" si="2"/>
        <v>0.6694820988</v>
      </c>
    </row>
    <row r="4987">
      <c r="A4987" s="4">
        <v>4987.0</v>
      </c>
      <c r="B4987" s="5" t="s">
        <v>27196</v>
      </c>
      <c r="C4987" s="5" t="s">
        <v>27197</v>
      </c>
      <c r="D4987" s="5" t="s">
        <v>27198</v>
      </c>
      <c r="E4987" s="6" t="s">
        <v>74</v>
      </c>
      <c r="F4987" s="6" t="s">
        <v>27199</v>
      </c>
      <c r="G4987" s="3" t="str">
        <f>IFERROR(__xludf.DUMMYFUNCTION("REGEXREPLACE(
D4987,
""([一-龯々]+)\[([^\]]+)\]"",
""&lt;ruby&gt;$1&lt;rt&gt;$2&lt;/rt&gt;&lt;/ruby&gt;""
)&amp;""&lt;br&gt;&lt;div class=""""audio""""&gt;[sound:""&amp;C4987&amp;"".mp3]&lt;/div&gt;"""),"&lt;ruby&gt;棚&lt;rt&gt;たな&lt;/rt&gt;&lt;/ruby&gt;&lt;br&gt;&lt;div class=""audio""&gt;[sound:たな.mp3]&lt;/div&gt;")</f>
        <v>&lt;ruby&gt;棚&lt;rt&gt;たな&lt;/rt&gt;&lt;/ruby&gt;&lt;br&gt;&lt;div class="audio"&gt;[sound:たな.mp3]&lt;/div&gt;</v>
      </c>
      <c r="H4987" s="3" t="str">
        <f t="shared" si="1"/>
        <v>(n): cái kệ</v>
      </c>
      <c r="I4987" s="6" t="s">
        <v>27200</v>
      </c>
      <c r="J4987" s="6" t="s">
        <v>27201</v>
      </c>
      <c r="K4987" s="7">
        <f t="shared" si="2"/>
        <v>0.2415571409</v>
      </c>
    </row>
    <row r="4988">
      <c r="A4988" s="4">
        <v>4988.0</v>
      </c>
      <c r="B4988" s="5" t="s">
        <v>27202</v>
      </c>
      <c r="C4988" s="5" t="s">
        <v>27203</v>
      </c>
      <c r="D4988" s="5" t="s">
        <v>27204</v>
      </c>
      <c r="E4988" s="6" t="s">
        <v>74</v>
      </c>
      <c r="F4988" s="6" t="s">
        <v>17849</v>
      </c>
      <c r="G4988" s="3" t="str">
        <f>IFERROR(__xludf.DUMMYFUNCTION("REGEXREPLACE(
D4988,
""([一-龯々]+)\[([^\]]+)\]"",
""&lt;ruby&gt;$1&lt;rt&gt;$2&lt;/rt&gt;&lt;/ruby&gt;""
)&amp;""&lt;br&gt;&lt;div class=""""audio""""&gt;[sound:""&amp;C4988&amp;"".mp3]&lt;/div&gt;"""),"&lt;ruby&gt;生&lt;rt&gt;い&lt;/rt&gt;&lt;/ruby&gt;き&lt;ruby&gt;物&lt;rt&gt;もの&lt;/rt&gt;&lt;/ruby&gt;&lt;br&gt;&lt;div class=""audio""&gt;[sound:いきもの.mp3]&lt;/div&gt;")</f>
        <v>&lt;ruby&gt;生&lt;rt&gt;い&lt;/rt&gt;&lt;/ruby&gt;き&lt;ruby&gt;物&lt;rt&gt;もの&lt;/rt&gt;&lt;/ruby&gt;&lt;br&gt;&lt;div class="audio"&gt;[sound:いきもの.mp3]&lt;/div&gt;</v>
      </c>
      <c r="H4988" s="3" t="str">
        <f t="shared" si="1"/>
        <v>(n): sinh vật</v>
      </c>
      <c r="I4988" s="6" t="s">
        <v>27205</v>
      </c>
      <c r="J4988" s="6" t="s">
        <v>27206</v>
      </c>
      <c r="K4988" s="7">
        <f t="shared" si="2"/>
        <v>0.1241672061</v>
      </c>
    </row>
    <row r="4989">
      <c r="A4989" s="4">
        <v>4989.0</v>
      </c>
      <c r="B4989" s="5" t="s">
        <v>27207</v>
      </c>
      <c r="C4989" s="5" t="s">
        <v>22170</v>
      </c>
      <c r="D4989" s="5" t="s">
        <v>27208</v>
      </c>
      <c r="E4989" s="6" t="s">
        <v>74</v>
      </c>
      <c r="F4989" s="6" t="s">
        <v>27209</v>
      </c>
      <c r="G4989" s="3" t="str">
        <f>IFERROR(__xludf.DUMMYFUNCTION("REGEXREPLACE(
D4989,
""([一-龯々]+)\[([^\]]+)\]"",
""&lt;ruby&gt;$1&lt;rt&gt;$2&lt;/rt&gt;&lt;/ruby&gt;""
)&amp;""&lt;br&gt;&lt;div class=""""audio""""&gt;[sound:""&amp;C4989&amp;"".mp3]&lt;/div&gt;"""),"&lt;ruby&gt;用語&lt;rt&gt;ようご&lt;/rt&gt;&lt;/ruby&gt;&lt;br&gt;&lt;div class=""audio""&gt;[sound:ようご.mp3]&lt;/div&gt;")</f>
        <v>&lt;ruby&gt;用語&lt;rt&gt;ようご&lt;/rt&gt;&lt;/ruby&gt;&lt;br&gt;&lt;div class="audio"&gt;[sound:ようご.mp3]&lt;/div&gt;</v>
      </c>
      <c r="H4989" s="3" t="str">
        <f t="shared" si="1"/>
        <v>(n): thuật ngữ</v>
      </c>
      <c r="I4989" s="6" t="s">
        <v>27210</v>
      </c>
      <c r="J4989" s="6" t="s">
        <v>27211</v>
      </c>
      <c r="K4989" s="7">
        <f t="shared" si="2"/>
        <v>0.5657066039</v>
      </c>
    </row>
    <row r="4990">
      <c r="A4990" s="4">
        <v>4990.0</v>
      </c>
      <c r="B4990" s="5" t="s">
        <v>27212</v>
      </c>
      <c r="C4990" s="5" t="s">
        <v>27213</v>
      </c>
      <c r="D4990" s="5" t="s">
        <v>27214</v>
      </c>
      <c r="E4990" s="6" t="s">
        <v>24</v>
      </c>
      <c r="F4990" s="6" t="s">
        <v>27215</v>
      </c>
      <c r="G4990" s="3" t="str">
        <f>IFERROR(__xludf.DUMMYFUNCTION("REGEXREPLACE(
D4990,
""([一-龯々]+)\[([^\]]+)\]"",
""&lt;ruby&gt;$1&lt;rt&gt;$2&lt;/rt&gt;&lt;/ruby&gt;""
)&amp;""&lt;br&gt;&lt;div class=""""audio""""&gt;[sound:""&amp;C4990&amp;"".mp3]&lt;/div&gt;"""),"&lt;ruby&gt;溜&lt;rt&gt;た&lt;/rt&gt;&lt;/ruby&gt;める&lt;br&gt;&lt;div class=""audio""&gt;[sound:ためる.mp3]&lt;/div&gt;")</f>
        <v>&lt;ruby&gt;溜&lt;rt&gt;た&lt;/rt&gt;&lt;/ruby&gt;める&lt;br&gt;&lt;div class="audio"&gt;[sound:ためる.mp3]&lt;/div&gt;</v>
      </c>
      <c r="H4990" s="3" t="str">
        <f t="shared" si="1"/>
        <v>(v): để dành</v>
      </c>
      <c r="I4990" s="6" t="s">
        <v>27216</v>
      </c>
      <c r="J4990" s="6" t="s">
        <v>27217</v>
      </c>
      <c r="K4990" s="7">
        <f t="shared" si="2"/>
        <v>0.7751184528</v>
      </c>
    </row>
    <row r="4991">
      <c r="A4991" s="4">
        <v>4991.0</v>
      </c>
      <c r="B4991" s="5" t="s">
        <v>27218</v>
      </c>
      <c r="C4991" s="5" t="s">
        <v>1197</v>
      </c>
      <c r="D4991" s="5" t="s">
        <v>27219</v>
      </c>
      <c r="E4991" s="6" t="s">
        <v>24</v>
      </c>
      <c r="F4991" s="6" t="s">
        <v>27220</v>
      </c>
      <c r="G4991" s="3" t="str">
        <f>IFERROR(__xludf.DUMMYFUNCTION("REGEXREPLACE(
D4991,
""([一-龯々]+)\[([^\]]+)\]"",
""&lt;ruby&gt;$1&lt;rt&gt;$2&lt;/rt&gt;&lt;/ruby&gt;""
)&amp;""&lt;br&gt;&lt;div class=""""audio""""&gt;[sound:""&amp;C4991&amp;"".mp3]&lt;/div&gt;"""),"&lt;ruby&gt;飼&lt;rt&gt;か&lt;/rt&gt;&lt;/ruby&gt;う&lt;br&gt;&lt;div class=""audio""&gt;[sound:かう.mp3]&lt;/div&gt;")</f>
        <v>&lt;ruby&gt;飼&lt;rt&gt;か&lt;/rt&gt;&lt;/ruby&gt;う&lt;br&gt;&lt;div class="audio"&gt;[sound:かう.mp3]&lt;/div&gt;</v>
      </c>
      <c r="H4991" s="3" t="str">
        <f t="shared" si="1"/>
        <v>(v): nuôi</v>
      </c>
      <c r="I4991" s="6" t="s">
        <v>27221</v>
      </c>
      <c r="J4991" s="6" t="s">
        <v>27222</v>
      </c>
      <c r="K4991" s="7">
        <f t="shared" si="2"/>
        <v>0.06393725802</v>
      </c>
    </row>
    <row r="4992">
      <c r="A4992" s="4">
        <v>4992.0</v>
      </c>
      <c r="B4992" s="5" t="s">
        <v>27223</v>
      </c>
      <c r="C4992" s="5" t="s">
        <v>112</v>
      </c>
      <c r="D4992" s="5" t="s">
        <v>27224</v>
      </c>
      <c r="E4992" s="6" t="s">
        <v>24</v>
      </c>
      <c r="F4992" s="6" t="s">
        <v>27225</v>
      </c>
      <c r="G4992" s="3" t="str">
        <f>IFERROR(__xludf.DUMMYFUNCTION("REGEXREPLACE(
D4992,
""([一-龯々]+)\[([^\]]+)\]"",
""&lt;ruby&gt;$1&lt;rt&gt;$2&lt;/rt&gt;&lt;/ruby&gt;""
)&amp;""&lt;br&gt;&lt;div class=""""audio""""&gt;[sound:""&amp;C4992&amp;"".mp3]&lt;/div&gt;"""),"&lt;ruby&gt;暮&lt;rt&gt;く&lt;/rt&gt;&lt;/ruby&gt;れる&lt;br&gt;&lt;div class=""audio""&gt;[sound:くれる.mp3]&lt;/div&gt;")</f>
        <v>&lt;ruby&gt;暮&lt;rt&gt;く&lt;/rt&gt;&lt;/ruby&gt;れる&lt;br&gt;&lt;div class="audio"&gt;[sound:くれる.mp3]&lt;/div&gt;</v>
      </c>
      <c r="H4992" s="3" t="str">
        <f t="shared" si="1"/>
        <v>(v): tối xuống</v>
      </c>
      <c r="I4992" s="6" t="s">
        <v>27226</v>
      </c>
      <c r="J4992" s="6" t="s">
        <v>27227</v>
      </c>
      <c r="K4992" s="7">
        <f t="shared" si="2"/>
        <v>0.02884577333</v>
      </c>
    </row>
    <row r="4993">
      <c r="A4993" s="4">
        <v>4993.0</v>
      </c>
      <c r="B4993" s="5" t="s">
        <v>27228</v>
      </c>
      <c r="C4993" s="5" t="s">
        <v>27229</v>
      </c>
      <c r="D4993" s="5" t="s">
        <v>27230</v>
      </c>
      <c r="E4993" s="6" t="s">
        <v>74</v>
      </c>
      <c r="F4993" s="6" t="s">
        <v>15487</v>
      </c>
      <c r="G4993" s="3" t="str">
        <f>IFERROR(__xludf.DUMMYFUNCTION("REGEXREPLACE(
D4993,
""([一-龯々]+)\[([^\]]+)\]"",
""&lt;ruby&gt;$1&lt;rt&gt;$2&lt;/rt&gt;&lt;/ruby&gt;""
)&amp;""&lt;br&gt;&lt;div class=""""audio""""&gt;[sound:""&amp;C4993&amp;"".mp3]&lt;/div&gt;"""),"&lt;ruby&gt;発想&lt;rt&gt;はっそう&lt;/rt&gt;&lt;/ruby&gt;&lt;br&gt;&lt;div class=""audio""&gt;[sound:はっそう.mp3]&lt;/div&gt;")</f>
        <v>&lt;ruby&gt;発想&lt;rt&gt;はっそう&lt;/rt&gt;&lt;/ruby&gt;&lt;br&gt;&lt;div class="audio"&gt;[sound:はっそう.mp3]&lt;/div&gt;</v>
      </c>
      <c r="H4993" s="3" t="str">
        <f t="shared" si="1"/>
        <v>(n): ý tưởng</v>
      </c>
      <c r="I4993" s="6" t="s">
        <v>27231</v>
      </c>
      <c r="J4993" s="6" t="s">
        <v>27232</v>
      </c>
      <c r="K4993" s="7">
        <f t="shared" si="2"/>
        <v>0.6140150329</v>
      </c>
    </row>
    <row r="4994">
      <c r="A4994" s="4">
        <v>4994.0</v>
      </c>
      <c r="B4994" s="5" t="s">
        <v>27233</v>
      </c>
      <c r="C4994" s="5" t="s">
        <v>27234</v>
      </c>
      <c r="D4994" s="5" t="s">
        <v>27235</v>
      </c>
      <c r="E4994" s="6" t="s">
        <v>74</v>
      </c>
      <c r="F4994" s="6" t="s">
        <v>27236</v>
      </c>
      <c r="G4994" s="3" t="str">
        <f>IFERROR(__xludf.DUMMYFUNCTION("REGEXREPLACE(
D4994,
""([一-龯々]+)\[([^\]]+)\]"",
""&lt;ruby&gt;$1&lt;rt&gt;$2&lt;/rt&gt;&lt;/ruby&gt;""
)&amp;""&lt;br&gt;&lt;div class=""""audio""""&gt;[sound:""&amp;C4994&amp;"".mp3]&lt;/div&gt;"""),"&lt;ruby&gt;石炭&lt;rt&gt;せきたん&lt;/rt&gt;&lt;/ruby&gt;&lt;br&gt;&lt;div class=""audio""&gt;[sound:せきたん.mp3]&lt;/div&gt;")</f>
        <v>&lt;ruby&gt;石炭&lt;rt&gt;せきたん&lt;/rt&gt;&lt;/ruby&gt;&lt;br&gt;&lt;div class="audio"&gt;[sound:せきたん.mp3]&lt;/div&gt;</v>
      </c>
      <c r="H4994" s="3" t="str">
        <f t="shared" si="1"/>
        <v>(n): than đá</v>
      </c>
      <c r="I4994" s="6" t="s">
        <v>27237</v>
      </c>
      <c r="J4994" s="6" t="s">
        <v>27238</v>
      </c>
      <c r="K4994" s="7">
        <f t="shared" si="2"/>
        <v>0.06089671296</v>
      </c>
    </row>
    <row r="4995">
      <c r="A4995" s="4">
        <v>4995.0</v>
      </c>
      <c r="B4995" s="5" t="s">
        <v>27239</v>
      </c>
      <c r="C4995" s="5" t="s">
        <v>27240</v>
      </c>
      <c r="D4995" s="5" t="s">
        <v>27241</v>
      </c>
      <c r="E4995" s="6" t="s">
        <v>11</v>
      </c>
      <c r="F4995" s="6" t="s">
        <v>27242</v>
      </c>
      <c r="G4995" s="3" t="str">
        <f>IFERROR(__xludf.DUMMYFUNCTION("REGEXREPLACE(
D4995,
""([一-龯々]+)\[([^\]]+)\]"",
""&lt;ruby&gt;$1&lt;rt&gt;$2&lt;/rt&gt;&lt;/ruby&gt;""
)&amp;""&lt;br&gt;&lt;div class=""""audio""""&gt;[sound:""&amp;C4995&amp;"".mp3]&lt;/div&gt;"""),"&lt;ruby&gt;苦&lt;rt&gt;にが&lt;/rt&gt;&lt;/ruby&gt;い&lt;br&gt;&lt;div class=""audio""&gt;[sound:にがい.mp3]&lt;/div&gt;")</f>
        <v>&lt;ruby&gt;苦&lt;rt&gt;にが&lt;/rt&gt;&lt;/ruby&gt;い&lt;br&gt;&lt;div class="audio"&gt;[sound:にがい.mp3]&lt;/div&gt;</v>
      </c>
      <c r="H4995" s="3" t="str">
        <f t="shared" si="1"/>
        <v>(adj): đắng</v>
      </c>
      <c r="I4995" s="6" t="s">
        <v>27243</v>
      </c>
      <c r="J4995" s="6" t="s">
        <v>27244</v>
      </c>
      <c r="K4995" s="7">
        <f t="shared" si="2"/>
        <v>0.5082171642</v>
      </c>
    </row>
    <row r="4996">
      <c r="A4996" s="4">
        <v>4996.0</v>
      </c>
      <c r="B4996" s="5" t="s">
        <v>27245</v>
      </c>
      <c r="C4996" s="5" t="s">
        <v>11136</v>
      </c>
      <c r="D4996" s="5" t="s">
        <v>27246</v>
      </c>
      <c r="E4996" s="6" t="s">
        <v>24</v>
      </c>
      <c r="F4996" s="6" t="s">
        <v>27247</v>
      </c>
      <c r="G4996" s="3" t="str">
        <f>IFERROR(__xludf.DUMMYFUNCTION("REGEXREPLACE(
D4996,
""([一-龯々]+)\[([^\]]+)\]"",
""&lt;ruby&gt;$1&lt;rt&gt;$2&lt;/rt&gt;&lt;/ruby&gt;""
)&amp;""&lt;br&gt;&lt;div class=""""audio""""&gt;[sound:""&amp;C4996&amp;"".mp3]&lt;/div&gt;"""),"&lt;ruby&gt;鳴&lt;rt&gt;な&lt;/rt&gt;&lt;/ruby&gt;く&lt;br&gt;&lt;div class=""audio""&gt;[sound:なく.mp3]&lt;/div&gt;")</f>
        <v>&lt;ruby&gt;鳴&lt;rt&gt;な&lt;/rt&gt;&lt;/ruby&gt;く&lt;br&gt;&lt;div class="audio"&gt;[sound:なく.mp3]&lt;/div&gt;</v>
      </c>
      <c r="H4996" s="3" t="str">
        <f t="shared" si="1"/>
        <v>(v): kêu</v>
      </c>
      <c r="I4996" s="6" t="s">
        <v>27248</v>
      </c>
      <c r="J4996" s="6" t="s">
        <v>27249</v>
      </c>
      <c r="K4996" s="7">
        <f t="shared" si="2"/>
        <v>0.01107619889</v>
      </c>
    </row>
    <row r="4997">
      <c r="A4997" s="4">
        <v>4997.0</v>
      </c>
      <c r="B4997" s="5" t="s">
        <v>27250</v>
      </c>
      <c r="C4997" s="5" t="s">
        <v>27251</v>
      </c>
      <c r="D4997" s="5" t="s">
        <v>27252</v>
      </c>
      <c r="E4997" s="6" t="s">
        <v>24</v>
      </c>
      <c r="F4997" s="6" t="s">
        <v>27253</v>
      </c>
      <c r="G4997" s="3" t="str">
        <f>IFERROR(__xludf.DUMMYFUNCTION("REGEXREPLACE(
D4997,
""([一-龯々]+)\[([^\]]+)\]"",
""&lt;ruby&gt;$1&lt;rt&gt;$2&lt;/rt&gt;&lt;/ruby&gt;""
)&amp;""&lt;br&gt;&lt;div class=""""audio""""&gt;[sound:""&amp;C4997&amp;"".mp3]&lt;/div&gt;"""),"&lt;ruby&gt;濡&lt;rt&gt;ぬ&lt;/rt&gt;&lt;/ruby&gt;れる&lt;br&gt;&lt;div class=""audio""&gt;[sound:ぬれる.mp3]&lt;/div&gt;")</f>
        <v>&lt;ruby&gt;濡&lt;rt&gt;ぬ&lt;/rt&gt;&lt;/ruby&gt;れる&lt;br&gt;&lt;div class="audio"&gt;[sound:ぬれる.mp3]&lt;/div&gt;</v>
      </c>
      <c r="H4997" s="3" t="str">
        <f t="shared" si="1"/>
        <v>(v): bị ướt</v>
      </c>
      <c r="I4997" s="6" t="s">
        <v>27254</v>
      </c>
      <c r="J4997" s="6" t="s">
        <v>27255</v>
      </c>
      <c r="K4997" s="7">
        <f t="shared" si="2"/>
        <v>0.6188447904</v>
      </c>
    </row>
    <row r="4998">
      <c r="A4998" s="4">
        <v>4998.0</v>
      </c>
      <c r="B4998" s="5" t="s">
        <v>27256</v>
      </c>
      <c r="C4998" s="5" t="s">
        <v>27257</v>
      </c>
      <c r="D4998" s="5" t="s">
        <v>27258</v>
      </c>
      <c r="E4998" s="6" t="s">
        <v>74</v>
      </c>
      <c r="F4998" s="6" t="s">
        <v>6113</v>
      </c>
      <c r="G4998" s="3" t="str">
        <f>IFERROR(__xludf.DUMMYFUNCTION("REGEXREPLACE(
D4998,
""([一-龯々]+)\[([^\]]+)\]"",
""&lt;ruby&gt;$1&lt;rt&gt;$2&lt;/rt&gt;&lt;/ruby&gt;""
)&amp;""&lt;br&gt;&lt;div class=""""audio""""&gt;[sound:""&amp;C4998&amp;"".mp3]&lt;/div&gt;"""),"&lt;ruby&gt;粒&lt;rt&gt;つぶ&lt;/rt&gt;&lt;/ruby&gt;&lt;br&gt;&lt;div class=""audio""&gt;[sound:つぶ.mp3]&lt;/div&gt;")</f>
        <v>&lt;ruby&gt;粒&lt;rt&gt;つぶ&lt;/rt&gt;&lt;/ruby&gt;&lt;br&gt;&lt;div class="audio"&gt;[sound:つぶ.mp3]&lt;/div&gt;</v>
      </c>
      <c r="H4998" s="3" t="str">
        <f t="shared" si="1"/>
        <v>(n): hạt</v>
      </c>
      <c r="I4998" s="6" t="s">
        <v>27259</v>
      </c>
      <c r="J4998" s="6" t="s">
        <v>27260</v>
      </c>
      <c r="K4998" s="7">
        <f t="shared" si="2"/>
        <v>0.02618393574</v>
      </c>
    </row>
    <row r="4999">
      <c r="A4999" s="4">
        <v>4999.0</v>
      </c>
      <c r="B4999" s="5" t="s">
        <v>27261</v>
      </c>
      <c r="C4999" s="5" t="s">
        <v>27262</v>
      </c>
      <c r="D4999" s="5" t="s">
        <v>27263</v>
      </c>
      <c r="E4999" s="6" t="s">
        <v>24</v>
      </c>
      <c r="F4999" s="6" t="s">
        <v>27264</v>
      </c>
      <c r="G4999" s="3" t="str">
        <f>IFERROR(__xludf.DUMMYFUNCTION("REGEXREPLACE(
D4999,
""([一-龯々]+)\[([^\]]+)\]"",
""&lt;ruby&gt;$1&lt;rt&gt;$2&lt;/rt&gt;&lt;/ruby&gt;""
)&amp;""&lt;br&gt;&lt;div class=""""audio""""&gt;[sound:""&amp;C4999&amp;"".mp3]&lt;/div&gt;"""),"&lt;ruby&gt;砕&lt;rt&gt;くだ&lt;/rt&gt;&lt;/ruby&gt;く&lt;br&gt;&lt;div class=""audio""&gt;[sound:くだく.mp3]&lt;/div&gt;")</f>
        <v>&lt;ruby&gt;砕&lt;rt&gt;くだ&lt;/rt&gt;&lt;/ruby&gt;く&lt;br&gt;&lt;div class="audio"&gt;[sound:くだく.mp3]&lt;/div&gt;</v>
      </c>
      <c r="H4999" s="3" t="str">
        <f t="shared" si="1"/>
        <v>(v): đập vỡ</v>
      </c>
      <c r="I4999" s="6" t="s">
        <v>27265</v>
      </c>
      <c r="J4999" s="6" t="s">
        <v>27266</v>
      </c>
      <c r="K4999" s="7">
        <f t="shared" si="2"/>
        <v>0.1661609394</v>
      </c>
    </row>
    <row r="5000">
      <c r="A5000" s="4">
        <v>5000.0</v>
      </c>
      <c r="B5000" s="5" t="s">
        <v>27267</v>
      </c>
      <c r="C5000" s="5" t="s">
        <v>27268</v>
      </c>
      <c r="D5000" s="5" t="s">
        <v>27269</v>
      </c>
      <c r="E5000" s="6" t="s">
        <v>74</v>
      </c>
      <c r="F5000" s="6" t="s">
        <v>27270</v>
      </c>
      <c r="G5000" s="3" t="str">
        <f>IFERROR(__xludf.DUMMYFUNCTION("REGEXREPLACE(
D5000,
""([一-龯々]+)\[([^\]]+)\]"",
""&lt;ruby&gt;$1&lt;rt&gt;$2&lt;/rt&gt;&lt;/ruby&gt;""
)&amp;""&lt;br&gt;&lt;div class=""""audio""""&gt;[sound:""&amp;C5000&amp;"".mp3]&lt;/div&gt;"""),"&lt;ruby&gt;田&lt;rt&gt;た&lt;/rt&gt;&lt;/ruby&gt;&lt;br&gt;&lt;div class=""audio""&gt;[sound:た.mp3]&lt;/div&gt;")</f>
        <v>&lt;ruby&gt;田&lt;rt&gt;た&lt;/rt&gt;&lt;/ruby&gt;&lt;br&gt;&lt;div class="audio"&gt;[sound:た.mp3]&lt;/div&gt;</v>
      </c>
      <c r="H5000" s="3" t="str">
        <f t="shared" si="1"/>
        <v>(n): ruộng</v>
      </c>
      <c r="I5000" s="6" t="s">
        <v>27271</v>
      </c>
      <c r="J5000" s="6" t="s">
        <v>27272</v>
      </c>
      <c r="K5000" s="7">
        <f t="shared" si="2"/>
        <v>0.484269862</v>
      </c>
    </row>
    <row r="5001">
      <c r="A5001" s="4">
        <v>5001.0</v>
      </c>
      <c r="B5001" s="5" t="s">
        <v>27273</v>
      </c>
      <c r="C5001" s="5" t="s">
        <v>27274</v>
      </c>
      <c r="D5001" s="5" t="s">
        <v>27275</v>
      </c>
      <c r="E5001" s="6" t="s">
        <v>74</v>
      </c>
      <c r="F5001" s="6" t="s">
        <v>27276</v>
      </c>
      <c r="G5001" s="3" t="str">
        <f>IFERROR(__xludf.DUMMYFUNCTION("REGEXREPLACE(
D5001,
""([一-龯々]+)\[([^\]]+)\]"",
""&lt;ruby&gt;$1&lt;rt&gt;$2&lt;/rt&gt;&lt;/ruby&gt;""
)&amp;""&lt;br&gt;&lt;div class=""""audio""""&gt;[sound:""&amp;C5001&amp;"".mp3]&lt;/div&gt;"""),"&lt;ruby&gt;群&lt;rt&gt;む&lt;/rt&gt;&lt;/ruby&gt;れ&lt;br&gt;&lt;div class=""audio""&gt;[sound:むれ.mp3]&lt;/div&gt;")</f>
        <v>&lt;ruby&gt;群&lt;rt&gt;む&lt;/rt&gt;&lt;/ruby&gt;れ&lt;br&gt;&lt;div class="audio"&gt;[sound:むれ.mp3]&lt;/div&gt;</v>
      </c>
      <c r="H5001" s="3" t="str">
        <f t="shared" si="1"/>
        <v>(n): đàn</v>
      </c>
      <c r="I5001" s="6" t="s">
        <v>27277</v>
      </c>
      <c r="J5001" s="6" t="s">
        <v>27278</v>
      </c>
      <c r="K5001" s="7">
        <f t="shared" si="2"/>
        <v>0.7009543025</v>
      </c>
    </row>
    <row r="5002">
      <c r="A5002" s="4">
        <v>5002.0</v>
      </c>
      <c r="B5002" s="5" t="s">
        <v>27279</v>
      </c>
      <c r="C5002" s="5" t="s">
        <v>15164</v>
      </c>
      <c r="D5002" s="5" t="s">
        <v>27280</v>
      </c>
      <c r="E5002" s="6" t="s">
        <v>74</v>
      </c>
      <c r="F5002" s="6" t="s">
        <v>27281</v>
      </c>
      <c r="G5002" s="3" t="str">
        <f>IFERROR(__xludf.DUMMYFUNCTION("REGEXREPLACE(
D5002,
""([一-龯々]+)\[([^\]]+)\]"",
""&lt;ruby&gt;$1&lt;rt&gt;$2&lt;/rt&gt;&lt;/ruby&gt;""
)&amp;""&lt;br&gt;&lt;div class=""""audio""""&gt;[sound:""&amp;C5002&amp;"".mp3]&lt;/div&gt;"""),"&lt;ruby&gt;脂&lt;rt&gt;あぶら&lt;/rt&gt;&lt;/ruby&gt;&lt;br&gt;&lt;div class=""audio""&gt;[sound:あぶら.mp3]&lt;/div&gt;")</f>
        <v>&lt;ruby&gt;脂&lt;rt&gt;あぶら&lt;/rt&gt;&lt;/ruby&gt;&lt;br&gt;&lt;div class="audio"&gt;[sound:あぶら.mp3]&lt;/div&gt;</v>
      </c>
      <c r="H5002" s="3" t="str">
        <f t="shared" si="1"/>
        <v>(n): mỡ</v>
      </c>
      <c r="I5002" s="6" t="s">
        <v>27282</v>
      </c>
      <c r="J5002" s="6" t="s">
        <v>27283</v>
      </c>
      <c r="K5002" s="7">
        <f t="shared" si="2"/>
        <v>0.4160072108</v>
      </c>
    </row>
    <row r="5003">
      <c r="A5003" s="4">
        <v>5003.0</v>
      </c>
      <c r="B5003" s="5" t="s">
        <v>27284</v>
      </c>
      <c r="C5003" s="5" t="s">
        <v>27285</v>
      </c>
      <c r="D5003" s="5" t="s">
        <v>27286</v>
      </c>
      <c r="E5003" s="6" t="s">
        <v>24</v>
      </c>
      <c r="F5003" s="6" t="s">
        <v>7247</v>
      </c>
      <c r="G5003" s="3" t="str">
        <f>IFERROR(__xludf.DUMMYFUNCTION("REGEXREPLACE(
D5003,
""([一-龯々]+)\[([^\]]+)\]"",
""&lt;ruby&gt;$1&lt;rt&gt;$2&lt;/rt&gt;&lt;/ruby&gt;""
)&amp;""&lt;br&gt;&lt;div class=""""audio""""&gt;[sound:""&amp;C5003&amp;"".mp3]&lt;/div&gt;"""),"&lt;ruby&gt;釣&lt;rt&gt;つ&lt;/rt&gt;&lt;/ruby&gt;る&lt;br&gt;&lt;div class=""audio""&gt;[sound:つる.mp3]&lt;/div&gt;")</f>
        <v>&lt;ruby&gt;釣&lt;rt&gt;つ&lt;/rt&gt;&lt;/ruby&gt;る&lt;br&gt;&lt;div class="audio"&gt;[sound:つる.mp3]&lt;/div&gt;</v>
      </c>
      <c r="H5003" s="3" t="str">
        <f t="shared" si="1"/>
        <v>(v): câu</v>
      </c>
      <c r="I5003" s="6" t="s">
        <v>27287</v>
      </c>
      <c r="J5003" s="6" t="s">
        <v>27288</v>
      </c>
      <c r="K5003" s="7">
        <f t="shared" si="2"/>
        <v>0.374367929</v>
      </c>
    </row>
    <row r="5004">
      <c r="A5004" s="4">
        <v>5004.0</v>
      </c>
      <c r="B5004" s="5" t="s">
        <v>27289</v>
      </c>
      <c r="C5004" s="5" t="s">
        <v>27290</v>
      </c>
      <c r="D5004" s="5" t="s">
        <v>27291</v>
      </c>
      <c r="E5004" s="6" t="s">
        <v>11</v>
      </c>
      <c r="F5004" s="6" t="s">
        <v>27292</v>
      </c>
      <c r="G5004" s="3" t="str">
        <f>IFERROR(__xludf.DUMMYFUNCTION("REGEXREPLACE(
D5004,
""([一-龯々]+)\[([^\]]+)\]"",
""&lt;ruby&gt;$1&lt;rt&gt;$2&lt;/rt&gt;&lt;/ruby&gt;""
)&amp;""&lt;br&gt;&lt;div class=""""audio""""&gt;[sound:""&amp;C5004&amp;"".mp3]&lt;/div&gt;"""),"&lt;ruby&gt;究極&lt;rt&gt;きゅうきょく&lt;/rt&gt;&lt;/ruby&gt;&lt;br&gt;&lt;div class=""audio""&gt;[sound:きゅうきょく.mp3]&lt;/div&gt;")</f>
        <v>&lt;ruby&gt;究極&lt;rt&gt;きゅうきょく&lt;/rt&gt;&lt;/ruby&gt;&lt;br&gt;&lt;div class="audio"&gt;[sound:きゅうきょく.mp3]&lt;/div&gt;</v>
      </c>
      <c r="H5004" s="3" t="str">
        <f t="shared" si="1"/>
        <v>(adj): tối thượng</v>
      </c>
      <c r="I5004" s="6" t="s">
        <v>27293</v>
      </c>
      <c r="J5004" s="6" t="s">
        <v>27294</v>
      </c>
      <c r="K5004" s="7">
        <f t="shared" si="2"/>
        <v>0.2054522078</v>
      </c>
    </row>
    <row r="5005">
      <c r="A5005" s="4">
        <v>5005.0</v>
      </c>
      <c r="B5005" s="5" t="s">
        <v>27295</v>
      </c>
      <c r="C5005" s="5" t="s">
        <v>27296</v>
      </c>
      <c r="D5005" s="5" t="s">
        <v>27297</v>
      </c>
      <c r="E5005" s="6" t="s">
        <v>74</v>
      </c>
      <c r="F5005" s="6" t="s">
        <v>8294</v>
      </c>
      <c r="G5005" s="3" t="str">
        <f>IFERROR(__xludf.DUMMYFUNCTION("REGEXREPLACE(
D5005,
""([一-龯々]+)\[([^\]]+)\]"",
""&lt;ruby&gt;$1&lt;rt&gt;$2&lt;/rt&gt;&lt;/ruby&gt;""
)&amp;""&lt;br&gt;&lt;div class=""""audio""""&gt;[sound:""&amp;C5005&amp;"".mp3]&lt;/div&gt;"""),"&lt;ruby&gt;結&lt;rt&gt;むす&lt;/rt&gt;&lt;/ruby&gt;び&lt;br&gt;&lt;div class=""audio""&gt;[sound:むすび.mp3]&lt;/div&gt;")</f>
        <v>&lt;ruby&gt;結&lt;rt&gt;むす&lt;/rt&gt;&lt;/ruby&gt;び&lt;br&gt;&lt;div class="audio"&gt;[sound:むすび.mp3]&lt;/div&gt;</v>
      </c>
      <c r="H5005" s="3" t="str">
        <f t="shared" si="1"/>
        <v>(n): kết luận</v>
      </c>
      <c r="I5005" s="6" t="s">
        <v>27298</v>
      </c>
      <c r="J5005" s="6" t="s">
        <v>27299</v>
      </c>
      <c r="K5005" s="7">
        <f t="shared" si="2"/>
        <v>0.2417532785</v>
      </c>
    </row>
    <row r="5006">
      <c r="A5006" s="4">
        <v>5006.0</v>
      </c>
      <c r="B5006" s="5" t="s">
        <v>27300</v>
      </c>
      <c r="C5006" s="5" t="s">
        <v>27301</v>
      </c>
      <c r="D5006" s="5" t="s">
        <v>27302</v>
      </c>
      <c r="E5006" s="6" t="s">
        <v>74</v>
      </c>
      <c r="F5006" s="6" t="s">
        <v>19500</v>
      </c>
      <c r="G5006" s="3" t="str">
        <f>IFERROR(__xludf.DUMMYFUNCTION("REGEXREPLACE(
D5006,
""([一-龯々]+)\[([^\]]+)\]"",
""&lt;ruby&gt;$1&lt;rt&gt;$2&lt;/rt&gt;&lt;/ruby&gt;""
)&amp;""&lt;br&gt;&lt;div class=""""audio""""&gt;[sound:""&amp;C5006&amp;"".mp3]&lt;/div&gt;"""),"&lt;ruby&gt;母国&lt;rt&gt;ぼこく&lt;/rt&gt;&lt;/ruby&gt;&lt;br&gt;&lt;div class=""audio""&gt;[sound:ぼこく.mp3]&lt;/div&gt;")</f>
        <v>&lt;ruby&gt;母国&lt;rt&gt;ぼこく&lt;/rt&gt;&lt;/ruby&gt;&lt;br&gt;&lt;div class="audio"&gt;[sound:ぼこく.mp3]&lt;/div&gt;</v>
      </c>
      <c r="H5006" s="3" t="str">
        <f t="shared" si="1"/>
        <v>(n): quê hương</v>
      </c>
      <c r="I5006" s="6" t="s">
        <v>27303</v>
      </c>
      <c r="J5006" s="6" t="s">
        <v>27304</v>
      </c>
      <c r="K5006" s="7">
        <f t="shared" si="2"/>
        <v>0.1872073745</v>
      </c>
    </row>
    <row r="5007">
      <c r="A5007" s="4">
        <v>5007.0</v>
      </c>
      <c r="B5007" s="5" t="s">
        <v>27305</v>
      </c>
      <c r="C5007" s="5" t="s">
        <v>27306</v>
      </c>
      <c r="D5007" s="5" t="s">
        <v>27307</v>
      </c>
      <c r="E5007" s="6" t="s">
        <v>74</v>
      </c>
      <c r="F5007" s="6" t="s">
        <v>27308</v>
      </c>
      <c r="G5007" s="3" t="str">
        <f>IFERROR(__xludf.DUMMYFUNCTION("REGEXREPLACE(
D5007,
""([一-龯々]+)\[([^\]]+)\]"",
""&lt;ruby&gt;$1&lt;rt&gt;$2&lt;/rt&gt;&lt;/ruby&gt;""
)&amp;""&lt;br&gt;&lt;div class=""""audio""""&gt;[sound:""&amp;C5007&amp;"".mp3]&lt;/div&gt;"""),"&lt;ruby&gt;給食&lt;rt&gt;きゅうしょく&lt;/rt&gt;&lt;/ruby&gt;&lt;br&gt;&lt;div class=""audio""&gt;[sound:きゅうしょく.mp3]&lt;/div&gt;")</f>
        <v>&lt;ruby&gt;給食&lt;rt&gt;きゅうしょく&lt;/rt&gt;&lt;/ruby&gt;&lt;br&gt;&lt;div class="audio"&gt;[sound:きゅうしょく.mp3]&lt;/div&gt;</v>
      </c>
      <c r="H5007" s="3" t="str">
        <f t="shared" si="1"/>
        <v>(n): bữa ăn trường học</v>
      </c>
      <c r="I5007" s="6" t="s">
        <v>27309</v>
      </c>
      <c r="J5007" s="6" t="s">
        <v>27310</v>
      </c>
      <c r="K5007" s="7">
        <f t="shared" si="2"/>
        <v>0.4509364061</v>
      </c>
    </row>
    <row r="5008">
      <c r="A5008" s="4">
        <v>5008.0</v>
      </c>
      <c r="B5008" s="5" t="s">
        <v>27311</v>
      </c>
      <c r="C5008" s="5" t="s">
        <v>27312</v>
      </c>
      <c r="D5008" s="5" t="s">
        <v>27313</v>
      </c>
      <c r="E5008" s="6" t="s">
        <v>74</v>
      </c>
      <c r="F5008" s="6" t="s">
        <v>27314</v>
      </c>
      <c r="G5008" s="3" t="str">
        <f>IFERROR(__xludf.DUMMYFUNCTION("REGEXREPLACE(
D5008,
""([一-龯々]+)\[([^\]]+)\]"",
""&lt;ruby&gt;$1&lt;rt&gt;$2&lt;/rt&gt;&lt;/ruby&gt;""
)&amp;""&lt;br&gt;&lt;div class=""""audio""""&gt;[sound:""&amp;C5008&amp;"".mp3]&lt;/div&gt;"""),"&lt;ruby&gt;沿線&lt;rt&gt;えんせん&lt;/rt&gt;&lt;/ruby&gt;&lt;br&gt;&lt;div class=""audio""&gt;[sound:えんせん.mp3]&lt;/div&gt;")</f>
        <v>&lt;ruby&gt;沿線&lt;rt&gt;えんせん&lt;/rt&gt;&lt;/ruby&gt;&lt;br&gt;&lt;div class="audio"&gt;[sound:えんせん.mp3]&lt;/div&gt;</v>
      </c>
      <c r="H5008" s="3" t="str">
        <f t="shared" si="1"/>
        <v>(n): dọc tuyến đường</v>
      </c>
      <c r="I5008" s="6" t="s">
        <v>27315</v>
      </c>
      <c r="J5008" s="6" t="s">
        <v>27316</v>
      </c>
      <c r="K5008" s="7">
        <f t="shared" si="2"/>
        <v>0.9209649742</v>
      </c>
    </row>
    <row r="5009">
      <c r="A5009" s="4">
        <v>5009.0</v>
      </c>
      <c r="B5009" s="5" t="s">
        <v>27317</v>
      </c>
      <c r="C5009" s="5" t="s">
        <v>27318</v>
      </c>
      <c r="D5009" s="5" t="s">
        <v>27319</v>
      </c>
      <c r="E5009" s="6" t="s">
        <v>74</v>
      </c>
      <c r="F5009" s="6" t="s">
        <v>27320</v>
      </c>
      <c r="G5009" s="3" t="str">
        <f>IFERROR(__xludf.DUMMYFUNCTION("REGEXREPLACE(
D5009,
""([一-龯々]+)\[([^\]]+)\]"",
""&lt;ruby&gt;$1&lt;rt&gt;$2&lt;/rt&gt;&lt;/ruby&gt;""
)&amp;""&lt;br&gt;&lt;div class=""""audio""""&gt;[sound:""&amp;C5009&amp;"".mp3]&lt;/div&gt;"""),"&lt;ruby&gt;異性&lt;rt&gt;いせい&lt;/rt&gt;&lt;/ruby&gt;&lt;br&gt;&lt;div class=""audio""&gt;[sound:いせい.mp3]&lt;/div&gt;")</f>
        <v>&lt;ruby&gt;異性&lt;rt&gt;いせい&lt;/rt&gt;&lt;/ruby&gt;&lt;br&gt;&lt;div class="audio"&gt;[sound:いせい.mp3]&lt;/div&gt;</v>
      </c>
      <c r="H5009" s="3" t="str">
        <f t="shared" si="1"/>
        <v>(n): người khác giới</v>
      </c>
      <c r="I5009" s="6" t="s">
        <v>27321</v>
      </c>
      <c r="J5009" s="6" t="s">
        <v>27322</v>
      </c>
      <c r="K5009" s="7">
        <f t="shared" si="2"/>
        <v>0.1173593412</v>
      </c>
    </row>
    <row r="5010">
      <c r="A5010" s="4">
        <v>5010.0</v>
      </c>
      <c r="B5010" s="5" t="s">
        <v>27323</v>
      </c>
      <c r="C5010" s="5" t="s">
        <v>27324</v>
      </c>
      <c r="D5010" s="5" t="s">
        <v>27325</v>
      </c>
      <c r="E5010" s="6" t="s">
        <v>24</v>
      </c>
      <c r="F5010" s="6" t="s">
        <v>27326</v>
      </c>
      <c r="G5010" s="3" t="str">
        <f>IFERROR(__xludf.DUMMYFUNCTION("REGEXREPLACE(
D5010,
""([一-龯々]+)\[([^\]]+)\]"",
""&lt;ruby&gt;$1&lt;rt&gt;$2&lt;/rt&gt;&lt;/ruby&gt;""
)&amp;""&lt;br&gt;&lt;div class=""""audio""""&gt;[sound:""&amp;C5010&amp;"".mp3]&lt;/div&gt;"""),"&lt;ruby&gt;称&lt;rt&gt;しょう&lt;/rt&gt;&lt;/ruby&gt;する&lt;br&gt;&lt;div class=""audio""&gt;[sound:しょうする.mp3]&lt;/div&gt;")</f>
        <v>&lt;ruby&gt;称&lt;rt&gt;しょう&lt;/rt&gt;&lt;/ruby&gt;する&lt;br&gt;&lt;div class="audio"&gt;[sound:しょうする.mp3]&lt;/div&gt;</v>
      </c>
      <c r="H5010" s="3" t="str">
        <f t="shared" si="1"/>
        <v>(v): tự xưng</v>
      </c>
      <c r="I5010" s="6" t="s">
        <v>27327</v>
      </c>
      <c r="J5010" s="6" t="s">
        <v>27328</v>
      </c>
      <c r="K5010" s="7">
        <f t="shared" si="2"/>
        <v>0.2068359644</v>
      </c>
    </row>
    <row r="5011">
      <c r="A5011" s="4">
        <v>5011.0</v>
      </c>
      <c r="B5011" s="5" t="s">
        <v>27329</v>
      </c>
      <c r="C5011" s="5" t="s">
        <v>27329</v>
      </c>
      <c r="D5011" s="5" t="s">
        <v>27329</v>
      </c>
      <c r="E5011" s="6" t="s">
        <v>24</v>
      </c>
      <c r="F5011" s="6" t="s">
        <v>27330</v>
      </c>
      <c r="G5011" s="3" t="str">
        <f>IFERROR(__xludf.DUMMYFUNCTION("REGEXREPLACE(
D5011,
""([一-龯々]+)\[([^\]]+)\]"",
""&lt;ruby&gt;$1&lt;rt&gt;$2&lt;/rt&gt;&lt;/ruby&gt;""
)&amp;""&lt;br&gt;&lt;div class=""""audio""""&gt;[sound:""&amp;C5011&amp;"".mp3]&lt;/div&gt;"""),"とぎれる&lt;br&gt;&lt;div class=""audio""&gt;[sound:とぎれる.mp3]&lt;/div&gt;")</f>
        <v>とぎれる&lt;br&gt;&lt;div class="audio"&gt;[sound:とぎれる.mp3]&lt;/div&gt;</v>
      </c>
      <c r="H5011" s="3" t="str">
        <f t="shared" si="1"/>
        <v>(v): bị gián đoạn</v>
      </c>
      <c r="I5011" s="6" t="s">
        <v>27331</v>
      </c>
      <c r="J5011" s="6" t="s">
        <v>27332</v>
      </c>
      <c r="K5011" s="7">
        <f t="shared" si="2"/>
        <v>0.3611553666</v>
      </c>
    </row>
    <row r="5012">
      <c r="A5012" s="4">
        <v>5012.0</v>
      </c>
      <c r="B5012" s="5" t="s">
        <v>27333</v>
      </c>
      <c r="C5012" s="5" t="s">
        <v>27333</v>
      </c>
      <c r="D5012" s="5" t="s">
        <v>27333</v>
      </c>
      <c r="E5012" s="6" t="s">
        <v>85</v>
      </c>
      <c r="F5012" s="6" t="s">
        <v>949</v>
      </c>
      <c r="G5012" s="3" t="str">
        <f>IFERROR(__xludf.DUMMYFUNCTION("REGEXREPLACE(
D5012,
""([一-龯々]+)\[([^\]]+)\]"",
""&lt;ruby&gt;$1&lt;rt&gt;$2&lt;/rt&gt;&lt;/ruby&gt;""
)&amp;""&lt;br&gt;&lt;div class=""""audio""""&gt;[sound:""&amp;C5012&amp;"".mp3]&lt;/div&gt;"""),"とっさに&lt;br&gt;&lt;div class=""audio""&gt;[sound:とっさに.mp3]&lt;/div&gt;")</f>
        <v>とっさに&lt;br&gt;&lt;div class="audio"&gt;[sound:とっさに.mp3]&lt;/div&gt;</v>
      </c>
      <c r="H5012" s="3" t="str">
        <f t="shared" si="1"/>
        <v>(adv): ngay lập tức</v>
      </c>
      <c r="I5012" s="6" t="s">
        <v>27334</v>
      </c>
      <c r="J5012" s="6" t="s">
        <v>27335</v>
      </c>
      <c r="K5012" s="7">
        <f t="shared" si="2"/>
        <v>0.3731503561</v>
      </c>
    </row>
    <row r="5013">
      <c r="A5013" s="4">
        <v>5013.0</v>
      </c>
      <c r="B5013" s="5" t="s">
        <v>27336</v>
      </c>
      <c r="C5013" s="5" t="s">
        <v>27336</v>
      </c>
      <c r="D5013" s="5" t="s">
        <v>27336</v>
      </c>
      <c r="E5013" s="6" t="s">
        <v>74</v>
      </c>
      <c r="F5013" s="6" t="s">
        <v>27337</v>
      </c>
      <c r="G5013" s="3" t="str">
        <f>IFERROR(__xludf.DUMMYFUNCTION("REGEXREPLACE(
D5013,
""([一-龯々]+)\[([^\]]+)\]"",
""&lt;ruby&gt;$1&lt;rt&gt;$2&lt;/rt&gt;&lt;/ruby&gt;""
)&amp;""&lt;br&gt;&lt;div class=""""audio""""&gt;[sound:""&amp;C5013&amp;"".mp3]&lt;/div&gt;"""),"にきび&lt;br&gt;&lt;div class=""audio""&gt;[sound:にきび.mp3]&lt;/div&gt;")</f>
        <v>にきび&lt;br&gt;&lt;div class="audio"&gt;[sound:にきび.mp3]&lt;/div&gt;</v>
      </c>
      <c r="H5013" s="3" t="str">
        <f t="shared" si="1"/>
        <v>(n): mụn trứng cá</v>
      </c>
      <c r="I5013" s="6" t="s">
        <v>27338</v>
      </c>
      <c r="J5013" s="6" t="s">
        <v>27339</v>
      </c>
      <c r="K5013" s="7">
        <f t="shared" si="2"/>
        <v>0.9495280034</v>
      </c>
    </row>
    <row r="5014">
      <c r="A5014" s="4">
        <v>5014.0</v>
      </c>
      <c r="B5014" s="5" t="s">
        <v>27340</v>
      </c>
      <c r="C5014" s="5" t="s">
        <v>27341</v>
      </c>
      <c r="D5014" s="5" t="s">
        <v>27342</v>
      </c>
      <c r="E5014" s="6" t="s">
        <v>74</v>
      </c>
      <c r="F5014" s="6" t="s">
        <v>12297</v>
      </c>
      <c r="G5014" s="3" t="str">
        <f>IFERROR(__xludf.DUMMYFUNCTION("REGEXREPLACE(
D5014,
""([一-龯々]+)\[([^\]]+)\]"",
""&lt;ruby&gt;$1&lt;rt&gt;$2&lt;/rt&gt;&lt;/ruby&gt;""
)&amp;""&lt;br&gt;&lt;div class=""""audio""""&gt;[sound:""&amp;C5014&amp;"".mp3]&lt;/div&gt;"""),"&lt;ruby&gt;使&lt;rt&gt;つか&lt;/rt&gt;&lt;/ruby&gt;い&lt;ruby&gt;道&lt;rt&gt;みち&lt;/rt&gt;&lt;/ruby&gt;&lt;br&gt;&lt;div class=""audio""&gt;[sound:つかいみち.mp3]&lt;/div&gt;")</f>
        <v>&lt;ruby&gt;使&lt;rt&gt;つか&lt;/rt&gt;&lt;/ruby&gt;い&lt;ruby&gt;道&lt;rt&gt;みち&lt;/rt&gt;&lt;/ruby&gt;&lt;br&gt;&lt;div class="audio"&gt;[sound:つかいみち.mp3]&lt;/div&gt;</v>
      </c>
      <c r="H5014" s="3" t="str">
        <f t="shared" si="1"/>
        <v>(n): cách sử dụng</v>
      </c>
      <c r="I5014" s="6" t="s">
        <v>27343</v>
      </c>
      <c r="J5014" s="6" t="s">
        <v>27344</v>
      </c>
      <c r="K5014" s="7">
        <f t="shared" si="2"/>
        <v>0.9180558977</v>
      </c>
    </row>
    <row r="5015">
      <c r="A5015" s="4">
        <v>5015.0</v>
      </c>
      <c r="B5015" s="5" t="s">
        <v>27345</v>
      </c>
      <c r="C5015" s="5" t="s">
        <v>27346</v>
      </c>
      <c r="D5015" s="5" t="s">
        <v>27347</v>
      </c>
      <c r="E5015" s="6" t="s">
        <v>24</v>
      </c>
      <c r="F5015" s="6" t="s">
        <v>27348</v>
      </c>
      <c r="G5015" s="3" t="str">
        <f>IFERROR(__xludf.DUMMYFUNCTION("REGEXREPLACE(
D5015,
""([一-龯々]+)\[([^\]]+)\]"",
""&lt;ruby&gt;$1&lt;rt&gt;$2&lt;/rt&gt;&lt;/ruby&gt;""
)&amp;""&lt;br&gt;&lt;div class=""""audio""""&gt;[sound:""&amp;C5015&amp;"".mp3]&lt;/div&gt;"""),"&lt;ruby&gt;結&lt;rt&gt;むす&lt;/rt&gt;&lt;/ruby&gt;び&lt;ruby&gt;付&lt;rt&gt;つ&lt;/rt&gt;&lt;/ruby&gt;く&lt;br&gt;&lt;div class=""audio""&gt;[sound:むすびつく.mp3]&lt;/div&gt;")</f>
        <v>&lt;ruby&gt;結&lt;rt&gt;むす&lt;/rt&gt;&lt;/ruby&gt;び&lt;ruby&gt;付&lt;rt&gt;つ&lt;/rt&gt;&lt;/ruby&gt;く&lt;br&gt;&lt;div class="audio"&gt;[sound:むすびつく.mp3]&lt;/div&gt;</v>
      </c>
      <c r="H5015" s="3" t="str">
        <f t="shared" si="1"/>
        <v>(v): được kết nối</v>
      </c>
      <c r="I5015" s="6" t="s">
        <v>27349</v>
      </c>
      <c r="J5015" s="6" t="s">
        <v>27350</v>
      </c>
      <c r="K5015" s="7">
        <f t="shared" si="2"/>
        <v>0.7801512894</v>
      </c>
    </row>
    <row r="5016">
      <c r="A5016" s="4">
        <v>5016.0</v>
      </c>
      <c r="B5016" s="5" t="s">
        <v>27351</v>
      </c>
      <c r="C5016" s="5" t="s">
        <v>27352</v>
      </c>
      <c r="D5016" s="5" t="s">
        <v>27353</v>
      </c>
      <c r="E5016" s="6" t="s">
        <v>24</v>
      </c>
      <c r="F5016" s="6" t="s">
        <v>27330</v>
      </c>
      <c r="G5016" s="3" t="str">
        <f>IFERROR(__xludf.DUMMYFUNCTION("REGEXREPLACE(
D5016,
""([一-龯々]+)\[([^\]]+)\]"",
""&lt;ruby&gt;$1&lt;rt&gt;$2&lt;/rt&gt;&lt;/ruby&gt;""
)&amp;""&lt;br&gt;&lt;div class=""""audio""""&gt;[sound:""&amp;C5016&amp;"".mp3]&lt;/div&gt;"""),"&lt;ruby&gt;途絶&lt;rt&gt;とだ&lt;/rt&gt;&lt;/ruby&gt;える&lt;br&gt;&lt;div class=""audio""&gt;[sound:とだえる.mp3]&lt;/div&gt;")</f>
        <v>&lt;ruby&gt;途絶&lt;rt&gt;とだ&lt;/rt&gt;&lt;/ruby&gt;える&lt;br&gt;&lt;div class="audio"&gt;[sound:とだえる.mp3]&lt;/div&gt;</v>
      </c>
      <c r="H5016" s="3" t="str">
        <f t="shared" si="1"/>
        <v>(v): bị gián đoạn</v>
      </c>
      <c r="I5016" s="6" t="s">
        <v>27354</v>
      </c>
      <c r="J5016" s="6" t="s">
        <v>27355</v>
      </c>
      <c r="K5016" s="7">
        <f t="shared" si="2"/>
        <v>0.1908749195</v>
      </c>
    </row>
    <row r="5017">
      <c r="A5017" s="4">
        <v>5017.0</v>
      </c>
      <c r="B5017" s="5" t="s">
        <v>27356</v>
      </c>
      <c r="C5017" s="5" t="s">
        <v>27356</v>
      </c>
      <c r="D5017" s="5" t="s">
        <v>27356</v>
      </c>
      <c r="E5017" s="6" t="s">
        <v>24</v>
      </c>
      <c r="F5017" s="6" t="s">
        <v>3074</v>
      </c>
      <c r="G5017" s="3" t="str">
        <f>IFERROR(__xludf.DUMMYFUNCTION("REGEXREPLACE(
D5017,
""([一-龯々]+)\[([^\]]+)\]"",
""&lt;ruby&gt;$1&lt;rt&gt;$2&lt;/rt&gt;&lt;/ruby&gt;""
)&amp;""&lt;br&gt;&lt;div class=""""audio""""&gt;[sound:""&amp;C5017&amp;"".mp3]&lt;/div&gt;"""),"やりとげる&lt;br&gt;&lt;div class=""audio""&gt;[sound:やりとげる.mp3]&lt;/div&gt;")</f>
        <v>やりとげる&lt;br&gt;&lt;div class="audio"&gt;[sound:やりとげる.mp3]&lt;/div&gt;</v>
      </c>
      <c r="H5017" s="3" t="str">
        <f t="shared" si="1"/>
        <v>(v): hoàn thành</v>
      </c>
      <c r="I5017" s="6" t="s">
        <v>27357</v>
      </c>
      <c r="J5017" s="6" t="s">
        <v>15731</v>
      </c>
      <c r="K5017" s="7">
        <f t="shared" si="2"/>
        <v>0.7891358706</v>
      </c>
    </row>
    <row r="5018">
      <c r="A5018" s="4">
        <v>5018.0</v>
      </c>
      <c r="B5018" s="5" t="s">
        <v>27358</v>
      </c>
      <c r="C5018" s="5" t="s">
        <v>27359</v>
      </c>
      <c r="D5018" s="5" t="s">
        <v>27360</v>
      </c>
      <c r="E5018" s="6" t="s">
        <v>74</v>
      </c>
      <c r="F5018" s="6" t="s">
        <v>27361</v>
      </c>
      <c r="G5018" s="3" t="str">
        <f>IFERROR(__xludf.DUMMYFUNCTION("REGEXREPLACE(
D5018,
""([一-龯々]+)\[([^\]]+)\]"",
""&lt;ruby&gt;$1&lt;rt&gt;$2&lt;/rt&gt;&lt;/ruby&gt;""
)&amp;""&lt;br&gt;&lt;div class=""""audio""""&gt;[sound:""&amp;C5018&amp;"".mp3]&lt;/div&gt;"""),"&lt;ruby&gt;結&lt;rt&gt;むす&lt;/rt&gt;&lt;/ruby&gt;び&lt;ruby&gt;付&lt;rt&gt;つ&lt;/rt&gt;&lt;/ruby&gt;き&lt;br&gt;&lt;div class=""audio""&gt;[sound:むすびつき.mp3]&lt;/div&gt;")</f>
        <v>&lt;ruby&gt;結&lt;rt&gt;むす&lt;/rt&gt;&lt;/ruby&gt;び&lt;ruby&gt;付&lt;rt&gt;つ&lt;/rt&gt;&lt;/ruby&gt;き&lt;br&gt;&lt;div class="audio"&gt;[sound:むすびつき.mp3]&lt;/div&gt;</v>
      </c>
      <c r="H5018" s="3" t="str">
        <f t="shared" si="1"/>
        <v>(n): sự gắn kết</v>
      </c>
      <c r="I5018" s="6" t="s">
        <v>27362</v>
      </c>
      <c r="J5018" s="6" t="s">
        <v>27363</v>
      </c>
      <c r="K5018" s="7">
        <f t="shared" si="2"/>
        <v>0.7605634776</v>
      </c>
    </row>
    <row r="5019">
      <c r="A5019" s="4">
        <v>5019.0</v>
      </c>
      <c r="B5019" s="5" t="s">
        <v>27364</v>
      </c>
      <c r="C5019" s="5" t="s">
        <v>27365</v>
      </c>
      <c r="D5019" s="5" t="s">
        <v>27366</v>
      </c>
      <c r="E5019" s="6" t="s">
        <v>74</v>
      </c>
      <c r="F5019" s="6" t="s">
        <v>27367</v>
      </c>
      <c r="G5019" s="3" t="str">
        <f>IFERROR(__xludf.DUMMYFUNCTION("REGEXREPLACE(
D5019,
""([一-龯々]+)\[([^\]]+)\]"",
""&lt;ruby&gt;$1&lt;rt&gt;$2&lt;/rt&gt;&lt;/ruby&gt;""
)&amp;""&lt;br&gt;&lt;div class=""""audio""""&gt;[sound:""&amp;C5019&amp;"".mp3]&lt;/div&gt;"""),"&lt;ruby&gt;聴覚&lt;rt&gt;ちょうかく&lt;/rt&gt;&lt;/ruby&gt;&lt;br&gt;&lt;div class=""audio""&gt;[sound:ちょうかく.mp3]&lt;/div&gt;")</f>
        <v>&lt;ruby&gt;聴覚&lt;rt&gt;ちょうかく&lt;/rt&gt;&lt;/ruby&gt;&lt;br&gt;&lt;div class="audio"&gt;[sound:ちょうかく.mp3]&lt;/div&gt;</v>
      </c>
      <c r="H5019" s="3" t="str">
        <f t="shared" si="1"/>
        <v>(n): thính giác</v>
      </c>
      <c r="I5019" s="6" t="s">
        <v>27368</v>
      </c>
      <c r="J5019" s="6" t="s">
        <v>27369</v>
      </c>
      <c r="K5019" s="7">
        <f t="shared" si="2"/>
        <v>0.9549853613</v>
      </c>
    </row>
    <row r="5020">
      <c r="A5020" s="4">
        <v>5020.0</v>
      </c>
      <c r="B5020" s="5" t="s">
        <v>27370</v>
      </c>
      <c r="C5020" s="5" t="s">
        <v>27371</v>
      </c>
      <c r="D5020" s="5" t="s">
        <v>27372</v>
      </c>
      <c r="E5020" s="6" t="s">
        <v>24</v>
      </c>
      <c r="F5020" s="6" t="s">
        <v>27373</v>
      </c>
      <c r="G5020" s="3" t="str">
        <f>IFERROR(__xludf.DUMMYFUNCTION("REGEXREPLACE(
D5020,
""([一-龯々]+)\[([^\]]+)\]"",
""&lt;ruby&gt;$1&lt;rt&gt;$2&lt;/rt&gt;&lt;/ruby&gt;""
)&amp;""&lt;br&gt;&lt;div class=""""audio""""&gt;[sound:""&amp;C5020&amp;"".mp3]&lt;/div&gt;"""),"&lt;ruby&gt;麻痺&lt;rt&gt;まひ&lt;/rt&gt;&lt;/ruby&gt;&lt;br&gt;&lt;div class=""audio""&gt;[sound:まひ.mp3]&lt;/div&gt;")</f>
        <v>&lt;ruby&gt;麻痺&lt;rt&gt;まひ&lt;/rt&gt;&lt;/ruby&gt;&lt;br&gt;&lt;div class="audio"&gt;[sound:まひ.mp3]&lt;/div&gt;</v>
      </c>
      <c r="H5020" s="3" t="str">
        <f t="shared" si="1"/>
        <v>(v): tê liệt</v>
      </c>
      <c r="I5020" s="6" t="s">
        <v>27374</v>
      </c>
      <c r="J5020" s="6" t="s">
        <v>27375</v>
      </c>
      <c r="K5020" s="7">
        <f t="shared" si="2"/>
        <v>0.3166334679</v>
      </c>
    </row>
    <row r="5021">
      <c r="A5021" s="4">
        <v>5021.0</v>
      </c>
      <c r="B5021" s="5" t="s">
        <v>27376</v>
      </c>
      <c r="C5021" s="5" t="s">
        <v>27376</v>
      </c>
      <c r="D5021" s="5" t="s">
        <v>27376</v>
      </c>
      <c r="E5021" s="6" t="s">
        <v>11</v>
      </c>
      <c r="F5021" s="6" t="s">
        <v>20673</v>
      </c>
      <c r="G5021" s="3" t="str">
        <f>IFERROR(__xludf.DUMMYFUNCTION("REGEXREPLACE(
D5021,
""([一-龯々]+)\[([^\]]+)\]"",
""&lt;ruby&gt;$1&lt;rt&gt;$2&lt;/rt&gt;&lt;/ruby&gt;""
)&amp;""&lt;br&gt;&lt;div class=""""audio""""&gt;[sound:""&amp;C5021&amp;"".mp3]&lt;/div&gt;"""),"いやらしい&lt;br&gt;&lt;div class=""audio""&gt;[sound:いやらしい.mp3]&lt;/div&gt;")</f>
        <v>いやらしい&lt;br&gt;&lt;div class="audio"&gt;[sound:いやらしい.mp3]&lt;/div&gt;</v>
      </c>
      <c r="H5021" s="3" t="str">
        <f t="shared" si="1"/>
        <v>(adj): đáng ghét</v>
      </c>
      <c r="I5021" s="6" t="s">
        <v>27377</v>
      </c>
      <c r="J5021" s="6" t="s">
        <v>27378</v>
      </c>
      <c r="K5021" s="7">
        <f t="shared" si="2"/>
        <v>0.7855925684</v>
      </c>
    </row>
    <row r="5022">
      <c r="A5022" s="4">
        <v>5022.0</v>
      </c>
      <c r="B5022" s="5" t="s">
        <v>27379</v>
      </c>
      <c r="C5022" s="5" t="s">
        <v>27379</v>
      </c>
      <c r="D5022" s="5" t="s">
        <v>27379</v>
      </c>
      <c r="E5022" s="6" t="s">
        <v>85</v>
      </c>
      <c r="F5022" s="6" t="s">
        <v>10891</v>
      </c>
      <c r="G5022" s="3" t="str">
        <f>IFERROR(__xludf.DUMMYFUNCTION("REGEXREPLACE(
D5022,
""([一-龯々]+)\[([^\]]+)\]"",
""&lt;ruby&gt;$1&lt;rt&gt;$2&lt;/rt&gt;&lt;/ruby&gt;""
)&amp;""&lt;br&gt;&lt;div class=""""audio""""&gt;[sound:""&amp;C5022&amp;"".mp3]&lt;/div&gt;"""),"がっくり&lt;br&gt;&lt;div class=""audio""&gt;[sound:がっくり.mp3]&lt;/div&gt;")</f>
        <v>がっくり&lt;br&gt;&lt;div class="audio"&gt;[sound:がっくり.mp3]&lt;/div&gt;</v>
      </c>
      <c r="H5022" s="3" t="str">
        <f t="shared" si="1"/>
        <v>(adv): thất vọng</v>
      </c>
      <c r="I5022" s="6" t="s">
        <v>27380</v>
      </c>
      <c r="J5022" s="6" t="s">
        <v>27381</v>
      </c>
      <c r="K5022" s="7">
        <f t="shared" si="2"/>
        <v>0.09055730839</v>
      </c>
    </row>
    <row r="5023">
      <c r="A5023" s="4">
        <v>5023.0</v>
      </c>
      <c r="B5023" s="5" t="s">
        <v>27382</v>
      </c>
      <c r="C5023" s="5" t="s">
        <v>27382</v>
      </c>
      <c r="D5023" s="5" t="s">
        <v>27382</v>
      </c>
      <c r="E5023" s="6" t="s">
        <v>85</v>
      </c>
      <c r="F5023" s="6" t="s">
        <v>19402</v>
      </c>
      <c r="G5023" s="3" t="str">
        <f>IFERROR(__xludf.DUMMYFUNCTION("REGEXREPLACE(
D5023,
""([一-龯々]+)\[([^\]]+)\]"",
""&lt;ruby&gt;$1&lt;rt&gt;$2&lt;/rt&gt;&lt;/ruby&gt;""
)&amp;""&lt;br&gt;&lt;div class=""""audio""""&gt;[sound:""&amp;C5023&amp;"".mp3]&lt;/div&gt;"""),"すんなり&lt;br&gt;&lt;div class=""audio""&gt;[sound:すんなり.mp3]&lt;/div&gt;")</f>
        <v>すんなり&lt;br&gt;&lt;div class="audio"&gt;[sound:すんなり.mp3]&lt;/div&gt;</v>
      </c>
      <c r="H5023" s="3" t="str">
        <f t="shared" si="1"/>
        <v>(adv): trôi chảy</v>
      </c>
      <c r="I5023" s="6" t="s">
        <v>27383</v>
      </c>
      <c r="J5023" s="6" t="s">
        <v>27384</v>
      </c>
      <c r="K5023" s="7">
        <f t="shared" si="2"/>
        <v>0.8595185228</v>
      </c>
    </row>
    <row r="5024">
      <c r="A5024" s="4">
        <v>5024.0</v>
      </c>
      <c r="B5024" s="5" t="s">
        <v>27385</v>
      </c>
      <c r="C5024" s="5" t="s">
        <v>27385</v>
      </c>
      <c r="D5024" s="5" t="s">
        <v>27385</v>
      </c>
      <c r="E5024" s="6" t="s">
        <v>85</v>
      </c>
      <c r="F5024" s="6" t="s">
        <v>27386</v>
      </c>
      <c r="G5024" s="3" t="str">
        <f>IFERROR(__xludf.DUMMYFUNCTION("REGEXREPLACE(
D5024,
""([一-龯々]+)\[([^\]]+)\]"",
""&lt;ruby&gt;$1&lt;rt&gt;$2&lt;/rt&gt;&lt;/ruby&gt;""
)&amp;""&lt;br&gt;&lt;div class=""""audio""""&gt;[sound:""&amp;C5024&amp;"".mp3]&lt;/div&gt;"""),"もろに&lt;br&gt;&lt;div class=""audio""&gt;[sound:もろに.mp3]&lt;/div&gt;")</f>
        <v>もろに&lt;br&gt;&lt;div class="audio"&gt;[sound:もろに.mp3]&lt;/div&gt;</v>
      </c>
      <c r="H5024" s="3" t="str">
        <f t="shared" si="1"/>
        <v>(adv): trực diện</v>
      </c>
      <c r="I5024" s="6" t="s">
        <v>27387</v>
      </c>
      <c r="J5024" s="6" t="s">
        <v>27388</v>
      </c>
      <c r="K5024" s="7">
        <f t="shared" si="2"/>
        <v>0.6591062563</v>
      </c>
    </row>
    <row r="5025">
      <c r="A5025" s="4">
        <v>5025.0</v>
      </c>
      <c r="B5025" s="5" t="s">
        <v>27389</v>
      </c>
      <c r="C5025" s="5" t="s">
        <v>27390</v>
      </c>
      <c r="D5025" s="5" t="s">
        <v>27391</v>
      </c>
      <c r="E5025" s="6" t="s">
        <v>74</v>
      </c>
      <c r="F5025" s="6" t="s">
        <v>27392</v>
      </c>
      <c r="G5025" s="3" t="str">
        <f>IFERROR(__xludf.DUMMYFUNCTION("REGEXREPLACE(
D5025,
""([一-龯々]+)\[([^\]]+)\]"",
""&lt;ruby&gt;$1&lt;rt&gt;$2&lt;/rt&gt;&lt;/ruby&gt;""
)&amp;""&lt;br&gt;&lt;div class=""""audio""""&gt;[sound:""&amp;C5025&amp;"".mp3]&lt;/div&gt;"""),"&lt;ruby&gt;一心&lt;rt&gt;いっしん&lt;/rt&gt;&lt;/ruby&gt;&lt;br&gt;&lt;div class=""audio""&gt;[sound:いっしん.mp3]&lt;/div&gt;")</f>
        <v>&lt;ruby&gt;一心&lt;rt&gt;いっしん&lt;/rt&gt;&lt;/ruby&gt;&lt;br&gt;&lt;div class="audio"&gt;[sound:いっしん.mp3]&lt;/div&gt;</v>
      </c>
      <c r="H5025" s="3" t="str">
        <f t="shared" si="1"/>
        <v>(n): đồng lòng</v>
      </c>
      <c r="I5025" s="6" t="s">
        <v>27393</v>
      </c>
      <c r="J5025" s="6" t="s">
        <v>27394</v>
      </c>
      <c r="K5025" s="7">
        <f t="shared" si="2"/>
        <v>0.6895015127</v>
      </c>
    </row>
    <row r="5026">
      <c r="A5026" s="4">
        <v>5026.0</v>
      </c>
      <c r="B5026" s="5" t="s">
        <v>27395</v>
      </c>
      <c r="C5026" s="5" t="s">
        <v>27396</v>
      </c>
      <c r="D5026" s="5" t="s">
        <v>27397</v>
      </c>
      <c r="E5026" s="6" t="s">
        <v>74</v>
      </c>
      <c r="F5026" s="6" t="s">
        <v>27398</v>
      </c>
      <c r="G5026" s="3" t="str">
        <f>IFERROR(__xludf.DUMMYFUNCTION("REGEXREPLACE(
D5026,
""([一-龯々]+)\[([^\]]+)\]"",
""&lt;ruby&gt;$1&lt;rt&gt;$2&lt;/rt&gt;&lt;/ruby&gt;""
)&amp;""&lt;br&gt;&lt;div class=""""audio""""&gt;[sound:""&amp;C5026&amp;"".mp3]&lt;/div&gt;"""),"&lt;ruby&gt;下痢&lt;rt&gt;げり&lt;/rt&gt;&lt;/ruby&gt;&lt;br&gt;&lt;div class=""audio""&gt;[sound:げり.mp3]&lt;/div&gt;")</f>
        <v>&lt;ruby&gt;下痢&lt;rt&gt;げり&lt;/rt&gt;&lt;/ruby&gt;&lt;br&gt;&lt;div class="audio"&gt;[sound:げり.mp3]&lt;/div&gt;</v>
      </c>
      <c r="H5026" s="3" t="str">
        <f t="shared" si="1"/>
        <v>(n): tiêu chảy</v>
      </c>
      <c r="I5026" s="6" t="s">
        <v>27399</v>
      </c>
      <c r="J5026" s="6" t="s">
        <v>27400</v>
      </c>
      <c r="K5026" s="7">
        <f t="shared" si="2"/>
        <v>0.7095378119</v>
      </c>
    </row>
    <row r="5027">
      <c r="A5027" s="4">
        <v>5027.0</v>
      </c>
      <c r="B5027" s="5" t="s">
        <v>27401</v>
      </c>
      <c r="C5027" s="5" t="s">
        <v>27402</v>
      </c>
      <c r="D5027" s="5" t="s">
        <v>27403</v>
      </c>
      <c r="E5027" s="6" t="s">
        <v>74</v>
      </c>
      <c r="F5027" s="6" t="s">
        <v>17502</v>
      </c>
      <c r="G5027" s="3" t="str">
        <f>IFERROR(__xludf.DUMMYFUNCTION("REGEXREPLACE(
D5027,
""([一-龯々]+)\[([^\]]+)\]"",
""&lt;ruby&gt;$1&lt;rt&gt;$2&lt;/rt&gt;&lt;/ruby&gt;""
)&amp;""&lt;br&gt;&lt;div class=""""audio""""&gt;[sound:""&amp;C5027&amp;"".mp3]&lt;/div&gt;"""),"&lt;ruby&gt;並列&lt;rt&gt;へいれつ&lt;/rt&gt;&lt;/ruby&gt;&lt;br&gt;&lt;div class=""audio""&gt;[sound:へいれつ.mp3]&lt;/div&gt;")</f>
        <v>&lt;ruby&gt;並列&lt;rt&gt;へいれつ&lt;/rt&gt;&lt;/ruby&gt;&lt;br&gt;&lt;div class="audio"&gt;[sound:へいれつ.mp3]&lt;/div&gt;</v>
      </c>
      <c r="H5027" s="3" t="str">
        <f t="shared" si="1"/>
        <v>(n): song song</v>
      </c>
      <c r="I5027" s="6" t="s">
        <v>27404</v>
      </c>
      <c r="J5027" s="6" t="s">
        <v>27405</v>
      </c>
      <c r="K5027" s="7">
        <f t="shared" si="2"/>
        <v>0.8824308809</v>
      </c>
    </row>
    <row r="5028">
      <c r="A5028" s="4">
        <v>5028.0</v>
      </c>
      <c r="B5028" s="5" t="s">
        <v>27406</v>
      </c>
      <c r="C5028" s="5" t="s">
        <v>27407</v>
      </c>
      <c r="D5028" s="5" t="s">
        <v>27408</v>
      </c>
      <c r="E5028" s="6" t="s">
        <v>85</v>
      </c>
      <c r="F5028" s="6" t="s">
        <v>4743</v>
      </c>
      <c r="G5028" s="3" t="str">
        <f>IFERROR(__xludf.DUMMYFUNCTION("REGEXREPLACE(
D5028,
""([一-龯々]+)\[([^\]]+)\]"",
""&lt;ruby&gt;$1&lt;rt&gt;$2&lt;/rt&gt;&lt;/ruby&gt;""
)&amp;""&lt;br&gt;&lt;div class=""""audio""""&gt;[sound:""&amp;C5028&amp;"".mp3]&lt;/div&gt;"""),"&lt;ruby&gt;丸々&lt;rt&gt;まるまる&lt;/rt&gt;&lt;/ruby&gt;&lt;br&gt;&lt;div class=""audio""&gt;[sound:まるまる.mp3]&lt;/div&gt;")</f>
        <v>&lt;ruby&gt;丸々&lt;rt&gt;まるまる&lt;/rt&gt;&lt;/ruby&gt;&lt;br&gt;&lt;div class="audio"&gt;[sound:まるまる.mp3]&lt;/div&gt;</v>
      </c>
      <c r="H5028" s="3" t="str">
        <f t="shared" si="1"/>
        <v>(adv): hoàn toàn</v>
      </c>
      <c r="I5028" s="6" t="s">
        <v>27409</v>
      </c>
      <c r="J5028" s="6" t="s">
        <v>27410</v>
      </c>
      <c r="K5028" s="7">
        <f t="shared" si="2"/>
        <v>0.6024258967</v>
      </c>
    </row>
    <row r="5029">
      <c r="A5029" s="4">
        <v>5029.0</v>
      </c>
      <c r="B5029" s="5" t="s">
        <v>27411</v>
      </c>
      <c r="C5029" s="5" t="s">
        <v>27412</v>
      </c>
      <c r="D5029" s="5" t="s">
        <v>27413</v>
      </c>
      <c r="E5029" s="6" t="s">
        <v>24</v>
      </c>
      <c r="F5029" s="6" t="s">
        <v>27414</v>
      </c>
      <c r="G5029" s="3" t="str">
        <f>IFERROR(__xludf.DUMMYFUNCTION("REGEXREPLACE(
D5029,
""([一-龯々]+)\[([^\]]+)\]"",
""&lt;ruby&gt;$1&lt;rt&gt;$2&lt;/rt&gt;&lt;/ruby&gt;""
)&amp;""&lt;br&gt;&lt;div class=""""audio""""&gt;[sound:""&amp;C5029&amp;"".mp3]&lt;/div&gt;"""),"&lt;ruby&gt;仕入&lt;rt&gt;しい&lt;/rt&gt;&lt;/ruby&gt;れる&lt;br&gt;&lt;div class=""audio""&gt;[sound:しいれる.mp3]&lt;/div&gt;")</f>
        <v>&lt;ruby&gt;仕入&lt;rt&gt;しい&lt;/rt&gt;&lt;/ruby&gt;れる&lt;br&gt;&lt;div class="audio"&gt;[sound:しいれる.mp3]&lt;/div&gt;</v>
      </c>
      <c r="H5029" s="3" t="str">
        <f t="shared" si="1"/>
        <v>(v): nhập hàng</v>
      </c>
      <c r="I5029" s="6" t="s">
        <v>27415</v>
      </c>
      <c r="J5029" s="6" t="s">
        <v>27416</v>
      </c>
      <c r="K5029" s="7">
        <f t="shared" si="2"/>
        <v>0.4860859009</v>
      </c>
    </row>
    <row r="5030">
      <c r="A5030" s="4">
        <v>5030.0</v>
      </c>
      <c r="B5030" s="5" t="s">
        <v>27417</v>
      </c>
      <c r="C5030" s="5" t="s">
        <v>27418</v>
      </c>
      <c r="D5030" s="5" t="s">
        <v>27419</v>
      </c>
      <c r="E5030" s="6" t="s">
        <v>74</v>
      </c>
      <c r="F5030" s="6" t="s">
        <v>27420</v>
      </c>
      <c r="G5030" s="3" t="str">
        <f>IFERROR(__xludf.DUMMYFUNCTION("REGEXREPLACE(
D5030,
""([一-龯々]+)\[([^\]]+)\]"",
""&lt;ruby&gt;$1&lt;rt&gt;$2&lt;/rt&gt;&lt;/ruby&gt;""
)&amp;""&lt;br&gt;&lt;div class=""""audio""""&gt;[sound:""&amp;C5030&amp;"".mp3]&lt;/div&gt;"""),"&lt;ruby&gt;消去&lt;rt&gt;しょうきょ&lt;/rt&gt;&lt;/ruby&gt;&lt;br&gt;&lt;div class=""audio""&gt;[sound:しょうきょ.mp3]&lt;/div&gt;")</f>
        <v>&lt;ruby&gt;消去&lt;rt&gt;しょうきょ&lt;/rt&gt;&lt;/ruby&gt;&lt;br&gt;&lt;div class="audio"&gt;[sound:しょうきょ.mp3]&lt;/div&gt;</v>
      </c>
      <c r="H5030" s="3" t="str">
        <f t="shared" si="1"/>
        <v>(n): xóa bỏ</v>
      </c>
      <c r="I5030" s="6" t="s">
        <v>27421</v>
      </c>
      <c r="J5030" s="6" t="s">
        <v>27422</v>
      </c>
      <c r="K5030" s="7">
        <f t="shared" si="2"/>
        <v>0.8817283374</v>
      </c>
    </row>
    <row r="5031">
      <c r="A5031" s="4">
        <v>5031.0</v>
      </c>
      <c r="B5031" s="5" t="s">
        <v>27423</v>
      </c>
      <c r="C5031" s="5" t="s">
        <v>27424</v>
      </c>
      <c r="D5031" s="5" t="s">
        <v>27425</v>
      </c>
      <c r="E5031" s="6" t="s">
        <v>74</v>
      </c>
      <c r="F5031" s="6" t="s">
        <v>27426</v>
      </c>
      <c r="G5031" s="3" t="str">
        <f>IFERROR(__xludf.DUMMYFUNCTION("REGEXREPLACE(
D5031,
""([一-龯々]+)\[([^\]]+)\]"",
""&lt;ruby&gt;$1&lt;rt&gt;$2&lt;/rt&gt;&lt;/ruby&gt;""
)&amp;""&lt;br&gt;&lt;div class=""""audio""""&gt;[sound:""&amp;C5031&amp;"".mp3]&lt;/div&gt;"""),"&lt;ruby&gt;用法&lt;rt&gt;ようほう&lt;/rt&gt;&lt;/ruby&gt;&lt;br&gt;&lt;div class=""audio""&gt;[sound:ようほう.mp3]&lt;/div&gt;")</f>
        <v>&lt;ruby&gt;用法&lt;rt&gt;ようほう&lt;/rt&gt;&lt;/ruby&gt;&lt;br&gt;&lt;div class="audio"&gt;[sound:ようほう.mp3]&lt;/div&gt;</v>
      </c>
      <c r="H5031" s="3" t="str">
        <f t="shared" si="1"/>
        <v>(n): cách dùng</v>
      </c>
      <c r="I5031" s="6" t="s">
        <v>27427</v>
      </c>
      <c r="J5031" s="6" t="s">
        <v>27428</v>
      </c>
      <c r="K5031" s="7">
        <f t="shared" si="2"/>
        <v>0.6921028516</v>
      </c>
    </row>
    <row r="5032">
      <c r="A5032" s="4">
        <v>5032.0</v>
      </c>
      <c r="B5032" s="5" t="s">
        <v>27429</v>
      </c>
      <c r="C5032" s="5" t="s">
        <v>27430</v>
      </c>
      <c r="D5032" s="5" t="s">
        <v>27431</v>
      </c>
      <c r="E5032" s="6" t="s">
        <v>74</v>
      </c>
      <c r="F5032" s="6" t="s">
        <v>27432</v>
      </c>
      <c r="G5032" s="3" t="str">
        <f>IFERROR(__xludf.DUMMYFUNCTION("REGEXREPLACE(
D5032,
""([一-龯々]+)\[([^\]]+)\]"",
""&lt;ruby&gt;$1&lt;rt&gt;$2&lt;/rt&gt;&lt;/ruby&gt;""
)&amp;""&lt;br&gt;&lt;div class=""""audio""""&gt;[sound:""&amp;C5032&amp;"".mp3]&lt;/div&gt;"""),"&lt;ruby&gt;立体&lt;rt&gt;りったい&lt;/rt&gt;&lt;/ruby&gt;&lt;br&gt;&lt;div class=""audio""&gt;[sound:りったい.mp3]&lt;/div&gt;")</f>
        <v>&lt;ruby&gt;立体&lt;rt&gt;りったい&lt;/rt&gt;&lt;/ruby&gt;&lt;br&gt;&lt;div class="audio"&gt;[sound:りったい.mp3]&lt;/div&gt;</v>
      </c>
      <c r="H5032" s="3" t="str">
        <f t="shared" si="1"/>
        <v>(n): hình khối</v>
      </c>
      <c r="I5032" s="6" t="s">
        <v>27433</v>
      </c>
      <c r="J5032" s="6" t="s">
        <v>27434</v>
      </c>
      <c r="K5032" s="7">
        <f t="shared" si="2"/>
        <v>0.8520423672</v>
      </c>
    </row>
    <row r="5033">
      <c r="A5033" s="4">
        <v>5033.0</v>
      </c>
      <c r="B5033" s="5" t="s">
        <v>27435</v>
      </c>
      <c r="C5033" s="5" t="s">
        <v>4491</v>
      </c>
      <c r="D5033" s="5" t="s">
        <v>27436</v>
      </c>
      <c r="E5033" s="6" t="s">
        <v>24</v>
      </c>
      <c r="F5033" s="6" t="s">
        <v>27437</v>
      </c>
      <c r="G5033" s="3" t="str">
        <f>IFERROR(__xludf.DUMMYFUNCTION("REGEXREPLACE(
D5033,
""([一-龯々]+)\[([^\]]+)\]"",
""&lt;ruby&gt;$1&lt;rt&gt;$2&lt;/rt&gt;&lt;/ruby&gt;""
)&amp;""&lt;br&gt;&lt;div class=""""audio""""&gt;[sound:""&amp;C5033&amp;"".mp3]&lt;/div&gt;"""),"&lt;ruby&gt;絶&lt;rt&gt;た&lt;/rt&gt;&lt;/ruby&gt;える&lt;br&gt;&lt;div class=""audio""&gt;[sound:たえる.mp3]&lt;/div&gt;")</f>
        <v>&lt;ruby&gt;絶&lt;rt&gt;た&lt;/rt&gt;&lt;/ruby&gt;える&lt;br&gt;&lt;div class="audio"&gt;[sound:たえる.mp3]&lt;/div&gt;</v>
      </c>
      <c r="H5033" s="3" t="str">
        <f t="shared" si="1"/>
        <v>(v): ngừng</v>
      </c>
      <c r="I5033" s="6" t="s">
        <v>27438</v>
      </c>
      <c r="J5033" s="6" t="s">
        <v>27439</v>
      </c>
      <c r="K5033" s="7">
        <f t="shared" si="2"/>
        <v>0.06334062618</v>
      </c>
    </row>
    <row r="5034">
      <c r="A5034" s="4">
        <v>5034.0</v>
      </c>
      <c r="B5034" s="5" t="s">
        <v>27440</v>
      </c>
      <c r="C5034" s="5" t="s">
        <v>27441</v>
      </c>
      <c r="D5034" s="5" t="s">
        <v>27442</v>
      </c>
      <c r="E5034" s="6" t="s">
        <v>74</v>
      </c>
      <c r="F5034" s="6" t="s">
        <v>27443</v>
      </c>
      <c r="G5034" s="3" t="str">
        <f>IFERROR(__xludf.DUMMYFUNCTION("REGEXREPLACE(
D5034,
""([一-龯々]+)\[([^\]]+)\]"",
""&lt;ruby&gt;$1&lt;rt&gt;$2&lt;/rt&gt;&lt;/ruby&gt;""
)&amp;""&lt;br&gt;&lt;div class=""""audio""""&gt;[sound:""&amp;C5034&amp;"".mp3]&lt;/div&gt;"""),"&lt;ruby&gt;苗&lt;rt&gt;なえ&lt;/rt&gt;&lt;/ruby&gt;&lt;br&gt;&lt;div class=""audio""&gt;[sound:なえ.mp3]&lt;/div&gt;")</f>
        <v>&lt;ruby&gt;苗&lt;rt&gt;なえ&lt;/rt&gt;&lt;/ruby&gt;&lt;br&gt;&lt;div class="audio"&gt;[sound:なえ.mp3]&lt;/div&gt;</v>
      </c>
      <c r="H5034" s="3" t="str">
        <f t="shared" si="1"/>
        <v>(n): cây giống</v>
      </c>
      <c r="I5034" s="6" t="s">
        <v>27444</v>
      </c>
      <c r="J5034" s="6" t="s">
        <v>27445</v>
      </c>
      <c r="K5034" s="7">
        <f t="shared" si="2"/>
        <v>0.8966671577</v>
      </c>
    </row>
    <row r="5035">
      <c r="A5035" s="4">
        <v>5035.0</v>
      </c>
      <c r="B5035" s="5" t="s">
        <v>27446</v>
      </c>
      <c r="C5035" s="5" t="s">
        <v>27447</v>
      </c>
      <c r="D5035" s="5" t="s">
        <v>27448</v>
      </c>
      <c r="E5035" s="6" t="s">
        <v>74</v>
      </c>
      <c r="F5035" s="6" t="s">
        <v>27449</v>
      </c>
      <c r="G5035" s="3" t="str">
        <f>IFERROR(__xludf.DUMMYFUNCTION("REGEXREPLACE(
D5035,
""([一-龯々]+)\[([^\]]+)\]"",
""&lt;ruby&gt;$1&lt;rt&gt;$2&lt;/rt&gt;&lt;/ruby&gt;""
)&amp;""&lt;br&gt;&lt;div class=""""audio""""&gt;[sound:""&amp;C5035&amp;"".mp3]&lt;/div&gt;"""),"&lt;ruby&gt;麻酔&lt;rt&gt;ますい&lt;/rt&gt;&lt;/ruby&gt;&lt;br&gt;&lt;div class=""audio""&gt;[sound:ますい.mp3]&lt;/div&gt;")</f>
        <v>&lt;ruby&gt;麻酔&lt;rt&gt;ますい&lt;/rt&gt;&lt;/ruby&gt;&lt;br&gt;&lt;div class="audio"&gt;[sound:ますい.mp3]&lt;/div&gt;</v>
      </c>
      <c r="H5035" s="3" t="str">
        <f t="shared" si="1"/>
        <v>(n): gây mê</v>
      </c>
      <c r="I5035" s="6" t="s">
        <v>27450</v>
      </c>
      <c r="J5035" s="6" t="s">
        <v>27451</v>
      </c>
      <c r="K5035" s="7">
        <f t="shared" si="2"/>
        <v>0.9816357304</v>
      </c>
    </row>
    <row r="5036">
      <c r="A5036" s="4">
        <v>5036.0</v>
      </c>
      <c r="B5036" s="5" t="s">
        <v>27452</v>
      </c>
      <c r="C5036" s="5" t="s">
        <v>27452</v>
      </c>
      <c r="D5036" s="5" t="s">
        <v>27452</v>
      </c>
      <c r="E5036" s="6" t="s">
        <v>90</v>
      </c>
      <c r="F5036" s="6" t="s">
        <v>9608</v>
      </c>
      <c r="G5036" s="3" t="str">
        <f>IFERROR(__xludf.DUMMYFUNCTION("REGEXREPLACE(
D5036,
""([一-龯々]+)\[([^\]]+)\]"",
""&lt;ruby&gt;$1&lt;rt&gt;$2&lt;/rt&gt;&lt;/ruby&gt;""
)&amp;""&lt;br&gt;&lt;div class=""""audio""""&gt;[sound:""&amp;C5036&amp;"".mp3]&lt;/div&gt;"""),"ひいては&lt;br&gt;&lt;div class=""audio""&gt;[sound:ひいては.mp3]&lt;/div&gt;")</f>
        <v>ひいては&lt;br&gt;&lt;div class="audio"&gt;[sound:ひいては.mp3]&lt;/div&gt;</v>
      </c>
      <c r="H5036" s="3" t="str">
        <f t="shared" si="1"/>
        <v>(conj): kéo theo</v>
      </c>
      <c r="I5036" s="6" t="s">
        <v>27453</v>
      </c>
      <c r="J5036" s="6" t="s">
        <v>27454</v>
      </c>
      <c r="K5036" s="7">
        <f t="shared" si="2"/>
        <v>0.8519584336</v>
      </c>
    </row>
    <row r="5037">
      <c r="A5037" s="4">
        <v>5037.0</v>
      </c>
      <c r="B5037" s="5" t="s">
        <v>27455</v>
      </c>
      <c r="C5037" s="5" t="s">
        <v>19798</v>
      </c>
      <c r="D5037" s="5" t="s">
        <v>27456</v>
      </c>
      <c r="E5037" s="6" t="s">
        <v>74</v>
      </c>
      <c r="F5037" s="6" t="s">
        <v>23669</v>
      </c>
      <c r="G5037" s="3" t="str">
        <f>IFERROR(__xludf.DUMMYFUNCTION("REGEXREPLACE(
D5037,
""([一-龯々]+)\[([^\]]+)\]"",
""&lt;ruby&gt;$1&lt;rt&gt;$2&lt;/rt&gt;&lt;/ruby&gt;""
)&amp;""&lt;br&gt;&lt;div class=""""audio""""&gt;[sound:""&amp;C5037&amp;"".mp3]&lt;/div&gt;"""),"&lt;ruby&gt;不審&lt;rt&gt;ふしん&lt;/rt&gt;&lt;/ruby&gt;&lt;br&gt;&lt;div class=""audio""&gt;[sound:ふしん.mp3]&lt;/div&gt;")</f>
        <v>&lt;ruby&gt;不審&lt;rt&gt;ふしん&lt;/rt&gt;&lt;/ruby&gt;&lt;br&gt;&lt;div class="audio"&gt;[sound:ふしん.mp3]&lt;/div&gt;</v>
      </c>
      <c r="H5037" s="3" t="str">
        <f t="shared" si="1"/>
        <v>(n): nghi ngờ</v>
      </c>
      <c r="I5037" s="6" t="s">
        <v>27457</v>
      </c>
      <c r="J5037" s="6" t="s">
        <v>27458</v>
      </c>
      <c r="K5037" s="7">
        <f t="shared" si="2"/>
        <v>0.5815669566</v>
      </c>
    </row>
    <row r="5038">
      <c r="A5038" s="4">
        <v>5038.0</v>
      </c>
      <c r="B5038" s="5" t="s">
        <v>27459</v>
      </c>
      <c r="C5038" s="5" t="s">
        <v>27460</v>
      </c>
      <c r="D5038" s="5" t="s">
        <v>27461</v>
      </c>
      <c r="E5038" s="6" t="s">
        <v>24</v>
      </c>
      <c r="F5038" s="6" t="s">
        <v>27462</v>
      </c>
      <c r="G5038" s="3" t="str">
        <f>IFERROR(__xludf.DUMMYFUNCTION("REGEXREPLACE(
D5038,
""([一-龯々]+)\[([^\]]+)\]"",
""&lt;ruby&gt;$1&lt;rt&gt;$2&lt;/rt&gt;&lt;/ruby&gt;""
)&amp;""&lt;br&gt;&lt;div class=""""audio""""&gt;[sound:""&amp;C5038&amp;"".mp3]&lt;/div&gt;"""),"&lt;ruby&gt;予言&lt;rt&gt;よげん&lt;/rt&gt;&lt;/ruby&gt;&lt;br&gt;&lt;div class=""audio""&gt;[sound:よげん.mp3]&lt;/div&gt;")</f>
        <v>&lt;ruby&gt;予言&lt;rt&gt;よげん&lt;/rt&gt;&lt;/ruby&gt;&lt;br&gt;&lt;div class="audio"&gt;[sound:よげん.mp3]&lt;/div&gt;</v>
      </c>
      <c r="H5038" s="3" t="str">
        <f t="shared" si="1"/>
        <v>(v): tiên tri</v>
      </c>
      <c r="I5038" s="6" t="s">
        <v>27463</v>
      </c>
      <c r="J5038" s="6" t="s">
        <v>27464</v>
      </c>
      <c r="K5038" s="7">
        <f t="shared" si="2"/>
        <v>0.8165270088</v>
      </c>
    </row>
    <row r="5039">
      <c r="A5039" s="4">
        <v>5039.0</v>
      </c>
      <c r="B5039" s="5" t="s">
        <v>27465</v>
      </c>
      <c r="C5039" s="5" t="s">
        <v>27466</v>
      </c>
      <c r="D5039" s="5" t="s">
        <v>27467</v>
      </c>
      <c r="E5039" s="6" t="s">
        <v>24</v>
      </c>
      <c r="F5039" s="6" t="s">
        <v>8524</v>
      </c>
      <c r="G5039" s="3" t="str">
        <f>IFERROR(__xludf.DUMMYFUNCTION("REGEXREPLACE(
D5039,
""([一-龯々]+)\[([^\]]+)\]"",
""&lt;ruby&gt;$1&lt;rt&gt;$2&lt;/rt&gt;&lt;/ruby&gt;""
)&amp;""&lt;br&gt;&lt;div class=""""audio""""&gt;[sound:""&amp;C5039&amp;"".mp3]&lt;/div&gt;"""),"&lt;ruby&gt;交&lt;rt&gt;かわ&lt;/rt&gt;&lt;/ruby&gt;す&lt;br&gt;&lt;div class=""audio""&gt;[sound:かわす.mp3]&lt;/div&gt;")</f>
        <v>&lt;ruby&gt;交&lt;rt&gt;かわ&lt;/rt&gt;&lt;/ruby&gt;す&lt;br&gt;&lt;div class="audio"&gt;[sound:かわす.mp3]&lt;/div&gt;</v>
      </c>
      <c r="H5039" s="3" t="str">
        <f t="shared" si="1"/>
        <v>(v): trao đổi</v>
      </c>
      <c r="I5039" s="6" t="s">
        <v>27468</v>
      </c>
      <c r="J5039" s="6" t="s">
        <v>27469</v>
      </c>
      <c r="K5039" s="7">
        <f t="shared" si="2"/>
        <v>0.5131094773</v>
      </c>
    </row>
    <row r="5040">
      <c r="A5040" s="4">
        <v>5040.0</v>
      </c>
      <c r="B5040" s="5" t="s">
        <v>27470</v>
      </c>
      <c r="C5040" s="5" t="s">
        <v>27471</v>
      </c>
      <c r="D5040" s="5" t="s">
        <v>27472</v>
      </c>
      <c r="E5040" s="6" t="s">
        <v>74</v>
      </c>
      <c r="F5040" s="6" t="s">
        <v>27473</v>
      </c>
      <c r="G5040" s="3" t="str">
        <f>IFERROR(__xludf.DUMMYFUNCTION("REGEXREPLACE(
D5040,
""([一-龯々]+)\[([^\]]+)\]"",
""&lt;ruby&gt;$1&lt;rt&gt;$2&lt;/rt&gt;&lt;/ruby&gt;""
)&amp;""&lt;br&gt;&lt;div class=""""audio""""&gt;[sound:""&amp;C5040&amp;"".mp3]&lt;/div&gt;"""),"&lt;ruby&gt;体格&lt;rt&gt;たいかく&lt;/rt&gt;&lt;/ruby&gt;&lt;br&gt;&lt;div class=""audio""&gt;[sound:たいかく.mp3]&lt;/div&gt;")</f>
        <v>&lt;ruby&gt;体格&lt;rt&gt;たいかく&lt;/rt&gt;&lt;/ruby&gt;&lt;br&gt;&lt;div class="audio"&gt;[sound:たいかく.mp3]&lt;/div&gt;</v>
      </c>
      <c r="H5040" s="3" t="str">
        <f t="shared" si="1"/>
        <v>(n): thể hình</v>
      </c>
      <c r="I5040" s="6" t="s">
        <v>27474</v>
      </c>
      <c r="J5040" s="6" t="s">
        <v>27475</v>
      </c>
      <c r="K5040" s="7">
        <f t="shared" si="2"/>
        <v>0.6692394804</v>
      </c>
    </row>
    <row r="5041">
      <c r="A5041" s="4">
        <v>5041.0</v>
      </c>
      <c r="B5041" s="5" t="s">
        <v>27476</v>
      </c>
      <c r="C5041" s="5" t="s">
        <v>27477</v>
      </c>
      <c r="D5041" s="5" t="s">
        <v>27478</v>
      </c>
      <c r="E5041" s="6" t="s">
        <v>74</v>
      </c>
      <c r="F5041" s="6" t="s">
        <v>13025</v>
      </c>
      <c r="G5041" s="3" t="str">
        <f>IFERROR(__xludf.DUMMYFUNCTION("REGEXREPLACE(
D5041,
""([一-龯々]+)\[([^\]]+)\]"",
""&lt;ruby&gt;$1&lt;rt&gt;$2&lt;/rt&gt;&lt;/ruby&gt;""
)&amp;""&lt;br&gt;&lt;div class=""""audio""""&gt;[sound:""&amp;C5041&amp;"".mp3]&lt;/div&gt;"""),"&lt;ruby&gt;比例&lt;rt&gt;ひれい&lt;/rt&gt;&lt;/ruby&gt;&lt;br&gt;&lt;div class=""audio""&gt;[sound:ひれい.mp3]&lt;/div&gt;")</f>
        <v>&lt;ruby&gt;比例&lt;rt&gt;ひれい&lt;/rt&gt;&lt;/ruby&gt;&lt;br&gt;&lt;div class="audio"&gt;[sound:ひれい.mp3]&lt;/div&gt;</v>
      </c>
      <c r="H5041" s="3" t="str">
        <f t="shared" si="1"/>
        <v>(n): tỷ lệ</v>
      </c>
      <c r="I5041" s="6" t="s">
        <v>27479</v>
      </c>
      <c r="J5041" s="6" t="s">
        <v>27480</v>
      </c>
      <c r="K5041" s="7">
        <f t="shared" si="2"/>
        <v>0.1298915787</v>
      </c>
    </row>
    <row r="5042">
      <c r="A5042" s="4">
        <v>5042.0</v>
      </c>
      <c r="B5042" s="5" t="s">
        <v>27481</v>
      </c>
      <c r="C5042" s="5" t="s">
        <v>27482</v>
      </c>
      <c r="D5042" s="5" t="s">
        <v>27483</v>
      </c>
      <c r="E5042" s="6" t="s">
        <v>24</v>
      </c>
      <c r="F5042" s="6" t="s">
        <v>27484</v>
      </c>
      <c r="G5042" s="3" t="str">
        <f>IFERROR(__xludf.DUMMYFUNCTION("REGEXREPLACE(
D5042,
""([一-龯々]+)\[([^\]]+)\]"",
""&lt;ruby&gt;$1&lt;rt&gt;$2&lt;/rt&gt;&lt;/ruby&gt;""
)&amp;""&lt;br&gt;&lt;div class=""""audio""""&gt;[sound:""&amp;C5042&amp;"".mp3]&lt;/div&gt;"""),"&lt;ruby&gt;漂&lt;rt&gt;ただよ&lt;/rt&gt;&lt;/ruby&gt;う&lt;br&gt;&lt;div class=""audio""&gt;[sound:ただよう.mp3]&lt;/div&gt;")</f>
        <v>&lt;ruby&gt;漂&lt;rt&gt;ただよ&lt;/rt&gt;&lt;/ruby&gt;う&lt;br&gt;&lt;div class="audio"&gt;[sound:ただよう.mp3]&lt;/div&gt;</v>
      </c>
      <c r="H5042" s="3" t="str">
        <f t="shared" si="1"/>
        <v>(v): trôi nổi</v>
      </c>
      <c r="I5042" s="6" t="s">
        <v>27485</v>
      </c>
      <c r="J5042" s="6" t="s">
        <v>27486</v>
      </c>
      <c r="K5042" s="7">
        <f t="shared" si="2"/>
        <v>0.03697709734</v>
      </c>
    </row>
    <row r="5043">
      <c r="A5043" s="4">
        <v>5043.0</v>
      </c>
      <c r="B5043" s="5" t="s">
        <v>27487</v>
      </c>
      <c r="C5043" s="5" t="s">
        <v>27488</v>
      </c>
      <c r="D5043" s="5" t="s">
        <v>27489</v>
      </c>
      <c r="E5043" s="6" t="s">
        <v>24</v>
      </c>
      <c r="F5043" s="6" t="s">
        <v>27490</v>
      </c>
      <c r="G5043" s="3" t="str">
        <f>IFERROR(__xludf.DUMMYFUNCTION("REGEXREPLACE(
D5043,
""([一-龯々]+)\[([^\]]+)\]"",
""&lt;ruby&gt;$1&lt;rt&gt;$2&lt;/rt&gt;&lt;/ruby&gt;""
)&amp;""&lt;br&gt;&lt;div class=""""audio""""&gt;[sound:""&amp;C5043&amp;"".mp3]&lt;/div&gt;"""),"&lt;ruby&gt;甘&lt;rt&gt;あま&lt;/rt&gt;&lt;/ruby&gt;える&lt;br&gt;&lt;div class=""audio""&gt;[sound:あまえる.mp3]&lt;/div&gt;")</f>
        <v>&lt;ruby&gt;甘&lt;rt&gt;あま&lt;/rt&gt;&lt;/ruby&gt;える&lt;br&gt;&lt;div class="audio"&gt;[sound:あまえる.mp3]&lt;/div&gt;</v>
      </c>
      <c r="H5043" s="3" t="str">
        <f t="shared" si="1"/>
        <v>(v): nũng nịu</v>
      </c>
      <c r="I5043" s="6" t="s">
        <v>27491</v>
      </c>
      <c r="J5043" s="6" t="s">
        <v>27492</v>
      </c>
      <c r="K5043" s="7">
        <f t="shared" si="2"/>
        <v>0.2522460058</v>
      </c>
    </row>
    <row r="5044">
      <c r="A5044" s="4">
        <v>5044.0</v>
      </c>
      <c r="B5044" s="5" t="s">
        <v>27493</v>
      </c>
      <c r="C5044" s="5" t="s">
        <v>27494</v>
      </c>
      <c r="D5044" s="5" t="s">
        <v>27495</v>
      </c>
      <c r="E5044" s="6" t="s">
        <v>74</v>
      </c>
      <c r="F5044" s="6" t="s">
        <v>8436</v>
      </c>
      <c r="G5044" s="3" t="str">
        <f>IFERROR(__xludf.DUMMYFUNCTION("REGEXREPLACE(
D5044,
""([一-龯々]+)\[([^\]]+)\]"",
""&lt;ruby&gt;$1&lt;rt&gt;$2&lt;/rt&gt;&lt;/ruby&gt;""
)&amp;""&lt;br&gt;&lt;div class=""""audio""""&gt;[sound:""&amp;C5044&amp;"".mp3]&lt;/div&gt;"""),"&lt;ruby&gt;目途&lt;rt&gt;めど&lt;/rt&gt;&lt;/ruby&gt;&lt;br&gt;&lt;div class=""audio""&gt;[sound:めど.mp3]&lt;/div&gt;")</f>
        <v>&lt;ruby&gt;目途&lt;rt&gt;めど&lt;/rt&gt;&lt;/ruby&gt;&lt;br&gt;&lt;div class="audio"&gt;[sound:めど.mp3]&lt;/div&gt;</v>
      </c>
      <c r="H5044" s="3" t="str">
        <f t="shared" si="1"/>
        <v>(n): mục tiêu</v>
      </c>
      <c r="I5044" s="6" t="s">
        <v>27496</v>
      </c>
      <c r="J5044" s="6" t="s">
        <v>27497</v>
      </c>
      <c r="K5044" s="7">
        <f t="shared" si="2"/>
        <v>0.8090855955</v>
      </c>
    </row>
    <row r="5045">
      <c r="A5045" s="4">
        <v>5045.0</v>
      </c>
      <c r="B5045" s="5" t="s">
        <v>27498</v>
      </c>
      <c r="C5045" s="5" t="s">
        <v>27499</v>
      </c>
      <c r="D5045" s="5" t="s">
        <v>27500</v>
      </c>
      <c r="E5045" s="6" t="s">
        <v>74</v>
      </c>
      <c r="F5045" s="6" t="s">
        <v>3969</v>
      </c>
      <c r="G5045" s="3" t="str">
        <f>IFERROR(__xludf.DUMMYFUNCTION("REGEXREPLACE(
D5045,
""([一-龯々]+)\[([^\]]+)\]"",
""&lt;ruby&gt;$1&lt;rt&gt;$2&lt;/rt&gt;&lt;/ruby&gt;""
)&amp;""&lt;br&gt;&lt;div class=""""audio""""&gt;[sound:""&amp;C5045&amp;"".mp3]&lt;/div&gt;"""),"&lt;ruby&gt;着目&lt;rt&gt;ちゃくもく&lt;/rt&gt;&lt;/ruby&gt;&lt;br&gt;&lt;div class=""audio""&gt;[sound:ちゃくもく.mp3]&lt;/div&gt;")</f>
        <v>&lt;ruby&gt;着目&lt;rt&gt;ちゃくもく&lt;/rt&gt;&lt;/ruby&gt;&lt;br&gt;&lt;div class="audio"&gt;[sound:ちゃくもく.mp3]&lt;/div&gt;</v>
      </c>
      <c r="H5045" s="3" t="str">
        <f t="shared" si="1"/>
        <v>(n): chú ý</v>
      </c>
      <c r="I5045" s="6" t="s">
        <v>27501</v>
      </c>
      <c r="J5045" s="6" t="s">
        <v>27502</v>
      </c>
      <c r="K5045" s="7">
        <f t="shared" si="2"/>
        <v>0.3305673294</v>
      </c>
    </row>
    <row r="5046">
      <c r="A5046" s="4">
        <v>5046.0</v>
      </c>
      <c r="B5046" s="5" t="s">
        <v>27503</v>
      </c>
      <c r="C5046" s="5" t="s">
        <v>27504</v>
      </c>
      <c r="D5046" s="5" t="s">
        <v>27505</v>
      </c>
      <c r="E5046" s="6" t="s">
        <v>74</v>
      </c>
      <c r="F5046" s="6" t="s">
        <v>27506</v>
      </c>
      <c r="G5046" s="3" t="str">
        <f>IFERROR(__xludf.DUMMYFUNCTION("REGEXREPLACE(
D5046,
""([一-龯々]+)\[([^\]]+)\]"",
""&lt;ruby&gt;$1&lt;rt&gt;$2&lt;/rt&gt;&lt;/ruby&gt;""
)&amp;""&lt;br&gt;&lt;div class=""""audio""""&gt;[sound:""&amp;C5046&amp;"".mp3]&lt;/div&gt;"""),"&lt;ruby&gt;立法&lt;rt&gt;りっぽう&lt;/rt&gt;&lt;/ruby&gt;&lt;br&gt;&lt;div class=""audio""&gt;[sound:りっぽう.mp3]&lt;/div&gt;")</f>
        <v>&lt;ruby&gt;立法&lt;rt&gt;りっぽう&lt;/rt&gt;&lt;/ruby&gt;&lt;br&gt;&lt;div class="audio"&gt;[sound:りっぽう.mp3]&lt;/div&gt;</v>
      </c>
      <c r="H5046" s="3" t="str">
        <f t="shared" si="1"/>
        <v>(n): lập pháp</v>
      </c>
      <c r="I5046" s="6" t="s">
        <v>27507</v>
      </c>
      <c r="J5046" s="6" t="s">
        <v>27508</v>
      </c>
      <c r="K5046" s="7">
        <f t="shared" si="2"/>
        <v>0.6859099478</v>
      </c>
    </row>
    <row r="5047">
      <c r="A5047" s="4">
        <v>5047.0</v>
      </c>
      <c r="B5047" s="5" t="s">
        <v>27509</v>
      </c>
      <c r="C5047" s="5" t="s">
        <v>27510</v>
      </c>
      <c r="D5047" s="5" t="s">
        <v>27511</v>
      </c>
      <c r="E5047" s="6" t="s">
        <v>24</v>
      </c>
      <c r="F5047" s="6" t="s">
        <v>27512</v>
      </c>
      <c r="G5047" s="3" t="str">
        <f>IFERROR(__xludf.DUMMYFUNCTION("REGEXREPLACE(
D5047,
""([一-龯々]+)\[([^\]]+)\]"",
""&lt;ruby&gt;$1&lt;rt&gt;$2&lt;/rt&gt;&lt;/ruby&gt;""
)&amp;""&lt;br&gt;&lt;div class=""""audio""""&gt;[sound:""&amp;C5047&amp;"".mp3]&lt;/div&gt;"""),"&lt;ruby&gt;荒&lt;rt&gt;あ&lt;/rt&gt;&lt;/ruby&gt;らす&lt;br&gt;&lt;div class=""audio""&gt;[sound:あらす.mp3]&lt;/div&gt;")</f>
        <v>&lt;ruby&gt;荒&lt;rt&gt;あ&lt;/rt&gt;&lt;/ruby&gt;らす&lt;br&gt;&lt;div class="audio"&gt;[sound:あらす.mp3]&lt;/div&gt;</v>
      </c>
      <c r="H5047" s="3" t="str">
        <f t="shared" si="1"/>
        <v>(v): phá hoại</v>
      </c>
      <c r="I5047" s="6" t="s">
        <v>27513</v>
      </c>
      <c r="J5047" s="6" t="s">
        <v>27514</v>
      </c>
      <c r="K5047" s="7">
        <f t="shared" si="2"/>
        <v>0.4129663039</v>
      </c>
    </row>
    <row r="5048">
      <c r="A5048" s="4">
        <v>5048.0</v>
      </c>
      <c r="B5048" s="5" t="s">
        <v>27515</v>
      </c>
      <c r="C5048" s="5" t="s">
        <v>27516</v>
      </c>
      <c r="D5048" s="5" t="s">
        <v>27517</v>
      </c>
      <c r="E5048" s="6" t="s">
        <v>74</v>
      </c>
      <c r="F5048" s="6" t="s">
        <v>22525</v>
      </c>
      <c r="G5048" s="3" t="str">
        <f>IFERROR(__xludf.DUMMYFUNCTION("REGEXREPLACE(
D5048,
""([一-龯々]+)\[([^\]]+)\]"",
""&lt;ruby&gt;$1&lt;rt&gt;$2&lt;/rt&gt;&lt;/ruby&gt;""
)&amp;""&lt;br&gt;&lt;div class=""""audio""""&gt;[sound:""&amp;C5048&amp;"".mp3]&lt;/div&gt;"""),"&lt;ruby&gt;風習&lt;rt&gt;ふうしゅう&lt;/rt&gt;&lt;/ruby&gt;&lt;br&gt;&lt;div class=""audio""&gt;[sound:ふうしゅう.mp3]&lt;/div&gt;")</f>
        <v>&lt;ruby&gt;風習&lt;rt&gt;ふうしゅう&lt;/rt&gt;&lt;/ruby&gt;&lt;br&gt;&lt;div class="audio"&gt;[sound:ふうしゅう.mp3]&lt;/div&gt;</v>
      </c>
      <c r="H5048" s="3" t="str">
        <f t="shared" si="1"/>
        <v>(n): tập quán</v>
      </c>
      <c r="I5048" s="6" t="s">
        <v>27518</v>
      </c>
      <c r="J5048" s="6" t="s">
        <v>27519</v>
      </c>
      <c r="K5048" s="7">
        <f t="shared" si="2"/>
        <v>0.8973856404</v>
      </c>
    </row>
    <row r="5049">
      <c r="A5049" s="4">
        <v>5049.0</v>
      </c>
      <c r="B5049" s="5" t="s">
        <v>27520</v>
      </c>
      <c r="C5049" s="5" t="s">
        <v>27521</v>
      </c>
      <c r="D5049" s="5" t="s">
        <v>27522</v>
      </c>
      <c r="E5049" s="6" t="s">
        <v>74</v>
      </c>
      <c r="F5049" s="6" t="s">
        <v>27523</v>
      </c>
      <c r="G5049" s="3" t="str">
        <f>IFERROR(__xludf.DUMMYFUNCTION("REGEXREPLACE(
D5049,
""([一-龯々]+)\[([^\]]+)\]"",
""&lt;ruby&gt;$1&lt;rt&gt;$2&lt;/rt&gt;&lt;/ruby&gt;""
)&amp;""&lt;br&gt;&lt;div class=""""audio""""&gt;[sound:""&amp;C5049&amp;"".mp3]&lt;/div&gt;"""),"&lt;ruby&gt;鳥居&lt;rt&gt;とりい&lt;/rt&gt;&lt;/ruby&gt;&lt;br&gt;&lt;div class=""audio""&gt;[sound:とりい.mp3]&lt;/div&gt;")</f>
        <v>&lt;ruby&gt;鳥居&lt;rt&gt;とりい&lt;/rt&gt;&lt;/ruby&gt;&lt;br&gt;&lt;div class="audio"&gt;[sound:とりい.mp3]&lt;/div&gt;</v>
      </c>
      <c r="H5049" s="3" t="str">
        <f t="shared" si="1"/>
        <v>(n): cổng đền</v>
      </c>
      <c r="I5049" s="6" t="s">
        <v>27524</v>
      </c>
      <c r="J5049" s="6" t="s">
        <v>27525</v>
      </c>
      <c r="K5049" s="7">
        <f t="shared" si="2"/>
        <v>0.7832977282</v>
      </c>
    </row>
    <row r="5050">
      <c r="A5050" s="4">
        <v>5050.0</v>
      </c>
      <c r="B5050" s="5" t="s">
        <v>27526</v>
      </c>
      <c r="C5050" s="5" t="s">
        <v>27526</v>
      </c>
      <c r="D5050" s="5" t="s">
        <v>27526</v>
      </c>
      <c r="E5050" s="6" t="s">
        <v>74</v>
      </c>
      <c r="F5050" s="6" t="s">
        <v>1897</v>
      </c>
      <c r="G5050" s="3" t="str">
        <f>IFERROR(__xludf.DUMMYFUNCTION("REGEXREPLACE(
D5050,
""([一-龯々]+)\[([^\]]+)\]"",
""&lt;ruby&gt;$1&lt;rt&gt;$2&lt;/rt&gt;&lt;/ruby&gt;""
)&amp;""&lt;br&gt;&lt;div class=""""audio""""&gt;[sound:""&amp;C5050&amp;"".mp3]&lt;/div&gt;"""),"ありのまま&lt;br&gt;&lt;div class=""audio""&gt;[sound:ありのまま.mp3]&lt;/div&gt;")</f>
        <v>ありのまま&lt;br&gt;&lt;div class="audio"&gt;[sound:ありのまま.mp3]&lt;/div&gt;</v>
      </c>
      <c r="H5050" s="3" t="str">
        <f t="shared" si="1"/>
        <v>(n): thực tế</v>
      </c>
      <c r="I5050" s="6" t="s">
        <v>27527</v>
      </c>
      <c r="J5050" s="6" t="s">
        <v>27528</v>
      </c>
      <c r="K5050" s="7">
        <f t="shared" si="2"/>
        <v>0.686113495</v>
      </c>
    </row>
    <row r="5051">
      <c r="A5051" s="4">
        <v>5051.0</v>
      </c>
      <c r="B5051" s="5" t="s">
        <v>27529</v>
      </c>
      <c r="C5051" s="5" t="s">
        <v>27530</v>
      </c>
      <c r="D5051" s="5" t="s">
        <v>27531</v>
      </c>
      <c r="E5051" s="6" t="s">
        <v>74</v>
      </c>
      <c r="F5051" s="6" t="s">
        <v>27532</v>
      </c>
      <c r="G5051" s="3" t="str">
        <f>IFERROR(__xludf.DUMMYFUNCTION("REGEXREPLACE(
D5051,
""([一-龯々]+)\[([^\]]+)\]"",
""&lt;ruby&gt;$1&lt;rt&gt;$2&lt;/rt&gt;&lt;/ruby&gt;""
)&amp;""&lt;br&gt;&lt;div class=""""audio""""&gt;[sound:""&amp;C5051&amp;"".mp3]&lt;/div&gt;"""),"お&lt;ruby&gt;産&lt;rt&gt;さん&lt;/rt&gt;&lt;/ruby&gt;&lt;br&gt;&lt;div class=""audio""&gt;[sound:おさん.mp3]&lt;/div&gt;")</f>
        <v>お&lt;ruby&gt;産&lt;rt&gt;さん&lt;/rt&gt;&lt;/ruby&gt;&lt;br&gt;&lt;div class="audio"&gt;[sound:おさん.mp3]&lt;/div&gt;</v>
      </c>
      <c r="H5051" s="3" t="str">
        <f t="shared" si="1"/>
        <v>(n): sinh đẻ</v>
      </c>
      <c r="I5051" s="6" t="s">
        <v>27533</v>
      </c>
      <c r="J5051" s="6" t="s">
        <v>27534</v>
      </c>
      <c r="K5051" s="7">
        <f t="shared" si="2"/>
        <v>0.9159007031</v>
      </c>
    </row>
    <row r="5052">
      <c r="A5052" s="4">
        <v>5052.0</v>
      </c>
      <c r="B5052" s="5" t="s">
        <v>27535</v>
      </c>
      <c r="C5052" s="5" t="s">
        <v>27536</v>
      </c>
      <c r="D5052" s="5" t="s">
        <v>27537</v>
      </c>
      <c r="E5052" s="6" t="s">
        <v>85</v>
      </c>
      <c r="F5052" s="6" t="s">
        <v>9716</v>
      </c>
      <c r="G5052" s="3" t="str">
        <f>IFERROR(__xludf.DUMMYFUNCTION("REGEXREPLACE(
D5052,
""([一-龯々]+)\[([^\]]+)\]"",
""&lt;ruby&gt;$1&lt;rt&gt;$2&lt;/rt&gt;&lt;/ruby&gt;""
)&amp;""&lt;br&gt;&lt;div class=""""audio""""&gt;[sound:""&amp;C5052&amp;"".mp3]&lt;/div&gt;"""),"&lt;ruby&gt;丸&lt;rt&gt;まる&lt;/rt&gt;&lt;/ruby&gt;ごと&lt;br&gt;&lt;div class=""audio""&gt;[sound:まるごと.mp3]&lt;/div&gt;")</f>
        <v>&lt;ruby&gt;丸&lt;rt&gt;まる&lt;/rt&gt;&lt;/ruby&gt;ごと&lt;br&gt;&lt;div class="audio"&gt;[sound:まるごと.mp3]&lt;/div&gt;</v>
      </c>
      <c r="H5052" s="3" t="str">
        <f t="shared" si="1"/>
        <v>(adv): toàn bộ</v>
      </c>
      <c r="I5052" s="6" t="s">
        <v>27538</v>
      </c>
      <c r="J5052" s="6" t="s">
        <v>27539</v>
      </c>
      <c r="K5052" s="7">
        <f t="shared" si="2"/>
        <v>0.547556553</v>
      </c>
    </row>
    <row r="5053">
      <c r="A5053" s="4">
        <v>5053.0</v>
      </c>
      <c r="B5053" s="5" t="s">
        <v>27540</v>
      </c>
      <c r="C5053" s="5" t="s">
        <v>27541</v>
      </c>
      <c r="D5053" s="5" t="s">
        <v>27542</v>
      </c>
      <c r="E5053" s="6" t="s">
        <v>74</v>
      </c>
      <c r="F5053" s="6" t="s">
        <v>16153</v>
      </c>
      <c r="G5053" s="3" t="str">
        <f>IFERROR(__xludf.DUMMYFUNCTION("REGEXREPLACE(
D5053,
""([一-龯々]+)\[([^\]]+)\]"",
""&lt;ruby&gt;$1&lt;rt&gt;$2&lt;/rt&gt;&lt;/ruby&gt;""
)&amp;""&lt;br&gt;&lt;div class=""""audio""""&gt;[sound:""&amp;C5053&amp;"".mp3]&lt;/div&gt;"""),"&lt;ruby&gt;歩&lt;rt&gt;あゆ&lt;/rt&gt;&lt;/ruby&gt;み&lt;br&gt;&lt;div class=""audio""&gt;[sound:あゆみ.mp3]&lt;/div&gt;")</f>
        <v>&lt;ruby&gt;歩&lt;rt&gt;あゆ&lt;/rt&gt;&lt;/ruby&gt;み&lt;br&gt;&lt;div class="audio"&gt;[sound:あゆみ.mp3]&lt;/div&gt;</v>
      </c>
      <c r="H5053" s="3" t="str">
        <f t="shared" si="1"/>
        <v>(n): bước đi</v>
      </c>
      <c r="I5053" s="6" t="s">
        <v>27543</v>
      </c>
      <c r="J5053" s="6" t="s">
        <v>27544</v>
      </c>
      <c r="K5053" s="7">
        <f t="shared" si="2"/>
        <v>0.6295234581</v>
      </c>
    </row>
    <row r="5054">
      <c r="A5054" s="4">
        <v>5054.0</v>
      </c>
      <c r="B5054" s="5" t="s">
        <v>27545</v>
      </c>
      <c r="C5054" s="5" t="s">
        <v>27546</v>
      </c>
      <c r="D5054" s="5" t="s">
        <v>27547</v>
      </c>
      <c r="E5054" s="6" t="s">
        <v>24</v>
      </c>
      <c r="F5054" s="6" t="s">
        <v>27548</v>
      </c>
      <c r="G5054" s="3" t="str">
        <f>IFERROR(__xludf.DUMMYFUNCTION("REGEXREPLACE(
D5054,
""([一-龯々]+)\[([^\]]+)\]"",
""&lt;ruby&gt;$1&lt;rt&gt;$2&lt;/rt&gt;&lt;/ruby&gt;""
)&amp;""&lt;br&gt;&lt;div class=""""audio""""&gt;[sound:""&amp;C5054&amp;"".mp3]&lt;/div&gt;"""),"&lt;ruby&gt;緩&lt;rt&gt;ゆる&lt;/rt&gt;&lt;/ruby&gt;む&lt;br&gt;&lt;div class=""audio""&gt;[sound:ゆるむ.mp3]&lt;/div&gt;")</f>
        <v>&lt;ruby&gt;緩&lt;rt&gt;ゆる&lt;/rt&gt;&lt;/ruby&gt;む&lt;br&gt;&lt;div class="audio"&gt;[sound:ゆるむ.mp3]&lt;/div&gt;</v>
      </c>
      <c r="H5054" s="3" t="str">
        <f t="shared" si="1"/>
        <v>(v): bị lỏng</v>
      </c>
      <c r="I5054" s="6" t="s">
        <v>27549</v>
      </c>
      <c r="J5054" s="6" t="s">
        <v>27550</v>
      </c>
      <c r="K5054" s="7">
        <f t="shared" si="2"/>
        <v>0.5159763764</v>
      </c>
    </row>
    <row r="5055">
      <c r="A5055" s="4">
        <v>5055.0</v>
      </c>
      <c r="B5055" s="5" t="s">
        <v>27551</v>
      </c>
      <c r="C5055" s="5" t="s">
        <v>27552</v>
      </c>
      <c r="D5055" s="5" t="s">
        <v>27553</v>
      </c>
      <c r="E5055" s="6" t="s">
        <v>74</v>
      </c>
      <c r="F5055" s="6" t="s">
        <v>21431</v>
      </c>
      <c r="G5055" s="3" t="str">
        <f>IFERROR(__xludf.DUMMYFUNCTION("REGEXREPLACE(
D5055,
""([一-龯々]+)\[([^\]]+)\]"",
""&lt;ruby&gt;$1&lt;rt&gt;$2&lt;/rt&gt;&lt;/ruby&gt;""
)&amp;""&lt;br&gt;&lt;div class=""""audio""""&gt;[sound:""&amp;C5055&amp;"".mp3]&lt;/div&gt;"""),"&lt;ruby&gt;纏&lt;rt&gt;まと&lt;/rt&gt;&lt;/ruby&gt;め&lt;br&gt;&lt;div class=""audio""&gt;[sound:まとめ.mp3]&lt;/div&gt;")</f>
        <v>&lt;ruby&gt;纏&lt;rt&gt;まと&lt;/rt&gt;&lt;/ruby&gt;め&lt;br&gt;&lt;div class="audio"&gt;[sound:まとめ.mp3]&lt;/div&gt;</v>
      </c>
      <c r="H5055" s="3" t="str">
        <f t="shared" si="1"/>
        <v>(n): tóm tắt</v>
      </c>
      <c r="I5055" s="6" t="s">
        <v>27554</v>
      </c>
      <c r="J5055" s="6" t="s">
        <v>27555</v>
      </c>
      <c r="K5055" s="7">
        <f t="shared" si="2"/>
        <v>0.1057307211</v>
      </c>
    </row>
    <row r="5056">
      <c r="A5056" s="4">
        <v>5056.0</v>
      </c>
      <c r="B5056" s="5" t="s">
        <v>27556</v>
      </c>
      <c r="C5056" s="5" t="s">
        <v>27557</v>
      </c>
      <c r="D5056" s="5" t="s">
        <v>27558</v>
      </c>
      <c r="E5056" s="6" t="s">
        <v>74</v>
      </c>
      <c r="F5056" s="6" t="s">
        <v>20994</v>
      </c>
      <c r="G5056" s="3" t="str">
        <f>IFERROR(__xludf.DUMMYFUNCTION("REGEXREPLACE(
D5056,
""([一-龯々]+)\[([^\]]+)\]"",
""&lt;ruby&gt;$1&lt;rt&gt;$2&lt;/rt&gt;&lt;/ruby&gt;""
)&amp;""&lt;br&gt;&lt;div class=""""audio""""&gt;[sound:""&amp;C5056&amp;"".mp3]&lt;/div&gt;"""),"&lt;ruby&gt;願書&lt;rt&gt;がんしょ&lt;/rt&gt;&lt;/ruby&gt;&lt;br&gt;&lt;div class=""audio""&gt;[sound:がんしょ.mp3]&lt;/div&gt;")</f>
        <v>&lt;ruby&gt;願書&lt;rt&gt;がんしょ&lt;/rt&gt;&lt;/ruby&gt;&lt;br&gt;&lt;div class="audio"&gt;[sound:がんしょ.mp3]&lt;/div&gt;</v>
      </c>
      <c r="H5056" s="3" t="str">
        <f t="shared" si="1"/>
        <v>(n): đơn xin</v>
      </c>
      <c r="I5056" s="6" t="s">
        <v>27559</v>
      </c>
      <c r="J5056" s="6" t="s">
        <v>27560</v>
      </c>
      <c r="K5056" s="7">
        <f t="shared" si="2"/>
        <v>0.01460374041</v>
      </c>
    </row>
    <row r="5057">
      <c r="A5057" s="4">
        <v>5057.0</v>
      </c>
      <c r="B5057" s="5" t="s">
        <v>27561</v>
      </c>
      <c r="C5057" s="5" t="s">
        <v>27561</v>
      </c>
      <c r="D5057" s="5" t="s">
        <v>27561</v>
      </c>
      <c r="E5057" s="6" t="s">
        <v>85</v>
      </c>
      <c r="F5057" s="6" t="s">
        <v>26133</v>
      </c>
      <c r="G5057" s="3" t="str">
        <f>IFERROR(__xludf.DUMMYFUNCTION("REGEXREPLACE(
D5057,
""([一-龯々]+)\[([^\]]+)\]"",
""&lt;ruby&gt;$1&lt;rt&gt;$2&lt;/rt&gt;&lt;/ruby&gt;""
)&amp;""&lt;br&gt;&lt;div class=""""audio""""&gt;[sound:""&amp;C5057&amp;"".mp3]&lt;/div&gt;"""),"がっしり&lt;br&gt;&lt;div class=""audio""&gt;[sound:がっしり.mp3]&lt;/div&gt;")</f>
        <v>がっしり&lt;br&gt;&lt;div class="audio"&gt;[sound:がっしり.mp3]&lt;/div&gt;</v>
      </c>
      <c r="H5057" s="3" t="str">
        <f t="shared" si="1"/>
        <v>(adv): vạm vỡ</v>
      </c>
      <c r="I5057" s="6" t="s">
        <v>27562</v>
      </c>
      <c r="J5057" s="6" t="s">
        <v>27563</v>
      </c>
      <c r="K5057" s="7">
        <f t="shared" si="2"/>
        <v>0.06055351185</v>
      </c>
    </row>
    <row r="5058">
      <c r="A5058" s="4">
        <v>5058.0</v>
      </c>
      <c r="B5058" s="5" t="s">
        <v>27564</v>
      </c>
      <c r="C5058" s="5" t="s">
        <v>27565</v>
      </c>
      <c r="D5058" s="5" t="s">
        <v>27564</v>
      </c>
      <c r="E5058" s="6" t="s">
        <v>74</v>
      </c>
      <c r="F5058" s="6" t="s">
        <v>27566</v>
      </c>
      <c r="G5058" s="3" t="str">
        <f>IFERROR(__xludf.DUMMYFUNCTION("REGEXREPLACE(
D5058,
""([一-龯々]+)\[([^\]]+)\]"",
""&lt;ruby&gt;$1&lt;rt&gt;$2&lt;/rt&gt;&lt;/ruby&gt;""
)&amp;""&lt;br&gt;&lt;div class=""""audio""""&gt;[sound:""&amp;C5058&amp;"".mp3]&lt;/div&gt;"""),"コンパス&lt;br&gt;&lt;div class=""audio""&gt;[sound:こんぱす.mp3]&lt;/div&gt;")</f>
        <v>コンパス&lt;br&gt;&lt;div class="audio"&gt;[sound:こんぱす.mp3]&lt;/div&gt;</v>
      </c>
      <c r="H5058" s="3" t="str">
        <f t="shared" si="1"/>
        <v>(n): la bàn</v>
      </c>
      <c r="I5058" s="6" t="s">
        <v>27567</v>
      </c>
      <c r="J5058" s="6" t="s">
        <v>27568</v>
      </c>
      <c r="K5058" s="7">
        <f t="shared" si="2"/>
        <v>0.3165726877</v>
      </c>
    </row>
    <row r="5059">
      <c r="A5059" s="4">
        <v>5059.0</v>
      </c>
      <c r="B5059" s="5" t="s">
        <v>27569</v>
      </c>
      <c r="C5059" s="5" t="s">
        <v>27569</v>
      </c>
      <c r="D5059" s="5" t="s">
        <v>27569</v>
      </c>
      <c r="E5059" s="6" t="s">
        <v>85</v>
      </c>
      <c r="F5059" s="6" t="s">
        <v>27570</v>
      </c>
      <c r="G5059" s="3" t="str">
        <f>IFERROR(__xludf.DUMMYFUNCTION("REGEXREPLACE(
D5059,
""([一-龯々]+)\[([^\]]+)\]"",
""&lt;ruby&gt;$1&lt;rt&gt;$2&lt;/rt&gt;&lt;/ruby&gt;""
)&amp;""&lt;br&gt;&lt;div class=""""audio""""&gt;[sound:""&amp;C5059&amp;"".mp3]&lt;/div&gt;"""),"ずるずる&lt;br&gt;&lt;div class=""audio""&gt;[sound:ずるずる.mp3]&lt;/div&gt;")</f>
        <v>ずるずる&lt;br&gt;&lt;div class="audio"&gt;[sound:ずるずる.mp3]&lt;/div&gt;</v>
      </c>
      <c r="H5059" s="3" t="str">
        <f t="shared" si="1"/>
        <v>(adv): lê thê</v>
      </c>
      <c r="I5059" s="6" t="s">
        <v>27571</v>
      </c>
      <c r="J5059" s="6" t="s">
        <v>27572</v>
      </c>
      <c r="K5059" s="7">
        <f t="shared" si="2"/>
        <v>0.5693127156</v>
      </c>
    </row>
    <row r="5060">
      <c r="A5060" s="4">
        <v>5060.0</v>
      </c>
      <c r="B5060" s="5" t="s">
        <v>27573</v>
      </c>
      <c r="C5060" s="5" t="s">
        <v>27574</v>
      </c>
      <c r="D5060" s="5" t="s">
        <v>27575</v>
      </c>
      <c r="E5060" s="6" t="s">
        <v>74</v>
      </c>
      <c r="F5060" s="6" t="s">
        <v>27576</v>
      </c>
      <c r="G5060" s="3" t="str">
        <f>IFERROR(__xludf.DUMMYFUNCTION("REGEXREPLACE(
D5060,
""([一-龯々]+)\[([^\]]+)\]"",
""&lt;ruby&gt;$1&lt;rt&gt;$2&lt;/rt&gt;&lt;/ruby&gt;""
)&amp;""&lt;br&gt;&lt;div class=""""audio""""&gt;[sound:""&amp;C5060&amp;"".mp3]&lt;/div&gt;"""),"&lt;ruby&gt;洪水&lt;rt&gt;こうずい&lt;/rt&gt;&lt;/ruby&gt;&lt;br&gt;&lt;div class=""audio""&gt;[sound:こうずい.mp3]&lt;/div&gt;")</f>
        <v>&lt;ruby&gt;洪水&lt;rt&gt;こうずい&lt;/rt&gt;&lt;/ruby&gt;&lt;br&gt;&lt;div class="audio"&gt;[sound:こうずい.mp3]&lt;/div&gt;</v>
      </c>
      <c r="H5060" s="3" t="str">
        <f t="shared" si="1"/>
        <v>(n): lũ lụt</v>
      </c>
      <c r="I5060" s="6" t="s">
        <v>27577</v>
      </c>
      <c r="J5060" s="6" t="s">
        <v>27578</v>
      </c>
      <c r="K5060" s="7">
        <f t="shared" si="2"/>
        <v>0.4317207951</v>
      </c>
    </row>
    <row r="5061">
      <c r="A5061" s="4">
        <v>5061.0</v>
      </c>
      <c r="B5061" s="5" t="s">
        <v>27579</v>
      </c>
      <c r="C5061" s="5" t="s">
        <v>27580</v>
      </c>
      <c r="D5061" s="5" t="s">
        <v>27581</v>
      </c>
      <c r="E5061" s="6" t="s">
        <v>74</v>
      </c>
      <c r="F5061" s="6" t="s">
        <v>27582</v>
      </c>
      <c r="G5061" s="3" t="str">
        <f>IFERROR(__xludf.DUMMYFUNCTION("REGEXREPLACE(
D5061,
""([一-龯々]+)\[([^\]]+)\]"",
""&lt;ruby&gt;$1&lt;rt&gt;$2&lt;/rt&gt;&lt;/ruby&gt;""
)&amp;""&lt;br&gt;&lt;div class=""""audio""""&gt;[sound:""&amp;C5061&amp;"".mp3]&lt;/div&gt;"""),"&lt;ruby&gt;秘書&lt;rt&gt;ひしょ&lt;/rt&gt;&lt;/ruby&gt;&lt;br&gt;&lt;div class=""audio""&gt;[sound:ひしょ.mp3]&lt;/div&gt;")</f>
        <v>&lt;ruby&gt;秘書&lt;rt&gt;ひしょ&lt;/rt&gt;&lt;/ruby&gt;&lt;br&gt;&lt;div class="audio"&gt;[sound:ひしょ.mp3]&lt;/div&gt;</v>
      </c>
      <c r="H5061" s="3" t="str">
        <f t="shared" si="1"/>
        <v>(n): thư ký</v>
      </c>
      <c r="I5061" s="6" t="s">
        <v>27583</v>
      </c>
      <c r="J5061" s="6" t="s">
        <v>27584</v>
      </c>
      <c r="K5061" s="7">
        <f t="shared" si="2"/>
        <v>0.293619458</v>
      </c>
    </row>
    <row r="5062">
      <c r="A5062" s="4">
        <v>5062.0</v>
      </c>
      <c r="B5062" s="5" t="s">
        <v>27585</v>
      </c>
      <c r="C5062" s="5" t="s">
        <v>27586</v>
      </c>
      <c r="D5062" s="5" t="s">
        <v>27587</v>
      </c>
      <c r="E5062" s="6" t="s">
        <v>74</v>
      </c>
      <c r="F5062" s="6" t="s">
        <v>10008</v>
      </c>
      <c r="G5062" s="3" t="str">
        <f>IFERROR(__xludf.DUMMYFUNCTION("REGEXREPLACE(
D5062,
""([一-龯々]+)\[([^\]]+)\]"",
""&lt;ruby&gt;$1&lt;rt&gt;$2&lt;/rt&gt;&lt;/ruby&gt;""
)&amp;""&lt;br&gt;&lt;div class=""""audio""""&gt;[sound:""&amp;C5062&amp;"".mp3]&lt;/div&gt;"""),"&lt;ruby&gt;納入&lt;rt&gt;のうにゅう&lt;/rt&gt;&lt;/ruby&gt;&lt;br&gt;&lt;div class=""audio""&gt;[sound:のうにゅう.mp3]&lt;/div&gt;")</f>
        <v>&lt;ruby&gt;納入&lt;rt&gt;のうにゅう&lt;/rt&gt;&lt;/ruby&gt;&lt;br&gt;&lt;div class="audio"&gt;[sound:のうにゅう.mp3]&lt;/div&gt;</v>
      </c>
      <c r="H5062" s="3" t="str">
        <f t="shared" si="1"/>
        <v>(n): nộp</v>
      </c>
      <c r="I5062" s="6" t="s">
        <v>27588</v>
      </c>
      <c r="J5062" s="6" t="s">
        <v>21097</v>
      </c>
      <c r="K5062" s="7">
        <f t="shared" si="2"/>
        <v>0.01397958971</v>
      </c>
    </row>
    <row r="5063">
      <c r="A5063" s="4">
        <v>5063.0</v>
      </c>
      <c r="B5063" s="5" t="s">
        <v>27589</v>
      </c>
      <c r="C5063" s="5" t="s">
        <v>18150</v>
      </c>
      <c r="D5063" s="5" t="s">
        <v>27590</v>
      </c>
      <c r="E5063" s="6" t="s">
        <v>24</v>
      </c>
      <c r="F5063" s="6" t="s">
        <v>27591</v>
      </c>
      <c r="G5063" s="3" t="str">
        <f>IFERROR(__xludf.DUMMYFUNCTION("REGEXREPLACE(
D5063,
""([一-龯々]+)\[([^\]]+)\]"",
""&lt;ruby&gt;$1&lt;rt&gt;$2&lt;/rt&gt;&lt;/ruby&gt;""
)&amp;""&lt;br&gt;&lt;div class=""""audio""""&gt;[sound:""&amp;C5063&amp;"".mp3]&lt;/div&gt;"""),"&lt;ruby&gt;老&lt;rt&gt;お&lt;/rt&gt;&lt;/ruby&gt;いる&lt;br&gt;&lt;div class=""audio""&gt;[sound:おいる.mp3]&lt;/div&gt;")</f>
        <v>&lt;ruby&gt;老&lt;rt&gt;お&lt;/rt&gt;&lt;/ruby&gt;いる&lt;br&gt;&lt;div class="audio"&gt;[sound:おいる.mp3]&lt;/div&gt;</v>
      </c>
      <c r="H5063" s="3" t="str">
        <f t="shared" si="1"/>
        <v>(v): già đi</v>
      </c>
      <c r="I5063" s="6" t="s">
        <v>27592</v>
      </c>
      <c r="J5063" s="6" t="s">
        <v>27593</v>
      </c>
      <c r="K5063" s="7">
        <f t="shared" si="2"/>
        <v>0.5498524878</v>
      </c>
    </row>
    <row r="5064">
      <c r="A5064" s="4">
        <v>5064.0</v>
      </c>
      <c r="B5064" s="5" t="s">
        <v>27594</v>
      </c>
      <c r="C5064" s="5" t="s">
        <v>27595</v>
      </c>
      <c r="D5064" s="5" t="s">
        <v>27596</v>
      </c>
      <c r="E5064" s="6" t="s">
        <v>74</v>
      </c>
      <c r="F5064" s="6" t="s">
        <v>27597</v>
      </c>
      <c r="G5064" s="3" t="str">
        <f>IFERROR(__xludf.DUMMYFUNCTION("REGEXREPLACE(
D5064,
""([一-龯々]+)\[([^\]]+)\]"",
""&lt;ruby&gt;$1&lt;rt&gt;$2&lt;/rt&gt;&lt;/ruby&gt;""
)&amp;""&lt;br&gt;&lt;div class=""""audio""""&gt;[sound:""&amp;C5064&amp;"".mp3]&lt;/div&gt;"""),"&lt;ruby&gt;音色&lt;rt&gt;ねいろ&lt;/rt&gt;&lt;/ruby&gt;&lt;br&gt;&lt;div class=""audio""&gt;[sound:ねいろ.mp3]&lt;/div&gt;")</f>
        <v>&lt;ruby&gt;音色&lt;rt&gt;ねいろ&lt;/rt&gt;&lt;/ruby&gt;&lt;br&gt;&lt;div class="audio"&gt;[sound:ねいろ.mp3]&lt;/div&gt;</v>
      </c>
      <c r="H5064" s="3" t="str">
        <f t="shared" si="1"/>
        <v>(n): âm sắc</v>
      </c>
      <c r="I5064" s="6" t="s">
        <v>27598</v>
      </c>
      <c r="J5064" s="6" t="s">
        <v>27599</v>
      </c>
      <c r="K5064" s="7">
        <f t="shared" si="2"/>
        <v>0.5233803414</v>
      </c>
    </row>
    <row r="5065">
      <c r="A5065" s="4">
        <v>5065.0</v>
      </c>
      <c r="B5065" s="5" t="s">
        <v>27600</v>
      </c>
      <c r="C5065" s="5" t="s">
        <v>27601</v>
      </c>
      <c r="D5065" s="5" t="s">
        <v>27602</v>
      </c>
      <c r="E5065" s="6" t="s">
        <v>11</v>
      </c>
      <c r="F5065" s="6" t="s">
        <v>8199</v>
      </c>
      <c r="G5065" s="3" t="str">
        <f>IFERROR(__xludf.DUMMYFUNCTION("REGEXREPLACE(
D5065,
""([一-龯々]+)\[([^\]]+)\]"",
""&lt;ruby&gt;$1&lt;rt&gt;$2&lt;/rt&gt;&lt;/ruby&gt;""
)&amp;""&lt;br&gt;&lt;div class=""""audio""""&gt;[sound:""&amp;C5065&amp;"".mp3]&lt;/div&gt;"""),"&lt;ruby&gt;無茶&lt;rt&gt;むちゃ&lt;/rt&gt;&lt;/ruby&gt;&lt;br&gt;&lt;div class=""audio""&gt;[sound:むちゃ.mp3]&lt;/div&gt;")</f>
        <v>&lt;ruby&gt;無茶&lt;rt&gt;むちゃ&lt;/rt&gt;&lt;/ruby&gt;&lt;br&gt;&lt;div class="audio"&gt;[sound:むちゃ.mp3]&lt;/div&gt;</v>
      </c>
      <c r="H5065" s="3" t="str">
        <f t="shared" si="1"/>
        <v>(adj): vô lý</v>
      </c>
      <c r="I5065" s="6" t="s">
        <v>27603</v>
      </c>
      <c r="J5065" s="6" t="s">
        <v>8201</v>
      </c>
      <c r="K5065" s="7">
        <f t="shared" si="2"/>
        <v>0.3963767442</v>
      </c>
    </row>
    <row r="5066">
      <c r="A5066" s="4">
        <v>5066.0</v>
      </c>
      <c r="B5066" s="5" t="s">
        <v>27604</v>
      </c>
      <c r="C5066" s="5" t="s">
        <v>27604</v>
      </c>
      <c r="D5066" s="5" t="s">
        <v>27604</v>
      </c>
      <c r="E5066" s="6" t="s">
        <v>74</v>
      </c>
      <c r="F5066" s="6" t="s">
        <v>27605</v>
      </c>
      <c r="G5066" s="3" t="str">
        <f>IFERROR(__xludf.DUMMYFUNCTION("REGEXREPLACE(
D5066,
""([一-龯々]+)\[([^\]]+)\]"",
""&lt;ruby&gt;$1&lt;rt&gt;$2&lt;/rt&gt;&lt;/ruby&gt;""
)&amp;""&lt;br&gt;&lt;div class=""""audio""""&gt;[sound:""&amp;C5066&amp;"".mp3]&lt;/div&gt;"""),"てっぺん&lt;br&gt;&lt;div class=""audio""&gt;[sound:てっぺん.mp3]&lt;/div&gt;")</f>
        <v>てっぺん&lt;br&gt;&lt;div class="audio"&gt;[sound:てっぺん.mp3]&lt;/div&gt;</v>
      </c>
      <c r="H5066" s="3" t="str">
        <f t="shared" si="1"/>
        <v>(n): đỉnh</v>
      </c>
      <c r="I5066" s="6" t="s">
        <v>27606</v>
      </c>
      <c r="J5066" s="6" t="s">
        <v>27607</v>
      </c>
      <c r="K5066" s="7">
        <f t="shared" si="2"/>
        <v>0.5524397415</v>
      </c>
    </row>
    <row r="5067">
      <c r="A5067" s="4">
        <v>5067.0</v>
      </c>
      <c r="B5067" s="5" t="s">
        <v>27608</v>
      </c>
      <c r="C5067" s="5" t="s">
        <v>27609</v>
      </c>
      <c r="D5067" s="5" t="s">
        <v>27610</v>
      </c>
      <c r="E5067" s="6" t="s">
        <v>24</v>
      </c>
      <c r="F5067" s="6" t="s">
        <v>4157</v>
      </c>
      <c r="G5067" s="3" t="str">
        <f>IFERROR(__xludf.DUMMYFUNCTION("REGEXREPLACE(
D5067,
""([一-龯々]+)\[([^\]]+)\]"",
""&lt;ruby&gt;$1&lt;rt&gt;$2&lt;/rt&gt;&lt;/ruby&gt;""
)&amp;""&lt;br&gt;&lt;div class=""""audio""""&gt;[sound:""&amp;C5067&amp;"".mp3]&lt;/div&gt;"""),"&lt;ruby&gt;束&lt;rt&gt;たば&lt;/rt&gt;&lt;/ruby&gt;ねる&lt;br&gt;&lt;div class=""audio""&gt;[sound:たばねる.mp3]&lt;/div&gt;")</f>
        <v>&lt;ruby&gt;束&lt;rt&gt;たば&lt;/rt&gt;&lt;/ruby&gt;ねる&lt;br&gt;&lt;div class="audio"&gt;[sound:たばねる.mp3]&lt;/div&gt;</v>
      </c>
      <c r="H5067" s="3" t="str">
        <f t="shared" si="1"/>
        <v>(v): buộc</v>
      </c>
      <c r="I5067" s="6" t="s">
        <v>27611</v>
      </c>
      <c r="J5067" s="6" t="s">
        <v>21754</v>
      </c>
      <c r="K5067" s="7">
        <f t="shared" si="2"/>
        <v>0.761971339</v>
      </c>
    </row>
    <row r="5068">
      <c r="A5068" s="4">
        <v>5068.0</v>
      </c>
      <c r="B5068" s="5" t="s">
        <v>27612</v>
      </c>
      <c r="C5068" s="5" t="s">
        <v>27613</v>
      </c>
      <c r="D5068" s="5" t="s">
        <v>27614</v>
      </c>
      <c r="E5068" s="6" t="s">
        <v>11</v>
      </c>
      <c r="F5068" s="6" t="s">
        <v>27615</v>
      </c>
      <c r="G5068" s="3" t="str">
        <f>IFERROR(__xludf.DUMMYFUNCTION("REGEXREPLACE(
D5068,
""([一-龯々]+)\[([^\]]+)\]"",
""&lt;ruby&gt;$1&lt;rt&gt;$2&lt;/rt&gt;&lt;/ruby&gt;""
)&amp;""&lt;br&gt;&lt;div class=""""audio""""&gt;[sound:""&amp;C5068&amp;"".mp3]&lt;/div&gt;"""),"&lt;ruby&gt;久&lt;rt&gt;ひさ&lt;/rt&gt;&lt;/ruby&gt;しい&lt;br&gt;&lt;div class=""audio""&gt;[sound:ひさしい.mp3]&lt;/div&gt;")</f>
        <v>&lt;ruby&gt;久&lt;rt&gt;ひさ&lt;/rt&gt;&lt;/ruby&gt;しい&lt;br&gt;&lt;div class="audio"&gt;[sound:ひさしい.mp3]&lt;/div&gt;</v>
      </c>
      <c r="H5068" s="3" t="str">
        <f t="shared" si="1"/>
        <v>(adj): lâu</v>
      </c>
      <c r="I5068" s="6" t="s">
        <v>27616</v>
      </c>
      <c r="J5068" s="6" t="s">
        <v>27617</v>
      </c>
      <c r="K5068" s="7">
        <f t="shared" si="2"/>
        <v>0.6937500965</v>
      </c>
    </row>
    <row r="5069">
      <c r="A5069" s="4">
        <v>5069.0</v>
      </c>
      <c r="B5069" s="5" t="s">
        <v>27618</v>
      </c>
      <c r="C5069" s="5" t="s">
        <v>27619</v>
      </c>
      <c r="D5069" s="5" t="s">
        <v>27620</v>
      </c>
      <c r="E5069" s="6" t="s">
        <v>24</v>
      </c>
      <c r="F5069" s="6" t="s">
        <v>27621</v>
      </c>
      <c r="G5069" s="3" t="str">
        <f>IFERROR(__xludf.DUMMYFUNCTION("REGEXREPLACE(
D5069,
""([一-龯々]+)\[([^\]]+)\]"",
""&lt;ruby&gt;$1&lt;rt&gt;$2&lt;/rt&gt;&lt;/ruby&gt;""
)&amp;""&lt;br&gt;&lt;div class=""""audio""""&gt;[sound:""&amp;C5069&amp;"".mp3]&lt;/div&gt;"""),"&lt;ruby&gt;仕立&lt;rt&gt;した&lt;/rt&gt;&lt;/ruby&gt;てる&lt;br&gt;&lt;div class=""audio""&gt;[sound:したてる.mp3]&lt;/div&gt;")</f>
        <v>&lt;ruby&gt;仕立&lt;rt&gt;した&lt;/rt&gt;&lt;/ruby&gt;てる&lt;br&gt;&lt;div class="audio"&gt;[sound:したてる.mp3]&lt;/div&gt;</v>
      </c>
      <c r="H5069" s="3" t="str">
        <f t="shared" si="1"/>
        <v>(v): may</v>
      </c>
      <c r="I5069" s="6" t="s">
        <v>27622</v>
      </c>
      <c r="J5069" s="6" t="s">
        <v>27623</v>
      </c>
      <c r="K5069" s="7">
        <f t="shared" si="2"/>
        <v>0.3530716668</v>
      </c>
    </row>
    <row r="5070">
      <c r="A5070" s="4">
        <v>5070.0</v>
      </c>
      <c r="B5070" s="5" t="s">
        <v>27624</v>
      </c>
      <c r="C5070" s="5" t="s">
        <v>27625</v>
      </c>
      <c r="D5070" s="5" t="s">
        <v>27626</v>
      </c>
      <c r="E5070" s="6" t="s">
        <v>74</v>
      </c>
      <c r="F5070" s="6" t="s">
        <v>27627</v>
      </c>
      <c r="G5070" s="3" t="str">
        <f>IFERROR(__xludf.DUMMYFUNCTION("REGEXREPLACE(
D5070,
""([一-龯々]+)\[([^\]]+)\]"",
""&lt;ruby&gt;$1&lt;rt&gt;$2&lt;/rt&gt;&lt;/ruby&gt;""
)&amp;""&lt;br&gt;&lt;div class=""""audio""""&gt;[sound:""&amp;C5070&amp;"".mp3]&lt;/div&gt;"""),"&lt;ruby&gt;寄贈&lt;rt&gt;きぞう&lt;/rt&gt;&lt;/ruby&gt;&lt;br&gt;&lt;div class=""audio""&gt;[sound:きぞう.mp3]&lt;/div&gt;")</f>
        <v>&lt;ruby&gt;寄贈&lt;rt&gt;きぞう&lt;/rt&gt;&lt;/ruby&gt;&lt;br&gt;&lt;div class="audio"&gt;[sound:きぞう.mp3]&lt;/div&gt;</v>
      </c>
      <c r="H5070" s="3" t="str">
        <f t="shared" si="1"/>
        <v>(n): biếu tặng</v>
      </c>
      <c r="I5070" s="6" t="s">
        <v>27628</v>
      </c>
      <c r="J5070" s="6" t="s">
        <v>27629</v>
      </c>
      <c r="K5070" s="7">
        <f t="shared" si="2"/>
        <v>0.1669874571</v>
      </c>
    </row>
    <row r="5071">
      <c r="A5071" s="4">
        <v>5071.0</v>
      </c>
      <c r="B5071" s="5" t="s">
        <v>27630</v>
      </c>
      <c r="C5071" s="5" t="s">
        <v>13069</v>
      </c>
      <c r="D5071" s="5" t="s">
        <v>27631</v>
      </c>
      <c r="E5071" s="6" t="s">
        <v>74</v>
      </c>
      <c r="F5071" s="6" t="s">
        <v>27632</v>
      </c>
      <c r="G5071" s="3" t="str">
        <f>IFERROR(__xludf.DUMMYFUNCTION("REGEXREPLACE(
D5071,
""([一-龯々]+)\[([^\]]+)\]"",
""&lt;ruby&gt;$1&lt;rt&gt;$2&lt;/rt&gt;&lt;/ruby&gt;""
)&amp;""&lt;br&gt;&lt;div class=""""audio""""&gt;[sound:""&amp;C5071&amp;"".mp3]&lt;/div&gt;"""),"&lt;ruby&gt;校長&lt;rt&gt;こうちょう&lt;/rt&gt;&lt;/ruby&gt;&lt;br&gt;&lt;div class=""audio""&gt;[sound:こうちょう.mp3]&lt;/div&gt;")</f>
        <v>&lt;ruby&gt;校長&lt;rt&gt;こうちょう&lt;/rt&gt;&lt;/ruby&gt;&lt;br&gt;&lt;div class="audio"&gt;[sound:こうちょう.mp3]&lt;/div&gt;</v>
      </c>
      <c r="H5071" s="3" t="str">
        <f t="shared" si="1"/>
        <v>(n): hiệu trưởng</v>
      </c>
      <c r="I5071" s="6" t="s">
        <v>27633</v>
      </c>
      <c r="J5071" s="6" t="s">
        <v>27634</v>
      </c>
      <c r="K5071" s="7">
        <f t="shared" si="2"/>
        <v>0.3783237473</v>
      </c>
    </row>
    <row r="5072">
      <c r="A5072" s="4">
        <v>5072.0</v>
      </c>
      <c r="B5072" s="5" t="s">
        <v>27635</v>
      </c>
      <c r="C5072" s="5" t="s">
        <v>27636</v>
      </c>
      <c r="D5072" s="5" t="s">
        <v>27637</v>
      </c>
      <c r="E5072" s="6" t="s">
        <v>74</v>
      </c>
      <c r="F5072" s="6" t="s">
        <v>27638</v>
      </c>
      <c r="G5072" s="3" t="str">
        <f>IFERROR(__xludf.DUMMYFUNCTION("REGEXREPLACE(
D5072,
""([一-龯々]+)\[([^\]]+)\]"",
""&lt;ruby&gt;$1&lt;rt&gt;$2&lt;/rt&gt;&lt;/ruby&gt;""
)&amp;""&lt;br&gt;&lt;div class=""""audio""""&gt;[sound:""&amp;C5072&amp;"".mp3]&lt;/div&gt;"""),"&lt;ruby&gt;握手&lt;rt&gt;あくしゅ&lt;/rt&gt;&lt;/ruby&gt;&lt;br&gt;&lt;div class=""audio""&gt;[sound:あくしゅ.mp3]&lt;/div&gt;")</f>
        <v>&lt;ruby&gt;握手&lt;rt&gt;あくしゅ&lt;/rt&gt;&lt;/ruby&gt;&lt;br&gt;&lt;div class="audio"&gt;[sound:あくしゅ.mp3]&lt;/div&gt;</v>
      </c>
      <c r="H5072" s="3" t="str">
        <f t="shared" si="1"/>
        <v>(n): bắt tay</v>
      </c>
      <c r="I5072" s="6" t="s">
        <v>27639</v>
      </c>
      <c r="J5072" s="6" t="s">
        <v>27640</v>
      </c>
      <c r="K5072" s="7">
        <f t="shared" si="2"/>
        <v>0.3004009818</v>
      </c>
    </row>
    <row r="5073">
      <c r="A5073" s="4">
        <v>5073.0</v>
      </c>
      <c r="B5073" s="5" t="s">
        <v>27641</v>
      </c>
      <c r="C5073" s="5" t="s">
        <v>27642</v>
      </c>
      <c r="D5073" s="5" t="s">
        <v>27643</v>
      </c>
      <c r="E5073" s="6" t="s">
        <v>11</v>
      </c>
      <c r="F5073" s="6" t="s">
        <v>27644</v>
      </c>
      <c r="G5073" s="3" t="str">
        <f>IFERROR(__xludf.DUMMYFUNCTION("REGEXREPLACE(
D5073,
""([一-龯々]+)\[([^\]]+)\]"",
""&lt;ruby&gt;$1&lt;rt&gt;$2&lt;/rt&gt;&lt;/ruby&gt;""
)&amp;""&lt;br&gt;&lt;div class=""""audio""""&gt;[sound:""&amp;C5073&amp;"".mp3]&lt;/div&gt;"""),"&lt;ruby&gt;有利&lt;rt&gt;ゆうり&lt;/rt&gt;&lt;/ruby&gt;&lt;br&gt;&lt;div class=""audio""&gt;[sound:ゆうり.mp3]&lt;/div&gt;")</f>
        <v>&lt;ruby&gt;有利&lt;rt&gt;ゆうり&lt;/rt&gt;&lt;/ruby&gt;&lt;br&gt;&lt;div class="audio"&gt;[sound:ゆうり.mp3]&lt;/div&gt;</v>
      </c>
      <c r="H5073" s="3" t="str">
        <f t="shared" si="1"/>
        <v>(adj): có lợi</v>
      </c>
      <c r="I5073" s="6" t="s">
        <v>27645</v>
      </c>
      <c r="J5073" s="6" t="s">
        <v>27646</v>
      </c>
      <c r="K5073" s="7">
        <f t="shared" si="2"/>
        <v>0.9345385155</v>
      </c>
    </row>
    <row r="5074">
      <c r="A5074" s="4">
        <v>5074.0</v>
      </c>
      <c r="B5074" s="5" t="s">
        <v>27647</v>
      </c>
      <c r="C5074" s="5" t="s">
        <v>6620</v>
      </c>
      <c r="D5074" s="5" t="s">
        <v>27648</v>
      </c>
      <c r="E5074" s="6" t="s">
        <v>24</v>
      </c>
      <c r="F5074" s="6" t="s">
        <v>27649</v>
      </c>
      <c r="G5074" s="3" t="str">
        <f>IFERROR(__xludf.DUMMYFUNCTION("REGEXREPLACE(
D5074,
""([一-龯々]+)\[([^\]]+)\]"",
""&lt;ruby&gt;$1&lt;rt&gt;$2&lt;/rt&gt;&lt;/ruby&gt;""
)&amp;""&lt;br&gt;&lt;div class=""""audio""""&gt;[sound:""&amp;C5074&amp;"".mp3]&lt;/div&gt;"""),"&lt;ruby&gt;昇&lt;rt&gt;のぼ&lt;/rt&gt;&lt;/ruby&gt;る&lt;br&gt;&lt;div class=""audio""&gt;[sound:のぼる.mp3]&lt;/div&gt;")</f>
        <v>&lt;ruby&gt;昇&lt;rt&gt;のぼ&lt;/rt&gt;&lt;/ruby&gt;る&lt;br&gt;&lt;div class="audio"&gt;[sound:のぼる.mp3]&lt;/div&gt;</v>
      </c>
      <c r="H5074" s="3" t="str">
        <f t="shared" si="1"/>
        <v>(v): mọc</v>
      </c>
      <c r="I5074" s="6" t="s">
        <v>27650</v>
      </c>
      <c r="J5074" s="6" t="s">
        <v>27651</v>
      </c>
      <c r="K5074" s="7">
        <f t="shared" si="2"/>
        <v>0.8634163638</v>
      </c>
    </row>
    <row r="5075">
      <c r="A5075" s="4">
        <v>5075.0</v>
      </c>
      <c r="B5075" s="5" t="s">
        <v>27652</v>
      </c>
      <c r="C5075" s="5" t="s">
        <v>27653</v>
      </c>
      <c r="D5075" s="5" t="s">
        <v>27654</v>
      </c>
      <c r="E5075" s="6" t="s">
        <v>24</v>
      </c>
      <c r="F5075" s="6" t="s">
        <v>27437</v>
      </c>
      <c r="G5075" s="3" t="str">
        <f>IFERROR(__xludf.DUMMYFUNCTION("REGEXREPLACE(
D5075,
""([一-龯々]+)\[([^\]]+)\]"",
""&lt;ruby&gt;$1&lt;rt&gt;$2&lt;/rt&gt;&lt;/ruby&gt;""
)&amp;""&lt;br&gt;&lt;div class=""""audio""""&gt;[sound:""&amp;C5075&amp;"".mp3]&lt;/div&gt;"""),"&lt;ruby&gt;止&lt;rt&gt;や&lt;/rt&gt;&lt;/ruby&gt;む&lt;br&gt;&lt;div class=""audio""&gt;[sound:やむ.mp3]&lt;/div&gt;")</f>
        <v>&lt;ruby&gt;止&lt;rt&gt;や&lt;/rt&gt;&lt;/ruby&gt;む&lt;br&gt;&lt;div class="audio"&gt;[sound:やむ.mp3]&lt;/div&gt;</v>
      </c>
      <c r="H5075" s="3" t="str">
        <f t="shared" si="1"/>
        <v>(v): ngừng</v>
      </c>
      <c r="I5075" s="6" t="s">
        <v>27655</v>
      </c>
      <c r="J5075" s="6" t="s">
        <v>27656</v>
      </c>
      <c r="K5075" s="7">
        <f t="shared" si="2"/>
        <v>0.5804975404</v>
      </c>
    </row>
    <row r="5076">
      <c r="A5076" s="4">
        <v>5076.0</v>
      </c>
      <c r="B5076" s="5" t="s">
        <v>27657</v>
      </c>
      <c r="C5076" s="5" t="s">
        <v>27658</v>
      </c>
      <c r="D5076" s="5" t="s">
        <v>27659</v>
      </c>
      <c r="E5076" s="6" t="s">
        <v>74</v>
      </c>
      <c r="F5076" s="6" t="s">
        <v>27660</v>
      </c>
      <c r="G5076" s="3" t="str">
        <f>IFERROR(__xludf.DUMMYFUNCTION("REGEXREPLACE(
D5076,
""([一-龯々]+)\[([^\]]+)\]"",
""&lt;ruby&gt;$1&lt;rt&gt;$2&lt;/rt&gt;&lt;/ruby&gt;""
)&amp;""&lt;br&gt;&lt;div class=""""audio""""&gt;[sound:""&amp;C5076&amp;"".mp3]&lt;/div&gt;"""),"&lt;ruby&gt;朝御飯&lt;rt&gt;あさごはん&lt;/rt&gt;&lt;/ruby&gt;&lt;br&gt;&lt;div class=""audio""&gt;[sound:あさごはん.mp3]&lt;/div&gt;")</f>
        <v>&lt;ruby&gt;朝御飯&lt;rt&gt;あさごはん&lt;/rt&gt;&lt;/ruby&gt;&lt;br&gt;&lt;div class="audio"&gt;[sound:あさごはん.mp3]&lt;/div&gt;</v>
      </c>
      <c r="H5076" s="3" t="str">
        <f t="shared" si="1"/>
        <v>(n): bữa sáng</v>
      </c>
      <c r="I5076" s="6" t="s">
        <v>27661</v>
      </c>
      <c r="J5076" s="6" t="s">
        <v>27662</v>
      </c>
      <c r="K5076" s="7">
        <f t="shared" si="2"/>
        <v>0.7406576693</v>
      </c>
    </row>
    <row r="5077">
      <c r="A5077" s="4">
        <v>5077.0</v>
      </c>
      <c r="B5077" s="5" t="s">
        <v>27663</v>
      </c>
      <c r="C5077" s="5" t="s">
        <v>27664</v>
      </c>
      <c r="D5077" s="5" t="s">
        <v>27665</v>
      </c>
      <c r="E5077" s="6" t="s">
        <v>74</v>
      </c>
      <c r="F5077" s="6" t="s">
        <v>27666</v>
      </c>
      <c r="G5077" s="3" t="str">
        <f>IFERROR(__xludf.DUMMYFUNCTION("REGEXREPLACE(
D5077,
""([一-龯々]+)\[([^\]]+)\]"",
""&lt;ruby&gt;$1&lt;rt&gt;$2&lt;/rt&gt;&lt;/ruby&gt;""
)&amp;""&lt;br&gt;&lt;div class=""""audio""""&gt;[sound:""&amp;C5077&amp;"".mp3]&lt;/div&gt;"""),"&lt;ruby&gt;本国&lt;rt&gt;ほんこく&lt;/rt&gt;&lt;/ruby&gt;&lt;br&gt;&lt;div class=""audio""&gt;[sound:ほんこく.mp3]&lt;/div&gt;")</f>
        <v>&lt;ruby&gt;本国&lt;rt&gt;ほんこく&lt;/rt&gt;&lt;/ruby&gt;&lt;br&gt;&lt;div class="audio"&gt;[sound:ほんこく.mp3]&lt;/div&gt;</v>
      </c>
      <c r="H5077" s="3" t="str">
        <f t="shared" si="1"/>
        <v>(n): quốc gia mẹ</v>
      </c>
      <c r="I5077" s="6" t="s">
        <v>27667</v>
      </c>
      <c r="J5077" s="6" t="s">
        <v>27668</v>
      </c>
      <c r="K5077" s="7">
        <f t="shared" si="2"/>
        <v>0.259386579</v>
      </c>
    </row>
    <row r="5078">
      <c r="A5078" s="4">
        <v>5078.0</v>
      </c>
      <c r="B5078" s="5" t="s">
        <v>27669</v>
      </c>
      <c r="C5078" s="5" t="s">
        <v>27670</v>
      </c>
      <c r="D5078" s="5" t="s">
        <v>27671</v>
      </c>
      <c r="E5078" s="6" t="s">
        <v>74</v>
      </c>
      <c r="F5078" s="6" t="s">
        <v>27672</v>
      </c>
      <c r="G5078" s="3" t="str">
        <f>IFERROR(__xludf.DUMMYFUNCTION("REGEXREPLACE(
D5078,
""([一-龯々]+)\[([^\]]+)\]"",
""&lt;ruby&gt;$1&lt;rt&gt;$2&lt;/rt&gt;&lt;/ruby&gt;""
)&amp;""&lt;br&gt;&lt;div class=""""audio""""&gt;[sound:""&amp;C5078&amp;"".mp3]&lt;/div&gt;"""),"&lt;ruby&gt;末期&lt;rt&gt;まっき&lt;/rt&gt;&lt;/ruby&gt;&lt;br&gt;&lt;div class=""audio""&gt;[sound:まっき.mp3]&lt;/div&gt;")</f>
        <v>&lt;ruby&gt;末期&lt;rt&gt;まっき&lt;/rt&gt;&lt;/ruby&gt;&lt;br&gt;&lt;div class="audio"&gt;[sound:まっき.mp3]&lt;/div&gt;</v>
      </c>
      <c r="H5078" s="3" t="str">
        <f t="shared" si="1"/>
        <v>(n): giai đoạn cuối</v>
      </c>
      <c r="I5078" s="6" t="s">
        <v>27673</v>
      </c>
      <c r="J5078" s="6" t="s">
        <v>27674</v>
      </c>
      <c r="K5078" s="7">
        <f t="shared" si="2"/>
        <v>0.9189730017</v>
      </c>
    </row>
    <row r="5079">
      <c r="A5079" s="4">
        <v>5079.0</v>
      </c>
      <c r="B5079" s="5" t="s">
        <v>27675</v>
      </c>
      <c r="C5079" s="5" t="s">
        <v>27676</v>
      </c>
      <c r="D5079" s="5" t="s">
        <v>27677</v>
      </c>
      <c r="E5079" s="6" t="s">
        <v>74</v>
      </c>
      <c r="F5079" s="6" t="s">
        <v>4926</v>
      </c>
      <c r="G5079" s="3" t="str">
        <f>IFERROR(__xludf.DUMMYFUNCTION("REGEXREPLACE(
D5079,
""([一-龯々]+)\[([^\]]+)\]"",
""&lt;ruby&gt;$1&lt;rt&gt;$2&lt;/rt&gt;&lt;/ruby&gt;""
)&amp;""&lt;br&gt;&lt;div class=""""audio""""&gt;[sound:""&amp;C5079&amp;"".mp3]&lt;/div&gt;"""),"&lt;ruby&gt;式場&lt;rt&gt;しきじょう&lt;/rt&gt;&lt;/ruby&gt;&lt;br&gt;&lt;div class=""audio""&gt;[sound:しきじょう.mp3]&lt;/div&gt;")</f>
        <v>&lt;ruby&gt;式場&lt;rt&gt;しきじょう&lt;/rt&gt;&lt;/ruby&gt;&lt;br&gt;&lt;div class="audio"&gt;[sound:しきじょう.mp3]&lt;/div&gt;</v>
      </c>
      <c r="H5079" s="3" t="str">
        <f t="shared" si="1"/>
        <v>(n): hội trường</v>
      </c>
      <c r="I5079" s="6" t="s">
        <v>27678</v>
      </c>
      <c r="J5079" s="6" t="s">
        <v>27679</v>
      </c>
      <c r="K5079" s="7">
        <f t="shared" si="2"/>
        <v>0.3452474774</v>
      </c>
    </row>
    <row r="5080">
      <c r="A5080" s="4">
        <v>5080.0</v>
      </c>
      <c r="B5080" s="5" t="s">
        <v>27680</v>
      </c>
      <c r="C5080" s="5" t="s">
        <v>27681</v>
      </c>
      <c r="D5080" s="5" t="s">
        <v>27682</v>
      </c>
      <c r="E5080" s="6" t="s">
        <v>74</v>
      </c>
      <c r="F5080" s="6" t="s">
        <v>27683</v>
      </c>
      <c r="G5080" s="3" t="str">
        <f>IFERROR(__xludf.DUMMYFUNCTION("REGEXREPLACE(
D5080,
""([一-龯々]+)\[([^\]]+)\]"",
""&lt;ruby&gt;$1&lt;rt&gt;$2&lt;/rt&gt;&lt;/ruby&gt;""
)&amp;""&lt;br&gt;&lt;div class=""""audio""""&gt;[sound:""&amp;C5080&amp;"".mp3]&lt;/div&gt;"""),"&lt;ruby&gt;書評&lt;rt&gt;しょひょう&lt;/rt&gt;&lt;/ruby&gt;&lt;br&gt;&lt;div class=""audio""&gt;[sound:しょひょう.mp3]&lt;/div&gt;")</f>
        <v>&lt;ruby&gt;書評&lt;rt&gt;しょひょう&lt;/rt&gt;&lt;/ruby&gt;&lt;br&gt;&lt;div class="audio"&gt;[sound:しょひょう.mp3]&lt;/div&gt;</v>
      </c>
      <c r="H5080" s="3" t="str">
        <f t="shared" si="1"/>
        <v>(n): phê bình sách</v>
      </c>
      <c r="I5080" s="6" t="s">
        <v>27684</v>
      </c>
      <c r="J5080" s="6" t="s">
        <v>27685</v>
      </c>
      <c r="K5080" s="7">
        <f t="shared" si="2"/>
        <v>0.7015735312</v>
      </c>
    </row>
    <row r="5081">
      <c r="A5081" s="4">
        <v>5081.0</v>
      </c>
      <c r="B5081" s="5" t="s">
        <v>27686</v>
      </c>
      <c r="C5081" s="5" t="s">
        <v>27687</v>
      </c>
      <c r="D5081" s="5" t="s">
        <v>27688</v>
      </c>
      <c r="E5081" s="6" t="s">
        <v>74</v>
      </c>
      <c r="F5081" s="6" t="s">
        <v>27689</v>
      </c>
      <c r="G5081" s="3" t="str">
        <f>IFERROR(__xludf.DUMMYFUNCTION("REGEXREPLACE(
D5081,
""([一-龯々]+)\[([^\]]+)\]"",
""&lt;ruby&gt;$1&lt;rt&gt;$2&lt;/rt&gt;&lt;/ruby&gt;""
)&amp;""&lt;br&gt;&lt;div class=""""audio""""&gt;[sound:""&amp;C5081&amp;"".mp3]&lt;/div&gt;"""),"&lt;ruby&gt;心中&lt;rt&gt;しんじゅう&lt;/rt&gt;&lt;/ruby&gt;&lt;br&gt;&lt;div class=""audio""&gt;[sound:しんじゅう.mp3]&lt;/div&gt;")</f>
        <v>&lt;ruby&gt;心中&lt;rt&gt;しんじゅう&lt;/rt&gt;&lt;/ruby&gt;&lt;br&gt;&lt;div class="audio"&gt;[sound:しんじゅう.mp3]&lt;/div&gt;</v>
      </c>
      <c r="H5081" s="3" t="str">
        <f t="shared" si="1"/>
        <v>(n): tự sát chung</v>
      </c>
      <c r="I5081" s="6" t="s">
        <v>27690</v>
      </c>
      <c r="J5081" s="6" t="s">
        <v>27691</v>
      </c>
      <c r="K5081" s="7">
        <f t="shared" si="2"/>
        <v>0.41518171</v>
      </c>
    </row>
    <row r="5082">
      <c r="A5082" s="4">
        <v>5082.0</v>
      </c>
      <c r="B5082" s="5" t="s">
        <v>27692</v>
      </c>
      <c r="C5082" s="5" t="s">
        <v>27693</v>
      </c>
      <c r="D5082" s="5" t="s">
        <v>27694</v>
      </c>
      <c r="E5082" s="6" t="s">
        <v>74</v>
      </c>
      <c r="F5082" s="6" t="s">
        <v>27695</v>
      </c>
      <c r="G5082" s="3" t="str">
        <f>IFERROR(__xludf.DUMMYFUNCTION("REGEXREPLACE(
D5082,
""([一-龯々]+)\[([^\]]+)\]"",
""&lt;ruby&gt;$1&lt;rt&gt;$2&lt;/rt&gt;&lt;/ruby&gt;""
)&amp;""&lt;br&gt;&lt;div class=""""audio""""&gt;[sound:""&amp;C5082&amp;"".mp3]&lt;/div&gt;"""),"&lt;ruby&gt;新入生&lt;rt&gt;しんにゅうせい&lt;/rt&gt;&lt;/ruby&gt;&lt;br&gt;&lt;div class=""audio""&gt;[sound:しんにゅうせい.mp3]&lt;/div&gt;")</f>
        <v>&lt;ruby&gt;新入生&lt;rt&gt;しんにゅうせい&lt;/rt&gt;&lt;/ruby&gt;&lt;br&gt;&lt;div class="audio"&gt;[sound:しんにゅうせい.mp3]&lt;/div&gt;</v>
      </c>
      <c r="H5082" s="3" t="str">
        <f t="shared" si="1"/>
        <v>(n): học sinh mới</v>
      </c>
      <c r="I5082" s="6" t="s">
        <v>27696</v>
      </c>
      <c r="J5082" s="6" t="s">
        <v>27697</v>
      </c>
      <c r="K5082" s="7">
        <f t="shared" si="2"/>
        <v>0.268919617</v>
      </c>
    </row>
    <row r="5083">
      <c r="A5083" s="4">
        <v>5083.0</v>
      </c>
      <c r="B5083" s="5" t="s">
        <v>27698</v>
      </c>
      <c r="C5083" s="5" t="s">
        <v>27699</v>
      </c>
      <c r="D5083" s="5" t="s">
        <v>27700</v>
      </c>
      <c r="E5083" s="6" t="s">
        <v>74</v>
      </c>
      <c r="F5083" s="6" t="s">
        <v>27701</v>
      </c>
      <c r="G5083" s="3" t="str">
        <f>IFERROR(__xludf.DUMMYFUNCTION("REGEXREPLACE(
D5083,
""([一-龯々]+)\[([^\]]+)\]"",
""&lt;ruby&gt;$1&lt;rt&gt;$2&lt;/rt&gt;&lt;/ruby&gt;""
)&amp;""&lt;br&gt;&lt;div class=""""audio""""&gt;[sound:""&amp;C5083&amp;"".mp3]&lt;/div&gt;"""),"&lt;ruby&gt;晩年&lt;rt&gt;ばんねん&lt;/rt&gt;&lt;/ruby&gt;&lt;br&gt;&lt;div class=""audio""&gt;[sound:ばんねん.mp3]&lt;/div&gt;")</f>
        <v>&lt;ruby&gt;晩年&lt;rt&gt;ばんねん&lt;/rt&gt;&lt;/ruby&gt;&lt;br&gt;&lt;div class="audio"&gt;[sound:ばんねん.mp3]&lt;/div&gt;</v>
      </c>
      <c r="H5083" s="3" t="str">
        <f t="shared" si="1"/>
        <v>(n): năm cuối đời</v>
      </c>
      <c r="I5083" s="6" t="s">
        <v>27702</v>
      </c>
      <c r="J5083" s="6" t="s">
        <v>27703</v>
      </c>
      <c r="K5083" s="7">
        <f t="shared" si="2"/>
        <v>0.07168356532</v>
      </c>
    </row>
    <row r="5084">
      <c r="A5084" s="4">
        <v>5084.0</v>
      </c>
      <c r="B5084" s="5" t="s">
        <v>27704</v>
      </c>
      <c r="C5084" s="5" t="s">
        <v>27705</v>
      </c>
      <c r="D5084" s="5" t="s">
        <v>27706</v>
      </c>
      <c r="E5084" s="6" t="s">
        <v>85</v>
      </c>
      <c r="F5084" s="6" t="s">
        <v>27707</v>
      </c>
      <c r="G5084" s="3" t="str">
        <f>IFERROR(__xludf.DUMMYFUNCTION("REGEXREPLACE(
D5084,
""([一-龯々]+)\[([^\]]+)\]"",
""&lt;ruby&gt;$1&lt;rt&gt;$2&lt;/rt&gt;&lt;/ruby&gt;""
)&amp;""&lt;br&gt;&lt;div class=""""audio""""&gt;[sound:""&amp;C5084&amp;"".mp3]&lt;/div&gt;"""),"&lt;ruby&gt;強&lt;rt&gt;し&lt;/rt&gt;&lt;/ruby&gt;いて&lt;br&gt;&lt;div class=""audio""&gt;[sound:しいて.mp3]&lt;/div&gt;")</f>
        <v>&lt;ruby&gt;強&lt;rt&gt;し&lt;/rt&gt;&lt;/ruby&gt;いて&lt;br&gt;&lt;div class="audio"&gt;[sound:しいて.mp3]&lt;/div&gt;</v>
      </c>
      <c r="H5084" s="3" t="str">
        <f t="shared" si="1"/>
        <v>(adv): gắng gượng</v>
      </c>
      <c r="I5084" s="6" t="s">
        <v>27708</v>
      </c>
      <c r="J5084" s="6" t="s">
        <v>27709</v>
      </c>
      <c r="K5084" s="7">
        <f t="shared" si="2"/>
        <v>0.5543960864</v>
      </c>
    </row>
    <row r="5085">
      <c r="A5085" s="4">
        <v>5085.0</v>
      </c>
      <c r="B5085" s="5" t="s">
        <v>27710</v>
      </c>
      <c r="C5085" s="5" t="s">
        <v>27711</v>
      </c>
      <c r="D5085" s="5" t="s">
        <v>27712</v>
      </c>
      <c r="E5085" s="6" t="s">
        <v>74</v>
      </c>
      <c r="F5085" s="6" t="s">
        <v>27713</v>
      </c>
      <c r="G5085" s="3" t="str">
        <f>IFERROR(__xludf.DUMMYFUNCTION("REGEXREPLACE(
D5085,
""([一-龯々]+)\[([^\]]+)\]"",
""&lt;ruby&gt;$1&lt;rt&gt;$2&lt;/rt&gt;&lt;/ruby&gt;""
)&amp;""&lt;br&gt;&lt;div class=""""audio""""&gt;[sound:""&amp;C5085&amp;"".mp3]&lt;/div&gt;"""),"&lt;ruby&gt;排水&lt;rt&gt;はいすい&lt;/rt&gt;&lt;/ruby&gt;&lt;br&gt;&lt;div class=""audio""&gt;[sound:はいすい.mp3]&lt;/div&gt;")</f>
        <v>&lt;ruby&gt;排水&lt;rt&gt;はいすい&lt;/rt&gt;&lt;/ruby&gt;&lt;br&gt;&lt;div class="audio"&gt;[sound:はいすい.mp3]&lt;/div&gt;</v>
      </c>
      <c r="H5085" s="3" t="str">
        <f t="shared" si="1"/>
        <v>(n): thoát nước</v>
      </c>
      <c r="I5085" s="6" t="s">
        <v>27714</v>
      </c>
      <c r="J5085" s="6" t="s">
        <v>27715</v>
      </c>
      <c r="K5085" s="7">
        <f t="shared" si="2"/>
        <v>0.1461229844</v>
      </c>
    </row>
    <row r="5086">
      <c r="A5086" s="4">
        <v>5086.0</v>
      </c>
      <c r="B5086" s="5" t="s">
        <v>27716</v>
      </c>
      <c r="C5086" s="5" t="s">
        <v>27717</v>
      </c>
      <c r="D5086" s="5" t="s">
        <v>27718</v>
      </c>
      <c r="E5086" s="6" t="s">
        <v>74</v>
      </c>
      <c r="F5086" s="6" t="s">
        <v>5900</v>
      </c>
      <c r="G5086" s="3" t="str">
        <f>IFERROR(__xludf.DUMMYFUNCTION("REGEXREPLACE(
D5086,
""([一-龯々]+)\[([^\]]+)\]"",
""&lt;ruby&gt;$1&lt;rt&gt;$2&lt;/rt&gt;&lt;/ruby&gt;""
)&amp;""&lt;br&gt;&lt;div class=""""audio""""&gt;[sound:""&amp;C5086&amp;"".mp3]&lt;/div&gt;"""),"&lt;ruby&gt;断言&lt;rt&gt;だんげん&lt;/rt&gt;&lt;/ruby&gt;&lt;br&gt;&lt;div class=""audio""&gt;[sound:だんげん.mp3]&lt;/div&gt;")</f>
        <v>&lt;ruby&gt;断言&lt;rt&gt;だんげん&lt;/rt&gt;&lt;/ruby&gt;&lt;br&gt;&lt;div class="audio"&gt;[sound:だんげん.mp3]&lt;/div&gt;</v>
      </c>
      <c r="H5086" s="3" t="str">
        <f t="shared" si="1"/>
        <v>(n): khẳng định</v>
      </c>
      <c r="I5086" s="6" t="s">
        <v>27719</v>
      </c>
      <c r="J5086" s="6" t="s">
        <v>27720</v>
      </c>
      <c r="K5086" s="7">
        <f t="shared" si="2"/>
        <v>0.102116566</v>
      </c>
    </row>
    <row r="5087">
      <c r="A5087" s="4">
        <v>5087.0</v>
      </c>
      <c r="B5087" s="5" t="s">
        <v>27721</v>
      </c>
      <c r="C5087" s="5" t="s">
        <v>27722</v>
      </c>
      <c r="D5087" s="5" t="s">
        <v>27723</v>
      </c>
      <c r="E5087" s="6" t="s">
        <v>74</v>
      </c>
      <c r="F5087" s="6" t="s">
        <v>27724</v>
      </c>
      <c r="G5087" s="3" t="str">
        <f>IFERROR(__xludf.DUMMYFUNCTION("REGEXREPLACE(
D5087,
""([一-龯々]+)\[([^\]]+)\]"",
""&lt;ruby&gt;$1&lt;rt&gt;$2&lt;/rt&gt;&lt;/ruby&gt;""
)&amp;""&lt;br&gt;&lt;div class=""""audio""""&gt;[sound:""&amp;C5087&amp;"".mp3]&lt;/div&gt;"""),"&lt;ruby&gt;昇進&lt;rt&gt;しょうしん&lt;/rt&gt;&lt;/ruby&gt;&lt;br&gt;&lt;div class=""audio""&gt;[sound:しょうしん.mp3]&lt;/div&gt;")</f>
        <v>&lt;ruby&gt;昇進&lt;rt&gt;しょうしん&lt;/rt&gt;&lt;/ruby&gt;&lt;br&gt;&lt;div class="audio"&gt;[sound:しょうしん.mp3]&lt;/div&gt;</v>
      </c>
      <c r="H5087" s="3" t="str">
        <f t="shared" si="1"/>
        <v>(n): thăng tiến</v>
      </c>
      <c r="I5087" s="6" t="s">
        <v>27725</v>
      </c>
      <c r="J5087" s="6" t="s">
        <v>27726</v>
      </c>
      <c r="K5087" s="7">
        <f t="shared" si="2"/>
        <v>0.2458558013</v>
      </c>
    </row>
    <row r="5088">
      <c r="A5088" s="4">
        <v>5088.0</v>
      </c>
      <c r="B5088" s="5" t="s">
        <v>27727</v>
      </c>
      <c r="C5088" s="5" t="s">
        <v>27728</v>
      </c>
      <c r="D5088" s="5" t="s">
        <v>27729</v>
      </c>
      <c r="E5088" s="6" t="s">
        <v>24</v>
      </c>
      <c r="F5088" s="6" t="s">
        <v>27730</v>
      </c>
      <c r="G5088" s="3" t="str">
        <f>IFERROR(__xludf.DUMMYFUNCTION("REGEXREPLACE(
D5088,
""([一-龯々]+)\[([^\]]+)\]"",
""&lt;ruby&gt;$1&lt;rt&gt;$2&lt;/rt&gt;&lt;/ruby&gt;""
)&amp;""&lt;br&gt;&lt;div class=""""audio""""&gt;[sound:""&amp;C5088&amp;"".mp3]&lt;/div&gt;"""),"&lt;ruby&gt;悩&lt;rt&gt;なや&lt;/rt&gt;&lt;/ruby&gt;ます&lt;br&gt;&lt;div class=""audio""&gt;[sound:なやます.mp3]&lt;/div&gt;")</f>
        <v>&lt;ruby&gt;悩&lt;rt&gt;なや&lt;/rt&gt;&lt;/ruby&gt;ます&lt;br&gt;&lt;div class="audio"&gt;[sound:なやます.mp3]&lt;/div&gt;</v>
      </c>
      <c r="H5088" s="3" t="str">
        <f t="shared" si="1"/>
        <v>(v): làm phiền</v>
      </c>
      <c r="I5088" s="6" t="s">
        <v>27731</v>
      </c>
      <c r="J5088" s="6" t="s">
        <v>27732</v>
      </c>
      <c r="K5088" s="7">
        <f t="shared" si="2"/>
        <v>0.4105208796</v>
      </c>
    </row>
    <row r="5089">
      <c r="A5089" s="4">
        <v>5089.0</v>
      </c>
      <c r="B5089" s="5" t="s">
        <v>27733</v>
      </c>
      <c r="C5089" s="5" t="s">
        <v>27734</v>
      </c>
      <c r="D5089" s="5" t="s">
        <v>27735</v>
      </c>
      <c r="E5089" s="6" t="s">
        <v>74</v>
      </c>
      <c r="F5089" s="6" t="s">
        <v>27736</v>
      </c>
      <c r="G5089" s="3" t="str">
        <f>IFERROR(__xludf.DUMMYFUNCTION("REGEXREPLACE(
D5089,
""([一-龯々]+)\[([^\]]+)\]"",
""&lt;ruby&gt;$1&lt;rt&gt;$2&lt;/rt&gt;&lt;/ruby&gt;""
)&amp;""&lt;br&gt;&lt;div class=""""audio""""&gt;[sound:""&amp;C5089&amp;"".mp3]&lt;/div&gt;"""),"&lt;ruby&gt;愛想&lt;rt&gt;あいそ&lt;/rt&gt;&lt;/ruby&gt;&lt;br&gt;&lt;div class=""audio""&gt;[sound:あいそ.mp3]&lt;/div&gt;")</f>
        <v>&lt;ruby&gt;愛想&lt;rt&gt;あいそ&lt;/rt&gt;&lt;/ruby&gt;&lt;br&gt;&lt;div class="audio"&gt;[sound:あいそ.mp3]&lt;/div&gt;</v>
      </c>
      <c r="H5089" s="3" t="str">
        <f t="shared" si="1"/>
        <v>(n): tươi cười</v>
      </c>
      <c r="I5089" s="6" t="s">
        <v>27737</v>
      </c>
      <c r="J5089" s="6" t="s">
        <v>27738</v>
      </c>
      <c r="K5089" s="7">
        <f t="shared" si="2"/>
        <v>0.4076597211</v>
      </c>
    </row>
    <row r="5090">
      <c r="A5090" s="4">
        <v>5090.0</v>
      </c>
      <c r="B5090" s="5" t="s">
        <v>27739</v>
      </c>
      <c r="C5090" s="5" t="s">
        <v>27740</v>
      </c>
      <c r="D5090" s="5" t="s">
        <v>27741</v>
      </c>
      <c r="E5090" s="6" t="s">
        <v>74</v>
      </c>
      <c r="F5090" s="6" t="s">
        <v>27742</v>
      </c>
      <c r="G5090" s="3" t="str">
        <f>IFERROR(__xludf.DUMMYFUNCTION("REGEXREPLACE(
D5090,
""([一-龯々]+)\[([^\]]+)\]"",
""&lt;ruby&gt;$1&lt;rt&gt;$2&lt;/rt&gt;&lt;/ruby&gt;""
)&amp;""&lt;br&gt;&lt;div class=""""audio""""&gt;[sound:""&amp;C5090&amp;"".mp3]&lt;/div&gt;"""),"&lt;ruby&gt;探検&lt;rt&gt;たんけん&lt;/rt&gt;&lt;/ruby&gt;&lt;br&gt;&lt;div class=""audio""&gt;[sound:たんけん.mp3]&lt;/div&gt;")</f>
        <v>&lt;ruby&gt;探検&lt;rt&gt;たんけん&lt;/rt&gt;&lt;/ruby&gt;&lt;br&gt;&lt;div class="audio"&gt;[sound:たんけん.mp3]&lt;/div&gt;</v>
      </c>
      <c r="H5090" s="3" t="str">
        <f t="shared" si="1"/>
        <v>(n): thám hiểm</v>
      </c>
      <c r="I5090" s="6" t="s">
        <v>27743</v>
      </c>
      <c r="J5090" s="6" t="s">
        <v>27744</v>
      </c>
      <c r="K5090" s="7">
        <f t="shared" si="2"/>
        <v>0.8530327329</v>
      </c>
    </row>
    <row r="5091">
      <c r="A5091" s="4">
        <v>5091.0</v>
      </c>
      <c r="B5091" s="5" t="s">
        <v>27745</v>
      </c>
      <c r="C5091" s="5" t="s">
        <v>27746</v>
      </c>
      <c r="D5091" s="5" t="s">
        <v>27747</v>
      </c>
      <c r="E5091" s="6" t="s">
        <v>24</v>
      </c>
      <c r="F5091" s="6" t="s">
        <v>7439</v>
      </c>
      <c r="G5091" s="3" t="str">
        <f>IFERROR(__xludf.DUMMYFUNCTION("REGEXREPLACE(
D5091,
""([一-龯々]+)\[([^\]]+)\]"",
""&lt;ruby&gt;$1&lt;rt&gt;$2&lt;/rt&gt;&lt;/ruby&gt;""
)&amp;""&lt;br&gt;&lt;div class=""""audio""""&gt;[sound:""&amp;C5091&amp;"".mp3]&lt;/div&gt;"""),"&lt;ruby&gt;改&lt;rt&gt;あらた&lt;/rt&gt;&lt;/ruby&gt;まる&lt;br&gt;&lt;div class=""audio""&gt;[sound:あらたまる.mp3]&lt;/div&gt;")</f>
        <v>&lt;ruby&gt;改&lt;rt&gt;あらた&lt;/rt&gt;&lt;/ruby&gt;まる&lt;br&gt;&lt;div class="audio"&gt;[sound:あらたまる.mp3]&lt;/div&gt;</v>
      </c>
      <c r="H5091" s="3" t="str">
        <f t="shared" si="1"/>
        <v>(v): cải thiện</v>
      </c>
      <c r="I5091" s="6" t="s">
        <v>27748</v>
      </c>
      <c r="J5091" s="6" t="s">
        <v>27749</v>
      </c>
      <c r="K5091" s="7">
        <f t="shared" si="2"/>
        <v>0.5862475044</v>
      </c>
    </row>
    <row r="5092">
      <c r="A5092" s="4">
        <v>5092.0</v>
      </c>
      <c r="B5092" s="5" t="s">
        <v>27750</v>
      </c>
      <c r="C5092" s="5" t="s">
        <v>27751</v>
      </c>
      <c r="D5092" s="5" t="s">
        <v>27752</v>
      </c>
      <c r="E5092" s="6" t="s">
        <v>74</v>
      </c>
      <c r="F5092" s="6" t="s">
        <v>8518</v>
      </c>
      <c r="G5092" s="3" t="str">
        <f>IFERROR(__xludf.DUMMYFUNCTION("REGEXREPLACE(
D5092,
""([一-龯々]+)\[([^\]]+)\]"",
""&lt;ruby&gt;$1&lt;rt&gt;$2&lt;/rt&gt;&lt;/ruby&gt;""
)&amp;""&lt;br&gt;&lt;div class=""""audio""""&gt;[sound:""&amp;C5092&amp;"".mp3]&lt;/div&gt;"""),"&lt;ruby&gt;昆虫&lt;rt&gt;こんちゅう&lt;/rt&gt;&lt;/ruby&gt;&lt;br&gt;&lt;div class=""audio""&gt;[sound:こんちゅう.mp3]&lt;/div&gt;")</f>
        <v>&lt;ruby&gt;昆虫&lt;rt&gt;こんちゅう&lt;/rt&gt;&lt;/ruby&gt;&lt;br&gt;&lt;div class="audio"&gt;[sound:こんちゅう.mp3]&lt;/div&gt;</v>
      </c>
      <c r="H5092" s="3" t="str">
        <f t="shared" si="1"/>
        <v>(n): côn trùng</v>
      </c>
      <c r="I5092" s="6" t="s">
        <v>27753</v>
      </c>
      <c r="J5092" s="6" t="s">
        <v>27754</v>
      </c>
      <c r="K5092" s="7">
        <f t="shared" si="2"/>
        <v>0.798314956</v>
      </c>
    </row>
    <row r="5093">
      <c r="A5093" s="4">
        <v>5093.0</v>
      </c>
      <c r="B5093" s="5" t="s">
        <v>27755</v>
      </c>
      <c r="C5093" s="5" t="s">
        <v>27756</v>
      </c>
      <c r="D5093" s="5" t="s">
        <v>27757</v>
      </c>
      <c r="E5093" s="6" t="s">
        <v>74</v>
      </c>
      <c r="F5093" s="6" t="s">
        <v>22487</v>
      </c>
      <c r="G5093" s="3" t="str">
        <f>IFERROR(__xludf.DUMMYFUNCTION("REGEXREPLACE(
D5093,
""([一-龯々]+)\[([^\]]+)\]"",
""&lt;ruby&gt;$1&lt;rt&gt;$2&lt;/rt&gt;&lt;/ruby&gt;""
)&amp;""&lt;br&gt;&lt;div class=""""audio""""&gt;[sound:""&amp;C5093&amp;"".mp3]&lt;/div&gt;"""),"&lt;ruby&gt;是正&lt;rt&gt;ぜせい&lt;/rt&gt;&lt;/ruby&gt;&lt;br&gt;&lt;div class=""audio""&gt;[sound:ぜせい.mp3]&lt;/div&gt;")</f>
        <v>&lt;ruby&gt;是正&lt;rt&gt;ぜせい&lt;/rt&gt;&lt;/ruby&gt;&lt;br&gt;&lt;div class="audio"&gt;[sound:ぜせい.mp3]&lt;/div&gt;</v>
      </c>
      <c r="H5093" s="3" t="str">
        <f t="shared" si="1"/>
        <v>(n): chỉnh sửa</v>
      </c>
      <c r="I5093" s="6" t="s">
        <v>27758</v>
      </c>
      <c r="J5093" s="6" t="s">
        <v>27759</v>
      </c>
      <c r="K5093" s="7">
        <f t="shared" si="2"/>
        <v>0.5386899016</v>
      </c>
    </row>
    <row r="5094">
      <c r="A5094" s="4">
        <v>5094.0</v>
      </c>
      <c r="B5094" s="5" t="s">
        <v>27760</v>
      </c>
      <c r="C5094" s="5" t="s">
        <v>4257</v>
      </c>
      <c r="D5094" s="5" t="s">
        <v>27761</v>
      </c>
      <c r="E5094" s="6" t="s">
        <v>11</v>
      </c>
      <c r="F5094" s="6" t="s">
        <v>27762</v>
      </c>
      <c r="G5094" s="3" t="str">
        <f>IFERROR(__xludf.DUMMYFUNCTION("REGEXREPLACE(
D5094,
""([一-龯々]+)\[([^\]]+)\]"",
""&lt;ruby&gt;$1&lt;rt&gt;$2&lt;/rt&gt;&lt;/ruby&gt;""
)&amp;""&lt;br&gt;&lt;div class=""""audio""""&gt;[sound:""&amp;C5094&amp;"".mp3]&lt;/div&gt;"""),"&lt;ruby&gt;未知&lt;rt&gt;みち&lt;/rt&gt;&lt;/ruby&gt;&lt;br&gt;&lt;div class=""audio""&gt;[sound:みち.mp3]&lt;/div&gt;")</f>
        <v>&lt;ruby&gt;未知&lt;rt&gt;みち&lt;/rt&gt;&lt;/ruby&gt;&lt;br&gt;&lt;div class="audio"&gt;[sound:みち.mp3]&lt;/div&gt;</v>
      </c>
      <c r="H5094" s="3" t="str">
        <f t="shared" si="1"/>
        <v>(adj): chưa biết</v>
      </c>
      <c r="I5094" s="6" t="s">
        <v>27763</v>
      </c>
      <c r="J5094" s="6" t="s">
        <v>27764</v>
      </c>
      <c r="K5094" s="7">
        <f t="shared" si="2"/>
        <v>0.04810047434</v>
      </c>
    </row>
    <row r="5095">
      <c r="A5095" s="4">
        <v>5095.0</v>
      </c>
      <c r="B5095" s="5" t="s">
        <v>27765</v>
      </c>
      <c r="C5095" s="5" t="s">
        <v>27766</v>
      </c>
      <c r="D5095" s="5" t="s">
        <v>27767</v>
      </c>
      <c r="E5095" s="6" t="s">
        <v>74</v>
      </c>
      <c r="F5095" s="6" t="s">
        <v>27768</v>
      </c>
      <c r="G5095" s="3" t="str">
        <f>IFERROR(__xludf.DUMMYFUNCTION("REGEXREPLACE(
D5095,
""([一-龯々]+)\[([^\]]+)\]"",
""&lt;ruby&gt;$1&lt;rt&gt;$2&lt;/rt&gt;&lt;/ruby&gt;""
)&amp;""&lt;br&gt;&lt;div class=""""audio""""&gt;[sound:""&amp;C5095&amp;"".mp3]&lt;/div&gt;"""),"&lt;ruby&gt;峰&lt;rt&gt;みね&lt;/rt&gt;&lt;/ruby&gt;&lt;br&gt;&lt;div class=""audio""&gt;[sound:みね.mp3]&lt;/div&gt;")</f>
        <v>&lt;ruby&gt;峰&lt;rt&gt;みね&lt;/rt&gt;&lt;/ruby&gt;&lt;br&gt;&lt;div class="audio"&gt;[sound:みね.mp3]&lt;/div&gt;</v>
      </c>
      <c r="H5095" s="3" t="str">
        <f t="shared" si="1"/>
        <v>(n): đỉnh núi</v>
      </c>
      <c r="I5095" s="6" t="s">
        <v>27769</v>
      </c>
      <c r="J5095" s="6" t="s">
        <v>27770</v>
      </c>
      <c r="K5095" s="7">
        <f t="shared" si="2"/>
        <v>0.01700899295</v>
      </c>
    </row>
    <row r="5096">
      <c r="A5096" s="4">
        <v>5096.0</v>
      </c>
      <c r="B5096" s="5" t="s">
        <v>27771</v>
      </c>
      <c r="C5096" s="5" t="s">
        <v>27772</v>
      </c>
      <c r="D5096" s="5" t="s">
        <v>27773</v>
      </c>
      <c r="E5096" s="6" t="s">
        <v>11</v>
      </c>
      <c r="F5096" s="6" t="s">
        <v>27774</v>
      </c>
      <c r="G5096" s="3" t="str">
        <f>IFERROR(__xludf.DUMMYFUNCTION("REGEXREPLACE(
D5096,
""([一-龯々]+)\[([^\]]+)\]"",
""&lt;ruby&gt;$1&lt;rt&gt;$2&lt;/rt&gt;&lt;/ruby&gt;""
)&amp;""&lt;br&gt;&lt;div class=""""audio""""&gt;[sound:""&amp;C5096&amp;"".mp3]&lt;/div&gt;"""),"&lt;ruby&gt;巧&lt;rt&gt;たく&lt;/rt&gt;&lt;/ruby&gt;み&lt;br&gt;&lt;div class=""audio""&gt;[sound:たくみ.mp3]&lt;/div&gt;")</f>
        <v>&lt;ruby&gt;巧&lt;rt&gt;たく&lt;/rt&gt;&lt;/ruby&gt;み&lt;br&gt;&lt;div class="audio"&gt;[sound:たくみ.mp3]&lt;/div&gt;</v>
      </c>
      <c r="H5096" s="3" t="str">
        <f t="shared" si="1"/>
        <v>(adj): khéo léo</v>
      </c>
      <c r="I5096" s="6" t="s">
        <v>27775</v>
      </c>
      <c r="J5096" s="6" t="s">
        <v>27776</v>
      </c>
      <c r="K5096" s="7">
        <f t="shared" si="2"/>
        <v>0.2688240176</v>
      </c>
    </row>
    <row r="5097">
      <c r="A5097" s="4">
        <v>5097.0</v>
      </c>
      <c r="B5097" s="5" t="s">
        <v>27777</v>
      </c>
      <c r="C5097" s="5" t="s">
        <v>27778</v>
      </c>
      <c r="D5097" s="5" t="s">
        <v>27779</v>
      </c>
      <c r="E5097" s="6" t="s">
        <v>74</v>
      </c>
      <c r="F5097" s="6" t="s">
        <v>27780</v>
      </c>
      <c r="G5097" s="3" t="str">
        <f>IFERROR(__xludf.DUMMYFUNCTION("REGEXREPLACE(
D5097,
""([一-龯々]+)\[([^\]]+)\]"",
""&lt;ruby&gt;$1&lt;rt&gt;$2&lt;/rt&gt;&lt;/ruby&gt;""
)&amp;""&lt;br&gt;&lt;div class=""""audio""""&gt;[sound:""&amp;C5097&amp;"".mp3]&lt;/div&gt;"""),"&lt;ruby&gt;当人&lt;rt&gt;とうにん&lt;/rt&gt;&lt;/ruby&gt;&lt;br&gt;&lt;div class=""audio""&gt;[sound:とうにん.mp3]&lt;/div&gt;")</f>
        <v>&lt;ruby&gt;当人&lt;rt&gt;とうにん&lt;/rt&gt;&lt;/ruby&gt;&lt;br&gt;&lt;div class="audio"&gt;[sound:とうにん.mp3]&lt;/div&gt;</v>
      </c>
      <c r="H5097" s="3" t="str">
        <f t="shared" si="1"/>
        <v>(n): đương sự</v>
      </c>
      <c r="I5097" s="6" t="s">
        <v>27781</v>
      </c>
      <c r="J5097" s="6" t="s">
        <v>27782</v>
      </c>
      <c r="K5097" s="7">
        <f t="shared" si="2"/>
        <v>0.9084262726</v>
      </c>
    </row>
    <row r="5098">
      <c r="A5098" s="4">
        <v>5098.0</v>
      </c>
      <c r="B5098" s="5" t="s">
        <v>27783</v>
      </c>
      <c r="C5098" s="5" t="s">
        <v>27784</v>
      </c>
      <c r="D5098" s="5" t="s">
        <v>27785</v>
      </c>
      <c r="E5098" s="6" t="s">
        <v>74</v>
      </c>
      <c r="F5098" s="6" t="s">
        <v>27786</v>
      </c>
      <c r="G5098" s="3" t="str">
        <f>IFERROR(__xludf.DUMMYFUNCTION("REGEXREPLACE(
D5098,
""([一-龯々]+)\[([^\]]+)\]"",
""&lt;ruby&gt;$1&lt;rt&gt;$2&lt;/rt&gt;&lt;/ruby&gt;""
)&amp;""&lt;br&gt;&lt;div class=""""audio""""&gt;[sound:""&amp;C5098&amp;"".mp3]&lt;/div&gt;"""),"&lt;ruby&gt;後回&lt;rt&gt;あとまわ&lt;/rt&gt;&lt;/ruby&gt;し&lt;br&gt;&lt;div class=""audio""&gt;[sound:あとまわし.mp3]&lt;/div&gt;")</f>
        <v>&lt;ruby&gt;後回&lt;rt&gt;あとまわ&lt;/rt&gt;&lt;/ruby&gt;し&lt;br&gt;&lt;div class="audio"&gt;[sound:あとまわし.mp3]&lt;/div&gt;</v>
      </c>
      <c r="H5098" s="3" t="str">
        <f t="shared" si="1"/>
        <v>(n): hoãn lại</v>
      </c>
      <c r="I5098" s="6" t="s">
        <v>27787</v>
      </c>
      <c r="J5098" s="6" t="s">
        <v>27788</v>
      </c>
      <c r="K5098" s="7">
        <f t="shared" si="2"/>
        <v>0.1410889884</v>
      </c>
    </row>
    <row r="5099">
      <c r="A5099" s="4">
        <v>5099.0</v>
      </c>
      <c r="B5099" s="5" t="s">
        <v>27789</v>
      </c>
      <c r="C5099" s="5" t="s">
        <v>27790</v>
      </c>
      <c r="D5099" s="5" t="s">
        <v>27791</v>
      </c>
      <c r="E5099" s="6" t="s">
        <v>24</v>
      </c>
      <c r="F5099" s="6" t="s">
        <v>27792</v>
      </c>
      <c r="G5099" s="3" t="str">
        <f>IFERROR(__xludf.DUMMYFUNCTION("REGEXREPLACE(
D5099,
""([一-龯々]+)\[([^\]]+)\]"",
""&lt;ruby&gt;$1&lt;rt&gt;$2&lt;/rt&gt;&lt;/ruby&gt;""
)&amp;""&lt;br&gt;&lt;div class=""""audio""""&gt;[sound:""&amp;C5099&amp;"".mp3]&lt;/div&gt;"""),"&lt;ruby&gt;志&lt;rt&gt;こころざ&lt;/rt&gt;&lt;/ruby&gt;す&lt;br&gt;&lt;div class=""audio""&gt;[sound:こころざす.mp3]&lt;/div&gt;")</f>
        <v>&lt;ruby&gt;志&lt;rt&gt;こころざ&lt;/rt&gt;&lt;/ruby&gt;す&lt;br&gt;&lt;div class="audio"&gt;[sound:こころざす.mp3]&lt;/div&gt;</v>
      </c>
      <c r="H5099" s="3" t="str">
        <f t="shared" si="1"/>
        <v>(v): nhắm tới</v>
      </c>
      <c r="I5099" s="6" t="s">
        <v>27793</v>
      </c>
      <c r="J5099" s="6" t="s">
        <v>27794</v>
      </c>
      <c r="K5099" s="7">
        <f t="shared" si="2"/>
        <v>0.3753348195</v>
      </c>
    </row>
    <row r="5100">
      <c r="A5100" s="4">
        <v>5100.0</v>
      </c>
      <c r="B5100" s="5" t="s">
        <v>27795</v>
      </c>
      <c r="C5100" s="5" t="s">
        <v>27796</v>
      </c>
      <c r="D5100" s="5" t="s">
        <v>27797</v>
      </c>
      <c r="E5100" s="6" t="s">
        <v>74</v>
      </c>
      <c r="F5100" s="6" t="s">
        <v>27798</v>
      </c>
      <c r="G5100" s="3" t="str">
        <f>IFERROR(__xludf.DUMMYFUNCTION("REGEXREPLACE(
D5100,
""([一-龯々]+)\[([^\]]+)\]"",
""&lt;ruby&gt;$1&lt;rt&gt;$2&lt;/rt&gt;&lt;/ruby&gt;""
)&amp;""&lt;br&gt;&lt;div class=""""audio""""&gt;[sound:""&amp;C5100&amp;"".mp3]&lt;/div&gt;"""),"&lt;ruby&gt;憎&lt;rt&gt;にく&lt;/rt&gt;&lt;/ruby&gt;しみ&lt;br&gt;&lt;div class=""audio""&gt;[sound:にくしみ.mp3]&lt;/div&gt;")</f>
        <v>&lt;ruby&gt;憎&lt;rt&gt;にく&lt;/rt&gt;&lt;/ruby&gt;しみ&lt;br&gt;&lt;div class="audio"&gt;[sound:にくしみ.mp3]&lt;/div&gt;</v>
      </c>
      <c r="H5100" s="3" t="str">
        <f t="shared" si="1"/>
        <v>(n): căm ghét</v>
      </c>
      <c r="I5100" s="6" t="s">
        <v>27799</v>
      </c>
      <c r="J5100" s="6" t="s">
        <v>27800</v>
      </c>
      <c r="K5100" s="7">
        <f t="shared" si="2"/>
        <v>0.493259717</v>
      </c>
    </row>
    <row r="5101">
      <c r="A5101" s="4">
        <v>5101.0</v>
      </c>
      <c r="B5101" s="5" t="s">
        <v>27801</v>
      </c>
      <c r="C5101" s="5" t="s">
        <v>27802</v>
      </c>
      <c r="D5101" s="5" t="s">
        <v>27803</v>
      </c>
      <c r="E5101" s="6" t="s">
        <v>74</v>
      </c>
      <c r="F5101" s="6" t="s">
        <v>27804</v>
      </c>
      <c r="G5101" s="3" t="str">
        <f>IFERROR(__xludf.DUMMYFUNCTION("REGEXREPLACE(
D5101,
""([一-龯々]+)\[([^\]]+)\]"",
""&lt;ruby&gt;$1&lt;rt&gt;$2&lt;/rt&gt;&lt;/ruby&gt;""
)&amp;""&lt;br&gt;&lt;div class=""""audio""""&gt;[sound:""&amp;C5101&amp;"".mp3]&lt;/div&gt;"""),"&lt;ruby&gt;手本&lt;rt&gt;てほん&lt;/rt&gt;&lt;/ruby&gt;&lt;br&gt;&lt;div class=""audio""&gt;[sound:てほん.mp3]&lt;/div&gt;")</f>
        <v>&lt;ruby&gt;手本&lt;rt&gt;てほん&lt;/rt&gt;&lt;/ruby&gt;&lt;br&gt;&lt;div class="audio"&gt;[sound:てほん.mp3]&lt;/div&gt;</v>
      </c>
      <c r="H5101" s="3" t="str">
        <f t="shared" si="1"/>
        <v>(n): kiểu mẫu</v>
      </c>
      <c r="I5101" s="6" t="s">
        <v>27805</v>
      </c>
      <c r="J5101" s="6" t="s">
        <v>27806</v>
      </c>
      <c r="K5101" s="7">
        <f t="shared" si="2"/>
        <v>0.1577112637</v>
      </c>
    </row>
    <row r="5102">
      <c r="A5102" s="4">
        <v>5102.0</v>
      </c>
      <c r="B5102" s="5" t="s">
        <v>27807</v>
      </c>
      <c r="C5102" s="5" t="s">
        <v>27808</v>
      </c>
      <c r="D5102" s="5" t="s">
        <v>27809</v>
      </c>
      <c r="E5102" s="6" t="s">
        <v>74</v>
      </c>
      <c r="F5102" s="6" t="s">
        <v>27810</v>
      </c>
      <c r="G5102" s="3" t="str">
        <f>IFERROR(__xludf.DUMMYFUNCTION("REGEXREPLACE(
D5102,
""([一-龯々]+)\[([^\]]+)\]"",
""&lt;ruby&gt;$1&lt;rt&gt;$2&lt;/rt&gt;&lt;/ruby&gt;""
)&amp;""&lt;br&gt;&lt;div class=""""audio""""&gt;[sound:""&amp;C5102&amp;"".mp3]&lt;/div&gt;"""),"&lt;ruby&gt;手遅&lt;rt&gt;ておく&lt;/rt&gt;&lt;/ruby&gt;れ&lt;br&gt;&lt;div class=""audio""&gt;[sound:ておくれ.mp3]&lt;/div&gt;")</f>
        <v>&lt;ruby&gt;手遅&lt;rt&gt;ておく&lt;/rt&gt;&lt;/ruby&gt;れ&lt;br&gt;&lt;div class="audio"&gt;[sound:ておくれ.mp3]&lt;/div&gt;</v>
      </c>
      <c r="H5102" s="3" t="str">
        <f t="shared" si="1"/>
        <v>(n): quá muộn</v>
      </c>
      <c r="I5102" s="6" t="s">
        <v>27811</v>
      </c>
      <c r="J5102" s="6" t="s">
        <v>27812</v>
      </c>
      <c r="K5102" s="7">
        <f t="shared" si="2"/>
        <v>0.5551777826</v>
      </c>
    </row>
    <row r="5103">
      <c r="A5103" s="4">
        <v>5103.0</v>
      </c>
      <c r="B5103" s="5" t="s">
        <v>27813</v>
      </c>
      <c r="C5103" s="5" t="s">
        <v>27814</v>
      </c>
      <c r="D5103" s="5" t="s">
        <v>27815</v>
      </c>
      <c r="E5103" s="6" t="s">
        <v>24</v>
      </c>
      <c r="F5103" s="6" t="s">
        <v>27816</v>
      </c>
      <c r="G5103" s="3" t="str">
        <f>IFERROR(__xludf.DUMMYFUNCTION("REGEXREPLACE(
D5103,
""([一-龯々]+)\[([^\]]+)\]"",
""&lt;ruby&gt;$1&lt;rt&gt;$2&lt;/rt&gt;&lt;/ruby&gt;""
)&amp;""&lt;br&gt;&lt;div class=""""audio""""&gt;[sound:""&amp;C5103&amp;"".mp3]&lt;/div&gt;"""),"&lt;ruby&gt;押&lt;rt&gt;お&lt;/rt&gt;&lt;/ruby&gt;し&lt;ruby&gt;込&lt;rt&gt;こ&lt;/rt&gt;&lt;/ruby&gt;む&lt;br&gt;&lt;div class=""audio""&gt;[sound:おしこむ.mp3]&lt;/div&gt;")</f>
        <v>&lt;ruby&gt;押&lt;rt&gt;お&lt;/rt&gt;&lt;/ruby&gt;し&lt;ruby&gt;込&lt;rt&gt;こ&lt;/rt&gt;&lt;/ruby&gt;む&lt;br&gt;&lt;div class="audio"&gt;[sound:おしこむ.mp3]&lt;/div&gt;</v>
      </c>
      <c r="H5103" s="3" t="str">
        <f t="shared" si="1"/>
        <v>(v): nhét vào</v>
      </c>
      <c r="I5103" s="6" t="s">
        <v>27817</v>
      </c>
      <c r="J5103" s="6" t="s">
        <v>27818</v>
      </c>
      <c r="K5103" s="7">
        <f t="shared" si="2"/>
        <v>0.9752069536</v>
      </c>
    </row>
    <row r="5104">
      <c r="A5104" s="4">
        <v>5104.0</v>
      </c>
      <c r="B5104" s="5" t="s">
        <v>27819</v>
      </c>
      <c r="C5104" s="5" t="s">
        <v>27820</v>
      </c>
      <c r="D5104" s="5" t="s">
        <v>27821</v>
      </c>
      <c r="E5104" s="6" t="s">
        <v>24</v>
      </c>
      <c r="F5104" s="6" t="s">
        <v>27822</v>
      </c>
      <c r="G5104" s="3" t="str">
        <f>IFERROR(__xludf.DUMMYFUNCTION("REGEXREPLACE(
D5104,
""([一-龯々]+)\[([^\]]+)\]"",
""&lt;ruby&gt;$1&lt;rt&gt;$2&lt;/rt&gt;&lt;/ruby&gt;""
)&amp;""&lt;br&gt;&lt;div class=""""audio""""&gt;[sound:""&amp;C5104&amp;"".mp3]&lt;/div&gt;"""),"&lt;ruby&gt;授&lt;rt&gt;さず&lt;/rt&gt;&lt;/ruby&gt;ける&lt;br&gt;&lt;div class=""audio""&gt;[sound:さずける.mp3]&lt;/div&gt;")</f>
        <v>&lt;ruby&gt;授&lt;rt&gt;さず&lt;/rt&gt;&lt;/ruby&gt;ける&lt;br&gt;&lt;div class="audio"&gt;[sound:さずける.mp3]&lt;/div&gt;</v>
      </c>
      <c r="H5104" s="3" t="str">
        <f t="shared" si="1"/>
        <v>(v): ban tặng</v>
      </c>
      <c r="I5104" s="6" t="s">
        <v>27823</v>
      </c>
      <c r="J5104" s="6" t="s">
        <v>27824</v>
      </c>
      <c r="K5104" s="7">
        <f t="shared" si="2"/>
        <v>0.5762969101</v>
      </c>
    </row>
    <row r="5105">
      <c r="A5105" s="4">
        <v>5105.0</v>
      </c>
      <c r="B5105" s="5" t="s">
        <v>27825</v>
      </c>
      <c r="C5105" s="5" t="s">
        <v>27826</v>
      </c>
      <c r="D5105" s="5" t="s">
        <v>27827</v>
      </c>
      <c r="E5105" s="6" t="s">
        <v>24</v>
      </c>
      <c r="F5105" s="6" t="s">
        <v>27828</v>
      </c>
      <c r="G5105" s="3" t="str">
        <f>IFERROR(__xludf.DUMMYFUNCTION("REGEXREPLACE(
D5105,
""([一-龯々]+)\[([^\]]+)\]"",
""&lt;ruby&gt;$1&lt;rt&gt;$2&lt;/rt&gt;&lt;/ruby&gt;""
)&amp;""&lt;br&gt;&lt;div class=""""audio""""&gt;[sound:""&amp;C5105&amp;"".mp3]&lt;/div&gt;"""),"&lt;ruby&gt;揺&lt;rt&gt;ゆ&lt;/rt&gt;&lt;/ruby&gt;らぐ&lt;br&gt;&lt;div class=""audio""&gt;[sound:ゆらぐ.mp3]&lt;/div&gt;")</f>
        <v>&lt;ruby&gt;揺&lt;rt&gt;ゆ&lt;/rt&gt;&lt;/ruby&gt;らぐ&lt;br&gt;&lt;div class="audio"&gt;[sound:ゆらぐ.mp3]&lt;/div&gt;</v>
      </c>
      <c r="H5105" s="3" t="str">
        <f t="shared" si="1"/>
        <v>(v): lung lay</v>
      </c>
      <c r="I5105" s="6" t="s">
        <v>27829</v>
      </c>
      <c r="J5105" s="6" t="s">
        <v>27830</v>
      </c>
      <c r="K5105" s="7">
        <f t="shared" si="2"/>
        <v>0.5735079582</v>
      </c>
    </row>
    <row r="5106">
      <c r="A5106" s="4">
        <v>5106.0</v>
      </c>
      <c r="B5106" s="5" t="s">
        <v>27831</v>
      </c>
      <c r="C5106" s="5" t="s">
        <v>27832</v>
      </c>
      <c r="D5106" s="5" t="s">
        <v>27833</v>
      </c>
      <c r="E5106" s="6" t="s">
        <v>74</v>
      </c>
      <c r="F5106" s="6" t="s">
        <v>27834</v>
      </c>
      <c r="G5106" s="3" t="str">
        <f>IFERROR(__xludf.DUMMYFUNCTION("REGEXREPLACE(
D5106,
""([一-龯々]+)\[([^\]]+)\]"",
""&lt;ruby&gt;$1&lt;rt&gt;$2&lt;/rt&gt;&lt;/ruby&gt;""
)&amp;""&lt;br&gt;&lt;div class=""""audio""""&gt;[sound:""&amp;C5106&amp;"".mp3]&lt;/div&gt;"""),"&lt;ruby&gt;日夜&lt;rt&gt;にちや&lt;/rt&gt;&lt;/ruby&gt;&lt;br&gt;&lt;div class=""audio""&gt;[sound:にちや.mp3]&lt;/div&gt;")</f>
        <v>&lt;ruby&gt;日夜&lt;rt&gt;にちや&lt;/rt&gt;&lt;/ruby&gt;&lt;br&gt;&lt;div class="audio"&gt;[sound:にちや.mp3]&lt;/div&gt;</v>
      </c>
      <c r="H5106" s="3" t="str">
        <f t="shared" si="1"/>
        <v>(n): ngày đêm</v>
      </c>
      <c r="I5106" s="6" t="s">
        <v>27835</v>
      </c>
      <c r="J5106" s="6" t="s">
        <v>27836</v>
      </c>
      <c r="K5106" s="7">
        <f t="shared" si="2"/>
        <v>0.6386705283</v>
      </c>
    </row>
    <row r="5107">
      <c r="A5107" s="4">
        <v>5107.0</v>
      </c>
      <c r="B5107" s="5" t="s">
        <v>27837</v>
      </c>
      <c r="C5107" s="5" t="s">
        <v>27838</v>
      </c>
      <c r="D5107" s="5" t="s">
        <v>27839</v>
      </c>
      <c r="E5107" s="6" t="s">
        <v>74</v>
      </c>
      <c r="F5107" s="6" t="s">
        <v>27840</v>
      </c>
      <c r="G5107" s="3" t="str">
        <f>IFERROR(__xludf.DUMMYFUNCTION("REGEXREPLACE(
D5107,
""([一-龯々]+)\[([^\]]+)\]"",
""&lt;ruby&gt;$1&lt;rt&gt;$2&lt;/rt&gt;&lt;/ruby&gt;""
)&amp;""&lt;br&gt;&lt;div class=""""audio""""&gt;[sound:""&amp;C5107&amp;"".mp3]&lt;/div&gt;"""),"&lt;ruby&gt;時刻表&lt;rt&gt;じこくひょう&lt;/rt&gt;&lt;/ruby&gt;&lt;br&gt;&lt;div class=""audio""&gt;[sound:じこくひょう.mp3]&lt;/div&gt;")</f>
        <v>&lt;ruby&gt;時刻表&lt;rt&gt;じこくひょう&lt;/rt&gt;&lt;/ruby&gt;&lt;br&gt;&lt;div class="audio"&gt;[sound:じこくひょう.mp3]&lt;/div&gt;</v>
      </c>
      <c r="H5107" s="3" t="str">
        <f t="shared" si="1"/>
        <v>(n): bảng giờ</v>
      </c>
      <c r="I5107" s="6" t="s">
        <v>27841</v>
      </c>
      <c r="J5107" s="6" t="s">
        <v>27842</v>
      </c>
      <c r="K5107" s="7">
        <f t="shared" si="2"/>
        <v>0.02179742878</v>
      </c>
    </row>
    <row r="5108">
      <c r="A5108" s="4">
        <v>5108.0</v>
      </c>
      <c r="B5108" s="5" t="s">
        <v>27843</v>
      </c>
      <c r="C5108" s="5" t="s">
        <v>27844</v>
      </c>
      <c r="D5108" s="5" t="s">
        <v>27845</v>
      </c>
      <c r="E5108" s="6" t="s">
        <v>74</v>
      </c>
      <c r="F5108" s="6" t="s">
        <v>27846</v>
      </c>
      <c r="G5108" s="3" t="str">
        <f>IFERROR(__xludf.DUMMYFUNCTION("REGEXREPLACE(
D5108,
""([一-龯々]+)\[([^\]]+)\]"",
""&lt;ruby&gt;$1&lt;rt&gt;$2&lt;/rt&gt;&lt;/ruby&gt;""
)&amp;""&lt;br&gt;&lt;div class=""""audio""""&gt;[sound:""&amp;C5108&amp;"".mp3]&lt;/div&gt;"""),"&lt;ruby&gt;本名&lt;rt&gt;ほんみょう&lt;/rt&gt;&lt;/ruby&gt;&lt;br&gt;&lt;div class=""audio""&gt;[sound:ほんみょう.mp3]&lt;/div&gt;")</f>
        <v>&lt;ruby&gt;本名&lt;rt&gt;ほんみょう&lt;/rt&gt;&lt;/ruby&gt;&lt;br&gt;&lt;div class="audio"&gt;[sound:ほんみょう.mp3]&lt;/div&gt;</v>
      </c>
      <c r="H5108" s="3" t="str">
        <f t="shared" si="1"/>
        <v>(n): tên thật</v>
      </c>
      <c r="I5108" s="6" t="s">
        <v>27847</v>
      </c>
      <c r="J5108" s="6" t="s">
        <v>27848</v>
      </c>
      <c r="K5108" s="7">
        <f t="shared" si="2"/>
        <v>0.3765929016</v>
      </c>
    </row>
    <row r="5109">
      <c r="A5109" s="4">
        <v>5109.0</v>
      </c>
      <c r="B5109" s="5" t="s">
        <v>27849</v>
      </c>
      <c r="C5109" s="5" t="s">
        <v>27850</v>
      </c>
      <c r="D5109" s="5" t="s">
        <v>27851</v>
      </c>
      <c r="E5109" s="6" t="s">
        <v>11</v>
      </c>
      <c r="F5109" s="6" t="s">
        <v>21129</v>
      </c>
      <c r="G5109" s="3" t="str">
        <f>IFERROR(__xludf.DUMMYFUNCTION("REGEXREPLACE(
D5109,
""([一-龯々]+)\[([^\]]+)\]"",
""&lt;ruby&gt;$1&lt;rt&gt;$2&lt;/rt&gt;&lt;/ruby&gt;""
)&amp;""&lt;br&gt;&lt;div class=""""audio""""&gt;[sound:""&amp;C5109&amp;"".mp3]&lt;/div&gt;"""),"&lt;ruby&gt;尊&lt;rt&gt;とうと&lt;/rt&gt;&lt;/ruby&gt;い&lt;br&gt;&lt;div class=""audio""&gt;[sound:とうとい.mp3]&lt;/div&gt;")</f>
        <v>&lt;ruby&gt;尊&lt;rt&gt;とうと&lt;/rt&gt;&lt;/ruby&gt;い&lt;br&gt;&lt;div class="audio"&gt;[sound:とうとい.mp3]&lt;/div&gt;</v>
      </c>
      <c r="H5109" s="3" t="str">
        <f t="shared" si="1"/>
        <v>(adj): quý giá</v>
      </c>
      <c r="I5109" s="6" t="s">
        <v>27852</v>
      </c>
      <c r="J5109" s="6" t="s">
        <v>27853</v>
      </c>
      <c r="K5109" s="7">
        <f t="shared" si="2"/>
        <v>0.7104888669</v>
      </c>
    </row>
    <row r="5110">
      <c r="A5110" s="4">
        <v>5110.0</v>
      </c>
      <c r="B5110" s="5" t="s">
        <v>27854</v>
      </c>
      <c r="C5110" s="5" t="s">
        <v>27855</v>
      </c>
      <c r="D5110" s="5" t="s">
        <v>27856</v>
      </c>
      <c r="E5110" s="6" t="s">
        <v>74</v>
      </c>
      <c r="F5110" s="6" t="s">
        <v>27857</v>
      </c>
      <c r="G5110" s="3" t="str">
        <f>IFERROR(__xludf.DUMMYFUNCTION("REGEXREPLACE(
D5110,
""([一-龯々]+)\[([^\]]+)\]"",
""&lt;ruby&gt;$1&lt;rt&gt;$2&lt;/rt&gt;&lt;/ruby&gt;""
)&amp;""&lt;br&gt;&lt;div class=""""audio""""&gt;[sound:""&amp;C5110&amp;"".mp3]&lt;/div&gt;"""),"&lt;ruby&gt;屈折&lt;rt&gt;くっせつ&lt;/rt&gt;&lt;/ruby&gt;&lt;br&gt;&lt;div class=""audio""&gt;[sound:くっせつ.mp3]&lt;/div&gt;")</f>
        <v>&lt;ruby&gt;屈折&lt;rt&gt;くっせつ&lt;/rt&gt;&lt;/ruby&gt;&lt;br&gt;&lt;div class="audio"&gt;[sound:くっせつ.mp3]&lt;/div&gt;</v>
      </c>
      <c r="H5110" s="3" t="str">
        <f t="shared" si="1"/>
        <v>(n): khúc xạ</v>
      </c>
      <c r="I5110" s="6" t="s">
        <v>27858</v>
      </c>
      <c r="J5110" s="6" t="s">
        <v>27859</v>
      </c>
      <c r="K5110" s="7">
        <f t="shared" si="2"/>
        <v>0.1367960634</v>
      </c>
    </row>
    <row r="5111">
      <c r="A5111" s="4">
        <v>5111.0</v>
      </c>
      <c r="B5111" s="5" t="s">
        <v>27860</v>
      </c>
      <c r="C5111" s="5" t="s">
        <v>27861</v>
      </c>
      <c r="D5111" s="5" t="s">
        <v>27862</v>
      </c>
      <c r="E5111" s="6" t="s">
        <v>24</v>
      </c>
      <c r="F5111" s="6" t="s">
        <v>27863</v>
      </c>
      <c r="G5111" s="3" t="str">
        <f>IFERROR(__xludf.DUMMYFUNCTION("REGEXREPLACE(
D5111,
""([一-龯々]+)\[([^\]]+)\]"",
""&lt;ruby&gt;$1&lt;rt&gt;$2&lt;/rt&gt;&lt;/ruby&gt;""
)&amp;""&lt;br&gt;&lt;div class=""""audio""""&gt;[sound:""&amp;C5111&amp;"".mp3]&lt;/div&gt;"""),"&lt;ruby&gt;庇&lt;rt&gt;かば&lt;/rt&gt;&lt;/ruby&gt;う&lt;br&gt;&lt;div class=""audio""&gt;[sound:かばう.mp3]&lt;/div&gt;")</f>
        <v>&lt;ruby&gt;庇&lt;rt&gt;かば&lt;/rt&gt;&lt;/ruby&gt;う&lt;br&gt;&lt;div class="audio"&gt;[sound:かばう.mp3]&lt;/div&gt;</v>
      </c>
      <c r="H5111" s="3" t="str">
        <f t="shared" si="1"/>
        <v>(v): bao che</v>
      </c>
      <c r="I5111" s="6" t="s">
        <v>27864</v>
      </c>
      <c r="J5111" s="6" t="s">
        <v>27865</v>
      </c>
      <c r="K5111" s="7">
        <f t="shared" si="2"/>
        <v>0.399143926</v>
      </c>
    </row>
    <row r="5112">
      <c r="A5112" s="4">
        <v>5112.0</v>
      </c>
      <c r="B5112" s="5" t="s">
        <v>27866</v>
      </c>
      <c r="C5112" s="5" t="s">
        <v>27867</v>
      </c>
      <c r="D5112" s="5" t="s">
        <v>27868</v>
      </c>
      <c r="E5112" s="6" t="s">
        <v>24</v>
      </c>
      <c r="F5112" s="6" t="s">
        <v>27869</v>
      </c>
      <c r="G5112" s="3" t="str">
        <f>IFERROR(__xludf.DUMMYFUNCTION("REGEXREPLACE(
D5112,
""([一-龯々]+)\[([^\]]+)\]"",
""&lt;ruby&gt;$1&lt;rt&gt;$2&lt;/rt&gt;&lt;/ruby&gt;""
)&amp;""&lt;br&gt;&lt;div class=""""audio""""&gt;[sound:""&amp;C5112&amp;"".mp3]&lt;/div&gt;"""),"&lt;ruby&gt;心掛&lt;rt&gt;こころが&lt;/rt&gt;&lt;/ruby&gt;ける&lt;br&gt;&lt;div class=""audio""&gt;[sound:こころがける.mp3]&lt;/div&gt;")</f>
        <v>&lt;ruby&gt;心掛&lt;rt&gt;こころが&lt;/rt&gt;&lt;/ruby&gt;ける&lt;br&gt;&lt;div class="audio"&gt;[sound:こころがける.mp3]&lt;/div&gt;</v>
      </c>
      <c r="H5112" s="3" t="str">
        <f t="shared" si="1"/>
        <v>(v): lưu tâm</v>
      </c>
      <c r="I5112" s="6" t="s">
        <v>27870</v>
      </c>
      <c r="J5112" s="6" t="s">
        <v>27871</v>
      </c>
      <c r="K5112" s="7">
        <f t="shared" si="2"/>
        <v>0.5995742716</v>
      </c>
    </row>
    <row r="5113">
      <c r="A5113" s="4">
        <v>5113.0</v>
      </c>
      <c r="B5113" s="5" t="s">
        <v>27872</v>
      </c>
      <c r="C5113" s="5" t="s">
        <v>27873</v>
      </c>
      <c r="D5113" s="5" t="s">
        <v>27874</v>
      </c>
      <c r="E5113" s="6" t="s">
        <v>74</v>
      </c>
      <c r="F5113" s="6" t="s">
        <v>27875</v>
      </c>
      <c r="G5113" s="3" t="str">
        <f>IFERROR(__xludf.DUMMYFUNCTION("REGEXREPLACE(
D5113,
""([一-龯々]+)\[([^\]]+)\]"",
""&lt;ruby&gt;$1&lt;rt&gt;$2&lt;/rt&gt;&lt;/ruby&gt;""
)&amp;""&lt;br&gt;&lt;div class=""""audio""""&gt;[sound:""&amp;C5113&amp;"".mp3]&lt;/div&gt;"""),"&lt;ruby&gt;戸籍&lt;rt&gt;こせき&lt;/rt&gt;&lt;/ruby&gt;&lt;br&gt;&lt;div class=""audio""&gt;[sound:こせき.mp3]&lt;/div&gt;")</f>
        <v>&lt;ruby&gt;戸籍&lt;rt&gt;こせき&lt;/rt&gt;&lt;/ruby&gt;&lt;br&gt;&lt;div class="audio"&gt;[sound:こせき.mp3]&lt;/div&gt;</v>
      </c>
      <c r="H5113" s="3" t="str">
        <f t="shared" si="1"/>
        <v>(n): hộ tịch</v>
      </c>
      <c r="I5113" s="6" t="s">
        <v>27876</v>
      </c>
      <c r="J5113" s="6" t="s">
        <v>27877</v>
      </c>
      <c r="K5113" s="7">
        <f t="shared" si="2"/>
        <v>0.1050902833</v>
      </c>
    </row>
    <row r="5114">
      <c r="A5114" s="4">
        <v>5114.0</v>
      </c>
      <c r="B5114" s="5" t="s">
        <v>27878</v>
      </c>
      <c r="C5114" s="5" t="s">
        <v>27879</v>
      </c>
      <c r="D5114" s="5" t="s">
        <v>27880</v>
      </c>
      <c r="E5114" s="6" t="s">
        <v>74</v>
      </c>
      <c r="F5114" s="6" t="s">
        <v>27881</v>
      </c>
      <c r="G5114" s="3" t="str">
        <f>IFERROR(__xludf.DUMMYFUNCTION("REGEXREPLACE(
D5114,
""([一-龯々]+)\[([^\]]+)\]"",
""&lt;ruby&gt;$1&lt;rt&gt;$2&lt;/rt&gt;&lt;/ruby&gt;""
)&amp;""&lt;br&gt;&lt;div class=""""audio""""&gt;[sound:""&amp;C5114&amp;"".mp3]&lt;/div&gt;"""),"&lt;ruby&gt;招&lt;rt&gt;まね&lt;/rt&gt;&lt;/ruby&gt;き&lt;br&gt;&lt;div class=""audio""&gt;[sound:まねき.mp3]&lt;/div&gt;")</f>
        <v>&lt;ruby&gt;招&lt;rt&gt;まね&lt;/rt&gt;&lt;/ruby&gt;き&lt;br&gt;&lt;div class="audio"&gt;[sound:まねき.mp3]&lt;/div&gt;</v>
      </c>
      <c r="H5114" s="3" t="str">
        <f t="shared" si="1"/>
        <v>(n): lời mời</v>
      </c>
      <c r="I5114" s="6" t="s">
        <v>27882</v>
      </c>
      <c r="J5114" s="6" t="s">
        <v>27883</v>
      </c>
      <c r="K5114" s="7">
        <f t="shared" si="2"/>
        <v>0.08380259818</v>
      </c>
    </row>
    <row r="5115">
      <c r="A5115" s="4">
        <v>5115.0</v>
      </c>
      <c r="B5115" s="5" t="s">
        <v>27884</v>
      </c>
      <c r="C5115" s="5" t="s">
        <v>27885</v>
      </c>
      <c r="D5115" s="5" t="s">
        <v>27886</v>
      </c>
      <c r="E5115" s="6" t="s">
        <v>74</v>
      </c>
      <c r="F5115" s="6" t="s">
        <v>27887</v>
      </c>
      <c r="G5115" s="3" t="str">
        <f>IFERROR(__xludf.DUMMYFUNCTION("REGEXREPLACE(
D5115,
""([一-龯々]+)\[([^\]]+)\]"",
""&lt;ruby&gt;$1&lt;rt&gt;$2&lt;/rt&gt;&lt;/ruby&gt;""
)&amp;""&lt;br&gt;&lt;div class=""""audio""""&gt;[sound:""&amp;C5115&amp;"".mp3]&lt;/div&gt;"""),"&lt;ruby&gt;指図&lt;rt&gt;さしず&lt;/rt&gt;&lt;/ruby&gt;&lt;br&gt;&lt;div class=""audio""&gt;[sound:さしず.mp3]&lt;/div&gt;")</f>
        <v>&lt;ruby&gt;指図&lt;rt&gt;さしず&lt;/rt&gt;&lt;/ruby&gt;&lt;br&gt;&lt;div class="audio"&gt;[sound:さしず.mp3]&lt;/div&gt;</v>
      </c>
      <c r="H5115" s="3" t="str">
        <f t="shared" si="1"/>
        <v>(n): chỉ dẫn</v>
      </c>
      <c r="I5115" s="6" t="s">
        <v>27888</v>
      </c>
      <c r="J5115" s="6" t="s">
        <v>27889</v>
      </c>
      <c r="K5115" s="7">
        <f t="shared" si="2"/>
        <v>0.5382819694</v>
      </c>
    </row>
    <row r="5116">
      <c r="A5116" s="4">
        <v>5116.0</v>
      </c>
      <c r="B5116" s="5" t="s">
        <v>27890</v>
      </c>
      <c r="C5116" s="5" t="s">
        <v>27891</v>
      </c>
      <c r="D5116" s="5" t="s">
        <v>27892</v>
      </c>
      <c r="E5116" s="6" t="s">
        <v>74</v>
      </c>
      <c r="F5116" s="6" t="s">
        <v>27893</v>
      </c>
      <c r="G5116" s="3" t="str">
        <f>IFERROR(__xludf.DUMMYFUNCTION("REGEXREPLACE(
D5116,
""([一-龯々]+)\[([^\]]+)\]"",
""&lt;ruby&gt;$1&lt;rt&gt;$2&lt;/rt&gt;&lt;/ruby&gt;""
)&amp;""&lt;br&gt;&lt;div class=""""audio""""&gt;[sound:""&amp;C5116&amp;"".mp3]&lt;/div&gt;"""),"&lt;ruby&gt;新築&lt;rt&gt;しんちく&lt;/rt&gt;&lt;/ruby&gt;&lt;br&gt;&lt;div class=""audio""&gt;[sound:しんちく.mp3]&lt;/div&gt;")</f>
        <v>&lt;ruby&gt;新築&lt;rt&gt;しんちく&lt;/rt&gt;&lt;/ruby&gt;&lt;br&gt;&lt;div class="audio"&gt;[sound:しんちく.mp3]&lt;/div&gt;</v>
      </c>
      <c r="H5116" s="3" t="str">
        <f t="shared" si="1"/>
        <v>(n): xây mới</v>
      </c>
      <c r="I5116" s="6" t="s">
        <v>27894</v>
      </c>
      <c r="J5116" s="6" t="s">
        <v>27895</v>
      </c>
      <c r="K5116" s="7">
        <f t="shared" si="2"/>
        <v>0.3074188239</v>
      </c>
    </row>
    <row r="5117">
      <c r="A5117" s="4">
        <v>5117.0</v>
      </c>
      <c r="B5117" s="5" t="s">
        <v>27896</v>
      </c>
      <c r="C5117" s="5" t="s">
        <v>27897</v>
      </c>
      <c r="D5117" s="5" t="s">
        <v>27898</v>
      </c>
      <c r="E5117" s="6" t="s">
        <v>74</v>
      </c>
      <c r="F5117" s="6" t="s">
        <v>27899</v>
      </c>
      <c r="G5117" s="3" t="str">
        <f>IFERROR(__xludf.DUMMYFUNCTION("REGEXREPLACE(
D5117,
""([一-龯々]+)\[([^\]]+)\]"",
""&lt;ruby&gt;$1&lt;rt&gt;$2&lt;/rt&gt;&lt;/ruby&gt;""
)&amp;""&lt;br&gt;&lt;div class=""""audio""""&gt;[sound:""&amp;C5117&amp;"".mp3]&lt;/div&gt;"""),"&lt;ruby&gt;日&lt;rt&gt;ひ&lt;/rt&gt;&lt;/ruby&gt;の&lt;ruby&gt;丸&lt;rt&gt;まる&lt;/rt&gt;&lt;/ruby&gt;&lt;br&gt;&lt;div class=""audio""&gt;[sound:ひのまる.mp3]&lt;/div&gt;")</f>
        <v>&lt;ruby&gt;日&lt;rt&gt;ひ&lt;/rt&gt;&lt;/ruby&gt;の&lt;ruby&gt;丸&lt;rt&gt;まる&lt;/rt&gt;&lt;/ruby&gt;&lt;br&gt;&lt;div class="audio"&gt;[sound:ひのまる.mp3]&lt;/div&gt;</v>
      </c>
      <c r="H5117" s="3" t="str">
        <f t="shared" si="1"/>
        <v>(n): cờ nhật</v>
      </c>
      <c r="I5117" s="6" t="s">
        <v>27900</v>
      </c>
      <c r="J5117" s="6" t="s">
        <v>27901</v>
      </c>
      <c r="K5117" s="7">
        <f t="shared" si="2"/>
        <v>0.8150946036</v>
      </c>
    </row>
    <row r="5118">
      <c r="A5118" s="4">
        <v>5118.0</v>
      </c>
      <c r="B5118" s="5" t="s">
        <v>27902</v>
      </c>
      <c r="C5118" s="5" t="s">
        <v>27903</v>
      </c>
      <c r="D5118" s="5" t="s">
        <v>27904</v>
      </c>
      <c r="E5118" s="6" t="s">
        <v>11</v>
      </c>
      <c r="F5118" s="6" t="s">
        <v>2848</v>
      </c>
      <c r="G5118" s="3" t="str">
        <f>IFERROR(__xludf.DUMMYFUNCTION("REGEXREPLACE(
D5118,
""([一-龯々]+)\[([^\]]+)\]"",
""&lt;ruby&gt;$1&lt;rt&gt;$2&lt;/rt&gt;&lt;/ruby&gt;""
)&amp;""&lt;br&gt;&lt;div class=""""audio""""&gt;[sound:""&amp;C5118&amp;"".mp3]&lt;/div&gt;"""),"&lt;ruby&gt;明瞭&lt;rt&gt;めいりょう&lt;/rt&gt;&lt;/ruby&gt;&lt;br&gt;&lt;div class=""audio""&gt;[sound:めいりょう.mp3]&lt;/div&gt;")</f>
        <v>&lt;ruby&gt;明瞭&lt;rt&gt;めいりょう&lt;/rt&gt;&lt;/ruby&gt;&lt;br&gt;&lt;div class="audio"&gt;[sound:めいりょう.mp3]&lt;/div&gt;</v>
      </c>
      <c r="H5118" s="3" t="str">
        <f t="shared" si="1"/>
        <v>(adj): rõ ràng</v>
      </c>
      <c r="I5118" s="6" t="s">
        <v>27905</v>
      </c>
      <c r="J5118" s="6" t="s">
        <v>27906</v>
      </c>
      <c r="K5118" s="7">
        <f t="shared" si="2"/>
        <v>0.7275576602</v>
      </c>
    </row>
    <row r="5119">
      <c r="A5119" s="4">
        <v>5119.0</v>
      </c>
      <c r="B5119" s="5" t="s">
        <v>27907</v>
      </c>
      <c r="C5119" s="5" t="s">
        <v>27908</v>
      </c>
      <c r="D5119" s="5" t="s">
        <v>27909</v>
      </c>
      <c r="E5119" s="6" t="s">
        <v>24</v>
      </c>
      <c r="F5119" s="6" t="s">
        <v>27910</v>
      </c>
      <c r="G5119" s="3" t="str">
        <f>IFERROR(__xludf.DUMMYFUNCTION("REGEXREPLACE(
D5119,
""([一-龯々]+)\[([^\]]+)\]"",
""&lt;ruby&gt;$1&lt;rt&gt;$2&lt;/rt&gt;&lt;/ruby&gt;""
)&amp;""&lt;br&gt;&lt;div class=""""audio""""&gt;[sound:""&amp;C5119&amp;"".mp3]&lt;/div&gt;"""),"&lt;ruby&gt;怯&lt;rt&gt;おび&lt;/rt&gt;&lt;/ruby&gt;える&lt;br&gt;&lt;div class=""audio""&gt;[sound:おびえる.mp3]&lt;/div&gt;")</f>
        <v>&lt;ruby&gt;怯&lt;rt&gt;おび&lt;/rt&gt;&lt;/ruby&gt;える&lt;br&gt;&lt;div class="audio"&gt;[sound:おびえる.mp3]&lt;/div&gt;</v>
      </c>
      <c r="H5119" s="3" t="str">
        <f t="shared" si="1"/>
        <v>(v): sợ hãi</v>
      </c>
      <c r="I5119" s="6" t="s">
        <v>27911</v>
      </c>
      <c r="J5119" s="6" t="s">
        <v>27912</v>
      </c>
      <c r="K5119" s="7">
        <f t="shared" si="2"/>
        <v>0.9138381251</v>
      </c>
    </row>
    <row r="5120">
      <c r="A5120" s="4">
        <v>5120.0</v>
      </c>
      <c r="B5120" s="5" t="s">
        <v>27913</v>
      </c>
      <c r="C5120" s="5" t="s">
        <v>27914</v>
      </c>
      <c r="D5120" s="5" t="s">
        <v>27915</v>
      </c>
      <c r="E5120" s="6" t="s">
        <v>74</v>
      </c>
      <c r="F5120" s="6" t="s">
        <v>27916</v>
      </c>
      <c r="G5120" s="3" t="str">
        <f>IFERROR(__xludf.DUMMYFUNCTION("REGEXREPLACE(
D5120,
""([一-龯々]+)\[([^\]]+)\]"",
""&lt;ruby&gt;$1&lt;rt&gt;$2&lt;/rt&gt;&lt;/ruby&gt;""
)&amp;""&lt;br&gt;&lt;div class=""""audio""""&gt;[sound:""&amp;C5120&amp;"".mp3]&lt;/div&gt;"""),"&lt;ruby&gt;抑圧&lt;rt&gt;よくあつ&lt;/rt&gt;&lt;/ruby&gt;&lt;br&gt;&lt;div class=""audio""&gt;[sound:よくあつ.mp3]&lt;/div&gt;")</f>
        <v>&lt;ruby&gt;抑圧&lt;rt&gt;よくあつ&lt;/rt&gt;&lt;/ruby&gt;&lt;br&gt;&lt;div class="audio"&gt;[sound:よくあつ.mp3]&lt;/div&gt;</v>
      </c>
      <c r="H5120" s="3" t="str">
        <f t="shared" si="1"/>
        <v>(n): áp bức</v>
      </c>
      <c r="I5120" s="6" t="s">
        <v>27917</v>
      </c>
      <c r="J5120" s="6" t="s">
        <v>27918</v>
      </c>
      <c r="K5120" s="7">
        <f t="shared" si="2"/>
        <v>0.2772937272</v>
      </c>
    </row>
    <row r="5121">
      <c r="A5121" s="4">
        <v>5121.0</v>
      </c>
      <c r="B5121" s="5" t="s">
        <v>27919</v>
      </c>
      <c r="C5121" s="5" t="s">
        <v>27920</v>
      </c>
      <c r="D5121" s="5" t="s">
        <v>27921</v>
      </c>
      <c r="E5121" s="6" t="s">
        <v>24</v>
      </c>
      <c r="F5121" s="6" t="s">
        <v>22677</v>
      </c>
      <c r="G5121" s="3" t="str">
        <f>IFERROR(__xludf.DUMMYFUNCTION("REGEXREPLACE(
D5121,
""([一-龯々]+)\[([^\]]+)\]"",
""&lt;ruby&gt;$1&lt;rt&gt;$2&lt;/rt&gt;&lt;/ruby&gt;""
)&amp;""&lt;br&gt;&lt;div class=""""audio""""&gt;[sound:""&amp;C5121&amp;"".mp3]&lt;/div&gt;"""),"&lt;ruby&gt;放&lt;rt&gt;ほう&lt;/rt&gt;&lt;/ruby&gt;り&lt;ruby&gt;出&lt;rt&gt;だ&lt;/rt&gt;&lt;/ruby&gt;す&lt;br&gt;&lt;div class=""audio""&gt;[sound:ほうりだす.mp3]&lt;/div&gt;")</f>
        <v>&lt;ruby&gt;放&lt;rt&gt;ほう&lt;/rt&gt;&lt;/ruby&gt;り&lt;ruby&gt;出&lt;rt&gt;だ&lt;/rt&gt;&lt;/ruby&gt;す&lt;br&gt;&lt;div class="audio"&gt;[sound:ほうりだす.mp3]&lt;/div&gt;</v>
      </c>
      <c r="H5121" s="3" t="str">
        <f t="shared" si="1"/>
        <v>(v): ném ra</v>
      </c>
      <c r="I5121" s="6" t="s">
        <v>27922</v>
      </c>
      <c r="J5121" s="6" t="s">
        <v>27923</v>
      </c>
      <c r="K5121" s="7">
        <f t="shared" si="2"/>
        <v>0.5617489774</v>
      </c>
    </row>
    <row r="5122">
      <c r="A5122" s="4">
        <v>5122.0</v>
      </c>
      <c r="B5122" s="5" t="s">
        <v>27924</v>
      </c>
      <c r="C5122" s="5" t="s">
        <v>27925</v>
      </c>
      <c r="D5122" s="5" t="s">
        <v>27926</v>
      </c>
      <c r="E5122" s="6" t="s">
        <v>74</v>
      </c>
      <c r="F5122" s="6" t="s">
        <v>27927</v>
      </c>
      <c r="G5122" s="3" t="str">
        <f>IFERROR(__xludf.DUMMYFUNCTION("REGEXREPLACE(
D5122,
""([一-龯々]+)\[([^\]]+)\]"",
""&lt;ruby&gt;$1&lt;rt&gt;$2&lt;/rt&gt;&lt;/ruby&gt;""
)&amp;""&lt;br&gt;&lt;div class=""""audio""""&gt;[sound:""&amp;C5122&amp;"".mp3]&lt;/div&gt;"""),"&lt;ruby&gt;暗殺&lt;rt&gt;あんさつ&lt;/rt&gt;&lt;/ruby&gt;&lt;br&gt;&lt;div class=""audio""&gt;[sound:あんさつ.mp3]&lt;/div&gt;")</f>
        <v>&lt;ruby&gt;暗殺&lt;rt&gt;あんさつ&lt;/rt&gt;&lt;/ruby&gt;&lt;br&gt;&lt;div class="audio"&gt;[sound:あんさつ.mp3]&lt;/div&gt;</v>
      </c>
      <c r="H5122" s="3" t="str">
        <f t="shared" si="1"/>
        <v>(n): ám sát</v>
      </c>
      <c r="I5122" s="6" t="s">
        <v>27928</v>
      </c>
      <c r="J5122" s="6" t="s">
        <v>27929</v>
      </c>
      <c r="K5122" s="7">
        <f t="shared" si="2"/>
        <v>0.2131251106</v>
      </c>
    </row>
    <row r="5123">
      <c r="A5123" s="4">
        <v>5123.0</v>
      </c>
      <c r="B5123" s="5" t="s">
        <v>27930</v>
      </c>
      <c r="C5123" s="5" t="s">
        <v>27931</v>
      </c>
      <c r="D5123" s="5" t="s">
        <v>27932</v>
      </c>
      <c r="E5123" s="6" t="s">
        <v>74</v>
      </c>
      <c r="F5123" s="6" t="s">
        <v>26199</v>
      </c>
      <c r="G5123" s="3" t="str">
        <f>IFERROR(__xludf.DUMMYFUNCTION("REGEXREPLACE(
D5123,
""([一-龯々]+)\[([^\]]+)\]"",
""&lt;ruby&gt;$1&lt;rt&gt;$2&lt;/rt&gt;&lt;/ruby&gt;""
)&amp;""&lt;br&gt;&lt;div class=""""audio""""&gt;[sound:""&amp;C5123&amp;"".mp3]&lt;/div&gt;"""),"&lt;ruby&gt;朗読&lt;rt&gt;ろうどく&lt;/rt&gt;&lt;/ruby&gt;&lt;br&gt;&lt;div class=""audio""&gt;[sound:ろうどく.mp3]&lt;/div&gt;")</f>
        <v>&lt;ruby&gt;朗読&lt;rt&gt;ろうどく&lt;/rt&gt;&lt;/ruby&gt;&lt;br&gt;&lt;div class="audio"&gt;[sound:ろうどく.mp3]&lt;/div&gt;</v>
      </c>
      <c r="H5123" s="3" t="str">
        <f t="shared" si="1"/>
        <v>(n): đọc to</v>
      </c>
      <c r="I5123" s="6" t="s">
        <v>27933</v>
      </c>
      <c r="J5123" s="6" t="s">
        <v>27934</v>
      </c>
      <c r="K5123" s="7">
        <f t="shared" si="2"/>
        <v>0.214158457</v>
      </c>
    </row>
    <row r="5124">
      <c r="A5124" s="4">
        <v>5124.0</v>
      </c>
      <c r="B5124" s="5" t="s">
        <v>27935</v>
      </c>
      <c r="C5124" s="5" t="s">
        <v>27936</v>
      </c>
      <c r="D5124" s="5" t="s">
        <v>27937</v>
      </c>
      <c r="E5124" s="6" t="s">
        <v>74</v>
      </c>
      <c r="F5124" s="6" t="s">
        <v>4042</v>
      </c>
      <c r="G5124" s="3" t="str">
        <f>IFERROR(__xludf.DUMMYFUNCTION("REGEXREPLACE(
D5124,
""([一-龯々]+)\[([^\]]+)\]"",
""&lt;ruby&gt;$1&lt;rt&gt;$2&lt;/rt&gt;&lt;/ruby&gt;""
)&amp;""&lt;br&gt;&lt;div class=""""audio""""&gt;[sound:""&amp;C5124&amp;"".mp3]&lt;/div&gt;"""),"&lt;ruby&gt;故&lt;rt&gt;ゆえ&lt;/rt&gt;&lt;/ruby&gt;&lt;br&gt;&lt;div class=""audio""&gt;[sound:ゆえ.mp3]&lt;/div&gt;")</f>
        <v>&lt;ruby&gt;故&lt;rt&gt;ゆえ&lt;/rt&gt;&lt;/ruby&gt;&lt;br&gt;&lt;div class="audio"&gt;[sound:ゆえ.mp3]&lt;/div&gt;</v>
      </c>
      <c r="H5124" s="3" t="str">
        <f t="shared" si="1"/>
        <v>(n): lý do</v>
      </c>
      <c r="I5124" s="6" t="s">
        <v>27938</v>
      </c>
      <c r="J5124" s="6" t="s">
        <v>27939</v>
      </c>
      <c r="K5124" s="7">
        <f t="shared" si="2"/>
        <v>0.3312933767</v>
      </c>
    </row>
    <row r="5125">
      <c r="A5125" s="4">
        <v>5125.0</v>
      </c>
      <c r="B5125" s="5" t="s">
        <v>27940</v>
      </c>
      <c r="C5125" s="5" t="s">
        <v>27941</v>
      </c>
      <c r="D5125" s="5" t="s">
        <v>27942</v>
      </c>
      <c r="E5125" s="6" t="s">
        <v>74</v>
      </c>
      <c r="F5125" s="6" t="s">
        <v>14351</v>
      </c>
      <c r="G5125" s="3" t="str">
        <f>IFERROR(__xludf.DUMMYFUNCTION("REGEXREPLACE(
D5125,
""([一-龯々]+)\[([^\]]+)\]"",
""&lt;ruby&gt;$1&lt;rt&gt;$2&lt;/rt&gt;&lt;/ruby&gt;""
)&amp;""&lt;br&gt;&lt;div class=""""audio""""&gt;[sound:""&amp;C5125&amp;"".mp3]&lt;/div&gt;"""),"&lt;ruby&gt;斜面&lt;rt&gt;しゃめん&lt;/rt&gt;&lt;/ruby&gt;&lt;br&gt;&lt;div class=""audio""&gt;[sound:しゃめん.mp3]&lt;/div&gt;")</f>
        <v>&lt;ruby&gt;斜面&lt;rt&gt;しゃめん&lt;/rt&gt;&lt;/ruby&gt;&lt;br&gt;&lt;div class="audio"&gt;[sound:しゃめん.mp3]&lt;/div&gt;</v>
      </c>
      <c r="H5125" s="3" t="str">
        <f t="shared" si="1"/>
        <v>(n): dốc</v>
      </c>
      <c r="I5125" s="6" t="s">
        <v>27943</v>
      </c>
      <c r="J5125" s="6" t="s">
        <v>27944</v>
      </c>
      <c r="K5125" s="7">
        <f t="shared" si="2"/>
        <v>0.4516234704</v>
      </c>
    </row>
    <row r="5126">
      <c r="A5126" s="4">
        <v>5126.0</v>
      </c>
      <c r="B5126" s="5" t="s">
        <v>27945</v>
      </c>
      <c r="C5126" s="5" t="s">
        <v>27946</v>
      </c>
      <c r="D5126" s="5" t="s">
        <v>27947</v>
      </c>
      <c r="E5126" s="6" t="s">
        <v>74</v>
      </c>
      <c r="F5126" s="6" t="s">
        <v>6571</v>
      </c>
      <c r="G5126" s="3" t="str">
        <f>IFERROR(__xludf.DUMMYFUNCTION("REGEXREPLACE(
D5126,
""([一-龯々]+)\[([^\]]+)\]"",
""&lt;ruby&gt;$1&lt;rt&gt;$2&lt;/rt&gt;&lt;/ruby&gt;""
)&amp;""&lt;br&gt;&lt;div class=""""audio""""&gt;[sound:""&amp;C5126&amp;"".mp3]&lt;/div&gt;"""),"&lt;ruby&gt;揃&lt;rt&gt;そろ&lt;/rt&gt;&lt;/ruby&gt;い&lt;br&gt;&lt;div class=""audio""&gt;[sound:そろい.mp3]&lt;/div&gt;")</f>
        <v>&lt;ruby&gt;揃&lt;rt&gt;そろ&lt;/rt&gt;&lt;/ruby&gt;い&lt;br&gt;&lt;div class="audio"&gt;[sound:そろい.mp3]&lt;/div&gt;</v>
      </c>
      <c r="H5126" s="3" t="str">
        <f t="shared" si="1"/>
        <v>(n): bộ</v>
      </c>
      <c r="I5126" s="6" t="s">
        <v>27948</v>
      </c>
      <c r="J5126" s="6" t="s">
        <v>27949</v>
      </c>
      <c r="K5126" s="7">
        <f t="shared" si="2"/>
        <v>0.2722977832</v>
      </c>
    </row>
    <row r="5127">
      <c r="A5127" s="4">
        <v>5127.0</v>
      </c>
      <c r="B5127" s="5" t="s">
        <v>27950</v>
      </c>
      <c r="C5127" s="5" t="s">
        <v>27951</v>
      </c>
      <c r="D5127" s="5" t="s">
        <v>27952</v>
      </c>
      <c r="E5127" s="6" t="s">
        <v>74</v>
      </c>
      <c r="F5127" s="6" t="s">
        <v>27953</v>
      </c>
      <c r="G5127" s="3" t="str">
        <f>IFERROR(__xludf.DUMMYFUNCTION("REGEXREPLACE(
D5127,
""([一-龯々]+)\[([^\]]+)\]"",
""&lt;ruby&gt;$1&lt;rt&gt;$2&lt;/rt&gt;&lt;/ruby&gt;""
)&amp;""&lt;br&gt;&lt;div class=""""audio""""&gt;[sound:""&amp;C5127&amp;"".mp3]&lt;/div&gt;"""),"&lt;ruby&gt;柄&lt;rt&gt;がら&lt;/rt&gt;&lt;/ruby&gt;&lt;br&gt;&lt;div class=""audio""&gt;[sound:がら.mp3]&lt;/div&gt;")</f>
        <v>&lt;ruby&gt;柄&lt;rt&gt;がら&lt;/rt&gt;&lt;/ruby&gt;&lt;br&gt;&lt;div class="audio"&gt;[sound:がら.mp3]&lt;/div&gt;</v>
      </c>
      <c r="H5127" s="3" t="str">
        <f t="shared" si="1"/>
        <v>(n): họa tiết</v>
      </c>
      <c r="I5127" s="6" t="s">
        <v>27954</v>
      </c>
      <c r="J5127" s="6" t="s">
        <v>27955</v>
      </c>
      <c r="K5127" s="7">
        <f t="shared" si="2"/>
        <v>0.3833671647</v>
      </c>
    </row>
    <row r="5128">
      <c r="A5128" s="4">
        <v>5128.0</v>
      </c>
      <c r="B5128" s="5" t="s">
        <v>27956</v>
      </c>
      <c r="C5128" s="5" t="s">
        <v>27957</v>
      </c>
      <c r="D5128" s="5" t="s">
        <v>27958</v>
      </c>
      <c r="E5128" s="6" t="s">
        <v>74</v>
      </c>
      <c r="F5128" s="6" t="s">
        <v>20236</v>
      </c>
      <c r="G5128" s="3" t="str">
        <f>IFERROR(__xludf.DUMMYFUNCTION("REGEXREPLACE(
D5128,
""([一-龯々]+)\[([^\]]+)\]"",
""&lt;ruby&gt;$1&lt;rt&gt;$2&lt;/rt&gt;&lt;/ruby&gt;""
)&amp;""&lt;br&gt;&lt;div class=""""audio""""&gt;[sound:""&amp;C5128&amp;"".mp3]&lt;/div&gt;"""),"&lt;ruby&gt;日中&lt;rt&gt;にっちゅう&lt;/rt&gt;&lt;/ruby&gt;&lt;br&gt;&lt;div class=""audio""&gt;[sound:にっちゅう.mp3]&lt;/div&gt;")</f>
        <v>&lt;ruby&gt;日中&lt;rt&gt;にっちゅう&lt;/rt&gt;&lt;/ruby&gt;&lt;br&gt;&lt;div class="audio"&gt;[sound:にっちゅう.mp3]&lt;/div&gt;</v>
      </c>
      <c r="H5128" s="3" t="str">
        <f t="shared" si="1"/>
        <v>(n): ban ngày</v>
      </c>
      <c r="I5128" s="6" t="s">
        <v>27959</v>
      </c>
      <c r="J5128" s="6" t="s">
        <v>27960</v>
      </c>
      <c r="K5128" s="7">
        <f t="shared" si="2"/>
        <v>0.3601533255</v>
      </c>
    </row>
    <row r="5129">
      <c r="A5129" s="4">
        <v>5129.0</v>
      </c>
      <c r="B5129" s="5" t="s">
        <v>27961</v>
      </c>
      <c r="C5129" s="5" t="s">
        <v>26840</v>
      </c>
      <c r="D5129" s="5" t="s">
        <v>27962</v>
      </c>
      <c r="E5129" s="6" t="s">
        <v>74</v>
      </c>
      <c r="F5129" s="6" t="s">
        <v>25784</v>
      </c>
      <c r="G5129" s="3" t="str">
        <f>IFERROR(__xludf.DUMMYFUNCTION("REGEXREPLACE(
D5129,
""([一-龯々]+)\[([^\]]+)\]"",
""&lt;ruby&gt;$1&lt;rt&gt;$2&lt;/rt&gt;&lt;/ruby&gt;""
)&amp;""&lt;br&gt;&lt;div class=""""audio""""&gt;[sound:""&amp;C5129&amp;"".mp3]&lt;/div&gt;"""),"&lt;ruby&gt;支給&lt;rt&gt;しきゅう&lt;/rt&gt;&lt;/ruby&gt;&lt;br&gt;&lt;div class=""audio""&gt;[sound:しきゅう.mp3]&lt;/div&gt;")</f>
        <v>&lt;ruby&gt;支給&lt;rt&gt;しきゅう&lt;/rt&gt;&lt;/ruby&gt;&lt;br&gt;&lt;div class="audio"&gt;[sound:しきゅう.mp3]&lt;/div&gt;</v>
      </c>
      <c r="H5129" s="3" t="str">
        <f t="shared" si="1"/>
        <v>(n): cấp phát</v>
      </c>
      <c r="I5129" s="6" t="s">
        <v>27963</v>
      </c>
      <c r="J5129" s="6" t="s">
        <v>27964</v>
      </c>
      <c r="K5129" s="7">
        <f t="shared" si="2"/>
        <v>0.6118574731</v>
      </c>
    </row>
    <row r="5130">
      <c r="A5130" s="4">
        <v>5130.0</v>
      </c>
      <c r="B5130" s="5" t="s">
        <v>27965</v>
      </c>
      <c r="C5130" s="5" t="s">
        <v>23935</v>
      </c>
      <c r="D5130" s="5" t="s">
        <v>27966</v>
      </c>
      <c r="E5130" s="6" t="s">
        <v>74</v>
      </c>
      <c r="F5130" s="6" t="s">
        <v>27967</v>
      </c>
      <c r="G5130" s="3" t="str">
        <f>IFERROR(__xludf.DUMMYFUNCTION("REGEXREPLACE(
D5130,
""([一-龯々]+)\[([^\]]+)\]"",
""&lt;ruby&gt;$1&lt;rt&gt;$2&lt;/rt&gt;&lt;/ruby&gt;""
)&amp;""&lt;br&gt;&lt;div class=""""audio""""&gt;[sound:""&amp;C5130&amp;"".mp3]&lt;/div&gt;"""),"&lt;ruby&gt;楽器&lt;rt&gt;がっき&lt;/rt&gt;&lt;/ruby&gt;&lt;br&gt;&lt;div class=""audio""&gt;[sound:がっき.mp3]&lt;/div&gt;")</f>
        <v>&lt;ruby&gt;楽器&lt;rt&gt;がっき&lt;/rt&gt;&lt;/ruby&gt;&lt;br&gt;&lt;div class="audio"&gt;[sound:がっき.mp3]&lt;/div&gt;</v>
      </c>
      <c r="H5130" s="3" t="str">
        <f t="shared" si="1"/>
        <v>(n): nhạc cụ</v>
      </c>
      <c r="I5130" s="6" t="s">
        <v>27968</v>
      </c>
      <c r="J5130" s="6" t="s">
        <v>27969</v>
      </c>
      <c r="K5130" s="7">
        <f t="shared" si="2"/>
        <v>0.09282237077</v>
      </c>
    </row>
    <row r="5131">
      <c r="A5131" s="4">
        <v>5131.0</v>
      </c>
      <c r="B5131" s="5" t="s">
        <v>27970</v>
      </c>
      <c r="C5131" s="5" t="s">
        <v>27971</v>
      </c>
      <c r="D5131" s="5" t="s">
        <v>27972</v>
      </c>
      <c r="E5131" s="6" t="s">
        <v>24</v>
      </c>
      <c r="F5131" s="6" t="s">
        <v>14934</v>
      </c>
      <c r="G5131" s="3" t="str">
        <f>IFERROR(__xludf.DUMMYFUNCTION("REGEXREPLACE(
D5131,
""([一-龯々]+)\[([^\]]+)\]"",
""&lt;ruby&gt;$1&lt;rt&gt;$2&lt;/rt&gt;&lt;/ruby&gt;""
)&amp;""&lt;br&gt;&lt;div class=""""audio""""&gt;[sound:""&amp;C5131&amp;"".mp3]&lt;/div&gt;"""),"&lt;ruby&gt;差&lt;rt&gt;さ&lt;/rt&gt;&lt;/ruby&gt;し&lt;ruby&gt;掛&lt;rt&gt;か&lt;/rt&gt;&lt;/ruby&gt;かる&lt;br&gt;&lt;div class=""audio""&gt;[sound:さしかかる.mp3]&lt;/div&gt;")</f>
        <v>&lt;ruby&gt;差&lt;rt&gt;さ&lt;/rt&gt;&lt;/ruby&gt;し&lt;ruby&gt;掛&lt;rt&gt;か&lt;/rt&gt;&lt;/ruby&gt;かる&lt;br&gt;&lt;div class="audio"&gt;[sound:さしかかる.mp3]&lt;/div&gt;</v>
      </c>
      <c r="H5131" s="3" t="str">
        <f t="shared" si="1"/>
        <v>(v): đến gần</v>
      </c>
      <c r="I5131" s="6" t="s">
        <v>27973</v>
      </c>
      <c r="J5131" s="6" t="s">
        <v>27974</v>
      </c>
      <c r="K5131" s="7">
        <f t="shared" si="2"/>
        <v>0.5433204007</v>
      </c>
    </row>
    <row r="5132">
      <c r="A5132" s="4">
        <v>5132.0</v>
      </c>
      <c r="B5132" s="5" t="s">
        <v>27975</v>
      </c>
      <c r="C5132" s="5" t="s">
        <v>27976</v>
      </c>
      <c r="D5132" s="5" t="s">
        <v>27977</v>
      </c>
      <c r="E5132" s="6" t="s">
        <v>24</v>
      </c>
      <c r="F5132" s="6" t="s">
        <v>20024</v>
      </c>
      <c r="G5132" s="3" t="str">
        <f>IFERROR(__xludf.DUMMYFUNCTION("REGEXREPLACE(
D5132,
""([一-龯々]+)\[([^\]]+)\]"",
""&lt;ruby&gt;$1&lt;rt&gt;$2&lt;/rt&gt;&lt;/ruby&gt;""
)&amp;""&lt;br&gt;&lt;div class=""""audio""""&gt;[sound:""&amp;C5132&amp;"".mp3]&lt;/div&gt;"""),"&lt;ruby&gt;弱&lt;rt&gt;よわ&lt;/rt&gt;&lt;/ruby&gt;る&lt;br&gt;&lt;div class=""audio""&gt;[sound:よわる.mp3]&lt;/div&gt;")</f>
        <v>&lt;ruby&gt;弱&lt;rt&gt;よわ&lt;/rt&gt;&lt;/ruby&gt;る&lt;br&gt;&lt;div class="audio"&gt;[sound:よわる.mp3]&lt;/div&gt;</v>
      </c>
      <c r="H5132" s="3" t="str">
        <f t="shared" si="1"/>
        <v>(v): yếu đi</v>
      </c>
      <c r="I5132" s="6" t="s">
        <v>27978</v>
      </c>
      <c r="J5132" s="6" t="s">
        <v>27979</v>
      </c>
      <c r="K5132" s="7">
        <f t="shared" si="2"/>
        <v>0.2676996789</v>
      </c>
    </row>
    <row r="5133">
      <c r="A5133" s="4">
        <v>5133.0</v>
      </c>
      <c r="B5133" s="5" t="s">
        <v>27980</v>
      </c>
      <c r="C5133" s="5" t="s">
        <v>27981</v>
      </c>
      <c r="D5133" s="5" t="s">
        <v>27982</v>
      </c>
      <c r="E5133" s="6" t="s">
        <v>74</v>
      </c>
      <c r="F5133" s="6" t="s">
        <v>27983</v>
      </c>
      <c r="G5133" s="3" t="str">
        <f>IFERROR(__xludf.DUMMYFUNCTION("REGEXREPLACE(
D5133,
""([一-龯々]+)\[([^\]]+)\]"",
""&lt;ruby&gt;$1&lt;rt&gt;$2&lt;/rt&gt;&lt;/ruby&gt;""
)&amp;""&lt;br&gt;&lt;div class=""""audio""""&gt;[sound:""&amp;C5133&amp;"".mp3]&lt;/div&gt;"""),"&lt;ruby&gt;民間&lt;rt&gt;みんかん&lt;/rt&gt;&lt;/ruby&gt;&lt;br&gt;&lt;div class=""audio""&gt;[sound:みんかん.mp3]&lt;/div&gt;")</f>
        <v>&lt;ruby&gt;民間&lt;rt&gt;みんかん&lt;/rt&gt;&lt;/ruby&gt;&lt;br&gt;&lt;div class="audio"&gt;[sound:みんかん.mp3]&lt;/div&gt;</v>
      </c>
      <c r="H5133" s="3" t="str">
        <f t="shared" si="1"/>
        <v>(n): dân doanh</v>
      </c>
      <c r="I5133" s="6" t="s">
        <v>27984</v>
      </c>
      <c r="J5133" s="6" t="s">
        <v>27985</v>
      </c>
      <c r="K5133" s="7">
        <f t="shared" si="2"/>
        <v>0.5851383646</v>
      </c>
    </row>
    <row r="5134">
      <c r="A5134" s="4">
        <v>5134.0</v>
      </c>
      <c r="B5134" s="5" t="s">
        <v>27986</v>
      </c>
      <c r="C5134" s="5" t="s">
        <v>27987</v>
      </c>
      <c r="D5134" s="5" t="s">
        <v>27988</v>
      </c>
      <c r="E5134" s="6" t="s">
        <v>74</v>
      </c>
      <c r="F5134" s="6" t="s">
        <v>27989</v>
      </c>
      <c r="G5134" s="3" t="str">
        <f>IFERROR(__xludf.DUMMYFUNCTION("REGEXREPLACE(
D5134,
""([一-龯々]+)\[([^\]]+)\]"",
""&lt;ruby&gt;$1&lt;rt&gt;$2&lt;/rt&gt;&lt;/ruby&gt;""
)&amp;""&lt;br&gt;&lt;div class=""""audio""""&gt;[sound:""&amp;C5134&amp;"".mp3]&lt;/div&gt;"""),"&lt;ruby&gt;斜&lt;rt&gt;なな&lt;/rt&gt;&lt;/ruby&gt;め&lt;br&gt;&lt;div class=""audio""&gt;[sound:ななめ.mp3]&lt;/div&gt;")</f>
        <v>&lt;ruby&gt;斜&lt;rt&gt;なな&lt;/rt&gt;&lt;/ruby&gt;め&lt;br&gt;&lt;div class="audio"&gt;[sound:ななめ.mp3]&lt;/div&gt;</v>
      </c>
      <c r="H5134" s="3" t="str">
        <f t="shared" si="1"/>
        <v>(n): chéo</v>
      </c>
      <c r="I5134" s="6" t="s">
        <v>27990</v>
      </c>
      <c r="J5134" s="6" t="s">
        <v>27991</v>
      </c>
      <c r="K5134" s="7">
        <f t="shared" si="2"/>
        <v>0.8740611432</v>
      </c>
    </row>
    <row r="5135">
      <c r="A5135" s="4">
        <v>5135.0</v>
      </c>
      <c r="B5135" s="5" t="s">
        <v>27992</v>
      </c>
      <c r="C5135" s="5" t="s">
        <v>27993</v>
      </c>
      <c r="D5135" s="5" t="s">
        <v>27994</v>
      </c>
      <c r="E5135" s="6" t="s">
        <v>74</v>
      </c>
      <c r="F5135" s="6" t="s">
        <v>27995</v>
      </c>
      <c r="G5135" s="3" t="str">
        <f>IFERROR(__xludf.DUMMYFUNCTION("REGEXREPLACE(
D5135,
""([一-龯々]+)\[([^\]]+)\]"",
""&lt;ruby&gt;$1&lt;rt&gt;$2&lt;/rt&gt;&lt;/ruby&gt;""
)&amp;""&lt;br&gt;&lt;div class=""""audio""""&gt;[sound:""&amp;C5135&amp;"".mp3]&lt;/div&gt;"""),"&lt;ruby&gt;教&lt;rt&gt;おし&lt;/rt&gt;&lt;/ruby&gt;え&lt;br&gt;&lt;div class=""audio""&gt;[sound:おしえ.mp3]&lt;/div&gt;")</f>
        <v>&lt;ruby&gt;教&lt;rt&gt;おし&lt;/rt&gt;&lt;/ruby&gt;え&lt;br&gt;&lt;div class="audio"&gt;[sound:おしえ.mp3]&lt;/div&gt;</v>
      </c>
      <c r="H5135" s="3" t="str">
        <f t="shared" si="1"/>
        <v>(n): giáo huấn</v>
      </c>
      <c r="I5135" s="6" t="s">
        <v>27996</v>
      </c>
      <c r="J5135" s="6" t="s">
        <v>27997</v>
      </c>
      <c r="K5135" s="7">
        <f t="shared" si="2"/>
        <v>0.2692407278</v>
      </c>
    </row>
    <row r="5136">
      <c r="A5136" s="4">
        <v>5136.0</v>
      </c>
      <c r="B5136" s="5" t="s">
        <v>27998</v>
      </c>
      <c r="C5136" s="5" t="s">
        <v>27999</v>
      </c>
      <c r="D5136" s="5" t="s">
        <v>28000</v>
      </c>
      <c r="E5136" s="6" t="s">
        <v>74</v>
      </c>
      <c r="F5136" s="6" t="s">
        <v>28001</v>
      </c>
      <c r="G5136" s="3" t="str">
        <f>IFERROR(__xludf.DUMMYFUNCTION("REGEXREPLACE(
D5136,
""([一-龯々]+)\[([^\]]+)\]"",
""&lt;ruby&gt;$1&lt;rt&gt;$2&lt;/rt&gt;&lt;/ruby&gt;""
)&amp;""&lt;br&gt;&lt;div class=""""audio""""&gt;[sound:""&amp;C5136&amp;"".mp3]&lt;/div&gt;"""),"&lt;ruby&gt;書店&lt;rt&gt;しょてん&lt;/rt&gt;&lt;/ruby&gt;&lt;br&gt;&lt;div class=""audio""&gt;[sound:しょてん.mp3]&lt;/div&gt;")</f>
        <v>&lt;ruby&gt;書店&lt;rt&gt;しょてん&lt;/rt&gt;&lt;/ruby&gt;&lt;br&gt;&lt;div class="audio"&gt;[sound:しょてん.mp3]&lt;/div&gt;</v>
      </c>
      <c r="H5136" s="3" t="str">
        <f t="shared" si="1"/>
        <v>(n): hiệu sách</v>
      </c>
      <c r="I5136" s="6" t="s">
        <v>28002</v>
      </c>
      <c r="J5136" s="6" t="s">
        <v>28003</v>
      </c>
      <c r="K5136" s="7">
        <f t="shared" si="2"/>
        <v>0.4741258068</v>
      </c>
    </row>
    <row r="5137">
      <c r="A5137" s="4">
        <v>5137.0</v>
      </c>
      <c r="B5137" s="5" t="s">
        <v>28004</v>
      </c>
      <c r="C5137" s="5" t="s">
        <v>1489</v>
      </c>
      <c r="D5137" s="5" t="s">
        <v>28005</v>
      </c>
      <c r="E5137" s="6" t="s">
        <v>74</v>
      </c>
      <c r="F5137" s="6" t="s">
        <v>28006</v>
      </c>
      <c r="G5137" s="3" t="str">
        <f>IFERROR(__xludf.DUMMYFUNCTION("REGEXREPLACE(
D5137,
""([一-龯々]+)\[([^\]]+)\]"",
""&lt;ruby&gt;$1&lt;rt&gt;$2&lt;/rt&gt;&lt;/ruby&gt;""
)&amp;""&lt;br&gt;&lt;div class=""""audio""""&gt;[sound:""&amp;C5137&amp;"".mp3]&lt;/div&gt;"""),"&lt;ruby&gt;格&lt;rt&gt;かく&lt;/rt&gt;&lt;/ruby&gt;&lt;br&gt;&lt;div class=""audio""&gt;[sound:かく.mp3]&lt;/div&gt;")</f>
        <v>&lt;ruby&gt;格&lt;rt&gt;かく&lt;/rt&gt;&lt;/ruby&gt;&lt;br&gt;&lt;div class="audio"&gt;[sound:かく.mp3]&lt;/div&gt;</v>
      </c>
      <c r="H5137" s="3" t="str">
        <f t="shared" si="1"/>
        <v>(n): vị thế</v>
      </c>
      <c r="I5137" s="6" t="s">
        <v>28007</v>
      </c>
      <c r="J5137" s="6" t="s">
        <v>28008</v>
      </c>
      <c r="K5137" s="7">
        <f t="shared" si="2"/>
        <v>0.99970179</v>
      </c>
    </row>
    <row r="5138">
      <c r="A5138" s="4">
        <v>5138.0</v>
      </c>
      <c r="B5138" s="5" t="s">
        <v>28009</v>
      </c>
      <c r="C5138" s="5" t="s">
        <v>13449</v>
      </c>
      <c r="D5138" s="5" t="s">
        <v>28010</v>
      </c>
      <c r="E5138" s="6" t="s">
        <v>24</v>
      </c>
      <c r="F5138" s="6" t="s">
        <v>28011</v>
      </c>
      <c r="G5138" s="3" t="str">
        <f>IFERROR(__xludf.DUMMYFUNCTION("REGEXREPLACE(
D5138,
""([一-龯々]+)\[([^\]]+)\]"",
""&lt;ruby&gt;$1&lt;rt&gt;$2&lt;/rt&gt;&lt;/ruby&gt;""
)&amp;""&lt;br&gt;&lt;div class=""""audio""""&gt;[sound:""&amp;C5138&amp;"".mp3]&lt;/div&gt;"""),"&lt;ruby&gt;掃&lt;rt&gt;は&lt;/rt&gt;&lt;/ruby&gt;く&lt;br&gt;&lt;div class=""audio""&gt;[sound:はく.mp3]&lt;/div&gt;")</f>
        <v>&lt;ruby&gt;掃&lt;rt&gt;は&lt;/rt&gt;&lt;/ruby&gt;く&lt;br&gt;&lt;div class="audio"&gt;[sound:はく.mp3]&lt;/div&gt;</v>
      </c>
      <c r="H5138" s="3" t="str">
        <f t="shared" si="1"/>
        <v>(v): quét</v>
      </c>
      <c r="I5138" s="6" t="s">
        <v>28012</v>
      </c>
      <c r="J5138" s="6" t="s">
        <v>28013</v>
      </c>
      <c r="K5138" s="7">
        <f t="shared" si="2"/>
        <v>0.3150922834</v>
      </c>
    </row>
    <row r="5139">
      <c r="A5139" s="4">
        <v>5139.0</v>
      </c>
      <c r="B5139" s="5" t="s">
        <v>28014</v>
      </c>
      <c r="C5139" s="5" t="s">
        <v>4491</v>
      </c>
      <c r="D5139" s="5" t="s">
        <v>28015</v>
      </c>
      <c r="E5139" s="6" t="s">
        <v>24</v>
      </c>
      <c r="F5139" s="6" t="s">
        <v>28016</v>
      </c>
      <c r="G5139" s="3" t="str">
        <f>IFERROR(__xludf.DUMMYFUNCTION("REGEXREPLACE(
D5139,
""([一-龯々]+)\[([^\]]+)\]"",
""&lt;ruby&gt;$1&lt;rt&gt;$2&lt;/rt&gt;&lt;/ruby&gt;""
)&amp;""&lt;br&gt;&lt;div class=""""audio""""&gt;[sound:""&amp;C5139&amp;"".mp3]&lt;/div&gt;"""),"&lt;ruby&gt;断&lt;rt&gt;た&lt;/rt&gt;&lt;/ruby&gt;える&lt;br&gt;&lt;div class=""audio""&gt;[sound:たえる.mp3]&lt;/div&gt;")</f>
        <v>&lt;ruby&gt;断&lt;rt&gt;た&lt;/rt&gt;&lt;/ruby&gt;える&lt;br&gt;&lt;div class="audio"&gt;[sound:たえる.mp3]&lt;/div&gt;</v>
      </c>
      <c r="H5139" s="3" t="str">
        <f t="shared" si="1"/>
        <v>(v): tuyệt chủng</v>
      </c>
      <c r="I5139" s="6" t="s">
        <v>28017</v>
      </c>
      <c r="J5139" s="6" t="s">
        <v>28018</v>
      </c>
      <c r="K5139" s="7">
        <f t="shared" si="2"/>
        <v>0.8148878399</v>
      </c>
    </row>
    <row r="5140">
      <c r="A5140" s="4">
        <v>5140.0</v>
      </c>
      <c r="B5140" s="5" t="s">
        <v>28019</v>
      </c>
      <c r="C5140" s="5" t="s">
        <v>28020</v>
      </c>
      <c r="D5140" s="5" t="s">
        <v>28021</v>
      </c>
      <c r="E5140" s="6" t="s">
        <v>74</v>
      </c>
      <c r="F5140" s="6" t="s">
        <v>13624</v>
      </c>
      <c r="G5140" s="3" t="str">
        <f>IFERROR(__xludf.DUMMYFUNCTION("REGEXREPLACE(
D5140,
""([一-龯々]+)\[([^\]]+)\]"",
""&lt;ruby&gt;$1&lt;rt&gt;$2&lt;/rt&gt;&lt;/ruby&gt;""
)&amp;""&lt;br&gt;&lt;div class=""""audio""""&gt;[sound:""&amp;C5140&amp;"".mp3]&lt;/div&gt;"""),"&lt;ruby&gt;手数&lt;rt&gt;てすう&lt;/rt&gt;&lt;/ruby&gt;&lt;br&gt;&lt;div class=""audio""&gt;[sound:てすう.mp3]&lt;/div&gt;")</f>
        <v>&lt;ruby&gt;手数&lt;rt&gt;てすう&lt;/rt&gt;&lt;/ruby&gt;&lt;br&gt;&lt;div class="audio"&gt;[sound:てすう.mp3]&lt;/div&gt;</v>
      </c>
      <c r="H5140" s="3" t="str">
        <f t="shared" si="1"/>
        <v>(n): phiền phức</v>
      </c>
      <c r="I5140" s="6" t="s">
        <v>28022</v>
      </c>
      <c r="J5140" s="6" t="s">
        <v>28023</v>
      </c>
      <c r="K5140" s="7">
        <f t="shared" si="2"/>
        <v>0.9335713373</v>
      </c>
    </row>
    <row r="5141">
      <c r="A5141" s="4">
        <v>5141.0</v>
      </c>
      <c r="B5141" s="5" t="s">
        <v>28024</v>
      </c>
      <c r="C5141" s="5" t="s">
        <v>28025</v>
      </c>
      <c r="D5141" s="5" t="s">
        <v>28026</v>
      </c>
      <c r="E5141" s="6" t="s">
        <v>24</v>
      </c>
      <c r="F5141" s="6" t="s">
        <v>13852</v>
      </c>
      <c r="G5141" s="3" t="str">
        <f>IFERROR(__xludf.DUMMYFUNCTION("REGEXREPLACE(
D5141,
""([一-龯々]+)\[([^\]]+)\]"",
""&lt;ruby&gt;$1&lt;rt&gt;$2&lt;/rt&gt;&lt;/ruby&gt;""
)&amp;""&lt;br&gt;&lt;div class=""""audio""""&gt;[sound:""&amp;C5141&amp;"".mp3]&lt;/div&gt;"""),"&lt;ruby&gt;慕&lt;rt&gt;した&lt;/rt&gt;&lt;/ruby&gt;う&lt;br&gt;&lt;div class=""audio""&gt;[sound:したう.mp3]&lt;/div&gt;")</f>
        <v>&lt;ruby&gt;慕&lt;rt&gt;した&lt;/rt&gt;&lt;/ruby&gt;う&lt;br&gt;&lt;div class="audio"&gt;[sound:したう.mp3]&lt;/div&gt;</v>
      </c>
      <c r="H5141" s="3" t="str">
        <f t="shared" si="1"/>
        <v>(v): ngưỡng mộ</v>
      </c>
      <c r="I5141" s="6" t="s">
        <v>28027</v>
      </c>
      <c r="J5141" s="6" t="s">
        <v>28028</v>
      </c>
      <c r="K5141" s="7">
        <f t="shared" si="2"/>
        <v>0.854838017</v>
      </c>
    </row>
    <row r="5142">
      <c r="A5142" s="4">
        <v>5142.0</v>
      </c>
      <c r="B5142" s="5" t="s">
        <v>28029</v>
      </c>
      <c r="C5142" s="5" t="s">
        <v>28030</v>
      </c>
      <c r="D5142" s="5" t="s">
        <v>28031</v>
      </c>
      <c r="E5142" s="6" t="s">
        <v>74</v>
      </c>
      <c r="F5142" s="6" t="s">
        <v>28032</v>
      </c>
      <c r="G5142" s="3" t="str">
        <f>IFERROR(__xludf.DUMMYFUNCTION("REGEXREPLACE(
D5142,
""([一-龯々]+)\[([^\]]+)\]"",
""&lt;ruby&gt;$1&lt;rt&gt;$2&lt;/rt&gt;&lt;/ruby&gt;""
)&amp;""&lt;br&gt;&lt;div class=""""audio""""&gt;[sound:""&amp;C5142&amp;"".mp3]&lt;/div&gt;"""),"&lt;ruby&gt;教職&lt;rt&gt;きょうしょく&lt;/rt&gt;&lt;/ruby&gt;&lt;br&gt;&lt;div class=""audio""&gt;[sound:きょうしょく.mp3]&lt;/div&gt;")</f>
        <v>&lt;ruby&gt;教職&lt;rt&gt;きょうしょく&lt;/rt&gt;&lt;/ruby&gt;&lt;br&gt;&lt;div class="audio"&gt;[sound:きょうしょく.mp3]&lt;/div&gt;</v>
      </c>
      <c r="H5142" s="3" t="str">
        <f t="shared" si="1"/>
        <v>(n): nghề giáo</v>
      </c>
      <c r="I5142" s="6" t="s">
        <v>28033</v>
      </c>
      <c r="J5142" s="6" t="s">
        <v>28034</v>
      </c>
      <c r="K5142" s="7">
        <f t="shared" si="2"/>
        <v>0.4267592491</v>
      </c>
    </row>
    <row r="5143">
      <c r="A5143" s="4">
        <v>5143.0</v>
      </c>
      <c r="B5143" s="5" t="s">
        <v>28035</v>
      </c>
      <c r="C5143" s="5" t="s">
        <v>28036</v>
      </c>
      <c r="D5143" s="5" t="s">
        <v>28037</v>
      </c>
      <c r="E5143" s="6" t="s">
        <v>74</v>
      </c>
      <c r="F5143" s="6" t="s">
        <v>28038</v>
      </c>
      <c r="G5143" s="3" t="str">
        <f>IFERROR(__xludf.DUMMYFUNCTION("REGEXREPLACE(
D5143,
""([一-龯々]+)\[([^\]]+)\]"",
""&lt;ruby&gt;$1&lt;rt&gt;$2&lt;/rt&gt;&lt;/ruby&gt;""
)&amp;""&lt;br&gt;&lt;div class=""""audio""""&gt;[sound:""&amp;C5143&amp;"".mp3]&lt;/div&gt;"""),"&lt;ruby&gt;必修&lt;rt&gt;ひっしゅう&lt;/rt&gt;&lt;/ruby&gt;&lt;br&gt;&lt;div class=""audio""&gt;[sound:ひっしゅう.mp3]&lt;/div&gt;")</f>
        <v>&lt;ruby&gt;必修&lt;rt&gt;ひっしゅう&lt;/rt&gt;&lt;/ruby&gt;&lt;br&gt;&lt;div class="audio"&gt;[sound:ひっしゅう.mp3]&lt;/div&gt;</v>
      </c>
      <c r="H5143" s="3" t="str">
        <f t="shared" si="1"/>
        <v>(n): bắt buộc</v>
      </c>
      <c r="I5143" s="6" t="s">
        <v>28039</v>
      </c>
      <c r="J5143" s="6" t="s">
        <v>28040</v>
      </c>
      <c r="K5143" s="7">
        <f t="shared" si="2"/>
        <v>0.6614417394</v>
      </c>
    </row>
    <row r="5144">
      <c r="A5144" s="4">
        <v>5144.0</v>
      </c>
      <c r="B5144" s="5" t="s">
        <v>28041</v>
      </c>
      <c r="C5144" s="5" t="s">
        <v>28042</v>
      </c>
      <c r="D5144" s="5" t="s">
        <v>28043</v>
      </c>
      <c r="E5144" s="6" t="s">
        <v>74</v>
      </c>
      <c r="F5144" s="6" t="s">
        <v>28044</v>
      </c>
      <c r="G5144" s="3" t="str">
        <f>IFERROR(__xludf.DUMMYFUNCTION("REGEXREPLACE(
D5144,
""([一-龯々]+)\[([^\]]+)\]"",
""&lt;ruby&gt;$1&lt;rt&gt;$2&lt;/rt&gt;&lt;/ruby&gt;""
)&amp;""&lt;br&gt;&lt;div class=""""audio""""&gt;[sound:""&amp;C5144&amp;"".mp3]&lt;/div&gt;"""),"&lt;ruby&gt;星座&lt;rt&gt;せいざ&lt;/rt&gt;&lt;/ruby&gt;&lt;br&gt;&lt;div class=""audio""&gt;[sound:せいざ.mp3]&lt;/div&gt;")</f>
        <v>&lt;ruby&gt;星座&lt;rt&gt;せいざ&lt;/rt&gt;&lt;/ruby&gt;&lt;br&gt;&lt;div class="audio"&gt;[sound:せいざ.mp3]&lt;/div&gt;</v>
      </c>
      <c r="H5144" s="3" t="str">
        <f t="shared" si="1"/>
        <v>(n): chòm sao</v>
      </c>
      <c r="I5144" s="6" t="s">
        <v>28045</v>
      </c>
      <c r="J5144" s="6" t="s">
        <v>28046</v>
      </c>
      <c r="K5144" s="7">
        <f t="shared" si="2"/>
        <v>0.8451109865</v>
      </c>
    </row>
    <row r="5145">
      <c r="A5145" s="4">
        <v>5145.0</v>
      </c>
      <c r="B5145" s="5" t="s">
        <v>28047</v>
      </c>
      <c r="C5145" s="5" t="s">
        <v>28048</v>
      </c>
      <c r="D5145" s="5" t="s">
        <v>28049</v>
      </c>
      <c r="E5145" s="6" t="s">
        <v>74</v>
      </c>
      <c r="F5145" s="6" t="s">
        <v>28050</v>
      </c>
      <c r="G5145" s="3" t="str">
        <f>IFERROR(__xludf.DUMMYFUNCTION("REGEXREPLACE(
D5145,
""([一-龯々]+)\[([^\]]+)\]"",
""&lt;ruby&gt;$1&lt;rt&gt;$2&lt;/rt&gt;&lt;/ruby&gt;""
)&amp;""&lt;br&gt;&lt;div class=""""audio""""&gt;[sound:""&amp;C5145&amp;"".mp3]&lt;/div&gt;"""),"&lt;ruby&gt;山脈&lt;rt&gt;さんみゃく&lt;/rt&gt;&lt;/ruby&gt;&lt;br&gt;&lt;div class=""audio""&gt;[sound:さんみゃく.mp3]&lt;/div&gt;")</f>
        <v>&lt;ruby&gt;山脈&lt;rt&gt;さんみゃく&lt;/rt&gt;&lt;/ruby&gt;&lt;br&gt;&lt;div class="audio"&gt;[sound:さんみゃく.mp3]&lt;/div&gt;</v>
      </c>
      <c r="H5145" s="3" t="str">
        <f t="shared" si="1"/>
        <v>(n): dãy núi</v>
      </c>
      <c r="I5145" s="6" t="s">
        <v>28051</v>
      </c>
      <c r="J5145" s="6" t="s">
        <v>28052</v>
      </c>
      <c r="K5145" s="7">
        <f t="shared" si="2"/>
        <v>0.7438344736</v>
      </c>
    </row>
    <row r="5146">
      <c r="A5146" s="4">
        <v>5146.0</v>
      </c>
      <c r="B5146" s="5" t="s">
        <v>28053</v>
      </c>
      <c r="C5146" s="5" t="s">
        <v>28054</v>
      </c>
      <c r="D5146" s="5" t="s">
        <v>28055</v>
      </c>
      <c r="E5146" s="6" t="s">
        <v>11</v>
      </c>
      <c r="F5146" s="6" t="s">
        <v>26052</v>
      </c>
      <c r="G5146" s="3" t="str">
        <f>IFERROR(__xludf.DUMMYFUNCTION("REGEXREPLACE(
D5146,
""([一-龯々]+)\[([^\]]+)\]"",
""&lt;ruby&gt;$1&lt;rt&gt;$2&lt;/rt&gt;&lt;/ruby&gt;""
)&amp;""&lt;br&gt;&lt;div class=""""audio""""&gt;[sound:""&amp;C5146&amp;"".mp3]&lt;/div&gt;"""),"&lt;ruby&gt;巧妙&lt;rt&gt;こうみょう&lt;/rt&gt;&lt;/ruby&gt;&lt;br&gt;&lt;div class=""audio""&gt;[sound:こうみょう.mp3]&lt;/div&gt;")</f>
        <v>&lt;ruby&gt;巧妙&lt;rt&gt;こうみょう&lt;/rt&gt;&lt;/ruby&gt;&lt;br&gt;&lt;div class="audio"&gt;[sound:こうみょう.mp3]&lt;/div&gt;</v>
      </c>
      <c r="H5146" s="3" t="str">
        <f t="shared" si="1"/>
        <v>(adj): tinh vi</v>
      </c>
      <c r="I5146" s="6" t="s">
        <v>28056</v>
      </c>
      <c r="J5146" s="6" t="s">
        <v>28057</v>
      </c>
      <c r="K5146" s="7">
        <f t="shared" si="2"/>
        <v>0.6109366633</v>
      </c>
    </row>
    <row r="5147">
      <c r="A5147" s="4">
        <v>5147.0</v>
      </c>
      <c r="B5147" s="5" t="s">
        <v>28058</v>
      </c>
      <c r="C5147" s="5" t="s">
        <v>28059</v>
      </c>
      <c r="D5147" s="5" t="s">
        <v>28060</v>
      </c>
      <c r="E5147" s="6" t="s">
        <v>11</v>
      </c>
      <c r="F5147" s="6" t="s">
        <v>28061</v>
      </c>
      <c r="G5147" s="3" t="str">
        <f>IFERROR(__xludf.DUMMYFUNCTION("REGEXREPLACE(
D5147,
""([一-龯々]+)\[([^\]]+)\]"",
""&lt;ruby&gt;$1&lt;rt&gt;$2&lt;/rt&gt;&lt;/ruby&gt;""
)&amp;""&lt;br&gt;&lt;div class=""""audio""""&gt;[sound:""&amp;C5147&amp;"".mp3]&lt;/div&gt;"""),"&lt;ruby&gt;快&lt;rt&gt;こころよ&lt;/rt&gt;&lt;/ruby&gt;い&lt;br&gt;&lt;div class=""audio""&gt;[sound:こころよい.mp3]&lt;/div&gt;")</f>
        <v>&lt;ruby&gt;快&lt;rt&gt;こころよ&lt;/rt&gt;&lt;/ruby&gt;い&lt;br&gt;&lt;div class="audio"&gt;[sound:こころよい.mp3]&lt;/div&gt;</v>
      </c>
      <c r="H5147" s="3" t="str">
        <f t="shared" si="1"/>
        <v>(adj): dễ chịu</v>
      </c>
      <c r="I5147" s="6" t="s">
        <v>28062</v>
      </c>
      <c r="J5147" s="6" t="s">
        <v>28063</v>
      </c>
      <c r="K5147" s="7">
        <f t="shared" si="2"/>
        <v>0.1988444572</v>
      </c>
    </row>
    <row r="5148">
      <c r="A5148" s="4">
        <v>5148.0</v>
      </c>
      <c r="B5148" s="5" t="s">
        <v>28064</v>
      </c>
      <c r="C5148" s="5" t="s">
        <v>28065</v>
      </c>
      <c r="D5148" s="5" t="s">
        <v>28066</v>
      </c>
      <c r="E5148" s="6" t="s">
        <v>74</v>
      </c>
      <c r="F5148" s="6" t="s">
        <v>28067</v>
      </c>
      <c r="G5148" s="3" t="str">
        <f>IFERROR(__xludf.DUMMYFUNCTION("REGEXREPLACE(
D5148,
""([一-龯々]+)\[([^\]]+)\]"",
""&lt;ruby&gt;$1&lt;rt&gt;$2&lt;/rt&gt;&lt;/ruby&gt;""
)&amp;""&lt;br&gt;&lt;div class=""""audio""""&gt;[sound:""&amp;C5148&amp;"".mp3]&lt;/div&gt;"""),"&lt;ruby&gt;接続詞&lt;rt&gt;せつぞくし&lt;/rt&gt;&lt;/ruby&gt;&lt;br&gt;&lt;div class=""audio""&gt;[sound:せつぞくし.mp3]&lt;/div&gt;")</f>
        <v>&lt;ruby&gt;接続詞&lt;rt&gt;せつぞくし&lt;/rt&gt;&lt;/ruby&gt;&lt;br&gt;&lt;div class="audio"&gt;[sound:せつぞくし.mp3]&lt;/div&gt;</v>
      </c>
      <c r="H5148" s="3" t="str">
        <f t="shared" si="1"/>
        <v>(n): liên từ</v>
      </c>
      <c r="I5148" s="6" t="s">
        <v>28068</v>
      </c>
      <c r="J5148" s="6" t="s">
        <v>28069</v>
      </c>
      <c r="K5148" s="7">
        <f t="shared" si="2"/>
        <v>0.3661440587</v>
      </c>
    </row>
    <row r="5149">
      <c r="A5149" s="4">
        <v>5149.0</v>
      </c>
      <c r="B5149" s="5" t="s">
        <v>28070</v>
      </c>
      <c r="C5149" s="5" t="s">
        <v>28071</v>
      </c>
      <c r="D5149" s="5" t="s">
        <v>28072</v>
      </c>
      <c r="E5149" s="6" t="s">
        <v>11</v>
      </c>
      <c r="F5149" s="6" t="s">
        <v>28073</v>
      </c>
      <c r="G5149" s="3" t="str">
        <f>IFERROR(__xludf.DUMMYFUNCTION("REGEXREPLACE(
D5149,
""([一-龯々]+)\[([^\]]+)\]"",
""&lt;ruby&gt;$1&lt;rt&gt;$2&lt;/rt&gt;&lt;/ruby&gt;""
)&amp;""&lt;br&gt;&lt;div class=""""audio""""&gt;[sound:""&amp;C5149&amp;"".mp3]&lt;/div&gt;"""),"&lt;ruby&gt;有難&lt;rt&gt;ありがた&lt;/rt&gt;&lt;/ruby&gt;い&lt;br&gt;&lt;div class=""audio""&gt;[sound:ありがたい.mp3]&lt;/div&gt;")</f>
        <v>&lt;ruby&gt;有難&lt;rt&gt;ありがた&lt;/rt&gt;&lt;/ruby&gt;い&lt;br&gt;&lt;div class="audio"&gt;[sound:ありがたい.mp3]&lt;/div&gt;</v>
      </c>
      <c r="H5149" s="3" t="str">
        <f t="shared" si="1"/>
        <v>(adj): biết ơn</v>
      </c>
      <c r="I5149" s="6" t="s">
        <v>28074</v>
      </c>
      <c r="J5149" s="6" t="s">
        <v>28075</v>
      </c>
      <c r="K5149" s="7">
        <f t="shared" si="2"/>
        <v>0.4739795009</v>
      </c>
    </row>
    <row r="5150">
      <c r="A5150" s="4">
        <v>5150.0</v>
      </c>
      <c r="B5150" s="5" t="s">
        <v>28076</v>
      </c>
      <c r="C5150" s="5" t="s">
        <v>28077</v>
      </c>
      <c r="D5150" s="5" t="s">
        <v>28078</v>
      </c>
      <c r="E5150" s="6" t="s">
        <v>85</v>
      </c>
      <c r="F5150" s="6" t="s">
        <v>28079</v>
      </c>
      <c r="G5150" s="3" t="str">
        <f>IFERROR(__xludf.DUMMYFUNCTION("REGEXREPLACE(
D5150,
""([一-龯々]+)\[([^\]]+)\]"",
""&lt;ruby&gt;$1&lt;rt&gt;$2&lt;/rt&gt;&lt;/ruby&gt;""
)&amp;""&lt;br&gt;&lt;div class=""""audio""""&gt;[sound:""&amp;C5150&amp;"".mp3]&lt;/div&gt;"""),"&lt;ruby&gt;次々&lt;rt&gt;つぎつぎ&lt;/rt&gt;&lt;/ruby&gt;&lt;br&gt;&lt;div class=""audio""&gt;[sound:つぎつぎ.mp3]&lt;/div&gt;")</f>
        <v>&lt;ruby&gt;次々&lt;rt&gt;つぎつぎ&lt;/rt&gt;&lt;/ruby&gt;&lt;br&gt;&lt;div class="audio"&gt;[sound:つぎつぎ.mp3]&lt;/div&gt;</v>
      </c>
      <c r="H5150" s="3" t="str">
        <f t="shared" si="1"/>
        <v>(adv): lần lượt</v>
      </c>
      <c r="I5150" s="6" t="s">
        <v>28080</v>
      </c>
      <c r="J5150" s="6" t="s">
        <v>28081</v>
      </c>
      <c r="K5150" s="7">
        <f t="shared" si="2"/>
        <v>0.9082887285</v>
      </c>
    </row>
    <row r="5151">
      <c r="A5151" s="4">
        <v>5151.0</v>
      </c>
      <c r="B5151" s="5" t="s">
        <v>28082</v>
      </c>
      <c r="C5151" s="5" t="s">
        <v>28083</v>
      </c>
      <c r="D5151" s="5" t="s">
        <v>28084</v>
      </c>
      <c r="E5151" s="6" t="s">
        <v>74</v>
      </c>
      <c r="F5151" s="6" t="s">
        <v>28085</v>
      </c>
      <c r="G5151" s="3" t="str">
        <f>IFERROR(__xludf.DUMMYFUNCTION("REGEXREPLACE(
D5151,
""([一-龯々]+)\[([^\]]+)\]"",
""&lt;ruby&gt;$1&lt;rt&gt;$2&lt;/rt&gt;&lt;/ruby&gt;""
)&amp;""&lt;br&gt;&lt;div class=""""audio""""&gt;[sound:""&amp;C5151&amp;"".mp3]&lt;/div&gt;"""),"&lt;ruby&gt;棒&lt;rt&gt;ぼう&lt;/rt&gt;&lt;/ruby&gt;&lt;br&gt;&lt;div class=""audio""&gt;[sound:ぼう.mp3]&lt;/div&gt;")</f>
        <v>&lt;ruby&gt;棒&lt;rt&gt;ぼう&lt;/rt&gt;&lt;/ruby&gt;&lt;br&gt;&lt;div class="audio"&gt;[sound:ぼう.mp3]&lt;/div&gt;</v>
      </c>
      <c r="H5151" s="3" t="str">
        <f t="shared" si="1"/>
        <v>(n): cái gậy</v>
      </c>
      <c r="I5151" s="6" t="s">
        <v>28086</v>
      </c>
      <c r="J5151" s="6" t="s">
        <v>28087</v>
      </c>
      <c r="K5151" s="7">
        <f t="shared" si="2"/>
        <v>0.4391672287</v>
      </c>
    </row>
    <row r="5152">
      <c r="A5152" s="4">
        <v>5152.0</v>
      </c>
      <c r="B5152" s="5" t="s">
        <v>28088</v>
      </c>
      <c r="C5152" s="5" t="s">
        <v>28089</v>
      </c>
      <c r="D5152" s="5" t="s">
        <v>28090</v>
      </c>
      <c r="E5152" s="6" t="s">
        <v>74</v>
      </c>
      <c r="F5152" s="6" t="s">
        <v>19500</v>
      </c>
      <c r="G5152" s="3" t="str">
        <f>IFERROR(__xludf.DUMMYFUNCTION("REGEXREPLACE(
D5152,
""([一-龯々]+)\[([^\]]+)\]"",
""&lt;ruby&gt;$1&lt;rt&gt;$2&lt;/rt&gt;&lt;/ruby&gt;""
)&amp;""&lt;br&gt;&lt;div class=""""audio""""&gt;[sound:""&amp;C5152&amp;"".mp3]&lt;/div&gt;"""),"&lt;ruby&gt;故郷&lt;rt&gt;こきょう&lt;/rt&gt;&lt;/ruby&gt;&lt;br&gt;&lt;div class=""audio""&gt;[sound:こきょう.mp3]&lt;/div&gt;")</f>
        <v>&lt;ruby&gt;故郷&lt;rt&gt;こきょう&lt;/rt&gt;&lt;/ruby&gt;&lt;br&gt;&lt;div class="audio"&gt;[sound:こきょう.mp3]&lt;/div&gt;</v>
      </c>
      <c r="H5152" s="3" t="str">
        <f t="shared" si="1"/>
        <v>(n): quê hương</v>
      </c>
      <c r="I5152" s="6" t="s">
        <v>28091</v>
      </c>
      <c r="J5152" s="6" t="s">
        <v>27304</v>
      </c>
      <c r="K5152" s="7">
        <f t="shared" si="2"/>
        <v>0.6733072025</v>
      </c>
    </row>
    <row r="5153">
      <c r="A5153" s="4">
        <v>5153.0</v>
      </c>
      <c r="B5153" s="5" t="s">
        <v>28092</v>
      </c>
      <c r="C5153" s="5" t="s">
        <v>1489</v>
      </c>
      <c r="D5153" s="5" t="s">
        <v>28093</v>
      </c>
      <c r="E5153" s="6" t="s">
        <v>24</v>
      </c>
      <c r="F5153" s="6" t="s">
        <v>28094</v>
      </c>
      <c r="G5153" s="3" t="str">
        <f>IFERROR(__xludf.DUMMYFUNCTION("REGEXREPLACE(
D5153,
""([一-龯々]+)\[([^\]]+)\]"",
""&lt;ruby&gt;$1&lt;rt&gt;$2&lt;/rt&gt;&lt;/ruby&gt;""
)&amp;""&lt;br&gt;&lt;div class=""""audio""""&gt;[sound:""&amp;C5153&amp;"".mp3]&lt;/div&gt;"""),"&lt;ruby&gt;掻&lt;rt&gt;か&lt;/rt&gt;&lt;/ruby&gt;く&lt;br&gt;&lt;div class=""audio""&gt;[sound:かく.mp3]&lt;/div&gt;")</f>
        <v>&lt;ruby&gt;掻&lt;rt&gt;か&lt;/rt&gt;&lt;/ruby&gt;く&lt;br&gt;&lt;div class="audio"&gt;[sound:かく.mp3]&lt;/div&gt;</v>
      </c>
      <c r="H5153" s="3" t="str">
        <f t="shared" si="1"/>
        <v>(v): gãi</v>
      </c>
      <c r="I5153" s="6" t="s">
        <v>28095</v>
      </c>
      <c r="J5153" s="6" t="s">
        <v>28096</v>
      </c>
      <c r="K5153" s="7">
        <f t="shared" si="2"/>
        <v>0.8371982375</v>
      </c>
    </row>
    <row r="5154">
      <c r="A5154" s="4">
        <v>5154.0</v>
      </c>
      <c r="B5154" s="5" t="s">
        <v>28097</v>
      </c>
      <c r="C5154" s="5" t="s">
        <v>28098</v>
      </c>
      <c r="D5154" s="5" t="s">
        <v>28099</v>
      </c>
      <c r="E5154" s="6" t="s">
        <v>33</v>
      </c>
      <c r="F5154" s="6" t="s">
        <v>28100</v>
      </c>
      <c r="G5154" s="3" t="str">
        <f>IFERROR(__xludf.DUMMYFUNCTION("REGEXREPLACE(
D5154,
""([一-龯々]+)\[([^\]]+)\]"",
""&lt;ruby&gt;$1&lt;rt&gt;$2&lt;/rt&gt;&lt;/ruby&gt;""
)&amp;""&lt;br&gt;&lt;div class=""""audio""""&gt;[sound:""&amp;C5154&amp;"".mp3]&lt;/div&gt;"""),"お&lt;ruby&gt;気&lt;rt&gt;き&lt;/rt&gt;&lt;/ruby&gt;の&lt;ruby&gt;毒&lt;rt&gt;どく&lt;/rt&gt;&lt;/ruby&gt;に&lt;br&gt;&lt;div class=""audio""&gt;[sound:おきのどくに.mp3]&lt;/div&gt;")</f>
        <v>お&lt;ruby&gt;気&lt;rt&gt;き&lt;/rt&gt;&lt;/ruby&gt;の&lt;ruby&gt;毒&lt;rt&gt;どく&lt;/rt&gt;&lt;/ruby&gt;に&lt;br&gt;&lt;div class="audio"&gt;[sound:おきのどくに.mp3]&lt;/div&gt;</v>
      </c>
      <c r="H5154" s="3" t="str">
        <f t="shared" si="1"/>
        <v>(int): chia buồn</v>
      </c>
      <c r="I5154" s="6" t="s">
        <v>28101</v>
      </c>
      <c r="J5154" s="6" t="s">
        <v>28102</v>
      </c>
      <c r="K5154" s="7">
        <f t="shared" si="2"/>
        <v>0.6800531897</v>
      </c>
    </row>
    <row r="5155">
      <c r="A5155" s="4">
        <v>5155.0</v>
      </c>
      <c r="B5155" s="5" t="s">
        <v>28103</v>
      </c>
      <c r="C5155" s="5" t="s">
        <v>28104</v>
      </c>
      <c r="D5155" s="5" t="s">
        <v>28105</v>
      </c>
      <c r="E5155" s="6" t="s">
        <v>11</v>
      </c>
      <c r="F5155" s="6" t="s">
        <v>10470</v>
      </c>
      <c r="G5155" s="3" t="str">
        <f>IFERROR(__xludf.DUMMYFUNCTION("REGEXREPLACE(
D5155,
""([一-龯々]+)\[([^\]]+)\]"",
""&lt;ruby&gt;$1&lt;rt&gt;$2&lt;/rt&gt;&lt;/ruby&gt;""
)&amp;""&lt;br&gt;&lt;div class=""""audio""""&gt;[sound:""&amp;C5155&amp;"".mp3]&lt;/div&gt;"""),"&lt;ruby&gt;直&lt;rt&gt;じか&lt;/rt&gt;&lt;/ruby&gt;&lt;br&gt;&lt;div class=""audio""&gt;[sound:じか.mp3]&lt;/div&gt;")</f>
        <v>&lt;ruby&gt;直&lt;rt&gt;じか&lt;/rt&gt;&lt;/ruby&gt;&lt;br&gt;&lt;div class="audio"&gt;[sound:じか.mp3]&lt;/div&gt;</v>
      </c>
      <c r="H5155" s="3" t="str">
        <f t="shared" si="1"/>
        <v>(adj): trực tiếp</v>
      </c>
      <c r="I5155" s="6" t="s">
        <v>28106</v>
      </c>
      <c r="J5155" s="6" t="s">
        <v>28107</v>
      </c>
      <c r="K5155" s="7">
        <f t="shared" si="2"/>
        <v>0.4086399438</v>
      </c>
    </row>
    <row r="5156">
      <c r="A5156" s="4">
        <v>5156.0</v>
      </c>
      <c r="B5156" s="5" t="s">
        <v>28108</v>
      </c>
      <c r="C5156" s="5" t="s">
        <v>28109</v>
      </c>
      <c r="D5156" s="5" t="s">
        <v>28110</v>
      </c>
      <c r="E5156" s="6" t="s">
        <v>85</v>
      </c>
      <c r="F5156" s="6" t="s">
        <v>28111</v>
      </c>
      <c r="G5156" s="3" t="str">
        <f>IFERROR(__xludf.DUMMYFUNCTION("REGEXREPLACE(
D5156,
""([一-龯々]+)\[([^\]]+)\]"",
""&lt;ruby&gt;$1&lt;rt&gt;$2&lt;/rt&gt;&lt;/ruby&gt;""
)&amp;""&lt;br&gt;&lt;div class=""""audio""""&gt;[sound:""&amp;C5156&amp;"".mp3]&lt;/div&gt;"""),"&lt;ruby&gt;何分&lt;rt&gt;なにぶん&lt;/rt&gt;&lt;/ruby&gt;&lt;br&gt;&lt;div class=""audio""&gt;[sound:なにぶん.mp3]&lt;/div&gt;")</f>
        <v>&lt;ruby&gt;何分&lt;rt&gt;なにぶん&lt;/rt&gt;&lt;/ruby&gt;&lt;br&gt;&lt;div class="audio"&gt;[sound:なにぶん.mp3]&lt;/div&gt;</v>
      </c>
      <c r="H5156" s="3" t="str">
        <f t="shared" si="1"/>
        <v>(adv): mấy phút</v>
      </c>
      <c r="I5156" s="6" t="s">
        <v>28112</v>
      </c>
      <c r="J5156" s="6" t="s">
        <v>28113</v>
      </c>
      <c r="K5156" s="7">
        <f t="shared" si="2"/>
        <v>0.658417398</v>
      </c>
    </row>
    <row r="5157">
      <c r="A5157" s="4">
        <v>5157.0</v>
      </c>
      <c r="B5157" s="5" t="s">
        <v>28114</v>
      </c>
      <c r="C5157" s="5" t="s">
        <v>28115</v>
      </c>
      <c r="D5157" s="5" t="s">
        <v>28116</v>
      </c>
      <c r="E5157" s="6" t="s">
        <v>24</v>
      </c>
      <c r="F5157" s="6" t="s">
        <v>28117</v>
      </c>
      <c r="G5157" s="3" t="str">
        <f>IFERROR(__xludf.DUMMYFUNCTION("REGEXREPLACE(
D5157,
""([一-龯々]+)\[([^\]]+)\]"",
""&lt;ruby&gt;$1&lt;rt&gt;$2&lt;/rt&gt;&lt;/ruby&gt;""
)&amp;""&lt;br&gt;&lt;div class=""""audio""""&gt;[sound:""&amp;C5157&amp;"".mp3]&lt;/div&gt;"""),"&lt;ruby&gt;遅&lt;rt&gt;おく&lt;/rt&gt;&lt;/ruby&gt;らす&lt;br&gt;&lt;div class=""audio""&gt;[sound:おくらす.mp3]&lt;/div&gt;")</f>
        <v>&lt;ruby&gt;遅&lt;rt&gt;おく&lt;/rt&gt;&lt;/ruby&gt;らす&lt;br&gt;&lt;div class="audio"&gt;[sound:おくらす.mp3]&lt;/div&gt;</v>
      </c>
      <c r="H5157" s="3" t="str">
        <f t="shared" si="1"/>
        <v>(v): làm chậm lại</v>
      </c>
      <c r="I5157" s="6" t="s">
        <v>28118</v>
      </c>
      <c r="J5157" s="6" t="s">
        <v>28119</v>
      </c>
      <c r="K5157" s="7">
        <f t="shared" si="2"/>
        <v>0.7350860462</v>
      </c>
    </row>
    <row r="5158">
      <c r="A5158" s="4">
        <v>5158.0</v>
      </c>
      <c r="B5158" s="5" t="s">
        <v>28120</v>
      </c>
      <c r="C5158" s="5" t="s">
        <v>28121</v>
      </c>
      <c r="D5158" s="5" t="s">
        <v>28122</v>
      </c>
      <c r="E5158" s="6" t="s">
        <v>85</v>
      </c>
      <c r="F5158" s="6" t="s">
        <v>28123</v>
      </c>
      <c r="G5158" s="3" t="str">
        <f>IFERROR(__xludf.DUMMYFUNCTION("REGEXREPLACE(
D5158,
""([一-龯々]+)\[([^\]]+)\]"",
""&lt;ruby&gt;$1&lt;rt&gt;$2&lt;/rt&gt;&lt;/ruby&gt;""
)&amp;""&lt;br&gt;&lt;div class=""""audio""""&gt;[sound:""&amp;C5158&amp;"".mp3]&lt;/div&gt;"""),"&lt;ruby&gt;一概&lt;rt&gt;いちがい&lt;/rt&gt;&lt;/ruby&gt;に&lt;br&gt;&lt;div class=""audio""&gt;[sound:いちがいに.mp3]&lt;/div&gt;")</f>
        <v>&lt;ruby&gt;一概&lt;rt&gt;いちがい&lt;/rt&gt;&lt;/ruby&gt;に&lt;br&gt;&lt;div class="audio"&gt;[sound:いちがいに.mp3]&lt;/div&gt;</v>
      </c>
      <c r="H5158" s="3" t="str">
        <f t="shared" si="1"/>
        <v>(adv): nhất nhất</v>
      </c>
      <c r="I5158" s="6" t="s">
        <v>28124</v>
      </c>
      <c r="J5158" s="6" t="s">
        <v>28125</v>
      </c>
      <c r="K5158" s="7">
        <f t="shared" si="2"/>
        <v>0.7598925236</v>
      </c>
    </row>
    <row r="5159">
      <c r="A5159" s="4">
        <v>5159.0</v>
      </c>
      <c r="B5159" s="5" t="s">
        <v>28126</v>
      </c>
      <c r="C5159" s="5" t="s">
        <v>28127</v>
      </c>
      <c r="D5159" s="5" t="s">
        <v>28128</v>
      </c>
      <c r="E5159" s="6" t="s">
        <v>11</v>
      </c>
      <c r="F5159" s="6" t="s">
        <v>21129</v>
      </c>
      <c r="G5159" s="3" t="str">
        <f>IFERROR(__xludf.DUMMYFUNCTION("REGEXREPLACE(
D5159,
""([一-龯々]+)\[([^\]]+)\]"",
""&lt;ruby&gt;$1&lt;rt&gt;$2&lt;/rt&gt;&lt;/ruby&gt;""
)&amp;""&lt;br&gt;&lt;div class=""""audio""""&gt;[sound:""&amp;C5159&amp;"".mp3]&lt;/div&gt;"""),"&lt;ruby&gt;貴&lt;rt&gt;たっと&lt;/rt&gt;&lt;/ruby&gt;い&lt;br&gt;&lt;div class=""audio""&gt;[sound:たっとい.mp3]&lt;/div&gt;")</f>
        <v>&lt;ruby&gt;貴&lt;rt&gt;たっと&lt;/rt&gt;&lt;/ruby&gt;い&lt;br&gt;&lt;div class="audio"&gt;[sound:たっとい.mp3]&lt;/div&gt;</v>
      </c>
      <c r="H5159" s="3" t="str">
        <f t="shared" si="1"/>
        <v>(adj): quý giá</v>
      </c>
      <c r="I5159" s="6" t="s">
        <v>28129</v>
      </c>
      <c r="J5159" s="6" t="s">
        <v>28130</v>
      </c>
      <c r="K5159" s="7">
        <f t="shared" si="2"/>
        <v>0.2683001185</v>
      </c>
    </row>
    <row r="5160">
      <c r="A5160" s="4">
        <v>5160.0</v>
      </c>
      <c r="B5160" s="5" t="s">
        <v>28131</v>
      </c>
      <c r="C5160" s="5" t="s">
        <v>28132</v>
      </c>
      <c r="D5160" s="5" t="s">
        <v>28133</v>
      </c>
      <c r="E5160" s="6" t="s">
        <v>74</v>
      </c>
      <c r="F5160" s="6" t="s">
        <v>13640</v>
      </c>
      <c r="G5160" s="3" t="str">
        <f>IFERROR(__xludf.DUMMYFUNCTION("REGEXREPLACE(
D5160,
""([一-龯々]+)\[([^\]]+)\]"",
""&lt;ruby&gt;$1&lt;rt&gt;$2&lt;/rt&gt;&lt;/ruby&gt;""
)&amp;""&lt;br&gt;&lt;div class=""""audio""""&gt;[sound:""&amp;C5160&amp;"".mp3]&lt;/div&gt;"""),"&lt;ruby&gt;差&lt;rt&gt;さ&lt;/rt&gt;&lt;/ruby&gt;し&lt;ruby&gt;支&lt;rt&gt;つか&lt;/rt&gt;&lt;/ruby&gt;え&lt;br&gt;&lt;div class=""audio""&gt;[sound:さしつかえ.mp3]&lt;/div&gt;")</f>
        <v>&lt;ruby&gt;差&lt;rt&gt;さ&lt;/rt&gt;&lt;/ruby&gt;し&lt;ruby&gt;支&lt;rt&gt;つか&lt;/rt&gt;&lt;/ruby&gt;え&lt;br&gt;&lt;div class="audio"&gt;[sound:さしつかえ.mp3]&lt;/div&gt;</v>
      </c>
      <c r="H5160" s="3" t="str">
        <f t="shared" si="1"/>
        <v>(n): trở ngại</v>
      </c>
      <c r="I5160" s="6" t="s">
        <v>28134</v>
      </c>
      <c r="J5160" s="6" t="s">
        <v>28135</v>
      </c>
      <c r="K5160" s="7">
        <f t="shared" si="2"/>
        <v>0.3955833595</v>
      </c>
    </row>
    <row r="5161">
      <c r="A5161" s="4">
        <v>5161.0</v>
      </c>
      <c r="B5161" s="5" t="s">
        <v>28136</v>
      </c>
      <c r="C5161" s="5" t="s">
        <v>28137</v>
      </c>
      <c r="D5161" s="5" t="s">
        <v>28138</v>
      </c>
      <c r="E5161" s="6" t="s">
        <v>74</v>
      </c>
      <c r="F5161" s="6" t="s">
        <v>28139</v>
      </c>
      <c r="G5161" s="3" t="str">
        <f>IFERROR(__xludf.DUMMYFUNCTION("REGEXREPLACE(
D5161,
""([一-龯々]+)\[([^\]]+)\]"",
""&lt;ruby&gt;$1&lt;rt&gt;$2&lt;/rt&gt;&lt;/ruby&gt;""
)&amp;""&lt;br&gt;&lt;div class=""""audio""""&gt;[sound:""&amp;C5161&amp;"".mp3]&lt;/div&gt;"""),"&lt;ruby&gt;名所&lt;rt&gt;めいしょ&lt;/rt&gt;&lt;/ruby&gt;&lt;br&gt;&lt;div class=""audio""&gt;[sound:めいしょ.mp3]&lt;/div&gt;")</f>
        <v>&lt;ruby&gt;名所&lt;rt&gt;めいしょ&lt;/rt&gt;&lt;/ruby&gt;&lt;br&gt;&lt;div class="audio"&gt;[sound:めいしょ.mp3]&lt;/div&gt;</v>
      </c>
      <c r="H5161" s="3" t="str">
        <f t="shared" si="1"/>
        <v>(n): danh lam thắng cảnh</v>
      </c>
      <c r="I5161" s="6" t="s">
        <v>28140</v>
      </c>
      <c r="J5161" s="6" t="s">
        <v>28141</v>
      </c>
      <c r="K5161" s="7">
        <f t="shared" si="2"/>
        <v>0.468551071</v>
      </c>
    </row>
    <row r="5162">
      <c r="A5162" s="4">
        <v>5162.0</v>
      </c>
      <c r="B5162" s="5" t="s">
        <v>28142</v>
      </c>
      <c r="C5162" s="5" t="s">
        <v>28143</v>
      </c>
      <c r="D5162" s="5" t="s">
        <v>28144</v>
      </c>
      <c r="E5162" s="6" t="s">
        <v>74</v>
      </c>
      <c r="F5162" s="6" t="s">
        <v>28145</v>
      </c>
      <c r="G5162" s="3" t="str">
        <f>IFERROR(__xludf.DUMMYFUNCTION("REGEXREPLACE(
D5162,
""([一-龯々]+)\[([^\]]+)\]"",
""&lt;ruby&gt;$1&lt;rt&gt;$2&lt;/rt&gt;&lt;/ruby&gt;""
)&amp;""&lt;br&gt;&lt;div class=""""audio""""&gt;[sound:""&amp;C5162&amp;"".mp3]&lt;/div&gt;"""),"&lt;ruby&gt;防犯&lt;rt&gt;ぼうはん&lt;/rt&gt;&lt;/ruby&gt;&lt;br&gt;&lt;div class=""audio""&gt;[sound:ぼうはん.mp3]&lt;/div&gt;")</f>
        <v>&lt;ruby&gt;防犯&lt;rt&gt;ぼうはん&lt;/rt&gt;&lt;/ruby&gt;&lt;br&gt;&lt;div class="audio"&gt;[sound:ぼうはん.mp3]&lt;/div&gt;</v>
      </c>
      <c r="H5162" s="3" t="str">
        <f t="shared" si="1"/>
        <v>(n): phòng chống tội phạm</v>
      </c>
      <c r="I5162" s="6" t="s">
        <v>28146</v>
      </c>
      <c r="J5162" s="6" t="s">
        <v>28147</v>
      </c>
      <c r="K5162" s="7">
        <f t="shared" si="2"/>
        <v>0.2886110202</v>
      </c>
    </row>
    <row r="5163">
      <c r="A5163" s="4">
        <v>5163.0</v>
      </c>
      <c r="B5163" s="5" t="s">
        <v>28148</v>
      </c>
      <c r="C5163" s="5" t="s">
        <v>28149</v>
      </c>
      <c r="D5163" s="5" t="s">
        <v>28150</v>
      </c>
      <c r="E5163" s="6" t="s">
        <v>74</v>
      </c>
      <c r="F5163" s="6" t="s">
        <v>28151</v>
      </c>
      <c r="G5163" s="3" t="str">
        <f>IFERROR(__xludf.DUMMYFUNCTION("REGEXREPLACE(
D5163,
""([一-龯々]+)\[([^\]]+)\]"",
""&lt;ruby&gt;$1&lt;rt&gt;$2&lt;/rt&gt;&lt;/ruby&gt;""
)&amp;""&lt;br&gt;&lt;div class=""""audio""""&gt;[sound:""&amp;C5163&amp;"".mp3]&lt;/div&gt;"""),"&lt;ruby&gt;工芸&lt;rt&gt;こうげい&lt;/rt&gt;&lt;/ruby&gt;&lt;br&gt;&lt;div class=""audio""&gt;[sound:こうげい.mp3]&lt;/div&gt;")</f>
        <v>&lt;ruby&gt;工芸&lt;rt&gt;こうげい&lt;/rt&gt;&lt;/ruby&gt;&lt;br&gt;&lt;div class="audio"&gt;[sound:こうげい.mp3]&lt;/div&gt;</v>
      </c>
      <c r="H5163" s="3" t="str">
        <f t="shared" si="1"/>
        <v>(n): thủ công mỹ nghệ</v>
      </c>
      <c r="I5163" s="6" t="s">
        <v>28152</v>
      </c>
      <c r="J5163" s="6" t="s">
        <v>28153</v>
      </c>
      <c r="K5163" s="7">
        <f t="shared" si="2"/>
        <v>0.2727890923</v>
      </c>
    </row>
    <row r="5164">
      <c r="A5164" s="4">
        <v>5164.0</v>
      </c>
      <c r="B5164" s="5" t="s">
        <v>28154</v>
      </c>
      <c r="C5164" s="5" t="s">
        <v>28155</v>
      </c>
      <c r="D5164" s="5" t="s">
        <v>28156</v>
      </c>
      <c r="E5164" s="6" t="s">
        <v>74</v>
      </c>
      <c r="F5164" s="6" t="s">
        <v>28157</v>
      </c>
      <c r="G5164" s="3" t="str">
        <f>IFERROR(__xludf.DUMMYFUNCTION("REGEXREPLACE(
D5164,
""([一-龯々]+)\[([^\]]+)\]"",
""&lt;ruby&gt;$1&lt;rt&gt;$2&lt;/rt&gt;&lt;/ruby&gt;""
)&amp;""&lt;br&gt;&lt;div class=""""audio""""&gt;[sound:""&amp;C5164&amp;"".mp3]&lt;/div&gt;"""),"&lt;ruby&gt;素人&lt;rt&gt;しろうと&lt;/rt&gt;&lt;/ruby&gt;&lt;br&gt;&lt;div class=""audio""&gt;[sound:しろうと.mp3]&lt;/div&gt;")</f>
        <v>&lt;ruby&gt;素人&lt;rt&gt;しろうと&lt;/rt&gt;&lt;/ruby&gt;&lt;br&gt;&lt;div class="audio"&gt;[sound:しろうと.mp3]&lt;/div&gt;</v>
      </c>
      <c r="H5164" s="3" t="str">
        <f t="shared" si="1"/>
        <v>(n): người nghiệp dư</v>
      </c>
      <c r="I5164" s="6" t="s">
        <v>28158</v>
      </c>
      <c r="J5164" s="6" t="s">
        <v>28159</v>
      </c>
      <c r="K5164" s="7">
        <f t="shared" si="2"/>
        <v>0.2705074447</v>
      </c>
    </row>
    <row r="5165">
      <c r="A5165" s="4">
        <v>5165.0</v>
      </c>
      <c r="B5165" s="5" t="s">
        <v>28160</v>
      </c>
      <c r="C5165" s="5" t="s">
        <v>28161</v>
      </c>
      <c r="D5165" s="5" t="s">
        <v>28162</v>
      </c>
      <c r="E5165" s="6" t="s">
        <v>74</v>
      </c>
      <c r="F5165" s="6" t="s">
        <v>28163</v>
      </c>
      <c r="G5165" s="3" t="str">
        <f>IFERROR(__xludf.DUMMYFUNCTION("REGEXREPLACE(
D5165,
""([一-龯々]+)\[([^\]]+)\]"",
""&lt;ruby&gt;$1&lt;rt&gt;$2&lt;/rt&gt;&lt;/ruby&gt;""
)&amp;""&lt;br&gt;&lt;div class=""""audio""""&gt;[sound:""&amp;C5165&amp;"".mp3]&lt;/div&gt;"""),"&lt;ruby&gt;発電&lt;rt&gt;はつでん&lt;/rt&gt;&lt;/ruby&gt;&lt;br&gt;&lt;div class=""audio""&gt;[sound:はつでん.mp3]&lt;/div&gt;")</f>
        <v>&lt;ruby&gt;発電&lt;rt&gt;はつでん&lt;/rt&gt;&lt;/ruby&gt;&lt;br&gt;&lt;div class="audio"&gt;[sound:はつでん.mp3]&lt;/div&gt;</v>
      </c>
      <c r="H5165" s="3" t="str">
        <f t="shared" si="1"/>
        <v>(n): phát điện</v>
      </c>
      <c r="I5165" s="6" t="s">
        <v>28164</v>
      </c>
      <c r="J5165" s="6" t="s">
        <v>28165</v>
      </c>
      <c r="K5165" s="7">
        <f t="shared" si="2"/>
        <v>0.7649721266</v>
      </c>
    </row>
    <row r="5166">
      <c r="A5166" s="4">
        <v>5166.0</v>
      </c>
      <c r="B5166" s="5" t="s">
        <v>28166</v>
      </c>
      <c r="C5166" s="5" t="s">
        <v>28167</v>
      </c>
      <c r="D5166" s="5" t="s">
        <v>28168</v>
      </c>
      <c r="E5166" s="6" t="s">
        <v>74</v>
      </c>
      <c r="F5166" s="6" t="s">
        <v>28169</v>
      </c>
      <c r="G5166" s="3" t="str">
        <f>IFERROR(__xludf.DUMMYFUNCTION("REGEXREPLACE(
D5166,
""([一-龯々]+)\[([^\]]+)\]"",
""&lt;ruby&gt;$1&lt;rt&gt;$2&lt;/rt&gt;&lt;/ruby&gt;""
)&amp;""&lt;br&gt;&lt;div class=""""audio""""&gt;[sound:""&amp;C5166&amp;"".mp3]&lt;/div&gt;"""),"&lt;ruby&gt;御中&lt;rt&gt;おんちゅう&lt;/rt&gt;&lt;/ruby&gt;&lt;br&gt;&lt;div class=""audio""&gt;[sound:おんちゅう.mp3]&lt;/div&gt;")</f>
        <v>&lt;ruby&gt;御中&lt;rt&gt;おんちゅう&lt;/rt&gt;&lt;/ruby&gt;&lt;br&gt;&lt;div class="audio"&gt;[sound:おんちゅう.mp3]&lt;/div&gt;</v>
      </c>
      <c r="H5166" s="3" t="str">
        <f t="shared" si="1"/>
        <v>(n): kính gửi</v>
      </c>
      <c r="I5166" s="6" t="s">
        <v>28170</v>
      </c>
      <c r="J5166" s="6" t="s">
        <v>28171</v>
      </c>
      <c r="K5166" s="7">
        <f t="shared" si="2"/>
        <v>0.02754499786</v>
      </c>
    </row>
    <row r="5167">
      <c r="A5167" s="4">
        <v>5167.0</v>
      </c>
      <c r="B5167" s="5" t="s">
        <v>28172</v>
      </c>
      <c r="C5167" s="5" t="s">
        <v>28173</v>
      </c>
      <c r="D5167" s="5" t="s">
        <v>28174</v>
      </c>
      <c r="E5167" s="6" t="s">
        <v>74</v>
      </c>
      <c r="F5167" s="6" t="s">
        <v>28175</v>
      </c>
      <c r="G5167" s="3" t="str">
        <f>IFERROR(__xludf.DUMMYFUNCTION("REGEXREPLACE(
D5167,
""([一-龯々]+)\[([^\]]+)\]"",
""&lt;ruby&gt;$1&lt;rt&gt;$2&lt;/rt&gt;&lt;/ruby&gt;""
)&amp;""&lt;br&gt;&lt;div class=""""audio""""&gt;[sound:""&amp;C5167&amp;"".mp3]&lt;/div&gt;"""),"&lt;ruby&gt;飾&lt;rt&gt;かざ&lt;/rt&gt;&lt;/ruby&gt;り&lt;br&gt;&lt;div class=""audio""&gt;[sound:かざり.mp3]&lt;/div&gt;")</f>
        <v>&lt;ruby&gt;飾&lt;rt&gt;かざ&lt;/rt&gt;&lt;/ruby&gt;り&lt;br&gt;&lt;div class="audio"&gt;[sound:かざり.mp3]&lt;/div&gt;</v>
      </c>
      <c r="H5167" s="3" t="str">
        <f t="shared" si="1"/>
        <v>(n): đồ trang trí</v>
      </c>
      <c r="I5167" s="6" t="s">
        <v>28176</v>
      </c>
      <c r="J5167" s="6" t="s">
        <v>28177</v>
      </c>
      <c r="K5167" s="7">
        <f t="shared" si="2"/>
        <v>0.392643254</v>
      </c>
    </row>
    <row r="5168">
      <c r="A5168" s="4">
        <v>5168.0</v>
      </c>
      <c r="B5168" s="5" t="s">
        <v>28178</v>
      </c>
      <c r="C5168" s="5" t="s">
        <v>28179</v>
      </c>
      <c r="D5168" s="5" t="s">
        <v>28180</v>
      </c>
      <c r="E5168" s="6" t="s">
        <v>74</v>
      </c>
      <c r="F5168" s="6" t="s">
        <v>28181</v>
      </c>
      <c r="G5168" s="3" t="str">
        <f>IFERROR(__xludf.DUMMYFUNCTION("REGEXREPLACE(
D5168,
""([一-龯々]+)\[([^\]]+)\]"",
""&lt;ruby&gt;$1&lt;rt&gt;$2&lt;/rt&gt;&lt;/ruby&gt;""
)&amp;""&lt;br&gt;&lt;div class=""""audio""""&gt;[sound:""&amp;C5168&amp;"".mp3]&lt;/div&gt;"""),"&lt;ruby&gt;夜明&lt;rt&gt;よあ&lt;/rt&gt;&lt;/ruby&gt;け&lt;br&gt;&lt;div class=""audio""&gt;[sound:よあけ.mp3]&lt;/div&gt;")</f>
        <v>&lt;ruby&gt;夜明&lt;rt&gt;よあ&lt;/rt&gt;&lt;/ruby&gt;け&lt;br&gt;&lt;div class="audio"&gt;[sound:よあけ.mp3]&lt;/div&gt;</v>
      </c>
      <c r="H5168" s="3" t="str">
        <f t="shared" si="1"/>
        <v>(n): bình minh</v>
      </c>
      <c r="I5168" s="6" t="s">
        <v>28182</v>
      </c>
      <c r="J5168" s="6" t="s">
        <v>28183</v>
      </c>
      <c r="K5168" s="7">
        <f t="shared" si="2"/>
        <v>0.3241326881</v>
      </c>
    </row>
    <row r="5169">
      <c r="A5169" s="4">
        <v>5169.0</v>
      </c>
      <c r="B5169" s="5" t="s">
        <v>28184</v>
      </c>
      <c r="C5169" s="5" t="s">
        <v>28185</v>
      </c>
      <c r="D5169" s="5" t="s">
        <v>28186</v>
      </c>
      <c r="E5169" s="6" t="s">
        <v>74</v>
      </c>
      <c r="F5169" s="6" t="s">
        <v>14110</v>
      </c>
      <c r="G5169" s="3" t="str">
        <f>IFERROR(__xludf.DUMMYFUNCTION("REGEXREPLACE(
D5169,
""([一-龯々]+)\[([^\]]+)\]"",
""&lt;ruby&gt;$1&lt;rt&gt;$2&lt;/rt&gt;&lt;/ruby&gt;""
)&amp;""&lt;br&gt;&lt;div class=""""audio""""&gt;[sound:""&amp;C5169&amp;"".mp3]&lt;/div&gt;"""),"&lt;ruby&gt;望&lt;rt&gt;のぞ&lt;/rt&gt;&lt;/ruby&gt;み&lt;br&gt;&lt;div class=""audio""&gt;[sound:のぞみ.mp3]&lt;/div&gt;")</f>
        <v>&lt;ruby&gt;望&lt;rt&gt;のぞ&lt;/rt&gt;&lt;/ruby&gt;み&lt;br&gt;&lt;div class="audio"&gt;[sound:のぞみ.mp3]&lt;/div&gt;</v>
      </c>
      <c r="H5169" s="3" t="str">
        <f t="shared" si="1"/>
        <v>(n): mong muốn</v>
      </c>
      <c r="I5169" s="6" t="s">
        <v>28187</v>
      </c>
      <c r="J5169" s="6" t="s">
        <v>28188</v>
      </c>
      <c r="K5169" s="7">
        <f t="shared" si="2"/>
        <v>0.0347238864</v>
      </c>
    </row>
    <row r="5170">
      <c r="A5170" s="4">
        <v>5170.0</v>
      </c>
      <c r="B5170" s="5" t="s">
        <v>28189</v>
      </c>
      <c r="C5170" s="5" t="s">
        <v>28190</v>
      </c>
      <c r="D5170" s="5" t="s">
        <v>28191</v>
      </c>
      <c r="E5170" s="6" t="s">
        <v>74</v>
      </c>
      <c r="F5170" s="6" t="s">
        <v>28192</v>
      </c>
      <c r="G5170" s="3" t="str">
        <f>IFERROR(__xludf.DUMMYFUNCTION("REGEXREPLACE(
D5170,
""([一-龯々]+)\[([^\]]+)\]"",
""&lt;ruby&gt;$1&lt;rt&gt;$2&lt;/rt&gt;&lt;/ruby&gt;""
)&amp;""&lt;br&gt;&lt;div class=""""audio""""&gt;[sound:""&amp;C5170&amp;"".mp3]&lt;/div&gt;"""),"&lt;ruby&gt;限度&lt;rt&gt;げんど&lt;/rt&gt;&lt;/ruby&gt;&lt;br&gt;&lt;div class=""audio""&gt;[sound:げんど.mp3]&lt;/div&gt;")</f>
        <v>&lt;ruby&gt;限度&lt;rt&gt;げんど&lt;/rt&gt;&lt;/ruby&gt;&lt;br&gt;&lt;div class="audio"&gt;[sound:げんど.mp3]&lt;/div&gt;</v>
      </c>
      <c r="H5170" s="3" t="str">
        <f t="shared" si="1"/>
        <v>(n): hạn mức</v>
      </c>
      <c r="I5170" s="6" t="s">
        <v>28193</v>
      </c>
      <c r="J5170" s="6" t="s">
        <v>28194</v>
      </c>
      <c r="K5170" s="7">
        <f t="shared" si="2"/>
        <v>0.9356906577</v>
      </c>
    </row>
    <row r="5171">
      <c r="A5171" s="4">
        <v>5171.0</v>
      </c>
      <c r="B5171" s="5" t="s">
        <v>28195</v>
      </c>
      <c r="C5171" s="5" t="s">
        <v>28196</v>
      </c>
      <c r="D5171" s="5" t="s">
        <v>28197</v>
      </c>
      <c r="E5171" s="6" t="s">
        <v>24</v>
      </c>
      <c r="F5171" s="6" t="s">
        <v>28198</v>
      </c>
      <c r="G5171" s="3" t="str">
        <f>IFERROR(__xludf.DUMMYFUNCTION("REGEXREPLACE(
D5171,
""([一-龯々]+)\[([^\]]+)\]"",
""&lt;ruby&gt;$1&lt;rt&gt;$2&lt;/rt&gt;&lt;/ruby&gt;""
)&amp;""&lt;br&gt;&lt;div class=""""audio""""&gt;[sound:""&amp;C5171&amp;"".mp3]&lt;/div&gt;"""),"&lt;ruby&gt;見詰&lt;rt&gt;みつ&lt;/rt&gt;&lt;/ruby&gt;める&lt;br&gt;&lt;div class=""audio""&gt;[sound:みつめる.mp3]&lt;/div&gt;")</f>
        <v>&lt;ruby&gt;見詰&lt;rt&gt;みつ&lt;/rt&gt;&lt;/ruby&gt;める&lt;br&gt;&lt;div class="audio"&gt;[sound:みつめる.mp3]&lt;/div&gt;</v>
      </c>
      <c r="H5171" s="3" t="str">
        <f t="shared" si="1"/>
        <v>(v): nhìn chằm chằm</v>
      </c>
      <c r="I5171" s="6" t="s">
        <v>28199</v>
      </c>
      <c r="J5171" s="6" t="s">
        <v>28200</v>
      </c>
      <c r="K5171" s="7">
        <f t="shared" si="2"/>
        <v>0.7974985473</v>
      </c>
    </row>
    <row r="5172">
      <c r="A5172" s="4">
        <v>5172.0</v>
      </c>
      <c r="B5172" s="5" t="s">
        <v>28201</v>
      </c>
      <c r="C5172" s="5" t="s">
        <v>28202</v>
      </c>
      <c r="D5172" s="5" t="s">
        <v>28203</v>
      </c>
      <c r="E5172" s="6" t="s">
        <v>85</v>
      </c>
      <c r="F5172" s="6" t="s">
        <v>28204</v>
      </c>
      <c r="G5172" s="3" t="str">
        <f>IFERROR(__xludf.DUMMYFUNCTION("REGEXREPLACE(
D5172,
""([一-龯々]+)\[([^\]]+)\]"",
""&lt;ruby&gt;$1&lt;rt&gt;$2&lt;/rt&gt;&lt;/ruby&gt;""
)&amp;""&lt;br&gt;&lt;div class=""""audio""""&gt;[sound:""&amp;C5172&amp;"".mp3]&lt;/div&gt;"""),"&lt;ruby&gt;言&lt;rt&gt;い&lt;/rt&gt;&lt;/ruby&gt;わば&lt;br&gt;&lt;div class=""audio""&gt;[sound:いわば.mp3]&lt;/div&gt;")</f>
        <v>&lt;ruby&gt;言&lt;rt&gt;い&lt;/rt&gt;&lt;/ruby&gt;わば&lt;br&gt;&lt;div class="audio"&gt;[sound:いわば.mp3]&lt;/div&gt;</v>
      </c>
      <c r="H5172" s="3" t="str">
        <f t="shared" si="1"/>
        <v>(adv): có thể nói là</v>
      </c>
      <c r="I5172" s="6" t="s">
        <v>28205</v>
      </c>
      <c r="J5172" s="6" t="s">
        <v>28206</v>
      </c>
      <c r="K5172" s="7">
        <f t="shared" si="2"/>
        <v>0.9301718991</v>
      </c>
    </row>
    <row r="5173">
      <c r="A5173" s="4">
        <v>5173.0</v>
      </c>
      <c r="B5173" s="5" t="s">
        <v>28207</v>
      </c>
      <c r="C5173" s="5" t="s">
        <v>28208</v>
      </c>
      <c r="D5173" s="5" t="s">
        <v>28207</v>
      </c>
      <c r="E5173" s="6" t="s">
        <v>74</v>
      </c>
      <c r="F5173" s="6" t="s">
        <v>28209</v>
      </c>
      <c r="G5173" s="3" t="str">
        <f>IFERROR(__xludf.DUMMYFUNCTION("REGEXREPLACE(
D5173,
""([一-龯々]+)\[([^\]]+)\]"",
""&lt;ruby&gt;$1&lt;rt&gt;$2&lt;/rt&gt;&lt;/ruby&gt;""
)&amp;""&lt;br&gt;&lt;div class=""""audio""""&gt;[sound:""&amp;C5173&amp;"".mp3]&lt;/div&gt;"""),"エチケット&lt;br&gt;&lt;div class=""audio""&gt;[sound:えちけっと.mp3]&lt;/div&gt;")</f>
        <v>エチケット&lt;br&gt;&lt;div class="audio"&gt;[sound:えちけっと.mp3]&lt;/div&gt;</v>
      </c>
      <c r="H5173" s="3" t="str">
        <f t="shared" si="1"/>
        <v>(n): phép lịch sự</v>
      </c>
      <c r="I5173" s="6" t="s">
        <v>28210</v>
      </c>
      <c r="J5173" s="6" t="s">
        <v>28211</v>
      </c>
      <c r="K5173" s="7">
        <f t="shared" si="2"/>
        <v>0.4241164377</v>
      </c>
    </row>
    <row r="5174">
      <c r="A5174" s="4">
        <v>5174.0</v>
      </c>
      <c r="B5174" s="5" t="s">
        <v>28212</v>
      </c>
      <c r="C5174" s="5" t="s">
        <v>28213</v>
      </c>
      <c r="D5174" s="5" t="s">
        <v>28214</v>
      </c>
      <c r="E5174" s="6" t="s">
        <v>11</v>
      </c>
      <c r="F5174" s="6" t="s">
        <v>28215</v>
      </c>
      <c r="G5174" s="3" t="str">
        <f>IFERROR(__xludf.DUMMYFUNCTION("REGEXREPLACE(
D5174,
""([一-龯々]+)\[([^\]]+)\]"",
""&lt;ruby&gt;$1&lt;rt&gt;$2&lt;/rt&gt;&lt;/ruby&gt;""
)&amp;""&lt;br&gt;&lt;div class=""""audio""""&gt;[sound:""&amp;C5174&amp;"".mp3]&lt;/div&gt;"""),"&lt;ruby&gt;深刻&lt;rt&gt;しんこく&lt;/rt&gt;&lt;/ruby&gt;&lt;br&gt;&lt;div class=""audio""&gt;[sound:しんこく.mp3]&lt;/div&gt;")</f>
        <v>&lt;ruby&gt;深刻&lt;rt&gt;しんこく&lt;/rt&gt;&lt;/ruby&gt;&lt;br&gt;&lt;div class="audio"&gt;[sound:しんこく.mp3]&lt;/div&gt;</v>
      </c>
      <c r="H5174" s="3" t="str">
        <f t="shared" si="1"/>
        <v>(adj): nghiêm trọng</v>
      </c>
      <c r="I5174" s="6" t="s">
        <v>28216</v>
      </c>
      <c r="J5174" s="6" t="s">
        <v>28217</v>
      </c>
      <c r="K5174" s="7">
        <f t="shared" si="2"/>
        <v>0.1911421286</v>
      </c>
    </row>
    <row r="5175">
      <c r="A5175" s="4">
        <v>5175.0</v>
      </c>
      <c r="B5175" s="5" t="s">
        <v>28218</v>
      </c>
      <c r="C5175" s="5" t="s">
        <v>28219</v>
      </c>
      <c r="D5175" s="5" t="s">
        <v>28220</v>
      </c>
      <c r="E5175" s="6" t="s">
        <v>24</v>
      </c>
      <c r="F5175" s="6" t="s">
        <v>26692</v>
      </c>
      <c r="G5175" s="3" t="str">
        <f>IFERROR(__xludf.DUMMYFUNCTION("REGEXREPLACE(
D5175,
""([一-龯々]+)\[([^\]]+)\]"",
""&lt;ruby&gt;$1&lt;rt&gt;$2&lt;/rt&gt;&lt;/ruby&gt;""
)&amp;""&lt;br&gt;&lt;div class=""""audio""""&gt;[sound:""&amp;C5175&amp;"".mp3]&lt;/div&gt;"""),"&lt;ruby&gt;照&lt;rt&gt;て&lt;/rt&gt;&lt;/ruby&gt;らす&lt;br&gt;&lt;div class=""audio""&gt;[sound:てらす.mp3]&lt;/div&gt;")</f>
        <v>&lt;ruby&gt;照&lt;rt&gt;て&lt;/rt&gt;&lt;/ruby&gt;らす&lt;br&gt;&lt;div class="audio"&gt;[sound:てらす.mp3]&lt;/div&gt;</v>
      </c>
      <c r="H5175" s="3" t="str">
        <f t="shared" si="1"/>
        <v>(v): chiếu sáng</v>
      </c>
      <c r="I5175" s="6" t="s">
        <v>28221</v>
      </c>
      <c r="J5175" s="6" t="s">
        <v>28222</v>
      </c>
      <c r="K5175" s="7">
        <f t="shared" si="2"/>
        <v>0.4259468263</v>
      </c>
    </row>
    <row r="5176">
      <c r="A5176" s="4">
        <v>5176.0</v>
      </c>
      <c r="B5176" s="5" t="s">
        <v>28223</v>
      </c>
      <c r="C5176" s="5" t="s">
        <v>28224</v>
      </c>
      <c r="D5176" s="5" t="s">
        <v>28225</v>
      </c>
      <c r="E5176" s="6" t="s">
        <v>11</v>
      </c>
      <c r="F5176" s="6" t="s">
        <v>28226</v>
      </c>
      <c r="G5176" s="3" t="str">
        <f>IFERROR(__xludf.DUMMYFUNCTION("REGEXREPLACE(
D5176,
""([一-龯々]+)\[([^\]]+)\]"",
""&lt;ruby&gt;$1&lt;rt&gt;$2&lt;/rt&gt;&lt;/ruby&gt;""
)&amp;""&lt;br&gt;&lt;div class=""""audio""""&gt;[sound:""&amp;C5176&amp;"".mp3]&lt;/div&gt;"""),"&lt;ruby&gt;順調&lt;rt&gt;じゅんちょう&lt;/rt&gt;&lt;/ruby&gt;&lt;br&gt;&lt;div class=""audio""&gt;[sound:じゅんちょう.mp3]&lt;/div&gt;")</f>
        <v>&lt;ruby&gt;順調&lt;rt&gt;じゅんちょう&lt;/rt&gt;&lt;/ruby&gt;&lt;br&gt;&lt;div class="audio"&gt;[sound:じゅんちょう.mp3]&lt;/div&gt;</v>
      </c>
      <c r="H5176" s="3" t="str">
        <f t="shared" si="1"/>
        <v>(adj): thuận lợi</v>
      </c>
      <c r="I5176" s="6" t="s">
        <v>28227</v>
      </c>
      <c r="J5176" s="6" t="s">
        <v>28228</v>
      </c>
      <c r="K5176" s="7">
        <f t="shared" si="2"/>
        <v>0.3996895072</v>
      </c>
    </row>
    <row r="5177">
      <c r="A5177" s="4">
        <v>5177.0</v>
      </c>
      <c r="B5177" s="5" t="s">
        <v>28229</v>
      </c>
      <c r="C5177" s="5" t="s">
        <v>28230</v>
      </c>
      <c r="D5177" s="5" t="s">
        <v>28231</v>
      </c>
      <c r="E5177" s="6" t="s">
        <v>74</v>
      </c>
      <c r="F5177" s="6" t="s">
        <v>28232</v>
      </c>
      <c r="G5177" s="3" t="str">
        <f>IFERROR(__xludf.DUMMYFUNCTION("REGEXREPLACE(
D5177,
""([一-龯々]+)\[([^\]]+)\]"",
""&lt;ruby&gt;$1&lt;rt&gt;$2&lt;/rt&gt;&lt;/ruby&gt;""
)&amp;""&lt;br&gt;&lt;div class=""""audio""""&gt;[sound:""&amp;C5177&amp;"".mp3]&lt;/div&gt;"""),"&lt;ruby&gt;食物&lt;rt&gt;しょくもつ&lt;/rt&gt;&lt;/ruby&gt;&lt;br&gt;&lt;div class=""audio""&gt;[sound:しょくもつ.mp3]&lt;/div&gt;")</f>
        <v>&lt;ruby&gt;食物&lt;rt&gt;しょくもつ&lt;/rt&gt;&lt;/ruby&gt;&lt;br&gt;&lt;div class="audio"&gt;[sound:しょくもつ.mp3]&lt;/div&gt;</v>
      </c>
      <c r="H5177" s="3" t="str">
        <f t="shared" si="1"/>
        <v>(n): thức ăn</v>
      </c>
      <c r="I5177" s="6" t="s">
        <v>28233</v>
      </c>
      <c r="J5177" s="6" t="s">
        <v>28234</v>
      </c>
      <c r="K5177" s="7">
        <f t="shared" si="2"/>
        <v>0.4632417139</v>
      </c>
    </row>
    <row r="5178">
      <c r="A5178" s="4">
        <v>5178.0</v>
      </c>
      <c r="B5178" s="5" t="s">
        <v>28235</v>
      </c>
      <c r="C5178" s="5" t="s">
        <v>28236</v>
      </c>
      <c r="D5178" s="5" t="s">
        <v>28237</v>
      </c>
      <c r="E5178" s="6" t="s">
        <v>74</v>
      </c>
      <c r="F5178" s="6" t="s">
        <v>28238</v>
      </c>
      <c r="G5178" s="3" t="str">
        <f>IFERROR(__xludf.DUMMYFUNCTION("REGEXREPLACE(
D5178,
""([一-龯々]+)\[([^\]]+)\]"",
""&lt;ruby&gt;$1&lt;rt&gt;$2&lt;/rt&gt;&lt;/ruby&gt;""
)&amp;""&lt;br&gt;&lt;div class=""""audio""""&gt;[sound:""&amp;C5178&amp;"".mp3]&lt;/div&gt;"""),"&lt;ruby&gt;短所&lt;rt&gt;たんしょ&lt;/rt&gt;&lt;/ruby&gt;&lt;br&gt;&lt;div class=""audio""&gt;[sound:たんしょ.mp3]&lt;/div&gt;")</f>
        <v>&lt;ruby&gt;短所&lt;rt&gt;たんしょ&lt;/rt&gt;&lt;/ruby&gt;&lt;br&gt;&lt;div class="audio"&gt;[sound:たんしょ.mp3]&lt;/div&gt;</v>
      </c>
      <c r="H5178" s="3" t="str">
        <f t="shared" si="1"/>
        <v>(n): nhược điểm</v>
      </c>
      <c r="I5178" s="6" t="s">
        <v>28239</v>
      </c>
      <c r="J5178" s="6" t="s">
        <v>28240</v>
      </c>
      <c r="K5178" s="7">
        <f t="shared" si="2"/>
        <v>0.639169946</v>
      </c>
    </row>
    <row r="5179">
      <c r="A5179" s="4">
        <v>5179.0</v>
      </c>
      <c r="B5179" s="5" t="s">
        <v>28241</v>
      </c>
      <c r="C5179" s="5" t="s">
        <v>28242</v>
      </c>
      <c r="D5179" s="5" t="s">
        <v>28243</v>
      </c>
      <c r="E5179" s="6" t="s">
        <v>74</v>
      </c>
      <c r="F5179" s="6" t="s">
        <v>28244</v>
      </c>
      <c r="G5179" s="3" t="str">
        <f>IFERROR(__xludf.DUMMYFUNCTION("REGEXREPLACE(
D5179,
""([一-龯々]+)\[([^\]]+)\]"",
""&lt;ruby&gt;$1&lt;rt&gt;$2&lt;/rt&gt;&lt;/ruby&gt;""
)&amp;""&lt;br&gt;&lt;div class=""""audio""""&gt;[sound:""&amp;C5179&amp;"".mp3]&lt;/div&gt;"""),"&lt;ruby&gt;神話&lt;rt&gt;しんわ&lt;/rt&gt;&lt;/ruby&gt;&lt;br&gt;&lt;div class=""audio""&gt;[sound:しんわ.mp3]&lt;/div&gt;")</f>
        <v>&lt;ruby&gt;神話&lt;rt&gt;しんわ&lt;/rt&gt;&lt;/ruby&gt;&lt;br&gt;&lt;div class="audio"&gt;[sound:しんわ.mp3]&lt;/div&gt;</v>
      </c>
      <c r="H5179" s="3" t="str">
        <f t="shared" si="1"/>
        <v>(n): thần thoại</v>
      </c>
      <c r="I5179" s="6" t="s">
        <v>28245</v>
      </c>
      <c r="J5179" s="6" t="s">
        <v>28246</v>
      </c>
      <c r="K5179" s="7">
        <f t="shared" si="2"/>
        <v>0.5523527844</v>
      </c>
    </row>
    <row r="5180">
      <c r="A5180" s="4">
        <v>5180.0</v>
      </c>
      <c r="B5180" s="5" t="s">
        <v>28247</v>
      </c>
      <c r="C5180" s="5" t="s">
        <v>28247</v>
      </c>
      <c r="D5180" s="5" t="s">
        <v>28247</v>
      </c>
      <c r="E5180" s="6" t="s">
        <v>85</v>
      </c>
      <c r="F5180" s="6" t="s">
        <v>28248</v>
      </c>
      <c r="G5180" s="3" t="str">
        <f>IFERROR(__xludf.DUMMYFUNCTION("REGEXREPLACE(
D5180,
""([一-龯々]+)\[([^\]]+)\]"",
""&lt;ruby&gt;$1&lt;rt&gt;$2&lt;/rt&gt;&lt;/ruby&gt;""
)&amp;""&lt;br&gt;&lt;div class=""""audio""""&gt;[sound:""&amp;C5180&amp;"".mp3]&lt;/div&gt;"""),"しみじみ&lt;br&gt;&lt;div class=""audio""&gt;[sound:しみじみ.mp3]&lt;/div&gt;")</f>
        <v>しみじみ&lt;br&gt;&lt;div class="audio"&gt;[sound:しみじみ.mp3]&lt;/div&gt;</v>
      </c>
      <c r="H5180" s="3" t="str">
        <f t="shared" si="1"/>
        <v>(adv): thấm thía</v>
      </c>
      <c r="I5180" s="6" t="s">
        <v>28249</v>
      </c>
      <c r="J5180" s="6" t="s">
        <v>28250</v>
      </c>
      <c r="K5180" s="7">
        <f t="shared" si="2"/>
        <v>0.4857887498</v>
      </c>
    </row>
    <row r="5181">
      <c r="A5181" s="4">
        <v>5181.0</v>
      </c>
      <c r="B5181" s="5" t="s">
        <v>28251</v>
      </c>
      <c r="C5181" s="5" t="s">
        <v>28252</v>
      </c>
      <c r="D5181" s="5" t="s">
        <v>28253</v>
      </c>
      <c r="E5181" s="6" t="s">
        <v>74</v>
      </c>
      <c r="F5181" s="6" t="s">
        <v>28254</v>
      </c>
      <c r="G5181" s="3" t="str">
        <f>IFERROR(__xludf.DUMMYFUNCTION("REGEXREPLACE(
D5181,
""([一-龯々]+)\[([^\]]+)\]"",
""&lt;ruby&gt;$1&lt;rt&gt;$2&lt;/rt&gt;&lt;/ruby&gt;""
)&amp;""&lt;br&gt;&lt;div class=""""audio""""&gt;[sound:""&amp;C5181&amp;"".mp3]&lt;/div&gt;"""),"&lt;ruby&gt;官庁&lt;rt&gt;かんちょう&lt;/rt&gt;&lt;/ruby&gt;&lt;br&gt;&lt;div class=""audio""&gt;[sound:かんちょう.mp3]&lt;/div&gt;")</f>
        <v>&lt;ruby&gt;官庁&lt;rt&gt;かんちょう&lt;/rt&gt;&lt;/ruby&gt;&lt;br&gt;&lt;div class="audio"&gt;[sound:かんちょう.mp3]&lt;/div&gt;</v>
      </c>
      <c r="H5181" s="3" t="str">
        <f t="shared" si="1"/>
        <v>(n): cơ quan chính phủ</v>
      </c>
      <c r="I5181" s="6" t="s">
        <v>28255</v>
      </c>
      <c r="J5181" s="6" t="s">
        <v>28256</v>
      </c>
      <c r="K5181" s="7">
        <f t="shared" si="2"/>
        <v>0.4949143249</v>
      </c>
    </row>
    <row r="5182">
      <c r="A5182" s="4">
        <v>5182.0</v>
      </c>
      <c r="B5182" s="5" t="s">
        <v>28257</v>
      </c>
      <c r="C5182" s="5" t="s">
        <v>28258</v>
      </c>
      <c r="D5182" s="5" t="s">
        <v>28257</v>
      </c>
      <c r="E5182" s="6" t="s">
        <v>74</v>
      </c>
      <c r="F5182" s="6" t="s">
        <v>28259</v>
      </c>
      <c r="G5182" s="3" t="str">
        <f>IFERROR(__xludf.DUMMYFUNCTION("REGEXREPLACE(
D5182,
""([一-龯々]+)\[([^\]]+)\]"",
""&lt;ruby&gt;$1&lt;rt&gt;$2&lt;/rt&gt;&lt;/ruby&gt;""
)&amp;""&lt;br&gt;&lt;div class=""""audio""""&gt;[sound:""&amp;C5182&amp;"".mp3]&lt;/div&gt;"""),"ステレオ&lt;br&gt;&lt;div class=""audio""&gt;[sound:すてれお.mp3]&lt;/div&gt;")</f>
        <v>ステレオ&lt;br&gt;&lt;div class="audio"&gt;[sound:すてれお.mp3]&lt;/div&gt;</v>
      </c>
      <c r="H5182" s="3" t="str">
        <f t="shared" si="1"/>
        <v>(n): âm thanh nổi</v>
      </c>
      <c r="I5182" s="6" t="s">
        <v>28260</v>
      </c>
      <c r="J5182" s="6" t="s">
        <v>28261</v>
      </c>
      <c r="K5182" s="7">
        <f t="shared" si="2"/>
        <v>0.8572782609</v>
      </c>
    </row>
    <row r="5183">
      <c r="A5183" s="4">
        <v>5183.0</v>
      </c>
      <c r="B5183" s="5" t="s">
        <v>28262</v>
      </c>
      <c r="C5183" s="5" t="s">
        <v>28263</v>
      </c>
      <c r="D5183" s="5" t="s">
        <v>28264</v>
      </c>
      <c r="E5183" s="6" t="s">
        <v>74</v>
      </c>
      <c r="F5183" s="6" t="s">
        <v>22993</v>
      </c>
      <c r="G5183" s="3" t="str">
        <f>IFERROR(__xludf.DUMMYFUNCTION("REGEXREPLACE(
D5183,
""([一-龯々]+)\[([^\]]+)\]"",
""&lt;ruby&gt;$1&lt;rt&gt;$2&lt;/rt&gt;&lt;/ruby&gt;""
)&amp;""&lt;br&gt;&lt;div class=""""audio""""&gt;[sound:""&amp;C5183&amp;"".mp3]&lt;/div&gt;"""),"&lt;ruby&gt;差&lt;rt&gt;さ&lt;/rt&gt;&lt;/ruby&gt;し&lt;ruby&gt;引&lt;rt&gt;ひ&lt;/rt&gt;&lt;/ruby&gt;き&lt;br&gt;&lt;div class=""audio""&gt;[sound:さしひき.mp3]&lt;/div&gt;")</f>
        <v>&lt;ruby&gt;差&lt;rt&gt;さ&lt;/rt&gt;&lt;/ruby&gt;し&lt;ruby&gt;引&lt;rt&gt;ひ&lt;/rt&gt;&lt;/ruby&gt;き&lt;br&gt;&lt;div class="audio"&gt;[sound:さしひき.mp3]&lt;/div&gt;</v>
      </c>
      <c r="H5183" s="3" t="str">
        <f t="shared" si="1"/>
        <v>(n): khấu trừ</v>
      </c>
      <c r="I5183" s="6" t="s">
        <v>28265</v>
      </c>
      <c r="J5183" s="6" t="s">
        <v>28266</v>
      </c>
      <c r="K5183" s="7">
        <f t="shared" si="2"/>
        <v>0.6017606617</v>
      </c>
    </row>
    <row r="5184">
      <c r="A5184" s="4">
        <v>5184.0</v>
      </c>
      <c r="B5184" s="5" t="s">
        <v>28267</v>
      </c>
      <c r="C5184" s="5" t="s">
        <v>7177</v>
      </c>
      <c r="D5184" s="5" t="s">
        <v>28268</v>
      </c>
      <c r="E5184" s="6" t="s">
        <v>74</v>
      </c>
      <c r="F5184" s="6" t="s">
        <v>17165</v>
      </c>
      <c r="G5184" s="3" t="str">
        <f>IFERROR(__xludf.DUMMYFUNCTION("REGEXREPLACE(
D5184,
""([一-龯々]+)\[([^\]]+)\]"",
""&lt;ruby&gt;$1&lt;rt&gt;$2&lt;/rt&gt;&lt;/ruby&gt;""
)&amp;""&lt;br&gt;&lt;div class=""""audio""""&gt;[sound:""&amp;C5184&amp;"".mp3]&lt;/div&gt;"""),"&lt;ruby&gt;器官&lt;rt&gt;きかん&lt;/rt&gt;&lt;/ruby&gt;&lt;br&gt;&lt;div class=""audio""&gt;[sound:きかん.mp3]&lt;/div&gt;")</f>
        <v>&lt;ruby&gt;器官&lt;rt&gt;きかん&lt;/rt&gt;&lt;/ruby&gt;&lt;br&gt;&lt;div class="audio"&gt;[sound:きかん.mp3]&lt;/div&gt;</v>
      </c>
      <c r="H5184" s="3" t="str">
        <f t="shared" si="1"/>
        <v>(n): cơ quan</v>
      </c>
      <c r="I5184" s="6" t="s">
        <v>28269</v>
      </c>
      <c r="J5184" s="6" t="s">
        <v>28270</v>
      </c>
      <c r="K5184" s="7">
        <f t="shared" si="2"/>
        <v>0.04759017503</v>
      </c>
    </row>
    <row r="5185">
      <c r="A5185" s="4">
        <v>5185.0</v>
      </c>
      <c r="B5185" s="5" t="s">
        <v>28271</v>
      </c>
      <c r="C5185" s="5" t="s">
        <v>28272</v>
      </c>
      <c r="D5185" s="5" t="s">
        <v>28273</v>
      </c>
      <c r="E5185" s="6" t="s">
        <v>74</v>
      </c>
      <c r="F5185" s="6" t="s">
        <v>28274</v>
      </c>
      <c r="G5185" s="3" t="str">
        <f>IFERROR(__xludf.DUMMYFUNCTION("REGEXREPLACE(
D5185,
""([一-龯々]+)\[([^\]]+)\]"",
""&lt;ruby&gt;$1&lt;rt&gt;$2&lt;/rt&gt;&lt;/ruby&gt;""
)&amp;""&lt;br&gt;&lt;div class=""""audio""""&gt;[sound:""&amp;C5185&amp;"".mp3]&lt;/div&gt;"""),"&lt;ruby&gt;図表&lt;rt&gt;ずひょう&lt;/rt&gt;&lt;/ruby&gt;&lt;br&gt;&lt;div class=""audio""&gt;[sound:ずひょう.mp3]&lt;/div&gt;")</f>
        <v>&lt;ruby&gt;図表&lt;rt&gt;ずひょう&lt;/rt&gt;&lt;/ruby&gt;&lt;br&gt;&lt;div class="audio"&gt;[sound:ずひょう.mp3]&lt;/div&gt;</v>
      </c>
      <c r="H5185" s="3" t="str">
        <f t="shared" si="1"/>
        <v>(n): biểu đồ</v>
      </c>
      <c r="I5185" s="6" t="s">
        <v>28275</v>
      </c>
      <c r="J5185" s="6" t="s">
        <v>28276</v>
      </c>
      <c r="K5185" s="7">
        <f t="shared" si="2"/>
        <v>0.6148401973</v>
      </c>
    </row>
    <row r="5186">
      <c r="A5186" s="4">
        <v>5186.0</v>
      </c>
      <c r="B5186" s="5" t="s">
        <v>28277</v>
      </c>
      <c r="C5186" s="5" t="s">
        <v>28278</v>
      </c>
      <c r="D5186" s="5" t="s">
        <v>28279</v>
      </c>
      <c r="E5186" s="6" t="s">
        <v>74</v>
      </c>
      <c r="F5186" s="6" t="s">
        <v>28280</v>
      </c>
      <c r="G5186" s="3" t="str">
        <f>IFERROR(__xludf.DUMMYFUNCTION("REGEXREPLACE(
D5186,
""([一-龯々]+)\[([^\]]+)\]"",
""&lt;ruby&gt;$1&lt;rt&gt;$2&lt;/rt&gt;&lt;/ruby&gt;""
)&amp;""&lt;br&gt;&lt;div class=""""audio""""&gt;[sound:""&amp;C5186&amp;"".mp3]&lt;/div&gt;"""),"&lt;ruby&gt;泥棒&lt;rt&gt;どろぼう&lt;/rt&gt;&lt;/ruby&gt;&lt;br&gt;&lt;div class=""audio""&gt;[sound:どろぼう.mp3]&lt;/div&gt;")</f>
        <v>&lt;ruby&gt;泥棒&lt;rt&gt;どろぼう&lt;/rt&gt;&lt;/ruby&gt;&lt;br&gt;&lt;div class="audio"&gt;[sound:どろぼう.mp3]&lt;/div&gt;</v>
      </c>
      <c r="H5186" s="3" t="str">
        <f t="shared" si="1"/>
        <v>(n): kẻ trộm</v>
      </c>
      <c r="I5186" s="6" t="s">
        <v>28281</v>
      </c>
      <c r="J5186" s="6" t="s">
        <v>28282</v>
      </c>
      <c r="K5186" s="7">
        <f t="shared" si="2"/>
        <v>0.6418367167</v>
      </c>
    </row>
    <row r="5187">
      <c r="A5187" s="4">
        <v>5187.0</v>
      </c>
      <c r="B5187" s="5" t="s">
        <v>28283</v>
      </c>
      <c r="C5187" s="5" t="s">
        <v>28284</v>
      </c>
      <c r="D5187" s="5" t="s">
        <v>28285</v>
      </c>
      <c r="E5187" s="6" t="s">
        <v>74</v>
      </c>
      <c r="F5187" s="6" t="s">
        <v>28286</v>
      </c>
      <c r="G5187" s="3" t="str">
        <f>IFERROR(__xludf.DUMMYFUNCTION("REGEXREPLACE(
D5187,
""([一-龯々]+)\[([^\]]+)\]"",
""&lt;ruby&gt;$1&lt;rt&gt;$2&lt;/rt&gt;&lt;/ruby&gt;""
)&amp;""&lt;br&gt;&lt;div class=""""audio""""&gt;[sound:""&amp;C5187&amp;"".mp3]&lt;/div&gt;"""),"&lt;ruby&gt;食堂&lt;rt&gt;しょくどう&lt;/rt&gt;&lt;/ruby&gt;&lt;br&gt;&lt;div class=""audio""&gt;[sound:しょくどう.mp3]&lt;/div&gt;")</f>
        <v>&lt;ruby&gt;食堂&lt;rt&gt;しょくどう&lt;/rt&gt;&lt;/ruby&gt;&lt;br&gt;&lt;div class="audio"&gt;[sound:しょくどう.mp3]&lt;/div&gt;</v>
      </c>
      <c r="H5187" s="3" t="str">
        <f t="shared" si="1"/>
        <v>(n): nhà ăn</v>
      </c>
      <c r="I5187" s="6" t="s">
        <v>28287</v>
      </c>
      <c r="J5187" s="6" t="s">
        <v>28288</v>
      </c>
      <c r="K5187" s="7">
        <f t="shared" si="2"/>
        <v>0.4610903319</v>
      </c>
    </row>
    <row r="5188">
      <c r="A5188" s="4">
        <v>5188.0</v>
      </c>
      <c r="B5188" s="5" t="s">
        <v>28289</v>
      </c>
      <c r="C5188" s="5" t="s">
        <v>26612</v>
      </c>
      <c r="D5188" s="5" t="s">
        <v>28290</v>
      </c>
      <c r="E5188" s="6" t="s">
        <v>74</v>
      </c>
      <c r="F5188" s="6" t="s">
        <v>28291</v>
      </c>
      <c r="G5188" s="3" t="str">
        <f>IFERROR(__xludf.DUMMYFUNCTION("REGEXREPLACE(
D5188,
""([一-龯々]+)\[([^\]]+)\]"",
""&lt;ruby&gt;$1&lt;rt&gt;$2&lt;/rt&gt;&lt;/ruby&gt;""
)&amp;""&lt;br&gt;&lt;div class=""""audio""""&gt;[sound:""&amp;C5188&amp;"".mp3]&lt;/div&gt;"""),"&lt;ruby&gt;成年&lt;rt&gt;せいねん&lt;/rt&gt;&lt;/ruby&gt;&lt;br&gt;&lt;div class=""audio""&gt;[sound:せいねん.mp3]&lt;/div&gt;")</f>
        <v>&lt;ruby&gt;成年&lt;rt&gt;せいねん&lt;/rt&gt;&lt;/ruby&gt;&lt;br&gt;&lt;div class="audio"&gt;[sound:せいねん.mp3]&lt;/div&gt;</v>
      </c>
      <c r="H5188" s="3" t="str">
        <f t="shared" si="1"/>
        <v>(n): người thành niên</v>
      </c>
      <c r="I5188" s="6" t="s">
        <v>28292</v>
      </c>
      <c r="J5188" s="6" t="s">
        <v>28293</v>
      </c>
      <c r="K5188" s="7">
        <f t="shared" si="2"/>
        <v>0.3250699373</v>
      </c>
    </row>
    <row r="5189">
      <c r="A5189" s="4">
        <v>5189.0</v>
      </c>
      <c r="B5189" s="5" t="s">
        <v>28294</v>
      </c>
      <c r="C5189" s="5" t="s">
        <v>28295</v>
      </c>
      <c r="D5189" s="5" t="s">
        <v>28296</v>
      </c>
      <c r="E5189" s="6" t="s">
        <v>74</v>
      </c>
      <c r="F5189" s="6" t="s">
        <v>28297</v>
      </c>
      <c r="G5189" s="3" t="str">
        <f>IFERROR(__xludf.DUMMYFUNCTION("REGEXREPLACE(
D5189,
""([一-龯々]+)\[([^\]]+)\]"",
""&lt;ruby&gt;$1&lt;rt&gt;$2&lt;/rt&gt;&lt;/ruby&gt;""
)&amp;""&lt;br&gt;&lt;div class=""""audio""""&gt;[sound:""&amp;C5189&amp;"".mp3]&lt;/div&gt;"""),"&lt;ruby&gt;応接&lt;rt&gt;おうせつ&lt;/rt&gt;&lt;/ruby&gt;&lt;br&gt;&lt;div class=""audio""&gt;[sound:おうせつ.mp3]&lt;/div&gt;")</f>
        <v>&lt;ruby&gt;応接&lt;rt&gt;おうせつ&lt;/rt&gt;&lt;/ruby&gt;&lt;br&gt;&lt;div class="audio"&gt;[sound:おうせつ.mp3]&lt;/div&gt;</v>
      </c>
      <c r="H5189" s="3" t="str">
        <f t="shared" si="1"/>
        <v>(n): tiếp khách</v>
      </c>
      <c r="I5189" s="6" t="s">
        <v>28298</v>
      </c>
      <c r="J5189" s="6" t="s">
        <v>28299</v>
      </c>
      <c r="K5189" s="7">
        <f t="shared" si="2"/>
        <v>0.5533409556</v>
      </c>
    </row>
    <row r="5190">
      <c r="A5190" s="4">
        <v>5190.0</v>
      </c>
      <c r="B5190" s="5" t="s">
        <v>28300</v>
      </c>
      <c r="C5190" s="5" t="s">
        <v>28301</v>
      </c>
      <c r="D5190" s="5" t="s">
        <v>28302</v>
      </c>
      <c r="E5190" s="6" t="s">
        <v>74</v>
      </c>
      <c r="F5190" s="6" t="s">
        <v>28303</v>
      </c>
      <c r="G5190" s="3" t="str">
        <f>IFERROR(__xludf.DUMMYFUNCTION("REGEXREPLACE(
D5190,
""([一-龯々]+)\[([^\]]+)\]"",
""&lt;ruby&gt;$1&lt;rt&gt;$2&lt;/rt&gt;&lt;/ruby&gt;""
)&amp;""&lt;br&gt;&lt;div class=""""audio""""&gt;[sound:""&amp;C5190&amp;"".mp3]&lt;/div&gt;"""),"&lt;ruby&gt;筆&lt;rt&gt;ふで&lt;/rt&gt;&lt;/ruby&gt;&lt;br&gt;&lt;div class=""audio""&gt;[sound:ふで.mp3]&lt;/div&gt;")</f>
        <v>&lt;ruby&gt;筆&lt;rt&gt;ふで&lt;/rt&gt;&lt;/ruby&gt;&lt;br&gt;&lt;div class="audio"&gt;[sound:ふで.mp3]&lt;/div&gt;</v>
      </c>
      <c r="H5190" s="3" t="str">
        <f t="shared" si="1"/>
        <v>(n): bút lông</v>
      </c>
      <c r="I5190" s="6" t="s">
        <v>28304</v>
      </c>
      <c r="J5190" s="6" t="s">
        <v>28305</v>
      </c>
      <c r="K5190" s="7">
        <f t="shared" si="2"/>
        <v>0.7413904104</v>
      </c>
    </row>
    <row r="5191">
      <c r="A5191" s="4">
        <v>5191.0</v>
      </c>
      <c r="B5191" s="5" t="s">
        <v>28306</v>
      </c>
      <c r="C5191" s="5" t="s">
        <v>28307</v>
      </c>
      <c r="D5191" s="5" t="s">
        <v>28308</v>
      </c>
      <c r="E5191" s="6" t="s">
        <v>74</v>
      </c>
      <c r="F5191" s="6" t="s">
        <v>28309</v>
      </c>
      <c r="G5191" s="3" t="str">
        <f>IFERROR(__xludf.DUMMYFUNCTION("REGEXREPLACE(
D5191,
""([一-龯々]+)\[([^\]]+)\]"",
""&lt;ruby&gt;$1&lt;rt&gt;$2&lt;/rt&gt;&lt;/ruby&gt;""
)&amp;""&lt;br&gt;&lt;div class=""""audio""""&gt;[sound:""&amp;C5191&amp;"".mp3]&lt;/div&gt;"""),"&lt;ruby&gt;定員&lt;rt&gt;ていいん&lt;/rt&gt;&lt;/ruby&gt;&lt;br&gt;&lt;div class=""audio""&gt;[sound:ていいん.mp3]&lt;/div&gt;")</f>
        <v>&lt;ruby&gt;定員&lt;rt&gt;ていいん&lt;/rt&gt;&lt;/ruby&gt;&lt;br&gt;&lt;div class="audio"&gt;[sound:ていいん.mp3]&lt;/div&gt;</v>
      </c>
      <c r="H5191" s="3" t="str">
        <f t="shared" si="1"/>
        <v>(n): số người định sẵn</v>
      </c>
      <c r="I5191" s="6" t="s">
        <v>28310</v>
      </c>
      <c r="J5191" s="6" t="s">
        <v>28311</v>
      </c>
      <c r="K5191" s="7">
        <f t="shared" si="2"/>
        <v>0.1881422542</v>
      </c>
    </row>
    <row r="5192">
      <c r="A5192" s="4">
        <v>5192.0</v>
      </c>
      <c r="B5192" s="5" t="s">
        <v>28312</v>
      </c>
      <c r="C5192" s="5" t="s">
        <v>28313</v>
      </c>
      <c r="D5192" s="5" t="s">
        <v>28314</v>
      </c>
      <c r="E5192" s="6" t="s">
        <v>74</v>
      </c>
      <c r="F5192" s="6" t="s">
        <v>28315</v>
      </c>
      <c r="G5192" s="3" t="str">
        <f>IFERROR(__xludf.DUMMYFUNCTION("REGEXREPLACE(
D5192,
""([一-龯々]+)\[([^\]]+)\]"",
""&lt;ruby&gt;$1&lt;rt&gt;$2&lt;/rt&gt;&lt;/ruby&gt;""
)&amp;""&lt;br&gt;&lt;div class=""""audio""""&gt;[sound:""&amp;C5192&amp;"".mp3]&lt;/div&gt;"""),"&lt;ruby&gt;座敷&lt;rt&gt;ざしき&lt;/rt&gt;&lt;/ruby&gt;&lt;br&gt;&lt;div class=""audio""&gt;[sound:ざしき.mp3]&lt;/div&gt;")</f>
        <v>&lt;ruby&gt;座敷&lt;rt&gt;ざしき&lt;/rt&gt;&lt;/ruby&gt;&lt;br&gt;&lt;div class="audio"&gt;[sound:ざしき.mp3]&lt;/div&gt;</v>
      </c>
      <c r="H5192" s="3" t="str">
        <f t="shared" si="1"/>
        <v>(n): phòng trải chiếu</v>
      </c>
      <c r="I5192" s="6" t="s">
        <v>28316</v>
      </c>
      <c r="J5192" s="6" t="s">
        <v>28317</v>
      </c>
      <c r="K5192" s="7">
        <f t="shared" si="2"/>
        <v>0.3749595378</v>
      </c>
    </row>
    <row r="5193">
      <c r="A5193" s="4">
        <v>5193.0</v>
      </c>
      <c r="B5193" s="5" t="s">
        <v>28318</v>
      </c>
      <c r="C5193" s="5" t="s">
        <v>28318</v>
      </c>
      <c r="D5193" s="5" t="s">
        <v>28318</v>
      </c>
      <c r="E5193" s="6" t="s">
        <v>85</v>
      </c>
      <c r="F5193" s="6" t="s">
        <v>28319</v>
      </c>
      <c r="G5193" s="3" t="str">
        <f>IFERROR(__xludf.DUMMYFUNCTION("REGEXREPLACE(
D5193,
""([一-龯々]+)\[([^\]]+)\]"",
""&lt;ruby&gt;$1&lt;rt&gt;$2&lt;/rt&gt;&lt;/ruby&gt;""
)&amp;""&lt;br&gt;&lt;div class=""""audio""""&gt;[sound:""&amp;C5193&amp;"".mp3]&lt;/div&gt;"""),"ぴたり&lt;br&gt;&lt;div class=""audio""&gt;[sound:ぴたり.mp3]&lt;/div&gt;")</f>
        <v>ぴたり&lt;br&gt;&lt;div class="audio"&gt;[sound:ぴたり.mp3]&lt;/div&gt;</v>
      </c>
      <c r="H5193" s="3" t="str">
        <f t="shared" si="1"/>
        <v>(adv): đột ngột dừng</v>
      </c>
      <c r="I5193" s="6" t="s">
        <v>28320</v>
      </c>
      <c r="J5193" s="6" t="s">
        <v>28321</v>
      </c>
      <c r="K5193" s="7">
        <f t="shared" si="2"/>
        <v>0.7854081814</v>
      </c>
    </row>
    <row r="5194">
      <c r="A5194" s="4">
        <v>5194.0</v>
      </c>
      <c r="B5194" s="5" t="s">
        <v>28322</v>
      </c>
      <c r="C5194" s="5" t="s">
        <v>28323</v>
      </c>
      <c r="D5194" s="5" t="s">
        <v>28324</v>
      </c>
      <c r="E5194" s="6" t="s">
        <v>74</v>
      </c>
      <c r="F5194" s="6" t="s">
        <v>28325</v>
      </c>
      <c r="G5194" s="3" t="str">
        <f>IFERROR(__xludf.DUMMYFUNCTION("REGEXREPLACE(
D5194,
""([一-龯々]+)\[([^\]]+)\]"",
""&lt;ruby&gt;$1&lt;rt&gt;$2&lt;/rt&gt;&lt;/ruby&gt;""
)&amp;""&lt;br&gt;&lt;div class=""""audio""""&gt;[sound:""&amp;C5194&amp;"".mp3]&lt;/div&gt;"""),"&lt;ruby&gt;税関&lt;rt&gt;ぜいかん&lt;/rt&gt;&lt;/ruby&gt;&lt;br&gt;&lt;div class=""audio""&gt;[sound:ぜいかん.mp3]&lt;/div&gt;")</f>
        <v>&lt;ruby&gt;税関&lt;rt&gt;ぜいかん&lt;/rt&gt;&lt;/ruby&gt;&lt;br&gt;&lt;div class="audio"&gt;[sound:ぜいかん.mp3]&lt;/div&gt;</v>
      </c>
      <c r="H5194" s="3" t="str">
        <f t="shared" si="1"/>
        <v>(n): hải quan</v>
      </c>
      <c r="I5194" s="6" t="s">
        <v>28326</v>
      </c>
      <c r="J5194" s="6" t="s">
        <v>28327</v>
      </c>
      <c r="K5194" s="7">
        <f t="shared" si="2"/>
        <v>0.08851010815</v>
      </c>
    </row>
    <row r="5195">
      <c r="A5195" s="4">
        <v>5195.0</v>
      </c>
      <c r="B5195" s="5" t="s">
        <v>28328</v>
      </c>
      <c r="C5195" s="5" t="s">
        <v>28329</v>
      </c>
      <c r="D5195" s="5" t="s">
        <v>28330</v>
      </c>
      <c r="E5195" s="6" t="s">
        <v>24</v>
      </c>
      <c r="F5195" s="6" t="s">
        <v>28331</v>
      </c>
      <c r="G5195" s="3" t="str">
        <f>IFERROR(__xludf.DUMMYFUNCTION("REGEXREPLACE(
D5195,
""([一-龯々]+)\[([^\]]+)\]"",
""&lt;ruby&gt;$1&lt;rt&gt;$2&lt;/rt&gt;&lt;/ruby&gt;""
)&amp;""&lt;br&gt;&lt;div class=""""audio""""&gt;[sound:""&amp;C5195&amp;"".mp3]&lt;/div&gt;"""),"&lt;ruby&gt;騙&lt;rt&gt;だま&lt;/rt&gt;&lt;/ruby&gt;す&lt;br&gt;&lt;div class=""audio""&gt;[sound:だます.mp3]&lt;/div&gt;")</f>
        <v>&lt;ruby&gt;騙&lt;rt&gt;だま&lt;/rt&gt;&lt;/ruby&gt;す&lt;br&gt;&lt;div class="audio"&gt;[sound:だます.mp3]&lt;/div&gt;</v>
      </c>
      <c r="H5195" s="3" t="str">
        <f t="shared" si="1"/>
        <v>(v): lừa gạt</v>
      </c>
      <c r="I5195" s="6" t="s">
        <v>28332</v>
      </c>
      <c r="J5195" s="6" t="s">
        <v>28333</v>
      </c>
      <c r="K5195" s="7">
        <f t="shared" si="2"/>
        <v>0.3295016335</v>
      </c>
    </row>
    <row r="5196">
      <c r="A5196" s="4">
        <v>5196.0</v>
      </c>
      <c r="B5196" s="5" t="s">
        <v>28334</v>
      </c>
      <c r="C5196" s="5" t="s">
        <v>28335</v>
      </c>
      <c r="D5196" s="5" t="s">
        <v>28336</v>
      </c>
      <c r="E5196" s="6" t="s">
        <v>74</v>
      </c>
      <c r="F5196" s="6" t="s">
        <v>8974</v>
      </c>
      <c r="G5196" s="3" t="str">
        <f>IFERROR(__xludf.DUMMYFUNCTION("REGEXREPLACE(
D5196,
""([一-龯々]+)\[([^\]]+)\]"",
""&lt;ruby&gt;$1&lt;rt&gt;$2&lt;/rt&gt;&lt;/ruby&gt;""
)&amp;""&lt;br&gt;&lt;div class=""""audio""""&gt;[sound:""&amp;C5196&amp;"".mp3]&lt;/div&gt;"""),"&lt;ruby&gt;課税&lt;rt&gt;かぜい&lt;/rt&gt;&lt;/ruby&gt;&lt;br&gt;&lt;div class=""audio""&gt;[sound:かぜい.mp3]&lt;/div&gt;")</f>
        <v>&lt;ruby&gt;課税&lt;rt&gt;かぜい&lt;/rt&gt;&lt;/ruby&gt;&lt;br&gt;&lt;div class="audio"&gt;[sound:かぜい.mp3]&lt;/div&gt;</v>
      </c>
      <c r="H5196" s="3" t="str">
        <f t="shared" si="1"/>
        <v>(n): thuế</v>
      </c>
      <c r="I5196" s="6" t="s">
        <v>28337</v>
      </c>
      <c r="J5196" s="6" t="s">
        <v>28338</v>
      </c>
      <c r="K5196" s="7">
        <f t="shared" si="2"/>
        <v>0.2227909387</v>
      </c>
    </row>
    <row r="5197">
      <c r="A5197" s="4">
        <v>5197.0</v>
      </c>
      <c r="B5197" s="5" t="s">
        <v>28339</v>
      </c>
      <c r="C5197" s="5" t="s">
        <v>28340</v>
      </c>
      <c r="D5197" s="5" t="s">
        <v>28341</v>
      </c>
      <c r="E5197" s="6" t="s">
        <v>74</v>
      </c>
      <c r="F5197" s="6" t="s">
        <v>28342</v>
      </c>
      <c r="G5197" s="3" t="str">
        <f>IFERROR(__xludf.DUMMYFUNCTION("REGEXREPLACE(
D5197,
""([一-龯々]+)\[([^\]]+)\]"",
""&lt;ruby&gt;$1&lt;rt&gt;$2&lt;/rt&gt;&lt;/ruby&gt;""
)&amp;""&lt;br&gt;&lt;div class=""""audio""""&gt;[sound:""&amp;C5197&amp;"".mp3]&lt;/div&gt;"""),"&lt;ruby&gt;衣食住&lt;rt&gt;いしょくじゅう&lt;/rt&gt;&lt;/ruby&gt;&lt;br&gt;&lt;div class=""audio""&gt;[sound:いしょくじゅう.mp3]&lt;/div&gt;")</f>
        <v>&lt;ruby&gt;衣食住&lt;rt&gt;いしょくじゅう&lt;/rt&gt;&lt;/ruby&gt;&lt;br&gt;&lt;div class="audio"&gt;[sound:いしょくじゅう.mp3]&lt;/div&gt;</v>
      </c>
      <c r="H5197" s="3" t="str">
        <f t="shared" si="1"/>
        <v>(n): nhu cầu cơ bản</v>
      </c>
      <c r="I5197" s="6" t="s">
        <v>28343</v>
      </c>
      <c r="J5197" s="6" t="s">
        <v>28344</v>
      </c>
      <c r="K5197" s="7">
        <f t="shared" si="2"/>
        <v>0.1685561915</v>
      </c>
    </row>
    <row r="5198">
      <c r="A5198" s="4">
        <v>5198.0</v>
      </c>
      <c r="B5198" s="5" t="s">
        <v>28345</v>
      </c>
      <c r="C5198" s="5" t="s">
        <v>28346</v>
      </c>
      <c r="D5198" s="5" t="s">
        <v>28347</v>
      </c>
      <c r="E5198" s="6" t="s">
        <v>74</v>
      </c>
      <c r="F5198" s="6" t="s">
        <v>28348</v>
      </c>
      <c r="G5198" s="3" t="str">
        <f>IFERROR(__xludf.DUMMYFUNCTION("REGEXREPLACE(
D5198,
""([一-龯々]+)\[([^\]]+)\]"",
""&lt;ruby&gt;$1&lt;rt&gt;$2&lt;/rt&gt;&lt;/ruby&gt;""
)&amp;""&lt;br&gt;&lt;div class=""""audio""""&gt;[sound:""&amp;C5198&amp;"".mp3]&lt;/div&gt;"""),"&lt;ruby&gt;実例&lt;rt&gt;じつれい&lt;/rt&gt;&lt;/ruby&gt;&lt;br&gt;&lt;div class=""audio""&gt;[sound:じつれい.mp3]&lt;/div&gt;")</f>
        <v>&lt;ruby&gt;実例&lt;rt&gt;じつれい&lt;/rt&gt;&lt;/ruby&gt;&lt;br&gt;&lt;div class="audio"&gt;[sound:じつれい.mp3]&lt;/div&gt;</v>
      </c>
      <c r="H5198" s="3" t="str">
        <f t="shared" si="1"/>
        <v>(n): ví dụ thực tế</v>
      </c>
      <c r="I5198" s="6" t="s">
        <v>28349</v>
      </c>
      <c r="J5198" s="6" t="s">
        <v>28350</v>
      </c>
      <c r="K5198" s="7">
        <f t="shared" si="2"/>
        <v>0.6150515246</v>
      </c>
    </row>
    <row r="5199">
      <c r="A5199" s="4">
        <v>5199.0</v>
      </c>
      <c r="B5199" s="5" t="s">
        <v>28351</v>
      </c>
      <c r="C5199" s="5" t="s">
        <v>28352</v>
      </c>
      <c r="D5199" s="5" t="s">
        <v>28353</v>
      </c>
      <c r="E5199" s="6" t="s">
        <v>74</v>
      </c>
      <c r="F5199" s="6" t="s">
        <v>28354</v>
      </c>
      <c r="G5199" s="3" t="str">
        <f>IFERROR(__xludf.DUMMYFUNCTION("REGEXREPLACE(
D5199,
""([一-龯々]+)\[([^\]]+)\]"",
""&lt;ruby&gt;$1&lt;rt&gt;$2&lt;/rt&gt;&lt;/ruby&gt;""
)&amp;""&lt;br&gt;&lt;div class=""""audio""""&gt;[sound:""&amp;C5199&amp;"".mp3]&lt;/div&gt;"""),"&lt;ruby&gt;永遠&lt;rt&gt;えいえん&lt;/rt&gt;&lt;/ruby&gt;&lt;br&gt;&lt;div class=""audio""&gt;[sound:えいえん.mp3]&lt;/div&gt;")</f>
        <v>&lt;ruby&gt;永遠&lt;rt&gt;えいえん&lt;/rt&gt;&lt;/ruby&gt;&lt;br&gt;&lt;div class="audio"&gt;[sound:えいえん.mp3]&lt;/div&gt;</v>
      </c>
      <c r="H5199" s="3" t="str">
        <f t="shared" si="1"/>
        <v>(n): vĩnh viễn</v>
      </c>
      <c r="I5199" s="6" t="s">
        <v>28355</v>
      </c>
      <c r="J5199" s="6" t="s">
        <v>28356</v>
      </c>
      <c r="K5199" s="7">
        <f t="shared" si="2"/>
        <v>0.0242521395</v>
      </c>
    </row>
    <row r="5200">
      <c r="A5200" s="4">
        <v>5200.0</v>
      </c>
      <c r="B5200" s="5" t="s">
        <v>28357</v>
      </c>
      <c r="C5200" s="5" t="s">
        <v>28358</v>
      </c>
      <c r="D5200" s="5" t="s">
        <v>28359</v>
      </c>
      <c r="E5200" s="6" t="s">
        <v>74</v>
      </c>
      <c r="F5200" s="6" t="s">
        <v>28360</v>
      </c>
      <c r="G5200" s="3" t="str">
        <f>IFERROR(__xludf.DUMMYFUNCTION("REGEXREPLACE(
D5200,
""([一-龯々]+)\[([^\]]+)\]"",
""&lt;ruby&gt;$1&lt;rt&gt;$2&lt;/rt&gt;&lt;/ruby&gt;""
)&amp;""&lt;br&gt;&lt;div class=""""audio""""&gt;[sound:""&amp;C5200&amp;"".mp3]&lt;/div&gt;"""),"&lt;ruby&gt;水平&lt;rt&gt;すいへい&lt;/rt&gt;&lt;/ruby&gt;&lt;br&gt;&lt;div class=""audio""&gt;[sound:すいへい.mp3]&lt;/div&gt;")</f>
        <v>&lt;ruby&gt;水平&lt;rt&gt;すいへい&lt;/rt&gt;&lt;/ruby&gt;&lt;br&gt;&lt;div class="audio"&gt;[sound:すいへい.mp3]&lt;/div&gt;</v>
      </c>
      <c r="H5200" s="3" t="str">
        <f t="shared" si="1"/>
        <v>(n): đường chân trời</v>
      </c>
      <c r="I5200" s="6" t="s">
        <v>28361</v>
      </c>
      <c r="J5200" s="6" t="s">
        <v>28362</v>
      </c>
      <c r="K5200" s="7">
        <f t="shared" si="2"/>
        <v>0.1973042196</v>
      </c>
    </row>
    <row r="5201">
      <c r="A5201" s="4">
        <v>5201.0</v>
      </c>
      <c r="B5201" s="5" t="s">
        <v>28363</v>
      </c>
      <c r="C5201" s="5" t="s">
        <v>28364</v>
      </c>
      <c r="D5201" s="5" t="s">
        <v>28365</v>
      </c>
      <c r="E5201" s="6" t="s">
        <v>85</v>
      </c>
      <c r="F5201" s="6" t="s">
        <v>17367</v>
      </c>
      <c r="G5201" s="3" t="str">
        <f>IFERROR(__xludf.DUMMYFUNCTION("REGEXREPLACE(
D5201,
""([一-龯々]+)\[([^\]]+)\]"",
""&lt;ruby&gt;$1&lt;rt&gt;$2&lt;/rt&gt;&lt;/ruby&gt;""
)&amp;""&lt;br&gt;&lt;div class=""""audio""""&gt;[sound:""&amp;C5201&amp;"".mp3]&lt;/div&gt;"""),"&lt;ruby&gt;近々&lt;rt&gt;ちかぢか&lt;/rt&gt;&lt;/ruby&gt;&lt;br&gt;&lt;div class=""audio""&gt;[sound:ちかぢか.mp3]&lt;/div&gt;")</f>
        <v>&lt;ruby&gt;近々&lt;rt&gt;ちかぢか&lt;/rt&gt;&lt;/ruby&gt;&lt;br&gt;&lt;div class="audio"&gt;[sound:ちかぢか.mp3]&lt;/div&gt;</v>
      </c>
      <c r="H5201" s="3" t="str">
        <f t="shared" si="1"/>
        <v>(adv): sắp tới</v>
      </c>
      <c r="I5201" s="6" t="s">
        <v>28366</v>
      </c>
      <c r="J5201" s="6" t="s">
        <v>28367</v>
      </c>
      <c r="K5201" s="7">
        <f t="shared" si="2"/>
        <v>0.5768878408</v>
      </c>
    </row>
    <row r="5202">
      <c r="A5202" s="4">
        <v>5202.0</v>
      </c>
      <c r="B5202" s="5" t="s">
        <v>28368</v>
      </c>
      <c r="C5202" s="5" t="s">
        <v>28368</v>
      </c>
      <c r="D5202" s="5" t="s">
        <v>28368</v>
      </c>
      <c r="E5202" s="6" t="s">
        <v>85</v>
      </c>
      <c r="F5202" s="6" t="s">
        <v>28369</v>
      </c>
      <c r="G5202" s="3" t="str">
        <f>IFERROR(__xludf.DUMMYFUNCTION("REGEXREPLACE(
D5202,
""([一-龯々]+)\[([^\]]+)\]"",
""&lt;ruby&gt;$1&lt;rt&gt;$2&lt;/rt&gt;&lt;/ruby&gt;""
)&amp;""&lt;br&gt;&lt;div class=""""audio""""&gt;[sound:""&amp;C5202&amp;"".mp3]&lt;/div&gt;"""),"めっきり&lt;br&gt;&lt;div class=""audio""&gt;[sound:めっきり.mp3]&lt;/div&gt;")</f>
        <v>めっきり&lt;br&gt;&lt;div class="audio"&gt;[sound:めっきり.mp3]&lt;/div&gt;</v>
      </c>
      <c r="H5202" s="3" t="str">
        <f t="shared" si="1"/>
        <v>(adv): rõ rệt</v>
      </c>
      <c r="I5202" s="6" t="s">
        <v>28370</v>
      </c>
      <c r="J5202" s="6" t="s">
        <v>28371</v>
      </c>
      <c r="K5202" s="7">
        <f t="shared" si="2"/>
        <v>0.9749512488</v>
      </c>
    </row>
    <row r="5203">
      <c r="A5203" s="4">
        <v>5203.0</v>
      </c>
      <c r="B5203" s="5" t="s">
        <v>28372</v>
      </c>
      <c r="C5203" s="5" t="s">
        <v>28373</v>
      </c>
      <c r="D5203" s="5" t="s">
        <v>28374</v>
      </c>
      <c r="E5203" s="6" t="s">
        <v>74</v>
      </c>
      <c r="F5203" s="6" t="s">
        <v>28375</v>
      </c>
      <c r="G5203" s="3" t="str">
        <f>IFERROR(__xludf.DUMMYFUNCTION("REGEXREPLACE(
D5203,
""([一-龯々]+)\[([^\]]+)\]"",
""&lt;ruby&gt;$1&lt;rt&gt;$2&lt;/rt&gt;&lt;/ruby&gt;""
)&amp;""&lt;br&gt;&lt;div class=""""audio""""&gt;[sound:""&amp;C5203&amp;"".mp3]&lt;/div&gt;"""),"&lt;ruby&gt;括弧&lt;rt&gt;かっこ&lt;/rt&gt;&lt;/ruby&gt;&lt;br&gt;&lt;div class=""audio""&gt;[sound:かっこ.mp3]&lt;/div&gt;")</f>
        <v>&lt;ruby&gt;括弧&lt;rt&gt;かっこ&lt;/rt&gt;&lt;/ruby&gt;&lt;br&gt;&lt;div class="audio"&gt;[sound:かっこ.mp3]&lt;/div&gt;</v>
      </c>
      <c r="H5203" s="3" t="str">
        <f t="shared" si="1"/>
        <v>(n): ngoặc</v>
      </c>
      <c r="I5203" s="6" t="s">
        <v>28376</v>
      </c>
      <c r="J5203" s="6" t="s">
        <v>28377</v>
      </c>
      <c r="K5203" s="7">
        <f t="shared" si="2"/>
        <v>0.6924797065</v>
      </c>
    </row>
    <row r="5204">
      <c r="A5204" s="4">
        <v>5204.0</v>
      </c>
      <c r="B5204" s="5" t="s">
        <v>28378</v>
      </c>
      <c r="C5204" s="5" t="s">
        <v>28379</v>
      </c>
      <c r="D5204" s="5" t="s">
        <v>28380</v>
      </c>
      <c r="E5204" s="6" t="s">
        <v>11</v>
      </c>
      <c r="F5204" s="6" t="s">
        <v>28381</v>
      </c>
      <c r="G5204" s="3" t="str">
        <f>IFERROR(__xludf.DUMMYFUNCTION("REGEXREPLACE(
D5204,
""([一-龯々]+)\[([^\]]+)\]"",
""&lt;ruby&gt;$1&lt;rt&gt;$2&lt;/rt&gt;&lt;/ruby&gt;""
)&amp;""&lt;br&gt;&lt;div class=""""audio""""&gt;[sound:""&amp;C5204&amp;"".mp3]&lt;/div&gt;"""),"&lt;ruby&gt;不規則&lt;rt&gt;ふきそく&lt;/rt&gt;&lt;/ruby&gt;&lt;br&gt;&lt;div class=""audio""&gt;[sound:ふきそく.mp3]&lt;/div&gt;")</f>
        <v>&lt;ruby&gt;不規則&lt;rt&gt;ふきそく&lt;/rt&gt;&lt;/ruby&gt;&lt;br&gt;&lt;div class="audio"&gt;[sound:ふきそく.mp3]&lt;/div&gt;</v>
      </c>
      <c r="H5204" s="3" t="str">
        <f t="shared" si="1"/>
        <v>(adj): không quy tắc</v>
      </c>
      <c r="I5204" s="6" t="s">
        <v>28382</v>
      </c>
      <c r="J5204" s="6" t="s">
        <v>28383</v>
      </c>
      <c r="K5204" s="7">
        <f t="shared" si="2"/>
        <v>0.7308178454</v>
      </c>
    </row>
    <row r="5205">
      <c r="A5205" s="4">
        <v>5205.0</v>
      </c>
      <c r="B5205" s="5" t="s">
        <v>28384</v>
      </c>
      <c r="C5205" s="5" t="s">
        <v>28384</v>
      </c>
      <c r="D5205" s="5" t="s">
        <v>28384</v>
      </c>
      <c r="E5205" s="6" t="s">
        <v>74</v>
      </c>
      <c r="F5205" s="6" t="s">
        <v>28385</v>
      </c>
      <c r="G5205" s="3" t="str">
        <f>IFERROR(__xludf.DUMMYFUNCTION("REGEXREPLACE(
D5205,
""([一-龯々]+)\[([^\]]+)\]"",
""&lt;ruby&gt;$1&lt;rt&gt;$2&lt;/rt&gt;&lt;/ruby&gt;""
)&amp;""&lt;br&gt;&lt;div class=""""audio""""&gt;[sound:""&amp;C5205&amp;"".mp3]&lt;/div&gt;"""),"すり&lt;br&gt;&lt;div class=""audio""&gt;[sound:すり.mp3]&lt;/div&gt;")</f>
        <v>すり&lt;br&gt;&lt;div class="audio"&gt;[sound:すり.mp3]&lt;/div&gt;</v>
      </c>
      <c r="H5205" s="3" t="str">
        <f t="shared" si="1"/>
        <v>(n): kẻ móc túi</v>
      </c>
      <c r="I5205" s="6" t="s">
        <v>28386</v>
      </c>
      <c r="J5205" s="6" t="s">
        <v>28387</v>
      </c>
      <c r="K5205" s="7">
        <f t="shared" si="2"/>
        <v>0.3249828221</v>
      </c>
    </row>
    <row r="5206">
      <c r="A5206" s="4">
        <v>5206.0</v>
      </c>
      <c r="B5206" s="5" t="s">
        <v>28388</v>
      </c>
      <c r="C5206" s="5" t="s">
        <v>28389</v>
      </c>
      <c r="D5206" s="5" t="s">
        <v>28390</v>
      </c>
      <c r="E5206" s="6" t="s">
        <v>11</v>
      </c>
      <c r="F5206" s="6" t="s">
        <v>28391</v>
      </c>
      <c r="G5206" s="3" t="str">
        <f>IFERROR(__xludf.DUMMYFUNCTION("REGEXREPLACE(
D5206,
""([一-龯々]+)\[([^\]]+)\]"",
""&lt;ruby&gt;$1&lt;rt&gt;$2&lt;/rt&gt;&lt;/ruby&gt;""
)&amp;""&lt;br&gt;&lt;div class=""""audio""""&gt;[sound:""&amp;C5206&amp;"".mp3]&lt;/div&gt;"""),"&lt;ruby&gt;別々&lt;rt&gt;べつべつ&lt;/rt&gt;&lt;/ruby&gt;&lt;br&gt;&lt;div class=""audio""&gt;[sound:べつべつ.mp3]&lt;/div&gt;")</f>
        <v>&lt;ruby&gt;別々&lt;rt&gt;べつべつ&lt;/rt&gt;&lt;/ruby&gt;&lt;br&gt;&lt;div class="audio"&gt;[sound:べつべつ.mp3]&lt;/div&gt;</v>
      </c>
      <c r="H5206" s="3" t="str">
        <f t="shared" si="1"/>
        <v>(adj): riêng biệt</v>
      </c>
      <c r="I5206" s="6" t="s">
        <v>28392</v>
      </c>
      <c r="J5206" s="6" t="s">
        <v>28393</v>
      </c>
      <c r="K5206" s="7">
        <f t="shared" si="2"/>
        <v>0.1441940555</v>
      </c>
    </row>
    <row r="5207">
      <c r="A5207" s="4">
        <v>5207.0</v>
      </c>
      <c r="B5207" s="5" t="s">
        <v>28394</v>
      </c>
      <c r="C5207" s="5" t="s">
        <v>28395</v>
      </c>
      <c r="D5207" s="5" t="s">
        <v>28396</v>
      </c>
      <c r="E5207" s="6" t="s">
        <v>74</v>
      </c>
      <c r="F5207" s="6" t="s">
        <v>10733</v>
      </c>
      <c r="G5207" s="3" t="str">
        <f>IFERROR(__xludf.DUMMYFUNCTION("REGEXREPLACE(
D5207,
""([一-龯々]+)\[([^\]]+)\]"",
""&lt;ruby&gt;$1&lt;rt&gt;$2&lt;/rt&gt;&lt;/ruby&gt;""
)&amp;""&lt;br&gt;&lt;div class=""""audio""""&gt;[sound:""&amp;C5207&amp;"".mp3]&lt;/div&gt;"""),"&lt;ruby&gt;超過&lt;rt&gt;ちょうか&lt;/rt&gt;&lt;/ruby&gt;&lt;br&gt;&lt;div class=""audio""&gt;[sound:ちょうか.mp3]&lt;/div&gt;")</f>
        <v>&lt;ruby&gt;超過&lt;rt&gt;ちょうか&lt;/rt&gt;&lt;/ruby&gt;&lt;br&gt;&lt;div class="audio"&gt;[sound:ちょうか.mp3]&lt;/div&gt;</v>
      </c>
      <c r="H5207" s="3" t="str">
        <f t="shared" si="1"/>
        <v>(n): quá mức</v>
      </c>
      <c r="I5207" s="6" t="s">
        <v>28397</v>
      </c>
      <c r="J5207" s="6" t="s">
        <v>28398</v>
      </c>
      <c r="K5207" s="7">
        <f t="shared" si="2"/>
        <v>0.3858677345</v>
      </c>
    </row>
    <row r="5208">
      <c r="A5208" s="4">
        <v>5208.0</v>
      </c>
      <c r="B5208" s="5" t="s">
        <v>28399</v>
      </c>
      <c r="C5208" s="5" t="s">
        <v>28400</v>
      </c>
      <c r="D5208" s="5" t="s">
        <v>28399</v>
      </c>
      <c r="E5208" s="6" t="s">
        <v>74</v>
      </c>
      <c r="F5208" s="6" t="s">
        <v>28401</v>
      </c>
      <c r="G5208" s="3" t="str">
        <f>IFERROR(__xludf.DUMMYFUNCTION("REGEXREPLACE(
D5208,
""([一-龯々]+)\[([^\]]+)\]"",
""&lt;ruby&gt;$1&lt;rt&gt;$2&lt;/rt&gt;&lt;/ruby&gt;""
)&amp;""&lt;br&gt;&lt;div class=""""audio""""&gt;[sound:""&amp;C5208&amp;"".mp3]&lt;/div&gt;"""),"ギャング&lt;br&gt;&lt;div class=""audio""&gt;[sound:ぎゃんぐ.mp3]&lt;/div&gt;")</f>
        <v>ギャング&lt;br&gt;&lt;div class="audio"&gt;[sound:ぎゃんぐ.mp3]&lt;/div&gt;</v>
      </c>
      <c r="H5208" s="3" t="str">
        <f t="shared" si="1"/>
        <v>(n): băng nhóm</v>
      </c>
      <c r="I5208" s="6" t="s">
        <v>28402</v>
      </c>
      <c r="J5208" s="6" t="s">
        <v>28403</v>
      </c>
      <c r="K5208" s="7">
        <f t="shared" si="2"/>
        <v>0.6327937264</v>
      </c>
    </row>
    <row r="5209">
      <c r="A5209" s="4">
        <v>5209.0</v>
      </c>
      <c r="B5209" s="5" t="s">
        <v>28404</v>
      </c>
      <c r="C5209" s="5" t="s">
        <v>28405</v>
      </c>
      <c r="D5209" s="5" t="s">
        <v>28406</v>
      </c>
      <c r="E5209" s="6" t="s">
        <v>74</v>
      </c>
      <c r="F5209" s="6" t="s">
        <v>23375</v>
      </c>
      <c r="G5209" s="3" t="str">
        <f>IFERROR(__xludf.DUMMYFUNCTION("REGEXREPLACE(
D5209,
""([一-龯々]+)\[([^\]]+)\]"",
""&lt;ruby&gt;$1&lt;rt&gt;$2&lt;/rt&gt;&lt;/ruby&gt;""
)&amp;""&lt;br&gt;&lt;div class=""""audio""""&gt;[sound:""&amp;C5209&amp;"".mp3]&lt;/div&gt;"""),"&lt;ruby&gt;役人&lt;rt&gt;やくにん&lt;/rt&gt;&lt;/ruby&gt;&lt;br&gt;&lt;div class=""audio""&gt;[sound:やくにん.mp3]&lt;/div&gt;")</f>
        <v>&lt;ruby&gt;役人&lt;rt&gt;やくにん&lt;/rt&gt;&lt;/ruby&gt;&lt;br&gt;&lt;div class="audio"&gt;[sound:やくにん.mp3]&lt;/div&gt;</v>
      </c>
      <c r="H5209" s="3" t="str">
        <f t="shared" si="1"/>
        <v>(n): công chức</v>
      </c>
      <c r="I5209" s="6" t="s">
        <v>28407</v>
      </c>
      <c r="J5209" s="6" t="s">
        <v>28408</v>
      </c>
      <c r="K5209" s="7">
        <f t="shared" si="2"/>
        <v>0.6566636533</v>
      </c>
    </row>
    <row r="5210">
      <c r="A5210" s="4">
        <v>5210.0</v>
      </c>
      <c r="B5210" s="5" t="s">
        <v>28409</v>
      </c>
      <c r="C5210" s="5" t="s">
        <v>28410</v>
      </c>
      <c r="D5210" s="5" t="s">
        <v>28411</v>
      </c>
      <c r="E5210" s="6" t="s">
        <v>85</v>
      </c>
      <c r="F5210" s="6" t="s">
        <v>28412</v>
      </c>
      <c r="G5210" s="3" t="str">
        <f>IFERROR(__xludf.DUMMYFUNCTION("REGEXREPLACE(
D5210,
""([一-龯々]+)\[([^\]]+)\]"",
""&lt;ruby&gt;$1&lt;rt&gt;$2&lt;/rt&gt;&lt;/ruby&gt;""
)&amp;""&lt;br&gt;&lt;div class=""""audio""""&gt;[sound:""&amp;C5210&amp;"".mp3]&lt;/div&gt;"""),"&lt;ruby&gt;流石&lt;rt&gt;さすが&lt;/rt&gt;&lt;/ruby&gt;&lt;br&gt;&lt;div class=""audio""&gt;[sound:さすが.mp3]&lt;/div&gt;")</f>
        <v>&lt;ruby&gt;流石&lt;rt&gt;さすが&lt;/rt&gt;&lt;/ruby&gt;&lt;br&gt;&lt;div class="audio"&gt;[sound:さすが.mp3]&lt;/div&gt;</v>
      </c>
      <c r="H5210" s="3" t="str">
        <f t="shared" si="1"/>
        <v>(adv): quả nhiên</v>
      </c>
      <c r="I5210" s="6" t="s">
        <v>28413</v>
      </c>
      <c r="J5210" s="6" t="s">
        <v>28414</v>
      </c>
      <c r="K5210" s="7">
        <f t="shared" si="2"/>
        <v>0.919344722</v>
      </c>
    </row>
    <row r="5211">
      <c r="A5211" s="4">
        <v>5211.0</v>
      </c>
      <c r="B5211" s="5" t="s">
        <v>28415</v>
      </c>
      <c r="C5211" s="5" t="s">
        <v>28416</v>
      </c>
      <c r="D5211" s="5" t="s">
        <v>28417</v>
      </c>
      <c r="E5211" s="6" t="s">
        <v>74</v>
      </c>
      <c r="F5211" s="6" t="s">
        <v>3244</v>
      </c>
      <c r="G5211" s="3" t="str">
        <f>IFERROR(__xludf.DUMMYFUNCTION("REGEXREPLACE(
D5211,
""([一-龯々]+)\[([^\]]+)\]"",
""&lt;ruby&gt;$1&lt;rt&gt;$2&lt;/rt&gt;&lt;/ruby&gt;""
)&amp;""&lt;br&gt;&lt;div class=""""audio""""&gt;[sound:""&amp;C5211&amp;"".mp3]&lt;/div&gt;"""),"&lt;ruby&gt;現&lt;rt&gt;あらわ&lt;/rt&gt;&lt;/ruby&gt;れ&lt;br&gt;&lt;div class=""audio""&gt;[sound:あらわれ.mp3]&lt;/div&gt;")</f>
        <v>&lt;ruby&gt;現&lt;rt&gt;あらわ&lt;/rt&gt;&lt;/ruby&gt;れ&lt;br&gt;&lt;div class="audio"&gt;[sound:あらわれ.mp3]&lt;/div&gt;</v>
      </c>
      <c r="H5211" s="3" t="str">
        <f t="shared" si="1"/>
        <v>(n): biểu hiện</v>
      </c>
      <c r="I5211" s="6" t="s">
        <v>28418</v>
      </c>
      <c r="J5211" s="6" t="s">
        <v>28419</v>
      </c>
      <c r="K5211" s="7">
        <f t="shared" si="2"/>
        <v>0.8122548409</v>
      </c>
    </row>
    <row r="5212">
      <c r="A5212" s="4">
        <v>5212.0</v>
      </c>
      <c r="B5212" s="5" t="s">
        <v>28420</v>
      </c>
      <c r="C5212" s="5" t="s">
        <v>28421</v>
      </c>
      <c r="D5212" s="5" t="s">
        <v>28422</v>
      </c>
      <c r="E5212" s="6" t="s">
        <v>74</v>
      </c>
      <c r="F5212" s="6" t="s">
        <v>28423</v>
      </c>
      <c r="G5212" s="3" t="str">
        <f>IFERROR(__xludf.DUMMYFUNCTION("REGEXREPLACE(
D5212,
""([一-龯々]+)\[([^\]]+)\]"",
""&lt;ruby&gt;$1&lt;rt&gt;$2&lt;/rt&gt;&lt;/ruby&gt;""
)&amp;""&lt;br&gt;&lt;div class=""""audio""""&gt;[sound:""&amp;C5212&amp;"".mp3]&lt;/div&gt;"""),"&lt;ruby&gt;終点&lt;rt&gt;しゅうてん&lt;/rt&gt;&lt;/ruby&gt;&lt;br&gt;&lt;div class=""audio""&gt;[sound:しゅうてん.mp3]&lt;/div&gt;")</f>
        <v>&lt;ruby&gt;終点&lt;rt&gt;しゅうてん&lt;/rt&gt;&lt;/ruby&gt;&lt;br&gt;&lt;div class="audio"&gt;[sound:しゅうてん.mp3]&lt;/div&gt;</v>
      </c>
      <c r="H5212" s="3" t="str">
        <f t="shared" si="1"/>
        <v>(n): điểm cuối</v>
      </c>
      <c r="I5212" s="6" t="s">
        <v>28424</v>
      </c>
      <c r="J5212" s="6" t="s">
        <v>28425</v>
      </c>
      <c r="K5212" s="7">
        <f t="shared" si="2"/>
        <v>0.4737130702</v>
      </c>
    </row>
    <row r="5213">
      <c r="A5213" s="4">
        <v>5213.0</v>
      </c>
      <c r="B5213" s="5" t="s">
        <v>28426</v>
      </c>
      <c r="C5213" s="5" t="s">
        <v>28427</v>
      </c>
      <c r="D5213" s="5" t="s">
        <v>28428</v>
      </c>
      <c r="E5213" s="6" t="s">
        <v>74</v>
      </c>
      <c r="F5213" s="6" t="s">
        <v>8986</v>
      </c>
      <c r="G5213" s="3" t="str">
        <f>IFERROR(__xludf.DUMMYFUNCTION("REGEXREPLACE(
D5213,
""([一-龯々]+)\[([^\]]+)\]"",
""&lt;ruby&gt;$1&lt;rt&gt;$2&lt;/rt&gt;&lt;/ruby&gt;""
)&amp;""&lt;br&gt;&lt;div class=""""audio""""&gt;[sound:""&amp;C5213&amp;"".mp3]&lt;/div&gt;"""),"&lt;ruby&gt;見物&lt;rt&gt;けんぶつ&lt;/rt&gt;&lt;/ruby&gt;&lt;br&gt;&lt;div class=""audio""&gt;[sound:けんぶつ.mp3]&lt;/div&gt;")</f>
        <v>&lt;ruby&gt;見物&lt;rt&gt;けんぶつ&lt;/rt&gt;&lt;/ruby&gt;&lt;br&gt;&lt;div class="audio"&gt;[sound:けんぶつ.mp3]&lt;/div&gt;</v>
      </c>
      <c r="H5213" s="3" t="str">
        <f t="shared" si="1"/>
        <v>(n): tham quan</v>
      </c>
      <c r="I5213" s="6" t="s">
        <v>28429</v>
      </c>
      <c r="J5213" s="6" t="s">
        <v>28430</v>
      </c>
      <c r="K5213" s="7">
        <f t="shared" si="2"/>
        <v>0.2113890901</v>
      </c>
    </row>
    <row r="5214">
      <c r="A5214" s="4">
        <v>5214.0</v>
      </c>
      <c r="B5214" s="5" t="s">
        <v>28431</v>
      </c>
      <c r="C5214" s="5" t="s">
        <v>28431</v>
      </c>
      <c r="D5214" s="5" t="s">
        <v>28431</v>
      </c>
      <c r="E5214" s="6" t="s">
        <v>11</v>
      </c>
      <c r="F5214" s="6" t="s">
        <v>28432</v>
      </c>
      <c r="G5214" s="3" t="str">
        <f>IFERROR(__xludf.DUMMYFUNCTION("REGEXREPLACE(
D5214,
""([一-龯々]+)\[([^\]]+)\]"",
""&lt;ruby&gt;$1&lt;rt&gt;$2&lt;/rt&gt;&lt;/ruby&gt;""
)&amp;""&lt;br&gt;&lt;div class=""""audio""""&gt;[sound:""&amp;C5214&amp;"".mp3]&lt;/div&gt;"""),"くどい&lt;br&gt;&lt;div class=""audio""&gt;[sound:くどい.mp3]&lt;/div&gt;")</f>
        <v>くどい&lt;br&gt;&lt;div class="audio"&gt;[sound:くどい.mp3]&lt;/div&gt;</v>
      </c>
      <c r="H5214" s="3" t="str">
        <f t="shared" si="1"/>
        <v>(adj): dài dòng</v>
      </c>
      <c r="I5214" s="6" t="s">
        <v>28433</v>
      </c>
      <c r="J5214" s="6" t="s">
        <v>28434</v>
      </c>
      <c r="K5214" s="7">
        <f t="shared" si="2"/>
        <v>0.7940446773</v>
      </c>
    </row>
    <row r="5215">
      <c r="A5215" s="4">
        <v>5215.0</v>
      </c>
      <c r="B5215" s="5" t="s">
        <v>28435</v>
      </c>
      <c r="C5215" s="5" t="s">
        <v>28436</v>
      </c>
      <c r="D5215" s="5" t="s">
        <v>28435</v>
      </c>
      <c r="E5215" s="6" t="s">
        <v>74</v>
      </c>
      <c r="F5215" s="6" t="s">
        <v>28437</v>
      </c>
      <c r="G5215" s="3" t="str">
        <f>IFERROR(__xludf.DUMMYFUNCTION("REGEXREPLACE(
D5215,
""([一-龯々]+)\[([^\]]+)\]"",
""&lt;ruby&gt;$1&lt;rt&gt;$2&lt;/rt&gt;&lt;/ruby&gt;""
)&amp;""&lt;br&gt;&lt;div class=""""audio""""&gt;[sound:""&amp;C5215&amp;"".mp3]&lt;/div&gt;"""),"ピクニック&lt;br&gt;&lt;div class=""audio""&gt;[sound:ぴくにっく.mp3]&lt;/div&gt;")</f>
        <v>ピクニック&lt;br&gt;&lt;div class="audio"&gt;[sound:ぴくにっく.mp3]&lt;/div&gt;</v>
      </c>
      <c r="H5215" s="3" t="str">
        <f t="shared" si="1"/>
        <v>(n): dã ngoại</v>
      </c>
      <c r="I5215" s="6" t="s">
        <v>28438</v>
      </c>
      <c r="J5215" s="6" t="s">
        <v>28439</v>
      </c>
      <c r="K5215" s="7">
        <f t="shared" si="2"/>
        <v>0.6368468003</v>
      </c>
    </row>
    <row r="5216">
      <c r="A5216" s="4">
        <v>5216.0</v>
      </c>
      <c r="B5216" s="5" t="s">
        <v>28440</v>
      </c>
      <c r="C5216" s="5" t="s">
        <v>28441</v>
      </c>
      <c r="D5216" s="5" t="s">
        <v>28442</v>
      </c>
      <c r="E5216" s="6" t="s">
        <v>74</v>
      </c>
      <c r="F5216" s="6" t="s">
        <v>28443</v>
      </c>
      <c r="G5216" s="3" t="str">
        <f>IFERROR(__xludf.DUMMYFUNCTION("REGEXREPLACE(
D5216,
""([一-龯々]+)\[([^\]]+)\]"",
""&lt;ruby&gt;$1&lt;rt&gt;$2&lt;/rt&gt;&lt;/ruby&gt;""
)&amp;""&lt;br&gt;&lt;div class=""""audio""""&gt;[sound:""&amp;C5216&amp;"".mp3]&lt;/div&gt;"""),"&lt;ruby&gt;小銭&lt;rt&gt;こぜに&lt;/rt&gt;&lt;/ruby&gt;&lt;br&gt;&lt;div class=""audio""&gt;[sound:こぜに.mp3]&lt;/div&gt;")</f>
        <v>&lt;ruby&gt;小銭&lt;rt&gt;こぜに&lt;/rt&gt;&lt;/ruby&gt;&lt;br&gt;&lt;div class="audio"&gt;[sound:こぜに.mp3]&lt;/div&gt;</v>
      </c>
      <c r="H5216" s="3" t="str">
        <f t="shared" si="1"/>
        <v>(n): tiền lẻ</v>
      </c>
      <c r="I5216" s="6" t="s">
        <v>28444</v>
      </c>
      <c r="J5216" s="6" t="s">
        <v>28445</v>
      </c>
      <c r="K5216" s="7">
        <f t="shared" si="2"/>
        <v>0.2525109535</v>
      </c>
    </row>
    <row r="5217">
      <c r="A5217" s="4">
        <v>5217.0</v>
      </c>
      <c r="B5217" s="5" t="s">
        <v>28446</v>
      </c>
      <c r="C5217" s="5" t="s">
        <v>18541</v>
      </c>
      <c r="D5217" s="5" t="s">
        <v>28447</v>
      </c>
      <c r="E5217" s="6" t="s">
        <v>74</v>
      </c>
      <c r="F5217" s="6" t="s">
        <v>28448</v>
      </c>
      <c r="G5217" s="3" t="str">
        <f>IFERROR(__xludf.DUMMYFUNCTION("REGEXREPLACE(
D5217,
""([一-龯々]+)\[([^\]]+)\]"",
""&lt;ruby&gt;$1&lt;rt&gt;$2&lt;/rt&gt;&lt;/ruby&gt;""
)&amp;""&lt;br&gt;&lt;div class=""""audio""""&gt;[sound:""&amp;C5217&amp;"".mp3]&lt;/div&gt;"""),"&lt;ruby&gt;酢&lt;rt&gt;す&lt;/rt&gt;&lt;/ruby&gt;&lt;br&gt;&lt;div class=""audio""&gt;[sound:す.mp3]&lt;/div&gt;")</f>
        <v>&lt;ruby&gt;酢&lt;rt&gt;す&lt;/rt&gt;&lt;/ruby&gt;&lt;br&gt;&lt;div class="audio"&gt;[sound:す.mp3]&lt;/div&gt;</v>
      </c>
      <c r="H5217" s="3" t="str">
        <f t="shared" si="1"/>
        <v>(n): giấm</v>
      </c>
      <c r="I5217" s="6" t="s">
        <v>28449</v>
      </c>
      <c r="J5217" s="6" t="s">
        <v>28450</v>
      </c>
      <c r="K5217" s="7">
        <f t="shared" si="2"/>
        <v>0.1749712875</v>
      </c>
    </row>
    <row r="5218">
      <c r="A5218" s="4">
        <v>5218.0</v>
      </c>
      <c r="B5218" s="5" t="s">
        <v>28451</v>
      </c>
      <c r="C5218" s="5" t="s">
        <v>28452</v>
      </c>
      <c r="D5218" s="5" t="s">
        <v>28453</v>
      </c>
      <c r="E5218" s="6" t="s">
        <v>74</v>
      </c>
      <c r="F5218" s="6" t="s">
        <v>28454</v>
      </c>
      <c r="G5218" s="3" t="str">
        <f>IFERROR(__xludf.DUMMYFUNCTION("REGEXREPLACE(
D5218,
""([一-龯々]+)\[([^\]]+)\]"",
""&lt;ruby&gt;$1&lt;rt&gt;$2&lt;/rt&gt;&lt;/ruby&gt;""
)&amp;""&lt;br&gt;&lt;div class=""""audio""""&gt;[sound:""&amp;C5218&amp;"".mp3]&lt;/div&gt;"""),"&lt;ruby&gt;人通&lt;rt&gt;ひとどお&lt;/rt&gt;&lt;/ruby&gt;り&lt;br&gt;&lt;div class=""audio""&gt;[sound:ひとどおり.mp3]&lt;/div&gt;")</f>
        <v>&lt;ruby&gt;人通&lt;rt&gt;ひとどお&lt;/rt&gt;&lt;/ruby&gt;り&lt;br&gt;&lt;div class="audio"&gt;[sound:ひとどおり.mp3]&lt;/div&gt;</v>
      </c>
      <c r="H5218" s="3" t="str">
        <f t="shared" si="1"/>
        <v>(n): người qua lại</v>
      </c>
      <c r="I5218" s="6" t="s">
        <v>28455</v>
      </c>
      <c r="J5218" s="6" t="s">
        <v>28456</v>
      </c>
      <c r="K5218" s="7">
        <f t="shared" si="2"/>
        <v>0.5571321693</v>
      </c>
    </row>
    <row r="5219">
      <c r="A5219" s="4">
        <v>5219.0</v>
      </c>
      <c r="B5219" s="5" t="s">
        <v>28457</v>
      </c>
      <c r="C5219" s="5" t="s">
        <v>28458</v>
      </c>
      <c r="D5219" s="5" t="s">
        <v>28459</v>
      </c>
      <c r="E5219" s="6" t="s">
        <v>74</v>
      </c>
      <c r="F5219" s="6" t="s">
        <v>24794</v>
      </c>
      <c r="G5219" s="3" t="str">
        <f>IFERROR(__xludf.DUMMYFUNCTION("REGEXREPLACE(
D5219,
""([一-龯々]+)\[([^\]]+)\]"",
""&lt;ruby&gt;$1&lt;rt&gt;$2&lt;/rt&gt;&lt;/ruby&gt;""
)&amp;""&lt;br&gt;&lt;div class=""""audio""""&gt;[sound:""&amp;C5219&amp;"".mp3]&lt;/div&gt;"""),"&lt;ruby&gt;売店&lt;rt&gt;ばいてん&lt;/rt&gt;&lt;/ruby&gt;&lt;br&gt;&lt;div class=""audio""&gt;[sound:ばいてん.mp3]&lt;/div&gt;")</f>
        <v>&lt;ruby&gt;売店&lt;rt&gt;ばいてん&lt;/rt&gt;&lt;/ruby&gt;&lt;br&gt;&lt;div class="audio"&gt;[sound:ばいてん.mp3]&lt;/div&gt;</v>
      </c>
      <c r="H5219" s="3" t="str">
        <f t="shared" si="1"/>
        <v>(n): quầy bán hàng</v>
      </c>
      <c r="I5219" s="6" t="s">
        <v>28460</v>
      </c>
      <c r="J5219" s="6" t="s">
        <v>28461</v>
      </c>
      <c r="K5219" s="7">
        <f t="shared" si="2"/>
        <v>0.9098447799</v>
      </c>
    </row>
    <row r="5220">
      <c r="A5220" s="4">
        <v>5220.0</v>
      </c>
      <c r="B5220" s="5" t="s">
        <v>28462</v>
      </c>
      <c r="C5220" s="5" t="s">
        <v>28463</v>
      </c>
      <c r="D5220" s="5" t="s">
        <v>28464</v>
      </c>
      <c r="E5220" s="6" t="s">
        <v>74</v>
      </c>
      <c r="F5220" s="6" t="s">
        <v>28465</v>
      </c>
      <c r="G5220" s="3" t="str">
        <f>IFERROR(__xludf.DUMMYFUNCTION("REGEXREPLACE(
D5220,
""([一-龯々]+)\[([^\]]+)\]"",
""&lt;ruby&gt;$1&lt;rt&gt;$2&lt;/rt&gt;&lt;/ruby&gt;""
)&amp;""&lt;br&gt;&lt;div class=""""audio""""&gt;[sound:""&amp;C5220&amp;"".mp3]&lt;/div&gt;"""),"&lt;ruby&gt;下町&lt;rt&gt;したまち&lt;/rt&gt;&lt;/ruby&gt;&lt;br&gt;&lt;div class=""audio""&gt;[sound:したまち.mp3]&lt;/div&gt;")</f>
        <v>&lt;ruby&gt;下町&lt;rt&gt;したまち&lt;/rt&gt;&lt;/ruby&gt;&lt;br&gt;&lt;div class="audio"&gt;[sound:したまち.mp3]&lt;/div&gt;</v>
      </c>
      <c r="H5220" s="3" t="str">
        <f t="shared" si="1"/>
        <v>(n): khu phố cũ</v>
      </c>
      <c r="I5220" s="6" t="s">
        <v>28466</v>
      </c>
      <c r="J5220" s="6" t="s">
        <v>28467</v>
      </c>
      <c r="K5220" s="7">
        <f t="shared" si="2"/>
        <v>0.9632008443</v>
      </c>
    </row>
    <row r="5221">
      <c r="A5221" s="4">
        <v>5221.0</v>
      </c>
      <c r="B5221" s="5" t="s">
        <v>28468</v>
      </c>
      <c r="C5221" s="5" t="s">
        <v>5683</v>
      </c>
      <c r="D5221" s="5" t="s">
        <v>28469</v>
      </c>
      <c r="E5221" s="6" t="s">
        <v>74</v>
      </c>
      <c r="F5221" s="6" t="s">
        <v>5685</v>
      </c>
      <c r="G5221" s="3" t="str">
        <f>IFERROR(__xludf.DUMMYFUNCTION("REGEXREPLACE(
D5221,
""([一-龯々]+)\[([^\]]+)\]"",
""&lt;ruby&gt;$1&lt;rt&gt;$2&lt;/rt&gt;&lt;/ruby&gt;""
)&amp;""&lt;br&gt;&lt;div class=""""audio""""&gt;[sound:""&amp;C5221&amp;"".mp3]&lt;/div&gt;"""),"&lt;ruby&gt;規準&lt;rt&gt;きじゅん&lt;/rt&gt;&lt;/ruby&gt;&lt;br&gt;&lt;div class=""audio""&gt;[sound:きじゅん.mp3]&lt;/div&gt;")</f>
        <v>&lt;ruby&gt;規準&lt;rt&gt;きじゅん&lt;/rt&gt;&lt;/ruby&gt;&lt;br&gt;&lt;div class="audio"&gt;[sound:きじゅん.mp3]&lt;/div&gt;</v>
      </c>
      <c r="H5221" s="3" t="str">
        <f t="shared" si="1"/>
        <v>(n): tiêu chuẩn</v>
      </c>
      <c r="I5221" s="6" t="s">
        <v>28470</v>
      </c>
      <c r="J5221" s="6" t="s">
        <v>28471</v>
      </c>
      <c r="K5221" s="7">
        <f t="shared" si="2"/>
        <v>0.7715067768</v>
      </c>
    </row>
    <row r="5222">
      <c r="A5222" s="4">
        <v>5222.0</v>
      </c>
      <c r="B5222" s="5" t="s">
        <v>28472</v>
      </c>
      <c r="C5222" s="5" t="s">
        <v>28472</v>
      </c>
      <c r="D5222" s="5" t="s">
        <v>28472</v>
      </c>
      <c r="E5222" s="6" t="s">
        <v>85</v>
      </c>
      <c r="F5222" s="6" t="s">
        <v>28473</v>
      </c>
      <c r="G5222" s="3" t="str">
        <f>IFERROR(__xludf.DUMMYFUNCTION("REGEXREPLACE(
D5222,
""([一-龯々]+)\[([^\]]+)\]"",
""&lt;ruby&gt;$1&lt;rt&gt;$2&lt;/rt&gt;&lt;/ruby&gt;""
)&amp;""&lt;br&gt;&lt;div class=""""audio""""&gt;[sound:""&amp;C5222&amp;"".mp3]&lt;/div&gt;"""),"ずらり&lt;br&gt;&lt;div class=""audio""&gt;[sound:ずらり.mp3]&lt;/div&gt;")</f>
        <v>ずらり&lt;br&gt;&lt;div class="audio"&gt;[sound:ずらり.mp3]&lt;/div&gt;</v>
      </c>
      <c r="H5222" s="3" t="str">
        <f t="shared" si="1"/>
        <v>(adv): hàng loạt</v>
      </c>
      <c r="I5222" s="6" t="s">
        <v>28474</v>
      </c>
      <c r="J5222" s="6" t="s">
        <v>28475</v>
      </c>
      <c r="K5222" s="7">
        <f t="shared" si="2"/>
        <v>0.2265519893</v>
      </c>
    </row>
    <row r="5223">
      <c r="A5223" s="4">
        <v>5223.0</v>
      </c>
      <c r="B5223" s="5" t="s">
        <v>28476</v>
      </c>
      <c r="C5223" s="5" t="s">
        <v>28476</v>
      </c>
      <c r="D5223" s="5" t="s">
        <v>28476</v>
      </c>
      <c r="E5223" s="6" t="s">
        <v>74</v>
      </c>
      <c r="F5223" s="6" t="s">
        <v>28477</v>
      </c>
      <c r="G5223" s="3" t="str">
        <f>IFERROR(__xludf.DUMMYFUNCTION("REGEXREPLACE(
D5223,
""([一-龯々]+)\[([^\]]+)\]"",
""&lt;ruby&gt;$1&lt;rt&gt;$2&lt;/rt&gt;&lt;/ruby&gt;""
)&amp;""&lt;br&gt;&lt;div class=""""audio""""&gt;[sound:""&amp;C5223&amp;"".mp3]&lt;/div&gt;"""),"めまい&lt;br&gt;&lt;div class=""audio""&gt;[sound:めまい.mp3]&lt;/div&gt;")</f>
        <v>めまい&lt;br&gt;&lt;div class="audio"&gt;[sound:めまい.mp3]&lt;/div&gt;</v>
      </c>
      <c r="H5223" s="3" t="str">
        <f t="shared" si="1"/>
        <v>(n): chóng mặt</v>
      </c>
      <c r="I5223" s="6" t="s">
        <v>28478</v>
      </c>
      <c r="J5223" s="6" t="s">
        <v>28479</v>
      </c>
      <c r="K5223" s="7">
        <f t="shared" si="2"/>
        <v>0.3735719431</v>
      </c>
    </row>
    <row r="5224">
      <c r="A5224" s="4">
        <v>5224.0</v>
      </c>
      <c r="B5224" s="5" t="s">
        <v>28480</v>
      </c>
      <c r="C5224" s="5" t="s">
        <v>28481</v>
      </c>
      <c r="D5224" s="5" t="s">
        <v>28482</v>
      </c>
      <c r="E5224" s="6" t="s">
        <v>74</v>
      </c>
      <c r="F5224" s="6" t="s">
        <v>28483</v>
      </c>
      <c r="G5224" s="3" t="str">
        <f>IFERROR(__xludf.DUMMYFUNCTION("REGEXREPLACE(
D5224,
""([一-龯々]+)\[([^\]]+)\]"",
""&lt;ruby&gt;$1&lt;rt&gt;$2&lt;/rt&gt;&lt;/ruby&gt;""
)&amp;""&lt;br&gt;&lt;div class=""""audio""""&gt;[sound:""&amp;C5224&amp;"".mp3]&lt;/div&gt;"""),"&lt;ruby&gt;客席&lt;rt&gt;きゃくせき&lt;/rt&gt;&lt;/ruby&gt;&lt;br&gt;&lt;div class=""audio""&gt;[sound:きゃくせき.mp3]&lt;/div&gt;")</f>
        <v>&lt;ruby&gt;客席&lt;rt&gt;きゃくせき&lt;/rt&gt;&lt;/ruby&gt;&lt;br&gt;&lt;div class="audio"&gt;[sound:きゃくせき.mp3]&lt;/div&gt;</v>
      </c>
      <c r="H5224" s="3" t="str">
        <f t="shared" si="1"/>
        <v>(n): ghế khách</v>
      </c>
      <c r="I5224" s="6" t="s">
        <v>28484</v>
      </c>
      <c r="J5224" s="6" t="s">
        <v>28485</v>
      </c>
      <c r="K5224" s="7">
        <f t="shared" si="2"/>
        <v>0.02495307815</v>
      </c>
    </row>
    <row r="5225">
      <c r="A5225" s="4">
        <v>5225.0</v>
      </c>
      <c r="B5225" s="5" t="s">
        <v>28486</v>
      </c>
      <c r="C5225" s="5" t="s">
        <v>28487</v>
      </c>
      <c r="D5225" s="5" t="s">
        <v>28488</v>
      </c>
      <c r="E5225" s="6" t="s">
        <v>74</v>
      </c>
      <c r="F5225" s="6" t="s">
        <v>28489</v>
      </c>
      <c r="G5225" s="3" t="str">
        <f>IFERROR(__xludf.DUMMYFUNCTION("REGEXREPLACE(
D5225,
""([一-龯々]+)\[([^\]]+)\]"",
""&lt;ruby&gt;$1&lt;rt&gt;$2&lt;/rt&gt;&lt;/ruby&gt;""
)&amp;""&lt;br&gt;&lt;div class=""""audio""""&gt;[sound:""&amp;C5225&amp;"".mp3]&lt;/div&gt;"""),"&lt;ruby&gt;職人&lt;rt&gt;しょくにん&lt;/rt&gt;&lt;/ruby&gt;&lt;br&gt;&lt;div class=""audio""&gt;[sound:しょくにん.mp3]&lt;/div&gt;")</f>
        <v>&lt;ruby&gt;職人&lt;rt&gt;しょくにん&lt;/rt&gt;&lt;/ruby&gt;&lt;br&gt;&lt;div class="audio"&gt;[sound:しょくにん.mp3]&lt;/div&gt;</v>
      </c>
      <c r="H5225" s="3" t="str">
        <f t="shared" si="1"/>
        <v>(n): nghệ nhân</v>
      </c>
      <c r="I5225" s="6" t="s">
        <v>28490</v>
      </c>
      <c r="J5225" s="6" t="s">
        <v>28491</v>
      </c>
      <c r="K5225" s="7">
        <f t="shared" si="2"/>
        <v>0.8598579106</v>
      </c>
    </row>
    <row r="5226">
      <c r="A5226" s="4">
        <v>5226.0</v>
      </c>
      <c r="B5226" s="5" t="s">
        <v>28492</v>
      </c>
      <c r="C5226" s="5" t="s">
        <v>28493</v>
      </c>
      <c r="D5226" s="5" t="s">
        <v>28494</v>
      </c>
      <c r="E5226" s="6" t="s">
        <v>24</v>
      </c>
      <c r="F5226" s="6" t="s">
        <v>28495</v>
      </c>
      <c r="G5226" s="3" t="str">
        <f>IFERROR(__xludf.DUMMYFUNCTION("REGEXREPLACE(
D5226,
""([一-龯々]+)\[([^\]]+)\]"",
""&lt;ruby&gt;$1&lt;rt&gt;$2&lt;/rt&gt;&lt;/ruby&gt;""
)&amp;""&lt;br&gt;&lt;div class=""""audio""""&gt;[sound:""&amp;C5226&amp;"".mp3]&lt;/div&gt;"""),"&lt;ruby&gt;薄&lt;rt&gt;うす&lt;/rt&gt;&lt;/ruby&gt;める&lt;br&gt;&lt;div class=""audio""&gt;[sound:うすめる.mp3]&lt;/div&gt;")</f>
        <v>&lt;ruby&gt;薄&lt;rt&gt;うす&lt;/rt&gt;&lt;/ruby&gt;める&lt;br&gt;&lt;div class="audio"&gt;[sound:うすめる.mp3]&lt;/div&gt;</v>
      </c>
      <c r="H5226" s="3" t="str">
        <f t="shared" si="1"/>
        <v>(v): pha loãng</v>
      </c>
      <c r="I5226" s="6" t="s">
        <v>28496</v>
      </c>
      <c r="J5226" s="6" t="s">
        <v>28497</v>
      </c>
      <c r="K5226" s="7">
        <f t="shared" si="2"/>
        <v>0.6099791265</v>
      </c>
    </row>
    <row r="5227">
      <c r="A5227" s="4">
        <v>5227.0</v>
      </c>
      <c r="B5227" s="5" t="s">
        <v>28498</v>
      </c>
      <c r="C5227" s="5" t="s">
        <v>28499</v>
      </c>
      <c r="D5227" s="5" t="s">
        <v>28500</v>
      </c>
      <c r="E5227" s="6" t="s">
        <v>74</v>
      </c>
      <c r="F5227" s="6" t="s">
        <v>28501</v>
      </c>
      <c r="G5227" s="3" t="str">
        <f>IFERROR(__xludf.DUMMYFUNCTION("REGEXREPLACE(
D5227,
""([一-龯々]+)\[([^\]]+)\]"",
""&lt;ruby&gt;$1&lt;rt&gt;$2&lt;/rt&gt;&lt;/ruby&gt;""
)&amp;""&lt;br&gt;&lt;div class=""""audio""""&gt;[sound:""&amp;C5227&amp;"".mp3]&lt;/div&gt;"""),"&lt;ruby&gt;例外&lt;rt&gt;れいがい&lt;/rt&gt;&lt;/ruby&gt;&lt;br&gt;&lt;div class=""audio""&gt;[sound:れいがい.mp3]&lt;/div&gt;")</f>
        <v>&lt;ruby&gt;例外&lt;rt&gt;れいがい&lt;/rt&gt;&lt;/ruby&gt;&lt;br&gt;&lt;div class="audio"&gt;[sound:れいがい.mp3]&lt;/div&gt;</v>
      </c>
      <c r="H5227" s="3" t="str">
        <f t="shared" si="1"/>
        <v>(n): ngoại lệ</v>
      </c>
      <c r="I5227" s="6" t="s">
        <v>28502</v>
      </c>
      <c r="J5227" s="6" t="s">
        <v>28503</v>
      </c>
      <c r="K5227" s="7">
        <f t="shared" si="2"/>
        <v>0.961751281</v>
      </c>
    </row>
    <row r="5228">
      <c r="A5228" s="4">
        <v>5228.0</v>
      </c>
      <c r="B5228" s="5" t="s">
        <v>28504</v>
      </c>
      <c r="C5228" s="5" t="s">
        <v>28505</v>
      </c>
      <c r="D5228" s="5" t="s">
        <v>28506</v>
      </c>
      <c r="E5228" s="6" t="s">
        <v>74</v>
      </c>
      <c r="F5228" s="6" t="s">
        <v>28507</v>
      </c>
      <c r="G5228" s="3" t="str">
        <f>IFERROR(__xludf.DUMMYFUNCTION("REGEXREPLACE(
D5228,
""([一-龯々]+)\[([^\]]+)\]"",
""&lt;ruby&gt;$1&lt;rt&gt;$2&lt;/rt&gt;&lt;/ruby&gt;""
)&amp;""&lt;br&gt;&lt;div class=""""audio""""&gt;[sound:""&amp;C5228&amp;"".mp3]&lt;/div&gt;"""),"&lt;ruby&gt;倉庫&lt;rt&gt;そうこ&lt;/rt&gt;&lt;/ruby&gt;&lt;br&gt;&lt;div class=""audio""&gt;[sound:そうこ.mp3]&lt;/div&gt;")</f>
        <v>&lt;ruby&gt;倉庫&lt;rt&gt;そうこ&lt;/rt&gt;&lt;/ruby&gt;&lt;br&gt;&lt;div class="audio"&gt;[sound:そうこ.mp3]&lt;/div&gt;</v>
      </c>
      <c r="H5228" s="3" t="str">
        <f t="shared" si="1"/>
        <v>(n): kho hàng</v>
      </c>
      <c r="I5228" s="6" t="s">
        <v>28508</v>
      </c>
      <c r="J5228" s="6" t="s">
        <v>28509</v>
      </c>
      <c r="K5228" s="7">
        <f t="shared" si="2"/>
        <v>0.7947737844</v>
      </c>
    </row>
    <row r="5229">
      <c r="A5229" s="4">
        <v>5229.0</v>
      </c>
      <c r="B5229" s="5" t="s">
        <v>28510</v>
      </c>
      <c r="C5229" s="5" t="s">
        <v>28511</v>
      </c>
      <c r="D5229" s="5" t="s">
        <v>28512</v>
      </c>
      <c r="E5229" s="6" t="s">
        <v>74</v>
      </c>
      <c r="F5229" s="6" t="s">
        <v>28513</v>
      </c>
      <c r="G5229" s="3" t="str">
        <f>IFERROR(__xludf.DUMMYFUNCTION("REGEXREPLACE(
D5229,
""([一-龯々]+)\[([^\]]+)\]"",
""&lt;ruby&gt;$1&lt;rt&gt;$2&lt;/rt&gt;&lt;/ruby&gt;""
)&amp;""&lt;br&gt;&lt;div class=""""audio""""&gt;[sound:""&amp;C5229&amp;"".mp3]&lt;/div&gt;"""),"&lt;ruby&gt;菌&lt;rt&gt;きん&lt;/rt&gt;&lt;/ruby&gt;&lt;br&gt;&lt;div class=""audio""&gt;[sound:きん.mp3]&lt;/div&gt;")</f>
        <v>&lt;ruby&gt;菌&lt;rt&gt;きん&lt;/rt&gt;&lt;/ruby&gt;&lt;br&gt;&lt;div class="audio"&gt;[sound:きん.mp3]&lt;/div&gt;</v>
      </c>
      <c r="H5229" s="3" t="str">
        <f t="shared" si="1"/>
        <v>(n): vi khuẩn</v>
      </c>
      <c r="I5229" s="6" t="s">
        <v>28514</v>
      </c>
      <c r="J5229" s="6" t="s">
        <v>28515</v>
      </c>
      <c r="K5229" s="7">
        <f t="shared" si="2"/>
        <v>0.660716337</v>
      </c>
    </row>
    <row r="5230">
      <c r="A5230" s="4">
        <v>5230.0</v>
      </c>
      <c r="B5230" s="5" t="s">
        <v>28516</v>
      </c>
      <c r="C5230" s="5" t="s">
        <v>28517</v>
      </c>
      <c r="D5230" s="5" t="s">
        <v>28518</v>
      </c>
      <c r="E5230" s="6" t="s">
        <v>74</v>
      </c>
      <c r="F5230" s="6" t="s">
        <v>4949</v>
      </c>
      <c r="G5230" s="3" t="str">
        <f>IFERROR(__xludf.DUMMYFUNCTION("REGEXREPLACE(
D5230,
""([一-龯々]+)\[([^\]]+)\]"",
""&lt;ruby&gt;$1&lt;rt&gt;$2&lt;/rt&gt;&lt;/ruby&gt;""
)&amp;""&lt;br&gt;&lt;div class=""""audio""""&gt;[sound:""&amp;C5230&amp;"".mp3]&lt;/div&gt;"""),"&lt;ruby&gt;掲示&lt;rt&gt;けいじ&lt;/rt&gt;&lt;/ruby&gt;&lt;br&gt;&lt;div class=""audio""&gt;[sound:けいじ.mp3]&lt;/div&gt;")</f>
        <v>&lt;ruby&gt;掲示&lt;rt&gt;けいじ&lt;/rt&gt;&lt;/ruby&gt;&lt;br&gt;&lt;div class="audio"&gt;[sound:けいじ.mp3]&lt;/div&gt;</v>
      </c>
      <c r="H5230" s="3" t="str">
        <f t="shared" si="1"/>
        <v>(n): thông báo</v>
      </c>
      <c r="I5230" s="6" t="s">
        <v>28519</v>
      </c>
      <c r="J5230" s="6" t="s">
        <v>28520</v>
      </c>
      <c r="K5230" s="7">
        <f t="shared" si="2"/>
        <v>0.8660879094</v>
      </c>
    </row>
    <row r="5231">
      <c r="A5231" s="4">
        <v>5231.0</v>
      </c>
      <c r="B5231" s="5" t="s">
        <v>28521</v>
      </c>
      <c r="C5231" s="5" t="s">
        <v>28522</v>
      </c>
      <c r="D5231" s="5" t="s">
        <v>28521</v>
      </c>
      <c r="E5231" s="6" t="s">
        <v>74</v>
      </c>
      <c r="F5231" s="6" t="s">
        <v>21155</v>
      </c>
      <c r="G5231" s="3" t="str">
        <f>IFERROR(__xludf.DUMMYFUNCTION("REGEXREPLACE(
D5231,
""([一-龯々]+)\[([^\]]+)\]"",
""&lt;ruby&gt;$1&lt;rt&gt;$2&lt;/rt&gt;&lt;/ruby&gt;""
)&amp;""&lt;br&gt;&lt;div class=""""audio""""&gt;[sound:""&amp;C5231&amp;"".mp3]&lt;/div&gt;"""),"イコール&lt;br&gt;&lt;div class=""audio""&gt;[sound:いこーる.mp3]&lt;/div&gt;")</f>
        <v>イコール&lt;br&gt;&lt;div class="audio"&gt;[sound:いこーる.mp3]&lt;/div&gt;</v>
      </c>
      <c r="H5231" s="3" t="str">
        <f t="shared" si="1"/>
        <v>(n): bằng</v>
      </c>
      <c r="I5231" s="6" t="s">
        <v>28523</v>
      </c>
      <c r="J5231" s="6" t="s">
        <v>28524</v>
      </c>
      <c r="K5231" s="7">
        <f t="shared" si="2"/>
        <v>0.01940722962</v>
      </c>
    </row>
    <row r="5232">
      <c r="A5232" s="4">
        <v>5232.0</v>
      </c>
      <c r="B5232" s="5" t="s">
        <v>28525</v>
      </c>
      <c r="C5232" s="5" t="s">
        <v>28526</v>
      </c>
      <c r="D5232" s="5" t="s">
        <v>28527</v>
      </c>
      <c r="E5232" s="6" t="s">
        <v>74</v>
      </c>
      <c r="F5232" s="6" t="s">
        <v>28528</v>
      </c>
      <c r="G5232" s="3" t="str">
        <f>IFERROR(__xludf.DUMMYFUNCTION("REGEXREPLACE(
D5232,
""([一-龯々]+)\[([^\]]+)\]"",
""&lt;ruby&gt;$1&lt;rt&gt;$2&lt;/rt&gt;&lt;/ruby&gt;""
)&amp;""&lt;br&gt;&lt;div class=""""audio""""&gt;[sound:""&amp;C5232&amp;"".mp3]&lt;/div&gt;"""),"&lt;ruby&gt;作曲&lt;rt&gt;さっきょく&lt;/rt&gt;&lt;/ruby&gt;&lt;br&gt;&lt;div class=""audio""&gt;[sound:さっきょく.mp3]&lt;/div&gt;")</f>
        <v>&lt;ruby&gt;作曲&lt;rt&gt;さっきょく&lt;/rt&gt;&lt;/ruby&gt;&lt;br&gt;&lt;div class="audio"&gt;[sound:さっきょく.mp3]&lt;/div&gt;</v>
      </c>
      <c r="H5232" s="3" t="str">
        <f t="shared" si="1"/>
        <v>(n): sáng tác nhạc</v>
      </c>
      <c r="I5232" s="6" t="s">
        <v>28529</v>
      </c>
      <c r="J5232" s="6" t="s">
        <v>28530</v>
      </c>
      <c r="K5232" s="7">
        <f t="shared" si="2"/>
        <v>0.5430641485</v>
      </c>
    </row>
    <row r="5233">
      <c r="A5233" s="4">
        <v>5233.0</v>
      </c>
      <c r="B5233" s="5" t="s">
        <v>28531</v>
      </c>
      <c r="C5233" s="5" t="s">
        <v>28532</v>
      </c>
      <c r="D5233" s="5" t="s">
        <v>28533</v>
      </c>
      <c r="E5233" s="6" t="s">
        <v>74</v>
      </c>
      <c r="F5233" s="6" t="s">
        <v>28534</v>
      </c>
      <c r="G5233" s="3" t="str">
        <f>IFERROR(__xludf.DUMMYFUNCTION("REGEXREPLACE(
D5233,
""([一-龯々]+)\[([^\]]+)\]"",
""&lt;ruby&gt;$1&lt;rt&gt;$2&lt;/rt&gt;&lt;/ruby&gt;""
)&amp;""&lt;br&gt;&lt;div class=""""audio""""&gt;[sound:""&amp;C5233&amp;"".mp3]&lt;/div&gt;"""),"&lt;ruby&gt;農薬&lt;rt&gt;のうやく&lt;/rt&gt;&lt;/ruby&gt;&lt;br&gt;&lt;div class=""audio""&gt;[sound:のうやく.mp3]&lt;/div&gt;")</f>
        <v>&lt;ruby&gt;農薬&lt;rt&gt;のうやく&lt;/rt&gt;&lt;/ruby&gt;&lt;br&gt;&lt;div class="audio"&gt;[sound:のうやく.mp3]&lt;/div&gt;</v>
      </c>
      <c r="H5233" s="3" t="str">
        <f t="shared" si="1"/>
        <v>(n): thuốc trừ sâu</v>
      </c>
      <c r="I5233" s="6" t="s">
        <v>28535</v>
      </c>
      <c r="J5233" s="6" t="s">
        <v>28536</v>
      </c>
      <c r="K5233" s="7">
        <f t="shared" si="2"/>
        <v>0.05922479832</v>
      </c>
    </row>
    <row r="5234">
      <c r="A5234" s="4">
        <v>5234.0</v>
      </c>
      <c r="B5234" s="5" t="s">
        <v>28537</v>
      </c>
      <c r="C5234" s="5" t="s">
        <v>28538</v>
      </c>
      <c r="D5234" s="5" t="s">
        <v>28539</v>
      </c>
      <c r="E5234" s="6" t="s">
        <v>74</v>
      </c>
      <c r="F5234" s="6" t="s">
        <v>28540</v>
      </c>
      <c r="G5234" s="3" t="str">
        <f>IFERROR(__xludf.DUMMYFUNCTION("REGEXREPLACE(
D5234,
""([一-龯々]+)\[([^\]]+)\]"",
""&lt;ruby&gt;$1&lt;rt&gt;$2&lt;/rt&gt;&lt;/ruby&gt;""
)&amp;""&lt;br&gt;&lt;div class=""""audio""""&gt;[sound:""&amp;C5234&amp;"".mp3]&lt;/div&gt;"""),"&lt;ruby&gt;夕日&lt;rt&gt;ゆうひ&lt;/rt&gt;&lt;/ruby&gt;&lt;br&gt;&lt;div class=""audio""&gt;[sound:ゆうひ.mp3]&lt;/div&gt;")</f>
        <v>&lt;ruby&gt;夕日&lt;rt&gt;ゆうひ&lt;/rt&gt;&lt;/ruby&gt;&lt;br&gt;&lt;div class="audio"&gt;[sound:ゆうひ.mp3]&lt;/div&gt;</v>
      </c>
      <c r="H5234" s="3" t="str">
        <f t="shared" si="1"/>
        <v>(n): mặt trời lặn</v>
      </c>
      <c r="I5234" s="6" t="s">
        <v>28541</v>
      </c>
      <c r="J5234" s="6" t="s">
        <v>28542</v>
      </c>
      <c r="K5234" s="7">
        <f t="shared" si="2"/>
        <v>0.9296565188</v>
      </c>
    </row>
    <row r="5235">
      <c r="A5235" s="4">
        <v>5235.0</v>
      </c>
      <c r="B5235" s="5" t="s">
        <v>28543</v>
      </c>
      <c r="C5235" s="5" t="s">
        <v>28544</v>
      </c>
      <c r="D5235" s="5" t="s">
        <v>28545</v>
      </c>
      <c r="E5235" s="6" t="s">
        <v>24</v>
      </c>
      <c r="F5235" s="6" t="s">
        <v>28546</v>
      </c>
      <c r="G5235" s="3" t="str">
        <f>IFERROR(__xludf.DUMMYFUNCTION("REGEXREPLACE(
D5235,
""([一-龯々]+)\[([^\]]+)\]"",
""&lt;ruby&gt;$1&lt;rt&gt;$2&lt;/rt&gt;&lt;/ruby&gt;""
)&amp;""&lt;br&gt;&lt;div class=""""audio""""&gt;[sound:""&amp;C5235&amp;"".mp3]&lt;/div&gt;"""),"&lt;ruby&gt;通&lt;rt&gt;とお&lt;/rt&gt;&lt;/ruby&gt;り&lt;ruby&gt;掛&lt;rt&gt;か&lt;/rt&gt;&lt;/ruby&gt;かる&lt;br&gt;&lt;div class=""audio""&gt;[sound:とおりかかる.mp3]&lt;/div&gt;")</f>
        <v>&lt;ruby&gt;通&lt;rt&gt;とお&lt;/rt&gt;&lt;/ruby&gt;り&lt;ruby&gt;掛&lt;rt&gt;か&lt;/rt&gt;&lt;/ruby&gt;かる&lt;br&gt;&lt;div class="audio"&gt;[sound:とおりかかる.mp3]&lt;/div&gt;</v>
      </c>
      <c r="H5235" s="3" t="str">
        <f t="shared" si="1"/>
        <v>(v): đi ngang qua</v>
      </c>
      <c r="I5235" s="6" t="s">
        <v>28547</v>
      </c>
      <c r="J5235" s="6" t="s">
        <v>28548</v>
      </c>
      <c r="K5235" s="7">
        <f t="shared" si="2"/>
        <v>0.6439346676</v>
      </c>
    </row>
    <row r="5236">
      <c r="A5236" s="4">
        <v>5236.0</v>
      </c>
      <c r="B5236" s="5" t="s">
        <v>28549</v>
      </c>
      <c r="C5236" s="5" t="s">
        <v>28550</v>
      </c>
      <c r="D5236" s="5" t="s">
        <v>28551</v>
      </c>
      <c r="E5236" s="6" t="s">
        <v>74</v>
      </c>
      <c r="F5236" s="6" t="s">
        <v>28552</v>
      </c>
      <c r="G5236" s="3" t="str">
        <f>IFERROR(__xludf.DUMMYFUNCTION("REGEXREPLACE(
D5236,
""([一-龯々]+)\[([^\]]+)\]"",
""&lt;ruby&gt;$1&lt;rt&gt;$2&lt;/rt&gt;&lt;/ruby&gt;""
)&amp;""&lt;br&gt;&lt;div class=""""audio""""&gt;[sound:""&amp;C5236&amp;"".mp3]&lt;/div&gt;"""),"&lt;ruby&gt;通帳&lt;rt&gt;つうちょう&lt;/rt&gt;&lt;/ruby&gt;&lt;br&gt;&lt;div class=""audio""&gt;[sound:つうちょう.mp3]&lt;/div&gt;")</f>
        <v>&lt;ruby&gt;通帳&lt;rt&gt;つうちょう&lt;/rt&gt;&lt;/ruby&gt;&lt;br&gt;&lt;div class="audio"&gt;[sound:つうちょう.mp3]&lt;/div&gt;</v>
      </c>
      <c r="H5236" s="3" t="str">
        <f t="shared" si="1"/>
        <v>(n): sổ ngân hàng</v>
      </c>
      <c r="I5236" s="6" t="s">
        <v>28553</v>
      </c>
      <c r="J5236" s="6" t="s">
        <v>28554</v>
      </c>
      <c r="K5236" s="7">
        <f t="shared" si="2"/>
        <v>0.3397219795</v>
      </c>
    </row>
    <row r="5237">
      <c r="A5237" s="4">
        <v>5237.0</v>
      </c>
      <c r="B5237" s="5" t="s">
        <v>28555</v>
      </c>
      <c r="C5237" s="5" t="s">
        <v>22135</v>
      </c>
      <c r="D5237" s="5" t="s">
        <v>28556</v>
      </c>
      <c r="E5237" s="6" t="s">
        <v>74</v>
      </c>
      <c r="F5237" s="6" t="s">
        <v>4128</v>
      </c>
      <c r="G5237" s="3" t="str">
        <f>IFERROR(__xludf.DUMMYFUNCTION("REGEXREPLACE(
D5237,
""([一-龯々]+)\[([^\]]+)\]"",
""&lt;ruby&gt;$1&lt;rt&gt;$2&lt;/rt&gt;&lt;/ruby&gt;""
)&amp;""&lt;br&gt;&lt;div class=""""audio""""&gt;[sound:""&amp;C5237&amp;"".mp3]&lt;/div&gt;"""),"&lt;ruby&gt;起床&lt;rt&gt;きしょう&lt;/rt&gt;&lt;/ruby&gt;&lt;br&gt;&lt;div class=""audio""&gt;[sound:きしょう.mp3]&lt;/div&gt;")</f>
        <v>&lt;ruby&gt;起床&lt;rt&gt;きしょう&lt;/rt&gt;&lt;/ruby&gt;&lt;br&gt;&lt;div class="audio"&gt;[sound:きしょう.mp3]&lt;/div&gt;</v>
      </c>
      <c r="H5237" s="3" t="str">
        <f t="shared" si="1"/>
        <v>(n): thức dậy</v>
      </c>
      <c r="I5237" s="6" t="s">
        <v>28557</v>
      </c>
      <c r="J5237" s="6" t="s">
        <v>28558</v>
      </c>
      <c r="K5237" s="7">
        <f t="shared" si="2"/>
        <v>0.5033300898</v>
      </c>
    </row>
    <row r="5238">
      <c r="A5238" s="4">
        <v>5238.0</v>
      </c>
      <c r="B5238" s="5" t="s">
        <v>28559</v>
      </c>
      <c r="C5238" s="5" t="s">
        <v>28560</v>
      </c>
      <c r="D5238" s="5" t="s">
        <v>28561</v>
      </c>
      <c r="E5238" s="6" t="s">
        <v>74</v>
      </c>
      <c r="F5238" s="6" t="s">
        <v>28562</v>
      </c>
      <c r="G5238" s="3" t="str">
        <f>IFERROR(__xludf.DUMMYFUNCTION("REGEXREPLACE(
D5238,
""([一-龯々]+)\[([^\]]+)\]"",
""&lt;ruby&gt;$1&lt;rt&gt;$2&lt;/rt&gt;&lt;/ruby&gt;""
)&amp;""&lt;br&gt;&lt;div class=""""audio""""&gt;[sound:""&amp;C5238&amp;"".mp3]&lt;/div&gt;"""),"&lt;ruby&gt;外科&lt;rt&gt;げか&lt;/rt&gt;&lt;/ruby&gt;&lt;br&gt;&lt;div class=""audio""&gt;[sound:げか.mp3]&lt;/div&gt;")</f>
        <v>&lt;ruby&gt;外科&lt;rt&gt;げか&lt;/rt&gt;&lt;/ruby&gt;&lt;br&gt;&lt;div class="audio"&gt;[sound:げか.mp3]&lt;/div&gt;</v>
      </c>
      <c r="H5238" s="3" t="str">
        <f t="shared" si="1"/>
        <v>(n): ngoại khoa</v>
      </c>
      <c r="I5238" s="6" t="s">
        <v>28563</v>
      </c>
      <c r="J5238" s="6" t="s">
        <v>28564</v>
      </c>
      <c r="K5238" s="7">
        <f t="shared" si="2"/>
        <v>0.5592043962</v>
      </c>
    </row>
    <row r="5239">
      <c r="A5239" s="4">
        <v>5239.0</v>
      </c>
      <c r="B5239" s="5" t="s">
        <v>28565</v>
      </c>
      <c r="C5239" s="5" t="s">
        <v>28566</v>
      </c>
      <c r="D5239" s="5" t="s">
        <v>28567</v>
      </c>
      <c r="E5239" s="6" t="s">
        <v>74</v>
      </c>
      <c r="F5239" s="6" t="s">
        <v>22125</v>
      </c>
      <c r="G5239" s="3" t="str">
        <f>IFERROR(__xludf.DUMMYFUNCTION("REGEXREPLACE(
D5239,
""([一-龯々]+)\[([^\]]+)\]"",
""&lt;ruby&gt;$1&lt;rt&gt;$2&lt;/rt&gt;&lt;/ruby&gt;""
)&amp;""&lt;br&gt;&lt;div class=""""audio""""&gt;[sound:""&amp;C5239&amp;"".mp3]&lt;/div&gt;"""),"&lt;ruby&gt;区分&lt;rt&gt;くぶん&lt;/rt&gt;&lt;/ruby&gt;&lt;br&gt;&lt;div class=""audio""&gt;[sound:くぶん.mp3]&lt;/div&gt;")</f>
        <v>&lt;ruby&gt;区分&lt;rt&gt;くぶん&lt;/rt&gt;&lt;/ruby&gt;&lt;br&gt;&lt;div class="audio"&gt;[sound:くぶん.mp3]&lt;/div&gt;</v>
      </c>
      <c r="H5239" s="3" t="str">
        <f t="shared" si="1"/>
        <v>(n): phân chia</v>
      </c>
      <c r="I5239" s="6" t="s">
        <v>28568</v>
      </c>
      <c r="J5239" s="6" t="s">
        <v>28569</v>
      </c>
      <c r="K5239" s="7">
        <f t="shared" si="2"/>
        <v>0.07619842874</v>
      </c>
    </row>
    <row r="5240">
      <c r="A5240" s="4">
        <v>5240.0</v>
      </c>
      <c r="B5240" s="5" t="s">
        <v>28570</v>
      </c>
      <c r="C5240" s="5" t="s">
        <v>15273</v>
      </c>
      <c r="D5240" s="5" t="s">
        <v>28571</v>
      </c>
      <c r="E5240" s="6" t="s">
        <v>74</v>
      </c>
      <c r="F5240" s="6" t="s">
        <v>17520</v>
      </c>
      <c r="G5240" s="3" t="str">
        <f>IFERROR(__xludf.DUMMYFUNCTION("REGEXREPLACE(
D5240,
""([一-龯々]+)\[([^\]]+)\]"",
""&lt;ruby&gt;$1&lt;rt&gt;$2&lt;/rt&gt;&lt;/ruby&gt;""
)&amp;""&lt;br&gt;&lt;div class=""""audio""""&gt;[sound:""&amp;C5240&amp;"".mp3]&lt;/div&gt;"""),"&lt;ruby&gt;原&lt;rt&gt;はら&lt;/rt&gt;&lt;/ruby&gt;&lt;br&gt;&lt;div class=""audio""&gt;[sound:はら.mp3]&lt;/div&gt;")</f>
        <v>&lt;ruby&gt;原&lt;rt&gt;はら&lt;/rt&gt;&lt;/ruby&gt;&lt;br&gt;&lt;div class="audio"&gt;[sound:はら.mp3]&lt;/div&gt;</v>
      </c>
      <c r="H5240" s="3" t="str">
        <f t="shared" si="1"/>
        <v>(n): cánh đồng</v>
      </c>
      <c r="I5240" s="6" t="s">
        <v>28572</v>
      </c>
      <c r="J5240" s="6" t="s">
        <v>28573</v>
      </c>
      <c r="K5240" s="7">
        <f t="shared" si="2"/>
        <v>0.272080941</v>
      </c>
    </row>
    <row r="5241">
      <c r="A5241" s="4">
        <v>5241.0</v>
      </c>
      <c r="B5241" s="5" t="s">
        <v>28574</v>
      </c>
      <c r="C5241" s="5" t="s">
        <v>28575</v>
      </c>
      <c r="D5241" s="5" t="s">
        <v>28576</v>
      </c>
      <c r="E5241" s="6" t="s">
        <v>11</v>
      </c>
      <c r="F5241" s="6" t="s">
        <v>8923</v>
      </c>
      <c r="G5241" s="3" t="str">
        <f>IFERROR(__xludf.DUMMYFUNCTION("REGEXREPLACE(
D5241,
""([一-龯々]+)\[([^\]]+)\]"",
""&lt;ruby&gt;$1&lt;rt&gt;$2&lt;/rt&gt;&lt;/ruby&gt;""
)&amp;""&lt;br&gt;&lt;div class=""""audio""""&gt;[sound:""&amp;C5241&amp;"".mp3]&lt;/div&gt;"""),"&lt;ruby&gt;適確&lt;rt&gt;てきかく&lt;/rt&gt;&lt;/ruby&gt;&lt;br&gt;&lt;div class=""audio""&gt;[sound:てきかく.mp3]&lt;/div&gt;")</f>
        <v>&lt;ruby&gt;適確&lt;rt&gt;てきかく&lt;/rt&gt;&lt;/ruby&gt;&lt;br&gt;&lt;div class="audio"&gt;[sound:てきかく.mp3]&lt;/div&gt;</v>
      </c>
      <c r="H5241" s="3" t="str">
        <f t="shared" si="1"/>
        <v>(adj): chính xác</v>
      </c>
      <c r="I5241" s="6" t="s">
        <v>28577</v>
      </c>
      <c r="J5241" s="6" t="s">
        <v>28578</v>
      </c>
      <c r="K5241" s="7">
        <f t="shared" si="2"/>
        <v>0.2494839095</v>
      </c>
    </row>
    <row r="5242">
      <c r="A5242" s="4">
        <v>5242.0</v>
      </c>
      <c r="B5242" s="5" t="s">
        <v>28579</v>
      </c>
      <c r="C5242" s="5" t="s">
        <v>28580</v>
      </c>
      <c r="D5242" s="5" t="s">
        <v>28581</v>
      </c>
      <c r="E5242" s="6" t="s">
        <v>74</v>
      </c>
      <c r="F5242" s="6" t="s">
        <v>28582</v>
      </c>
      <c r="G5242" s="3" t="str">
        <f>IFERROR(__xludf.DUMMYFUNCTION("REGEXREPLACE(
D5242,
""([一-龯々]+)\[([^\]]+)\]"",
""&lt;ruby&gt;$1&lt;rt&gt;$2&lt;/rt&gt;&lt;/ruby&gt;""
)&amp;""&lt;br&gt;&lt;div class=""""audio""""&gt;[sound:""&amp;C5242&amp;"".mp3]&lt;/div&gt;"""),"&lt;ruby&gt;吐&lt;rt&gt;は&lt;/rt&gt;&lt;/ruby&gt;き&lt;ruby&gt;気&lt;rt&gt;け&lt;/rt&gt;&lt;/ruby&gt;&lt;br&gt;&lt;div class=""audio""&gt;[sound:はきけ.mp3]&lt;/div&gt;")</f>
        <v>&lt;ruby&gt;吐&lt;rt&gt;は&lt;/rt&gt;&lt;/ruby&gt;き&lt;ruby&gt;気&lt;rt&gt;け&lt;/rt&gt;&lt;/ruby&gt;&lt;br&gt;&lt;div class="audio"&gt;[sound:はきけ.mp3]&lt;/div&gt;</v>
      </c>
      <c r="H5242" s="3" t="str">
        <f t="shared" si="1"/>
        <v>(n): buồn nôn</v>
      </c>
      <c r="I5242" s="6" t="s">
        <v>28583</v>
      </c>
      <c r="J5242" s="6" t="s">
        <v>28584</v>
      </c>
      <c r="K5242" s="7">
        <f t="shared" si="2"/>
        <v>0.06761776651</v>
      </c>
    </row>
    <row r="5243">
      <c r="A5243" s="4">
        <v>5243.0</v>
      </c>
      <c r="B5243" s="5" t="s">
        <v>28585</v>
      </c>
      <c r="C5243" s="5" t="s">
        <v>28586</v>
      </c>
      <c r="D5243" s="5" t="s">
        <v>28587</v>
      </c>
      <c r="E5243" s="6" t="s">
        <v>74</v>
      </c>
      <c r="F5243" s="6" t="s">
        <v>28588</v>
      </c>
      <c r="G5243" s="3" t="str">
        <f>IFERROR(__xludf.DUMMYFUNCTION("REGEXREPLACE(
D5243,
""([一-龯々]+)\[([^\]]+)\]"",
""&lt;ruby&gt;$1&lt;rt&gt;$2&lt;/rt&gt;&lt;/ruby&gt;""
)&amp;""&lt;br&gt;&lt;div class=""""audio""""&gt;[sound:""&amp;C5243&amp;"".mp3]&lt;/div&gt;"""),"&lt;ruby&gt;女王&lt;rt&gt;じょおう&lt;/rt&gt;&lt;/ruby&gt;&lt;br&gt;&lt;div class=""audio""&gt;[sound:じょおう.mp3]&lt;/div&gt;")</f>
        <v>&lt;ruby&gt;女王&lt;rt&gt;じょおう&lt;/rt&gt;&lt;/ruby&gt;&lt;br&gt;&lt;div class="audio"&gt;[sound:じょおう.mp3]&lt;/div&gt;</v>
      </c>
      <c r="H5243" s="3" t="str">
        <f t="shared" si="1"/>
        <v>(n): nữ hoàng</v>
      </c>
      <c r="I5243" s="6" t="s">
        <v>28589</v>
      </c>
      <c r="J5243" s="6" t="s">
        <v>28590</v>
      </c>
      <c r="K5243" s="7">
        <f t="shared" si="2"/>
        <v>0.2550974261</v>
      </c>
    </row>
    <row r="5244">
      <c r="A5244" s="4">
        <v>5244.0</v>
      </c>
      <c r="B5244" s="5" t="s">
        <v>28591</v>
      </c>
      <c r="C5244" s="5" t="s">
        <v>28592</v>
      </c>
      <c r="D5244" s="5" t="s">
        <v>28593</v>
      </c>
      <c r="E5244" s="6" t="s">
        <v>74</v>
      </c>
      <c r="F5244" s="6" t="s">
        <v>28594</v>
      </c>
      <c r="G5244" s="3" t="str">
        <f>IFERROR(__xludf.DUMMYFUNCTION("REGEXREPLACE(
D5244,
""([一-龯々]+)\[([^\]]+)\]"",
""&lt;ruby&gt;$1&lt;rt&gt;$2&lt;/rt&gt;&lt;/ruby&gt;""
)&amp;""&lt;br&gt;&lt;div class=""""audio""""&gt;[sound:""&amp;C5244&amp;"".mp3]&lt;/div&gt;"""),"&lt;ruby&gt;法則&lt;rt&gt;ほうそく&lt;/rt&gt;&lt;/ruby&gt;&lt;br&gt;&lt;div class=""audio""&gt;[sound:ほうそく.mp3]&lt;/div&gt;")</f>
        <v>&lt;ruby&gt;法則&lt;rt&gt;ほうそく&lt;/rt&gt;&lt;/ruby&gt;&lt;br&gt;&lt;div class="audio"&gt;[sound:ほうそく.mp3]&lt;/div&gt;</v>
      </c>
      <c r="H5244" s="3" t="str">
        <f t="shared" si="1"/>
        <v>(n): quy luật</v>
      </c>
      <c r="I5244" s="6" t="s">
        <v>28595</v>
      </c>
      <c r="J5244" s="6" t="s">
        <v>28596</v>
      </c>
      <c r="K5244" s="7">
        <f t="shared" si="2"/>
        <v>0.295865572</v>
      </c>
    </row>
    <row r="5245">
      <c r="A5245" s="4">
        <v>5245.0</v>
      </c>
      <c r="B5245" s="5" t="s">
        <v>28597</v>
      </c>
      <c r="C5245" s="5" t="s">
        <v>28598</v>
      </c>
      <c r="D5245" s="5" t="s">
        <v>28599</v>
      </c>
      <c r="E5245" s="6" t="s">
        <v>85</v>
      </c>
      <c r="F5245" s="6" t="s">
        <v>5734</v>
      </c>
      <c r="G5245" s="3" t="str">
        <f>IFERROR(__xludf.DUMMYFUNCTION("REGEXREPLACE(
D5245,
""([一-龯々]+)\[([^\]]+)\]"",
""&lt;ruby&gt;$1&lt;rt&gt;$2&lt;/rt&gt;&lt;/ruby&gt;""
)&amp;""&lt;br&gt;&lt;div class=""""audio""""&gt;[sound:""&amp;C5245&amp;"".mp3]&lt;/div&gt;"""),"&lt;ruby&gt;続々&lt;rt&gt;ぞくぞく&lt;/rt&gt;&lt;/ruby&gt;&lt;br&gt;&lt;div class=""audio""&gt;[sound:ぞくぞく.mp3]&lt;/div&gt;")</f>
        <v>&lt;ruby&gt;続々&lt;rt&gt;ぞくぞく&lt;/rt&gt;&lt;/ruby&gt;&lt;br&gt;&lt;div class="audio"&gt;[sound:ぞくぞく.mp3]&lt;/div&gt;</v>
      </c>
      <c r="H5245" s="3" t="str">
        <f t="shared" si="1"/>
        <v>(adv): liên tục</v>
      </c>
      <c r="I5245" s="6" t="s">
        <v>28600</v>
      </c>
      <c r="J5245" s="6" t="s">
        <v>28601</v>
      </c>
      <c r="K5245" s="7">
        <f t="shared" si="2"/>
        <v>0.5950048439</v>
      </c>
    </row>
    <row r="5246">
      <c r="A5246" s="4">
        <v>5246.0</v>
      </c>
      <c r="B5246" s="5" t="s">
        <v>28602</v>
      </c>
      <c r="C5246" s="5" t="s">
        <v>28603</v>
      </c>
      <c r="D5246" s="5" t="s">
        <v>28604</v>
      </c>
      <c r="E5246" s="6" t="s">
        <v>74</v>
      </c>
      <c r="F5246" s="6" t="s">
        <v>28605</v>
      </c>
      <c r="G5246" s="3" t="str">
        <f>IFERROR(__xludf.DUMMYFUNCTION("REGEXREPLACE(
D5246,
""([一-龯々]+)\[([^\]]+)\]"",
""&lt;ruby&gt;$1&lt;rt&gt;$2&lt;/rt&gt;&lt;/ruby&gt;""
)&amp;""&lt;br&gt;&lt;div class=""""audio""""&gt;[sound:""&amp;C5246&amp;"".mp3]&lt;/div&gt;"""),"&lt;ruby&gt;口紅&lt;rt&gt;くちべに&lt;/rt&gt;&lt;/ruby&gt;&lt;br&gt;&lt;div class=""audio""&gt;[sound:くちべに.mp3]&lt;/div&gt;")</f>
        <v>&lt;ruby&gt;口紅&lt;rt&gt;くちべに&lt;/rt&gt;&lt;/ruby&gt;&lt;br&gt;&lt;div class="audio"&gt;[sound:くちべに.mp3]&lt;/div&gt;</v>
      </c>
      <c r="H5246" s="3" t="str">
        <f t="shared" si="1"/>
        <v>(n): son môi</v>
      </c>
      <c r="I5246" s="6" t="s">
        <v>28606</v>
      </c>
      <c r="J5246" s="6" t="s">
        <v>28607</v>
      </c>
      <c r="K5246" s="7">
        <f t="shared" si="2"/>
        <v>0.5042264837</v>
      </c>
    </row>
    <row r="5247">
      <c r="A5247" s="4">
        <v>5247.0</v>
      </c>
      <c r="B5247" s="5" t="s">
        <v>28608</v>
      </c>
      <c r="C5247" s="5" t="s">
        <v>28609</v>
      </c>
      <c r="D5247" s="5" t="s">
        <v>28610</v>
      </c>
      <c r="E5247" s="6" t="s">
        <v>74</v>
      </c>
      <c r="F5247" s="6" t="s">
        <v>28611</v>
      </c>
      <c r="G5247" s="3" t="str">
        <f>IFERROR(__xludf.DUMMYFUNCTION("REGEXREPLACE(
D5247,
""([一-龯々]+)\[([^\]]+)\]"",
""&lt;ruby&gt;$1&lt;rt&gt;$2&lt;/rt&gt;&lt;/ruby&gt;""
)&amp;""&lt;br&gt;&lt;div class=""""audio""""&gt;[sound:""&amp;C5247&amp;"".mp3]&lt;/div&gt;"""),"&lt;ruby&gt;居眠&lt;rt&gt;いねむ&lt;/rt&gt;&lt;/ruby&gt;り&lt;br&gt;&lt;div class=""audio""&gt;[sound:いねむり.mp3]&lt;/div&gt;")</f>
        <v>&lt;ruby&gt;居眠&lt;rt&gt;いねむ&lt;/rt&gt;&lt;/ruby&gt;り&lt;br&gt;&lt;div class="audio"&gt;[sound:いねむり.mp3]&lt;/div&gt;</v>
      </c>
      <c r="H5247" s="3" t="str">
        <f t="shared" si="1"/>
        <v>(n): ngủ gật</v>
      </c>
      <c r="I5247" s="6" t="s">
        <v>28612</v>
      </c>
      <c r="J5247" s="6" t="s">
        <v>28613</v>
      </c>
      <c r="K5247" s="7">
        <f t="shared" si="2"/>
        <v>0.4898476637</v>
      </c>
    </row>
    <row r="5248">
      <c r="A5248" s="4">
        <v>5248.0</v>
      </c>
      <c r="B5248" s="5" t="s">
        <v>28614</v>
      </c>
      <c r="C5248" s="5" t="s">
        <v>4890</v>
      </c>
      <c r="D5248" s="5" t="s">
        <v>28615</v>
      </c>
      <c r="E5248" s="6" t="s">
        <v>24</v>
      </c>
      <c r="F5248" s="6" t="s">
        <v>11953</v>
      </c>
      <c r="G5248" s="3" t="str">
        <f>IFERROR(__xludf.DUMMYFUNCTION("REGEXREPLACE(
D5248,
""([一-龯々]+)\[([^\]]+)\]"",
""&lt;ruby&gt;$1&lt;rt&gt;$2&lt;/rt&gt;&lt;/ruby&gt;""
)&amp;""&lt;br&gt;&lt;div class=""""audio""""&gt;[sound:""&amp;C5248&amp;"".mp3]&lt;/div&gt;"""),"&lt;ruby&gt;量&lt;rt&gt;はか&lt;/rt&gt;&lt;/ruby&gt;る&lt;br&gt;&lt;div class=""audio""&gt;[sound:はかる.mp3]&lt;/div&gt;")</f>
        <v>&lt;ruby&gt;量&lt;rt&gt;はか&lt;/rt&gt;&lt;/ruby&gt;る&lt;br&gt;&lt;div class="audio"&gt;[sound:はかる.mp3]&lt;/div&gt;</v>
      </c>
      <c r="H5248" s="3" t="str">
        <f t="shared" si="1"/>
        <v>(v): đo</v>
      </c>
      <c r="I5248" s="6" t="s">
        <v>28616</v>
      </c>
      <c r="J5248" s="6" t="s">
        <v>28617</v>
      </c>
      <c r="K5248" s="7">
        <f t="shared" si="2"/>
        <v>0.8064725858</v>
      </c>
    </row>
    <row r="5249">
      <c r="A5249" s="4">
        <v>5249.0</v>
      </c>
      <c r="B5249" s="5" t="s">
        <v>28618</v>
      </c>
      <c r="C5249" s="5" t="s">
        <v>28619</v>
      </c>
      <c r="D5249" s="5" t="s">
        <v>28620</v>
      </c>
      <c r="E5249" s="6" t="s">
        <v>74</v>
      </c>
      <c r="F5249" s="6" t="s">
        <v>28621</v>
      </c>
      <c r="G5249" s="3" t="str">
        <f>IFERROR(__xludf.DUMMYFUNCTION("REGEXREPLACE(
D5249,
""([一-龯々]+)\[([^\]]+)\]"",
""&lt;ruby&gt;$1&lt;rt&gt;$2&lt;/rt&gt;&lt;/ruby&gt;""
)&amp;""&lt;br&gt;&lt;div class=""""audio""""&gt;[sound:""&amp;C5249&amp;"".mp3]&lt;/div&gt;"""),"&lt;ruby&gt;言葉遣&lt;rt&gt;ことばづか&lt;/rt&gt;&lt;/ruby&gt;い&lt;br&gt;&lt;div class=""audio""&gt;[sound:ことばづかい.mp3]&lt;/div&gt;")</f>
        <v>&lt;ruby&gt;言葉遣&lt;rt&gt;ことばづか&lt;/rt&gt;&lt;/ruby&gt;い&lt;br&gt;&lt;div class="audio"&gt;[sound:ことばづかい.mp3]&lt;/div&gt;</v>
      </c>
      <c r="H5249" s="3" t="str">
        <f t="shared" si="1"/>
        <v>(n): cách dùng từ</v>
      </c>
      <c r="I5249" s="6" t="s">
        <v>28622</v>
      </c>
      <c r="J5249" s="6" t="s">
        <v>28623</v>
      </c>
      <c r="K5249" s="7">
        <f t="shared" si="2"/>
        <v>0.7803593755</v>
      </c>
    </row>
    <row r="5250">
      <c r="A5250" s="4">
        <v>5250.0</v>
      </c>
      <c r="B5250" s="5" t="s">
        <v>28624</v>
      </c>
      <c r="C5250" s="5" t="s">
        <v>28625</v>
      </c>
      <c r="D5250" s="5" t="s">
        <v>28626</v>
      </c>
      <c r="E5250" s="6" t="s">
        <v>74</v>
      </c>
      <c r="F5250" s="6" t="s">
        <v>28627</v>
      </c>
      <c r="G5250" s="3" t="str">
        <f>IFERROR(__xludf.DUMMYFUNCTION("REGEXREPLACE(
D5250,
""([一-龯々]+)\[([^\]]+)\]"",
""&lt;ruby&gt;$1&lt;rt&gt;$2&lt;/rt&gt;&lt;/ruby&gt;""
)&amp;""&lt;br&gt;&lt;div class=""""audio""""&gt;[sound:""&amp;C5250&amp;"".mp3]&lt;/div&gt;"""),"&lt;ruby&gt;引力&lt;rt&gt;いんりょく&lt;/rt&gt;&lt;/ruby&gt;&lt;br&gt;&lt;div class=""audio""&gt;[sound:いんりょく.mp3]&lt;/div&gt;")</f>
        <v>&lt;ruby&gt;引力&lt;rt&gt;いんりょく&lt;/rt&gt;&lt;/ruby&gt;&lt;br&gt;&lt;div class="audio"&gt;[sound:いんりょく.mp3]&lt;/div&gt;</v>
      </c>
      <c r="H5250" s="3" t="str">
        <f t="shared" si="1"/>
        <v>(n): lực hấp dẫn</v>
      </c>
      <c r="I5250" s="6" t="s">
        <v>28628</v>
      </c>
      <c r="J5250" s="6" t="s">
        <v>28629</v>
      </c>
      <c r="K5250" s="7">
        <f t="shared" si="2"/>
        <v>0.171053114</v>
      </c>
    </row>
    <row r="5251">
      <c r="A5251" s="4">
        <v>5251.0</v>
      </c>
      <c r="B5251" s="5" t="s">
        <v>28630</v>
      </c>
      <c r="C5251" s="5" t="s">
        <v>28631</v>
      </c>
      <c r="D5251" s="5" t="s">
        <v>28632</v>
      </c>
      <c r="E5251" s="6" t="s">
        <v>24</v>
      </c>
      <c r="F5251" s="6" t="s">
        <v>28633</v>
      </c>
      <c r="G5251" s="3" t="str">
        <f>IFERROR(__xludf.DUMMYFUNCTION("REGEXREPLACE(
D5251,
""([一-龯々]+)\[([^\]]+)\]"",
""&lt;ruby&gt;$1&lt;rt&gt;$2&lt;/rt&gt;&lt;/ruby&gt;""
)&amp;""&lt;br&gt;&lt;div class=""""audio""""&gt;[sound:""&amp;C5251&amp;"".mp3]&lt;/div&gt;"""),"&lt;ruby&gt;下車&lt;rt&gt;げしゃ&lt;/rt&gt;&lt;/ruby&gt;&lt;br&gt;&lt;div class=""audio""&gt;[sound:げしゃ.mp3]&lt;/div&gt;")</f>
        <v>&lt;ruby&gt;下車&lt;rt&gt;げしゃ&lt;/rt&gt;&lt;/ruby&gt;&lt;br&gt;&lt;div class="audio"&gt;[sound:げしゃ.mp3]&lt;/div&gt;</v>
      </c>
      <c r="H5251" s="3" t="str">
        <f t="shared" si="1"/>
        <v>(v): xuống tàu</v>
      </c>
      <c r="I5251" s="6" t="s">
        <v>28634</v>
      </c>
      <c r="J5251" s="6" t="s">
        <v>28635</v>
      </c>
      <c r="K5251" s="7">
        <f t="shared" si="2"/>
        <v>0.7013080513</v>
      </c>
    </row>
    <row r="5252">
      <c r="A5252" s="4">
        <v>5252.0</v>
      </c>
      <c r="B5252" s="5" t="s">
        <v>28636</v>
      </c>
      <c r="C5252" s="5" t="s">
        <v>28637</v>
      </c>
      <c r="D5252" s="5" t="s">
        <v>28638</v>
      </c>
      <c r="E5252" s="6" t="s">
        <v>74</v>
      </c>
      <c r="F5252" s="6" t="s">
        <v>9544</v>
      </c>
      <c r="G5252" s="3" t="str">
        <f>IFERROR(__xludf.DUMMYFUNCTION("REGEXREPLACE(
D5252,
""([一-龯々]+)\[([^\]]+)\]"",
""&lt;ruby&gt;$1&lt;rt&gt;$2&lt;/rt&gt;&lt;/ruby&gt;""
)&amp;""&lt;br&gt;&lt;div class=""""audio""""&gt;[sound:""&amp;C5252&amp;"".mp3]&lt;/div&gt;"""),"&lt;ruby&gt;決心&lt;rt&gt;けっしん&lt;/rt&gt;&lt;/ruby&gt;&lt;br&gt;&lt;div class=""audio""&gt;[sound:けっしん.mp3]&lt;/div&gt;")</f>
        <v>&lt;ruby&gt;決心&lt;rt&gt;けっしん&lt;/rt&gt;&lt;/ruby&gt;&lt;br&gt;&lt;div class="audio"&gt;[sound:けっしん.mp3]&lt;/div&gt;</v>
      </c>
      <c r="H5252" s="3" t="str">
        <f t="shared" si="1"/>
        <v>(n): quyết tâm</v>
      </c>
      <c r="I5252" s="6" t="s">
        <v>28639</v>
      </c>
      <c r="J5252" s="6" t="s">
        <v>28640</v>
      </c>
      <c r="K5252" s="7">
        <f t="shared" si="2"/>
        <v>0.7102722311</v>
      </c>
    </row>
    <row r="5253">
      <c r="A5253" s="4">
        <v>5253.0</v>
      </c>
      <c r="B5253" s="5" t="s">
        <v>28641</v>
      </c>
      <c r="C5253" s="5" t="s">
        <v>28642</v>
      </c>
      <c r="D5253" s="5" t="s">
        <v>28643</v>
      </c>
      <c r="E5253" s="6" t="s">
        <v>74</v>
      </c>
      <c r="F5253" s="6" t="s">
        <v>28644</v>
      </c>
      <c r="G5253" s="3" t="str">
        <f>IFERROR(__xludf.DUMMYFUNCTION("REGEXREPLACE(
D5253,
""([一-龯々]+)\[([^\]]+)\]"",
""&lt;ruby&gt;$1&lt;rt&gt;$2&lt;/rt&gt;&lt;/ruby&gt;""
)&amp;""&lt;br&gt;&lt;div class=""""audio""""&gt;[sound:""&amp;C5253&amp;"".mp3]&lt;/div&gt;"""),"&lt;ruby&gt;人込&lt;rt&gt;ひとご&lt;/rt&gt;&lt;/ruby&gt;み&lt;br&gt;&lt;div class=""audio""&gt;[sound:ひとごみ.mp3]&lt;/div&gt;")</f>
        <v>&lt;ruby&gt;人込&lt;rt&gt;ひとご&lt;/rt&gt;&lt;/ruby&gt;み&lt;br&gt;&lt;div class="audio"&gt;[sound:ひとごみ.mp3]&lt;/div&gt;</v>
      </c>
      <c r="H5253" s="3" t="str">
        <f t="shared" si="1"/>
        <v>(n): đám đông</v>
      </c>
      <c r="I5253" s="6" t="s">
        <v>28645</v>
      </c>
      <c r="J5253" s="6" t="s">
        <v>28646</v>
      </c>
      <c r="K5253" s="7">
        <f t="shared" si="2"/>
        <v>0.4448151494</v>
      </c>
    </row>
    <row r="5254">
      <c r="A5254" s="4">
        <v>5254.0</v>
      </c>
      <c r="B5254" s="5" t="s">
        <v>28647</v>
      </c>
      <c r="C5254" s="5" t="s">
        <v>28648</v>
      </c>
      <c r="D5254" s="5" t="s">
        <v>28649</v>
      </c>
      <c r="E5254" s="6" t="s">
        <v>74</v>
      </c>
      <c r="F5254" s="6" t="s">
        <v>28650</v>
      </c>
      <c r="G5254" s="3" t="str">
        <f>IFERROR(__xludf.DUMMYFUNCTION("REGEXREPLACE(
D5254,
""([一-龯々]+)\[([^\]]+)\]"",
""&lt;ruby&gt;$1&lt;rt&gt;$2&lt;/rt&gt;&lt;/ruby&gt;""
)&amp;""&lt;br&gt;&lt;div class=""""audio""""&gt;[sound:""&amp;C5254&amp;"".mp3]&lt;/div&gt;"""),"&lt;ruby&gt;会館&lt;rt&gt;かいかん&lt;/rt&gt;&lt;/ruby&gt;&lt;br&gt;&lt;div class=""audio""&gt;[sound:かいかん.mp3]&lt;/div&gt;")</f>
        <v>&lt;ruby&gt;会館&lt;rt&gt;かいかん&lt;/rt&gt;&lt;/ruby&gt;&lt;br&gt;&lt;div class="audio"&gt;[sound:かいかん.mp3]&lt;/div&gt;</v>
      </c>
      <c r="H5254" s="3" t="str">
        <f t="shared" si="1"/>
        <v>(n): hội quán</v>
      </c>
      <c r="I5254" s="6" t="s">
        <v>28651</v>
      </c>
      <c r="J5254" s="6" t="s">
        <v>28652</v>
      </c>
      <c r="K5254" s="7">
        <f t="shared" si="2"/>
        <v>0.8764630621</v>
      </c>
    </row>
    <row r="5255">
      <c r="A5255" s="4">
        <v>5255.0</v>
      </c>
      <c r="B5255" s="5" t="s">
        <v>28653</v>
      </c>
      <c r="C5255" s="5" t="s">
        <v>28654</v>
      </c>
      <c r="D5255" s="5" t="s">
        <v>28655</v>
      </c>
      <c r="E5255" s="6" t="s">
        <v>24</v>
      </c>
      <c r="F5255" s="6" t="s">
        <v>28656</v>
      </c>
      <c r="G5255" s="3" t="str">
        <f>IFERROR(__xludf.DUMMYFUNCTION("REGEXREPLACE(
D5255,
""([一-龯々]+)\[([^\]]+)\]"",
""&lt;ruby&gt;$1&lt;rt&gt;$2&lt;/rt&gt;&lt;/ruby&gt;""
)&amp;""&lt;br&gt;&lt;div class=""""audio""""&gt;[sound:""&amp;C5255&amp;"".mp3]&lt;/div&gt;"""),"&lt;ruby&gt;冷&lt;rt&gt;ひ&lt;/rt&gt;&lt;/ruby&gt;やす&lt;br&gt;&lt;div class=""audio""&gt;[sound:ひやす.mp3]&lt;/div&gt;")</f>
        <v>&lt;ruby&gt;冷&lt;rt&gt;ひ&lt;/rt&gt;&lt;/ruby&gt;やす&lt;br&gt;&lt;div class="audio"&gt;[sound:ひやす.mp3]&lt;/div&gt;</v>
      </c>
      <c r="H5255" s="3" t="str">
        <f t="shared" si="1"/>
        <v>(v): làm lạnh</v>
      </c>
      <c r="I5255" s="6" t="s">
        <v>28657</v>
      </c>
      <c r="J5255" s="6" t="s">
        <v>28658</v>
      </c>
      <c r="K5255" s="7">
        <f t="shared" si="2"/>
        <v>0.8369944277</v>
      </c>
    </row>
    <row r="5256">
      <c r="A5256" s="4">
        <v>5256.0</v>
      </c>
      <c r="B5256" s="5" t="s">
        <v>28659</v>
      </c>
      <c r="C5256" s="5" t="s">
        <v>7766</v>
      </c>
      <c r="D5256" s="5" t="s">
        <v>28660</v>
      </c>
      <c r="E5256" s="6" t="s">
        <v>74</v>
      </c>
      <c r="F5256" s="6" t="s">
        <v>26836</v>
      </c>
      <c r="G5256" s="3" t="str">
        <f>IFERROR(__xludf.DUMMYFUNCTION("REGEXREPLACE(
D5256,
""([一-龯々]+)\[([^\]]+)\]"",
""&lt;ruby&gt;$1&lt;rt&gt;$2&lt;/rt&gt;&lt;/ruby&gt;""
)&amp;""&lt;br&gt;&lt;div class=""""audio""""&gt;[sound:""&amp;C5256&amp;"".mp3]&lt;/div&gt;"""),"&lt;ruby&gt;創造&lt;rt&gt;そうぞう&lt;/rt&gt;&lt;/ruby&gt;&lt;br&gt;&lt;div class=""audio""&gt;[sound:そうぞう.mp3]&lt;/div&gt;")</f>
        <v>&lt;ruby&gt;創造&lt;rt&gt;そうぞう&lt;/rt&gt;&lt;/ruby&gt;&lt;br&gt;&lt;div class="audio"&gt;[sound:そうぞう.mp3]&lt;/div&gt;</v>
      </c>
      <c r="H5256" s="3" t="str">
        <f t="shared" si="1"/>
        <v>(n): sáng tạo</v>
      </c>
      <c r="I5256" s="6" t="s">
        <v>28661</v>
      </c>
      <c r="J5256" s="6" t="s">
        <v>28662</v>
      </c>
      <c r="K5256" s="7">
        <f t="shared" si="2"/>
        <v>0.3742561489</v>
      </c>
    </row>
    <row r="5257">
      <c r="A5257" s="4">
        <v>5257.0</v>
      </c>
      <c r="B5257" s="5" t="s">
        <v>28663</v>
      </c>
      <c r="C5257" s="5" t="s">
        <v>28664</v>
      </c>
      <c r="D5257" s="5" t="s">
        <v>28665</v>
      </c>
      <c r="E5257" s="6" t="s">
        <v>74</v>
      </c>
      <c r="F5257" s="6" t="s">
        <v>28666</v>
      </c>
      <c r="G5257" s="3" t="str">
        <f>IFERROR(__xludf.DUMMYFUNCTION("REGEXREPLACE(
D5257,
""([一-龯々]+)\[([^\]]+)\]"",
""&lt;ruby&gt;$1&lt;rt&gt;$2&lt;/rt&gt;&lt;/ruby&gt;""
)&amp;""&lt;br&gt;&lt;div class=""""audio""""&gt;[sound:""&amp;C5257&amp;"".mp3]&lt;/div&gt;"""),"&lt;ruby&gt;婚約&lt;rt&gt;こんやく&lt;/rt&gt;&lt;/ruby&gt;&lt;br&gt;&lt;div class=""audio""&gt;[sound:こんやく.mp3]&lt;/div&gt;")</f>
        <v>&lt;ruby&gt;婚約&lt;rt&gt;こんやく&lt;/rt&gt;&lt;/ruby&gt;&lt;br&gt;&lt;div class="audio"&gt;[sound:こんやく.mp3]&lt;/div&gt;</v>
      </c>
      <c r="H5257" s="3" t="str">
        <f t="shared" si="1"/>
        <v>(n): đính hôn</v>
      </c>
      <c r="I5257" s="6" t="s">
        <v>28667</v>
      </c>
      <c r="J5257" s="6" t="s">
        <v>28668</v>
      </c>
      <c r="K5257" s="7">
        <f t="shared" si="2"/>
        <v>0.8753653644</v>
      </c>
    </row>
    <row r="5258">
      <c r="A5258" s="4">
        <v>5258.0</v>
      </c>
      <c r="B5258" s="5" t="s">
        <v>28669</v>
      </c>
      <c r="C5258" s="5" t="s">
        <v>28670</v>
      </c>
      <c r="D5258" s="5" t="s">
        <v>28671</v>
      </c>
      <c r="E5258" s="6" t="s">
        <v>24</v>
      </c>
      <c r="F5258" s="6" t="s">
        <v>28672</v>
      </c>
      <c r="G5258" s="3" t="str">
        <f>IFERROR(__xludf.DUMMYFUNCTION("REGEXREPLACE(
D5258,
""([一-龯々]+)\[([^\]]+)\]"",
""&lt;ruby&gt;$1&lt;rt&gt;$2&lt;/rt&gt;&lt;/ruby&gt;""
)&amp;""&lt;br&gt;&lt;div class=""""audio""""&gt;[sound:""&amp;C5258&amp;"".mp3]&lt;/div&gt;"""),"&lt;ruby&gt;祭&lt;rt&gt;まつ&lt;/rt&gt;&lt;/ruby&gt;る&lt;br&gt;&lt;div class=""audio""&gt;[sound:まつる.mp3]&lt;/div&gt;")</f>
        <v>&lt;ruby&gt;祭&lt;rt&gt;まつ&lt;/rt&gt;&lt;/ruby&gt;る&lt;br&gt;&lt;div class="audio"&gt;[sound:まつる.mp3]&lt;/div&gt;</v>
      </c>
      <c r="H5258" s="3" t="str">
        <f t="shared" si="1"/>
        <v>(v): thờ cúng</v>
      </c>
      <c r="I5258" s="6" t="s">
        <v>28673</v>
      </c>
      <c r="J5258" s="6" t="s">
        <v>28674</v>
      </c>
      <c r="K5258" s="7">
        <f t="shared" si="2"/>
        <v>0.2562022162</v>
      </c>
    </row>
    <row r="5259">
      <c r="A5259" s="4">
        <v>5259.0</v>
      </c>
      <c r="B5259" s="5" t="s">
        <v>28675</v>
      </c>
      <c r="C5259" s="5" t="s">
        <v>28676</v>
      </c>
      <c r="D5259" s="5" t="s">
        <v>28677</v>
      </c>
      <c r="E5259" s="6" t="s">
        <v>74</v>
      </c>
      <c r="F5259" s="6" t="s">
        <v>28678</v>
      </c>
      <c r="G5259" s="3" t="str">
        <f>IFERROR(__xludf.DUMMYFUNCTION("REGEXREPLACE(
D5259,
""([一-龯々]+)\[([^\]]+)\]"",
""&lt;ruby&gt;$1&lt;rt&gt;$2&lt;/rt&gt;&lt;/ruby&gt;""
)&amp;""&lt;br&gt;&lt;div class=""""audio""""&gt;[sound:""&amp;C5259&amp;"".mp3]&lt;/div&gt;"""),"&lt;ruby&gt;親指&lt;rt&gt;おやゆび&lt;/rt&gt;&lt;/ruby&gt;&lt;br&gt;&lt;div class=""audio""&gt;[sound:おやゆび.mp3]&lt;/div&gt;")</f>
        <v>&lt;ruby&gt;親指&lt;rt&gt;おやゆび&lt;/rt&gt;&lt;/ruby&gt;&lt;br&gt;&lt;div class="audio"&gt;[sound:おやゆび.mp3]&lt;/div&gt;</v>
      </c>
      <c r="H5259" s="3" t="str">
        <f t="shared" si="1"/>
        <v>(n): ngón cái</v>
      </c>
      <c r="I5259" s="6" t="s">
        <v>28679</v>
      </c>
      <c r="J5259" s="6" t="s">
        <v>28680</v>
      </c>
      <c r="K5259" s="7">
        <f t="shared" si="2"/>
        <v>0.873996542</v>
      </c>
    </row>
    <row r="5260">
      <c r="A5260" s="4">
        <v>5260.0</v>
      </c>
      <c r="B5260" s="5" t="s">
        <v>28681</v>
      </c>
      <c r="C5260" s="5" t="s">
        <v>28681</v>
      </c>
      <c r="D5260" s="5" t="s">
        <v>28681</v>
      </c>
      <c r="E5260" s="6" t="s">
        <v>85</v>
      </c>
      <c r="F5260" s="6" t="s">
        <v>18091</v>
      </c>
      <c r="G5260" s="3" t="str">
        <f>IFERROR(__xludf.DUMMYFUNCTION("REGEXREPLACE(
D5260,
""([一-龯々]+)\[([^\]]+)\]"",
""&lt;ruby&gt;$1&lt;rt&gt;$2&lt;/rt&gt;&lt;/ruby&gt;""
)&amp;""&lt;br&gt;&lt;div class=""""audio""""&gt;[sound:""&amp;C5260&amp;"".mp3]&lt;/div&gt;"""),"ばったり&lt;br&gt;&lt;div class=""audio""&gt;[sound:ばったり.mp3]&lt;/div&gt;")</f>
        <v>ばったり&lt;br&gt;&lt;div class="audio"&gt;[sound:ばったり.mp3]&lt;/div&gt;</v>
      </c>
      <c r="H5260" s="3" t="str">
        <f t="shared" si="1"/>
        <v>(adv): tình cờ</v>
      </c>
      <c r="I5260" s="6" t="s">
        <v>28682</v>
      </c>
      <c r="J5260" s="6" t="s">
        <v>28683</v>
      </c>
      <c r="K5260" s="7">
        <f t="shared" si="2"/>
        <v>0.3372407699</v>
      </c>
    </row>
    <row r="5261">
      <c r="A5261" s="4">
        <v>5261.0</v>
      </c>
      <c r="B5261" s="5" t="s">
        <v>28684</v>
      </c>
      <c r="C5261" s="5" t="s">
        <v>28685</v>
      </c>
      <c r="D5261" s="5" t="s">
        <v>28686</v>
      </c>
      <c r="E5261" s="6" t="s">
        <v>74</v>
      </c>
      <c r="F5261" s="6" t="s">
        <v>28687</v>
      </c>
      <c r="G5261" s="3" t="str">
        <f>IFERROR(__xludf.DUMMYFUNCTION("REGEXREPLACE(
D5261,
""([一-龯々]+)\[([^\]]+)\]"",
""&lt;ruby&gt;$1&lt;rt&gt;$2&lt;/rt&gt;&lt;/ruby&gt;""
)&amp;""&lt;br&gt;&lt;div class=""""audio""""&gt;[sound:""&amp;C5261&amp;"".mp3]&lt;/div&gt;"""),"&lt;ruby&gt;小指&lt;rt&gt;こゆび&lt;/rt&gt;&lt;/ruby&gt;&lt;br&gt;&lt;div class=""audio""&gt;[sound:こゆび.mp3]&lt;/div&gt;")</f>
        <v>&lt;ruby&gt;小指&lt;rt&gt;こゆび&lt;/rt&gt;&lt;/ruby&gt;&lt;br&gt;&lt;div class="audio"&gt;[sound:こゆび.mp3]&lt;/div&gt;</v>
      </c>
      <c r="H5261" s="3" t="str">
        <f t="shared" si="1"/>
        <v>(n): ngón út</v>
      </c>
      <c r="I5261" s="6" t="s">
        <v>28688</v>
      </c>
      <c r="J5261" s="6" t="s">
        <v>28689</v>
      </c>
      <c r="K5261" s="7">
        <f t="shared" si="2"/>
        <v>0.801518354</v>
      </c>
    </row>
    <row r="5262">
      <c r="A5262" s="4">
        <v>5262.0</v>
      </c>
      <c r="B5262" s="5" t="s">
        <v>28690</v>
      </c>
      <c r="C5262" s="5" t="s">
        <v>28691</v>
      </c>
      <c r="D5262" s="5" t="s">
        <v>28692</v>
      </c>
      <c r="E5262" s="6" t="s">
        <v>74</v>
      </c>
      <c r="F5262" s="6" t="s">
        <v>28693</v>
      </c>
      <c r="G5262" s="3" t="str">
        <f>IFERROR(__xludf.DUMMYFUNCTION("REGEXREPLACE(
D5262,
""([一-龯々]+)\[([^\]]+)\]"",
""&lt;ruby&gt;$1&lt;rt&gt;$2&lt;/rt&gt;&lt;/ruby&gt;""
)&amp;""&lt;br&gt;&lt;div class=""""audio""""&gt;[sound:""&amp;C5262&amp;"".mp3]&lt;/div&gt;"""),"&lt;ruby&gt;小母&lt;rt&gt;おば&lt;/rt&gt;&lt;/ruby&gt;さん&lt;br&gt;&lt;div class=""audio""&gt;[sound:おばさん.mp3]&lt;/div&gt;")</f>
        <v>&lt;ruby&gt;小母&lt;rt&gt;おば&lt;/rt&gt;&lt;/ruby&gt;さん&lt;br&gt;&lt;div class="audio"&gt;[sound:おばさん.mp3]&lt;/div&gt;</v>
      </c>
      <c r="H5262" s="3" t="str">
        <f t="shared" si="1"/>
        <v>(n): bác gái</v>
      </c>
      <c r="I5262" s="6" t="s">
        <v>28694</v>
      </c>
      <c r="J5262" s="6" t="s">
        <v>28695</v>
      </c>
      <c r="K5262" s="7">
        <f t="shared" si="2"/>
        <v>0.8248165927</v>
      </c>
    </row>
    <row r="5263">
      <c r="A5263" s="4">
        <v>5263.0</v>
      </c>
      <c r="B5263" s="5" t="s">
        <v>28696</v>
      </c>
      <c r="C5263" s="5" t="s">
        <v>28697</v>
      </c>
      <c r="D5263" s="5" t="s">
        <v>28698</v>
      </c>
      <c r="E5263" s="6" t="s">
        <v>74</v>
      </c>
      <c r="F5263" s="6" t="s">
        <v>28699</v>
      </c>
      <c r="G5263" s="3" t="str">
        <f>IFERROR(__xludf.DUMMYFUNCTION("REGEXREPLACE(
D5263,
""([一-龯々]+)\[([^\]]+)\]"",
""&lt;ruby&gt;$1&lt;rt&gt;$2&lt;/rt&gt;&lt;/ruby&gt;""
)&amp;""&lt;br&gt;&lt;div class=""""audio""""&gt;[sound:""&amp;C5263&amp;"".mp3]&lt;/div&gt;"""),"&lt;ruby&gt;岬&lt;rt&gt;みさき&lt;/rt&gt;&lt;/ruby&gt;&lt;br&gt;&lt;div class=""audio""&gt;[sound:みさき.mp3]&lt;/div&gt;")</f>
        <v>&lt;ruby&gt;岬&lt;rt&gt;みさき&lt;/rt&gt;&lt;/ruby&gt;&lt;br&gt;&lt;div class="audio"&gt;[sound:みさき.mp3]&lt;/div&gt;</v>
      </c>
      <c r="H5263" s="3" t="str">
        <f t="shared" si="1"/>
        <v>(n): mũi đất</v>
      </c>
      <c r="I5263" s="6" t="s">
        <v>28700</v>
      </c>
      <c r="J5263" s="6" t="s">
        <v>28701</v>
      </c>
      <c r="K5263" s="7">
        <f t="shared" si="2"/>
        <v>0.2898334264</v>
      </c>
    </row>
    <row r="5264">
      <c r="A5264" s="4">
        <v>5264.0</v>
      </c>
      <c r="B5264" s="5" t="s">
        <v>28702</v>
      </c>
      <c r="C5264" s="5" t="s">
        <v>1883</v>
      </c>
      <c r="D5264" s="5" t="s">
        <v>28703</v>
      </c>
      <c r="E5264" s="6" t="s">
        <v>24</v>
      </c>
      <c r="F5264" s="6" t="s">
        <v>28704</v>
      </c>
      <c r="G5264" s="3" t="str">
        <f>IFERROR(__xludf.DUMMYFUNCTION("REGEXREPLACE(
D5264,
""([一-龯々]+)\[([^\]]+)\]"",
""&lt;ruby&gt;$1&lt;rt&gt;$2&lt;/rt&gt;&lt;/ruby&gt;""
)&amp;""&lt;br&gt;&lt;div class=""""audio""""&gt;[sound:""&amp;C5264&amp;"".mp3]&lt;/div&gt;"""),"&lt;ruby&gt;治&lt;rt&gt;おさ&lt;/rt&gt;&lt;/ruby&gt;める&lt;br&gt;&lt;div class=""audio""&gt;[sound:おさめる.mp3]&lt;/div&gt;")</f>
        <v>&lt;ruby&gt;治&lt;rt&gt;おさ&lt;/rt&gt;&lt;/ruby&gt;める&lt;br&gt;&lt;div class="audio"&gt;[sound:おさめる.mp3]&lt;/div&gt;</v>
      </c>
      <c r="H5264" s="3" t="str">
        <f t="shared" si="1"/>
        <v>(v): cai trị</v>
      </c>
      <c r="I5264" s="6" t="s">
        <v>28705</v>
      </c>
      <c r="J5264" s="6" t="s">
        <v>28706</v>
      </c>
      <c r="K5264" s="7">
        <f t="shared" si="2"/>
        <v>0.07696861927</v>
      </c>
    </row>
    <row r="5265">
      <c r="A5265" s="4">
        <v>5265.0</v>
      </c>
      <c r="B5265" s="5" t="s">
        <v>28707</v>
      </c>
      <c r="C5265" s="5" t="s">
        <v>28708</v>
      </c>
      <c r="D5265" s="5" t="s">
        <v>28709</v>
      </c>
      <c r="E5265" s="6" t="s">
        <v>24</v>
      </c>
      <c r="F5265" s="6" t="s">
        <v>10137</v>
      </c>
      <c r="G5265" s="3" t="str">
        <f>IFERROR(__xludf.DUMMYFUNCTION("REGEXREPLACE(
D5265,
""([一-龯々]+)\[([^\]]+)\]"",
""&lt;ruby&gt;$1&lt;rt&gt;$2&lt;/rt&gt;&lt;/ruby&gt;""
)&amp;""&lt;br&gt;&lt;div class=""""audio""""&gt;[sound:""&amp;C5265&amp;"".mp3]&lt;/div&gt;"""),"&lt;ruby&gt;言&lt;rt&gt;い&lt;/rt&gt;&lt;/ruby&gt;い&lt;ruby&gt;付&lt;rt&gt;つ&lt;/rt&gt;&lt;/ruby&gt;ける&lt;br&gt;&lt;div class=""audio""&gt;[sound:いいつける.mp3]&lt;/div&gt;")</f>
        <v>&lt;ruby&gt;言&lt;rt&gt;い&lt;/rt&gt;&lt;/ruby&gt;い&lt;ruby&gt;付&lt;rt&gt;つ&lt;/rt&gt;&lt;/ruby&gt;ける&lt;br&gt;&lt;div class="audio"&gt;[sound:いいつける.mp3]&lt;/div&gt;</v>
      </c>
      <c r="H5265" s="3" t="str">
        <f t="shared" si="1"/>
        <v>(v): ra lệnh</v>
      </c>
      <c r="I5265" s="6" t="s">
        <v>28710</v>
      </c>
      <c r="J5265" s="6" t="s">
        <v>28711</v>
      </c>
      <c r="K5265" s="7">
        <f t="shared" si="2"/>
        <v>0.1574913082</v>
      </c>
    </row>
    <row r="5266">
      <c r="A5266" s="4">
        <v>5266.0</v>
      </c>
      <c r="B5266" s="5" t="s">
        <v>28712</v>
      </c>
      <c r="C5266" s="5" t="s">
        <v>28713</v>
      </c>
      <c r="D5266" s="5" t="s">
        <v>28714</v>
      </c>
      <c r="E5266" s="6" t="s">
        <v>85</v>
      </c>
      <c r="F5266" s="6" t="s">
        <v>17367</v>
      </c>
      <c r="G5266" s="3" t="str">
        <f>IFERROR(__xludf.DUMMYFUNCTION("REGEXREPLACE(
D5266,
""([一-龯々]+)\[([^\]]+)\]"",
""&lt;ruby&gt;$1&lt;rt&gt;$2&lt;/rt&gt;&lt;/ruby&gt;""
)&amp;""&lt;br&gt;&lt;div class=""""audio""""&gt;[sound:""&amp;C5266&amp;"".mp3]&lt;/div&gt;"""),"&lt;ruby&gt;間&lt;rt&gt;ま&lt;/rt&gt;&lt;/ruby&gt;も&lt;ruby&gt;無&lt;rt&gt;な&lt;/rt&gt;&lt;/ruby&gt;く&lt;br&gt;&lt;div class=""audio""&gt;[sound:まもなく.mp3]&lt;/div&gt;")</f>
        <v>&lt;ruby&gt;間&lt;rt&gt;ま&lt;/rt&gt;&lt;/ruby&gt;も&lt;ruby&gt;無&lt;rt&gt;な&lt;/rt&gt;&lt;/ruby&gt;く&lt;br&gt;&lt;div class="audio"&gt;[sound:まもなく.mp3]&lt;/div&gt;</v>
      </c>
      <c r="H5266" s="3" t="str">
        <f t="shared" si="1"/>
        <v>(adv): sắp tới</v>
      </c>
      <c r="I5266" s="6" t="s">
        <v>28715</v>
      </c>
      <c r="J5266" s="6" t="s">
        <v>28716</v>
      </c>
      <c r="K5266" s="7">
        <f t="shared" si="2"/>
        <v>0.1597061991</v>
      </c>
    </row>
    <row r="5267">
      <c r="A5267" s="4">
        <v>5267.0</v>
      </c>
      <c r="B5267" s="5" t="s">
        <v>28717</v>
      </c>
      <c r="C5267" s="5" t="s">
        <v>28718</v>
      </c>
      <c r="D5267" s="5" t="s">
        <v>28719</v>
      </c>
      <c r="E5267" s="6" t="s">
        <v>74</v>
      </c>
      <c r="F5267" s="6" t="s">
        <v>4649</v>
      </c>
      <c r="G5267" s="3" t="str">
        <f>IFERROR(__xludf.DUMMYFUNCTION("REGEXREPLACE(
D5267,
""([一-龯々]+)\[([^\]]+)\]"",
""&lt;ruby&gt;$1&lt;rt&gt;$2&lt;/rt&gt;&lt;/ruby&gt;""
)&amp;""&lt;br&gt;&lt;div class=""""audio""""&gt;[sound:""&amp;C5267&amp;"".mp3]&lt;/div&gt;"""),"&lt;ruby&gt;技師&lt;rt&gt;ぎし&lt;/rt&gt;&lt;/ruby&gt;&lt;br&gt;&lt;div class=""audio""&gt;[sound:ぎし.mp3]&lt;/div&gt;")</f>
        <v>&lt;ruby&gt;技師&lt;rt&gt;ぎし&lt;/rt&gt;&lt;/ruby&gt;&lt;br&gt;&lt;div class="audio"&gt;[sound:ぎし.mp3]&lt;/div&gt;</v>
      </c>
      <c r="H5267" s="3" t="str">
        <f t="shared" si="1"/>
        <v>(n): kỹ sư</v>
      </c>
      <c r="I5267" s="6" t="s">
        <v>28720</v>
      </c>
      <c r="J5267" s="6" t="s">
        <v>28721</v>
      </c>
      <c r="K5267" s="7">
        <f t="shared" si="2"/>
        <v>0.003352849068</v>
      </c>
    </row>
    <row r="5268">
      <c r="A5268" s="4">
        <v>5268.0</v>
      </c>
      <c r="B5268" s="5" t="s">
        <v>28722</v>
      </c>
      <c r="C5268" s="5" t="s">
        <v>28723</v>
      </c>
      <c r="D5268" s="5" t="s">
        <v>28724</v>
      </c>
      <c r="E5268" s="6" t="s">
        <v>24</v>
      </c>
      <c r="F5268" s="6" t="s">
        <v>4291</v>
      </c>
      <c r="G5268" s="3" t="str">
        <f>IFERROR(__xludf.DUMMYFUNCTION("REGEXREPLACE(
D5268,
""([一-龯々]+)\[([^\]]+)\]"",
""&lt;ruby&gt;$1&lt;rt&gt;$2&lt;/rt&gt;&lt;/ruby&gt;""
)&amp;""&lt;br&gt;&lt;div class=""""audio""""&gt;[sound:""&amp;C5268&amp;"".mp3]&lt;/div&gt;"""),"&lt;ruby&gt;締&lt;rt&gt;し&lt;/rt&gt;&lt;/ruby&gt;め&lt;ruby&gt;切&lt;rt&gt;き&lt;/rt&gt;&lt;/ruby&gt;る&lt;br&gt;&lt;div class=""audio""&gt;[sound:しめきる.mp3]&lt;/div&gt;")</f>
        <v>&lt;ruby&gt;締&lt;rt&gt;し&lt;/rt&gt;&lt;/ruby&gt;め&lt;ruby&gt;切&lt;rt&gt;き&lt;/rt&gt;&lt;/ruby&gt;る&lt;br&gt;&lt;div class="audio"&gt;[sound:しめきる.mp3]&lt;/div&gt;</v>
      </c>
      <c r="H5268" s="3" t="str">
        <f t="shared" si="1"/>
        <v>(v): đóng</v>
      </c>
      <c r="I5268" s="6" t="s">
        <v>28725</v>
      </c>
      <c r="J5268" s="6" t="s">
        <v>28726</v>
      </c>
      <c r="K5268" s="7">
        <f t="shared" si="2"/>
        <v>0.4448320111</v>
      </c>
    </row>
    <row r="5269">
      <c r="A5269" s="4">
        <v>5269.0</v>
      </c>
      <c r="B5269" s="5" t="s">
        <v>28727</v>
      </c>
      <c r="C5269" s="5" t="s">
        <v>28728</v>
      </c>
      <c r="D5269" s="5" t="s">
        <v>28729</v>
      </c>
      <c r="E5269" s="6" t="s">
        <v>74</v>
      </c>
      <c r="F5269" s="6" t="s">
        <v>2998</v>
      </c>
      <c r="G5269" s="3" t="str">
        <f>IFERROR(__xludf.DUMMYFUNCTION("REGEXREPLACE(
D5269,
""([一-龯々]+)\[([^\]]+)\]"",
""&lt;ruby&gt;$1&lt;rt&gt;$2&lt;/rt&gt;&lt;/ruby&gt;""
)&amp;""&lt;br&gt;&lt;div class=""""audio""""&gt;[sound:""&amp;C5269&amp;"".mp3]&lt;/div&gt;"""),"&lt;ruby&gt;家内&lt;rt&gt;かない&lt;/rt&gt;&lt;/ruby&gt;&lt;br&gt;&lt;div class=""audio""&gt;[sound:かない.mp3]&lt;/div&gt;")</f>
        <v>&lt;ruby&gt;家内&lt;rt&gt;かない&lt;/rt&gt;&lt;/ruby&gt;&lt;br&gt;&lt;div class="audio"&gt;[sound:かない.mp3]&lt;/div&gt;</v>
      </c>
      <c r="H5269" s="3" t="str">
        <f t="shared" si="1"/>
        <v>(n): vợ</v>
      </c>
      <c r="I5269" s="6" t="s">
        <v>28730</v>
      </c>
      <c r="J5269" s="6" t="s">
        <v>28731</v>
      </c>
      <c r="K5269" s="7">
        <f t="shared" si="2"/>
        <v>0.05854306472</v>
      </c>
    </row>
    <row r="5270">
      <c r="A5270" s="4">
        <v>5270.0</v>
      </c>
      <c r="B5270" s="5" t="s">
        <v>28732</v>
      </c>
      <c r="C5270" s="5" t="s">
        <v>28733</v>
      </c>
      <c r="D5270" s="5" t="s">
        <v>28732</v>
      </c>
      <c r="E5270" s="6" t="s">
        <v>74</v>
      </c>
      <c r="F5270" s="6" t="s">
        <v>28734</v>
      </c>
      <c r="G5270" s="3" t="str">
        <f>IFERROR(__xludf.DUMMYFUNCTION("REGEXREPLACE(
D5270,
""([一-龯々]+)\[([^\]]+)\]"",
""&lt;ruby&gt;$1&lt;rt&gt;$2&lt;/rt&gt;&lt;/ruby&gt;""
)&amp;""&lt;br&gt;&lt;div class=""""audio""""&gt;[sound:""&amp;C5270&amp;"".mp3]&lt;/div&gt;"""),"シーツ&lt;br&gt;&lt;div class=""audio""&gt;[sound:しーつ.mp3]&lt;/div&gt;")</f>
        <v>シーツ&lt;br&gt;&lt;div class="audio"&gt;[sound:しーつ.mp3]&lt;/div&gt;</v>
      </c>
      <c r="H5270" s="3" t="str">
        <f t="shared" si="1"/>
        <v>(n): ga trải giường</v>
      </c>
      <c r="I5270" s="6" t="s">
        <v>28735</v>
      </c>
      <c r="J5270" s="6" t="s">
        <v>28736</v>
      </c>
      <c r="K5270" s="7">
        <f t="shared" si="2"/>
        <v>0.7655729429</v>
      </c>
    </row>
    <row r="5271">
      <c r="A5271" s="4">
        <v>5271.0</v>
      </c>
      <c r="B5271" s="5" t="s">
        <v>28737</v>
      </c>
      <c r="C5271" s="5" t="s">
        <v>9358</v>
      </c>
      <c r="D5271" s="5" t="s">
        <v>28738</v>
      </c>
      <c r="E5271" s="6" t="s">
        <v>24</v>
      </c>
      <c r="F5271" s="6" t="s">
        <v>28739</v>
      </c>
      <c r="G5271" s="3" t="str">
        <f>IFERROR(__xludf.DUMMYFUNCTION("REGEXREPLACE(
D5271,
""([一-龯々]+)\[([^\]]+)\]"",
""&lt;ruby&gt;$1&lt;rt&gt;$2&lt;/rt&gt;&lt;/ruby&gt;""
)&amp;""&lt;br&gt;&lt;div class=""""audio""""&gt;[sound:""&amp;C5271&amp;"".mp3]&lt;/div&gt;"""),"&lt;ruby&gt;下降&lt;rt&gt;かこう&lt;/rt&gt;&lt;/ruby&gt;&lt;br&gt;&lt;div class=""audio""&gt;[sound:かこう.mp3]&lt;/div&gt;")</f>
        <v>&lt;ruby&gt;下降&lt;rt&gt;かこう&lt;/rt&gt;&lt;/ruby&gt;&lt;br&gt;&lt;div class="audio"&gt;[sound:かこう.mp3]&lt;/div&gt;</v>
      </c>
      <c r="H5271" s="3" t="str">
        <f t="shared" si="1"/>
        <v>(v): giảm xuống</v>
      </c>
      <c r="I5271" s="6" t="s">
        <v>28740</v>
      </c>
      <c r="J5271" s="6" t="s">
        <v>28741</v>
      </c>
      <c r="K5271" s="7">
        <f t="shared" si="2"/>
        <v>0.5661010732</v>
      </c>
    </row>
    <row r="5272">
      <c r="A5272" s="4">
        <v>5272.0</v>
      </c>
      <c r="B5272" s="5" t="s">
        <v>28742</v>
      </c>
      <c r="C5272" s="5" t="s">
        <v>28743</v>
      </c>
      <c r="D5272" s="5" t="s">
        <v>28744</v>
      </c>
      <c r="E5272" s="6" t="s">
        <v>24</v>
      </c>
      <c r="F5272" s="6" t="s">
        <v>28745</v>
      </c>
      <c r="G5272" s="3" t="str">
        <f>IFERROR(__xludf.DUMMYFUNCTION("REGEXREPLACE(
D5272,
""([一-龯々]+)\[([^\]]+)\]"",
""&lt;ruby&gt;$1&lt;rt&gt;$2&lt;/rt&gt;&lt;/ruby&gt;""
)&amp;""&lt;br&gt;&lt;div class=""""audio""""&gt;[sound:""&amp;C5272&amp;"".mp3]&lt;/div&gt;"""),"&lt;ruby&gt;潰&lt;rt&gt;つぶ&lt;/rt&gt;&lt;/ruby&gt;す&lt;br&gt;&lt;div class=""audio""&gt;[sound:つぶす.mp3]&lt;/div&gt;")</f>
        <v>&lt;ruby&gt;潰&lt;rt&gt;つぶ&lt;/rt&gt;&lt;/ruby&gt;す&lt;br&gt;&lt;div class="audio"&gt;[sound:つぶす.mp3]&lt;/div&gt;</v>
      </c>
      <c r="H5272" s="3" t="str">
        <f t="shared" si="1"/>
        <v>(v): nghiền nát</v>
      </c>
      <c r="I5272" s="6" t="s">
        <v>28746</v>
      </c>
      <c r="J5272" s="6" t="s">
        <v>28747</v>
      </c>
      <c r="K5272" s="7">
        <f t="shared" si="2"/>
        <v>0.6035770804</v>
      </c>
    </row>
    <row r="5273">
      <c r="A5273" s="4">
        <v>5273.0</v>
      </c>
      <c r="B5273" s="5" t="s">
        <v>28748</v>
      </c>
      <c r="C5273" s="5" t="s">
        <v>28749</v>
      </c>
      <c r="D5273" s="5" t="s">
        <v>28750</v>
      </c>
      <c r="E5273" s="6" t="s">
        <v>11</v>
      </c>
      <c r="F5273" s="6" t="s">
        <v>28751</v>
      </c>
      <c r="G5273" s="3" t="str">
        <f>IFERROR(__xludf.DUMMYFUNCTION("REGEXREPLACE(
D5273,
""([一-龯々]+)\[([^\]]+)\]"",
""&lt;ruby&gt;$1&lt;rt&gt;$2&lt;/rt&gt;&lt;/ruby&gt;""
)&amp;""&lt;br&gt;&lt;div class=""""audio""""&gt;[sound:""&amp;C5273&amp;"".mp3]&lt;/div&gt;"""),"&lt;ruby&gt;真&lt;rt&gt;ま&lt;/rt&gt;&lt;/ruby&gt;っ&lt;ruby&gt;白&lt;rt&gt;しろ&lt;/rt&gt;&lt;/ruby&gt;&lt;br&gt;&lt;div class=""audio""&gt;[sound:まっしろ.mp3]&lt;/div&gt;")</f>
        <v>&lt;ruby&gt;真&lt;rt&gt;ま&lt;/rt&gt;&lt;/ruby&gt;っ&lt;ruby&gt;白&lt;rt&gt;しろ&lt;/rt&gt;&lt;/ruby&gt;&lt;br&gt;&lt;div class="audio"&gt;[sound:まっしろ.mp3]&lt;/div&gt;</v>
      </c>
      <c r="H5273" s="3" t="str">
        <f t="shared" si="1"/>
        <v>(adj): trắng toát</v>
      </c>
      <c r="I5273" s="6" t="s">
        <v>28752</v>
      </c>
      <c r="J5273" s="6" t="s">
        <v>28753</v>
      </c>
      <c r="K5273" s="7">
        <f t="shared" si="2"/>
        <v>0.2196259598</v>
      </c>
    </row>
    <row r="5274">
      <c r="A5274" s="4">
        <v>5274.0</v>
      </c>
      <c r="B5274" s="5" t="s">
        <v>28754</v>
      </c>
      <c r="C5274" s="5" t="s">
        <v>28755</v>
      </c>
      <c r="D5274" s="5" t="s">
        <v>28754</v>
      </c>
      <c r="E5274" s="6" t="s">
        <v>74</v>
      </c>
      <c r="F5274" s="6" t="s">
        <v>28756</v>
      </c>
      <c r="G5274" s="3" t="str">
        <f>IFERROR(__xludf.DUMMYFUNCTION("REGEXREPLACE(
D5274,
""([一-龯々]+)\[([^\]]+)\]"",
""&lt;ruby&gt;$1&lt;rt&gt;$2&lt;/rt&gt;&lt;/ruby&gt;""
)&amp;""&lt;br&gt;&lt;div class=""""audio""""&gt;[sound:""&amp;C5274&amp;"".mp3]&lt;/div&gt;"""),"ピン&lt;br&gt;&lt;div class=""audio""&gt;[sound:ぴん.mp3]&lt;/div&gt;")</f>
        <v>ピン&lt;br&gt;&lt;div class="audio"&gt;[sound:ぴん.mp3]&lt;/div&gt;</v>
      </c>
      <c r="H5274" s="3" t="str">
        <f t="shared" si="1"/>
        <v>(n): đinh ghim</v>
      </c>
      <c r="I5274" s="6" t="s">
        <v>28757</v>
      </c>
      <c r="J5274" s="6" t="s">
        <v>28758</v>
      </c>
      <c r="K5274" s="7">
        <f t="shared" si="2"/>
        <v>0.7187806394</v>
      </c>
    </row>
    <row r="5275">
      <c r="A5275" s="4">
        <v>5275.0</v>
      </c>
      <c r="B5275" s="5" t="s">
        <v>28759</v>
      </c>
      <c r="C5275" s="5" t="s">
        <v>28760</v>
      </c>
      <c r="D5275" s="5" t="s">
        <v>28761</v>
      </c>
      <c r="E5275" s="6" t="s">
        <v>85</v>
      </c>
      <c r="F5275" s="6" t="s">
        <v>5734</v>
      </c>
      <c r="G5275" s="3" t="str">
        <f>IFERROR(__xludf.DUMMYFUNCTION("REGEXREPLACE(
D5275,
""([一-龯々]+)\[([^\]]+)\]"",
""&lt;ruby&gt;$1&lt;rt&gt;$2&lt;/rt&gt;&lt;/ruby&gt;""
)&amp;""&lt;br&gt;&lt;div class=""""audio""""&gt;[sound:""&amp;C5275&amp;"".mp3]&lt;/div&gt;"""),"&lt;ruby&gt;絶&lt;rt&gt;た&lt;/rt&gt;&lt;/ruby&gt;えず&lt;br&gt;&lt;div class=""audio""&gt;[sound:たえず.mp3]&lt;/div&gt;")</f>
        <v>&lt;ruby&gt;絶&lt;rt&gt;た&lt;/rt&gt;&lt;/ruby&gt;えず&lt;br&gt;&lt;div class="audio"&gt;[sound:たえず.mp3]&lt;/div&gt;</v>
      </c>
      <c r="H5275" s="3" t="str">
        <f t="shared" si="1"/>
        <v>(adv): liên tục</v>
      </c>
      <c r="I5275" s="6" t="s">
        <v>28762</v>
      </c>
      <c r="J5275" s="6" t="s">
        <v>28763</v>
      </c>
      <c r="K5275" s="7">
        <f t="shared" si="2"/>
        <v>0.819159058</v>
      </c>
    </row>
    <row r="5276">
      <c r="A5276" s="4">
        <v>5276.0</v>
      </c>
      <c r="B5276" s="5" t="s">
        <v>28764</v>
      </c>
      <c r="C5276" s="5" t="s">
        <v>28764</v>
      </c>
      <c r="D5276" s="5" t="s">
        <v>28764</v>
      </c>
      <c r="E5276" s="6" t="s">
        <v>74</v>
      </c>
      <c r="F5276" s="6" t="s">
        <v>28765</v>
      </c>
      <c r="G5276" s="3" t="str">
        <f>IFERROR(__xludf.DUMMYFUNCTION("REGEXREPLACE(
D5276,
""([一-龯々]+)\[([^\]]+)\]"",
""&lt;ruby&gt;$1&lt;rt&gt;$2&lt;/rt&gt;&lt;/ruby&gt;""
)&amp;""&lt;br&gt;&lt;div class=""""audio""""&gt;[sound:""&amp;C5276&amp;"".mp3]&lt;/div&gt;"""),"のこぎり&lt;br&gt;&lt;div class=""audio""&gt;[sound:のこぎり.mp3]&lt;/div&gt;")</f>
        <v>のこぎり&lt;br&gt;&lt;div class="audio"&gt;[sound:のこぎり.mp3]&lt;/div&gt;</v>
      </c>
      <c r="H5276" s="3" t="str">
        <f t="shared" si="1"/>
        <v>(n): cái cưa</v>
      </c>
      <c r="I5276" s="6" t="s">
        <v>28766</v>
      </c>
      <c r="J5276" s="6" t="s">
        <v>28767</v>
      </c>
      <c r="K5276" s="7">
        <f t="shared" si="2"/>
        <v>0.4332284895</v>
      </c>
    </row>
    <row r="5277">
      <c r="A5277" s="4">
        <v>5277.0</v>
      </c>
      <c r="B5277" s="5" t="s">
        <v>28768</v>
      </c>
      <c r="C5277" s="5" t="s">
        <v>28769</v>
      </c>
      <c r="D5277" s="5" t="s">
        <v>28770</v>
      </c>
      <c r="E5277" s="6" t="s">
        <v>74</v>
      </c>
      <c r="F5277" s="6" t="s">
        <v>6414</v>
      </c>
      <c r="G5277" s="3" t="str">
        <f>IFERROR(__xludf.DUMMYFUNCTION("REGEXREPLACE(
D5277,
""([一-龯々]+)\[([^\]]+)\]"",
""&lt;ruby&gt;$1&lt;rt&gt;$2&lt;/rt&gt;&lt;/ruby&gt;""
)&amp;""&lt;br&gt;&lt;div class=""""audio""""&gt;[sound:""&amp;C5277&amp;"".mp3]&lt;/div&gt;"""),"&lt;ruby&gt;半&lt;rt&gt;なか&lt;/rt&gt;&lt;/ruby&gt;ば&lt;br&gt;&lt;div class=""audio""&gt;[sound:なかば.mp3]&lt;/div&gt;")</f>
        <v>&lt;ruby&gt;半&lt;rt&gt;なか&lt;/rt&gt;&lt;/ruby&gt;ば&lt;br&gt;&lt;div class="audio"&gt;[sound:なかば.mp3]&lt;/div&gt;</v>
      </c>
      <c r="H5277" s="3" t="str">
        <f t="shared" si="1"/>
        <v>(n): một nửa</v>
      </c>
      <c r="I5277" s="6" t="s">
        <v>28771</v>
      </c>
      <c r="J5277" s="6" t="s">
        <v>28772</v>
      </c>
      <c r="K5277" s="7">
        <f t="shared" si="2"/>
        <v>0.1822316061</v>
      </c>
    </row>
    <row r="5278">
      <c r="A5278" s="4">
        <v>5278.0</v>
      </c>
      <c r="B5278" s="5" t="s">
        <v>28773</v>
      </c>
      <c r="C5278" s="5" t="s">
        <v>5617</v>
      </c>
      <c r="D5278" s="5" t="s">
        <v>28774</v>
      </c>
      <c r="E5278" s="6" t="s">
        <v>24</v>
      </c>
      <c r="F5278" s="6" t="s">
        <v>2872</v>
      </c>
      <c r="G5278" s="3" t="str">
        <f>IFERROR(__xludf.DUMMYFUNCTION("REGEXREPLACE(
D5278,
""([一-龯々]+)\[([^\]]+)\]"",
""&lt;ruby&gt;$1&lt;rt&gt;$2&lt;/rt&gt;&lt;/ruby&gt;""
)&amp;""&lt;br&gt;&lt;div class=""""audio""""&gt;[sound:""&amp;C5278&amp;"".mp3]&lt;/div&gt;"""),"&lt;ruby&gt;宛&lt;rt&gt;あ&lt;/rt&gt;&lt;/ruby&gt;てる&lt;br&gt;&lt;div class=""audio""&gt;[sound:あてる.mp3]&lt;/div&gt;")</f>
        <v>&lt;ruby&gt;宛&lt;rt&gt;あ&lt;/rt&gt;&lt;/ruby&gt;てる&lt;br&gt;&lt;div class="audio"&gt;[sound:あてる.mp3]&lt;/div&gt;</v>
      </c>
      <c r="H5278" s="3" t="str">
        <f t="shared" si="1"/>
        <v>(v): gửi đến</v>
      </c>
      <c r="I5278" s="6" t="s">
        <v>28775</v>
      </c>
      <c r="J5278" s="6" t="s">
        <v>28776</v>
      </c>
      <c r="K5278" s="7">
        <f t="shared" si="2"/>
        <v>0.1491526552</v>
      </c>
    </row>
    <row r="5279">
      <c r="A5279" s="4">
        <v>5279.0</v>
      </c>
      <c r="B5279" s="5" t="s">
        <v>28777</v>
      </c>
      <c r="C5279" s="5" t="s">
        <v>28778</v>
      </c>
      <c r="D5279" s="5" t="s">
        <v>28779</v>
      </c>
      <c r="E5279" s="6" t="s">
        <v>74</v>
      </c>
      <c r="F5279" s="6" t="s">
        <v>28780</v>
      </c>
      <c r="G5279" s="3" t="str">
        <f>IFERROR(__xludf.DUMMYFUNCTION("REGEXREPLACE(
D5279,
""([一-龯々]+)\[([^\]]+)\]"",
""&lt;ruby&gt;$1&lt;rt&gt;$2&lt;/rt&gt;&lt;/ruby&gt;""
)&amp;""&lt;br&gt;&lt;div class=""""audio""""&gt;[sound:""&amp;C5279&amp;"".mp3]&lt;/div&gt;"""),"&lt;ruby&gt;離婚&lt;rt&gt;りこん&lt;/rt&gt;&lt;/ruby&gt;&lt;br&gt;&lt;div class=""audio""&gt;[sound:りこん.mp3]&lt;/div&gt;")</f>
        <v>&lt;ruby&gt;離婚&lt;rt&gt;りこん&lt;/rt&gt;&lt;/ruby&gt;&lt;br&gt;&lt;div class="audio"&gt;[sound:りこん.mp3]&lt;/div&gt;</v>
      </c>
      <c r="H5279" s="3" t="str">
        <f t="shared" si="1"/>
        <v>(n): ly hôn</v>
      </c>
      <c r="I5279" s="6" t="s">
        <v>28781</v>
      </c>
      <c r="J5279" s="6" t="s">
        <v>28782</v>
      </c>
      <c r="K5279" s="7">
        <f t="shared" si="2"/>
        <v>0.3212616901</v>
      </c>
    </row>
    <row r="5280">
      <c r="A5280" s="4">
        <v>5280.0</v>
      </c>
      <c r="B5280" s="5" t="s">
        <v>28783</v>
      </c>
      <c r="C5280" s="5" t="s">
        <v>10608</v>
      </c>
      <c r="D5280" s="5" t="s">
        <v>28784</v>
      </c>
      <c r="E5280" s="6" t="s">
        <v>74</v>
      </c>
      <c r="F5280" s="6" t="s">
        <v>6098</v>
      </c>
      <c r="G5280" s="3" t="str">
        <f>IFERROR(__xludf.DUMMYFUNCTION("REGEXREPLACE(
D5280,
""([一-龯々]+)\[([^\]]+)\]"",
""&lt;ruby&gt;$1&lt;rt&gt;$2&lt;/rt&gt;&lt;/ruby&gt;""
)&amp;""&lt;br&gt;&lt;div class=""""audio""""&gt;[sound:""&amp;C5280&amp;"".mp3]&lt;/div&gt;"""),"&lt;ruby&gt;例&lt;rt&gt;たと&lt;/rt&gt;&lt;/ruby&gt;え&lt;br&gt;&lt;div class=""audio""&gt;[sound:たとえ.mp3]&lt;/div&gt;")</f>
        <v>&lt;ruby&gt;例&lt;rt&gt;たと&lt;/rt&gt;&lt;/ruby&gt;え&lt;br&gt;&lt;div class="audio"&gt;[sound:たとえ.mp3]&lt;/div&gt;</v>
      </c>
      <c r="H5280" s="3" t="str">
        <f t="shared" si="1"/>
        <v>(n): ví dụ</v>
      </c>
      <c r="I5280" s="6" t="s">
        <v>28785</v>
      </c>
      <c r="J5280" s="6" t="s">
        <v>28786</v>
      </c>
      <c r="K5280" s="7">
        <f t="shared" si="2"/>
        <v>0.4066080726</v>
      </c>
    </row>
    <row r="5281">
      <c r="A5281" s="4">
        <v>5281.0</v>
      </c>
      <c r="B5281" s="5" t="s">
        <v>28787</v>
      </c>
      <c r="C5281" s="5" t="s">
        <v>28788</v>
      </c>
      <c r="D5281" s="5" t="s">
        <v>28789</v>
      </c>
      <c r="E5281" s="6" t="s">
        <v>24</v>
      </c>
      <c r="F5281" s="6" t="s">
        <v>22866</v>
      </c>
      <c r="G5281" s="3" t="str">
        <f>IFERROR(__xludf.DUMMYFUNCTION("REGEXREPLACE(
D5281,
""([一-龯々]+)\[([^\]]+)\]"",
""&lt;ruby&gt;$1&lt;rt&gt;$2&lt;/rt&gt;&lt;/ruby&gt;""
)&amp;""&lt;br&gt;&lt;div class=""""audio""""&gt;[sound:""&amp;C5281&amp;"".mp3]&lt;/div&gt;"""),"&lt;ruby&gt;照&lt;rt&gt;て&lt;/rt&gt;&lt;/ruby&gt;る&lt;br&gt;&lt;div class=""audio""&gt;[sound:てる.mp3]&lt;/div&gt;")</f>
        <v>&lt;ruby&gt;照&lt;rt&gt;て&lt;/rt&gt;&lt;/ruby&gt;る&lt;br&gt;&lt;div class="audio"&gt;[sound:てる.mp3]&lt;/div&gt;</v>
      </c>
      <c r="H5281" s="3" t="str">
        <f t="shared" si="1"/>
        <v>(v): chiếu</v>
      </c>
      <c r="I5281" s="6" t="s">
        <v>28790</v>
      </c>
      <c r="J5281" s="6" t="s">
        <v>28791</v>
      </c>
      <c r="K5281" s="7">
        <f t="shared" si="2"/>
        <v>0.009251604137</v>
      </c>
    </row>
    <row r="5282">
      <c r="A5282" s="4">
        <v>5282.0</v>
      </c>
      <c r="B5282" s="5" t="s">
        <v>28792</v>
      </c>
      <c r="C5282" s="5" t="s">
        <v>8412</v>
      </c>
      <c r="D5282" s="5" t="s">
        <v>28793</v>
      </c>
      <c r="E5282" s="6" t="s">
        <v>24</v>
      </c>
      <c r="F5282" s="6" t="s">
        <v>28794</v>
      </c>
      <c r="G5282" s="3" t="str">
        <f>IFERROR(__xludf.DUMMYFUNCTION("REGEXREPLACE(
D5282,
""([一-龯々]+)\[([^\]]+)\]"",
""&lt;ruby&gt;$1&lt;rt&gt;$2&lt;/rt&gt;&lt;/ruby&gt;""
)&amp;""&lt;br&gt;&lt;div class=""""audio""""&gt;[sound:""&amp;C5282&amp;"".mp3]&lt;/div&gt;"""),"&lt;ruby&gt;咥&lt;rt&gt;くわ&lt;/rt&gt;&lt;/ruby&gt;える&lt;br&gt;&lt;div class=""audio""&gt;[sound:くわえる.mp3]&lt;/div&gt;")</f>
        <v>&lt;ruby&gt;咥&lt;rt&gt;くわ&lt;/rt&gt;&lt;/ruby&gt;える&lt;br&gt;&lt;div class="audio"&gt;[sound:くわえる.mp3]&lt;/div&gt;</v>
      </c>
      <c r="H5282" s="3" t="str">
        <f t="shared" si="1"/>
        <v>(v): ngậm</v>
      </c>
      <c r="I5282" s="6" t="s">
        <v>28795</v>
      </c>
      <c r="J5282" s="6" t="s">
        <v>28796</v>
      </c>
      <c r="K5282" s="7">
        <f t="shared" si="2"/>
        <v>0.9809905227</v>
      </c>
    </row>
    <row r="5283">
      <c r="A5283" s="4">
        <v>5283.0</v>
      </c>
      <c r="B5283" s="5" t="s">
        <v>28797</v>
      </c>
      <c r="C5283" s="5" t="s">
        <v>28798</v>
      </c>
      <c r="D5283" s="5" t="s">
        <v>28799</v>
      </c>
      <c r="E5283" s="6" t="s">
        <v>24</v>
      </c>
      <c r="F5283" s="6" t="s">
        <v>28800</v>
      </c>
      <c r="G5283" s="3" t="str">
        <f>IFERROR(__xludf.DUMMYFUNCTION("REGEXREPLACE(
D5283,
""([一-龯々]+)\[([^\]]+)\]"",
""&lt;ruby&gt;$1&lt;rt&gt;$2&lt;/rt&gt;&lt;/ruby&gt;""
)&amp;""&lt;br&gt;&lt;div class=""""audio""""&gt;[sound:""&amp;C5283&amp;"".mp3]&lt;/div&gt;"""),"&lt;ruby&gt;尖&lt;rt&gt;とが&lt;/rt&gt;&lt;/ruby&gt;る&lt;br&gt;&lt;div class=""audio""&gt;[sound:とがる.mp3]&lt;/div&gt;")</f>
        <v>&lt;ruby&gt;尖&lt;rt&gt;とが&lt;/rt&gt;&lt;/ruby&gt;る&lt;br&gt;&lt;div class="audio"&gt;[sound:とがる.mp3]&lt;/div&gt;</v>
      </c>
      <c r="H5283" s="3" t="str">
        <f t="shared" si="1"/>
        <v>(v): nhọn</v>
      </c>
      <c r="I5283" s="6" t="s">
        <v>28801</v>
      </c>
      <c r="J5283" s="6" t="s">
        <v>28802</v>
      </c>
      <c r="K5283" s="7">
        <f t="shared" si="2"/>
        <v>0.6010873465</v>
      </c>
    </row>
    <row r="5284">
      <c r="A5284" s="4">
        <v>5284.0</v>
      </c>
      <c r="B5284" s="5" t="s">
        <v>28803</v>
      </c>
      <c r="C5284" s="5" t="s">
        <v>28804</v>
      </c>
      <c r="D5284" s="5" t="s">
        <v>28805</v>
      </c>
      <c r="E5284" s="6" t="s">
        <v>74</v>
      </c>
      <c r="F5284" s="6" t="s">
        <v>12122</v>
      </c>
      <c r="G5284" s="3" t="str">
        <f>IFERROR(__xludf.DUMMYFUNCTION("REGEXREPLACE(
D5284,
""([一-龯々]+)\[([^\]]+)\]"",
""&lt;ruby&gt;$1&lt;rt&gt;$2&lt;/rt&gt;&lt;/ruby&gt;""
)&amp;""&lt;br&gt;&lt;div class=""""audio""""&gt;[sound:""&amp;C5284&amp;"".mp3]&lt;/div&gt;"""),"&lt;ruby&gt;革&lt;rt&gt;かわ&lt;/rt&gt;&lt;/ruby&gt;&lt;br&gt;&lt;div class=""audio""&gt;[sound:かわ.mp3]&lt;/div&gt;")</f>
        <v>&lt;ruby&gt;革&lt;rt&gt;かわ&lt;/rt&gt;&lt;/ruby&gt;&lt;br&gt;&lt;div class="audio"&gt;[sound:かわ.mp3]&lt;/div&gt;</v>
      </c>
      <c r="H5284" s="3" t="str">
        <f t="shared" si="1"/>
        <v>(n): da</v>
      </c>
      <c r="I5284" s="6" t="s">
        <v>28806</v>
      </c>
      <c r="J5284" s="6" t="s">
        <v>28807</v>
      </c>
      <c r="K5284" s="7">
        <f t="shared" si="2"/>
        <v>0.8782037461</v>
      </c>
    </row>
    <row r="5285">
      <c r="A5285" s="4">
        <v>5285.0</v>
      </c>
      <c r="B5285" s="5" t="s">
        <v>28808</v>
      </c>
      <c r="C5285" s="5" t="s">
        <v>28809</v>
      </c>
      <c r="D5285" s="5" t="s">
        <v>28810</v>
      </c>
      <c r="E5285" s="6" t="s">
        <v>74</v>
      </c>
      <c r="F5285" s="6" t="s">
        <v>28811</v>
      </c>
      <c r="G5285" s="3" t="str">
        <f>IFERROR(__xludf.DUMMYFUNCTION("REGEXREPLACE(
D5285,
""([一-龯々]+)\[([^\]]+)\]"",
""&lt;ruby&gt;$1&lt;rt&gt;$2&lt;/rt&gt;&lt;/ruby&gt;""
)&amp;""&lt;br&gt;&lt;div class=""""audio""""&gt;[sound:""&amp;C5285&amp;"".mp3]&lt;/div&gt;"""),"&lt;ruby&gt;遠足&lt;rt&gt;えんそく&lt;/rt&gt;&lt;/ruby&gt;&lt;br&gt;&lt;div class=""audio""&gt;[sound:えんそく.mp3]&lt;/div&gt;")</f>
        <v>&lt;ruby&gt;遠足&lt;rt&gt;えんそく&lt;/rt&gt;&lt;/ruby&gt;&lt;br&gt;&lt;div class="audio"&gt;[sound:えんそく.mp3]&lt;/div&gt;</v>
      </c>
      <c r="H5285" s="3" t="str">
        <f t="shared" si="1"/>
        <v>(n): chuyến dã ngoại</v>
      </c>
      <c r="I5285" s="6" t="s">
        <v>28812</v>
      </c>
      <c r="J5285" s="6" t="s">
        <v>28813</v>
      </c>
      <c r="K5285" s="7">
        <f t="shared" si="2"/>
        <v>0.5578686029</v>
      </c>
    </row>
    <row r="5286">
      <c r="A5286" s="4">
        <v>5286.0</v>
      </c>
      <c r="B5286" s="5" t="s">
        <v>28814</v>
      </c>
      <c r="C5286" s="5" t="s">
        <v>28815</v>
      </c>
      <c r="D5286" s="5" t="s">
        <v>28816</v>
      </c>
      <c r="E5286" s="6" t="s">
        <v>74</v>
      </c>
      <c r="F5286" s="6" t="s">
        <v>28817</v>
      </c>
      <c r="G5286" s="3" t="str">
        <f>IFERROR(__xludf.DUMMYFUNCTION("REGEXREPLACE(
D5286,
""([一-龯々]+)\[([^\]]+)\]"",
""&lt;ruby&gt;$1&lt;rt&gt;$2&lt;/rt&gt;&lt;/ruby&gt;""
)&amp;""&lt;br&gt;&lt;div class=""""audio""""&gt;[sound:""&amp;C5286&amp;"".mp3]&lt;/div&gt;"""),"&lt;ruby&gt;国王&lt;rt&gt;こくおう&lt;/rt&gt;&lt;/ruby&gt;&lt;br&gt;&lt;div class=""audio""&gt;[sound:こくおう.mp3]&lt;/div&gt;")</f>
        <v>&lt;ruby&gt;国王&lt;rt&gt;こくおう&lt;/rt&gt;&lt;/ruby&gt;&lt;br&gt;&lt;div class="audio"&gt;[sound:こくおう.mp3]&lt;/div&gt;</v>
      </c>
      <c r="H5286" s="3" t="str">
        <f t="shared" si="1"/>
        <v>(n): quốc vương</v>
      </c>
      <c r="I5286" s="6" t="s">
        <v>28818</v>
      </c>
      <c r="J5286" s="6" t="s">
        <v>28819</v>
      </c>
      <c r="K5286" s="7">
        <f t="shared" si="2"/>
        <v>0.1256049812</v>
      </c>
    </row>
    <row r="5287">
      <c r="A5287" s="4">
        <v>5287.0</v>
      </c>
      <c r="B5287" s="5" t="s">
        <v>28820</v>
      </c>
      <c r="C5287" s="5" t="s">
        <v>11181</v>
      </c>
      <c r="D5287" s="5" t="s">
        <v>28821</v>
      </c>
      <c r="E5287" s="6" t="s">
        <v>74</v>
      </c>
      <c r="F5287" s="6" t="s">
        <v>26692</v>
      </c>
      <c r="G5287" s="3" t="str">
        <f>IFERROR(__xludf.DUMMYFUNCTION("REGEXREPLACE(
D5287,
""([一-龯々]+)\[([^\]]+)\]"",
""&lt;ruby&gt;$1&lt;rt&gt;$2&lt;/rt&gt;&lt;/ruby&gt;""
)&amp;""&lt;br&gt;&lt;div class=""""audio""""&gt;[sound:""&amp;C5287&amp;"".mp3]&lt;/div&gt;"""),"&lt;ruby&gt;照明&lt;rt&gt;しょうめい&lt;/rt&gt;&lt;/ruby&gt;&lt;br&gt;&lt;div class=""audio""&gt;[sound:しょうめい.mp3]&lt;/div&gt;")</f>
        <v>&lt;ruby&gt;照明&lt;rt&gt;しょうめい&lt;/rt&gt;&lt;/ruby&gt;&lt;br&gt;&lt;div class="audio"&gt;[sound:しょうめい.mp3]&lt;/div&gt;</v>
      </c>
      <c r="H5287" s="3" t="str">
        <f t="shared" si="1"/>
        <v>(n): chiếu sáng</v>
      </c>
      <c r="I5287" s="6" t="s">
        <v>28822</v>
      </c>
      <c r="J5287" s="6" t="s">
        <v>28823</v>
      </c>
      <c r="K5287" s="7">
        <f t="shared" si="2"/>
        <v>0.6899245912</v>
      </c>
    </row>
    <row r="5288">
      <c r="A5288" s="4">
        <v>5288.0</v>
      </c>
      <c r="B5288" s="5" t="s">
        <v>28824</v>
      </c>
      <c r="C5288" s="5" t="s">
        <v>28825</v>
      </c>
      <c r="D5288" s="5" t="s">
        <v>28826</v>
      </c>
      <c r="E5288" s="6" t="s">
        <v>11</v>
      </c>
      <c r="F5288" s="6" t="s">
        <v>28827</v>
      </c>
      <c r="G5288" s="3" t="str">
        <f>IFERROR(__xludf.DUMMYFUNCTION("REGEXREPLACE(
D5288,
""([一-龯々]+)\[([^\]]+)\]"",
""&lt;ruby&gt;$1&lt;rt&gt;$2&lt;/rt&gt;&lt;/ruby&gt;""
)&amp;""&lt;br&gt;&lt;div class=""""audio""""&gt;[sound:""&amp;C5288&amp;"".mp3]&lt;/div&gt;"""),"&lt;ruby&gt;熱心&lt;rt&gt;ねっしん&lt;/rt&gt;&lt;/ruby&gt;&lt;br&gt;&lt;div class=""audio""&gt;[sound:ねっしん.mp3]&lt;/div&gt;")</f>
        <v>&lt;ruby&gt;熱心&lt;rt&gt;ねっしん&lt;/rt&gt;&lt;/ruby&gt;&lt;br&gt;&lt;div class="audio"&gt;[sound:ねっしん.mp3]&lt;/div&gt;</v>
      </c>
      <c r="H5288" s="3" t="str">
        <f t="shared" si="1"/>
        <v>(adj): nhiệt tình</v>
      </c>
      <c r="I5288" s="6" t="s">
        <v>28828</v>
      </c>
      <c r="J5288" s="6" t="s">
        <v>28829</v>
      </c>
      <c r="K5288" s="7">
        <f t="shared" si="2"/>
        <v>0.5787772929</v>
      </c>
    </row>
    <row r="5289">
      <c r="A5289" s="4">
        <v>5289.0</v>
      </c>
      <c r="B5289" s="5" t="s">
        <v>28830</v>
      </c>
      <c r="C5289" s="5" t="s">
        <v>28831</v>
      </c>
      <c r="D5289" s="5" t="s">
        <v>28830</v>
      </c>
      <c r="E5289" s="6" t="s">
        <v>74</v>
      </c>
      <c r="F5289" s="6" t="s">
        <v>25187</v>
      </c>
      <c r="G5289" s="3" t="str">
        <f>IFERROR(__xludf.DUMMYFUNCTION("REGEXREPLACE(
D5289,
""([一-龯々]+)\[([^\]]+)\]"",
""&lt;ruby&gt;$1&lt;rt&gt;$2&lt;/rt&gt;&lt;/ruby&gt;""
)&amp;""&lt;br&gt;&lt;div class=""""audio""""&gt;[sound:""&amp;C5289&amp;"".mp3]&lt;/div&gt;"""),"コーラス&lt;br&gt;&lt;div class=""audio""&gt;[sound:こーらす.mp3]&lt;/div&gt;")</f>
        <v>コーラス&lt;br&gt;&lt;div class="audio"&gt;[sound:こーらす.mp3]&lt;/div&gt;</v>
      </c>
      <c r="H5289" s="3" t="str">
        <f t="shared" si="1"/>
        <v>(n): hợp xướng</v>
      </c>
      <c r="I5289" s="6" t="s">
        <v>28832</v>
      </c>
      <c r="J5289" s="6" t="s">
        <v>25189</v>
      </c>
      <c r="K5289" s="7">
        <f t="shared" si="2"/>
        <v>0.04693936125</v>
      </c>
    </row>
    <row r="5290">
      <c r="A5290" s="4">
        <v>5290.0</v>
      </c>
      <c r="B5290" s="5" t="s">
        <v>28833</v>
      </c>
      <c r="C5290" s="5" t="s">
        <v>13488</v>
      </c>
      <c r="D5290" s="5" t="s">
        <v>28834</v>
      </c>
      <c r="E5290" s="6" t="s">
        <v>24</v>
      </c>
      <c r="F5290" s="6" t="s">
        <v>28835</v>
      </c>
      <c r="G5290" s="3" t="str">
        <f>IFERROR(__xludf.DUMMYFUNCTION("REGEXREPLACE(
D5290,
""([一-龯々]+)\[([^\]]+)\]"",
""&lt;ruby&gt;$1&lt;rt&gt;$2&lt;/rt&gt;&lt;/ruby&gt;""
)&amp;""&lt;br&gt;&lt;div class=""""audio""""&gt;[sound:""&amp;C5290&amp;"".mp3]&lt;/div&gt;"""),"&lt;ruby&gt;享受&lt;rt&gt;きょうじゅ&lt;/rt&gt;&lt;/ruby&gt;&lt;br&gt;&lt;div class=""audio""&gt;[sound:きょうじゅ.mp3]&lt;/div&gt;")</f>
        <v>&lt;ruby&gt;享受&lt;rt&gt;きょうじゅ&lt;/rt&gt;&lt;/ruby&gt;&lt;br&gt;&lt;div class="audio"&gt;[sound:きょうじゅ.mp3]&lt;/div&gt;</v>
      </c>
      <c r="H5290" s="3" t="str">
        <f t="shared" si="1"/>
        <v>(v): hưởng thụ</v>
      </c>
      <c r="I5290" s="6" t="s">
        <v>28836</v>
      </c>
      <c r="J5290" s="6" t="s">
        <v>28837</v>
      </c>
      <c r="K5290" s="7">
        <f t="shared" si="2"/>
        <v>0.4944084398</v>
      </c>
    </row>
    <row r="5291">
      <c r="A5291" s="4">
        <v>5291.0</v>
      </c>
      <c r="B5291" s="5" t="s">
        <v>28838</v>
      </c>
      <c r="C5291" s="5" t="s">
        <v>28839</v>
      </c>
      <c r="D5291" s="5" t="s">
        <v>28840</v>
      </c>
      <c r="E5291" s="6" t="s">
        <v>74</v>
      </c>
      <c r="F5291" s="6" t="s">
        <v>28841</v>
      </c>
      <c r="G5291" s="3" t="str">
        <f>IFERROR(__xludf.DUMMYFUNCTION("REGEXREPLACE(
D5291,
""([一-龯々]+)\[([^\]]+)\]"",
""&lt;ruby&gt;$1&lt;rt&gt;$2&lt;/rt&gt;&lt;/ruby&gt;""
)&amp;""&lt;br&gt;&lt;div class=""""audio""""&gt;[sound:""&amp;C5291&amp;"".mp3]&lt;/div&gt;"""),"&lt;ruby&gt;大戦&lt;rt&gt;たいせん&lt;/rt&gt;&lt;/ruby&gt;&lt;br&gt;&lt;div class=""audio""&gt;[sound:たいせん.mp3]&lt;/div&gt;")</f>
        <v>&lt;ruby&gt;大戦&lt;rt&gt;たいせん&lt;/rt&gt;&lt;/ruby&gt;&lt;br&gt;&lt;div class="audio"&gt;[sound:たいせん.mp3]&lt;/div&gt;</v>
      </c>
      <c r="H5291" s="3" t="str">
        <f t="shared" si="1"/>
        <v>(n): đại chiến</v>
      </c>
      <c r="I5291" s="6" t="s">
        <v>28842</v>
      </c>
      <c r="J5291" s="6" t="s">
        <v>28843</v>
      </c>
      <c r="K5291" s="7">
        <f t="shared" si="2"/>
        <v>0.4504941484</v>
      </c>
    </row>
    <row r="5292">
      <c r="A5292" s="4">
        <v>5292.0</v>
      </c>
      <c r="B5292" s="5" t="s">
        <v>28844</v>
      </c>
      <c r="C5292" s="5" t="s">
        <v>28845</v>
      </c>
      <c r="D5292" s="5" t="s">
        <v>28846</v>
      </c>
      <c r="E5292" s="6" t="s">
        <v>74</v>
      </c>
      <c r="F5292" s="6" t="s">
        <v>28847</v>
      </c>
      <c r="G5292" s="3" t="str">
        <f>IFERROR(__xludf.DUMMYFUNCTION("REGEXREPLACE(
D5292,
""([一-龯々]+)\[([^\]]+)\]"",
""&lt;ruby&gt;$1&lt;rt&gt;$2&lt;/rt&gt;&lt;/ruby&gt;""
)&amp;""&lt;br&gt;&lt;div class=""""audio""""&gt;[sound:""&amp;C5292&amp;"".mp3]&lt;/div&gt;"""),"&lt;ruby&gt;従兄弟&lt;rt&gt;いとこ&lt;/rt&gt;&lt;/ruby&gt;&lt;br&gt;&lt;div class=""audio""&gt;[sound:いとこ.mp3]&lt;/div&gt;")</f>
        <v>&lt;ruby&gt;従兄弟&lt;rt&gt;いとこ&lt;/rt&gt;&lt;/ruby&gt;&lt;br&gt;&lt;div class="audio"&gt;[sound:いとこ.mp3]&lt;/div&gt;</v>
      </c>
      <c r="H5292" s="3" t="str">
        <f t="shared" si="1"/>
        <v>(n): anh em họ</v>
      </c>
      <c r="I5292" s="6" t="s">
        <v>28848</v>
      </c>
      <c r="J5292" s="6" t="s">
        <v>28849</v>
      </c>
      <c r="K5292" s="7">
        <f t="shared" si="2"/>
        <v>0.8629829731</v>
      </c>
    </row>
    <row r="5293">
      <c r="A5293" s="4">
        <v>5293.0</v>
      </c>
      <c r="B5293" s="5" t="s">
        <v>28850</v>
      </c>
      <c r="C5293" s="5" t="s">
        <v>28851</v>
      </c>
      <c r="D5293" s="5" t="s">
        <v>28852</v>
      </c>
      <c r="E5293" s="6" t="s">
        <v>74</v>
      </c>
      <c r="F5293" s="6" t="s">
        <v>28853</v>
      </c>
      <c r="G5293" s="3" t="str">
        <f>IFERROR(__xludf.DUMMYFUNCTION("REGEXREPLACE(
D5293,
""([一-龯々]+)\[([^\]]+)\]"",
""&lt;ruby&gt;$1&lt;rt&gt;$2&lt;/rt&gt;&lt;/ruby&gt;""
)&amp;""&lt;br&gt;&lt;div class=""""audio""""&gt;[sound:""&amp;C5293&amp;"".mp3]&lt;/div&gt;"""),"&lt;ruby&gt;持参&lt;rt&gt;じさん&lt;/rt&gt;&lt;/ruby&gt;&lt;br&gt;&lt;div class=""audio""&gt;[sound:じさん.mp3]&lt;/div&gt;")</f>
        <v>&lt;ruby&gt;持参&lt;rt&gt;じさん&lt;/rt&gt;&lt;/ruby&gt;&lt;br&gt;&lt;div class="audio"&gt;[sound:じさん.mp3]&lt;/div&gt;</v>
      </c>
      <c r="H5293" s="3" t="str">
        <f t="shared" si="1"/>
        <v>(n): mang theo</v>
      </c>
      <c r="I5293" s="6" t="s">
        <v>28854</v>
      </c>
      <c r="J5293" s="6" t="s">
        <v>28855</v>
      </c>
      <c r="K5293" s="7">
        <f t="shared" si="2"/>
        <v>0.3980259584</v>
      </c>
    </row>
    <row r="5294">
      <c r="A5294" s="4">
        <v>5294.0</v>
      </c>
      <c r="B5294" s="5" t="s">
        <v>28856</v>
      </c>
      <c r="C5294" s="5" t="s">
        <v>28857</v>
      </c>
      <c r="D5294" s="5" t="s">
        <v>28858</v>
      </c>
      <c r="E5294" s="6" t="s">
        <v>74</v>
      </c>
      <c r="F5294" s="6" t="s">
        <v>28859</v>
      </c>
      <c r="G5294" s="3" t="str">
        <f>IFERROR(__xludf.DUMMYFUNCTION("REGEXREPLACE(
D5294,
""([一-龯々]+)\[([^\]]+)\]"",
""&lt;ruby&gt;$1&lt;rt&gt;$2&lt;/rt&gt;&lt;/ruby&gt;""
)&amp;""&lt;br&gt;&lt;div class=""""audio""""&gt;[sound:""&amp;C5294&amp;"".mp3]&lt;/div&gt;"""),"&lt;ruby&gt;長所&lt;rt&gt;ちょうしょ&lt;/rt&gt;&lt;/ruby&gt;&lt;br&gt;&lt;div class=""audio""&gt;[sound:ちょうしょ.mp3]&lt;/div&gt;")</f>
        <v>&lt;ruby&gt;長所&lt;rt&gt;ちょうしょ&lt;/rt&gt;&lt;/ruby&gt;&lt;br&gt;&lt;div class="audio"&gt;[sound:ちょうしょ.mp3]&lt;/div&gt;</v>
      </c>
      <c r="H5294" s="3" t="str">
        <f t="shared" si="1"/>
        <v>(n): sở trường</v>
      </c>
      <c r="I5294" s="6" t="s">
        <v>28860</v>
      </c>
      <c r="J5294" s="6" t="s">
        <v>28861</v>
      </c>
      <c r="K5294" s="7">
        <f t="shared" si="2"/>
        <v>0.78462567</v>
      </c>
    </row>
    <row r="5295">
      <c r="A5295" s="4">
        <v>5295.0</v>
      </c>
      <c r="B5295" s="5" t="s">
        <v>28862</v>
      </c>
      <c r="C5295" s="5" t="s">
        <v>28863</v>
      </c>
      <c r="D5295" s="5" t="s">
        <v>28864</v>
      </c>
      <c r="E5295" s="6" t="s">
        <v>11</v>
      </c>
      <c r="F5295" s="6" t="s">
        <v>28865</v>
      </c>
      <c r="G5295" s="3" t="str">
        <f>IFERROR(__xludf.DUMMYFUNCTION("REGEXREPLACE(
D5295,
""([一-龯々]+)\[([^\]]+)\]"",
""&lt;ruby&gt;$1&lt;rt&gt;$2&lt;/rt&gt;&lt;/ruby&gt;""
)&amp;""&lt;br&gt;&lt;div class=""""audio""""&gt;[sound:""&amp;C5295&amp;"".mp3]&lt;/div&gt;"""),"&lt;ruby&gt;広々&lt;rt&gt;ひろびろ&lt;/rt&gt;&lt;/ruby&gt;&lt;br&gt;&lt;div class=""audio""&gt;[sound:ひろびろ.mp3]&lt;/div&gt;")</f>
        <v>&lt;ruby&gt;広々&lt;rt&gt;ひろびろ&lt;/rt&gt;&lt;/ruby&gt;&lt;br&gt;&lt;div class="audio"&gt;[sound:ひろびろ.mp3]&lt;/div&gt;</v>
      </c>
      <c r="H5295" s="3" t="str">
        <f t="shared" si="1"/>
        <v>(adj): rộng rãi</v>
      </c>
      <c r="I5295" s="6" t="s">
        <v>28866</v>
      </c>
      <c r="J5295" s="6" t="s">
        <v>28867</v>
      </c>
      <c r="K5295" s="7">
        <f t="shared" si="2"/>
        <v>0.9335234214</v>
      </c>
    </row>
    <row r="5296">
      <c r="A5296" s="4">
        <v>5296.0</v>
      </c>
      <c r="B5296" s="5" t="s">
        <v>28868</v>
      </c>
      <c r="C5296" s="5" t="s">
        <v>28869</v>
      </c>
      <c r="D5296" s="5" t="s">
        <v>28870</v>
      </c>
      <c r="E5296" s="6" t="s">
        <v>74</v>
      </c>
      <c r="F5296" s="6" t="s">
        <v>28871</v>
      </c>
      <c r="G5296" s="3" t="str">
        <f>IFERROR(__xludf.DUMMYFUNCTION("REGEXREPLACE(
D5296,
""([一-龯々]+)\[([^\]]+)\]"",
""&lt;ruby&gt;$1&lt;rt&gt;$2&lt;/rt&gt;&lt;/ruby&gt;""
)&amp;""&lt;br&gt;&lt;div class=""""audio""""&gt;[sound:""&amp;C5296&amp;"".mp3]&lt;/div&gt;"""),"&lt;ruby&gt;軒&lt;rt&gt;のき&lt;/rt&gt;&lt;/ruby&gt;&lt;br&gt;&lt;div class=""audio""&gt;[sound:のき.mp3]&lt;/div&gt;")</f>
        <v>&lt;ruby&gt;軒&lt;rt&gt;のき&lt;/rt&gt;&lt;/ruby&gt;&lt;br&gt;&lt;div class="audio"&gt;[sound:のき.mp3]&lt;/div&gt;</v>
      </c>
      <c r="H5296" s="3" t="str">
        <f t="shared" si="1"/>
        <v>(n): mái hiên</v>
      </c>
      <c r="I5296" s="6" t="s">
        <v>28872</v>
      </c>
      <c r="J5296" s="6" t="s">
        <v>28873</v>
      </c>
      <c r="K5296" s="7">
        <f t="shared" si="2"/>
        <v>0.9184013454</v>
      </c>
    </row>
    <row r="5297">
      <c r="A5297" s="4">
        <v>5297.0</v>
      </c>
      <c r="B5297" s="5" t="s">
        <v>28874</v>
      </c>
      <c r="C5297" s="5" t="s">
        <v>28875</v>
      </c>
      <c r="D5297" s="5" t="s">
        <v>28876</v>
      </c>
      <c r="E5297" s="6" t="s">
        <v>74</v>
      </c>
      <c r="F5297" s="6" t="s">
        <v>28877</v>
      </c>
      <c r="G5297" s="3" t="str">
        <f>IFERROR(__xludf.DUMMYFUNCTION("REGEXREPLACE(
D5297,
""([一-龯々]+)\[([^\]]+)\]"",
""&lt;ruby&gt;$1&lt;rt&gt;$2&lt;/rt&gt;&lt;/ruby&gt;""
)&amp;""&lt;br&gt;&lt;div class=""""audio""""&gt;[sound:""&amp;C5297&amp;"".mp3]&lt;/div&gt;"""),"&lt;ruby&gt;倒産&lt;rt&gt;とうさん&lt;/rt&gt;&lt;/ruby&gt;&lt;br&gt;&lt;div class=""audio""&gt;[sound:とうさん.mp3]&lt;/div&gt;")</f>
        <v>&lt;ruby&gt;倒産&lt;rt&gt;とうさん&lt;/rt&gt;&lt;/ruby&gt;&lt;br&gt;&lt;div class="audio"&gt;[sound:とうさん.mp3]&lt;/div&gt;</v>
      </c>
      <c r="H5297" s="3" t="str">
        <f t="shared" si="1"/>
        <v>(n): phá sản</v>
      </c>
      <c r="I5297" s="6" t="s">
        <v>28878</v>
      </c>
      <c r="J5297" s="6" t="s">
        <v>28879</v>
      </c>
      <c r="K5297" s="7">
        <f t="shared" si="2"/>
        <v>0.7481770604</v>
      </c>
    </row>
    <row r="5298">
      <c r="A5298" s="4">
        <v>5298.0</v>
      </c>
      <c r="B5298" s="5" t="s">
        <v>28880</v>
      </c>
      <c r="C5298" s="5" t="s">
        <v>9973</v>
      </c>
      <c r="D5298" s="5" t="s">
        <v>28881</v>
      </c>
      <c r="E5298" s="6" t="s">
        <v>74</v>
      </c>
      <c r="F5298" s="6" t="s">
        <v>28882</v>
      </c>
      <c r="G5298" s="3" t="str">
        <f>IFERROR(__xludf.DUMMYFUNCTION("REGEXREPLACE(
D5298,
""([一-龯々]+)\[([^\]]+)\]"",
""&lt;ruby&gt;$1&lt;rt&gt;$2&lt;/rt&gt;&lt;/ruby&gt;""
)&amp;""&lt;br&gt;&lt;div class=""""audio""""&gt;[sound:""&amp;C5298&amp;"".mp3]&lt;/div&gt;"""),"&lt;ruby&gt;生理&lt;rt&gt;せいり&lt;/rt&gt;&lt;/ruby&gt;&lt;br&gt;&lt;div class=""audio""&gt;[sound:せいり.mp3]&lt;/div&gt;")</f>
        <v>&lt;ruby&gt;生理&lt;rt&gt;せいり&lt;/rt&gt;&lt;/ruby&gt;&lt;br&gt;&lt;div class="audio"&gt;[sound:せいり.mp3]&lt;/div&gt;</v>
      </c>
      <c r="H5298" s="3" t="str">
        <f t="shared" si="1"/>
        <v>(n): sinh lý</v>
      </c>
      <c r="I5298" s="6" t="s">
        <v>28883</v>
      </c>
      <c r="J5298" s="6" t="s">
        <v>28884</v>
      </c>
      <c r="K5298" s="7">
        <f t="shared" si="2"/>
        <v>0.9789375339</v>
      </c>
    </row>
    <row r="5299">
      <c r="A5299" s="4">
        <v>5299.0</v>
      </c>
      <c r="B5299" s="5" t="s">
        <v>28885</v>
      </c>
      <c r="C5299" s="5" t="s">
        <v>28886</v>
      </c>
      <c r="D5299" s="5" t="s">
        <v>28887</v>
      </c>
      <c r="E5299" s="6" t="s">
        <v>74</v>
      </c>
      <c r="F5299" s="6" t="s">
        <v>28888</v>
      </c>
      <c r="G5299" s="3" t="str">
        <f>IFERROR(__xludf.DUMMYFUNCTION("REGEXREPLACE(
D5299,
""([一-龯々]+)\[([^\]]+)\]"",
""&lt;ruby&gt;$1&lt;rt&gt;$2&lt;/rt&gt;&lt;/ruby&gt;""
)&amp;""&lt;br&gt;&lt;div class=""""audio""""&gt;[sound:""&amp;C5299&amp;"".mp3]&lt;/div&gt;"""),"&lt;ruby&gt;裏口&lt;rt&gt;うらぐち&lt;/rt&gt;&lt;/ruby&gt;&lt;br&gt;&lt;div class=""audio""&gt;[sound:うらぐち.mp3]&lt;/div&gt;")</f>
        <v>&lt;ruby&gt;裏口&lt;rt&gt;うらぐち&lt;/rt&gt;&lt;/ruby&gt;&lt;br&gt;&lt;div class="audio"&gt;[sound:うらぐち.mp3]&lt;/div&gt;</v>
      </c>
      <c r="H5299" s="3" t="str">
        <f t="shared" si="1"/>
        <v>(n): cửa sau</v>
      </c>
      <c r="I5299" s="6" t="s">
        <v>28889</v>
      </c>
      <c r="J5299" s="6" t="s">
        <v>28890</v>
      </c>
      <c r="K5299" s="7">
        <f t="shared" si="2"/>
        <v>0.3657424086</v>
      </c>
    </row>
    <row r="5300">
      <c r="A5300" s="4">
        <v>5300.0</v>
      </c>
      <c r="B5300" s="5" t="s">
        <v>28891</v>
      </c>
      <c r="C5300" s="5" t="s">
        <v>20953</v>
      </c>
      <c r="D5300" s="5" t="s">
        <v>28892</v>
      </c>
      <c r="E5300" s="6" t="s">
        <v>24</v>
      </c>
      <c r="F5300" s="6" t="s">
        <v>28893</v>
      </c>
      <c r="G5300" s="3" t="str">
        <f>IFERROR(__xludf.DUMMYFUNCTION("REGEXREPLACE(
D5300,
""([一-龯々]+)\[([^\]]+)\]"",
""&lt;ruby&gt;$1&lt;rt&gt;$2&lt;/rt&gt;&lt;/ruby&gt;""
)&amp;""&lt;br&gt;&lt;div class=""""audio""""&gt;[sound:""&amp;C5300&amp;"".mp3]&lt;/div&gt;"""),"&lt;ruby&gt;鳴&lt;rt&gt;な&lt;/rt&gt;&lt;/ruby&gt;らす&lt;br&gt;&lt;div class=""audio""&gt;[sound:ならす.mp3]&lt;/div&gt;")</f>
        <v>&lt;ruby&gt;鳴&lt;rt&gt;な&lt;/rt&gt;&lt;/ruby&gt;らす&lt;br&gt;&lt;div class="audio"&gt;[sound:ならす.mp3]&lt;/div&gt;</v>
      </c>
      <c r="H5300" s="3" t="str">
        <f t="shared" si="1"/>
        <v>(v): làm kêu</v>
      </c>
      <c r="I5300" s="6" t="s">
        <v>28894</v>
      </c>
      <c r="J5300" s="6" t="s">
        <v>28895</v>
      </c>
      <c r="K5300" s="7">
        <f t="shared" si="2"/>
        <v>0.7117758468</v>
      </c>
    </row>
    <row r="5301">
      <c r="A5301" s="4">
        <v>5301.0</v>
      </c>
      <c r="B5301" s="5" t="s">
        <v>28896</v>
      </c>
      <c r="C5301" s="5" t="s">
        <v>28897</v>
      </c>
      <c r="D5301" s="5" t="s">
        <v>28898</v>
      </c>
      <c r="E5301" s="6" t="s">
        <v>74</v>
      </c>
      <c r="F5301" s="6" t="s">
        <v>28899</v>
      </c>
      <c r="G5301" s="3" t="str">
        <f>IFERROR(__xludf.DUMMYFUNCTION("REGEXREPLACE(
D5301,
""([一-龯々]+)\[([^\]]+)\]"",
""&lt;ruby&gt;$1&lt;rt&gt;$2&lt;/rt&gt;&lt;/ruby&gt;""
)&amp;""&lt;br&gt;&lt;div class=""""audio""""&gt;[sound:""&amp;C5301&amp;"".mp3]&lt;/div&gt;"""),"&lt;ruby&gt;綿&lt;rt&gt;わた&lt;/rt&gt;&lt;/ruby&gt;&lt;br&gt;&lt;div class=""audio""&gt;[sound:わた.mp3]&lt;/div&gt;")</f>
        <v>&lt;ruby&gt;綿&lt;rt&gt;わた&lt;/rt&gt;&lt;/ruby&gt;&lt;br&gt;&lt;div class="audio"&gt;[sound:わた.mp3]&lt;/div&gt;</v>
      </c>
      <c r="H5301" s="3" t="str">
        <f t="shared" si="1"/>
        <v>(n): bông</v>
      </c>
      <c r="I5301" s="6" t="s">
        <v>28900</v>
      </c>
      <c r="J5301" s="6" t="s">
        <v>28901</v>
      </c>
      <c r="K5301" s="7">
        <f t="shared" si="2"/>
        <v>0.6077563953</v>
      </c>
    </row>
    <row r="5302">
      <c r="A5302" s="4">
        <v>5302.0</v>
      </c>
      <c r="B5302" s="5" t="s">
        <v>28902</v>
      </c>
      <c r="C5302" s="5" t="s">
        <v>703</v>
      </c>
      <c r="D5302" s="5" t="s">
        <v>28903</v>
      </c>
      <c r="E5302" s="6" t="s">
        <v>74</v>
      </c>
      <c r="F5302" s="6" t="s">
        <v>24960</v>
      </c>
      <c r="G5302" s="3" t="str">
        <f>IFERROR(__xludf.DUMMYFUNCTION("REGEXREPLACE(
D5302,
""([一-龯々]+)\[([^\]]+)\]"",
""&lt;ruby&gt;$1&lt;rt&gt;$2&lt;/rt&gt;&lt;/ruby&gt;""
)&amp;""&lt;br&gt;&lt;div class=""""audio""""&gt;[sound:""&amp;C5302&amp;"".mp3]&lt;/div&gt;"""),"&lt;ruby&gt;券&lt;rt&gt;けん&lt;/rt&gt;&lt;/ruby&gt;&lt;br&gt;&lt;div class=""audio""&gt;[sound:けん.mp3]&lt;/div&gt;")</f>
        <v>&lt;ruby&gt;券&lt;rt&gt;けん&lt;/rt&gt;&lt;/ruby&gt;&lt;br&gt;&lt;div class="audio"&gt;[sound:けん.mp3]&lt;/div&gt;</v>
      </c>
      <c r="H5302" s="3" t="str">
        <f t="shared" si="1"/>
        <v>(n): vé</v>
      </c>
      <c r="I5302" s="6" t="s">
        <v>28904</v>
      </c>
      <c r="J5302" s="6" t="s">
        <v>28905</v>
      </c>
      <c r="K5302" s="7">
        <f t="shared" si="2"/>
        <v>0.8958801643</v>
      </c>
    </row>
    <row r="5303">
      <c r="A5303" s="4">
        <v>5303.0</v>
      </c>
      <c r="B5303" s="5" t="s">
        <v>28906</v>
      </c>
      <c r="C5303" s="5" t="s">
        <v>28907</v>
      </c>
      <c r="D5303" s="5" t="s">
        <v>28906</v>
      </c>
      <c r="E5303" s="6" t="s">
        <v>74</v>
      </c>
      <c r="F5303" s="6" t="s">
        <v>28908</v>
      </c>
      <c r="G5303" s="3" t="str">
        <f>IFERROR(__xludf.DUMMYFUNCTION("REGEXREPLACE(
D5303,
""([一-龯々]+)\[([^\]]+)\]"",
""&lt;ruby&gt;$1&lt;rt&gt;$2&lt;/rt&gt;&lt;/ruby&gt;""
)&amp;""&lt;br&gt;&lt;div class=""""audio""""&gt;[sound:""&amp;C5303&amp;"".mp3]&lt;/div&gt;"""),"カセット&lt;br&gt;&lt;div class=""audio""&gt;[sound:かせっと.mp3]&lt;/div&gt;")</f>
        <v>カセット&lt;br&gt;&lt;div class="audio"&gt;[sound:かせっと.mp3]&lt;/div&gt;</v>
      </c>
      <c r="H5303" s="3" t="str">
        <f t="shared" si="1"/>
        <v>(n): băng cát-sét</v>
      </c>
      <c r="I5303" s="6" t="s">
        <v>28909</v>
      </c>
      <c r="J5303" s="6" t="s">
        <v>28910</v>
      </c>
      <c r="K5303" s="7">
        <f t="shared" si="2"/>
        <v>0.4012889666</v>
      </c>
    </row>
    <row r="5304">
      <c r="A5304" s="4">
        <v>5304.0</v>
      </c>
      <c r="B5304" s="5" t="s">
        <v>28911</v>
      </c>
      <c r="C5304" s="5" t="s">
        <v>28911</v>
      </c>
      <c r="D5304" s="5" t="s">
        <v>28911</v>
      </c>
      <c r="E5304" s="6" t="s">
        <v>85</v>
      </c>
      <c r="F5304" s="6" t="s">
        <v>28912</v>
      </c>
      <c r="G5304" s="3" t="str">
        <f>IFERROR(__xludf.DUMMYFUNCTION("REGEXREPLACE(
D5304,
""([一-龯々]+)\[([^\]]+)\]"",
""&lt;ruby&gt;$1&lt;rt&gt;$2&lt;/rt&gt;&lt;/ruby&gt;""
)&amp;""&lt;br&gt;&lt;div class=""""audio""""&gt;[sound:""&amp;C5304&amp;"".mp3]&lt;/div&gt;"""),"のろのろ&lt;br&gt;&lt;div class=""audio""&gt;[sound:のろのろ.mp3]&lt;/div&gt;")</f>
        <v>のろのろ&lt;br&gt;&lt;div class="audio"&gt;[sound:のろのろ.mp3]&lt;/div&gt;</v>
      </c>
      <c r="H5304" s="3" t="str">
        <f t="shared" si="1"/>
        <v>(adv): chậm chạp</v>
      </c>
      <c r="I5304" s="6" t="s">
        <v>28913</v>
      </c>
      <c r="J5304" s="6" t="s">
        <v>28914</v>
      </c>
      <c r="K5304" s="7">
        <f t="shared" si="2"/>
        <v>0.9218721167</v>
      </c>
    </row>
    <row r="5305">
      <c r="A5305" s="4">
        <v>5305.0</v>
      </c>
      <c r="B5305" s="5" t="s">
        <v>28915</v>
      </c>
      <c r="C5305" s="5" t="s">
        <v>28915</v>
      </c>
      <c r="D5305" s="5" t="s">
        <v>28915</v>
      </c>
      <c r="E5305" s="6" t="s">
        <v>85</v>
      </c>
      <c r="F5305" s="6" t="s">
        <v>28916</v>
      </c>
      <c r="G5305" s="3" t="str">
        <f>IFERROR(__xludf.DUMMYFUNCTION("REGEXREPLACE(
D5305,
""([一-龯々]+)\[([^\]]+)\]"",
""&lt;ruby&gt;$1&lt;rt&gt;$2&lt;/rt&gt;&lt;/ruby&gt;""
)&amp;""&lt;br&gt;&lt;div class=""""audio""""&gt;[sound:""&amp;C5305&amp;"".mp3]&lt;/div&gt;"""),"やたらに&lt;br&gt;&lt;div class=""audio""&gt;[sound:やたらに.mp3]&lt;/div&gt;")</f>
        <v>やたらに&lt;br&gt;&lt;div class="audio"&gt;[sound:やたらに.mp3]&lt;/div&gt;</v>
      </c>
      <c r="H5305" s="3" t="str">
        <f t="shared" si="1"/>
        <v>(adv): vô tội vạ</v>
      </c>
      <c r="I5305" s="6" t="s">
        <v>28917</v>
      </c>
      <c r="J5305" s="6" t="s">
        <v>28918</v>
      </c>
      <c r="K5305" s="7">
        <f t="shared" si="2"/>
        <v>0.3680609155</v>
      </c>
    </row>
    <row r="5306">
      <c r="A5306" s="4">
        <v>5306.0</v>
      </c>
      <c r="B5306" s="5" t="s">
        <v>28919</v>
      </c>
      <c r="C5306" s="5" t="s">
        <v>28920</v>
      </c>
      <c r="D5306" s="5" t="s">
        <v>28921</v>
      </c>
      <c r="E5306" s="6" t="s">
        <v>58</v>
      </c>
      <c r="F5306" s="6" t="s">
        <v>28922</v>
      </c>
      <c r="G5306" s="3" t="str">
        <f>IFERROR(__xludf.DUMMYFUNCTION("REGEXREPLACE(
D5306,
""([一-龯々]+)\[([^\]]+)\]"",
""&lt;ruby&gt;$1&lt;rt&gt;$2&lt;/rt&gt;&lt;/ruby&gt;""
)&amp;""&lt;br&gt;&lt;div class=""""audio""""&gt;[sound:""&amp;C5306&amp;"".mp3]&lt;/div&gt;"""),"&lt;ruby&gt;十日&lt;rt&gt;とおか&lt;/rt&gt;&lt;/ruby&gt;&lt;br&gt;&lt;div class=""audio""&gt;[sound:とおか.mp3]&lt;/div&gt;")</f>
        <v>&lt;ruby&gt;十日&lt;rt&gt;とおか&lt;/rt&gt;&lt;/ruby&gt;&lt;br&gt;&lt;div class="audio"&gt;[sound:とおか.mp3]&lt;/div&gt;</v>
      </c>
      <c r="H5306" s="3" t="str">
        <f t="shared" si="1"/>
        <v>(num): ngày mười</v>
      </c>
      <c r="I5306" s="6" t="s">
        <v>28923</v>
      </c>
      <c r="J5306" s="6" t="s">
        <v>28924</v>
      </c>
      <c r="K5306" s="7">
        <f t="shared" si="2"/>
        <v>0.9295800348</v>
      </c>
    </row>
    <row r="5307">
      <c r="A5307" s="4">
        <v>5307.0</v>
      </c>
      <c r="B5307" s="5" t="s">
        <v>28925</v>
      </c>
      <c r="C5307" s="5" t="s">
        <v>28926</v>
      </c>
      <c r="D5307" s="5" t="s">
        <v>28927</v>
      </c>
      <c r="E5307" s="6" t="s">
        <v>85</v>
      </c>
      <c r="F5307" s="6" t="s">
        <v>8393</v>
      </c>
      <c r="G5307" s="3" t="str">
        <f>IFERROR(__xludf.DUMMYFUNCTION("REGEXREPLACE(
D5307,
""([一-龯々]+)\[([^\]]+)\]"",
""&lt;ruby&gt;$1&lt;rt&gt;$2&lt;/rt&gt;&lt;/ruby&gt;""
)&amp;""&lt;br&gt;&lt;div class=""""audio""""&gt;[sound:""&amp;C5307&amp;"".mp3]&lt;/div&gt;"""),"&lt;ruby&gt;却&lt;rt&gt;かえ&lt;/rt&gt;&lt;/ruby&gt;って&lt;br&gt;&lt;div class=""audio""&gt;[sound:かえって.mp3]&lt;/div&gt;")</f>
        <v>&lt;ruby&gt;却&lt;rt&gt;かえ&lt;/rt&gt;&lt;/ruby&gt;って&lt;br&gt;&lt;div class="audio"&gt;[sound:かえって.mp3]&lt;/div&gt;</v>
      </c>
      <c r="H5307" s="3" t="str">
        <f t="shared" si="1"/>
        <v>(adv): ngược lại</v>
      </c>
      <c r="I5307" s="6" t="s">
        <v>28928</v>
      </c>
      <c r="J5307" s="6" t="s">
        <v>28929</v>
      </c>
      <c r="K5307" s="7">
        <f t="shared" si="2"/>
        <v>0.9530827407</v>
      </c>
    </row>
    <row r="5308">
      <c r="A5308" s="4">
        <v>5308.0</v>
      </c>
      <c r="B5308" s="5" t="s">
        <v>28930</v>
      </c>
      <c r="C5308" s="5" t="s">
        <v>28931</v>
      </c>
      <c r="D5308" s="5" t="s">
        <v>28932</v>
      </c>
      <c r="E5308" s="6" t="s">
        <v>85</v>
      </c>
      <c r="F5308" s="6" t="s">
        <v>2262</v>
      </c>
      <c r="G5308" s="3" t="str">
        <f>IFERROR(__xludf.DUMMYFUNCTION("REGEXREPLACE(
D5308,
""([一-龯々]+)\[([^\]]+)\]"",
""&lt;ruby&gt;$1&lt;rt&gt;$2&lt;/rt&gt;&lt;/ruby&gt;""
)&amp;""&lt;br&gt;&lt;div class=""""audio""""&gt;[sound:""&amp;C5308&amp;"".mp3]&lt;/div&gt;"""),"&lt;ruby&gt;漸&lt;rt&gt;ようや&lt;/rt&gt;&lt;/ruby&gt;く&lt;br&gt;&lt;div class=""audio""&gt;[sound:ようやく.mp3]&lt;/div&gt;")</f>
        <v>&lt;ruby&gt;漸&lt;rt&gt;ようや&lt;/rt&gt;&lt;/ruby&gt;く&lt;br&gt;&lt;div class="audio"&gt;[sound:ようやく.mp3]&lt;/div&gt;</v>
      </c>
      <c r="H5308" s="3" t="str">
        <f t="shared" si="1"/>
        <v>(adv): cuối cùng</v>
      </c>
      <c r="I5308" s="6" t="s">
        <v>28933</v>
      </c>
      <c r="J5308" s="6" t="s">
        <v>2264</v>
      </c>
      <c r="K5308" s="7">
        <f t="shared" si="2"/>
        <v>0.4882630904</v>
      </c>
    </row>
    <row r="5309">
      <c r="A5309" s="4">
        <v>5309.0</v>
      </c>
      <c r="B5309" s="5" t="s">
        <v>28934</v>
      </c>
      <c r="C5309" s="5" t="s">
        <v>778</v>
      </c>
      <c r="D5309" s="5" t="s">
        <v>28935</v>
      </c>
      <c r="E5309" s="6" t="s">
        <v>24</v>
      </c>
      <c r="F5309" s="6" t="s">
        <v>28936</v>
      </c>
      <c r="G5309" s="3" t="str">
        <f>IFERROR(__xludf.DUMMYFUNCTION("REGEXREPLACE(
D5309,
""([一-龯々]+)\[([^\]]+)\]"",
""&lt;ruby&gt;$1&lt;rt&gt;$2&lt;/rt&gt;&lt;/ruby&gt;""
)&amp;""&lt;br&gt;&lt;div class=""""audio""""&gt;[sound:""&amp;C5309&amp;"".mp3]&lt;/div&gt;"""),"&lt;ruby&gt;点&lt;rt&gt;つ&lt;/rt&gt;&lt;/ruby&gt;く&lt;br&gt;&lt;div class=""audio""&gt;[sound:つく.mp3]&lt;/div&gt;")</f>
        <v>&lt;ruby&gt;点&lt;rt&gt;つ&lt;/rt&gt;&lt;/ruby&gt;く&lt;br&gt;&lt;div class="audio"&gt;[sound:つく.mp3]&lt;/div&gt;</v>
      </c>
      <c r="H5309" s="3" t="str">
        <f t="shared" si="1"/>
        <v>(v): được thắp</v>
      </c>
      <c r="I5309" s="6" t="s">
        <v>28937</v>
      </c>
      <c r="J5309" s="6" t="s">
        <v>28938</v>
      </c>
      <c r="K5309" s="7">
        <f t="shared" si="2"/>
        <v>0.2511661485</v>
      </c>
    </row>
    <row r="5310">
      <c r="A5310" s="4">
        <v>5310.0</v>
      </c>
      <c r="B5310" s="5" t="s">
        <v>28939</v>
      </c>
      <c r="C5310" s="5" t="s">
        <v>28940</v>
      </c>
      <c r="D5310" s="5" t="s">
        <v>28941</v>
      </c>
      <c r="E5310" s="6" t="s">
        <v>74</v>
      </c>
      <c r="F5310" s="6" t="s">
        <v>28942</v>
      </c>
      <c r="G5310" s="3" t="str">
        <f>IFERROR(__xludf.DUMMYFUNCTION("REGEXREPLACE(
D5310,
""([一-龯々]+)\[([^\]]+)\]"",
""&lt;ruby&gt;$1&lt;rt&gt;$2&lt;/rt&gt;&lt;/ruby&gt;""
)&amp;""&lt;br&gt;&lt;div class=""""audio""""&gt;[sound:""&amp;C5310&amp;"".mp3]&lt;/div&gt;"""),"&lt;ruby&gt;発明&lt;rt&gt;はつめい&lt;/rt&gt;&lt;/ruby&gt;&lt;br&gt;&lt;div class=""audio""&gt;[sound:はつめい.mp3]&lt;/div&gt;")</f>
        <v>&lt;ruby&gt;発明&lt;rt&gt;はつめい&lt;/rt&gt;&lt;/ruby&gt;&lt;br&gt;&lt;div class="audio"&gt;[sound:はつめい.mp3]&lt;/div&gt;</v>
      </c>
      <c r="H5310" s="3" t="str">
        <f t="shared" si="1"/>
        <v>(n): phát minh</v>
      </c>
      <c r="I5310" s="6" t="s">
        <v>28943</v>
      </c>
      <c r="J5310" s="6" t="s">
        <v>28944</v>
      </c>
      <c r="K5310" s="7">
        <f t="shared" si="2"/>
        <v>0.3254129786</v>
      </c>
    </row>
    <row r="5311">
      <c r="A5311" s="4">
        <v>5311.0</v>
      </c>
      <c r="B5311" s="5" t="s">
        <v>28945</v>
      </c>
      <c r="C5311" s="5" t="s">
        <v>28946</v>
      </c>
      <c r="D5311" s="5" t="s">
        <v>28947</v>
      </c>
      <c r="E5311" s="6" t="s">
        <v>11</v>
      </c>
      <c r="F5311" s="6" t="s">
        <v>28948</v>
      </c>
      <c r="G5311" s="3" t="str">
        <f>IFERROR(__xludf.DUMMYFUNCTION("REGEXREPLACE(
D5311,
""([一-龯々]+)\[([^\]]+)\]"",
""&lt;ruby&gt;$1&lt;rt&gt;$2&lt;/rt&gt;&lt;/ruby&gt;""
)&amp;""&lt;br&gt;&lt;div class=""""audio""""&gt;[sound:""&amp;C5311&amp;"".mp3]&lt;/div&gt;"""),"&lt;ruby&gt;謙虚&lt;rt&gt;けんきょ&lt;/rt&gt;&lt;/ruby&gt;&lt;br&gt;&lt;div class=""audio""&gt;[sound:けんきょ.mp3]&lt;/div&gt;")</f>
        <v>&lt;ruby&gt;謙虚&lt;rt&gt;けんきょ&lt;/rt&gt;&lt;/ruby&gt;&lt;br&gt;&lt;div class="audio"&gt;[sound:けんきょ.mp3]&lt;/div&gt;</v>
      </c>
      <c r="H5311" s="3" t="str">
        <f t="shared" si="1"/>
        <v>(adj): khiêm tốn</v>
      </c>
      <c r="I5311" s="6" t="s">
        <v>28949</v>
      </c>
      <c r="J5311" s="6" t="s">
        <v>28950</v>
      </c>
      <c r="K5311" s="7">
        <f t="shared" si="2"/>
        <v>0.2615466054</v>
      </c>
    </row>
    <row r="5312">
      <c r="A5312" s="4">
        <v>5312.0</v>
      </c>
      <c r="B5312" s="5" t="s">
        <v>28951</v>
      </c>
      <c r="C5312" s="5" t="s">
        <v>28952</v>
      </c>
      <c r="D5312" s="5" t="s">
        <v>28953</v>
      </c>
      <c r="E5312" s="6" t="s">
        <v>74</v>
      </c>
      <c r="F5312" s="6" t="s">
        <v>6894</v>
      </c>
      <c r="G5312" s="3" t="str">
        <f>IFERROR(__xludf.DUMMYFUNCTION("REGEXREPLACE(
D5312,
""([一-龯々]+)\[([^\]]+)\]"",
""&lt;ruby&gt;$1&lt;rt&gt;$2&lt;/rt&gt;&lt;/ruby&gt;""
)&amp;""&lt;br&gt;&lt;div class=""""audio""""&gt;[sound:""&amp;C5312&amp;"".mp3]&lt;/div&gt;"""),"&lt;ruby&gt;割引&lt;rt&gt;わりびき&lt;/rt&gt;&lt;/ruby&gt;&lt;br&gt;&lt;div class=""audio""&gt;[sound:わりびき.mp3]&lt;/div&gt;")</f>
        <v>&lt;ruby&gt;割引&lt;rt&gt;わりびき&lt;/rt&gt;&lt;/ruby&gt;&lt;br&gt;&lt;div class="audio"&gt;[sound:わりびき.mp3]&lt;/div&gt;</v>
      </c>
      <c r="H5312" s="3" t="str">
        <f t="shared" si="1"/>
        <v>(n): giảm giá</v>
      </c>
      <c r="I5312" s="6" t="s">
        <v>28954</v>
      </c>
      <c r="J5312" s="6" t="s">
        <v>28955</v>
      </c>
      <c r="K5312" s="7">
        <f t="shared" si="2"/>
        <v>0.6914757344</v>
      </c>
    </row>
    <row r="5313">
      <c r="A5313" s="4">
        <v>5313.0</v>
      </c>
      <c r="B5313" s="5" t="s">
        <v>28956</v>
      </c>
      <c r="C5313" s="5" t="s">
        <v>28957</v>
      </c>
      <c r="D5313" s="5" t="s">
        <v>28958</v>
      </c>
      <c r="E5313" s="6" t="s">
        <v>74</v>
      </c>
      <c r="F5313" s="6" t="s">
        <v>3062</v>
      </c>
      <c r="G5313" s="3" t="str">
        <f>IFERROR(__xludf.DUMMYFUNCTION("REGEXREPLACE(
D5313,
""([一-龯々]+)\[([^\]]+)\]"",
""&lt;ruby&gt;$1&lt;rt&gt;$2&lt;/rt&gt;&lt;/ruby&gt;""
)&amp;""&lt;br&gt;&lt;div class=""""audio""""&gt;[sound:""&amp;C5313&amp;"".mp3]&lt;/div&gt;"""),"&lt;ruby&gt;否&lt;rt&gt;いな&lt;/rt&gt;&lt;/ruby&gt;&lt;br&gt;&lt;div class=""audio""&gt;[sound:いな.mp3]&lt;/div&gt;")</f>
        <v>&lt;ruby&gt;否&lt;rt&gt;いな&lt;/rt&gt;&lt;/ruby&gt;&lt;br&gt;&lt;div class="audio"&gt;[sound:いな.mp3]&lt;/div&gt;</v>
      </c>
      <c r="H5313" s="3" t="str">
        <f t="shared" si="1"/>
        <v>(n): phủ định</v>
      </c>
      <c r="I5313" s="6" t="s">
        <v>28959</v>
      </c>
      <c r="J5313" s="6" t="s">
        <v>28960</v>
      </c>
      <c r="K5313" s="7">
        <f t="shared" si="2"/>
        <v>0.3383822053</v>
      </c>
    </row>
    <row r="5314">
      <c r="A5314" s="4">
        <v>5314.0</v>
      </c>
      <c r="B5314" s="5" t="s">
        <v>28961</v>
      </c>
      <c r="C5314" s="5" t="s">
        <v>28962</v>
      </c>
      <c r="D5314" s="5" t="s">
        <v>28963</v>
      </c>
      <c r="E5314" s="6" t="s">
        <v>85</v>
      </c>
      <c r="F5314" s="6" t="s">
        <v>2738</v>
      </c>
      <c r="G5314" s="3" t="str">
        <f>IFERROR(__xludf.DUMMYFUNCTION("REGEXREPLACE(
D5314,
""([一-龯々]+)\[([^\]]+)\]"",
""&lt;ruby&gt;$1&lt;rt&gt;$2&lt;/rt&gt;&lt;/ruby&gt;""
)&amp;""&lt;br&gt;&lt;div class=""""audio""""&gt;[sound:""&amp;C5314&amp;"".mp3]&lt;/div&gt;"""),"&lt;ruby&gt;大凡&lt;rt&gt;おおよそ&lt;/rt&gt;&lt;/ruby&gt;&lt;br&gt;&lt;div class=""audio""&gt;[sound:おおよそ.mp3]&lt;/div&gt;")</f>
        <v>&lt;ruby&gt;大凡&lt;rt&gt;おおよそ&lt;/rt&gt;&lt;/ruby&gt;&lt;br&gt;&lt;div class="audio"&gt;[sound:おおよそ.mp3]&lt;/div&gt;</v>
      </c>
      <c r="H5314" s="3" t="str">
        <f t="shared" si="1"/>
        <v>(adv): đại khái</v>
      </c>
      <c r="I5314" s="6" t="s">
        <v>28964</v>
      </c>
      <c r="J5314" s="6" t="s">
        <v>28965</v>
      </c>
      <c r="K5314" s="7">
        <f t="shared" si="2"/>
        <v>0.9524329888</v>
      </c>
    </row>
    <row r="5315">
      <c r="A5315" s="4">
        <v>5315.0</v>
      </c>
      <c r="B5315" s="5" t="s">
        <v>28966</v>
      </c>
      <c r="C5315" s="5" t="s">
        <v>28967</v>
      </c>
      <c r="D5315" s="5" t="s">
        <v>28968</v>
      </c>
      <c r="E5315" s="6" t="s">
        <v>74</v>
      </c>
      <c r="F5315" s="6" t="s">
        <v>28969</v>
      </c>
      <c r="G5315" s="3" t="str">
        <f>IFERROR(__xludf.DUMMYFUNCTION("REGEXREPLACE(
D5315,
""([一-龯々]+)\[([^\]]+)\]"",
""&lt;ruby&gt;$1&lt;rt&gt;$2&lt;/rt&gt;&lt;/ruby&gt;""
)&amp;""&lt;br&gt;&lt;div class=""""audio""""&gt;[sound:""&amp;C5315&amp;"".mp3]&lt;/div&gt;"""),"&lt;ruby&gt;実物&lt;rt&gt;じつぶつ&lt;/rt&gt;&lt;/ruby&gt;&lt;br&gt;&lt;div class=""audio""&gt;[sound:じつぶつ.mp3]&lt;/div&gt;")</f>
        <v>&lt;ruby&gt;実物&lt;rt&gt;じつぶつ&lt;/rt&gt;&lt;/ruby&gt;&lt;br&gt;&lt;div class="audio"&gt;[sound:じつぶつ.mp3]&lt;/div&gt;</v>
      </c>
      <c r="H5315" s="3" t="str">
        <f t="shared" si="1"/>
        <v>(n): vật thật</v>
      </c>
      <c r="I5315" s="6" t="s">
        <v>28970</v>
      </c>
      <c r="J5315" s="6" t="s">
        <v>28971</v>
      </c>
      <c r="K5315" s="7">
        <f t="shared" si="2"/>
        <v>0.8551250791</v>
      </c>
    </row>
    <row r="5316">
      <c r="A5316" s="4">
        <v>5316.0</v>
      </c>
      <c r="B5316" s="5" t="s">
        <v>28972</v>
      </c>
      <c r="C5316" s="5" t="s">
        <v>17169</v>
      </c>
      <c r="D5316" s="5" t="s">
        <v>28973</v>
      </c>
      <c r="E5316" s="6" t="s">
        <v>74</v>
      </c>
      <c r="F5316" s="6" t="s">
        <v>28974</v>
      </c>
      <c r="G5316" s="3" t="str">
        <f>IFERROR(__xludf.DUMMYFUNCTION("REGEXREPLACE(
D5316,
""([一-龯々]+)\[([^\]]+)\]"",
""&lt;ruby&gt;$1&lt;rt&gt;$2&lt;/rt&gt;&lt;/ruby&gt;""
)&amp;""&lt;br&gt;&lt;div class=""""audio""""&gt;[sound:""&amp;C5316&amp;"".mp3]&lt;/div&gt;"""),"&lt;ruby&gt;小父&lt;rt&gt;おじ&lt;/rt&gt;&lt;/ruby&gt;さん&lt;br&gt;&lt;div class=""audio""&gt;[sound:おじさん.mp3]&lt;/div&gt;")</f>
        <v>&lt;ruby&gt;小父&lt;rt&gt;おじ&lt;/rt&gt;&lt;/ruby&gt;さん&lt;br&gt;&lt;div class="audio"&gt;[sound:おじさん.mp3]&lt;/div&gt;</v>
      </c>
      <c r="H5316" s="3" t="str">
        <f t="shared" si="1"/>
        <v>(n): bác trai</v>
      </c>
      <c r="I5316" s="6" t="s">
        <v>28975</v>
      </c>
      <c r="J5316" s="6" t="s">
        <v>28976</v>
      </c>
      <c r="K5316" s="7">
        <f t="shared" si="2"/>
        <v>0.8723178666</v>
      </c>
    </row>
    <row r="5317">
      <c r="A5317" s="4">
        <v>5317.0</v>
      </c>
      <c r="B5317" s="5" t="s">
        <v>28977</v>
      </c>
      <c r="C5317" s="5" t="s">
        <v>176</v>
      </c>
      <c r="D5317" s="5" t="s">
        <v>28978</v>
      </c>
      <c r="E5317" s="6" t="s">
        <v>74</v>
      </c>
      <c r="F5317" s="6" t="s">
        <v>28979</v>
      </c>
      <c r="G5317" s="3" t="str">
        <f>IFERROR(__xludf.DUMMYFUNCTION("REGEXREPLACE(
D5317,
""([一-龯々]+)\[([^\]]+)\]"",
""&lt;ruby&gt;$1&lt;rt&gt;$2&lt;/rt&gt;&lt;/ruby&gt;""
)&amp;""&lt;br&gt;&lt;div class=""""audio""""&gt;[sound:""&amp;C5317&amp;"".mp3]&lt;/div&gt;"""),"&lt;ruby&gt;汁&lt;rt&gt;しる&lt;/rt&gt;&lt;/ruby&gt;&lt;br&gt;&lt;div class=""audio""&gt;[sound:しる.mp3]&lt;/div&gt;")</f>
        <v>&lt;ruby&gt;汁&lt;rt&gt;しる&lt;/rt&gt;&lt;/ruby&gt;&lt;br&gt;&lt;div class="audio"&gt;[sound:しる.mp3]&lt;/div&gt;</v>
      </c>
      <c r="H5317" s="3" t="str">
        <f t="shared" si="1"/>
        <v>(n): nước súp</v>
      </c>
      <c r="I5317" s="6" t="s">
        <v>28980</v>
      </c>
      <c r="J5317" s="6" t="s">
        <v>28981</v>
      </c>
      <c r="K5317" s="7">
        <f t="shared" si="2"/>
        <v>0.01389834432</v>
      </c>
    </row>
    <row r="5318">
      <c r="A5318" s="4">
        <v>5318.0</v>
      </c>
      <c r="B5318" s="5" t="s">
        <v>28982</v>
      </c>
      <c r="C5318" s="5" t="s">
        <v>28983</v>
      </c>
      <c r="D5318" s="5" t="s">
        <v>28984</v>
      </c>
      <c r="E5318" s="6" t="s">
        <v>74</v>
      </c>
      <c r="F5318" s="6" t="s">
        <v>28985</v>
      </c>
      <c r="G5318" s="3" t="str">
        <f>IFERROR(__xludf.DUMMYFUNCTION("REGEXREPLACE(
D5318,
""([一-龯々]+)\[([^\]]+)\]"",
""&lt;ruby&gt;$1&lt;rt&gt;$2&lt;/rt&gt;&lt;/ruby&gt;""
)&amp;""&lt;br&gt;&lt;div class=""""audio""""&gt;[sound:""&amp;C5318&amp;"".mp3]&lt;/div&gt;"""),"&lt;ruby&gt;発揮&lt;rt&gt;はっき&lt;/rt&gt;&lt;/ruby&gt;&lt;br&gt;&lt;div class=""audio""&gt;[sound:はっき.mp3]&lt;/div&gt;")</f>
        <v>&lt;ruby&gt;発揮&lt;rt&gt;はっき&lt;/rt&gt;&lt;/ruby&gt;&lt;br&gt;&lt;div class="audio"&gt;[sound:はっき.mp3]&lt;/div&gt;</v>
      </c>
      <c r="H5318" s="3" t="str">
        <f t="shared" si="1"/>
        <v>(n): phát huy</v>
      </c>
      <c r="I5318" s="6" t="s">
        <v>28986</v>
      </c>
      <c r="J5318" s="6" t="s">
        <v>28987</v>
      </c>
      <c r="K5318" s="7">
        <f t="shared" si="2"/>
        <v>0.5539249035</v>
      </c>
    </row>
    <row r="5319">
      <c r="A5319" s="4">
        <v>5319.0</v>
      </c>
      <c r="B5319" s="5" t="s">
        <v>28988</v>
      </c>
      <c r="C5319" s="5" t="s">
        <v>28988</v>
      </c>
      <c r="D5319" s="5" t="s">
        <v>28988</v>
      </c>
      <c r="E5319" s="6" t="s">
        <v>85</v>
      </c>
      <c r="F5319" s="6" t="s">
        <v>19879</v>
      </c>
      <c r="G5319" s="3" t="str">
        <f>IFERROR(__xludf.DUMMYFUNCTION("REGEXREPLACE(
D5319,
""([一-龯々]+)\[([^\]]+)\]"",
""&lt;ruby&gt;$1&lt;rt&gt;$2&lt;/rt&gt;&lt;/ruby&gt;""
)&amp;""&lt;br&gt;&lt;div class=""""audio""""&gt;[sound:""&amp;C5319&amp;"".mp3]&lt;/div&gt;"""),"ぶつぶつ&lt;br&gt;&lt;div class=""audio""&gt;[sound:ぶつぶつ.mp3]&lt;/div&gt;")</f>
        <v>ぶつぶつ&lt;br&gt;&lt;div class="audio"&gt;[sound:ぶつぶつ.mp3]&lt;/div&gt;</v>
      </c>
      <c r="H5319" s="3" t="str">
        <f t="shared" si="1"/>
        <v>(adv): lầm bầm</v>
      </c>
      <c r="I5319" s="6" t="s">
        <v>28989</v>
      </c>
      <c r="J5319" s="6" t="s">
        <v>28990</v>
      </c>
      <c r="K5319" s="7">
        <f t="shared" si="2"/>
        <v>0.7103697744</v>
      </c>
    </row>
    <row r="5320">
      <c r="A5320" s="4">
        <v>5320.0</v>
      </c>
      <c r="B5320" s="5" t="s">
        <v>28991</v>
      </c>
      <c r="C5320" s="5" t="s">
        <v>28992</v>
      </c>
      <c r="D5320" s="5" t="s">
        <v>28993</v>
      </c>
      <c r="E5320" s="6" t="s">
        <v>74</v>
      </c>
      <c r="F5320" s="6" t="s">
        <v>28994</v>
      </c>
      <c r="G5320" s="3" t="str">
        <f>IFERROR(__xludf.DUMMYFUNCTION("REGEXREPLACE(
D5320,
""([一-龯々]+)\[([^\]]+)\]"",
""&lt;ruby&gt;$1&lt;rt&gt;$2&lt;/rt&gt;&lt;/ruby&gt;""
)&amp;""&lt;br&gt;&lt;div class=""""audio""""&gt;[sound:""&amp;C5320&amp;"".mp3]&lt;/div&gt;"""),"&lt;ruby&gt;博士&lt;rt&gt;はかせ&lt;/rt&gt;&lt;/ruby&gt;&lt;br&gt;&lt;div class=""audio""&gt;[sound:はかせ.mp3]&lt;/div&gt;")</f>
        <v>&lt;ruby&gt;博士&lt;rt&gt;はかせ&lt;/rt&gt;&lt;/ruby&gt;&lt;br&gt;&lt;div class="audio"&gt;[sound:はかせ.mp3]&lt;/div&gt;</v>
      </c>
      <c r="H5320" s="3" t="str">
        <f t="shared" si="1"/>
        <v>(n): tiến sĩ</v>
      </c>
      <c r="I5320" s="6" t="s">
        <v>28995</v>
      </c>
      <c r="J5320" s="6" t="s">
        <v>28996</v>
      </c>
      <c r="K5320" s="7">
        <f t="shared" si="2"/>
        <v>0.9968367204</v>
      </c>
    </row>
    <row r="5321">
      <c r="A5321" s="4">
        <v>5321.0</v>
      </c>
      <c r="B5321" s="5" t="s">
        <v>28997</v>
      </c>
      <c r="C5321" s="5" t="s">
        <v>28998</v>
      </c>
      <c r="D5321" s="5" t="s">
        <v>28999</v>
      </c>
      <c r="E5321" s="6" t="s">
        <v>74</v>
      </c>
      <c r="F5321" s="6" t="s">
        <v>11114</v>
      </c>
      <c r="G5321" s="3" t="str">
        <f>IFERROR(__xludf.DUMMYFUNCTION("REGEXREPLACE(
D5321,
""([一-龯々]+)\[([^\]]+)\]"",
""&lt;ruby&gt;$1&lt;rt&gt;$2&lt;/rt&gt;&lt;/ruby&gt;""
)&amp;""&lt;br&gt;&lt;div class=""""audio""""&gt;[sound:""&amp;C5321&amp;"".mp3]&lt;/div&gt;"""),"&lt;ruby&gt;貯蔵&lt;rt&gt;ちょぞう&lt;/rt&gt;&lt;/ruby&gt;&lt;br&gt;&lt;div class=""audio""&gt;[sound:ちょぞう.mp3]&lt;/div&gt;")</f>
        <v>&lt;ruby&gt;貯蔵&lt;rt&gt;ちょぞう&lt;/rt&gt;&lt;/ruby&gt;&lt;br&gt;&lt;div class="audio"&gt;[sound:ちょぞう.mp3]&lt;/div&gt;</v>
      </c>
      <c r="H5321" s="3" t="str">
        <f t="shared" si="1"/>
        <v>(n): lưu trữ</v>
      </c>
      <c r="I5321" s="6" t="s">
        <v>29000</v>
      </c>
      <c r="J5321" s="6" t="s">
        <v>29001</v>
      </c>
      <c r="K5321" s="7">
        <f t="shared" si="2"/>
        <v>0.01664023903</v>
      </c>
    </row>
    <row r="5322">
      <c r="A5322" s="4">
        <v>5322.0</v>
      </c>
      <c r="B5322" s="5" t="s">
        <v>29002</v>
      </c>
      <c r="C5322" s="5" t="s">
        <v>29002</v>
      </c>
      <c r="D5322" s="5" t="s">
        <v>29002</v>
      </c>
      <c r="E5322" s="6" t="s">
        <v>24</v>
      </c>
      <c r="F5322" s="6" t="s">
        <v>8328</v>
      </c>
      <c r="G5322" s="3" t="str">
        <f>IFERROR(__xludf.DUMMYFUNCTION("REGEXREPLACE(
D5322,
""([一-龯々]+)\[([^\]]+)\]"",
""&lt;ruby&gt;$1&lt;rt&gt;$2&lt;/rt&gt;&lt;/ruby&gt;""
)&amp;""&lt;br&gt;&lt;div class=""""audio""""&gt;[sound:""&amp;C5322&amp;"".mp3]&lt;/div&gt;"""),"こしらえる&lt;br&gt;&lt;div class=""audio""&gt;[sound:こしらえる.mp3]&lt;/div&gt;")</f>
        <v>こしらえる&lt;br&gt;&lt;div class="audio"&gt;[sound:こしらえる.mp3]&lt;/div&gt;</v>
      </c>
      <c r="H5322" s="3" t="str">
        <f t="shared" si="1"/>
        <v>(v): tạo ra</v>
      </c>
      <c r="I5322" s="6" t="s">
        <v>29003</v>
      </c>
      <c r="J5322" s="6" t="s">
        <v>29004</v>
      </c>
      <c r="K5322" s="7">
        <f t="shared" si="2"/>
        <v>0.8841921477</v>
      </c>
    </row>
    <row r="5323">
      <c r="A5323" s="4">
        <v>5323.0</v>
      </c>
      <c r="B5323" s="5" t="s">
        <v>29005</v>
      </c>
      <c r="C5323" s="5" t="s">
        <v>29005</v>
      </c>
      <c r="D5323" s="5" t="s">
        <v>29005</v>
      </c>
      <c r="E5323" s="6" t="s">
        <v>11</v>
      </c>
      <c r="F5323" s="6" t="s">
        <v>29006</v>
      </c>
      <c r="G5323" s="3" t="str">
        <f>IFERROR(__xludf.DUMMYFUNCTION("REGEXREPLACE(
D5323,
""([一-龯々]+)\[([^\]]+)\]"",
""&lt;ruby&gt;$1&lt;rt&gt;$2&lt;/rt&gt;&lt;/ruby&gt;""
)&amp;""&lt;br&gt;&lt;div class=""""audio""""&gt;[sound:""&amp;C5323&amp;"".mp3]&lt;/div&gt;"""),"すっぱい&lt;br&gt;&lt;div class=""audio""&gt;[sound:すっぱい.mp3]&lt;/div&gt;")</f>
        <v>すっぱい&lt;br&gt;&lt;div class="audio"&gt;[sound:すっぱい.mp3]&lt;/div&gt;</v>
      </c>
      <c r="H5323" s="3" t="str">
        <f t="shared" si="1"/>
        <v>(adj): chua</v>
      </c>
      <c r="I5323" s="6" t="s">
        <v>29007</v>
      </c>
      <c r="J5323" s="6" t="s">
        <v>29008</v>
      </c>
      <c r="K5323" s="7">
        <f t="shared" si="2"/>
        <v>0.2289316772</v>
      </c>
    </row>
    <row r="5324">
      <c r="A5324" s="4">
        <v>5324.0</v>
      </c>
      <c r="B5324" s="5" t="s">
        <v>29009</v>
      </c>
      <c r="C5324" s="5" t="s">
        <v>29010</v>
      </c>
      <c r="D5324" s="5" t="s">
        <v>29011</v>
      </c>
      <c r="E5324" s="6" t="s">
        <v>24</v>
      </c>
      <c r="F5324" s="6" t="s">
        <v>1724</v>
      </c>
      <c r="G5324" s="3" t="str">
        <f>IFERROR(__xludf.DUMMYFUNCTION("REGEXREPLACE(
D5324,
""([一-龯々]+)\[([^\]]+)\]"",
""&lt;ruby&gt;$1&lt;rt&gt;$2&lt;/rt&gt;&lt;/ruby&gt;""
)&amp;""&lt;br&gt;&lt;div class=""""audio""""&gt;[sound:""&amp;C5324&amp;"".mp3]&lt;/div&gt;"""),"&lt;ruby&gt;冷&lt;rt&gt;ひ&lt;/rt&gt;&lt;/ruby&gt;える&lt;br&gt;&lt;div class=""audio""&gt;[sound:ひえる.mp3]&lt;/div&gt;")</f>
        <v>&lt;ruby&gt;冷&lt;rt&gt;ひ&lt;/rt&gt;&lt;/ruby&gt;える&lt;br&gt;&lt;div class="audio"&gt;[sound:ひえる.mp3]&lt;/div&gt;</v>
      </c>
      <c r="H5324" s="3" t="str">
        <f t="shared" si="1"/>
        <v>(v): lạnh</v>
      </c>
      <c r="I5324" s="6" t="s">
        <v>29012</v>
      </c>
      <c r="J5324" s="6" t="s">
        <v>29013</v>
      </c>
      <c r="K5324" s="7">
        <f t="shared" si="2"/>
        <v>0.2782432049</v>
      </c>
    </row>
    <row r="5325">
      <c r="A5325" s="4">
        <v>5325.0</v>
      </c>
      <c r="B5325" s="5" t="s">
        <v>29014</v>
      </c>
      <c r="C5325" s="5" t="s">
        <v>28804</v>
      </c>
      <c r="D5325" s="5" t="s">
        <v>29015</v>
      </c>
      <c r="E5325" s="6" t="s">
        <v>74</v>
      </c>
      <c r="F5325" s="6" t="s">
        <v>29016</v>
      </c>
      <c r="G5325" s="3" t="str">
        <f>IFERROR(__xludf.DUMMYFUNCTION("REGEXREPLACE(
D5325,
""([一-龯々]+)\[([^\]]+)\]"",
""&lt;ruby&gt;$1&lt;rt&gt;$2&lt;/rt&gt;&lt;/ruby&gt;""
)&amp;""&lt;br&gt;&lt;div class=""""audio""""&gt;[sound:""&amp;C5325&amp;"".mp3]&lt;/div&gt;"""),"&lt;ruby&gt;河&lt;rt&gt;かわ&lt;/rt&gt;&lt;/ruby&gt;&lt;br&gt;&lt;div class=""audio""&gt;[sound:かわ.mp3]&lt;/div&gt;")</f>
        <v>&lt;ruby&gt;河&lt;rt&gt;かわ&lt;/rt&gt;&lt;/ruby&gt;&lt;br&gt;&lt;div class="audio"&gt;[sound:かわ.mp3]&lt;/div&gt;</v>
      </c>
      <c r="H5325" s="3" t="str">
        <f t="shared" si="1"/>
        <v>(n): sông</v>
      </c>
      <c r="I5325" s="6" t="s">
        <v>29017</v>
      </c>
      <c r="J5325" s="6" t="s">
        <v>29018</v>
      </c>
      <c r="K5325" s="7">
        <f t="shared" si="2"/>
        <v>0.3060583936</v>
      </c>
    </row>
    <row r="5326">
      <c r="A5326" s="4">
        <v>5326.0</v>
      </c>
      <c r="B5326" s="5" t="s">
        <v>29019</v>
      </c>
      <c r="C5326" s="5" t="s">
        <v>14898</v>
      </c>
      <c r="D5326" s="5" t="s">
        <v>29020</v>
      </c>
      <c r="E5326" s="6" t="s">
        <v>74</v>
      </c>
      <c r="F5326" s="6" t="s">
        <v>29021</v>
      </c>
      <c r="G5326" s="3" t="str">
        <f>IFERROR(__xludf.DUMMYFUNCTION("REGEXREPLACE(
D5326,
""([一-龯々]+)\[([^\]]+)\]"",
""&lt;ruby&gt;$1&lt;rt&gt;$2&lt;/rt&gt;&lt;/ruby&gt;""
)&amp;""&lt;br&gt;&lt;div class=""""audio""""&gt;[sound:""&amp;C5326&amp;"".mp3]&lt;/div&gt;"""),"&lt;ruby&gt;郡&lt;rt&gt;ぐん&lt;/rt&gt;&lt;/ruby&gt;&lt;br&gt;&lt;div class=""audio""&gt;[sound:ぐん.mp3]&lt;/div&gt;")</f>
        <v>&lt;ruby&gt;郡&lt;rt&gt;ぐん&lt;/rt&gt;&lt;/ruby&gt;&lt;br&gt;&lt;div class="audio"&gt;[sound:ぐん.mp3]&lt;/div&gt;</v>
      </c>
      <c r="H5326" s="3" t="str">
        <f t="shared" si="1"/>
        <v>(n): quận</v>
      </c>
      <c r="I5326" s="6" t="s">
        <v>29022</v>
      </c>
      <c r="J5326" s="6" t="s">
        <v>29023</v>
      </c>
      <c r="K5326" s="7">
        <f t="shared" si="2"/>
        <v>0.9726991609</v>
      </c>
    </row>
    <row r="5327">
      <c r="A5327" s="4">
        <v>5327.0</v>
      </c>
      <c r="B5327" s="5" t="s">
        <v>29024</v>
      </c>
      <c r="C5327" s="5" t="s">
        <v>29025</v>
      </c>
      <c r="D5327" s="5" t="s">
        <v>29026</v>
      </c>
      <c r="E5327" s="6" t="s">
        <v>74</v>
      </c>
      <c r="F5327" s="6" t="s">
        <v>29027</v>
      </c>
      <c r="G5327" s="3" t="str">
        <f>IFERROR(__xludf.DUMMYFUNCTION("REGEXREPLACE(
D5327,
""([一-龯々]+)\[([^\]]+)\]"",
""&lt;ruby&gt;$1&lt;rt&gt;$2&lt;/rt&gt;&lt;/ruby&gt;""
)&amp;""&lt;br&gt;&lt;div class=""""audio""""&gt;[sound:""&amp;C5327&amp;"".mp3]&lt;/div&gt;"""),"&lt;ruby&gt;紐&lt;rt&gt;ひも&lt;/rt&gt;&lt;/ruby&gt;&lt;br&gt;&lt;div class=""audio""&gt;[sound:ひも.mp3]&lt;/div&gt;")</f>
        <v>&lt;ruby&gt;紐&lt;rt&gt;ひも&lt;/rt&gt;&lt;/ruby&gt;&lt;br&gt;&lt;div class="audio"&gt;[sound:ひも.mp3]&lt;/div&gt;</v>
      </c>
      <c r="H5327" s="3" t="str">
        <f t="shared" si="1"/>
        <v>(n): dây</v>
      </c>
      <c r="I5327" s="6" t="s">
        <v>29028</v>
      </c>
      <c r="J5327" s="6" t="s">
        <v>29029</v>
      </c>
      <c r="K5327" s="7">
        <f t="shared" si="2"/>
        <v>0.6146206556</v>
      </c>
    </row>
    <row r="5328">
      <c r="A5328" s="4">
        <v>5328.0</v>
      </c>
      <c r="B5328" s="5" t="s">
        <v>29030</v>
      </c>
      <c r="C5328" s="5" t="s">
        <v>29031</v>
      </c>
      <c r="D5328" s="5" t="s">
        <v>29032</v>
      </c>
      <c r="E5328" s="6" t="s">
        <v>74</v>
      </c>
      <c r="F5328" s="6" t="s">
        <v>29033</v>
      </c>
      <c r="G5328" s="3" t="str">
        <f>IFERROR(__xludf.DUMMYFUNCTION("REGEXREPLACE(
D5328,
""([一-龯々]+)\[([^\]]+)\]"",
""&lt;ruby&gt;$1&lt;rt&gt;$2&lt;/rt&gt;&lt;/ruby&gt;""
)&amp;""&lt;br&gt;&lt;div class=""""audio""""&gt;[sound:""&amp;C5328&amp;"".mp3]&lt;/div&gt;"""),"&lt;ruby&gt;湖&lt;rt&gt;みずうみ&lt;/rt&gt;&lt;/ruby&gt;&lt;br&gt;&lt;div class=""audio""&gt;[sound:みずうみ.mp3]&lt;/div&gt;")</f>
        <v>&lt;ruby&gt;湖&lt;rt&gt;みずうみ&lt;/rt&gt;&lt;/ruby&gt;&lt;br&gt;&lt;div class="audio"&gt;[sound:みずうみ.mp3]&lt;/div&gt;</v>
      </c>
      <c r="H5328" s="3" t="str">
        <f t="shared" si="1"/>
        <v>(n): hồ</v>
      </c>
      <c r="I5328" s="6" t="s">
        <v>29034</v>
      </c>
      <c r="J5328" s="6" t="s">
        <v>29035</v>
      </c>
      <c r="K5328" s="7">
        <f t="shared" si="2"/>
        <v>0.978269082</v>
      </c>
    </row>
    <row r="5329">
      <c r="A5329" s="4">
        <v>5329.0</v>
      </c>
      <c r="B5329" s="5" t="s">
        <v>29036</v>
      </c>
      <c r="C5329" s="5" t="s">
        <v>29037</v>
      </c>
      <c r="D5329" s="5" t="s">
        <v>29036</v>
      </c>
      <c r="E5329" s="6" t="s">
        <v>74</v>
      </c>
      <c r="F5329" s="6" t="s">
        <v>29038</v>
      </c>
      <c r="G5329" s="3" t="str">
        <f>IFERROR(__xludf.DUMMYFUNCTION("REGEXREPLACE(
D5329,
""([一-龯々]+)\[([^\]]+)\]"",
""&lt;ruby&gt;$1&lt;rt&gt;$2&lt;/rt&gt;&lt;/ruby&gt;""
)&amp;""&lt;br&gt;&lt;div class=""""audio""""&gt;[sound:""&amp;C5329&amp;"".mp3]&lt;/div&gt;"""),"ウイスキー&lt;br&gt;&lt;div class=""audio""&gt;[sound:ういすきー.mp3]&lt;/div&gt;")</f>
        <v>ウイスキー&lt;br&gt;&lt;div class="audio"&gt;[sound:ういすきー.mp3]&lt;/div&gt;</v>
      </c>
      <c r="H5329" s="3" t="str">
        <f t="shared" si="1"/>
        <v>(n): rượu whisky</v>
      </c>
      <c r="I5329" s="6" t="s">
        <v>29039</v>
      </c>
      <c r="J5329" s="6" t="s">
        <v>29040</v>
      </c>
      <c r="K5329" s="7">
        <f t="shared" si="2"/>
        <v>0.1165127753</v>
      </c>
    </row>
    <row r="5330">
      <c r="A5330" s="4">
        <v>5330.0</v>
      </c>
      <c r="B5330" s="5" t="s">
        <v>29041</v>
      </c>
      <c r="C5330" s="5" t="s">
        <v>1855</v>
      </c>
      <c r="D5330" s="5" t="s">
        <v>29042</v>
      </c>
      <c r="E5330" s="6" t="s">
        <v>74</v>
      </c>
      <c r="F5330" s="6" t="s">
        <v>29043</v>
      </c>
      <c r="G5330" s="3" t="str">
        <f>IFERROR(__xludf.DUMMYFUNCTION("REGEXREPLACE(
D5330,
""([一-龯々]+)\[([^\]]+)\]"",
""&lt;ruby&gt;$1&lt;rt&gt;$2&lt;/rt&gt;&lt;/ruby&gt;""
)&amp;""&lt;br&gt;&lt;div class=""""audio""""&gt;[sound:""&amp;C5330&amp;"".mp3]&lt;/div&gt;"""),"&lt;ruby&gt;賞品&lt;rt&gt;しょうひん&lt;/rt&gt;&lt;/ruby&gt;&lt;br&gt;&lt;div class=""audio""&gt;[sound:しょうひん.mp3]&lt;/div&gt;")</f>
        <v>&lt;ruby&gt;賞品&lt;rt&gt;しょうひん&lt;/rt&gt;&lt;/ruby&gt;&lt;br&gt;&lt;div class="audio"&gt;[sound:しょうひん.mp3]&lt;/div&gt;</v>
      </c>
      <c r="H5330" s="3" t="str">
        <f t="shared" si="1"/>
        <v>(n): phần thưởng</v>
      </c>
      <c r="I5330" s="6" t="s">
        <v>29044</v>
      </c>
      <c r="J5330" s="6" t="s">
        <v>29045</v>
      </c>
      <c r="K5330" s="7">
        <f t="shared" si="2"/>
        <v>0.9959456174</v>
      </c>
    </row>
    <row r="5331">
      <c r="A5331" s="4">
        <v>5331.0</v>
      </c>
      <c r="B5331" s="5" t="s">
        <v>29046</v>
      </c>
      <c r="C5331" s="5" t="s">
        <v>29047</v>
      </c>
      <c r="D5331" s="5" t="s">
        <v>29048</v>
      </c>
      <c r="E5331" s="6" t="s">
        <v>74</v>
      </c>
      <c r="F5331" s="6" t="s">
        <v>29049</v>
      </c>
      <c r="G5331" s="3" t="str">
        <f>IFERROR(__xludf.DUMMYFUNCTION("REGEXREPLACE(
D5331,
""([一-龯々]+)\[([^\]]+)\]"",
""&lt;ruby&gt;$1&lt;rt&gt;$2&lt;/rt&gt;&lt;/ruby&gt;""
)&amp;""&lt;br&gt;&lt;div class=""""audio""""&gt;[sound:""&amp;C5331&amp;"".mp3]&lt;/div&gt;"""),"&lt;ruby&gt;人命&lt;rt&gt;じんめい&lt;/rt&gt;&lt;/ruby&gt;&lt;br&gt;&lt;div class=""audio""&gt;[sound:じんめい.mp3]&lt;/div&gt;")</f>
        <v>&lt;ruby&gt;人命&lt;rt&gt;じんめい&lt;/rt&gt;&lt;/ruby&gt;&lt;br&gt;&lt;div class="audio"&gt;[sound:じんめい.mp3]&lt;/div&gt;</v>
      </c>
      <c r="H5331" s="3" t="str">
        <f t="shared" si="1"/>
        <v>(n): tính mạng</v>
      </c>
      <c r="I5331" s="6" t="s">
        <v>29050</v>
      </c>
      <c r="J5331" s="6" t="s">
        <v>29051</v>
      </c>
      <c r="K5331" s="7">
        <f t="shared" si="2"/>
        <v>0.8557632295</v>
      </c>
    </row>
    <row r="5332">
      <c r="A5332" s="4">
        <v>5332.0</v>
      </c>
      <c r="B5332" s="5" t="s">
        <v>29052</v>
      </c>
      <c r="C5332" s="5" t="s">
        <v>29053</v>
      </c>
      <c r="D5332" s="5" t="s">
        <v>29054</v>
      </c>
      <c r="E5332" s="6" t="s">
        <v>74</v>
      </c>
      <c r="F5332" s="6" t="s">
        <v>29055</v>
      </c>
      <c r="G5332" s="3" t="str">
        <f>IFERROR(__xludf.DUMMYFUNCTION("REGEXREPLACE(
D5332,
""([一-龯々]+)\[([^\]]+)\]"",
""&lt;ruby&gt;$1&lt;rt&gt;$2&lt;/rt&gt;&lt;/ruby&gt;""
)&amp;""&lt;br&gt;&lt;div class=""""audio""""&gt;[sound:""&amp;C5332&amp;"".mp3]&lt;/div&gt;"""),"&lt;ruby&gt;冒険&lt;rt&gt;ぼうけん&lt;/rt&gt;&lt;/ruby&gt;&lt;br&gt;&lt;div class=""audio""&gt;[sound:ぼうけん.mp3]&lt;/div&gt;")</f>
        <v>&lt;ruby&gt;冒険&lt;rt&gt;ぼうけん&lt;/rt&gt;&lt;/ruby&gt;&lt;br&gt;&lt;div class="audio"&gt;[sound:ぼうけん.mp3]&lt;/div&gt;</v>
      </c>
      <c r="H5332" s="3" t="str">
        <f t="shared" si="1"/>
        <v>(n): phiêu lưu</v>
      </c>
      <c r="I5332" s="6" t="s">
        <v>29056</v>
      </c>
      <c r="J5332" s="6" t="s">
        <v>29057</v>
      </c>
      <c r="K5332" s="7">
        <f t="shared" si="2"/>
        <v>0.3278069143</v>
      </c>
    </row>
    <row r="5333">
      <c r="A5333" s="4">
        <v>5333.0</v>
      </c>
      <c r="B5333" s="5" t="s">
        <v>29058</v>
      </c>
      <c r="C5333" s="5" t="s">
        <v>29059</v>
      </c>
      <c r="D5333" s="5" t="s">
        <v>29060</v>
      </c>
      <c r="E5333" s="6" t="s">
        <v>74</v>
      </c>
      <c r="F5333" s="6" t="s">
        <v>29061</v>
      </c>
      <c r="G5333" s="3" t="str">
        <f>IFERROR(__xludf.DUMMYFUNCTION("REGEXREPLACE(
D5333,
""([一-龯々]+)\[([^\]]+)\]"",
""&lt;ruby&gt;$1&lt;rt&gt;$2&lt;/rt&gt;&lt;/ruby&gt;""
)&amp;""&lt;br&gt;&lt;div class=""""audio""""&gt;[sound:""&amp;C5333&amp;"".mp3]&lt;/div&gt;"""),"&lt;ruby&gt;農村&lt;rt&gt;のうそん&lt;/rt&gt;&lt;/ruby&gt;&lt;br&gt;&lt;div class=""audio""&gt;[sound:のうそん.mp3]&lt;/div&gt;")</f>
        <v>&lt;ruby&gt;農村&lt;rt&gt;のうそん&lt;/rt&gt;&lt;/ruby&gt;&lt;br&gt;&lt;div class="audio"&gt;[sound:のうそん.mp3]&lt;/div&gt;</v>
      </c>
      <c r="H5333" s="3" t="str">
        <f t="shared" si="1"/>
        <v>(n): nông thôn</v>
      </c>
      <c r="I5333" s="6" t="s">
        <v>29062</v>
      </c>
      <c r="J5333" s="6" t="s">
        <v>29063</v>
      </c>
      <c r="K5333" s="7">
        <f t="shared" si="2"/>
        <v>0.9001123435</v>
      </c>
    </row>
    <row r="5334">
      <c r="A5334" s="4">
        <v>5334.0</v>
      </c>
      <c r="B5334" s="5" t="s">
        <v>29064</v>
      </c>
      <c r="C5334" s="5" t="s">
        <v>29064</v>
      </c>
      <c r="D5334" s="5" t="s">
        <v>29064</v>
      </c>
      <c r="E5334" s="6" t="s">
        <v>74</v>
      </c>
      <c r="F5334" s="6" t="s">
        <v>21386</v>
      </c>
      <c r="G5334" s="3" t="str">
        <f>IFERROR(__xludf.DUMMYFUNCTION("REGEXREPLACE(
D5334,
""([一-龯々]+)\[([^\]]+)\]"",
""&lt;ruby&gt;$1&lt;rt&gt;$2&lt;/rt&gt;&lt;/ruby&gt;""
)&amp;""&lt;br&gt;&lt;div class=""""audio""""&gt;[sound:""&amp;C5334&amp;"".mp3]&lt;/div&gt;"""),"しっぽ&lt;br&gt;&lt;div class=""audio""&gt;[sound:しっぽ.mp3]&lt;/div&gt;")</f>
        <v>しっぽ&lt;br&gt;&lt;div class="audio"&gt;[sound:しっぽ.mp3]&lt;/div&gt;</v>
      </c>
      <c r="H5334" s="3" t="str">
        <f t="shared" si="1"/>
        <v>(n): cái đuôi</v>
      </c>
      <c r="I5334" s="6" t="s">
        <v>29065</v>
      </c>
      <c r="J5334" s="6" t="s">
        <v>21388</v>
      </c>
      <c r="K5334" s="7">
        <f t="shared" si="2"/>
        <v>0.8829575515</v>
      </c>
    </row>
    <row r="5335">
      <c r="A5335" s="4">
        <v>5335.0</v>
      </c>
      <c r="B5335" s="5" t="s">
        <v>29066</v>
      </c>
      <c r="C5335" s="5" t="s">
        <v>29067</v>
      </c>
      <c r="D5335" s="5" t="s">
        <v>29066</v>
      </c>
      <c r="E5335" s="6" t="s">
        <v>11</v>
      </c>
      <c r="F5335" s="6" t="s">
        <v>8778</v>
      </c>
      <c r="G5335" s="3" t="str">
        <f>IFERROR(__xludf.DUMMYFUNCTION("REGEXREPLACE(
D5335,
""([一-龯々]+)\[([^\]]+)\]"",
""&lt;ruby&gt;$1&lt;rt&gt;$2&lt;/rt&gt;&lt;/ruby&gt;""
)&amp;""&lt;br&gt;&lt;div class=""""audio""""&gt;[sound:""&amp;C5335&amp;"".mp3]&lt;/div&gt;"""),"モダン&lt;br&gt;&lt;div class=""audio""&gt;[sound:もだん.mp3]&lt;/div&gt;")</f>
        <v>モダン&lt;br&gt;&lt;div class="audio"&gt;[sound:もだん.mp3]&lt;/div&gt;</v>
      </c>
      <c r="H5335" s="3" t="str">
        <f t="shared" si="1"/>
        <v>(adj): hiện đại</v>
      </c>
      <c r="I5335" s="6" t="s">
        <v>29068</v>
      </c>
      <c r="J5335" s="6" t="s">
        <v>29069</v>
      </c>
      <c r="K5335" s="7">
        <f t="shared" si="2"/>
        <v>0.7964092423</v>
      </c>
    </row>
    <row r="5336">
      <c r="A5336" s="4">
        <v>5336.0</v>
      </c>
      <c r="B5336" s="5" t="s">
        <v>29070</v>
      </c>
      <c r="C5336" s="5" t="s">
        <v>29071</v>
      </c>
      <c r="D5336" s="5" t="s">
        <v>29072</v>
      </c>
      <c r="E5336" s="6" t="s">
        <v>74</v>
      </c>
      <c r="F5336" s="6" t="s">
        <v>29073</v>
      </c>
      <c r="G5336" s="3" t="str">
        <f>IFERROR(__xludf.DUMMYFUNCTION("REGEXREPLACE(
D5336,
""([一-龯々]+)\[([^\]]+)\]"",
""&lt;ruby&gt;$1&lt;rt&gt;$2&lt;/rt&gt;&lt;/ruby&gt;""
)&amp;""&lt;br&gt;&lt;div class=""""audio""""&gt;[sound:""&amp;C5336&amp;"".mp3]&lt;/div&gt;"""),"&lt;ruby&gt;侵入&lt;rt&gt;しんにゅう&lt;/rt&gt;&lt;/ruby&gt;&lt;br&gt;&lt;div class=""audio""&gt;[sound:しんにゅう.mp3]&lt;/div&gt;")</f>
        <v>&lt;ruby&gt;侵入&lt;rt&gt;しんにゅう&lt;/rt&gt;&lt;/ruby&gt;&lt;br&gt;&lt;div class="audio"&gt;[sound:しんにゅう.mp3]&lt;/div&gt;</v>
      </c>
      <c r="H5336" s="3" t="str">
        <f t="shared" si="1"/>
        <v>(n): xâm nhập</v>
      </c>
      <c r="I5336" s="6" t="s">
        <v>29074</v>
      </c>
      <c r="J5336" s="6" t="s">
        <v>29075</v>
      </c>
      <c r="K5336" s="7">
        <f t="shared" si="2"/>
        <v>0.2303153002</v>
      </c>
    </row>
    <row r="5337">
      <c r="A5337" s="4">
        <v>5337.0</v>
      </c>
      <c r="B5337" s="5" t="s">
        <v>29076</v>
      </c>
      <c r="C5337" s="5" t="s">
        <v>29077</v>
      </c>
      <c r="D5337" s="5" t="s">
        <v>29078</v>
      </c>
      <c r="E5337" s="6" t="s">
        <v>58</v>
      </c>
      <c r="F5337" s="6" t="s">
        <v>29079</v>
      </c>
      <c r="G5337" s="3" t="str">
        <f>IFERROR(__xludf.DUMMYFUNCTION("REGEXREPLACE(
D5337,
""([一-龯々]+)\[([^\]]+)\]"",
""&lt;ruby&gt;$1&lt;rt&gt;$2&lt;/rt&gt;&lt;/ruby&gt;""
)&amp;""&lt;br&gt;&lt;div class=""""audio""""&gt;[sound:""&amp;C5337&amp;"".mp3]&lt;/div&gt;"""),"&lt;ruby&gt;六日&lt;rt&gt;むいか&lt;/rt&gt;&lt;/ruby&gt;&lt;br&gt;&lt;div class=""audio""&gt;[sound:むいか.mp3]&lt;/div&gt;")</f>
        <v>&lt;ruby&gt;六日&lt;rt&gt;むいか&lt;/rt&gt;&lt;/ruby&gt;&lt;br&gt;&lt;div class="audio"&gt;[sound:むいか.mp3]&lt;/div&gt;</v>
      </c>
      <c r="H5337" s="3" t="str">
        <f t="shared" si="1"/>
        <v>(num): ngày sáu</v>
      </c>
      <c r="I5337" s="6" t="s">
        <v>29080</v>
      </c>
      <c r="J5337" s="6" t="s">
        <v>29081</v>
      </c>
      <c r="K5337" s="7">
        <f t="shared" si="2"/>
        <v>0.3393153162</v>
      </c>
    </row>
    <row r="5338">
      <c r="A5338" s="4">
        <v>5338.0</v>
      </c>
      <c r="B5338" s="5" t="s">
        <v>29082</v>
      </c>
      <c r="C5338" s="5" t="s">
        <v>29083</v>
      </c>
      <c r="D5338" s="5" t="s">
        <v>29084</v>
      </c>
      <c r="E5338" s="6" t="s">
        <v>11</v>
      </c>
      <c r="F5338" s="6" t="s">
        <v>8282</v>
      </c>
      <c r="G5338" s="3" t="str">
        <f>IFERROR(__xludf.DUMMYFUNCTION("REGEXREPLACE(
D5338,
""([一-龯々]+)\[([^\]]+)\]"",
""&lt;ruby&gt;$1&lt;rt&gt;$2&lt;/rt&gt;&lt;/ruby&gt;""
)&amp;""&lt;br&gt;&lt;div class=""""audio""""&gt;[sound:""&amp;C5338&amp;"".mp3]&lt;/div&gt;"""),"&lt;ruby&gt;莫大&lt;rt&gt;ばくだい&lt;/rt&gt;&lt;/ruby&gt;&lt;br&gt;&lt;div class=""audio""&gt;[sound:ばくだい.mp3]&lt;/div&gt;")</f>
        <v>&lt;ruby&gt;莫大&lt;rt&gt;ばくだい&lt;/rt&gt;&lt;/ruby&gt;&lt;br&gt;&lt;div class="audio"&gt;[sound:ばくだい.mp3]&lt;/div&gt;</v>
      </c>
      <c r="H5338" s="3" t="str">
        <f t="shared" si="1"/>
        <v>(adj): khổng lồ</v>
      </c>
      <c r="I5338" s="6" t="s">
        <v>29085</v>
      </c>
      <c r="J5338" s="6" t="s">
        <v>29086</v>
      </c>
      <c r="K5338" s="7">
        <f t="shared" si="2"/>
        <v>0.8320380592</v>
      </c>
    </row>
    <row r="5339">
      <c r="A5339" s="4">
        <v>5339.0</v>
      </c>
      <c r="B5339" s="5" t="s">
        <v>29087</v>
      </c>
      <c r="C5339" s="5" t="s">
        <v>29088</v>
      </c>
      <c r="D5339" s="5" t="s">
        <v>29089</v>
      </c>
      <c r="E5339" s="6" t="s">
        <v>74</v>
      </c>
      <c r="F5339" s="6" t="s">
        <v>29090</v>
      </c>
      <c r="G5339" s="3" t="str">
        <f>IFERROR(__xludf.DUMMYFUNCTION("REGEXREPLACE(
D5339,
""([一-龯々]+)\[([^\]]+)\]"",
""&lt;ruby&gt;$1&lt;rt&gt;$2&lt;/rt&gt;&lt;/ruby&gt;""
)&amp;""&lt;br&gt;&lt;div class=""""audio""""&gt;[sound:""&amp;C5339&amp;"".mp3]&lt;/div&gt;"""),"&lt;ruby&gt;蛇口&lt;rt&gt;じゃぐち&lt;/rt&gt;&lt;/ruby&gt;&lt;br&gt;&lt;div class=""audio""&gt;[sound:じゃぐち.mp3]&lt;/div&gt;")</f>
        <v>&lt;ruby&gt;蛇口&lt;rt&gt;じゃぐち&lt;/rt&gt;&lt;/ruby&gt;&lt;br&gt;&lt;div class="audio"&gt;[sound:じゃぐち.mp3]&lt;/div&gt;</v>
      </c>
      <c r="H5339" s="3" t="str">
        <f t="shared" si="1"/>
        <v>(n): vòi nước</v>
      </c>
      <c r="I5339" s="6" t="s">
        <v>29091</v>
      </c>
      <c r="J5339" s="6" t="s">
        <v>29092</v>
      </c>
      <c r="K5339" s="7">
        <f t="shared" si="2"/>
        <v>0.7145089297</v>
      </c>
    </row>
    <row r="5340">
      <c r="A5340" s="4">
        <v>5340.0</v>
      </c>
      <c r="B5340" s="5" t="s">
        <v>29093</v>
      </c>
      <c r="C5340" s="5" t="s">
        <v>29094</v>
      </c>
      <c r="D5340" s="5" t="s">
        <v>29095</v>
      </c>
      <c r="E5340" s="6" t="s">
        <v>74</v>
      </c>
      <c r="F5340" s="6" t="s">
        <v>29096</v>
      </c>
      <c r="G5340" s="3" t="str">
        <f>IFERROR(__xludf.DUMMYFUNCTION("REGEXREPLACE(
D5340,
""([一-龯々]+)\[([^\]]+)\]"",
""&lt;ruby&gt;$1&lt;rt&gt;$2&lt;/rt&gt;&lt;/ruby&gt;""
)&amp;""&lt;br&gt;&lt;div class=""""audio""""&gt;[sound:""&amp;C5340&amp;"".mp3]&lt;/div&gt;"""),"&lt;ruby&gt;退学&lt;rt&gt;たいがく&lt;/rt&gt;&lt;/ruby&gt;&lt;br&gt;&lt;div class=""audio""&gt;[sound:たいがく.mp3]&lt;/div&gt;")</f>
        <v>&lt;ruby&gt;退学&lt;rt&gt;たいがく&lt;/rt&gt;&lt;/ruby&gt;&lt;br&gt;&lt;div class="audio"&gt;[sound:たいがく.mp3]&lt;/div&gt;</v>
      </c>
      <c r="H5340" s="3" t="str">
        <f t="shared" si="1"/>
        <v>(n): thôi học</v>
      </c>
      <c r="I5340" s="6" t="s">
        <v>29097</v>
      </c>
      <c r="J5340" s="6" t="s">
        <v>29098</v>
      </c>
      <c r="K5340" s="7">
        <f t="shared" si="2"/>
        <v>0.04135506036</v>
      </c>
    </row>
    <row r="5341">
      <c r="A5341" s="4">
        <v>5341.0</v>
      </c>
      <c r="B5341" s="5" t="s">
        <v>29099</v>
      </c>
      <c r="C5341" s="5" t="s">
        <v>29100</v>
      </c>
      <c r="D5341" s="5" t="s">
        <v>29101</v>
      </c>
      <c r="E5341" s="6" t="s">
        <v>74</v>
      </c>
      <c r="F5341" s="6" t="s">
        <v>25886</v>
      </c>
      <c r="G5341" s="3" t="str">
        <f>IFERROR(__xludf.DUMMYFUNCTION("REGEXREPLACE(
D5341,
""([一-龯々]+)\[([^\]]+)\]"",
""&lt;ruby&gt;$1&lt;rt&gt;$2&lt;/rt&gt;&lt;/ruby&gt;""
)&amp;""&lt;br&gt;&lt;div class=""""audio""""&gt;[sound:""&amp;C5341&amp;"".mp3]&lt;/div&gt;"""),"&lt;ruby&gt;道順&lt;rt&gt;みちじゅん&lt;/rt&gt;&lt;/ruby&gt;&lt;br&gt;&lt;div class=""audio""&gt;[sound:みちじゅん.mp3]&lt;/div&gt;")</f>
        <v>&lt;ruby&gt;道順&lt;rt&gt;みちじゅん&lt;/rt&gt;&lt;/ruby&gt;&lt;br&gt;&lt;div class="audio"&gt;[sound:みちじゅん.mp3]&lt;/div&gt;</v>
      </c>
      <c r="H5341" s="3" t="str">
        <f t="shared" si="1"/>
        <v>(n): lộ trình</v>
      </c>
      <c r="I5341" s="6" t="s">
        <v>29102</v>
      </c>
      <c r="J5341" s="6" t="s">
        <v>29103</v>
      </c>
      <c r="K5341" s="7">
        <f t="shared" si="2"/>
        <v>0.2482897474</v>
      </c>
    </row>
    <row r="5342">
      <c r="A5342" s="4">
        <v>5342.0</v>
      </c>
      <c r="B5342" s="5" t="s">
        <v>29104</v>
      </c>
      <c r="C5342" s="5" t="s">
        <v>29105</v>
      </c>
      <c r="D5342" s="5" t="s">
        <v>29106</v>
      </c>
      <c r="E5342" s="6" t="s">
        <v>24</v>
      </c>
      <c r="F5342" s="6" t="s">
        <v>2192</v>
      </c>
      <c r="G5342" s="3" t="str">
        <f>IFERROR(__xludf.DUMMYFUNCTION("REGEXREPLACE(
D5342,
""([一-龯々]+)\[([^\]]+)\]"",
""&lt;ruby&gt;$1&lt;rt&gt;$2&lt;/rt&gt;&lt;/ruby&gt;""
)&amp;""&lt;br&gt;&lt;div class=""""audio""""&gt;[sound:""&amp;C5342&amp;"".mp3]&lt;/div&gt;"""),"&lt;ruby&gt;遡&lt;rt&gt;さかのぼ&lt;/rt&gt;&lt;/ruby&gt;る&lt;br&gt;&lt;div class=""audio""&gt;[sound:さかのぼる.mp3]&lt;/div&gt;")</f>
        <v>&lt;ruby&gt;遡&lt;rt&gt;さかのぼ&lt;/rt&gt;&lt;/ruby&gt;る&lt;br&gt;&lt;div class="audio"&gt;[sound:さかのぼる.mp3]&lt;/div&gt;</v>
      </c>
      <c r="H5342" s="3" t="str">
        <f t="shared" si="1"/>
        <v>(v): quay lại</v>
      </c>
      <c r="I5342" s="6" t="s">
        <v>29107</v>
      </c>
      <c r="J5342" s="6" t="s">
        <v>29108</v>
      </c>
      <c r="K5342" s="7">
        <f t="shared" si="2"/>
        <v>0.3744282786</v>
      </c>
    </row>
    <row r="5343">
      <c r="A5343" s="4">
        <v>5343.0</v>
      </c>
      <c r="B5343" s="5" t="s">
        <v>29109</v>
      </c>
      <c r="C5343" s="5" t="s">
        <v>29110</v>
      </c>
      <c r="D5343" s="5" t="s">
        <v>29111</v>
      </c>
      <c r="E5343" s="6" t="s">
        <v>74</v>
      </c>
      <c r="F5343" s="6" t="s">
        <v>1577</v>
      </c>
      <c r="G5343" s="3" t="str">
        <f>IFERROR(__xludf.DUMMYFUNCTION("REGEXREPLACE(
D5343,
""([一-龯々]+)\[([^\]]+)\]"",
""&lt;ruby&gt;$1&lt;rt&gt;$2&lt;/rt&gt;&lt;/ruby&gt;""
)&amp;""&lt;br&gt;&lt;div class=""""audio""""&gt;[sound:""&amp;C5343&amp;"".mp3]&lt;/div&gt;"""),"&lt;ruby&gt;重役&lt;rt&gt;じゅうやく&lt;/rt&gt;&lt;/ruby&gt;&lt;br&gt;&lt;div class=""audio""&gt;[sound:じゅうやく.mp3]&lt;/div&gt;")</f>
        <v>&lt;ruby&gt;重役&lt;rt&gt;じゅうやく&lt;/rt&gt;&lt;/ruby&gt;&lt;br&gt;&lt;div class="audio"&gt;[sound:じゅうやく.mp3]&lt;/div&gt;</v>
      </c>
      <c r="H5343" s="3" t="str">
        <f t="shared" si="1"/>
        <v>(n): giám đốc</v>
      </c>
      <c r="I5343" s="6" t="s">
        <v>29112</v>
      </c>
      <c r="J5343" s="6" t="s">
        <v>29113</v>
      </c>
      <c r="K5343" s="7">
        <f t="shared" si="2"/>
        <v>0.4160021915</v>
      </c>
    </row>
    <row r="5344">
      <c r="A5344" s="4">
        <v>5344.0</v>
      </c>
      <c r="B5344" s="5" t="s">
        <v>29114</v>
      </c>
      <c r="C5344" s="5" t="s">
        <v>29114</v>
      </c>
      <c r="D5344" s="5" t="s">
        <v>29114</v>
      </c>
      <c r="E5344" s="6" t="s">
        <v>85</v>
      </c>
      <c r="F5344" s="6" t="s">
        <v>29115</v>
      </c>
      <c r="G5344" s="3" t="str">
        <f>IFERROR(__xludf.DUMMYFUNCTION("REGEXREPLACE(
D5344,
""([一-龯々]+)\[([^\]]+)\]"",
""&lt;ruby&gt;$1&lt;rt&gt;$2&lt;/rt&gt;&lt;/ruby&gt;""
)&amp;""&lt;br&gt;&lt;div class=""""audio""""&gt;[sound:""&amp;C5344&amp;"".mp3]&lt;/div&gt;"""),"せっせと&lt;br&gt;&lt;div class=""audio""&gt;[sound:せっせと.mp3]&lt;/div&gt;")</f>
        <v>せっせと&lt;br&gt;&lt;div class="audio"&gt;[sound:せっせと.mp3]&lt;/div&gt;</v>
      </c>
      <c r="H5344" s="3" t="str">
        <f t="shared" si="1"/>
        <v>(adv): cần mẫn</v>
      </c>
      <c r="I5344" s="6" t="s">
        <v>29116</v>
      </c>
      <c r="J5344" s="6" t="s">
        <v>29117</v>
      </c>
      <c r="K5344" s="7">
        <f t="shared" si="2"/>
        <v>0.2537545814</v>
      </c>
    </row>
    <row r="5345">
      <c r="A5345" s="4">
        <v>5345.0</v>
      </c>
      <c r="B5345" s="5" t="s">
        <v>29118</v>
      </c>
      <c r="C5345" s="5" t="s">
        <v>28517</v>
      </c>
      <c r="D5345" s="5" t="s">
        <v>29119</v>
      </c>
      <c r="E5345" s="6" t="s">
        <v>74</v>
      </c>
      <c r="F5345" s="6" t="s">
        <v>29120</v>
      </c>
      <c r="G5345" s="3" t="str">
        <f>IFERROR(__xludf.DUMMYFUNCTION("REGEXREPLACE(
D5345,
""([一-龯々]+)\[([^\]]+)\]"",
""&lt;ruby&gt;$1&lt;rt&gt;$2&lt;/rt&gt;&lt;/ruby&gt;""
)&amp;""&lt;br&gt;&lt;div class=""""audio""""&gt;[sound:""&amp;C5345&amp;"".mp3]&lt;/div&gt;"""),"&lt;ruby&gt;刑事&lt;rt&gt;けいじ&lt;/rt&gt;&lt;/ruby&gt;&lt;br&gt;&lt;div class=""audio""&gt;[sound:けいじ.mp3]&lt;/div&gt;")</f>
        <v>&lt;ruby&gt;刑事&lt;rt&gt;けいじ&lt;/rt&gt;&lt;/ruby&gt;&lt;br&gt;&lt;div class="audio"&gt;[sound:けいじ.mp3]&lt;/div&gt;</v>
      </c>
      <c r="H5345" s="3" t="str">
        <f t="shared" si="1"/>
        <v>(n): thám tử</v>
      </c>
      <c r="I5345" s="6" t="s">
        <v>29121</v>
      </c>
      <c r="J5345" s="6" t="s">
        <v>29122</v>
      </c>
      <c r="K5345" s="7">
        <f t="shared" si="2"/>
        <v>0.9759803017</v>
      </c>
    </row>
    <row r="5346">
      <c r="A5346" s="4">
        <v>5346.0</v>
      </c>
      <c r="B5346" s="5" t="s">
        <v>29123</v>
      </c>
      <c r="C5346" s="5" t="s">
        <v>29124</v>
      </c>
      <c r="D5346" s="5" t="s">
        <v>29125</v>
      </c>
      <c r="E5346" s="6" t="s">
        <v>74</v>
      </c>
      <c r="F5346" s="6" t="s">
        <v>17261</v>
      </c>
      <c r="G5346" s="3" t="str">
        <f>IFERROR(__xludf.DUMMYFUNCTION("REGEXREPLACE(
D5346,
""([一-龯々]+)\[([^\]]+)\]"",
""&lt;ruby&gt;$1&lt;rt&gt;$2&lt;/rt&gt;&lt;/ruby&gt;""
)&amp;""&lt;br&gt;&lt;div class=""""audio""""&gt;[sound:""&amp;C5346&amp;"".mp3]&lt;/div&gt;"""),"&lt;ruby&gt;親類&lt;rt&gt;しんるい&lt;/rt&gt;&lt;/ruby&gt;&lt;br&gt;&lt;div class=""audio""&gt;[sound:しんるい.mp3]&lt;/div&gt;")</f>
        <v>&lt;ruby&gt;親類&lt;rt&gt;しんるい&lt;/rt&gt;&lt;/ruby&gt;&lt;br&gt;&lt;div class="audio"&gt;[sound:しんるい.mp3]&lt;/div&gt;</v>
      </c>
      <c r="H5346" s="3" t="str">
        <f t="shared" si="1"/>
        <v>(n): họ hàng</v>
      </c>
      <c r="I5346" s="6" t="s">
        <v>29126</v>
      </c>
      <c r="J5346" s="6" t="s">
        <v>29127</v>
      </c>
      <c r="K5346" s="7">
        <f t="shared" si="2"/>
        <v>0.4847871555</v>
      </c>
    </row>
    <row r="5347">
      <c r="A5347" s="4">
        <v>5347.0</v>
      </c>
      <c r="B5347" s="5" t="s">
        <v>29128</v>
      </c>
      <c r="C5347" s="5" t="s">
        <v>29128</v>
      </c>
      <c r="D5347" s="5" t="s">
        <v>29128</v>
      </c>
      <c r="E5347" s="6" t="s">
        <v>74</v>
      </c>
      <c r="F5347" s="6" t="s">
        <v>29129</v>
      </c>
      <c r="G5347" s="3" t="str">
        <f>IFERROR(__xludf.DUMMYFUNCTION("REGEXREPLACE(
D5347,
""([一-龯々]+)\[([^\]]+)\]"",
""&lt;ruby&gt;$1&lt;rt&gt;$2&lt;/rt&gt;&lt;/ruby&gt;""
)&amp;""&lt;br&gt;&lt;div class=""""audio""""&gt;[sound:""&amp;C5347&amp;"".mp3]&lt;/div&gt;"""),"まぶた&lt;br&gt;&lt;div class=""audio""&gt;[sound:まぶた.mp3]&lt;/div&gt;")</f>
        <v>まぶた&lt;br&gt;&lt;div class="audio"&gt;[sound:まぶた.mp3]&lt;/div&gt;</v>
      </c>
      <c r="H5347" s="3" t="str">
        <f t="shared" si="1"/>
        <v>(n): mi mắt</v>
      </c>
      <c r="I5347" s="6" t="s">
        <v>29130</v>
      </c>
      <c r="J5347" s="6" t="s">
        <v>29131</v>
      </c>
      <c r="K5347" s="7">
        <f t="shared" si="2"/>
        <v>0.1008317453</v>
      </c>
    </row>
    <row r="5348">
      <c r="A5348" s="4">
        <v>5348.0</v>
      </c>
      <c r="B5348" s="5" t="s">
        <v>29132</v>
      </c>
      <c r="C5348" s="5" t="s">
        <v>29133</v>
      </c>
      <c r="D5348" s="5" t="s">
        <v>29134</v>
      </c>
      <c r="E5348" s="6" t="s">
        <v>24</v>
      </c>
      <c r="F5348" s="6" t="s">
        <v>29135</v>
      </c>
      <c r="G5348" s="3" t="str">
        <f>IFERROR(__xludf.DUMMYFUNCTION("REGEXREPLACE(
D5348,
""([一-龯々]+)\[([^\]]+)\]"",
""&lt;ruby&gt;$1&lt;rt&gt;$2&lt;/rt&gt;&lt;/ruby&gt;""
)&amp;""&lt;br&gt;&lt;div class=""""audio""""&gt;[sound:""&amp;C5348&amp;"".mp3]&lt;/div&gt;"""),"&lt;ruby&gt;儲&lt;rt&gt;もう&lt;/rt&gt;&lt;/ruby&gt;かる&lt;br&gt;&lt;div class=""audio""&gt;[sound:もうかる.mp3]&lt;/div&gt;")</f>
        <v>&lt;ruby&gt;儲&lt;rt&gt;もう&lt;/rt&gt;&lt;/ruby&gt;かる&lt;br&gt;&lt;div class="audio"&gt;[sound:もうかる.mp3]&lt;/div&gt;</v>
      </c>
      <c r="H5348" s="3" t="str">
        <f t="shared" si="1"/>
        <v>(v): có lời</v>
      </c>
      <c r="I5348" s="6" t="s">
        <v>29136</v>
      </c>
      <c r="J5348" s="6" t="s">
        <v>29137</v>
      </c>
      <c r="K5348" s="7">
        <f t="shared" si="2"/>
        <v>0.3602852993</v>
      </c>
    </row>
    <row r="5349">
      <c r="A5349" s="4">
        <v>5349.0</v>
      </c>
      <c r="B5349" s="5" t="s">
        <v>29138</v>
      </c>
      <c r="C5349" s="5" t="s">
        <v>29139</v>
      </c>
      <c r="D5349" s="5" t="s">
        <v>29140</v>
      </c>
      <c r="E5349" s="6" t="s">
        <v>11</v>
      </c>
      <c r="F5349" s="6" t="s">
        <v>29141</v>
      </c>
      <c r="G5349" s="3" t="str">
        <f>IFERROR(__xludf.DUMMYFUNCTION("REGEXREPLACE(
D5349,
""([一-龯々]+)\[([^\]]+)\]"",
""&lt;ruby&gt;$1&lt;rt&gt;$2&lt;/rt&gt;&lt;/ruby&gt;""
)&amp;""&lt;br&gt;&lt;div class=""""audio""""&gt;[sound:""&amp;C5349&amp;"".mp3]&lt;/div&gt;"""),"&lt;ruby&gt;真&lt;rt&gt;ま&lt;/rt&gt;&lt;/ruby&gt;っ&lt;ruby&gt;赤&lt;rt&gt;か&lt;/rt&gt;&lt;/ruby&gt;&lt;br&gt;&lt;div class=""audio""&gt;[sound:まっか.mp3]&lt;/div&gt;")</f>
        <v>&lt;ruby&gt;真&lt;rt&gt;ま&lt;/rt&gt;&lt;/ruby&gt;っ&lt;ruby&gt;赤&lt;rt&gt;か&lt;/rt&gt;&lt;/ruby&gt;&lt;br&gt;&lt;div class="audio"&gt;[sound:まっか.mp3]&lt;/div&gt;</v>
      </c>
      <c r="H5349" s="3" t="str">
        <f t="shared" si="1"/>
        <v>(adj): đỏ rực</v>
      </c>
      <c r="I5349" s="6" t="s">
        <v>29142</v>
      </c>
      <c r="J5349" s="6" t="s">
        <v>29143</v>
      </c>
      <c r="K5349" s="7">
        <f t="shared" si="2"/>
        <v>0.874022139</v>
      </c>
    </row>
    <row r="5350">
      <c r="A5350" s="4">
        <v>5350.0</v>
      </c>
      <c r="B5350" s="5" t="s">
        <v>29144</v>
      </c>
      <c r="C5350" s="5" t="s">
        <v>29144</v>
      </c>
      <c r="D5350" s="5" t="s">
        <v>29144</v>
      </c>
      <c r="E5350" s="6" t="s">
        <v>11</v>
      </c>
      <c r="F5350" s="6" t="s">
        <v>29145</v>
      </c>
      <c r="G5350" s="3" t="str">
        <f>IFERROR(__xludf.DUMMYFUNCTION("REGEXREPLACE(
D5350,
""([一-龯々]+)\[([^\]]+)\]"",
""&lt;ruby&gt;$1&lt;rt&gt;$2&lt;/rt&gt;&lt;/ruby&gt;""
)&amp;""&lt;br&gt;&lt;div class=""""audio""""&gt;[sound:""&amp;C5350&amp;"".mp3]&lt;/div&gt;"""),"かゆい&lt;br&gt;&lt;div class=""audio""&gt;[sound:かゆい.mp3]&lt;/div&gt;")</f>
        <v>かゆい&lt;br&gt;&lt;div class="audio"&gt;[sound:かゆい.mp3]&lt;/div&gt;</v>
      </c>
      <c r="H5350" s="3" t="str">
        <f t="shared" si="1"/>
        <v>(adj): ngứa</v>
      </c>
      <c r="I5350" s="6" t="s">
        <v>29146</v>
      </c>
      <c r="J5350" s="6" t="s">
        <v>29147</v>
      </c>
      <c r="K5350" s="7">
        <f t="shared" si="2"/>
        <v>0.5089062264</v>
      </c>
    </row>
    <row r="5351">
      <c r="A5351" s="4">
        <v>5351.0</v>
      </c>
      <c r="B5351" s="5" t="s">
        <v>29148</v>
      </c>
      <c r="C5351" s="5" t="s">
        <v>29149</v>
      </c>
      <c r="D5351" s="5" t="s">
        <v>29150</v>
      </c>
      <c r="E5351" s="6" t="s">
        <v>74</v>
      </c>
      <c r="F5351" s="6" t="s">
        <v>29151</v>
      </c>
      <c r="G5351" s="3" t="str">
        <f>IFERROR(__xludf.DUMMYFUNCTION("REGEXREPLACE(
D5351,
""([一-龯々]+)\[([^\]]+)\]"",
""&lt;ruby&gt;$1&lt;rt&gt;$2&lt;/rt&gt;&lt;/ruby&gt;""
)&amp;""&lt;br&gt;&lt;div class=""""audio""""&gt;[sound:""&amp;C5351&amp;"".mp3]&lt;/div&gt;"""),"&lt;ruby&gt;入社&lt;rt&gt;にゅうしゃ&lt;/rt&gt;&lt;/ruby&gt;&lt;br&gt;&lt;div class=""audio""&gt;[sound:にゅうしゃ.mp3]&lt;/div&gt;")</f>
        <v>&lt;ruby&gt;入社&lt;rt&gt;にゅうしゃ&lt;/rt&gt;&lt;/ruby&gt;&lt;br&gt;&lt;div class="audio"&gt;[sound:にゅうしゃ.mp3]&lt;/div&gt;</v>
      </c>
      <c r="H5351" s="3" t="str">
        <f t="shared" si="1"/>
        <v>(n): vào công ty</v>
      </c>
      <c r="I5351" s="6" t="s">
        <v>29152</v>
      </c>
      <c r="J5351" s="6" t="s">
        <v>29153</v>
      </c>
      <c r="K5351" s="7">
        <f t="shared" si="2"/>
        <v>0.1602125978</v>
      </c>
    </row>
    <row r="5352">
      <c r="A5352" s="4">
        <v>5352.0</v>
      </c>
      <c r="B5352" s="5" t="s">
        <v>29154</v>
      </c>
      <c r="C5352" s="5" t="s">
        <v>29155</v>
      </c>
      <c r="D5352" s="5" t="s">
        <v>29156</v>
      </c>
      <c r="E5352" s="6" t="s">
        <v>74</v>
      </c>
      <c r="F5352" s="6" t="s">
        <v>29157</v>
      </c>
      <c r="G5352" s="3" t="str">
        <f>IFERROR(__xludf.DUMMYFUNCTION("REGEXREPLACE(
D5352,
""([一-龯々]+)\[([^\]]+)\]"",
""&lt;ruby&gt;$1&lt;rt&gt;$2&lt;/rt&gt;&lt;/ruby&gt;""
)&amp;""&lt;br&gt;&lt;div class=""""audio""""&gt;[sound:""&amp;C5352&amp;"".mp3]&lt;/div&gt;"""),"&lt;ruby&gt;投書&lt;rt&gt;とうしょ&lt;/rt&gt;&lt;/ruby&gt;&lt;br&gt;&lt;div class=""audio""&gt;[sound:とうしょ.mp3]&lt;/div&gt;")</f>
        <v>&lt;ruby&gt;投書&lt;rt&gt;とうしょ&lt;/rt&gt;&lt;/ruby&gt;&lt;br&gt;&lt;div class="audio"&gt;[sound:とうしょ.mp3]&lt;/div&gt;</v>
      </c>
      <c r="H5352" s="3" t="str">
        <f t="shared" si="1"/>
        <v>(n): thư gửi báo</v>
      </c>
      <c r="I5352" s="6" t="s">
        <v>29158</v>
      </c>
      <c r="J5352" s="6" t="s">
        <v>29159</v>
      </c>
      <c r="K5352" s="7">
        <f t="shared" si="2"/>
        <v>0.5143615762</v>
      </c>
    </row>
    <row r="5353">
      <c r="A5353" s="4">
        <v>5353.0</v>
      </c>
      <c r="B5353" s="5" t="s">
        <v>29160</v>
      </c>
      <c r="C5353" s="5" t="s">
        <v>29161</v>
      </c>
      <c r="D5353" s="5" t="s">
        <v>29162</v>
      </c>
      <c r="E5353" s="6" t="s">
        <v>24</v>
      </c>
      <c r="F5353" s="6" t="s">
        <v>24304</v>
      </c>
      <c r="G5353" s="3" t="str">
        <f>IFERROR(__xludf.DUMMYFUNCTION("REGEXREPLACE(
D5353,
""([一-龯々]+)\[([^\]]+)\]"",
""&lt;ruby&gt;$1&lt;rt&gt;$2&lt;/rt&gt;&lt;/ruby&gt;""
)&amp;""&lt;br&gt;&lt;div class=""""audio""""&gt;[sound:""&amp;C5353&amp;"".mp3]&lt;/div&gt;"""),"&lt;ruby&gt;透&lt;rt&gt;す&lt;/rt&gt;&lt;/ruby&gt;き&lt;ruby&gt;通&lt;rt&gt;とお&lt;/rt&gt;&lt;/ruby&gt;る&lt;br&gt;&lt;div class=""audio""&gt;[sound:すきとおる.mp3]&lt;/div&gt;")</f>
        <v>&lt;ruby&gt;透&lt;rt&gt;す&lt;/rt&gt;&lt;/ruby&gt;き&lt;ruby&gt;通&lt;rt&gt;とお&lt;/rt&gt;&lt;/ruby&gt;る&lt;br&gt;&lt;div class="audio"&gt;[sound:すきとおる.mp3]&lt;/div&gt;</v>
      </c>
      <c r="H5353" s="3" t="str">
        <f t="shared" si="1"/>
        <v>(v): trong suốt</v>
      </c>
      <c r="I5353" s="6" t="s">
        <v>29163</v>
      </c>
      <c r="J5353" s="6" t="s">
        <v>29164</v>
      </c>
      <c r="K5353" s="7">
        <f t="shared" si="2"/>
        <v>0.4990876955</v>
      </c>
    </row>
    <row r="5354">
      <c r="A5354" s="4">
        <v>5354.0</v>
      </c>
      <c r="B5354" s="5" t="s">
        <v>29165</v>
      </c>
      <c r="C5354" s="5" t="s">
        <v>5071</v>
      </c>
      <c r="D5354" s="5" t="s">
        <v>29166</v>
      </c>
      <c r="E5354" s="6" t="s">
        <v>74</v>
      </c>
      <c r="F5354" s="6" t="s">
        <v>15822</v>
      </c>
      <c r="G5354" s="3" t="str">
        <f>IFERROR(__xludf.DUMMYFUNCTION("REGEXREPLACE(
D5354,
""([一-龯々]+)\[([^\]]+)\]"",
""&lt;ruby&gt;$1&lt;rt&gt;$2&lt;/rt&gt;&lt;/ruby&gt;""
)&amp;""&lt;br&gt;&lt;div class=""""audio""""&gt;[sound:""&amp;C5354&amp;"".mp3]&lt;/div&gt;"""),"&lt;ruby&gt;不通&lt;rt&gt;ふつう&lt;/rt&gt;&lt;/ruby&gt;&lt;br&gt;&lt;div class=""audio""&gt;[sound:ふつう.mp3]&lt;/div&gt;")</f>
        <v>&lt;ruby&gt;不通&lt;rt&gt;ふつう&lt;/rt&gt;&lt;/ruby&gt;&lt;br&gt;&lt;div class="audio"&gt;[sound:ふつう.mp3]&lt;/div&gt;</v>
      </c>
      <c r="H5354" s="3" t="str">
        <f t="shared" si="1"/>
        <v>(n): gián đoạn</v>
      </c>
      <c r="I5354" s="6" t="s">
        <v>29167</v>
      </c>
      <c r="J5354" s="6" t="s">
        <v>29168</v>
      </c>
      <c r="K5354" s="7">
        <f t="shared" si="2"/>
        <v>0.3558332881</v>
      </c>
    </row>
    <row r="5355">
      <c r="A5355" s="4">
        <v>5355.0</v>
      </c>
      <c r="B5355" s="5" t="s">
        <v>29169</v>
      </c>
      <c r="C5355" s="5" t="s">
        <v>29170</v>
      </c>
      <c r="D5355" s="5" t="s">
        <v>29171</v>
      </c>
      <c r="E5355" s="6" t="s">
        <v>74</v>
      </c>
      <c r="F5355" s="6" t="s">
        <v>29172</v>
      </c>
      <c r="G5355" s="3" t="str">
        <f>IFERROR(__xludf.DUMMYFUNCTION("REGEXREPLACE(
D5355,
""([一-龯々]+)\[([^\]]+)\]"",
""&lt;ruby&gt;$1&lt;rt&gt;$2&lt;/rt&gt;&lt;/ruby&gt;""
)&amp;""&lt;br&gt;&lt;div class=""""audio""""&gt;[sound:""&amp;C5355&amp;"".mp3]&lt;/div&gt;"""),"&lt;ruby&gt;典型&lt;rt&gt;てんけい&lt;/rt&gt;&lt;/ruby&gt;&lt;br&gt;&lt;div class=""audio""&gt;[sound:てんけい.mp3]&lt;/div&gt;")</f>
        <v>&lt;ruby&gt;典型&lt;rt&gt;てんけい&lt;/rt&gt;&lt;/ruby&gt;&lt;br&gt;&lt;div class="audio"&gt;[sound:てんけい.mp3]&lt;/div&gt;</v>
      </c>
      <c r="H5355" s="3" t="str">
        <f t="shared" si="1"/>
        <v>(n): điển hình</v>
      </c>
      <c r="I5355" s="6" t="s">
        <v>29173</v>
      </c>
      <c r="J5355" s="6" t="s">
        <v>29174</v>
      </c>
      <c r="K5355" s="7">
        <f t="shared" si="2"/>
        <v>0.6240604886</v>
      </c>
    </row>
    <row r="5356">
      <c r="A5356" s="4">
        <v>5356.0</v>
      </c>
      <c r="B5356" s="5" t="s">
        <v>29175</v>
      </c>
      <c r="C5356" s="5" t="s">
        <v>29176</v>
      </c>
      <c r="D5356" s="5" t="s">
        <v>29177</v>
      </c>
      <c r="E5356" s="6" t="s">
        <v>74</v>
      </c>
      <c r="F5356" s="6" t="s">
        <v>29178</v>
      </c>
      <c r="G5356" s="3" t="str">
        <f>IFERROR(__xludf.DUMMYFUNCTION("REGEXREPLACE(
D5356,
""([一-龯々]+)\[([^\]]+)\]"",
""&lt;ruby&gt;$1&lt;rt&gt;$2&lt;/rt&gt;&lt;/ruby&gt;""
)&amp;""&lt;br&gt;&lt;div class=""""audio""""&gt;[sound:""&amp;C5356&amp;"".mp3]&lt;/div&gt;"""),"&lt;ruby&gt;借&lt;rt&gt;か&lt;/rt&gt;&lt;/ruby&gt;り&lt;br&gt;&lt;div class=""audio""&gt;[sound:かり.mp3]&lt;/div&gt;")</f>
        <v>&lt;ruby&gt;借&lt;rt&gt;か&lt;/rt&gt;&lt;/ruby&gt;り&lt;br&gt;&lt;div class="audio"&gt;[sound:かり.mp3]&lt;/div&gt;</v>
      </c>
      <c r="H5356" s="3" t="str">
        <f t="shared" si="1"/>
        <v>(n): vay mượn</v>
      </c>
      <c r="I5356" s="6" t="s">
        <v>29179</v>
      </c>
      <c r="J5356" s="6" t="s">
        <v>29180</v>
      </c>
      <c r="K5356" s="7">
        <f t="shared" si="2"/>
        <v>0.8641612761</v>
      </c>
    </row>
    <row r="5357">
      <c r="A5357" s="4">
        <v>5357.0</v>
      </c>
      <c r="B5357" s="5" t="s">
        <v>29181</v>
      </c>
      <c r="C5357" s="5" t="s">
        <v>29182</v>
      </c>
      <c r="D5357" s="5" t="s">
        <v>29183</v>
      </c>
      <c r="E5357" s="6" t="s">
        <v>74</v>
      </c>
      <c r="F5357" s="6" t="s">
        <v>29184</v>
      </c>
      <c r="G5357" s="3" t="str">
        <f>IFERROR(__xludf.DUMMYFUNCTION("REGEXREPLACE(
D5357,
""([一-龯々]+)\[([^\]]+)\]"",
""&lt;ruby&gt;$1&lt;rt&gt;$2&lt;/rt&gt;&lt;/ruby&gt;""
)&amp;""&lt;br&gt;&lt;div class=""""audio""""&gt;[sound:""&amp;C5357&amp;"".mp3]&lt;/div&gt;"""),"&lt;ruby&gt;全般&lt;rt&gt;ぜんぱん&lt;/rt&gt;&lt;/ruby&gt;&lt;br&gt;&lt;div class=""audio""&gt;[sound:ぜんぱん.mp3]&lt;/div&gt;")</f>
        <v>&lt;ruby&gt;全般&lt;rt&gt;ぜんぱん&lt;/rt&gt;&lt;/ruby&gt;&lt;br&gt;&lt;div class="audio"&gt;[sound:ぜんぱん.mp3]&lt;/div&gt;</v>
      </c>
      <c r="H5357" s="3" t="str">
        <f t="shared" si="1"/>
        <v>(n): tổng thể</v>
      </c>
      <c r="I5357" s="6" t="s">
        <v>29185</v>
      </c>
      <c r="J5357" s="6" t="s">
        <v>29186</v>
      </c>
      <c r="K5357" s="7">
        <f t="shared" si="2"/>
        <v>0.4819484681</v>
      </c>
    </row>
    <row r="5358">
      <c r="A5358" s="4">
        <v>5358.0</v>
      </c>
      <c r="B5358" s="5" t="s">
        <v>29187</v>
      </c>
      <c r="C5358" s="5" t="s">
        <v>29188</v>
      </c>
      <c r="D5358" s="5" t="s">
        <v>29189</v>
      </c>
      <c r="E5358" s="6" t="s">
        <v>74</v>
      </c>
      <c r="F5358" s="6" t="s">
        <v>29190</v>
      </c>
      <c r="G5358" s="3" t="str">
        <f>IFERROR(__xludf.DUMMYFUNCTION("REGEXREPLACE(
D5358,
""([一-龯々]+)\[([^\]]+)\]"",
""&lt;ruby&gt;$1&lt;rt&gt;$2&lt;/rt&gt;&lt;/ruby&gt;""
)&amp;""&lt;br&gt;&lt;div class=""""audio""""&gt;[sound:""&amp;C5358&amp;"".mp3]&lt;/div&gt;"""),"&lt;ruby&gt;博物館&lt;rt&gt;はくぶつかん&lt;/rt&gt;&lt;/ruby&gt;&lt;br&gt;&lt;div class=""audio""&gt;[sound:はくぶつかん.mp3]&lt;/div&gt;")</f>
        <v>&lt;ruby&gt;博物館&lt;rt&gt;はくぶつかん&lt;/rt&gt;&lt;/ruby&gt;&lt;br&gt;&lt;div class="audio"&gt;[sound:はくぶつかん.mp3]&lt;/div&gt;</v>
      </c>
      <c r="H5358" s="3" t="str">
        <f t="shared" si="1"/>
        <v>(n): bảo tàng</v>
      </c>
      <c r="I5358" s="6" t="s">
        <v>29191</v>
      </c>
      <c r="J5358" s="6" t="s">
        <v>29192</v>
      </c>
      <c r="K5358" s="7">
        <f t="shared" si="2"/>
        <v>0.4845872975</v>
      </c>
    </row>
    <row r="5359">
      <c r="A5359" s="4">
        <v>5359.0</v>
      </c>
      <c r="B5359" s="5" t="s">
        <v>29193</v>
      </c>
      <c r="C5359" s="5" t="s">
        <v>29194</v>
      </c>
      <c r="D5359" s="5" t="s">
        <v>29195</v>
      </c>
      <c r="E5359" s="6" t="s">
        <v>74</v>
      </c>
      <c r="F5359" s="6" t="s">
        <v>29196</v>
      </c>
      <c r="G5359" s="3" t="str">
        <f>IFERROR(__xludf.DUMMYFUNCTION("REGEXREPLACE(
D5359,
""([一-龯々]+)\[([^\]]+)\]"",
""&lt;ruby&gt;$1&lt;rt&gt;$2&lt;/rt&gt;&lt;/ruby&gt;""
)&amp;""&lt;br&gt;&lt;div class=""""audio""""&gt;[sound:""&amp;C5359&amp;"".mp3]&lt;/div&gt;"""),"&lt;ruby&gt;歓迎&lt;rt&gt;かんげい&lt;/rt&gt;&lt;/ruby&gt;&lt;br&gt;&lt;div class=""audio""&gt;[sound:かんげい.mp3]&lt;/div&gt;")</f>
        <v>&lt;ruby&gt;歓迎&lt;rt&gt;かんげい&lt;/rt&gt;&lt;/ruby&gt;&lt;br&gt;&lt;div class="audio"&gt;[sound:かんげい.mp3]&lt;/div&gt;</v>
      </c>
      <c r="H5359" s="3" t="str">
        <f t="shared" si="1"/>
        <v>(n): chào đón</v>
      </c>
      <c r="I5359" s="6" t="s">
        <v>29197</v>
      </c>
      <c r="J5359" s="6" t="s">
        <v>29198</v>
      </c>
      <c r="K5359" s="7">
        <f t="shared" si="2"/>
        <v>0.193301971</v>
      </c>
    </row>
    <row r="5360">
      <c r="A5360" s="4">
        <v>5360.0</v>
      </c>
      <c r="B5360" s="5" t="s">
        <v>29199</v>
      </c>
      <c r="C5360" s="5" t="s">
        <v>29200</v>
      </c>
      <c r="D5360" s="5" t="s">
        <v>29201</v>
      </c>
      <c r="E5360" s="6" t="s">
        <v>24</v>
      </c>
      <c r="F5360" s="6" t="s">
        <v>1314</v>
      </c>
      <c r="G5360" s="3" t="str">
        <f>IFERROR(__xludf.DUMMYFUNCTION("REGEXREPLACE(
D5360,
""([一-龯々]+)\[([^\]]+)\]"",
""&lt;ruby&gt;$1&lt;rt&gt;$2&lt;/rt&gt;&lt;/ruby&gt;""
)&amp;""&lt;br&gt;&lt;div class=""""audio""""&gt;[sound:""&amp;C5360&amp;"".mp3]&lt;/div&gt;"""),"&lt;ruby&gt;済&lt;rt&gt;す&lt;/rt&gt;&lt;/ruby&gt;ませる&lt;br&gt;&lt;div class=""audio""&gt;[sound:すませる.mp3]&lt;/div&gt;")</f>
        <v>&lt;ruby&gt;済&lt;rt&gt;す&lt;/rt&gt;&lt;/ruby&gt;ませる&lt;br&gt;&lt;div class="audio"&gt;[sound:すませる.mp3]&lt;/div&gt;</v>
      </c>
      <c r="H5360" s="3" t="str">
        <f t="shared" si="1"/>
        <v>(v): kết thúc</v>
      </c>
      <c r="I5360" s="6" t="s">
        <v>29202</v>
      </c>
      <c r="J5360" s="6" t="s">
        <v>29203</v>
      </c>
      <c r="K5360" s="7">
        <f t="shared" si="2"/>
        <v>0.5966968934</v>
      </c>
    </row>
    <row r="5361">
      <c r="A5361" s="4">
        <v>5361.0</v>
      </c>
      <c r="B5361" s="5" t="s">
        <v>29204</v>
      </c>
      <c r="C5361" s="5" t="s">
        <v>29205</v>
      </c>
      <c r="D5361" s="5" t="s">
        <v>29206</v>
      </c>
      <c r="E5361" s="6" t="s">
        <v>74</v>
      </c>
      <c r="F5361" s="6" t="s">
        <v>29207</v>
      </c>
      <c r="G5361" s="3" t="str">
        <f>IFERROR(__xludf.DUMMYFUNCTION("REGEXREPLACE(
D5361,
""([一-龯々]+)\[([^\]]+)\]"",
""&lt;ruby&gt;$1&lt;rt&gt;$2&lt;/rt&gt;&lt;/ruby&gt;""
)&amp;""&lt;br&gt;&lt;div class=""""audio""""&gt;[sound:""&amp;C5361&amp;"".mp3]&lt;/div&gt;"""),"&lt;ruby&gt;測定&lt;rt&gt;そくてい&lt;/rt&gt;&lt;/ruby&gt;&lt;br&gt;&lt;div class=""audio""&gt;[sound:そくてい.mp3]&lt;/div&gt;")</f>
        <v>&lt;ruby&gt;測定&lt;rt&gt;そくてい&lt;/rt&gt;&lt;/ruby&gt;&lt;br&gt;&lt;div class="audio"&gt;[sound:そくてい.mp3]&lt;/div&gt;</v>
      </c>
      <c r="H5361" s="3" t="str">
        <f t="shared" si="1"/>
        <v>(n): đo lường</v>
      </c>
      <c r="I5361" s="6" t="s">
        <v>29208</v>
      </c>
      <c r="J5361" s="6" t="s">
        <v>29209</v>
      </c>
      <c r="K5361" s="7">
        <f t="shared" si="2"/>
        <v>0.414477978</v>
      </c>
    </row>
    <row r="5362">
      <c r="A5362" s="4">
        <v>5362.0</v>
      </c>
      <c r="B5362" s="5" t="s">
        <v>29210</v>
      </c>
      <c r="C5362" s="5" t="s">
        <v>29211</v>
      </c>
      <c r="D5362" s="5" t="s">
        <v>29212</v>
      </c>
      <c r="E5362" s="6" t="s">
        <v>74</v>
      </c>
      <c r="F5362" s="6" t="s">
        <v>29213</v>
      </c>
      <c r="G5362" s="3" t="str">
        <f>IFERROR(__xludf.DUMMYFUNCTION("REGEXREPLACE(
D5362,
""([一-龯々]+)\[([^\]]+)\]"",
""&lt;ruby&gt;$1&lt;rt&gt;$2&lt;/rt&gt;&lt;/ruby&gt;""
)&amp;""&lt;br&gt;&lt;div class=""""audio""""&gt;[sound:""&amp;C5362&amp;"".mp3]&lt;/div&gt;"""),"&lt;ruby&gt;足跡&lt;rt&gt;あしあと&lt;/rt&gt;&lt;/ruby&gt;&lt;br&gt;&lt;div class=""audio""&gt;[sound:あしあと.mp3]&lt;/div&gt;")</f>
        <v>&lt;ruby&gt;足跡&lt;rt&gt;あしあと&lt;/rt&gt;&lt;/ruby&gt;&lt;br&gt;&lt;div class="audio"&gt;[sound:あしあと.mp3]&lt;/div&gt;</v>
      </c>
      <c r="H5362" s="3" t="str">
        <f t="shared" si="1"/>
        <v>(n): dấu chân</v>
      </c>
      <c r="I5362" s="6" t="s">
        <v>29214</v>
      </c>
      <c r="J5362" s="6" t="s">
        <v>29215</v>
      </c>
      <c r="K5362" s="7">
        <f t="shared" si="2"/>
        <v>0.7049036752</v>
      </c>
    </row>
    <row r="5363">
      <c r="A5363" s="4">
        <v>5363.0</v>
      </c>
      <c r="B5363" s="5" t="s">
        <v>29216</v>
      </c>
      <c r="C5363" s="5" t="s">
        <v>29217</v>
      </c>
      <c r="D5363" s="5" t="s">
        <v>29218</v>
      </c>
      <c r="E5363" s="6" t="s">
        <v>74</v>
      </c>
      <c r="F5363" s="6" t="s">
        <v>29219</v>
      </c>
      <c r="G5363" s="3" t="str">
        <f>IFERROR(__xludf.DUMMYFUNCTION("REGEXREPLACE(
D5363,
""([一-龯々]+)\[([^\]]+)\]"",
""&lt;ruby&gt;$1&lt;rt&gt;$2&lt;/rt&gt;&lt;/ruby&gt;""
)&amp;""&lt;br&gt;&lt;div class=""""audio""""&gt;[sound:""&amp;C5363&amp;"".mp3]&lt;/div&gt;"""),"&lt;ruby&gt;万年筆&lt;rt&gt;まんねんひつ&lt;/rt&gt;&lt;/ruby&gt;&lt;br&gt;&lt;div class=""audio""&gt;[sound:まんねんひつ.mp3]&lt;/div&gt;")</f>
        <v>&lt;ruby&gt;万年筆&lt;rt&gt;まんねんひつ&lt;/rt&gt;&lt;/ruby&gt;&lt;br&gt;&lt;div class="audio"&gt;[sound:まんねんひつ.mp3]&lt;/div&gt;</v>
      </c>
      <c r="H5363" s="3" t="str">
        <f t="shared" si="1"/>
        <v>(n): bút máy</v>
      </c>
      <c r="I5363" s="6" t="s">
        <v>29220</v>
      </c>
      <c r="J5363" s="6" t="s">
        <v>29221</v>
      </c>
      <c r="K5363" s="7">
        <f t="shared" si="2"/>
        <v>0.6638596129</v>
      </c>
    </row>
    <row r="5364">
      <c r="A5364" s="4">
        <v>5364.0</v>
      </c>
      <c r="B5364" s="5" t="s">
        <v>29222</v>
      </c>
      <c r="C5364" s="5" t="s">
        <v>29223</v>
      </c>
      <c r="D5364" s="5" t="s">
        <v>29224</v>
      </c>
      <c r="E5364" s="6" t="s">
        <v>11</v>
      </c>
      <c r="F5364" s="6" t="s">
        <v>29225</v>
      </c>
      <c r="G5364" s="3" t="str">
        <f>IFERROR(__xludf.DUMMYFUNCTION("REGEXREPLACE(
D5364,
""([一-龯々]+)\[([^\]]+)\]"",
""&lt;ruby&gt;$1&lt;rt&gt;$2&lt;/rt&gt;&lt;/ruby&gt;""
)&amp;""&lt;br&gt;&lt;div class=""""audio""""&gt;[sound:""&amp;C5364&amp;"".mp3]&lt;/div&gt;"""),"&lt;ruby&gt;不運&lt;rt&gt;ふうん&lt;/rt&gt;&lt;/ruby&gt;&lt;br&gt;&lt;div class=""audio""&gt;[sound:ふうん.mp3]&lt;/div&gt;")</f>
        <v>&lt;ruby&gt;不運&lt;rt&gt;ふうん&lt;/rt&gt;&lt;/ruby&gt;&lt;br&gt;&lt;div class="audio"&gt;[sound:ふうん.mp3]&lt;/div&gt;</v>
      </c>
      <c r="H5364" s="3" t="str">
        <f t="shared" si="1"/>
        <v>(adj): xui xẻo</v>
      </c>
      <c r="I5364" s="6" t="s">
        <v>29226</v>
      </c>
      <c r="J5364" s="6" t="s">
        <v>29227</v>
      </c>
      <c r="K5364" s="7">
        <f t="shared" si="2"/>
        <v>0.795749476</v>
      </c>
    </row>
    <row r="5365">
      <c r="A5365" s="4">
        <v>5365.0</v>
      </c>
      <c r="B5365" s="5" t="s">
        <v>29228</v>
      </c>
      <c r="C5365" s="5" t="s">
        <v>29229</v>
      </c>
      <c r="D5365" s="5" t="s">
        <v>29230</v>
      </c>
      <c r="E5365" s="6" t="s">
        <v>74</v>
      </c>
      <c r="F5365" s="6" t="s">
        <v>29231</v>
      </c>
      <c r="G5365" s="3" t="str">
        <f>IFERROR(__xludf.DUMMYFUNCTION("REGEXREPLACE(
D5365,
""([一-龯々]+)\[([^\]]+)\]"",
""&lt;ruby&gt;$1&lt;rt&gt;$2&lt;/rt&gt;&lt;/ruby&gt;""
)&amp;""&lt;br&gt;&lt;div class=""""audio""""&gt;[sound:""&amp;C5365&amp;"".mp3]&lt;/div&gt;"""),"&lt;ruby&gt;余分&lt;rt&gt;よぶん&lt;/rt&gt;&lt;/ruby&gt;&lt;br&gt;&lt;div class=""audio""&gt;[sound:よぶん.mp3]&lt;/div&gt;")</f>
        <v>&lt;ruby&gt;余分&lt;rt&gt;よぶん&lt;/rt&gt;&lt;/ruby&gt;&lt;br&gt;&lt;div class="audio"&gt;[sound:よぶん.mp3]&lt;/div&gt;</v>
      </c>
      <c r="H5365" s="3" t="str">
        <f t="shared" si="1"/>
        <v>(n): phần dư</v>
      </c>
      <c r="I5365" s="6" t="s">
        <v>29232</v>
      </c>
      <c r="J5365" s="6" t="s">
        <v>29233</v>
      </c>
      <c r="K5365" s="7">
        <f t="shared" si="2"/>
        <v>0.6810185485</v>
      </c>
    </row>
    <row r="5366">
      <c r="A5366" s="4">
        <v>5366.0</v>
      </c>
      <c r="B5366" s="5" t="s">
        <v>29234</v>
      </c>
      <c r="C5366" s="5" t="s">
        <v>29235</v>
      </c>
      <c r="D5366" s="5" t="s">
        <v>29236</v>
      </c>
      <c r="E5366" s="6" t="s">
        <v>74</v>
      </c>
      <c r="F5366" s="6" t="s">
        <v>5112</v>
      </c>
      <c r="G5366" s="3" t="str">
        <f>IFERROR(__xludf.DUMMYFUNCTION("REGEXREPLACE(
D5366,
""([一-龯々]+)\[([^\]]+)\]"",
""&lt;ruby&gt;$1&lt;rt&gt;$2&lt;/rt&gt;&lt;/ruby&gt;""
)&amp;""&lt;br&gt;&lt;div class=""""audio""""&gt;[sound:""&amp;C5366&amp;"".mp3]&lt;/div&gt;"""),"&lt;ruby&gt;学級&lt;rt&gt;がっきゅう&lt;/rt&gt;&lt;/ruby&gt;&lt;br&gt;&lt;div class=""audio""&gt;[sound:がっきゅう.mp3]&lt;/div&gt;")</f>
        <v>&lt;ruby&gt;学級&lt;rt&gt;がっきゅう&lt;/rt&gt;&lt;/ruby&gt;&lt;br&gt;&lt;div class="audio"&gt;[sound:がっきゅう.mp3]&lt;/div&gt;</v>
      </c>
      <c r="H5366" s="3" t="str">
        <f t="shared" si="1"/>
        <v>(n): lớp học</v>
      </c>
      <c r="I5366" s="6" t="s">
        <v>29237</v>
      </c>
      <c r="J5366" s="6" t="s">
        <v>29238</v>
      </c>
      <c r="K5366" s="7">
        <f t="shared" si="2"/>
        <v>0.7069578919</v>
      </c>
    </row>
    <row r="5367">
      <c r="A5367" s="4">
        <v>5367.0</v>
      </c>
      <c r="B5367" s="5" t="s">
        <v>29239</v>
      </c>
      <c r="C5367" s="5" t="s">
        <v>29240</v>
      </c>
      <c r="D5367" s="5" t="s">
        <v>29241</v>
      </c>
      <c r="E5367" s="6" t="s">
        <v>74</v>
      </c>
      <c r="F5367" s="6" t="s">
        <v>29242</v>
      </c>
      <c r="G5367" s="3" t="str">
        <f>IFERROR(__xludf.DUMMYFUNCTION("REGEXREPLACE(
D5367,
""([一-龯々]+)\[([^\]]+)\]"",
""&lt;ruby&gt;$1&lt;rt&gt;$2&lt;/rt&gt;&lt;/ruby&gt;""
)&amp;""&lt;br&gt;&lt;div class=""""audio""""&gt;[sound:""&amp;C5367&amp;"".mp3]&lt;/div&gt;"""),"&lt;ruby&gt;形容詞&lt;rt&gt;けいようし&lt;/rt&gt;&lt;/ruby&gt;&lt;br&gt;&lt;div class=""audio""&gt;[sound:けいようし.mp3]&lt;/div&gt;")</f>
        <v>&lt;ruby&gt;形容詞&lt;rt&gt;けいようし&lt;/rt&gt;&lt;/ruby&gt;&lt;br&gt;&lt;div class="audio"&gt;[sound:けいようし.mp3]&lt;/div&gt;</v>
      </c>
      <c r="H5367" s="3" t="str">
        <f t="shared" si="1"/>
        <v>(n): tính từ</v>
      </c>
      <c r="I5367" s="6" t="s">
        <v>29243</v>
      </c>
      <c r="J5367" s="6" t="s">
        <v>29244</v>
      </c>
      <c r="K5367" s="7">
        <f t="shared" si="2"/>
        <v>0.07742567684</v>
      </c>
    </row>
    <row r="5368">
      <c r="A5368" s="4">
        <v>5368.0</v>
      </c>
      <c r="B5368" s="5" t="s">
        <v>29245</v>
      </c>
      <c r="C5368" s="5" t="s">
        <v>29246</v>
      </c>
      <c r="D5368" s="5" t="s">
        <v>29247</v>
      </c>
      <c r="E5368" s="6" t="s">
        <v>74</v>
      </c>
      <c r="F5368" s="6" t="s">
        <v>29248</v>
      </c>
      <c r="G5368" s="3" t="str">
        <f>IFERROR(__xludf.DUMMYFUNCTION("REGEXREPLACE(
D5368,
""([一-龯々]+)\[([^\]]+)\]"",
""&lt;ruby&gt;$1&lt;rt&gt;$2&lt;/rt&gt;&lt;/ruby&gt;""
)&amp;""&lt;br&gt;&lt;div class=""""audio""""&gt;[sound:""&amp;C5368&amp;"".mp3]&lt;/div&gt;"""),"&lt;ruby&gt;消防&lt;rt&gt;しょうぼう&lt;/rt&gt;&lt;/ruby&gt;&lt;br&gt;&lt;div class=""audio""&gt;[sound:しょうぼう.mp3]&lt;/div&gt;")</f>
        <v>&lt;ruby&gt;消防&lt;rt&gt;しょうぼう&lt;/rt&gt;&lt;/ruby&gt;&lt;br&gt;&lt;div class="audio"&gt;[sound:しょうぼう.mp3]&lt;/div&gt;</v>
      </c>
      <c r="H5368" s="3" t="str">
        <f t="shared" si="1"/>
        <v>(n): cứu hỏa</v>
      </c>
      <c r="I5368" s="6" t="s">
        <v>29249</v>
      </c>
      <c r="J5368" s="6" t="s">
        <v>29250</v>
      </c>
      <c r="K5368" s="7">
        <f t="shared" si="2"/>
        <v>0.1912105174</v>
      </c>
    </row>
    <row r="5369">
      <c r="A5369" s="4">
        <v>5369.0</v>
      </c>
      <c r="B5369" s="5" t="s">
        <v>29251</v>
      </c>
      <c r="C5369" s="5" t="s">
        <v>6389</v>
      </c>
      <c r="D5369" s="5" t="s">
        <v>29252</v>
      </c>
      <c r="E5369" s="6" t="s">
        <v>74</v>
      </c>
      <c r="F5369" s="6" t="s">
        <v>29253</v>
      </c>
      <c r="G5369" s="3" t="str">
        <f>IFERROR(__xludf.DUMMYFUNCTION("REGEXREPLACE(
D5369,
""([一-龯々]+)\[([^\]]+)\]"",
""&lt;ruby&gt;$1&lt;rt&gt;$2&lt;/rt&gt;&lt;/ruby&gt;""
)&amp;""&lt;br&gt;&lt;div class=""""audio""""&gt;[sound:""&amp;C5369&amp;"".mp3]&lt;/div&gt;"""),"&lt;ruby&gt;硬貨&lt;rt&gt;こうか&lt;/rt&gt;&lt;/ruby&gt;&lt;br&gt;&lt;div class=""audio""&gt;[sound:こうか.mp3]&lt;/div&gt;")</f>
        <v>&lt;ruby&gt;硬貨&lt;rt&gt;こうか&lt;/rt&gt;&lt;/ruby&gt;&lt;br&gt;&lt;div class="audio"&gt;[sound:こうか.mp3]&lt;/div&gt;</v>
      </c>
      <c r="H5369" s="3" t="str">
        <f t="shared" si="1"/>
        <v>(n): tiền xu</v>
      </c>
      <c r="I5369" s="6" t="s">
        <v>29254</v>
      </c>
      <c r="J5369" s="6" t="s">
        <v>29255</v>
      </c>
      <c r="K5369" s="7">
        <f t="shared" si="2"/>
        <v>0.891979001</v>
      </c>
    </row>
    <row r="5370">
      <c r="A5370" s="4">
        <v>5370.0</v>
      </c>
      <c r="B5370" s="5" t="s">
        <v>29256</v>
      </c>
      <c r="C5370" s="5" t="s">
        <v>18625</v>
      </c>
      <c r="D5370" s="5" t="s">
        <v>29257</v>
      </c>
      <c r="E5370" s="6" t="s">
        <v>74</v>
      </c>
      <c r="F5370" s="6" t="s">
        <v>29258</v>
      </c>
      <c r="G5370" s="3" t="str">
        <f>IFERROR(__xludf.DUMMYFUNCTION("REGEXREPLACE(
D5370,
""([一-龯々]+)\[([^\]]+)\]"",
""&lt;ruby&gt;$1&lt;rt&gt;$2&lt;/rt&gt;&lt;/ruby&gt;""
)&amp;""&lt;br&gt;&lt;div class=""""audio""""&gt;[sound:""&amp;C5370&amp;"".mp3]&lt;/div&gt;"""),"&lt;ruby&gt;羽根&lt;rt&gt;はね&lt;/rt&gt;&lt;/ruby&gt;&lt;br&gt;&lt;div class=""audio""&gt;[sound:はね.mp3]&lt;/div&gt;")</f>
        <v>&lt;ruby&gt;羽根&lt;rt&gt;はね&lt;/rt&gt;&lt;/ruby&gt;&lt;br&gt;&lt;div class="audio"&gt;[sound:はね.mp3]&lt;/div&gt;</v>
      </c>
      <c r="H5370" s="3" t="str">
        <f t="shared" si="1"/>
        <v>(n): lông vũ</v>
      </c>
      <c r="I5370" s="6" t="s">
        <v>29259</v>
      </c>
      <c r="J5370" s="6" t="s">
        <v>29260</v>
      </c>
      <c r="K5370" s="7">
        <f t="shared" si="2"/>
        <v>0.5367725141</v>
      </c>
    </row>
    <row r="5371">
      <c r="A5371" s="4">
        <v>5371.0</v>
      </c>
      <c r="B5371" s="5" t="s">
        <v>29261</v>
      </c>
      <c r="C5371" s="5" t="s">
        <v>29262</v>
      </c>
      <c r="D5371" s="5" t="s">
        <v>29263</v>
      </c>
      <c r="E5371" s="6" t="s">
        <v>24</v>
      </c>
      <c r="F5371" s="6" t="s">
        <v>10737</v>
      </c>
      <c r="G5371" s="3" t="str">
        <f>IFERROR(__xludf.DUMMYFUNCTION("REGEXREPLACE(
D5371,
""([一-龯々]+)\[([^\]]+)\]"",
""&lt;ruby&gt;$1&lt;rt&gt;$2&lt;/rt&gt;&lt;/ruby&gt;""
)&amp;""&lt;br&gt;&lt;div class=""""audio""""&gt;[sound:""&amp;C5371&amp;"".mp3]&lt;/div&gt;"""),"&lt;ruby&gt;詫&lt;rt&gt;わ&lt;/rt&gt;&lt;/ruby&gt;びる&lt;br&gt;&lt;div class=""audio""&gt;[sound:わびる.mp3]&lt;/div&gt;")</f>
        <v>&lt;ruby&gt;詫&lt;rt&gt;わ&lt;/rt&gt;&lt;/ruby&gt;びる&lt;br&gt;&lt;div class="audio"&gt;[sound:わびる.mp3]&lt;/div&gt;</v>
      </c>
      <c r="H5371" s="3" t="str">
        <f t="shared" si="1"/>
        <v>(v): xin lỗi</v>
      </c>
      <c r="I5371" s="6" t="s">
        <v>29264</v>
      </c>
      <c r="J5371" s="6" t="s">
        <v>29265</v>
      </c>
      <c r="K5371" s="7">
        <f t="shared" si="2"/>
        <v>0.1187081133</v>
      </c>
    </row>
    <row r="5372">
      <c r="A5372" s="4">
        <v>5372.0</v>
      </c>
      <c r="B5372" s="5" t="s">
        <v>29266</v>
      </c>
      <c r="C5372" s="5" t="s">
        <v>29267</v>
      </c>
      <c r="D5372" s="5" t="s">
        <v>29268</v>
      </c>
      <c r="E5372" s="6" t="s">
        <v>74</v>
      </c>
      <c r="F5372" s="6" t="s">
        <v>7398</v>
      </c>
      <c r="G5372" s="3" t="str">
        <f>IFERROR(__xludf.DUMMYFUNCTION("REGEXREPLACE(
D5372,
""([一-龯々]+)\[([^\]]+)\]"",
""&lt;ruby&gt;$1&lt;rt&gt;$2&lt;/rt&gt;&lt;/ruby&gt;""
)&amp;""&lt;br&gt;&lt;div class=""""audio""""&gt;[sound:""&amp;C5372&amp;"".mp3]&lt;/div&gt;"""),"&lt;ruby&gt;辞退&lt;rt&gt;じたい&lt;/rt&gt;&lt;/ruby&gt;&lt;br&gt;&lt;div class=""audio""&gt;[sound:じたい.mp3]&lt;/div&gt;")</f>
        <v>&lt;ruby&gt;辞退&lt;rt&gt;じたい&lt;/rt&gt;&lt;/ruby&gt;&lt;br&gt;&lt;div class="audio"&gt;[sound:じたい.mp3]&lt;/div&gt;</v>
      </c>
      <c r="H5372" s="3" t="str">
        <f t="shared" si="1"/>
        <v>(n): từ chối</v>
      </c>
      <c r="I5372" s="6" t="s">
        <v>29269</v>
      </c>
      <c r="J5372" s="6" t="s">
        <v>7400</v>
      </c>
      <c r="K5372" s="7">
        <f t="shared" si="2"/>
        <v>0.7572596832</v>
      </c>
    </row>
    <row r="5373">
      <c r="A5373" s="4">
        <v>5373.0</v>
      </c>
      <c r="B5373" s="5" t="s">
        <v>29270</v>
      </c>
      <c r="C5373" s="5" t="s">
        <v>29271</v>
      </c>
      <c r="D5373" s="5" t="s">
        <v>29272</v>
      </c>
      <c r="E5373" s="6" t="s">
        <v>74</v>
      </c>
      <c r="F5373" s="6" t="s">
        <v>29273</v>
      </c>
      <c r="G5373" s="3" t="str">
        <f>IFERROR(__xludf.DUMMYFUNCTION("REGEXREPLACE(
D5373,
""([一-龯々]+)\[([^\]]+)\]"",
""&lt;ruby&gt;$1&lt;rt&gt;$2&lt;/rt&gt;&lt;/ruby&gt;""
)&amp;""&lt;br&gt;&lt;div class=""""audio""""&gt;[sound:""&amp;C5373&amp;"".mp3]&lt;/div&gt;"""),"&lt;ruby&gt;針&lt;rt&gt;はり&lt;/rt&gt;&lt;/ruby&gt;&lt;br&gt;&lt;div class=""audio""&gt;[sound:はり.mp3]&lt;/div&gt;")</f>
        <v>&lt;ruby&gt;針&lt;rt&gt;はり&lt;/rt&gt;&lt;/ruby&gt;&lt;br&gt;&lt;div class="audio"&gt;[sound:はり.mp3]&lt;/div&gt;</v>
      </c>
      <c r="H5373" s="3" t="str">
        <f t="shared" si="1"/>
        <v>(n): cây kim</v>
      </c>
      <c r="I5373" s="6" t="s">
        <v>29274</v>
      </c>
      <c r="J5373" s="6" t="s">
        <v>29275</v>
      </c>
      <c r="K5373" s="7">
        <f t="shared" si="2"/>
        <v>0.4652260604</v>
      </c>
    </row>
    <row r="5374">
      <c r="A5374" s="4">
        <v>5374.0</v>
      </c>
      <c r="B5374" s="5" t="s">
        <v>29276</v>
      </c>
      <c r="C5374" s="5" t="s">
        <v>10018</v>
      </c>
      <c r="D5374" s="5" t="s">
        <v>29277</v>
      </c>
      <c r="E5374" s="6" t="s">
        <v>74</v>
      </c>
      <c r="F5374" s="6" t="s">
        <v>29278</v>
      </c>
      <c r="G5374" s="3" t="str">
        <f>IFERROR(__xludf.DUMMYFUNCTION("REGEXREPLACE(
D5374,
""([一-龯々]+)\[([^\]]+)\]"",
""&lt;ruby&gt;$1&lt;rt&gt;$2&lt;/rt&gt;&lt;/ruby&gt;""
)&amp;""&lt;br&gt;&lt;div class=""""audio""""&gt;[sound:""&amp;C5374&amp;"".mp3]&lt;/div&gt;"""),"&lt;ruby&gt;先頭&lt;rt&gt;せんとう&lt;/rt&gt;&lt;/ruby&gt;&lt;br&gt;&lt;div class=""audio""&gt;[sound:せんとう.mp3]&lt;/div&gt;")</f>
        <v>&lt;ruby&gt;先頭&lt;rt&gt;せんとう&lt;/rt&gt;&lt;/ruby&gt;&lt;br&gt;&lt;div class="audio"&gt;[sound:せんとう.mp3]&lt;/div&gt;</v>
      </c>
      <c r="H5374" s="3" t="str">
        <f t="shared" si="1"/>
        <v>(n): đi đầu</v>
      </c>
      <c r="I5374" s="6" t="s">
        <v>29279</v>
      </c>
      <c r="J5374" s="6" t="s">
        <v>29280</v>
      </c>
      <c r="K5374" s="7">
        <f t="shared" si="2"/>
        <v>0.9420207975</v>
      </c>
    </row>
    <row r="5375">
      <c r="A5375" s="4">
        <v>5375.0</v>
      </c>
      <c r="B5375" s="5" t="s">
        <v>29281</v>
      </c>
      <c r="C5375" s="5" t="s">
        <v>29282</v>
      </c>
      <c r="D5375" s="5" t="s">
        <v>29283</v>
      </c>
      <c r="E5375" s="6" t="s">
        <v>11</v>
      </c>
      <c r="F5375" s="6" t="s">
        <v>29284</v>
      </c>
      <c r="G5375" s="3" t="str">
        <f>IFERROR(__xludf.DUMMYFUNCTION("REGEXREPLACE(
D5375,
""([一-龯々]+)\[([^\]]+)\]"",
""&lt;ruby&gt;$1&lt;rt&gt;$2&lt;/rt&gt;&lt;/ruby&gt;""
)&amp;""&lt;br&gt;&lt;div class=""""audio""""&gt;[sound:""&amp;C5375&amp;"".mp3]&lt;/div&gt;"""),"&lt;ruby&gt;幼稚&lt;rt&gt;ようち&lt;/rt&gt;&lt;/ruby&gt;&lt;br&gt;&lt;div class=""audio""&gt;[sound:ようち.mp3]&lt;/div&gt;")</f>
        <v>&lt;ruby&gt;幼稚&lt;rt&gt;ようち&lt;/rt&gt;&lt;/ruby&gt;&lt;br&gt;&lt;div class="audio"&gt;[sound:ようち.mp3]&lt;/div&gt;</v>
      </c>
      <c r="H5375" s="3" t="str">
        <f t="shared" si="1"/>
        <v>(adj): ấu trĩ</v>
      </c>
      <c r="I5375" s="6" t="s">
        <v>29285</v>
      </c>
      <c r="J5375" s="6" t="s">
        <v>29286</v>
      </c>
      <c r="K5375" s="7">
        <f t="shared" si="2"/>
        <v>0.1196531179</v>
      </c>
    </row>
    <row r="5376">
      <c r="A5376" s="4">
        <v>5376.0</v>
      </c>
      <c r="B5376" s="5" t="s">
        <v>29287</v>
      </c>
      <c r="C5376" s="5" t="s">
        <v>23678</v>
      </c>
      <c r="D5376" s="5" t="s">
        <v>29288</v>
      </c>
      <c r="E5376" s="6" t="s">
        <v>74</v>
      </c>
      <c r="F5376" s="6" t="s">
        <v>29289</v>
      </c>
      <c r="G5376" s="3" t="str">
        <f>IFERROR(__xludf.DUMMYFUNCTION("REGEXREPLACE(
D5376,
""([一-龯々]+)\[([^\]]+)\]"",
""&lt;ruby&gt;$1&lt;rt&gt;$2&lt;/rt&gt;&lt;/ruby&gt;""
)&amp;""&lt;br&gt;&lt;div class=""""audio""""&gt;[sound:""&amp;C5376&amp;"".mp3]&lt;/div&gt;"""),"&lt;ruby&gt;砂漠&lt;rt&gt;さばく&lt;/rt&gt;&lt;/ruby&gt;&lt;br&gt;&lt;div class=""audio""&gt;[sound:さばく.mp3]&lt;/div&gt;")</f>
        <v>&lt;ruby&gt;砂漠&lt;rt&gt;さばく&lt;/rt&gt;&lt;/ruby&gt;&lt;br&gt;&lt;div class="audio"&gt;[sound:さばく.mp3]&lt;/div&gt;</v>
      </c>
      <c r="H5376" s="3" t="str">
        <f t="shared" si="1"/>
        <v>(n): sa mạc</v>
      </c>
      <c r="I5376" s="6" t="s">
        <v>29290</v>
      </c>
      <c r="J5376" s="6" t="s">
        <v>29291</v>
      </c>
      <c r="K5376" s="7">
        <f t="shared" si="2"/>
        <v>0.902939524</v>
      </c>
    </row>
    <row r="5377">
      <c r="A5377" s="4">
        <v>5377.0</v>
      </c>
      <c r="B5377" s="5" t="s">
        <v>29292</v>
      </c>
      <c r="C5377" s="5" t="s">
        <v>29293</v>
      </c>
      <c r="D5377" s="5" t="s">
        <v>29294</v>
      </c>
      <c r="E5377" s="6" t="s">
        <v>74</v>
      </c>
      <c r="F5377" s="6" t="s">
        <v>24871</v>
      </c>
      <c r="G5377" s="3" t="str">
        <f>IFERROR(__xludf.DUMMYFUNCTION("REGEXREPLACE(
D5377,
""([一-龯々]+)\[([^\]]+)\]"",
""&lt;ruby&gt;$1&lt;rt&gt;$2&lt;/rt&gt;&lt;/ruby&gt;""
)&amp;""&lt;br&gt;&lt;div class=""""audio""""&gt;[sound:""&amp;C5377&amp;"".mp3]&lt;/div&gt;"""),"&lt;ruby&gt;舟&lt;rt&gt;ふね&lt;/rt&gt;&lt;/ruby&gt;&lt;br&gt;&lt;div class=""audio""&gt;[sound:ふね.mp3]&lt;/div&gt;")</f>
        <v>&lt;ruby&gt;舟&lt;rt&gt;ふね&lt;/rt&gt;&lt;/ruby&gt;&lt;br&gt;&lt;div class="audio"&gt;[sound:ふね.mp3]&lt;/div&gt;</v>
      </c>
      <c r="H5377" s="3" t="str">
        <f t="shared" si="1"/>
        <v>(n): thuyền</v>
      </c>
      <c r="I5377" s="6" t="s">
        <v>29295</v>
      </c>
      <c r="J5377" s="6" t="s">
        <v>24873</v>
      </c>
      <c r="K5377" s="7">
        <f t="shared" si="2"/>
        <v>0.9447777724</v>
      </c>
    </row>
    <row r="5378">
      <c r="A5378" s="4">
        <v>5378.0</v>
      </c>
      <c r="B5378" s="5" t="s">
        <v>29296</v>
      </c>
      <c r="C5378" s="5" t="s">
        <v>29297</v>
      </c>
      <c r="D5378" s="5" t="s">
        <v>29298</v>
      </c>
      <c r="E5378" s="6" t="s">
        <v>74</v>
      </c>
      <c r="F5378" s="6" t="s">
        <v>20331</v>
      </c>
      <c r="G5378" s="3" t="str">
        <f>IFERROR(__xludf.DUMMYFUNCTION("REGEXREPLACE(
D5378,
""([一-龯々]+)\[([^\]]+)\]"",
""&lt;ruby&gt;$1&lt;rt&gt;$2&lt;/rt&gt;&lt;/ruby&gt;""
)&amp;""&lt;br&gt;&lt;div class=""""audio""""&gt;[sound:""&amp;C5378&amp;"".mp3]&lt;/div&gt;"""),"&lt;ruby&gt;住&lt;rt&gt;す&lt;/rt&gt;&lt;/ruby&gt;まい&lt;br&gt;&lt;div class=""audio""&gt;[sound:すまい.mp3]&lt;/div&gt;")</f>
        <v>&lt;ruby&gt;住&lt;rt&gt;す&lt;/rt&gt;&lt;/ruby&gt;まい&lt;br&gt;&lt;div class="audio"&gt;[sound:すまい.mp3]&lt;/div&gt;</v>
      </c>
      <c r="H5378" s="3" t="str">
        <f t="shared" si="1"/>
        <v>(n): nơi ở</v>
      </c>
      <c r="I5378" s="6" t="s">
        <v>29299</v>
      </c>
      <c r="J5378" s="6" t="s">
        <v>29300</v>
      </c>
      <c r="K5378" s="7">
        <f t="shared" si="2"/>
        <v>0.6271979687</v>
      </c>
    </row>
    <row r="5379">
      <c r="A5379" s="4">
        <v>5379.0</v>
      </c>
      <c r="B5379" s="5" t="s">
        <v>29301</v>
      </c>
      <c r="C5379" s="5" t="s">
        <v>29302</v>
      </c>
      <c r="D5379" s="5" t="s">
        <v>29303</v>
      </c>
      <c r="E5379" s="6" t="s">
        <v>11</v>
      </c>
      <c r="F5379" s="6" t="s">
        <v>29304</v>
      </c>
      <c r="G5379" s="3" t="str">
        <f>IFERROR(__xludf.DUMMYFUNCTION("REGEXREPLACE(
D5379,
""([一-龯々]+)\[([^\]]+)\]"",
""&lt;ruby&gt;$1&lt;rt&gt;$2&lt;/rt&gt;&lt;/ruby&gt;""
)&amp;""&lt;br&gt;&lt;div class=""""audio""""&gt;[sound:""&amp;C5379&amp;"".mp3]&lt;/div&gt;"""),"&lt;ruby&gt;僅&lt;rt&gt;わず&lt;/rt&gt;&lt;/ruby&gt;か&lt;br&gt;&lt;div class=""audio""&gt;[sound:わずか.mp3]&lt;/div&gt;")</f>
        <v>&lt;ruby&gt;僅&lt;rt&gt;わず&lt;/rt&gt;&lt;/ruby&gt;か&lt;br&gt;&lt;div class="audio"&gt;[sound:わずか.mp3]&lt;/div&gt;</v>
      </c>
      <c r="H5379" s="3" t="str">
        <f t="shared" si="1"/>
        <v>(adj): ít ỏi</v>
      </c>
      <c r="I5379" s="6" t="s">
        <v>29305</v>
      </c>
      <c r="J5379" s="6" t="s">
        <v>29306</v>
      </c>
      <c r="K5379" s="7">
        <f t="shared" si="2"/>
        <v>0.5282186626</v>
      </c>
    </row>
    <row r="5380">
      <c r="A5380" s="4">
        <v>5380.0</v>
      </c>
      <c r="B5380" s="5" t="s">
        <v>29307</v>
      </c>
      <c r="C5380" s="5" t="s">
        <v>29308</v>
      </c>
      <c r="D5380" s="5" t="s">
        <v>29309</v>
      </c>
      <c r="E5380" s="6" t="s">
        <v>74</v>
      </c>
      <c r="F5380" s="6" t="s">
        <v>29310</v>
      </c>
      <c r="G5380" s="3" t="str">
        <f>IFERROR(__xludf.DUMMYFUNCTION("REGEXREPLACE(
D5380,
""([一-龯々]+)\[([^\]]+)\]"",
""&lt;ruby&gt;$1&lt;rt&gt;$2&lt;/rt&gt;&lt;/ruby&gt;""
)&amp;""&lt;br&gt;&lt;div class=""""audio""""&gt;[sound:""&amp;C5380&amp;"".mp3]&lt;/div&gt;"""),"&lt;ruby&gt;癖&lt;rt&gt;くせ&lt;/rt&gt;&lt;/ruby&gt;&lt;br&gt;&lt;div class=""audio""&gt;[sound:くせ.mp3]&lt;/div&gt;")</f>
        <v>&lt;ruby&gt;癖&lt;rt&gt;くせ&lt;/rt&gt;&lt;/ruby&gt;&lt;br&gt;&lt;div class="audio"&gt;[sound:くせ.mp3]&lt;/div&gt;</v>
      </c>
      <c r="H5380" s="3" t="str">
        <f t="shared" si="1"/>
        <v>(n): thói</v>
      </c>
      <c r="I5380" s="6" t="s">
        <v>29311</v>
      </c>
      <c r="J5380" s="6" t="s">
        <v>29312</v>
      </c>
      <c r="K5380" s="7">
        <f t="shared" si="2"/>
        <v>0.6910702062</v>
      </c>
    </row>
    <row r="5381">
      <c r="A5381" s="4">
        <v>5381.0</v>
      </c>
      <c r="B5381" s="5" t="s">
        <v>29313</v>
      </c>
      <c r="C5381" s="5" t="s">
        <v>29314</v>
      </c>
      <c r="D5381" s="5" t="s">
        <v>29315</v>
      </c>
      <c r="E5381" s="6" t="s">
        <v>24</v>
      </c>
      <c r="F5381" s="6" t="s">
        <v>29316</v>
      </c>
      <c r="G5381" s="3" t="str">
        <f>IFERROR(__xludf.DUMMYFUNCTION("REGEXREPLACE(
D5381,
""([一-龯々]+)\[([^\]]+)\]"",
""&lt;ruby&gt;$1&lt;rt&gt;$2&lt;/rt&gt;&lt;/ruby&gt;""
)&amp;""&lt;br&gt;&lt;div class=""""audio""""&gt;[sound:""&amp;C5381&amp;"".mp3]&lt;/div&gt;"""),"&lt;ruby&gt;削&lt;rt&gt;けず&lt;/rt&gt;&lt;/ruby&gt;る&lt;br&gt;&lt;div class=""audio""&gt;[sound:けずる.mp3]&lt;/div&gt;")</f>
        <v>&lt;ruby&gt;削&lt;rt&gt;けず&lt;/rt&gt;&lt;/ruby&gt;る&lt;br&gt;&lt;div class="audio"&gt;[sound:けずる.mp3]&lt;/div&gt;</v>
      </c>
      <c r="H5381" s="3" t="str">
        <f t="shared" si="1"/>
        <v>(v): gọt</v>
      </c>
      <c r="I5381" s="6" t="s">
        <v>29317</v>
      </c>
      <c r="J5381" s="6" t="s">
        <v>29318</v>
      </c>
      <c r="K5381" s="7">
        <f t="shared" si="2"/>
        <v>0.8465019714</v>
      </c>
    </row>
    <row r="5382">
      <c r="A5382" s="4">
        <v>5382.0</v>
      </c>
      <c r="B5382" s="5" t="s">
        <v>29319</v>
      </c>
      <c r="C5382" s="5" t="s">
        <v>29320</v>
      </c>
      <c r="D5382" s="5" t="s">
        <v>29321</v>
      </c>
      <c r="E5382" s="6" t="s">
        <v>74</v>
      </c>
      <c r="F5382" s="6" t="s">
        <v>29322</v>
      </c>
      <c r="G5382" s="3" t="str">
        <f>IFERROR(__xludf.DUMMYFUNCTION("REGEXREPLACE(
D5382,
""([一-龯々]+)\[([^\]]+)\]"",
""&lt;ruby&gt;$1&lt;rt&gt;$2&lt;/rt&gt;&lt;/ruby&gt;""
)&amp;""&lt;br&gt;&lt;div class=""""audio""""&gt;[sound:""&amp;C5382&amp;"".mp3]&lt;/div&gt;"""),"&lt;ruby&gt;削除&lt;rt&gt;さくじょ&lt;/rt&gt;&lt;/ruby&gt;&lt;br&gt;&lt;div class=""audio""&gt;[sound:さくじょ.mp3]&lt;/div&gt;")</f>
        <v>&lt;ruby&gt;削除&lt;rt&gt;さくじょ&lt;/rt&gt;&lt;/ruby&gt;&lt;br&gt;&lt;div class="audio"&gt;[sound:さくじょ.mp3]&lt;/div&gt;</v>
      </c>
      <c r="H5382" s="3" t="str">
        <f t="shared" si="1"/>
        <v>(n): xóa</v>
      </c>
      <c r="I5382" s="6" t="s">
        <v>29323</v>
      </c>
      <c r="J5382" s="6" t="s">
        <v>27422</v>
      </c>
      <c r="K5382" s="7">
        <f t="shared" si="2"/>
        <v>0.9776387302</v>
      </c>
    </row>
    <row r="5383">
      <c r="A5383" s="4">
        <v>5383.0</v>
      </c>
      <c r="B5383" s="5" t="s">
        <v>29324</v>
      </c>
      <c r="C5383" s="5" t="s">
        <v>29325</v>
      </c>
      <c r="D5383" s="5" t="s">
        <v>29326</v>
      </c>
      <c r="E5383" s="6" t="s">
        <v>74</v>
      </c>
      <c r="F5383" s="6" t="s">
        <v>29327</v>
      </c>
      <c r="G5383" s="3" t="str">
        <f>IFERROR(__xludf.DUMMYFUNCTION("REGEXREPLACE(
D5383,
""([一-龯々]+)\[([^\]]+)\]"",
""&lt;ruby&gt;$1&lt;rt&gt;$2&lt;/rt&gt;&lt;/ruby&gt;""
)&amp;""&lt;br&gt;&lt;div class=""""audio""""&gt;[sound:""&amp;C5383&amp;"".mp3]&lt;/div&gt;"""),"&lt;ruby&gt;光景&lt;rt&gt;こうけい&lt;/rt&gt;&lt;/ruby&gt;&lt;br&gt;&lt;div class=""audio""&gt;[sound:こうけい.mp3]&lt;/div&gt;")</f>
        <v>&lt;ruby&gt;光景&lt;rt&gt;こうけい&lt;/rt&gt;&lt;/ruby&gt;&lt;br&gt;&lt;div class="audio"&gt;[sound:こうけい.mp3]&lt;/div&gt;</v>
      </c>
      <c r="H5383" s="3" t="str">
        <f t="shared" si="1"/>
        <v>(n): cảnh tượng</v>
      </c>
      <c r="I5383" s="6" t="s">
        <v>29328</v>
      </c>
      <c r="J5383" s="6" t="s">
        <v>29329</v>
      </c>
      <c r="K5383" s="7">
        <f t="shared" si="2"/>
        <v>0.8525937566</v>
      </c>
    </row>
    <row r="5384">
      <c r="A5384" s="4">
        <v>5384.0</v>
      </c>
      <c r="B5384" s="5" t="s">
        <v>29330</v>
      </c>
      <c r="C5384" s="5" t="s">
        <v>29331</v>
      </c>
      <c r="D5384" s="5" t="s">
        <v>29332</v>
      </c>
      <c r="E5384" s="6" t="s">
        <v>74</v>
      </c>
      <c r="F5384" s="6" t="s">
        <v>29333</v>
      </c>
      <c r="G5384" s="3" t="str">
        <f>IFERROR(__xludf.DUMMYFUNCTION("REGEXREPLACE(
D5384,
""([一-龯々]+)\[([^\]]+)\]"",
""&lt;ruby&gt;$1&lt;rt&gt;$2&lt;/rt&gt;&lt;/ruby&gt;""
)&amp;""&lt;br&gt;&lt;div class=""""audio""""&gt;[sound:""&amp;C5384&amp;"".mp3]&lt;/div&gt;"""),"&lt;ruby&gt;化粧&lt;rt&gt;けしょう&lt;/rt&gt;&lt;/ruby&gt;&lt;br&gt;&lt;div class=""audio""&gt;[sound:けしょう.mp3]&lt;/div&gt;")</f>
        <v>&lt;ruby&gt;化粧&lt;rt&gt;けしょう&lt;/rt&gt;&lt;/ruby&gt;&lt;br&gt;&lt;div class="audio"&gt;[sound:けしょう.mp3]&lt;/div&gt;</v>
      </c>
      <c r="H5384" s="3" t="str">
        <f t="shared" si="1"/>
        <v>(n): trang điểm</v>
      </c>
      <c r="I5384" s="6" t="s">
        <v>29334</v>
      </c>
      <c r="J5384" s="6" t="s">
        <v>29335</v>
      </c>
      <c r="K5384" s="7">
        <f t="shared" si="2"/>
        <v>0.1200812993</v>
      </c>
    </row>
    <row r="5385">
      <c r="A5385" s="4">
        <v>5385.0</v>
      </c>
      <c r="B5385" s="5" t="s">
        <v>29336</v>
      </c>
      <c r="C5385" s="5" t="s">
        <v>29337</v>
      </c>
      <c r="D5385" s="5" t="s">
        <v>29338</v>
      </c>
      <c r="E5385" s="6" t="s">
        <v>74</v>
      </c>
      <c r="F5385" s="6" t="s">
        <v>15184</v>
      </c>
      <c r="G5385" s="3" t="str">
        <f>IFERROR(__xludf.DUMMYFUNCTION("REGEXREPLACE(
D5385,
""([一-龯々]+)\[([^\]]+)\]"",
""&lt;ruby&gt;$1&lt;rt&gt;$2&lt;/rt&gt;&lt;/ruby&gt;""
)&amp;""&lt;br&gt;&lt;div class=""""audio""""&gt;[sound:""&amp;C5385&amp;"".mp3]&lt;/div&gt;"""),"&lt;ruby&gt;知人&lt;rt&gt;ちじん&lt;/rt&gt;&lt;/ruby&gt;&lt;br&gt;&lt;div class=""audio""&gt;[sound:ちじん.mp3]&lt;/div&gt;")</f>
        <v>&lt;ruby&gt;知人&lt;rt&gt;ちじん&lt;/rt&gt;&lt;/ruby&gt;&lt;br&gt;&lt;div class="audio"&gt;[sound:ちじん.mp3]&lt;/div&gt;</v>
      </c>
      <c r="H5385" s="3" t="str">
        <f t="shared" si="1"/>
        <v>(n): người quen</v>
      </c>
      <c r="I5385" s="6" t="s">
        <v>29339</v>
      </c>
      <c r="J5385" s="6" t="s">
        <v>29340</v>
      </c>
      <c r="K5385" s="7">
        <f t="shared" si="2"/>
        <v>0.1769686468</v>
      </c>
    </row>
    <row r="5386">
      <c r="A5386" s="4">
        <v>5386.0</v>
      </c>
      <c r="B5386" s="5" t="s">
        <v>29341</v>
      </c>
      <c r="C5386" s="5" t="s">
        <v>29342</v>
      </c>
      <c r="D5386" s="5" t="s">
        <v>29343</v>
      </c>
      <c r="E5386" s="6" t="s">
        <v>74</v>
      </c>
      <c r="F5386" s="6" t="s">
        <v>29344</v>
      </c>
      <c r="G5386" s="3" t="str">
        <f>IFERROR(__xludf.DUMMYFUNCTION("REGEXREPLACE(
D5386,
""([一-龯々]+)\[([^\]]+)\]"",
""&lt;ruby&gt;$1&lt;rt&gt;$2&lt;/rt&gt;&lt;/ruby&gt;""
)&amp;""&lt;br&gt;&lt;div class=""""audio""""&gt;[sound:""&amp;C5386&amp;"".mp3]&lt;/div&gt;"""),"&lt;ruby&gt;行儀&lt;rt&gt;ぎょうぎ&lt;/rt&gt;&lt;/ruby&gt;&lt;br&gt;&lt;div class=""audio""&gt;[sound:ぎょうぎ.mp3]&lt;/div&gt;")</f>
        <v>&lt;ruby&gt;行儀&lt;rt&gt;ぎょうぎ&lt;/rt&gt;&lt;/ruby&gt;&lt;br&gt;&lt;div class="audio"&gt;[sound:ぎょうぎ.mp3]&lt;/div&gt;</v>
      </c>
      <c r="H5386" s="3" t="str">
        <f t="shared" si="1"/>
        <v>(n): cách cư xử</v>
      </c>
      <c r="I5386" s="6" t="s">
        <v>29345</v>
      </c>
      <c r="J5386" s="6" t="s">
        <v>29346</v>
      </c>
      <c r="K5386" s="7">
        <f t="shared" si="2"/>
        <v>0.7386176465</v>
      </c>
    </row>
    <row r="5387">
      <c r="A5387" s="4">
        <v>5387.0</v>
      </c>
      <c r="B5387" s="5" t="s">
        <v>29347</v>
      </c>
      <c r="C5387" s="5" t="s">
        <v>29347</v>
      </c>
      <c r="D5387" s="5" t="s">
        <v>29347</v>
      </c>
      <c r="E5387" s="6" t="s">
        <v>85</v>
      </c>
      <c r="F5387" s="6" t="s">
        <v>2860</v>
      </c>
      <c r="G5387" s="3" t="str">
        <f>IFERROR(__xludf.DUMMYFUNCTION("REGEXREPLACE(
D5387,
""([一-龯々]+)\[([^\]]+)\]"",
""&lt;ruby&gt;$1&lt;rt&gt;$2&lt;/rt&gt;&lt;/ruby&gt;""
)&amp;""&lt;br&gt;&lt;div class=""""audio""""&gt;[sound:""&amp;C5387&amp;"".mp3]&lt;/div&gt;"""),"ひとりでに&lt;br&gt;&lt;div class=""audio""&gt;[sound:ひとりでに.mp3]&lt;/div&gt;")</f>
        <v>ひとりでに&lt;br&gt;&lt;div class="audio"&gt;[sound:ひとりでに.mp3]&lt;/div&gt;</v>
      </c>
      <c r="H5387" s="3" t="str">
        <f t="shared" si="1"/>
        <v>(adv): tự nhiên</v>
      </c>
      <c r="I5387" s="6" t="s">
        <v>29348</v>
      </c>
      <c r="J5387" s="6" t="s">
        <v>29349</v>
      </c>
      <c r="K5387" s="7">
        <f t="shared" si="2"/>
        <v>0.901328532</v>
      </c>
    </row>
    <row r="5388">
      <c r="A5388" s="4">
        <v>5388.0</v>
      </c>
      <c r="B5388" s="5" t="s">
        <v>29350</v>
      </c>
      <c r="C5388" s="5" t="s">
        <v>29351</v>
      </c>
      <c r="D5388" s="5" t="s">
        <v>29352</v>
      </c>
      <c r="E5388" s="6" t="s">
        <v>85</v>
      </c>
      <c r="F5388" s="6" t="s">
        <v>29353</v>
      </c>
      <c r="G5388" s="3" t="str">
        <f>IFERROR(__xludf.DUMMYFUNCTION("REGEXREPLACE(
D5388,
""([一-龯々]+)\[([^\]]+)\]"",
""&lt;ruby&gt;$1&lt;rt&gt;$2&lt;/rt&gt;&lt;/ruby&gt;""
)&amp;""&lt;br&gt;&lt;div class=""""audio""""&gt;[sound:""&amp;C5388&amp;"".mp3]&lt;/div&gt;"""),"&lt;ruby&gt;悠々&lt;rt&gt;ゆうゆう&lt;/rt&gt;&lt;/ruby&gt;&lt;br&gt;&lt;div class=""audio""&gt;[sound:ゆうゆう.mp3]&lt;/div&gt;")</f>
        <v>&lt;ruby&gt;悠々&lt;rt&gt;ゆうゆう&lt;/rt&gt;&lt;/ruby&gt;&lt;br&gt;&lt;div class="audio"&gt;[sound:ゆうゆう.mp3]&lt;/div&gt;</v>
      </c>
      <c r="H5388" s="3" t="str">
        <f t="shared" si="1"/>
        <v>(adv): ung dung</v>
      </c>
      <c r="I5388" s="6" t="s">
        <v>29354</v>
      </c>
      <c r="J5388" s="6" t="s">
        <v>29355</v>
      </c>
      <c r="K5388" s="7">
        <f t="shared" si="2"/>
        <v>0.008219314004</v>
      </c>
    </row>
    <row r="5389">
      <c r="A5389" s="4">
        <v>5389.0</v>
      </c>
      <c r="B5389" s="5" t="s">
        <v>29356</v>
      </c>
      <c r="C5389" s="5" t="s">
        <v>29357</v>
      </c>
      <c r="D5389" s="5" t="s">
        <v>29358</v>
      </c>
      <c r="E5389" s="6" t="s">
        <v>74</v>
      </c>
      <c r="F5389" s="6" t="s">
        <v>29359</v>
      </c>
      <c r="G5389" s="3" t="str">
        <f>IFERROR(__xludf.DUMMYFUNCTION("REGEXREPLACE(
D5389,
""([一-龯々]+)\[([^\]]+)\]"",
""&lt;ruby&gt;$1&lt;rt&gt;$2&lt;/rt&gt;&lt;/ruby&gt;""
)&amp;""&lt;br&gt;&lt;div class=""""audio""""&gt;[sound:""&amp;C5389&amp;"".mp3]&lt;/div&gt;"""),"&lt;ruby&gt;金銭&lt;rt&gt;きんせん&lt;/rt&gt;&lt;/ruby&gt;&lt;br&gt;&lt;div class=""audio""&gt;[sound:きんせん.mp3]&lt;/div&gt;")</f>
        <v>&lt;ruby&gt;金銭&lt;rt&gt;きんせん&lt;/rt&gt;&lt;/ruby&gt;&lt;br&gt;&lt;div class="audio"&gt;[sound:きんせん.mp3]&lt;/div&gt;</v>
      </c>
      <c r="H5389" s="3" t="str">
        <f t="shared" si="1"/>
        <v>(n): tiền bạc</v>
      </c>
      <c r="I5389" s="6" t="s">
        <v>29360</v>
      </c>
      <c r="J5389" s="6" t="s">
        <v>29361</v>
      </c>
      <c r="K5389" s="7">
        <f t="shared" si="2"/>
        <v>0.2843001656</v>
      </c>
    </row>
    <row r="5390">
      <c r="A5390" s="4">
        <v>5390.0</v>
      </c>
      <c r="B5390" s="5" t="s">
        <v>29362</v>
      </c>
      <c r="C5390" s="5" t="s">
        <v>29362</v>
      </c>
      <c r="D5390" s="5" t="s">
        <v>29362</v>
      </c>
      <c r="E5390" s="6" t="s">
        <v>74</v>
      </c>
      <c r="F5390" s="6" t="s">
        <v>29363</v>
      </c>
      <c r="G5390" s="3" t="str">
        <f>IFERROR(__xludf.DUMMYFUNCTION("REGEXREPLACE(
D5390,
""([一-龯々]+)\[([^\]]+)\]"",
""&lt;ruby&gt;$1&lt;rt&gt;$2&lt;/rt&gt;&lt;/ruby&gt;""
)&amp;""&lt;br&gt;&lt;div class=""""audio""""&gt;[sound:""&amp;C5390&amp;"".mp3]&lt;/div&gt;"""),"くしゃみ&lt;br&gt;&lt;div class=""audio""&gt;[sound:くしゃみ.mp3]&lt;/div&gt;")</f>
        <v>くしゃみ&lt;br&gt;&lt;div class="audio"&gt;[sound:くしゃみ.mp3]&lt;/div&gt;</v>
      </c>
      <c r="H5390" s="3" t="str">
        <f t="shared" si="1"/>
        <v>(n): hắt hơi</v>
      </c>
      <c r="I5390" s="6" t="s">
        <v>29364</v>
      </c>
      <c r="J5390" s="6" t="s">
        <v>29365</v>
      </c>
      <c r="K5390" s="7">
        <f t="shared" si="2"/>
        <v>0.4687769058</v>
      </c>
    </row>
    <row r="5391">
      <c r="A5391" s="4">
        <v>5391.0</v>
      </c>
      <c r="B5391" s="5" t="s">
        <v>29366</v>
      </c>
      <c r="C5391" s="5" t="s">
        <v>29367</v>
      </c>
      <c r="D5391" s="5" t="s">
        <v>29368</v>
      </c>
      <c r="E5391" s="6" t="s">
        <v>74</v>
      </c>
      <c r="F5391" s="6" t="s">
        <v>29369</v>
      </c>
      <c r="G5391" s="3" t="str">
        <f>IFERROR(__xludf.DUMMYFUNCTION("REGEXREPLACE(
D5391,
""([一-龯々]+)\[([^\]]+)\]"",
""&lt;ruby&gt;$1&lt;rt&gt;$2&lt;/rt&gt;&lt;/ruby&gt;""
)&amp;""&lt;br&gt;&lt;div class=""""audio""""&gt;[sound:""&amp;C5391&amp;"".mp3]&lt;/div&gt;"""),"&lt;ruby&gt;地盤&lt;rt&gt;じばん&lt;/rt&gt;&lt;/ruby&gt;&lt;br&gt;&lt;div class=""audio""&gt;[sound:じばん.mp3]&lt;/div&gt;")</f>
        <v>&lt;ruby&gt;地盤&lt;rt&gt;じばん&lt;/rt&gt;&lt;/ruby&gt;&lt;br&gt;&lt;div class="audio"&gt;[sound:じばん.mp3]&lt;/div&gt;</v>
      </c>
      <c r="H5391" s="3" t="str">
        <f t="shared" si="1"/>
        <v>(n): nền đất</v>
      </c>
      <c r="I5391" s="6" t="s">
        <v>29370</v>
      </c>
      <c r="J5391" s="6" t="s">
        <v>29371</v>
      </c>
      <c r="K5391" s="7">
        <f t="shared" si="2"/>
        <v>0.6056605476</v>
      </c>
    </row>
    <row r="5392">
      <c r="A5392" s="4">
        <v>5392.0</v>
      </c>
      <c r="B5392" s="5" t="s">
        <v>29372</v>
      </c>
      <c r="C5392" s="5" t="s">
        <v>29373</v>
      </c>
      <c r="D5392" s="5" t="s">
        <v>29374</v>
      </c>
      <c r="E5392" s="6" t="s">
        <v>11</v>
      </c>
      <c r="F5392" s="6" t="s">
        <v>29375</v>
      </c>
      <c r="G5392" s="3" t="str">
        <f>IFERROR(__xludf.DUMMYFUNCTION("REGEXREPLACE(
D5392,
""([一-龯々]+)\[([^\]]+)\]"",
""&lt;ruby&gt;$1&lt;rt&gt;$2&lt;/rt&gt;&lt;/ruby&gt;""
)&amp;""&lt;br&gt;&lt;div class=""""audio""""&gt;[sound:""&amp;C5392&amp;"".mp3]&lt;/div&gt;"""),"&lt;ruby&gt;下品&lt;rt&gt;げひん&lt;/rt&gt;&lt;/ruby&gt;&lt;br&gt;&lt;div class=""audio""&gt;[sound:げひん.mp3]&lt;/div&gt;")</f>
        <v>&lt;ruby&gt;下品&lt;rt&gt;げひん&lt;/rt&gt;&lt;/ruby&gt;&lt;br&gt;&lt;div class="audio"&gt;[sound:げひん.mp3]&lt;/div&gt;</v>
      </c>
      <c r="H5392" s="3" t="str">
        <f t="shared" si="1"/>
        <v>(adj): thô lỗ</v>
      </c>
      <c r="I5392" s="6" t="s">
        <v>29376</v>
      </c>
      <c r="J5392" s="6" t="s">
        <v>29377</v>
      </c>
      <c r="K5392" s="7">
        <f t="shared" si="2"/>
        <v>0.4307234103</v>
      </c>
    </row>
    <row r="5393">
      <c r="A5393" s="4">
        <v>5393.0</v>
      </c>
      <c r="B5393" s="5" t="s">
        <v>29378</v>
      </c>
      <c r="C5393" s="5" t="s">
        <v>29379</v>
      </c>
      <c r="D5393" s="5" t="s">
        <v>29380</v>
      </c>
      <c r="E5393" s="6" t="s">
        <v>74</v>
      </c>
      <c r="F5393" s="6" t="s">
        <v>29381</v>
      </c>
      <c r="G5393" s="3" t="str">
        <f>IFERROR(__xludf.DUMMYFUNCTION("REGEXREPLACE(
D5393,
""([一-龯々]+)\[([^\]]+)\]"",
""&lt;ruby&gt;$1&lt;rt&gt;$2&lt;/rt&gt;&lt;/ruby&gt;""
)&amp;""&lt;br&gt;&lt;div class=""""audio""""&gt;[sound:""&amp;C5393&amp;"".mp3]&lt;/div&gt;"""),"&lt;ruby&gt;代名詞&lt;rt&gt;だいめいし&lt;/rt&gt;&lt;/ruby&gt;&lt;br&gt;&lt;div class=""audio""&gt;[sound:だいめいし.mp3]&lt;/div&gt;")</f>
        <v>&lt;ruby&gt;代名詞&lt;rt&gt;だいめいし&lt;/rt&gt;&lt;/ruby&gt;&lt;br&gt;&lt;div class="audio"&gt;[sound:だいめいし.mp3]&lt;/div&gt;</v>
      </c>
      <c r="H5393" s="3" t="str">
        <f t="shared" si="1"/>
        <v>(n): đại từ</v>
      </c>
      <c r="I5393" s="6" t="s">
        <v>29382</v>
      </c>
      <c r="J5393" s="6" t="s">
        <v>29383</v>
      </c>
      <c r="K5393" s="7">
        <f t="shared" si="2"/>
        <v>0.3688088205</v>
      </c>
    </row>
    <row r="5394">
      <c r="A5394" s="4">
        <v>5394.0</v>
      </c>
      <c r="B5394" s="5" t="s">
        <v>29384</v>
      </c>
      <c r="C5394" s="5" t="s">
        <v>29385</v>
      </c>
      <c r="D5394" s="5" t="s">
        <v>29386</v>
      </c>
      <c r="E5394" s="6" t="s">
        <v>74</v>
      </c>
      <c r="F5394" s="6" t="s">
        <v>29387</v>
      </c>
      <c r="G5394" s="3" t="str">
        <f>IFERROR(__xludf.DUMMYFUNCTION("REGEXREPLACE(
D5394,
""([一-龯々]+)\[([^\]]+)\]"",
""&lt;ruby&gt;$1&lt;rt&gt;$2&lt;/rt&gt;&lt;/ruby&gt;""
)&amp;""&lt;br&gt;&lt;div class=""""audio""""&gt;[sound:""&amp;C5394&amp;"".mp3]&lt;/div&gt;"""),"&lt;ruby&gt;語句&lt;rt&gt;ごく&lt;/rt&gt;&lt;/ruby&gt;&lt;br&gt;&lt;div class=""audio""&gt;[sound:ごく.mp3]&lt;/div&gt;")</f>
        <v>&lt;ruby&gt;語句&lt;rt&gt;ごく&lt;/rt&gt;&lt;/ruby&gt;&lt;br&gt;&lt;div class="audio"&gt;[sound:ごく.mp3]&lt;/div&gt;</v>
      </c>
      <c r="H5394" s="3" t="str">
        <f t="shared" si="1"/>
        <v>(n): cụm từ</v>
      </c>
      <c r="I5394" s="6" t="s">
        <v>29388</v>
      </c>
      <c r="J5394" s="6" t="s">
        <v>29389</v>
      </c>
      <c r="K5394" s="7">
        <f t="shared" si="2"/>
        <v>0.3263834383</v>
      </c>
    </row>
    <row r="5395">
      <c r="A5395" s="4">
        <v>5395.0</v>
      </c>
      <c r="B5395" s="5" t="s">
        <v>29390</v>
      </c>
      <c r="C5395" s="5" t="s">
        <v>29390</v>
      </c>
      <c r="D5395" s="5" t="s">
        <v>29390</v>
      </c>
      <c r="E5395" s="6" t="s">
        <v>24</v>
      </c>
      <c r="F5395" s="6" t="s">
        <v>29391</v>
      </c>
      <c r="G5395" s="3" t="str">
        <f>IFERROR(__xludf.DUMMYFUNCTION("REGEXREPLACE(
D5395,
""([一-龯々]+)\[([^\]]+)\]"",
""&lt;ruby&gt;$1&lt;rt&gt;$2&lt;/rt&gt;&lt;/ruby&gt;""
)&amp;""&lt;br&gt;&lt;div class=""""audio""""&gt;[sound:""&amp;C5395&amp;"".mp3]&lt;/div&gt;"""),"しびれる&lt;br&gt;&lt;div class=""audio""&gt;[sound:しびれる.mp3]&lt;/div&gt;")</f>
        <v>しびれる&lt;br&gt;&lt;div class="audio"&gt;[sound:しびれる.mp3]&lt;/div&gt;</v>
      </c>
      <c r="H5395" s="3" t="str">
        <f t="shared" si="1"/>
        <v>(v): tê</v>
      </c>
      <c r="I5395" s="6" t="s">
        <v>29392</v>
      </c>
      <c r="J5395" s="6" t="s">
        <v>29393</v>
      </c>
      <c r="K5395" s="7">
        <f t="shared" si="2"/>
        <v>0.832393138</v>
      </c>
    </row>
    <row r="5396">
      <c r="A5396" s="4">
        <v>5396.0</v>
      </c>
      <c r="B5396" s="5" t="s">
        <v>29394</v>
      </c>
      <c r="C5396" s="5" t="s">
        <v>29395</v>
      </c>
      <c r="D5396" s="5" t="s">
        <v>29396</v>
      </c>
      <c r="E5396" s="6" t="s">
        <v>74</v>
      </c>
      <c r="F5396" s="6" t="s">
        <v>29397</v>
      </c>
      <c r="G5396" s="3" t="str">
        <f>IFERROR(__xludf.DUMMYFUNCTION("REGEXREPLACE(
D5396,
""([一-龯々]+)\[([^\]]+)\]"",
""&lt;ruby&gt;$1&lt;rt&gt;$2&lt;/rt&gt;&lt;/ruby&gt;""
)&amp;""&lt;br&gt;&lt;div class=""""audio""""&gt;[sound:""&amp;C5396&amp;"".mp3]&lt;/div&gt;"""),"&lt;ruby&gt;押&lt;rt&gt;お&lt;/rt&gt;&lt;/ruby&gt;し&lt;ruby&gt;入&lt;rt&gt;い&lt;/rt&gt;&lt;/ruby&gt;れ&lt;br&gt;&lt;div class=""audio""&gt;[sound:おしいれ.mp3]&lt;/div&gt;")</f>
        <v>&lt;ruby&gt;押&lt;rt&gt;お&lt;/rt&gt;&lt;/ruby&gt;し&lt;ruby&gt;入&lt;rt&gt;い&lt;/rt&gt;&lt;/ruby&gt;れ&lt;br&gt;&lt;div class="audio"&gt;[sound:おしいれ.mp3]&lt;/div&gt;</v>
      </c>
      <c r="H5396" s="3" t="str">
        <f t="shared" si="1"/>
        <v>(n): tủ</v>
      </c>
      <c r="I5396" s="6" t="s">
        <v>29398</v>
      </c>
      <c r="J5396" s="6" t="s">
        <v>29399</v>
      </c>
      <c r="K5396" s="7">
        <f t="shared" si="2"/>
        <v>0.9779439455</v>
      </c>
    </row>
    <row r="5397">
      <c r="A5397" s="4">
        <v>5397.0</v>
      </c>
      <c r="B5397" s="5" t="s">
        <v>29400</v>
      </c>
      <c r="C5397" s="5" t="s">
        <v>29401</v>
      </c>
      <c r="D5397" s="5" t="s">
        <v>29402</v>
      </c>
      <c r="E5397" s="6" t="s">
        <v>74</v>
      </c>
      <c r="F5397" s="6" t="s">
        <v>29403</v>
      </c>
      <c r="G5397" s="3" t="str">
        <f>IFERROR(__xludf.DUMMYFUNCTION("REGEXREPLACE(
D5397,
""([一-龯々]+)\[([^\]]+)\]"",
""&lt;ruby&gt;$1&lt;rt&gt;$2&lt;/rt&gt;&lt;/ruby&gt;""
)&amp;""&lt;br&gt;&lt;div class=""""audio""""&gt;[sound:""&amp;C5397&amp;"".mp3]&lt;/div&gt;"""),"&lt;ruby&gt;寝坊&lt;rt&gt;ねぼう&lt;/rt&gt;&lt;/ruby&gt;&lt;br&gt;&lt;div class=""audio""&gt;[sound:ねぼう.mp3]&lt;/div&gt;")</f>
        <v>&lt;ruby&gt;寝坊&lt;rt&gt;ねぼう&lt;/rt&gt;&lt;/ruby&gt;&lt;br&gt;&lt;div class="audio"&gt;[sound:ねぼう.mp3]&lt;/div&gt;</v>
      </c>
      <c r="H5397" s="3" t="str">
        <f t="shared" si="1"/>
        <v>(n): ngủ nướng</v>
      </c>
      <c r="I5397" s="6" t="s">
        <v>29404</v>
      </c>
      <c r="J5397" s="6" t="s">
        <v>29405</v>
      </c>
      <c r="K5397" s="7">
        <f t="shared" si="2"/>
        <v>0.8064059278</v>
      </c>
    </row>
    <row r="5398">
      <c r="A5398" s="4">
        <v>5398.0</v>
      </c>
      <c r="B5398" s="5" t="s">
        <v>29406</v>
      </c>
      <c r="C5398" s="5" t="s">
        <v>29407</v>
      </c>
      <c r="D5398" s="5" t="s">
        <v>29406</v>
      </c>
      <c r="E5398" s="6" t="s">
        <v>74</v>
      </c>
      <c r="F5398" s="6" t="s">
        <v>29408</v>
      </c>
      <c r="G5398" s="3" t="str">
        <f>IFERROR(__xludf.DUMMYFUNCTION("REGEXREPLACE(
D5398,
""([一-龯々]+)\[([^\]]+)\]"",
""&lt;ruby&gt;$1&lt;rt&gt;$2&lt;/rt&gt;&lt;/ruby&gt;""
)&amp;""&lt;br&gt;&lt;div class=""""audio""""&gt;[sound:""&amp;C5398&amp;"".mp3]&lt;/div&gt;"""),"ファスナー&lt;br&gt;&lt;div class=""audio""&gt;[sound:ふぁすなー.mp3]&lt;/div&gt;")</f>
        <v>ファスナー&lt;br&gt;&lt;div class="audio"&gt;[sound:ふぁすなー.mp3]&lt;/div&gt;</v>
      </c>
      <c r="H5398" s="3" t="str">
        <f t="shared" si="1"/>
        <v>(n): khóa kéo</v>
      </c>
      <c r="I5398" s="6" t="s">
        <v>29409</v>
      </c>
      <c r="J5398" s="6" t="s">
        <v>29410</v>
      </c>
      <c r="K5398" s="7">
        <f t="shared" si="2"/>
        <v>0.8924256365</v>
      </c>
    </row>
    <row r="5399">
      <c r="A5399" s="4">
        <v>5399.0</v>
      </c>
      <c r="B5399" s="5" t="s">
        <v>29411</v>
      </c>
      <c r="C5399" s="5" t="s">
        <v>29412</v>
      </c>
      <c r="D5399" s="5" t="s">
        <v>29413</v>
      </c>
      <c r="E5399" s="6" t="s">
        <v>74</v>
      </c>
      <c r="F5399" s="6" t="s">
        <v>4754</v>
      </c>
      <c r="G5399" s="3" t="str">
        <f>IFERROR(__xludf.DUMMYFUNCTION("REGEXREPLACE(
D5399,
""([一-龯々]+)\[([^\]]+)\]"",
""&lt;ruby&gt;$1&lt;rt&gt;$2&lt;/rt&gt;&lt;/ruby&gt;""
)&amp;""&lt;br&gt;&lt;div class=""""audio""""&gt;[sound:""&amp;C5399&amp;"".mp3]&lt;/div&gt;"""),"&lt;ruby&gt;貨物&lt;rt&gt;かもつ&lt;/rt&gt;&lt;/ruby&gt;&lt;br&gt;&lt;div class=""audio""&gt;[sound:かもつ.mp3]&lt;/div&gt;")</f>
        <v>&lt;ruby&gt;貨物&lt;rt&gt;かもつ&lt;/rt&gt;&lt;/ruby&gt;&lt;br&gt;&lt;div class="audio"&gt;[sound:かもつ.mp3]&lt;/div&gt;</v>
      </c>
      <c r="H5399" s="3" t="str">
        <f t="shared" si="1"/>
        <v>(n): hàng hóa</v>
      </c>
      <c r="I5399" s="6" t="s">
        <v>29414</v>
      </c>
      <c r="J5399" s="6" t="s">
        <v>29415</v>
      </c>
      <c r="K5399" s="7">
        <f t="shared" si="2"/>
        <v>0.374001621</v>
      </c>
    </row>
    <row r="5400">
      <c r="A5400" s="4">
        <v>5400.0</v>
      </c>
      <c r="B5400" s="5" t="s">
        <v>29416</v>
      </c>
      <c r="C5400" s="5" t="s">
        <v>29417</v>
      </c>
      <c r="D5400" s="5" t="s">
        <v>29418</v>
      </c>
      <c r="E5400" s="6" t="s">
        <v>24</v>
      </c>
      <c r="F5400" s="6" t="s">
        <v>29419</v>
      </c>
      <c r="G5400" s="3" t="str">
        <f>IFERROR(__xludf.DUMMYFUNCTION("REGEXREPLACE(
D5400,
""([一-龯々]+)\[([^\]]+)\]"",
""&lt;ruby&gt;$1&lt;rt&gt;$2&lt;/rt&gt;&lt;/ruby&gt;""
)&amp;""&lt;br&gt;&lt;div class=""""audio""""&gt;[sound:""&amp;C5400&amp;"".mp3]&lt;/div&gt;"""),"&lt;ruby&gt;留&lt;rt&gt;とど&lt;/rt&gt;&lt;/ruby&gt;まる&lt;br&gt;&lt;div class=""audio""&gt;[sound:とどまる.mp3]&lt;/div&gt;")</f>
        <v>&lt;ruby&gt;留&lt;rt&gt;とど&lt;/rt&gt;&lt;/ruby&gt;まる&lt;br&gt;&lt;div class="audio"&gt;[sound:とどまる.mp3]&lt;/div&gt;</v>
      </c>
      <c r="H5400" s="3" t="str">
        <f t="shared" si="1"/>
        <v>(v): ở lại</v>
      </c>
      <c r="I5400" s="6" t="s">
        <v>29420</v>
      </c>
      <c r="J5400" s="6" t="s">
        <v>29421</v>
      </c>
      <c r="K5400" s="7">
        <f t="shared" si="2"/>
        <v>0.3260115639</v>
      </c>
    </row>
    <row r="5401">
      <c r="A5401" s="4">
        <v>5401.0</v>
      </c>
      <c r="B5401" s="5" t="s">
        <v>29422</v>
      </c>
      <c r="C5401" s="5" t="s">
        <v>29423</v>
      </c>
      <c r="D5401" s="5" t="s">
        <v>29424</v>
      </c>
      <c r="E5401" s="6" t="s">
        <v>74</v>
      </c>
      <c r="F5401" s="6" t="s">
        <v>29425</v>
      </c>
      <c r="G5401" s="3" t="str">
        <f>IFERROR(__xludf.DUMMYFUNCTION("REGEXREPLACE(
D5401,
""([一-龯々]+)\[([^\]]+)\]"",
""&lt;ruby&gt;$1&lt;rt&gt;$2&lt;/rt&gt;&lt;/ruby&gt;""
)&amp;""&lt;br&gt;&lt;div class=""""audio""""&gt;[sound:""&amp;C5401&amp;"".mp3]&lt;/div&gt;"""),"&lt;ruby&gt;下書&lt;rt&gt;したが&lt;/rt&gt;&lt;/ruby&gt;き&lt;br&gt;&lt;div class=""audio""&gt;[sound:したがき.mp3]&lt;/div&gt;")</f>
        <v>&lt;ruby&gt;下書&lt;rt&gt;したが&lt;/rt&gt;&lt;/ruby&gt;き&lt;br&gt;&lt;div class="audio"&gt;[sound:したがき.mp3]&lt;/div&gt;</v>
      </c>
      <c r="H5401" s="3" t="str">
        <f t="shared" si="1"/>
        <v>(n): nháp</v>
      </c>
      <c r="I5401" s="6" t="s">
        <v>29426</v>
      </c>
      <c r="J5401" s="6" t="s">
        <v>29427</v>
      </c>
      <c r="K5401" s="7">
        <f t="shared" si="2"/>
        <v>0.4192128508</v>
      </c>
    </row>
    <row r="5402">
      <c r="A5402" s="4">
        <v>5402.0</v>
      </c>
      <c r="B5402" s="5" t="s">
        <v>29428</v>
      </c>
      <c r="C5402" s="5" t="s">
        <v>29429</v>
      </c>
      <c r="D5402" s="5" t="s">
        <v>29430</v>
      </c>
      <c r="E5402" s="6" t="s">
        <v>74</v>
      </c>
      <c r="F5402" s="6" t="s">
        <v>1491</v>
      </c>
      <c r="G5402" s="3" t="str">
        <f>IFERROR(__xludf.DUMMYFUNCTION("REGEXREPLACE(
D5402,
""([一-龯々]+)\[([^\]]+)\]"",
""&lt;ruby&gt;$1&lt;rt&gt;$2&lt;/rt&gt;&lt;/ruby&gt;""
)&amp;""&lt;br&gt;&lt;div class=""""audio""""&gt;[sound:""&amp;C5402&amp;"".mp3]&lt;/div&gt;"""),"&lt;ruby&gt;執筆&lt;rt&gt;しっぴつ&lt;/rt&gt;&lt;/ruby&gt;&lt;br&gt;&lt;div class=""audio""&gt;[sound:しっぴつ.mp3]&lt;/div&gt;")</f>
        <v>&lt;ruby&gt;執筆&lt;rt&gt;しっぴつ&lt;/rt&gt;&lt;/ruby&gt;&lt;br&gt;&lt;div class="audio"&gt;[sound:しっぴつ.mp3]&lt;/div&gt;</v>
      </c>
      <c r="H5402" s="3" t="str">
        <f t="shared" si="1"/>
        <v>(n): viết</v>
      </c>
      <c r="I5402" s="6" t="s">
        <v>29431</v>
      </c>
      <c r="J5402" s="6" t="s">
        <v>29432</v>
      </c>
      <c r="K5402" s="7">
        <f t="shared" si="2"/>
        <v>0.2863172854</v>
      </c>
    </row>
    <row r="5403">
      <c r="A5403" s="4">
        <v>5403.0</v>
      </c>
      <c r="B5403" s="5" t="s">
        <v>29433</v>
      </c>
      <c r="C5403" s="5" t="s">
        <v>29434</v>
      </c>
      <c r="D5403" s="5" t="s">
        <v>29435</v>
      </c>
      <c r="E5403" s="6" t="s">
        <v>74</v>
      </c>
      <c r="F5403" s="6" t="s">
        <v>29436</v>
      </c>
      <c r="G5403" s="3" t="str">
        <f>IFERROR(__xludf.DUMMYFUNCTION("REGEXREPLACE(
D5403,
""([一-龯々]+)\[([^\]]+)\]"",
""&lt;ruby&gt;$1&lt;rt&gt;$2&lt;/rt&gt;&lt;/ruby&gt;""
)&amp;""&lt;br&gt;&lt;div class=""""audio""""&gt;[sound:""&amp;C5403&amp;"".mp3]&lt;/div&gt;"""),"&lt;ruby&gt;看護婦&lt;rt&gt;かんごふ&lt;/rt&gt;&lt;/ruby&gt;&lt;br&gt;&lt;div class=""audio""&gt;[sound:かんごふ.mp3]&lt;/div&gt;")</f>
        <v>&lt;ruby&gt;看護婦&lt;rt&gt;かんごふ&lt;/rt&gt;&lt;/ruby&gt;&lt;br&gt;&lt;div class="audio"&gt;[sound:かんごふ.mp3]&lt;/div&gt;</v>
      </c>
      <c r="H5403" s="3" t="str">
        <f t="shared" si="1"/>
        <v>(n): y tá</v>
      </c>
      <c r="I5403" s="6" t="s">
        <v>29437</v>
      </c>
      <c r="J5403" s="6" t="s">
        <v>29438</v>
      </c>
      <c r="K5403" s="7">
        <f t="shared" si="2"/>
        <v>0.7372138306</v>
      </c>
    </row>
    <row r="5404">
      <c r="A5404" s="4">
        <v>5404.0</v>
      </c>
      <c r="B5404" s="5" t="s">
        <v>29439</v>
      </c>
      <c r="C5404" s="5" t="s">
        <v>29440</v>
      </c>
      <c r="D5404" s="5" t="s">
        <v>29441</v>
      </c>
      <c r="E5404" s="6" t="s">
        <v>24</v>
      </c>
      <c r="F5404" s="6" t="s">
        <v>13029</v>
      </c>
      <c r="G5404" s="3" t="str">
        <f>IFERROR(__xludf.DUMMYFUNCTION("REGEXREPLACE(
D5404,
""([一-龯々]+)\[([^\]]+)\]"",
""&lt;ruby&gt;$1&lt;rt&gt;$2&lt;/rt&gt;&lt;/ruby&gt;""
)&amp;""&lt;br&gt;&lt;div class=""""audio""""&gt;[sound:""&amp;C5404&amp;"".mp3]&lt;/div&gt;"""),"&lt;ruby&gt;逸&lt;rt&gt;そ&lt;/rt&gt;&lt;/ruby&gt;れる&lt;br&gt;&lt;div class=""audio""&gt;[sound:それる.mp3]&lt;/div&gt;")</f>
        <v>&lt;ruby&gt;逸&lt;rt&gt;そ&lt;/rt&gt;&lt;/ruby&gt;れる&lt;br&gt;&lt;div class="audio"&gt;[sound:それる.mp3]&lt;/div&gt;</v>
      </c>
      <c r="H5404" s="3" t="str">
        <f t="shared" si="1"/>
        <v>(v): lệch</v>
      </c>
      <c r="I5404" s="6" t="s">
        <v>29442</v>
      </c>
      <c r="J5404" s="6" t="s">
        <v>29443</v>
      </c>
      <c r="K5404" s="7">
        <f t="shared" si="2"/>
        <v>0.7415472331</v>
      </c>
    </row>
    <row r="5405">
      <c r="A5405" s="4">
        <v>5405.0</v>
      </c>
      <c r="B5405" s="5" t="s">
        <v>29444</v>
      </c>
      <c r="C5405" s="5" t="s">
        <v>29444</v>
      </c>
      <c r="D5405" s="5" t="s">
        <v>29444</v>
      </c>
      <c r="E5405" s="6" t="s">
        <v>74</v>
      </c>
      <c r="F5405" s="6" t="s">
        <v>29445</v>
      </c>
      <c r="G5405" s="3" t="str">
        <f>IFERROR(__xludf.DUMMYFUNCTION("REGEXREPLACE(
D5405,
""([一-龯々]+)\[([^\]]+)\]"",
""&lt;ruby&gt;$1&lt;rt&gt;$2&lt;/rt&gt;&lt;/ruby&gt;""
)&amp;""&lt;br&gt;&lt;div class=""""audio""""&gt;[sound:""&amp;C5405&amp;"".mp3]&lt;/div&gt;"""),"でたらめ&lt;br&gt;&lt;div class=""audio""&gt;[sound:でたらめ.mp3]&lt;/div&gt;")</f>
        <v>でたらめ&lt;br&gt;&lt;div class="audio"&gt;[sound:でたらめ.mp3]&lt;/div&gt;</v>
      </c>
      <c r="H5405" s="3" t="str">
        <f t="shared" si="1"/>
        <v>(n): nhảm nhí</v>
      </c>
      <c r="I5405" s="6" t="s">
        <v>29446</v>
      </c>
      <c r="J5405" s="6" t="s">
        <v>29447</v>
      </c>
      <c r="K5405" s="7">
        <f t="shared" si="2"/>
        <v>0.965498946</v>
      </c>
    </row>
    <row r="5406">
      <c r="A5406" s="4">
        <v>5406.0</v>
      </c>
      <c r="B5406" s="5" t="s">
        <v>29448</v>
      </c>
      <c r="C5406" s="5" t="s">
        <v>29449</v>
      </c>
      <c r="D5406" s="5" t="s">
        <v>29450</v>
      </c>
      <c r="E5406" s="6" t="s">
        <v>74</v>
      </c>
      <c r="F5406" s="6" t="s">
        <v>29451</v>
      </c>
      <c r="G5406" s="3" t="str">
        <f>IFERROR(__xludf.DUMMYFUNCTION("REGEXREPLACE(
D5406,
""([一-龯々]+)\[([^\]]+)\]"",
""&lt;ruby&gt;$1&lt;rt&gt;$2&lt;/rt&gt;&lt;/ruby&gt;""
)&amp;""&lt;br&gt;&lt;div class=""""audio""""&gt;[sound:""&amp;C5406&amp;"".mp3]&lt;/div&gt;"""),"&lt;ruby&gt;座布団&lt;rt&gt;ざぶとん&lt;/rt&gt;&lt;/ruby&gt;&lt;br&gt;&lt;div class=""audio""&gt;[sound:ざぶとん.mp3]&lt;/div&gt;")</f>
        <v>&lt;ruby&gt;座布団&lt;rt&gt;ざぶとん&lt;/rt&gt;&lt;/ruby&gt;&lt;br&gt;&lt;div class="audio"&gt;[sound:ざぶとん.mp3]&lt;/div&gt;</v>
      </c>
      <c r="H5406" s="3" t="str">
        <f t="shared" si="1"/>
        <v>(n): đệm ngồi</v>
      </c>
      <c r="I5406" s="6" t="s">
        <v>29452</v>
      </c>
      <c r="J5406" s="6" t="s">
        <v>29453</v>
      </c>
      <c r="K5406" s="7">
        <f t="shared" si="2"/>
        <v>0.7879845039</v>
      </c>
    </row>
    <row r="5407">
      <c r="A5407" s="4">
        <v>5407.0</v>
      </c>
      <c r="B5407" s="5" t="s">
        <v>29454</v>
      </c>
      <c r="C5407" s="5" t="s">
        <v>29455</v>
      </c>
      <c r="D5407" s="5" t="s">
        <v>29456</v>
      </c>
      <c r="E5407" s="6" t="s">
        <v>74</v>
      </c>
      <c r="F5407" s="6" t="s">
        <v>29457</v>
      </c>
      <c r="G5407" s="3" t="str">
        <f>IFERROR(__xludf.DUMMYFUNCTION("REGEXREPLACE(
D5407,
""([一-龯々]+)\[([^\]]+)\]"",
""&lt;ruby&gt;$1&lt;rt&gt;$2&lt;/rt&gt;&lt;/ruby&gt;""
)&amp;""&lt;br&gt;&lt;div class=""""audio""""&gt;[sound:""&amp;C5407&amp;"".mp3]&lt;/div&gt;"""),"&lt;ruby&gt;扇風機&lt;rt&gt;せんぷうき&lt;/rt&gt;&lt;/ruby&gt;&lt;br&gt;&lt;div class=""audio""&gt;[sound:せんぷうき.mp3]&lt;/div&gt;")</f>
        <v>&lt;ruby&gt;扇風機&lt;rt&gt;せんぷうき&lt;/rt&gt;&lt;/ruby&gt;&lt;br&gt;&lt;div class="audio"&gt;[sound:せんぷうき.mp3]&lt;/div&gt;</v>
      </c>
      <c r="H5407" s="3" t="str">
        <f t="shared" si="1"/>
        <v>(n): quạt máy</v>
      </c>
      <c r="I5407" s="6" t="s">
        <v>29458</v>
      </c>
      <c r="J5407" s="6" t="s">
        <v>29459</v>
      </c>
      <c r="K5407" s="7">
        <f t="shared" si="2"/>
        <v>0.4421317474</v>
      </c>
    </row>
    <row r="5408">
      <c r="A5408" s="4">
        <v>5408.0</v>
      </c>
      <c r="B5408" s="5" t="s">
        <v>29460</v>
      </c>
      <c r="C5408" s="5" t="s">
        <v>29461</v>
      </c>
      <c r="D5408" s="5" t="s">
        <v>29462</v>
      </c>
      <c r="E5408" s="6" t="s">
        <v>74</v>
      </c>
      <c r="F5408" s="6" t="s">
        <v>29463</v>
      </c>
      <c r="G5408" s="3" t="str">
        <f>IFERROR(__xludf.DUMMYFUNCTION("REGEXREPLACE(
D5408,
""([一-龯々]+)\[([^\]]+)\]"",
""&lt;ruby&gt;$1&lt;rt&gt;$2&lt;/rt&gt;&lt;/ruby&gt;""
)&amp;""&lt;br&gt;&lt;div class=""""audio""""&gt;[sound:""&amp;C5408&amp;"".mp3]&lt;/div&gt;"""),"&lt;ruby&gt;日光&lt;rt&gt;にっこう&lt;/rt&gt;&lt;/ruby&gt;&lt;br&gt;&lt;div class=""audio""&gt;[sound:にっこう.mp3]&lt;/div&gt;")</f>
        <v>&lt;ruby&gt;日光&lt;rt&gt;にっこう&lt;/rt&gt;&lt;/ruby&gt;&lt;br&gt;&lt;div class="audio"&gt;[sound:にっこう.mp3]&lt;/div&gt;</v>
      </c>
      <c r="H5408" s="3" t="str">
        <f t="shared" si="1"/>
        <v>(n): ánh nắng</v>
      </c>
      <c r="I5408" s="6" t="s">
        <v>29464</v>
      </c>
      <c r="J5408" s="6" t="s">
        <v>29465</v>
      </c>
      <c r="K5408" s="7">
        <f t="shared" si="2"/>
        <v>0.1780367508</v>
      </c>
    </row>
    <row r="5409">
      <c r="A5409" s="4">
        <v>5409.0</v>
      </c>
      <c r="B5409" s="5" t="s">
        <v>29466</v>
      </c>
      <c r="C5409" s="5" t="s">
        <v>29467</v>
      </c>
      <c r="D5409" s="5" t="s">
        <v>29468</v>
      </c>
      <c r="E5409" s="6" t="s">
        <v>74</v>
      </c>
      <c r="F5409" s="6" t="s">
        <v>29469</v>
      </c>
      <c r="G5409" s="3" t="str">
        <f>IFERROR(__xludf.DUMMYFUNCTION("REGEXREPLACE(
D5409,
""([一-龯々]+)\[([^\]]+)\]"",
""&lt;ruby&gt;$1&lt;rt&gt;$2&lt;/rt&gt;&lt;/ruby&gt;""
)&amp;""&lt;br&gt;&lt;div class=""""audio""""&gt;[sound:""&amp;C5409&amp;"".mp3]&lt;/div&gt;"""),"&lt;ruby&gt;見掛&lt;rt&gt;みか&lt;/rt&gt;&lt;/ruby&gt;け&lt;br&gt;&lt;div class=""audio""&gt;[sound:みかけ.mp3]&lt;/div&gt;")</f>
        <v>&lt;ruby&gt;見掛&lt;rt&gt;みか&lt;/rt&gt;&lt;/ruby&gt;け&lt;br&gt;&lt;div class="audio"&gt;[sound:みかけ.mp3]&lt;/div&gt;</v>
      </c>
      <c r="H5409" s="3" t="str">
        <f t="shared" si="1"/>
        <v>(n): vẻ ngoài</v>
      </c>
      <c r="I5409" s="6" t="s">
        <v>29470</v>
      </c>
      <c r="J5409" s="6" t="s">
        <v>29471</v>
      </c>
      <c r="K5409" s="7">
        <f t="shared" si="2"/>
        <v>0.4150170028</v>
      </c>
    </row>
    <row r="5410">
      <c r="A5410" s="4">
        <v>5410.0</v>
      </c>
      <c r="B5410" s="5" t="s">
        <v>29472</v>
      </c>
      <c r="C5410" s="5" t="s">
        <v>29473</v>
      </c>
      <c r="D5410" s="5" t="s">
        <v>29474</v>
      </c>
      <c r="E5410" s="6" t="s">
        <v>74</v>
      </c>
      <c r="F5410" s="6" t="s">
        <v>29475</v>
      </c>
      <c r="G5410" s="3" t="str">
        <f>IFERROR(__xludf.DUMMYFUNCTION("REGEXREPLACE(
D5410,
""([一-龯々]+)\[([^\]]+)\]"",
""&lt;ruby&gt;$1&lt;rt&gt;$2&lt;/rt&gt;&lt;/ruby&gt;""
)&amp;""&lt;br&gt;&lt;div class=""""audio""""&gt;[sound:""&amp;C5410&amp;"".mp3]&lt;/div&gt;"""),"&lt;ruby&gt;農産物&lt;rt&gt;のうさんぶつ&lt;/rt&gt;&lt;/ruby&gt;&lt;br&gt;&lt;div class=""audio""&gt;[sound:のうさんぶつ.mp3]&lt;/div&gt;")</f>
        <v>&lt;ruby&gt;農産物&lt;rt&gt;のうさんぶつ&lt;/rt&gt;&lt;/ruby&gt;&lt;br&gt;&lt;div class="audio"&gt;[sound:のうさんぶつ.mp3]&lt;/div&gt;</v>
      </c>
      <c r="H5410" s="3" t="str">
        <f t="shared" si="1"/>
        <v>(n): nông sản</v>
      </c>
      <c r="I5410" s="6" t="s">
        <v>29476</v>
      </c>
      <c r="J5410" s="6" t="s">
        <v>29477</v>
      </c>
      <c r="K5410" s="7">
        <f t="shared" si="2"/>
        <v>0.5443689944</v>
      </c>
    </row>
    <row r="5411">
      <c r="A5411" s="4">
        <v>5411.0</v>
      </c>
      <c r="B5411" s="5" t="s">
        <v>29478</v>
      </c>
      <c r="C5411" s="5" t="s">
        <v>29479</v>
      </c>
      <c r="D5411" s="5" t="s">
        <v>29480</v>
      </c>
      <c r="E5411" s="6" t="s">
        <v>74</v>
      </c>
      <c r="F5411" s="6" t="s">
        <v>29481</v>
      </c>
      <c r="G5411" s="3" t="str">
        <f>IFERROR(__xludf.DUMMYFUNCTION("REGEXREPLACE(
D5411,
""([一-龯々]+)\[([^\]]+)\]"",
""&lt;ruby&gt;$1&lt;rt&gt;$2&lt;/rt&gt;&lt;/ruby&gt;""
)&amp;""&lt;br&gt;&lt;div class=""""audio""""&gt;[sound:""&amp;C5411&amp;"".mp3]&lt;/div&gt;"""),"&lt;ruby&gt;書籍&lt;rt&gt;しょせき&lt;/rt&gt;&lt;/ruby&gt;&lt;br&gt;&lt;div class=""audio""&gt;[sound:しょせき.mp3]&lt;/div&gt;")</f>
        <v>&lt;ruby&gt;書籍&lt;rt&gt;しょせき&lt;/rt&gt;&lt;/ruby&gt;&lt;br&gt;&lt;div class="audio"&gt;[sound:しょせき.mp3]&lt;/div&gt;</v>
      </c>
      <c r="H5411" s="3" t="str">
        <f t="shared" si="1"/>
        <v>(n): sách vở</v>
      </c>
      <c r="I5411" s="6" t="s">
        <v>29482</v>
      </c>
      <c r="J5411" s="6" t="s">
        <v>29483</v>
      </c>
      <c r="K5411" s="7">
        <f t="shared" si="2"/>
        <v>0.2910308617</v>
      </c>
    </row>
    <row r="5412">
      <c r="A5412" s="4">
        <v>5412.0</v>
      </c>
      <c r="B5412" s="5" t="s">
        <v>29484</v>
      </c>
      <c r="C5412" s="5" t="s">
        <v>29485</v>
      </c>
      <c r="D5412" s="5" t="s">
        <v>29486</v>
      </c>
      <c r="E5412" s="6" t="s">
        <v>74</v>
      </c>
      <c r="F5412" s="6" t="s">
        <v>29487</v>
      </c>
      <c r="G5412" s="3" t="str">
        <f>IFERROR(__xludf.DUMMYFUNCTION("REGEXREPLACE(
D5412,
""([一-龯々]+)\[([^\]]+)\]"",
""&lt;ruby&gt;$1&lt;rt&gt;$2&lt;/rt&gt;&lt;/ruby&gt;""
)&amp;""&lt;br&gt;&lt;div class=""""audio""""&gt;[sound:""&amp;C5412&amp;"".mp3]&lt;/div&gt;"""),"&lt;ruby&gt;出入&lt;rt&gt;でい&lt;/rt&gt;&lt;/ruby&gt;り&lt;br&gt;&lt;div class=""audio""&gt;[sound:でいり.mp3]&lt;/div&gt;")</f>
        <v>&lt;ruby&gt;出入&lt;rt&gt;でい&lt;/rt&gt;&lt;/ruby&gt;り&lt;br&gt;&lt;div class="audio"&gt;[sound:でいり.mp3]&lt;/div&gt;</v>
      </c>
      <c r="H5412" s="3" t="str">
        <f t="shared" si="1"/>
        <v>(n): ra vào</v>
      </c>
      <c r="I5412" s="6" t="s">
        <v>29488</v>
      </c>
      <c r="J5412" s="6" t="s">
        <v>29489</v>
      </c>
      <c r="K5412" s="7">
        <f t="shared" si="2"/>
        <v>0.5638755676</v>
      </c>
    </row>
    <row r="5413">
      <c r="A5413" s="4">
        <v>5413.0</v>
      </c>
      <c r="B5413" s="5" t="s">
        <v>29490</v>
      </c>
      <c r="C5413" s="5" t="s">
        <v>29491</v>
      </c>
      <c r="D5413" s="5" t="s">
        <v>29492</v>
      </c>
      <c r="E5413" s="6" t="s">
        <v>24</v>
      </c>
      <c r="F5413" s="6" t="s">
        <v>29493</v>
      </c>
      <c r="G5413" s="3" t="str">
        <f>IFERROR(__xludf.DUMMYFUNCTION("REGEXREPLACE(
D5413,
""([一-龯々]+)\[([^\]]+)\]"",
""&lt;ruby&gt;$1&lt;rt&gt;$2&lt;/rt&gt;&lt;/ruby&gt;""
)&amp;""&lt;br&gt;&lt;div class=""""audio""""&gt;[sound:""&amp;C5413&amp;"".mp3]&lt;/div&gt;"""),"&lt;ruby&gt;砕&lt;rt&gt;くだ&lt;/rt&gt;&lt;/ruby&gt;ける&lt;br&gt;&lt;div class=""audio""&gt;[sound:くだける.mp3]&lt;/div&gt;")</f>
        <v>&lt;ruby&gt;砕&lt;rt&gt;くだ&lt;/rt&gt;&lt;/ruby&gt;ける&lt;br&gt;&lt;div class="audio"&gt;[sound:くだける.mp3]&lt;/div&gt;</v>
      </c>
      <c r="H5413" s="3" t="str">
        <f t="shared" si="1"/>
        <v>(v): bị vỡ</v>
      </c>
      <c r="I5413" s="6" t="s">
        <v>29494</v>
      </c>
      <c r="J5413" s="6" t="s">
        <v>29495</v>
      </c>
      <c r="K5413" s="7">
        <f t="shared" si="2"/>
        <v>0.02600205277</v>
      </c>
    </row>
    <row r="5414">
      <c r="A5414" s="4">
        <v>5414.0</v>
      </c>
      <c r="B5414" s="5" t="s">
        <v>29496</v>
      </c>
      <c r="C5414" s="5" t="s">
        <v>24414</v>
      </c>
      <c r="D5414" s="5" t="s">
        <v>29497</v>
      </c>
      <c r="E5414" s="6" t="s">
        <v>74</v>
      </c>
      <c r="F5414" s="6" t="s">
        <v>29498</v>
      </c>
      <c r="G5414" s="3" t="str">
        <f>IFERROR(__xludf.DUMMYFUNCTION("REGEXREPLACE(
D5414,
""([一-龯々]+)\[([^\]]+)\]"",
""&lt;ruby&gt;$1&lt;rt&gt;$2&lt;/rt&gt;&lt;/ruby&gt;""
)&amp;""&lt;br&gt;&lt;div class=""""audio""""&gt;[sound:""&amp;C5414&amp;"".mp3]&lt;/div&gt;"""),"&lt;ruby&gt;注射&lt;rt&gt;ちゅうしゃ&lt;/rt&gt;&lt;/ruby&gt;&lt;br&gt;&lt;div class=""audio""&gt;[sound:ちゅうしゃ.mp3]&lt;/div&gt;")</f>
        <v>&lt;ruby&gt;注射&lt;rt&gt;ちゅうしゃ&lt;/rt&gt;&lt;/ruby&gt;&lt;br&gt;&lt;div class="audio"&gt;[sound:ちゅうしゃ.mp3]&lt;/div&gt;</v>
      </c>
      <c r="H5414" s="3" t="str">
        <f t="shared" si="1"/>
        <v>(n): tiêm</v>
      </c>
      <c r="I5414" s="6" t="s">
        <v>29499</v>
      </c>
      <c r="J5414" s="6" t="s">
        <v>29500</v>
      </c>
      <c r="K5414" s="7">
        <f t="shared" si="2"/>
        <v>0.708889081</v>
      </c>
    </row>
    <row r="5415">
      <c r="A5415" s="4">
        <v>5415.0</v>
      </c>
      <c r="B5415" s="5" t="s">
        <v>29501</v>
      </c>
      <c r="C5415" s="5" t="s">
        <v>1306</v>
      </c>
      <c r="D5415" s="5" t="s">
        <v>29502</v>
      </c>
      <c r="E5415" s="6" t="s">
        <v>74</v>
      </c>
      <c r="F5415" s="6" t="s">
        <v>29503</v>
      </c>
      <c r="G5415" s="3" t="str">
        <f>IFERROR(__xludf.DUMMYFUNCTION("REGEXREPLACE(
D5415,
""([一-龯々]+)\[([^\]]+)\]"",
""&lt;ruby&gt;$1&lt;rt&gt;$2&lt;/rt&gt;&lt;/ruby&gt;""
)&amp;""&lt;br&gt;&lt;div class=""""audio""""&gt;[sound:""&amp;C5415&amp;"".mp3]&lt;/div&gt;"""),"&lt;ruby&gt;舌&lt;rt&gt;した&lt;/rt&gt;&lt;/ruby&gt;&lt;br&gt;&lt;div class=""audio""&gt;[sound:した.mp3]&lt;/div&gt;")</f>
        <v>&lt;ruby&gt;舌&lt;rt&gt;した&lt;/rt&gt;&lt;/ruby&gt;&lt;br&gt;&lt;div class="audio"&gt;[sound:した.mp3]&lt;/div&gt;</v>
      </c>
      <c r="H5415" s="3" t="str">
        <f t="shared" si="1"/>
        <v>(n): lưỡi</v>
      </c>
      <c r="I5415" s="6" t="s">
        <v>29504</v>
      </c>
      <c r="J5415" s="6" t="s">
        <v>29505</v>
      </c>
      <c r="K5415" s="7">
        <f t="shared" si="2"/>
        <v>0.4692948643</v>
      </c>
    </row>
    <row r="5416">
      <c r="A5416" s="4">
        <v>5416.0</v>
      </c>
      <c r="B5416" s="5" t="s">
        <v>29506</v>
      </c>
      <c r="C5416" s="5" t="s">
        <v>29507</v>
      </c>
      <c r="D5416" s="5" t="s">
        <v>29506</v>
      </c>
      <c r="E5416" s="6" t="s">
        <v>74</v>
      </c>
      <c r="F5416" s="6" t="s">
        <v>29508</v>
      </c>
      <c r="G5416" s="3" t="str">
        <f>IFERROR(__xludf.DUMMYFUNCTION("REGEXREPLACE(
D5416,
""([一-龯々]+)\[([^\]]+)\]"",
""&lt;ruby&gt;$1&lt;rt&gt;$2&lt;/rt&gt;&lt;/ruby&gt;""
)&amp;""&lt;br&gt;&lt;div class=""""audio""""&gt;[sound:""&amp;C5416&amp;"".mp3]&lt;/div&gt;"""),"ダム&lt;br&gt;&lt;div class=""audio""&gt;[sound:だむ.mp3]&lt;/div&gt;")</f>
        <v>ダム&lt;br&gt;&lt;div class="audio"&gt;[sound:だむ.mp3]&lt;/div&gt;</v>
      </c>
      <c r="H5416" s="3" t="str">
        <f t="shared" si="1"/>
        <v>(n): đập</v>
      </c>
      <c r="I5416" s="6" t="s">
        <v>29509</v>
      </c>
      <c r="J5416" s="6" t="s">
        <v>29510</v>
      </c>
      <c r="K5416" s="7">
        <f t="shared" si="2"/>
        <v>0.7307228981</v>
      </c>
    </row>
    <row r="5417">
      <c r="A5417" s="4">
        <v>5417.0</v>
      </c>
      <c r="B5417" s="5" t="s">
        <v>29511</v>
      </c>
      <c r="C5417" s="5" t="s">
        <v>29512</v>
      </c>
      <c r="D5417" s="5" t="s">
        <v>29513</v>
      </c>
      <c r="E5417" s="6" t="s">
        <v>74</v>
      </c>
      <c r="F5417" s="6" t="s">
        <v>29514</v>
      </c>
      <c r="G5417" s="3" t="str">
        <f>IFERROR(__xludf.DUMMYFUNCTION("REGEXREPLACE(
D5417,
""([一-龯々]+)\[([^\]]+)\]"",
""&lt;ruby&gt;$1&lt;rt&gt;$2&lt;/rt&gt;&lt;/ruby&gt;""
)&amp;""&lt;br&gt;&lt;div class=""""audio""""&gt;[sound:""&amp;C5417&amp;"".mp3]&lt;/div&gt;"""),"&lt;ruby&gt;引分&lt;rt&gt;ひきわ&lt;/rt&gt;&lt;/ruby&gt;け&lt;br&gt;&lt;div class=""audio""&gt;[sound:ひきわけ.mp3]&lt;/div&gt;")</f>
        <v>&lt;ruby&gt;引分&lt;rt&gt;ひきわ&lt;/rt&gt;&lt;/ruby&gt;け&lt;br&gt;&lt;div class="audio"&gt;[sound:ひきわけ.mp3]&lt;/div&gt;</v>
      </c>
      <c r="H5417" s="3" t="str">
        <f t="shared" si="1"/>
        <v>(n): hòa</v>
      </c>
      <c r="I5417" s="6" t="s">
        <v>29515</v>
      </c>
      <c r="J5417" s="6" t="s">
        <v>29516</v>
      </c>
      <c r="K5417" s="7">
        <f t="shared" si="2"/>
        <v>0.8465449118</v>
      </c>
    </row>
    <row r="5418">
      <c r="A5418" s="4">
        <v>5418.0</v>
      </c>
      <c r="B5418" s="5" t="s">
        <v>29517</v>
      </c>
      <c r="C5418" s="5" t="s">
        <v>29518</v>
      </c>
      <c r="D5418" s="5" t="s">
        <v>29517</v>
      </c>
      <c r="E5418" s="6" t="s">
        <v>74</v>
      </c>
      <c r="F5418" s="6" t="s">
        <v>29519</v>
      </c>
      <c r="G5418" s="3" t="str">
        <f>IFERROR(__xludf.DUMMYFUNCTION("REGEXREPLACE(
D5418,
""([一-龯々]+)\[([^\]]+)\]"",
""&lt;ruby&gt;$1&lt;rt&gt;$2&lt;/rt&gt;&lt;/ruby&gt;""
)&amp;""&lt;br&gt;&lt;div class=""""audio""""&gt;[sound:""&amp;C5418&amp;"".mp3]&lt;/div&gt;"""),"ナイロン&lt;br&gt;&lt;div class=""audio""&gt;[sound:ないろん.mp3]&lt;/div&gt;")</f>
        <v>ナイロン&lt;br&gt;&lt;div class="audio"&gt;[sound:ないろん.mp3]&lt;/div&gt;</v>
      </c>
      <c r="H5418" s="3" t="str">
        <f t="shared" si="1"/>
        <v>(n): ni lông</v>
      </c>
      <c r="I5418" s="6" t="s">
        <v>29520</v>
      </c>
      <c r="J5418" s="6" t="s">
        <v>29521</v>
      </c>
      <c r="K5418" s="7">
        <f t="shared" si="2"/>
        <v>0.5391572672</v>
      </c>
    </row>
    <row r="5419">
      <c r="A5419" s="4">
        <v>5419.0</v>
      </c>
      <c r="B5419" s="5" t="s">
        <v>29522</v>
      </c>
      <c r="C5419" s="5" t="s">
        <v>29523</v>
      </c>
      <c r="D5419" s="5" t="s">
        <v>29524</v>
      </c>
      <c r="E5419" s="6" t="s">
        <v>74</v>
      </c>
      <c r="F5419" s="6" t="s">
        <v>29525</v>
      </c>
      <c r="G5419" s="3" t="str">
        <f>IFERROR(__xludf.DUMMYFUNCTION("REGEXREPLACE(
D5419,
""([一-龯々]+)\[([^\]]+)\]"",
""&lt;ruby&gt;$1&lt;rt&gt;$2&lt;/rt&gt;&lt;/ruby&gt;""
)&amp;""&lt;br&gt;&lt;div class=""""audio""""&gt;[sound:""&amp;C5419&amp;"".mp3]&lt;/div&gt;"""),"&lt;ruby&gt;紫&lt;rt&gt;むらさき&lt;/rt&gt;&lt;/ruby&gt;&lt;br&gt;&lt;div class=""audio""&gt;[sound:むらさき.mp3]&lt;/div&gt;")</f>
        <v>&lt;ruby&gt;紫&lt;rt&gt;むらさき&lt;/rt&gt;&lt;/ruby&gt;&lt;br&gt;&lt;div class="audio"&gt;[sound:むらさき.mp3]&lt;/div&gt;</v>
      </c>
      <c r="H5419" s="3" t="str">
        <f t="shared" si="1"/>
        <v>(n): màu tím</v>
      </c>
      <c r="I5419" s="6" t="s">
        <v>29526</v>
      </c>
      <c r="J5419" s="6" t="s">
        <v>29527</v>
      </c>
      <c r="K5419" s="7">
        <f t="shared" si="2"/>
        <v>0.4005130978</v>
      </c>
    </row>
    <row r="5420">
      <c r="A5420" s="4">
        <v>5420.0</v>
      </c>
      <c r="B5420" s="5" t="s">
        <v>29528</v>
      </c>
      <c r="C5420" s="5" t="s">
        <v>29529</v>
      </c>
      <c r="D5420" s="5" t="s">
        <v>29530</v>
      </c>
      <c r="E5420" s="6" t="s">
        <v>74</v>
      </c>
      <c r="F5420" s="6" t="s">
        <v>29531</v>
      </c>
      <c r="G5420" s="3" t="str">
        <f>IFERROR(__xludf.DUMMYFUNCTION("REGEXREPLACE(
D5420,
""([一-龯々]+)\[([^\]]+)\]"",
""&lt;ruby&gt;$1&lt;rt&gt;$2&lt;/rt&gt;&lt;/ruby&gt;""
)&amp;""&lt;br&gt;&lt;div class=""""audio""""&gt;[sound:""&amp;C5420&amp;"".mp3]&lt;/div&gt;"""),"&lt;ruby&gt;茶碗&lt;rt&gt;ちゃわん&lt;/rt&gt;&lt;/ruby&gt;&lt;br&gt;&lt;div class=""audio""&gt;[sound:ちゃわん.mp3]&lt;/div&gt;")</f>
        <v>&lt;ruby&gt;茶碗&lt;rt&gt;ちゃわん&lt;/rt&gt;&lt;/ruby&gt;&lt;br&gt;&lt;div class="audio"&gt;[sound:ちゃわん.mp3]&lt;/div&gt;</v>
      </c>
      <c r="H5420" s="3" t="str">
        <f t="shared" si="1"/>
        <v>(n): bát trà</v>
      </c>
      <c r="I5420" s="6" t="s">
        <v>29532</v>
      </c>
      <c r="J5420" s="6" t="s">
        <v>29533</v>
      </c>
      <c r="K5420" s="7">
        <f t="shared" si="2"/>
        <v>0.1856870365</v>
      </c>
    </row>
    <row r="5421">
      <c r="A5421" s="4">
        <v>5421.0</v>
      </c>
      <c r="B5421" s="5" t="s">
        <v>29534</v>
      </c>
      <c r="C5421" s="5" t="s">
        <v>29535</v>
      </c>
      <c r="D5421" s="5" t="s">
        <v>29536</v>
      </c>
      <c r="E5421" s="6" t="s">
        <v>11</v>
      </c>
      <c r="F5421" s="6" t="s">
        <v>17713</v>
      </c>
      <c r="G5421" s="3" t="str">
        <f>IFERROR(__xludf.DUMMYFUNCTION("REGEXREPLACE(
D5421,
""([一-龯々]+)\[([^\]]+)\]"",
""&lt;ruby&gt;$1&lt;rt&gt;$2&lt;/rt&gt;&lt;/ruby&gt;""
)&amp;""&lt;br&gt;&lt;div class=""""audio""""&gt;[sound:""&amp;C5421&amp;"".mp3]&lt;/div&gt;"""),"&lt;ruby&gt;荒&lt;rt&gt;あら&lt;/rt&gt;&lt;/ruby&gt;い&lt;br&gt;&lt;div class=""audio""&gt;[sound:あらい.mp3]&lt;/div&gt;")</f>
        <v>&lt;ruby&gt;荒&lt;rt&gt;あら&lt;/rt&gt;&lt;/ruby&gt;い&lt;br&gt;&lt;div class="audio"&gt;[sound:あらい.mp3]&lt;/div&gt;</v>
      </c>
      <c r="H5421" s="3" t="str">
        <f t="shared" si="1"/>
        <v>(adj): thô bạo</v>
      </c>
      <c r="I5421" s="6" t="s">
        <v>29537</v>
      </c>
      <c r="J5421" s="6" t="s">
        <v>29538</v>
      </c>
      <c r="K5421" s="7">
        <f t="shared" si="2"/>
        <v>0.02574661589</v>
      </c>
    </row>
    <row r="5422">
      <c r="A5422" s="4">
        <v>5422.0</v>
      </c>
      <c r="B5422" s="5" t="s">
        <v>29539</v>
      </c>
      <c r="C5422" s="5" t="s">
        <v>11698</v>
      </c>
      <c r="D5422" s="5" t="s">
        <v>29540</v>
      </c>
      <c r="E5422" s="6" t="s">
        <v>24</v>
      </c>
      <c r="F5422" s="6" t="s">
        <v>15029</v>
      </c>
      <c r="G5422" s="3" t="str">
        <f>IFERROR(__xludf.DUMMYFUNCTION("REGEXREPLACE(
D5422,
""([一-龯々]+)\[([^\]]+)\]"",
""&lt;ruby&gt;$1&lt;rt&gt;$2&lt;/rt&gt;&lt;/ruby&gt;""
)&amp;""&lt;br&gt;&lt;div class=""""audio""""&gt;[sound:""&amp;C5422&amp;"".mp3]&lt;/div&gt;"""),"&lt;ruby&gt;裂&lt;rt&gt;さ&lt;/rt&gt;&lt;/ruby&gt;ける&lt;br&gt;&lt;div class=""audio""&gt;[sound:さける.mp3]&lt;/div&gt;")</f>
        <v>&lt;ruby&gt;裂&lt;rt&gt;さ&lt;/rt&gt;&lt;/ruby&gt;ける&lt;br&gt;&lt;div class="audio"&gt;[sound:さける.mp3]&lt;/div&gt;</v>
      </c>
      <c r="H5422" s="3" t="str">
        <f t="shared" si="1"/>
        <v>(v): bị rách</v>
      </c>
      <c r="I5422" s="6" t="s">
        <v>29541</v>
      </c>
      <c r="J5422" s="6" t="s">
        <v>29542</v>
      </c>
      <c r="K5422" s="7">
        <f t="shared" si="2"/>
        <v>0.5612616566</v>
      </c>
    </row>
    <row r="5423">
      <c r="A5423" s="4">
        <v>5423.0</v>
      </c>
      <c r="B5423" s="5" t="s">
        <v>29543</v>
      </c>
      <c r="C5423" s="5" t="s">
        <v>29544</v>
      </c>
      <c r="D5423" s="5" t="s">
        <v>29545</v>
      </c>
      <c r="E5423" s="6" t="s">
        <v>74</v>
      </c>
      <c r="F5423" s="6" t="s">
        <v>29546</v>
      </c>
      <c r="G5423" s="3" t="str">
        <f>IFERROR(__xludf.DUMMYFUNCTION("REGEXREPLACE(
D5423,
""([一-龯々]+)\[([^\]]+)\]"",
""&lt;ruby&gt;$1&lt;rt&gt;$2&lt;/rt&gt;&lt;/ruby&gt;""
)&amp;""&lt;br&gt;&lt;div class=""""audio""""&gt;[sound:""&amp;C5423&amp;"".mp3]&lt;/div&gt;"""),"&lt;ruby&gt;車輪&lt;rt&gt;しゃりん&lt;/rt&gt;&lt;/ruby&gt;&lt;br&gt;&lt;div class=""audio""&gt;[sound:しゃりん.mp3]&lt;/div&gt;")</f>
        <v>&lt;ruby&gt;車輪&lt;rt&gt;しゃりん&lt;/rt&gt;&lt;/ruby&gt;&lt;br&gt;&lt;div class="audio"&gt;[sound:しゃりん.mp3]&lt;/div&gt;</v>
      </c>
      <c r="H5423" s="3" t="str">
        <f t="shared" si="1"/>
        <v>(n): bánh xe</v>
      </c>
      <c r="I5423" s="6" t="s">
        <v>29547</v>
      </c>
      <c r="J5423" s="6" t="s">
        <v>29548</v>
      </c>
      <c r="K5423" s="7">
        <f t="shared" si="2"/>
        <v>0.9935886665</v>
      </c>
    </row>
    <row r="5424">
      <c r="A5424" s="4">
        <v>5424.0</v>
      </c>
      <c r="B5424" s="5" t="s">
        <v>29549</v>
      </c>
      <c r="C5424" s="5" t="s">
        <v>29550</v>
      </c>
      <c r="D5424" s="5" t="s">
        <v>29551</v>
      </c>
      <c r="E5424" s="6" t="s">
        <v>74</v>
      </c>
      <c r="F5424" s="6" t="s">
        <v>26210</v>
      </c>
      <c r="G5424" s="3" t="str">
        <f>IFERROR(__xludf.DUMMYFUNCTION("REGEXREPLACE(
D5424,
""([一-龯々]+)\[([^\]]+)\]"",
""&lt;ruby&gt;$1&lt;rt&gt;$2&lt;/rt&gt;&lt;/ruby&gt;""
)&amp;""&lt;br&gt;&lt;div class=""""audio""""&gt;[sound:""&amp;C5424&amp;"".mp3]&lt;/div&gt;"""),"&lt;ruby&gt;調味料&lt;rt&gt;ちょうみりょう&lt;/rt&gt;&lt;/ruby&gt;&lt;br&gt;&lt;div class=""audio""&gt;[sound:ちょうみりょう.mp3]&lt;/div&gt;")</f>
        <v>&lt;ruby&gt;調味料&lt;rt&gt;ちょうみりょう&lt;/rt&gt;&lt;/ruby&gt;&lt;br&gt;&lt;div class="audio"&gt;[sound:ちょうみりょう.mp3]&lt;/div&gt;</v>
      </c>
      <c r="H5424" s="3" t="str">
        <f t="shared" si="1"/>
        <v>(n): gia vị</v>
      </c>
      <c r="I5424" s="6" t="s">
        <v>29552</v>
      </c>
      <c r="J5424" s="6" t="s">
        <v>26212</v>
      </c>
      <c r="K5424" s="7">
        <f t="shared" si="2"/>
        <v>0.5919961796</v>
      </c>
    </row>
    <row r="5425">
      <c r="A5425" s="4">
        <v>5425.0</v>
      </c>
      <c r="B5425" s="5" t="s">
        <v>29553</v>
      </c>
      <c r="C5425" s="5" t="s">
        <v>29554</v>
      </c>
      <c r="D5425" s="5" t="s">
        <v>29555</v>
      </c>
      <c r="E5425" s="6" t="s">
        <v>74</v>
      </c>
      <c r="F5425" s="6" t="s">
        <v>29556</v>
      </c>
      <c r="G5425" s="3" t="str">
        <f>IFERROR(__xludf.DUMMYFUNCTION("REGEXREPLACE(
D5425,
""([一-龯々]+)\[([^\]]+)\]"",
""&lt;ruby&gt;$1&lt;rt&gt;$2&lt;/rt&gt;&lt;/ruby&gt;""
)&amp;""&lt;br&gt;&lt;div class=""""audio""""&gt;[sound:""&amp;C5425&amp;"".mp3]&lt;/div&gt;"""),"&lt;ruby&gt;謎謎&lt;rt&gt;なぞなぞ&lt;/rt&gt;&lt;/ruby&gt;&lt;br&gt;&lt;div class=""audio""&gt;[sound:なぞなぞ.mp3]&lt;/div&gt;")</f>
        <v>&lt;ruby&gt;謎謎&lt;rt&gt;なぞなぞ&lt;/rt&gt;&lt;/ruby&gt;&lt;br&gt;&lt;div class="audio"&gt;[sound:なぞなぞ.mp3]&lt;/div&gt;</v>
      </c>
      <c r="H5425" s="3" t="str">
        <f t="shared" si="1"/>
        <v>(n): câu đố</v>
      </c>
      <c r="I5425" s="6" t="s">
        <v>29557</v>
      </c>
      <c r="J5425" s="6" t="s">
        <v>29558</v>
      </c>
      <c r="K5425" s="7">
        <f t="shared" si="2"/>
        <v>0.2390058634</v>
      </c>
    </row>
    <row r="5426">
      <c r="A5426" s="4">
        <v>5426.0</v>
      </c>
      <c r="B5426" s="5" t="s">
        <v>29559</v>
      </c>
      <c r="C5426" s="5" t="s">
        <v>29559</v>
      </c>
      <c r="D5426" s="5" t="s">
        <v>29559</v>
      </c>
      <c r="E5426" s="6" t="s">
        <v>24</v>
      </c>
      <c r="F5426" s="6" t="s">
        <v>29560</v>
      </c>
      <c r="G5426" s="3" t="str">
        <f>IFERROR(__xludf.DUMMYFUNCTION("REGEXREPLACE(
D5426,
""([一-龯々]+)\[([^\]]+)\]"",
""&lt;ruby&gt;$1&lt;rt&gt;$2&lt;/rt&gt;&lt;/ruby&gt;""
)&amp;""&lt;br&gt;&lt;div class=""""audio""""&gt;[sound:""&amp;C5426&amp;"".mp3]&lt;/div&gt;"""),"かじる&lt;br&gt;&lt;div class=""audio""&gt;[sound:かじる.mp3]&lt;/div&gt;")</f>
        <v>かじる&lt;br&gt;&lt;div class="audio"&gt;[sound:かじる.mp3]&lt;/div&gt;</v>
      </c>
      <c r="H5426" s="3" t="str">
        <f t="shared" si="1"/>
        <v>(v): gặm</v>
      </c>
      <c r="I5426" s="6" t="s">
        <v>29561</v>
      </c>
      <c r="J5426" s="6" t="s">
        <v>29562</v>
      </c>
      <c r="K5426" s="7">
        <f t="shared" si="2"/>
        <v>0.898175402</v>
      </c>
    </row>
    <row r="5427">
      <c r="A5427" s="4">
        <v>5427.0</v>
      </c>
      <c r="B5427" s="5" t="s">
        <v>29563</v>
      </c>
      <c r="C5427" s="5" t="s">
        <v>29564</v>
      </c>
      <c r="D5427" s="5" t="s">
        <v>29565</v>
      </c>
      <c r="E5427" s="6" t="s">
        <v>74</v>
      </c>
      <c r="F5427" s="6" t="s">
        <v>29566</v>
      </c>
      <c r="G5427" s="3" t="str">
        <f>IFERROR(__xludf.DUMMYFUNCTION("REGEXREPLACE(
D5427,
""([一-龯々]+)\[([^\]]+)\]"",
""&lt;ruby&gt;$1&lt;rt&gt;$2&lt;/rt&gt;&lt;/ruby&gt;""
)&amp;""&lt;br&gt;&lt;div class=""""audio""""&gt;[sound:""&amp;C5427&amp;"".mp3]&lt;/div&gt;"""),"&lt;ruby&gt;下宿&lt;rt&gt;げしゅく&lt;/rt&gt;&lt;/ruby&gt;&lt;br&gt;&lt;div class=""audio""&gt;[sound:げしゅく.mp3]&lt;/div&gt;")</f>
        <v>&lt;ruby&gt;下宿&lt;rt&gt;げしゅく&lt;/rt&gt;&lt;/ruby&gt;&lt;br&gt;&lt;div class="audio"&gt;[sound:げしゅく.mp3]&lt;/div&gt;</v>
      </c>
      <c r="H5427" s="3" t="str">
        <f t="shared" si="1"/>
        <v>(n): trọ</v>
      </c>
      <c r="I5427" s="6" t="s">
        <v>29567</v>
      </c>
      <c r="J5427" s="6" t="s">
        <v>29568</v>
      </c>
      <c r="K5427" s="7">
        <f t="shared" si="2"/>
        <v>0.2917754363</v>
      </c>
    </row>
    <row r="5428">
      <c r="A5428" s="4">
        <v>5428.0</v>
      </c>
      <c r="B5428" s="5" t="s">
        <v>29569</v>
      </c>
      <c r="C5428" s="5" t="s">
        <v>29570</v>
      </c>
      <c r="D5428" s="5" t="s">
        <v>29571</v>
      </c>
      <c r="E5428" s="6" t="s">
        <v>74</v>
      </c>
      <c r="F5428" s="6" t="s">
        <v>29572</v>
      </c>
      <c r="G5428" s="3" t="str">
        <f>IFERROR(__xludf.DUMMYFUNCTION("REGEXREPLACE(
D5428,
""([一-龯々]+)\[([^\]]+)\]"",
""&lt;ruby&gt;$1&lt;rt&gt;$2&lt;/rt&gt;&lt;/ruby&gt;""
)&amp;""&lt;br&gt;&lt;div class=""""audio""""&gt;[sound:""&amp;C5428&amp;"".mp3]&lt;/div&gt;"""),"&lt;ruby&gt;冗談&lt;rt&gt;じょうだん&lt;/rt&gt;&lt;/ruby&gt;&lt;br&gt;&lt;div class=""audio""&gt;[sound:じょうだん.mp3]&lt;/div&gt;")</f>
        <v>&lt;ruby&gt;冗談&lt;rt&gt;じょうだん&lt;/rt&gt;&lt;/ruby&gt;&lt;br&gt;&lt;div class="audio"&gt;[sound:じょうだん.mp3]&lt;/div&gt;</v>
      </c>
      <c r="H5428" s="3" t="str">
        <f t="shared" si="1"/>
        <v>(n): đùa</v>
      </c>
      <c r="I5428" s="6" t="s">
        <v>29573</v>
      </c>
      <c r="J5428" s="6" t="s">
        <v>29574</v>
      </c>
      <c r="K5428" s="7">
        <f t="shared" si="2"/>
        <v>0.3901921931</v>
      </c>
    </row>
    <row r="5429">
      <c r="A5429" s="4">
        <v>5429.0</v>
      </c>
      <c r="B5429" s="5" t="s">
        <v>29575</v>
      </c>
      <c r="C5429" s="5" t="s">
        <v>29576</v>
      </c>
      <c r="D5429" s="5" t="s">
        <v>29577</v>
      </c>
      <c r="E5429" s="6" t="s">
        <v>74</v>
      </c>
      <c r="F5429" s="6" t="s">
        <v>29578</v>
      </c>
      <c r="G5429" s="3" t="str">
        <f>IFERROR(__xludf.DUMMYFUNCTION("REGEXREPLACE(
D5429,
""([一-龯々]+)\[([^\]]+)\]"",
""&lt;ruby&gt;$1&lt;rt&gt;$2&lt;/rt&gt;&lt;/ruby&gt;""
)&amp;""&lt;br&gt;&lt;div class=""""audio""""&gt;[sound:""&amp;C5429&amp;"".mp3]&lt;/div&gt;"""),"&lt;ruby&gt;切手&lt;rt&gt;きって&lt;/rt&gt;&lt;/ruby&gt;&lt;br&gt;&lt;div class=""audio""&gt;[sound:きって.mp3]&lt;/div&gt;")</f>
        <v>&lt;ruby&gt;切手&lt;rt&gt;きって&lt;/rt&gt;&lt;/ruby&gt;&lt;br&gt;&lt;div class="audio"&gt;[sound:きって.mp3]&lt;/div&gt;</v>
      </c>
      <c r="H5429" s="3" t="str">
        <f t="shared" si="1"/>
        <v>(n): tem</v>
      </c>
      <c r="I5429" s="6" t="s">
        <v>29579</v>
      </c>
      <c r="J5429" s="6" t="s">
        <v>29580</v>
      </c>
      <c r="K5429" s="7">
        <f t="shared" si="2"/>
        <v>0.6069863436</v>
      </c>
    </row>
    <row r="5430">
      <c r="A5430" s="4">
        <v>5430.0</v>
      </c>
      <c r="B5430" s="5" t="s">
        <v>29581</v>
      </c>
      <c r="C5430" s="5" t="s">
        <v>7872</v>
      </c>
      <c r="D5430" s="5" t="s">
        <v>29582</v>
      </c>
      <c r="E5430" s="6" t="s">
        <v>24</v>
      </c>
      <c r="F5430" s="6" t="s">
        <v>29583</v>
      </c>
      <c r="G5430" s="3" t="str">
        <f>IFERROR(__xludf.DUMMYFUNCTION("REGEXREPLACE(
D5430,
""([一-龯々]+)\[([^\]]+)\]"",
""&lt;ruby&gt;$1&lt;rt&gt;$2&lt;/rt&gt;&lt;/ruby&gt;""
)&amp;""&lt;br&gt;&lt;div class=""""audio""""&gt;[sound:""&amp;C5430&amp;"".mp3]&lt;/div&gt;"""),"&lt;ruby&gt;裂&lt;rt&gt;さ&lt;/rt&gt;&lt;/ruby&gt;く&lt;br&gt;&lt;div class=""audio""&gt;[sound:さく.mp3]&lt;/div&gt;")</f>
        <v>&lt;ruby&gt;裂&lt;rt&gt;さ&lt;/rt&gt;&lt;/ruby&gt;く&lt;br&gt;&lt;div class="audio"&gt;[sound:さく.mp3]&lt;/div&gt;</v>
      </c>
      <c r="H5430" s="3" t="str">
        <f t="shared" si="1"/>
        <v>(v): xé</v>
      </c>
      <c r="I5430" s="6" t="s">
        <v>29584</v>
      </c>
      <c r="J5430" s="6" t="s">
        <v>29585</v>
      </c>
      <c r="K5430" s="7">
        <f t="shared" si="2"/>
        <v>0.2553671517</v>
      </c>
    </row>
    <row r="5431">
      <c r="A5431" s="4">
        <v>5431.0</v>
      </c>
      <c r="B5431" s="5" t="s">
        <v>29586</v>
      </c>
      <c r="C5431" s="5" t="s">
        <v>29587</v>
      </c>
      <c r="D5431" s="5" t="s">
        <v>29586</v>
      </c>
      <c r="E5431" s="6" t="s">
        <v>74</v>
      </c>
      <c r="F5431" s="6" t="s">
        <v>29588</v>
      </c>
      <c r="G5431" s="3" t="str">
        <f>IFERROR(__xludf.DUMMYFUNCTION("REGEXREPLACE(
D5431,
""([一-龯々]+)\[([^\]]+)\]"",
""&lt;ruby&gt;$1&lt;rt&gt;$2&lt;/rt&gt;&lt;/ruby&gt;""
)&amp;""&lt;br&gt;&lt;div class=""""audio""""&gt;[sound:""&amp;C5431&amp;"".mp3]&lt;/div&gt;"""),"スカーフ&lt;br&gt;&lt;div class=""audio""&gt;[sound:すかーふ.mp3]&lt;/div&gt;")</f>
        <v>スカーフ&lt;br&gt;&lt;div class="audio"&gt;[sound:すかーふ.mp3]&lt;/div&gt;</v>
      </c>
      <c r="H5431" s="3" t="str">
        <f t="shared" si="1"/>
        <v>(n): khăn quàng</v>
      </c>
      <c r="I5431" s="6" t="s">
        <v>29589</v>
      </c>
      <c r="J5431" s="6" t="s">
        <v>29590</v>
      </c>
      <c r="K5431" s="7">
        <f t="shared" si="2"/>
        <v>0.5618826219</v>
      </c>
    </row>
    <row r="5432">
      <c r="A5432" s="4">
        <v>5432.0</v>
      </c>
      <c r="B5432" s="5" t="s">
        <v>29591</v>
      </c>
      <c r="C5432" s="5" t="s">
        <v>29592</v>
      </c>
      <c r="D5432" s="5" t="s">
        <v>29593</v>
      </c>
      <c r="E5432" s="6" t="s">
        <v>33</v>
      </c>
      <c r="F5432" s="6" t="s">
        <v>29594</v>
      </c>
      <c r="G5432" s="3" t="str">
        <f>IFERROR(__xludf.DUMMYFUNCTION("REGEXREPLACE(
D5432,
""([一-龯々]+)\[([^\]]+)\]"",
""&lt;ruby&gt;$1&lt;rt&gt;$2&lt;/rt&gt;&lt;/ruby&gt;""
)&amp;""&lt;br&gt;&lt;div class=""""audio""""&gt;[sound:""&amp;C5432&amp;"".mp3]&lt;/div&gt;"""),"&lt;ruby&gt;万歳&lt;rt&gt;ばんざい&lt;/rt&gt;&lt;/ruby&gt;&lt;br&gt;&lt;div class=""audio""&gt;[sound:ばんざい.mp3]&lt;/div&gt;")</f>
        <v>&lt;ruby&gt;万歳&lt;rt&gt;ばんざい&lt;/rt&gt;&lt;/ruby&gt;&lt;br&gt;&lt;div class="audio"&gt;[sound:ばんざい.mp3]&lt;/div&gt;</v>
      </c>
      <c r="H5432" s="3" t="str">
        <f t="shared" si="1"/>
        <v>(int): vạn tuế</v>
      </c>
      <c r="I5432" s="6" t="s">
        <v>29595</v>
      </c>
      <c r="J5432" s="6" t="s">
        <v>29596</v>
      </c>
      <c r="K5432" s="7">
        <f t="shared" si="2"/>
        <v>0.4655175099</v>
      </c>
    </row>
    <row r="5433">
      <c r="A5433" s="4">
        <v>5433.0</v>
      </c>
      <c r="B5433" s="5" t="s">
        <v>29597</v>
      </c>
      <c r="C5433" s="5" t="s">
        <v>29598</v>
      </c>
      <c r="D5433" s="5" t="s">
        <v>29599</v>
      </c>
      <c r="E5433" s="6" t="s">
        <v>58</v>
      </c>
      <c r="F5433" s="6" t="s">
        <v>29600</v>
      </c>
      <c r="G5433" s="3" t="str">
        <f>IFERROR(__xludf.DUMMYFUNCTION("REGEXREPLACE(
D5433,
""([一-龯々]+)\[([^\]]+)\]"",
""&lt;ruby&gt;$1&lt;rt&gt;$2&lt;/rt&gt;&lt;/ruby&gt;""
)&amp;""&lt;br&gt;&lt;div class=""""audio""""&gt;[sound:""&amp;C5433&amp;"".mp3]&lt;/div&gt;"""),"&lt;ruby&gt;八&lt;rt&gt;やっ&lt;/rt&gt;&lt;/ruby&gt;つ&lt;br&gt;&lt;div class=""audio""&gt;[sound:やっつ.mp3]&lt;/div&gt;")</f>
        <v>&lt;ruby&gt;八&lt;rt&gt;やっ&lt;/rt&gt;&lt;/ruby&gt;つ&lt;br&gt;&lt;div class="audio"&gt;[sound:やっつ.mp3]&lt;/div&gt;</v>
      </c>
      <c r="H5433" s="3" t="str">
        <f t="shared" si="1"/>
        <v>(num): tám cái</v>
      </c>
      <c r="I5433" s="6" t="s">
        <v>29601</v>
      </c>
      <c r="J5433" s="6" t="s">
        <v>29602</v>
      </c>
      <c r="K5433" s="7">
        <f t="shared" si="2"/>
        <v>0.7192566668</v>
      </c>
    </row>
    <row r="5434">
      <c r="A5434" s="4">
        <v>5434.0</v>
      </c>
      <c r="B5434" s="5" t="s">
        <v>29603</v>
      </c>
      <c r="C5434" s="5" t="s">
        <v>29604</v>
      </c>
      <c r="D5434" s="5" t="s">
        <v>29603</v>
      </c>
      <c r="E5434" s="6" t="s">
        <v>74</v>
      </c>
      <c r="F5434" s="6" t="s">
        <v>18564</v>
      </c>
      <c r="G5434" s="3" t="str">
        <f>IFERROR(__xludf.DUMMYFUNCTION("REGEXREPLACE(
D5434,
""([一-龯々]+)\[([^\]]+)\]"",
""&lt;ruby&gt;$1&lt;rt&gt;$2&lt;/rt&gt;&lt;/ruby&gt;""
)&amp;""&lt;br&gt;&lt;div class=""""audio""""&gt;[sound:""&amp;C5434&amp;"".mp3]&lt;/div&gt;"""),"チャイム&lt;br&gt;&lt;div class=""audio""&gt;[sound:ちゃいむ.mp3]&lt;/div&gt;")</f>
        <v>チャイム&lt;br&gt;&lt;div class="audio"&gt;[sound:ちゃいむ.mp3]&lt;/div&gt;</v>
      </c>
      <c r="H5434" s="3" t="str">
        <f t="shared" si="1"/>
        <v>(n): chuông</v>
      </c>
      <c r="I5434" s="6" t="s">
        <v>29605</v>
      </c>
      <c r="J5434" s="6" t="s">
        <v>18566</v>
      </c>
      <c r="K5434" s="7">
        <f t="shared" si="2"/>
        <v>0.8584426336</v>
      </c>
    </row>
    <row r="5435">
      <c r="A5435" s="4">
        <v>5435.0</v>
      </c>
      <c r="B5435" s="5" t="s">
        <v>29606</v>
      </c>
      <c r="C5435" s="5" t="s">
        <v>29607</v>
      </c>
      <c r="D5435" s="5" t="s">
        <v>29608</v>
      </c>
      <c r="E5435" s="6" t="s">
        <v>24</v>
      </c>
      <c r="F5435" s="6" t="s">
        <v>29609</v>
      </c>
      <c r="G5435" s="3" t="str">
        <f>IFERROR(__xludf.DUMMYFUNCTION("REGEXREPLACE(
D5435,
""([一-龯々]+)\[([^\]]+)\]"",
""&lt;ruby&gt;$1&lt;rt&gt;$2&lt;/rt&gt;&lt;/ruby&gt;""
)&amp;""&lt;br&gt;&lt;div class=""""audio""""&gt;[sound:""&amp;C5435&amp;"".mp3]&lt;/div&gt;"""),"&lt;ruby&gt;温&lt;rt&gt;あたた&lt;/rt&gt;&lt;/ruby&gt;める&lt;br&gt;&lt;div class=""audio""&gt;[sound:あたためる.mp3]&lt;/div&gt;")</f>
        <v>&lt;ruby&gt;温&lt;rt&gt;あたた&lt;/rt&gt;&lt;/ruby&gt;める&lt;br&gt;&lt;div class="audio"&gt;[sound:あたためる.mp3]&lt;/div&gt;</v>
      </c>
      <c r="H5435" s="3" t="str">
        <f t="shared" si="1"/>
        <v>(v): làm ấm</v>
      </c>
      <c r="I5435" s="6" t="s">
        <v>29610</v>
      </c>
      <c r="J5435" s="6" t="s">
        <v>29611</v>
      </c>
      <c r="K5435" s="7">
        <f t="shared" si="2"/>
        <v>0.5464553639</v>
      </c>
    </row>
    <row r="5436">
      <c r="A5436" s="4">
        <v>5436.0</v>
      </c>
      <c r="B5436" s="5" t="s">
        <v>29612</v>
      </c>
      <c r="C5436" s="5" t="s">
        <v>29613</v>
      </c>
      <c r="D5436" s="5" t="s">
        <v>29614</v>
      </c>
      <c r="E5436" s="6" t="s">
        <v>74</v>
      </c>
      <c r="F5436" s="6" t="s">
        <v>29615</v>
      </c>
      <c r="G5436" s="3" t="str">
        <f>IFERROR(__xludf.DUMMYFUNCTION("REGEXREPLACE(
D5436,
""([一-龯々]+)\[([^\]]+)\]"",
""&lt;ruby&gt;$1&lt;rt&gt;$2&lt;/rt&gt;&lt;/ruby&gt;""
)&amp;""&lt;br&gt;&lt;div class=""""audio""""&gt;[sound:""&amp;C5436&amp;"".mp3]&lt;/div&gt;"""),"&lt;ruby&gt;芝生&lt;rt&gt;しばふ&lt;/rt&gt;&lt;/ruby&gt;&lt;br&gt;&lt;div class=""audio""&gt;[sound:しばふ.mp3]&lt;/div&gt;")</f>
        <v>&lt;ruby&gt;芝生&lt;rt&gt;しばふ&lt;/rt&gt;&lt;/ruby&gt;&lt;br&gt;&lt;div class="audio"&gt;[sound:しばふ.mp3]&lt;/div&gt;</v>
      </c>
      <c r="H5436" s="3" t="str">
        <f t="shared" si="1"/>
        <v>(n): bãi cỏ</v>
      </c>
      <c r="I5436" s="6" t="s">
        <v>29616</v>
      </c>
      <c r="J5436" s="6" t="s">
        <v>26315</v>
      </c>
      <c r="K5436" s="7">
        <f t="shared" si="2"/>
        <v>0.1470482512</v>
      </c>
    </row>
    <row r="5437">
      <c r="A5437" s="4">
        <v>5437.0</v>
      </c>
      <c r="B5437" s="5" t="s">
        <v>29617</v>
      </c>
      <c r="C5437" s="5" t="s">
        <v>29618</v>
      </c>
      <c r="D5437" s="5" t="s">
        <v>29619</v>
      </c>
      <c r="E5437" s="6" t="s">
        <v>74</v>
      </c>
      <c r="F5437" s="6" t="s">
        <v>29620</v>
      </c>
      <c r="G5437" s="3" t="str">
        <f>IFERROR(__xludf.DUMMYFUNCTION("REGEXREPLACE(
D5437,
""([一-龯々]+)\[([^\]]+)\]"",
""&lt;ruby&gt;$1&lt;rt&gt;$2&lt;/rt&gt;&lt;/ruby&gt;""
)&amp;""&lt;br&gt;&lt;div class=""""audio""""&gt;[sound:""&amp;C5437&amp;"".mp3]&lt;/div&gt;"""),"&lt;ruby&gt;述語&lt;rt&gt;じゅつご&lt;/rt&gt;&lt;/ruby&gt;&lt;br&gt;&lt;div class=""audio""&gt;[sound:じゅつご.mp3]&lt;/div&gt;")</f>
        <v>&lt;ruby&gt;述語&lt;rt&gt;じゅつご&lt;/rt&gt;&lt;/ruby&gt;&lt;br&gt;&lt;div class="audio"&gt;[sound:じゅつご.mp3]&lt;/div&gt;</v>
      </c>
      <c r="H5437" s="3" t="str">
        <f t="shared" si="1"/>
        <v>(n): vị ngữ</v>
      </c>
      <c r="I5437" s="6" t="s">
        <v>29621</v>
      </c>
      <c r="J5437" s="6" t="s">
        <v>29622</v>
      </c>
      <c r="K5437" s="7">
        <f t="shared" si="2"/>
        <v>0.7612902581</v>
      </c>
    </row>
    <row r="5438">
      <c r="A5438" s="4">
        <v>5438.0</v>
      </c>
      <c r="B5438" s="5" t="s">
        <v>29623</v>
      </c>
      <c r="C5438" s="5" t="s">
        <v>29624</v>
      </c>
      <c r="D5438" s="5" t="s">
        <v>29625</v>
      </c>
      <c r="E5438" s="6" t="s">
        <v>74</v>
      </c>
      <c r="F5438" s="6" t="s">
        <v>29626</v>
      </c>
      <c r="G5438" s="3" t="str">
        <f>IFERROR(__xludf.DUMMYFUNCTION("REGEXREPLACE(
D5438,
""([一-龯々]+)\[([^\]]+)\]"",
""&lt;ruby&gt;$1&lt;rt&gt;$2&lt;/rt&gt;&lt;/ruby&gt;""
)&amp;""&lt;br&gt;&lt;div class=""""audio""""&gt;[sound:""&amp;C5438&amp;"".mp3]&lt;/div&gt;"""),"&lt;ruby&gt;井戸&lt;rt&gt;いど&lt;/rt&gt;&lt;/ruby&gt;&lt;br&gt;&lt;div class=""audio""&gt;[sound:いど.mp3]&lt;/div&gt;")</f>
        <v>&lt;ruby&gt;井戸&lt;rt&gt;いど&lt;/rt&gt;&lt;/ruby&gt;&lt;br&gt;&lt;div class="audio"&gt;[sound:いど.mp3]&lt;/div&gt;</v>
      </c>
      <c r="H5438" s="3" t="str">
        <f t="shared" si="1"/>
        <v>(n): giếng</v>
      </c>
      <c r="I5438" s="6" t="s">
        <v>29627</v>
      </c>
      <c r="J5438" s="6" t="s">
        <v>29628</v>
      </c>
      <c r="K5438" s="7">
        <f t="shared" si="2"/>
        <v>0.8456553455</v>
      </c>
    </row>
    <row r="5439">
      <c r="A5439" s="4">
        <v>5439.0</v>
      </c>
      <c r="B5439" s="5" t="s">
        <v>29629</v>
      </c>
      <c r="C5439" s="5" t="s">
        <v>29630</v>
      </c>
      <c r="D5439" s="5" t="s">
        <v>29631</v>
      </c>
      <c r="E5439" s="6" t="s">
        <v>74</v>
      </c>
      <c r="F5439" s="6" t="s">
        <v>29632</v>
      </c>
      <c r="G5439" s="3" t="str">
        <f>IFERROR(__xludf.DUMMYFUNCTION("REGEXREPLACE(
D5439,
""([一-龯々]+)\[([^\]]+)\]"",
""&lt;ruby&gt;$1&lt;rt&gt;$2&lt;/rt&gt;&lt;/ruby&gt;""
)&amp;""&lt;br&gt;&lt;div class=""""audio""""&gt;[sound:""&amp;C5439&amp;"".mp3]&lt;/div&gt;"""),"&lt;ruby&gt;貝&lt;rt&gt;かい&lt;/rt&gt;&lt;/ruby&gt;&lt;br&gt;&lt;div class=""audio""&gt;[sound:かい.mp3]&lt;/div&gt;")</f>
        <v>&lt;ruby&gt;貝&lt;rt&gt;かい&lt;/rt&gt;&lt;/ruby&gt;&lt;br&gt;&lt;div class="audio"&gt;[sound:かい.mp3]&lt;/div&gt;</v>
      </c>
      <c r="H5439" s="3" t="str">
        <f t="shared" si="1"/>
        <v>(n): vỏ sò</v>
      </c>
      <c r="I5439" s="6" t="s">
        <v>29633</v>
      </c>
      <c r="J5439" s="6" t="s">
        <v>29634</v>
      </c>
      <c r="K5439" s="7">
        <f t="shared" si="2"/>
        <v>0.9425609599</v>
      </c>
    </row>
    <row r="5440">
      <c r="A5440" s="4">
        <v>5440.0</v>
      </c>
      <c r="B5440" s="5" t="s">
        <v>29635</v>
      </c>
      <c r="C5440" s="5" t="s">
        <v>29636</v>
      </c>
      <c r="D5440" s="5" t="s">
        <v>29637</v>
      </c>
      <c r="E5440" s="6" t="s">
        <v>74</v>
      </c>
      <c r="F5440" s="6" t="s">
        <v>29638</v>
      </c>
      <c r="G5440" s="3" t="str">
        <f>IFERROR(__xludf.DUMMYFUNCTION("REGEXREPLACE(
D5440,
""([一-龯々]+)\[([^\]]+)\]"",
""&lt;ruby&gt;$1&lt;rt&gt;$2&lt;/rt&gt;&lt;/ruby&gt;""
)&amp;""&lt;br&gt;&lt;div class=""""audio""""&gt;[sound:""&amp;C5440&amp;"".mp3]&lt;/div&gt;"""),"&lt;ruby&gt;丼&lt;rt&gt;どんぶり&lt;/rt&gt;&lt;/ruby&gt;&lt;br&gt;&lt;div class=""audio""&gt;[sound:どんぶり.mp3]&lt;/div&gt;")</f>
        <v>&lt;ruby&gt;丼&lt;rt&gt;どんぶり&lt;/rt&gt;&lt;/ruby&gt;&lt;br&gt;&lt;div class="audio"&gt;[sound:どんぶり.mp3]&lt;/div&gt;</v>
      </c>
      <c r="H5440" s="3" t="str">
        <f t="shared" si="1"/>
        <v>(n): bát cơm</v>
      </c>
      <c r="I5440" s="6" t="s">
        <v>29639</v>
      </c>
      <c r="J5440" s="6" t="s">
        <v>29640</v>
      </c>
      <c r="K5440" s="7">
        <f t="shared" si="2"/>
        <v>0.1102590501</v>
      </c>
    </row>
    <row r="5441">
      <c r="A5441" s="4">
        <v>5441.0</v>
      </c>
      <c r="B5441" s="5" t="s">
        <v>29641</v>
      </c>
      <c r="C5441" s="5" t="s">
        <v>29642</v>
      </c>
      <c r="D5441" s="5" t="s">
        <v>29643</v>
      </c>
      <c r="E5441" s="6" t="s">
        <v>24</v>
      </c>
      <c r="F5441" s="6" t="s">
        <v>29644</v>
      </c>
      <c r="G5441" s="3" t="str">
        <f>IFERROR(__xludf.DUMMYFUNCTION("REGEXREPLACE(
D5441,
""([一-龯々]+)\[([^\]]+)\]"",
""&lt;ruby&gt;$1&lt;rt&gt;$2&lt;/rt&gt;&lt;/ruby&gt;""
)&amp;""&lt;br&gt;&lt;div class=""""audio""""&gt;[sound:""&amp;C5441&amp;"".mp3]&lt;/div&gt;"""),"&lt;ruby&gt;盗&lt;rt&gt;ぬす&lt;/rt&gt;&lt;/ruby&gt;む&lt;br&gt;&lt;div class=""audio""&gt;[sound:ぬすむ.mp3]&lt;/div&gt;")</f>
        <v>&lt;ruby&gt;盗&lt;rt&gt;ぬす&lt;/rt&gt;&lt;/ruby&gt;む&lt;br&gt;&lt;div class="audio"&gt;[sound:ぬすむ.mp3]&lt;/div&gt;</v>
      </c>
      <c r="H5441" s="3" t="str">
        <f t="shared" si="1"/>
        <v>(v): trộm</v>
      </c>
      <c r="I5441" s="6" t="s">
        <v>29645</v>
      </c>
      <c r="J5441" s="6" t="s">
        <v>29646</v>
      </c>
      <c r="K5441" s="7">
        <f t="shared" si="2"/>
        <v>0.2874586975</v>
      </c>
    </row>
    <row r="5442">
      <c r="A5442" s="4">
        <v>5442.0</v>
      </c>
      <c r="B5442" s="5" t="s">
        <v>29647</v>
      </c>
      <c r="C5442" s="5" t="s">
        <v>3709</v>
      </c>
      <c r="D5442" s="5" t="s">
        <v>29648</v>
      </c>
      <c r="E5442" s="6" t="s">
        <v>74</v>
      </c>
      <c r="F5442" s="6" t="s">
        <v>29649</v>
      </c>
      <c r="G5442" s="3" t="str">
        <f>IFERROR(__xludf.DUMMYFUNCTION("REGEXREPLACE(
D5442,
""([一-龯々]+)\[([^\]]+)\]"",
""&lt;ruby&gt;$1&lt;rt&gt;$2&lt;/rt&gt;&lt;/ruby&gt;""
)&amp;""&lt;br&gt;&lt;div class=""""audio""""&gt;[sound:""&amp;C5442&amp;"".mp3]&lt;/div&gt;"""),"&lt;ruby&gt;咳&lt;rt&gt;せき&lt;/rt&gt;&lt;/ruby&gt;&lt;br&gt;&lt;div class=""audio""&gt;[sound:せき.mp3]&lt;/div&gt;")</f>
        <v>&lt;ruby&gt;咳&lt;rt&gt;せき&lt;/rt&gt;&lt;/ruby&gt;&lt;br&gt;&lt;div class="audio"&gt;[sound:せき.mp3]&lt;/div&gt;</v>
      </c>
      <c r="H5442" s="3" t="str">
        <f t="shared" si="1"/>
        <v>(n): ho</v>
      </c>
      <c r="I5442" s="6" t="s">
        <v>29650</v>
      </c>
      <c r="J5442" s="6" t="s">
        <v>29651</v>
      </c>
      <c r="K5442" s="7">
        <f t="shared" si="2"/>
        <v>0.2323827083</v>
      </c>
    </row>
    <row r="5443">
      <c r="A5443" s="4">
        <v>5443.0</v>
      </c>
      <c r="B5443" s="5" t="s">
        <v>29652</v>
      </c>
      <c r="C5443" s="5" t="s">
        <v>11827</v>
      </c>
      <c r="D5443" s="5" t="s">
        <v>29653</v>
      </c>
      <c r="E5443" s="6" t="s">
        <v>74</v>
      </c>
      <c r="F5443" s="6" t="s">
        <v>10789</v>
      </c>
      <c r="G5443" s="3" t="str">
        <f>IFERROR(__xludf.DUMMYFUNCTION("REGEXREPLACE(
D5443,
""([一-龯々]+)\[([^\]]+)\]"",
""&lt;ruby&gt;$1&lt;rt&gt;$2&lt;/rt&gt;&lt;/ruby&gt;""
)&amp;""&lt;br&gt;&lt;div class=""""audio""""&gt;[sound:""&amp;C5443&amp;"".mp3]&lt;/div&gt;"""),"&lt;ruby&gt;異&lt;rt&gt;い&lt;/rt&gt;&lt;/ruby&gt;&lt;br&gt;&lt;div class=""audio""&gt;[sound:い.mp3]&lt;/div&gt;")</f>
        <v>&lt;ruby&gt;異&lt;rt&gt;い&lt;/rt&gt;&lt;/ruby&gt;&lt;br&gt;&lt;div class="audio"&gt;[sound:い.mp3]&lt;/div&gt;</v>
      </c>
      <c r="H5443" s="3" t="str">
        <f t="shared" si="1"/>
        <v>(n): khác biệt</v>
      </c>
      <c r="I5443" s="6" t="s">
        <v>29654</v>
      </c>
      <c r="J5443" s="6" t="s">
        <v>29655</v>
      </c>
      <c r="K5443" s="7">
        <f t="shared" si="2"/>
        <v>0.1678798327</v>
      </c>
    </row>
    <row r="5444">
      <c r="A5444" s="4">
        <v>5444.0</v>
      </c>
      <c r="B5444" s="5" t="s">
        <v>29656</v>
      </c>
      <c r="C5444" s="5" t="s">
        <v>29657</v>
      </c>
      <c r="D5444" s="5" t="s">
        <v>29656</v>
      </c>
      <c r="E5444" s="6" t="s">
        <v>74</v>
      </c>
      <c r="F5444" s="6" t="s">
        <v>29658</v>
      </c>
      <c r="G5444" s="3" t="str">
        <f>IFERROR(__xludf.DUMMYFUNCTION("REGEXREPLACE(
D5444,
""([一-龯々]+)\[([^\]]+)\]"",
""&lt;ruby&gt;$1&lt;rt&gt;$2&lt;/rt&gt;&lt;/ruby&gt;""
)&amp;""&lt;br&gt;&lt;div class=""""audio""""&gt;[sound:""&amp;C5444&amp;"".mp3]&lt;/div&gt;"""),"ラケット&lt;br&gt;&lt;div class=""audio""&gt;[sound:らけっと.mp3]&lt;/div&gt;")</f>
        <v>ラケット&lt;br&gt;&lt;div class="audio"&gt;[sound:らけっと.mp3]&lt;/div&gt;</v>
      </c>
      <c r="H5444" s="3" t="str">
        <f t="shared" si="1"/>
        <v>(n): vợt</v>
      </c>
      <c r="I5444" s="6" t="s">
        <v>29659</v>
      </c>
      <c r="J5444" s="6" t="s">
        <v>29660</v>
      </c>
      <c r="K5444" s="7">
        <f t="shared" si="2"/>
        <v>0.9470884451</v>
      </c>
    </row>
    <row r="5445">
      <c r="A5445" s="4">
        <v>5445.0</v>
      </c>
      <c r="B5445" s="5" t="s">
        <v>29661</v>
      </c>
      <c r="C5445" s="5" t="s">
        <v>29661</v>
      </c>
      <c r="D5445" s="5" t="s">
        <v>29661</v>
      </c>
      <c r="E5445" s="6" t="s">
        <v>74</v>
      </c>
      <c r="F5445" s="6" t="s">
        <v>29662</v>
      </c>
      <c r="G5445" s="3" t="str">
        <f>IFERROR(__xludf.DUMMYFUNCTION("REGEXREPLACE(
D5445,
""([一-龯々]+)\[([^\]]+)\]"",
""&lt;ruby&gt;$1&lt;rt&gt;$2&lt;/rt&gt;&lt;/ruby&gt;""
)&amp;""&lt;br&gt;&lt;div class=""""audio""""&gt;[sound:""&amp;C5445&amp;"".mp3]&lt;/div&gt;"""),"ろうそく&lt;br&gt;&lt;div class=""audio""&gt;[sound:ろうそく.mp3]&lt;/div&gt;")</f>
        <v>ろうそく&lt;br&gt;&lt;div class="audio"&gt;[sound:ろうそく.mp3]&lt;/div&gt;</v>
      </c>
      <c r="H5445" s="3" t="str">
        <f t="shared" si="1"/>
        <v>(n): nến</v>
      </c>
      <c r="I5445" s="6" t="s">
        <v>29663</v>
      </c>
      <c r="J5445" s="6" t="s">
        <v>29664</v>
      </c>
      <c r="K5445" s="7">
        <f t="shared" si="2"/>
        <v>0.8828464892</v>
      </c>
    </row>
    <row r="5446">
      <c r="A5446" s="4">
        <v>5446.0</v>
      </c>
      <c r="B5446" s="5" t="s">
        <v>29665</v>
      </c>
      <c r="C5446" s="5" t="s">
        <v>29666</v>
      </c>
      <c r="D5446" s="5" t="s">
        <v>29667</v>
      </c>
      <c r="E5446" s="6" t="s">
        <v>74</v>
      </c>
      <c r="F5446" s="6" t="s">
        <v>9841</v>
      </c>
      <c r="G5446" s="3" t="str">
        <f>IFERROR(__xludf.DUMMYFUNCTION("REGEXREPLACE(
D5446,
""([一-龯々]+)\[([^\]]+)\]"",
""&lt;ruby&gt;$1&lt;rt&gt;$2&lt;/rt&gt;&lt;/ruby&gt;""
)&amp;""&lt;br&gt;&lt;div class=""""audio""""&gt;[sound:""&amp;C5446&amp;"".mp3]&lt;/div&gt;"""),"&lt;ruby&gt;乾電池&lt;rt&gt;かんでんち&lt;/rt&gt;&lt;/ruby&gt;&lt;br&gt;&lt;div class=""audio""&gt;[sound:かんでんち.mp3]&lt;/div&gt;")</f>
        <v>&lt;ruby&gt;乾電池&lt;rt&gt;かんでんち&lt;/rt&gt;&lt;/ruby&gt;&lt;br&gt;&lt;div class="audio"&gt;[sound:かんでんち.mp3]&lt;/div&gt;</v>
      </c>
      <c r="H5446" s="3" t="str">
        <f t="shared" si="1"/>
        <v>(n): pin</v>
      </c>
      <c r="I5446" s="6" t="s">
        <v>29668</v>
      </c>
      <c r="J5446" s="6" t="s">
        <v>21768</v>
      </c>
      <c r="K5446" s="7">
        <f t="shared" si="2"/>
        <v>0.5851709504</v>
      </c>
    </row>
    <row r="5447">
      <c r="A5447" s="4">
        <v>5447.0</v>
      </c>
      <c r="B5447" s="5" t="s">
        <v>29669</v>
      </c>
      <c r="C5447" s="5" t="s">
        <v>29670</v>
      </c>
      <c r="D5447" s="5" t="s">
        <v>29671</v>
      </c>
      <c r="E5447" s="6" t="s">
        <v>24</v>
      </c>
      <c r="F5447" s="6" t="s">
        <v>20914</v>
      </c>
      <c r="G5447" s="3" t="str">
        <f>IFERROR(__xludf.DUMMYFUNCTION("REGEXREPLACE(
D5447,
""([一-龯々]+)\[([^\]]+)\]"",
""&lt;ruby&gt;$1&lt;rt&gt;$2&lt;/rt&gt;&lt;/ruby&gt;""
)&amp;""&lt;br&gt;&lt;div class=""""audio""""&gt;[sound:""&amp;C5447&amp;"".mp3]&lt;/div&gt;"""),"&lt;ruby&gt;這&lt;rt&gt;は&lt;/rt&gt;&lt;/ruby&gt;う&lt;br&gt;&lt;div class=""audio""&gt;[sound:はう.mp3]&lt;/div&gt;")</f>
        <v>&lt;ruby&gt;這&lt;rt&gt;は&lt;/rt&gt;&lt;/ruby&gt;う&lt;br&gt;&lt;div class="audio"&gt;[sound:はう.mp3]&lt;/div&gt;</v>
      </c>
      <c r="H5447" s="3" t="str">
        <f t="shared" si="1"/>
        <v>(v): bò</v>
      </c>
      <c r="I5447" s="6" t="s">
        <v>29672</v>
      </c>
      <c r="J5447" s="6" t="s">
        <v>29673</v>
      </c>
      <c r="K5447" s="7">
        <f t="shared" si="2"/>
        <v>0.1281212556</v>
      </c>
    </row>
    <row r="5448">
      <c r="A5448" s="4">
        <v>5448.0</v>
      </c>
      <c r="B5448" s="5" t="s">
        <v>29674</v>
      </c>
      <c r="C5448" s="5" t="s">
        <v>29675</v>
      </c>
      <c r="D5448" s="5" t="s">
        <v>29676</v>
      </c>
      <c r="E5448" s="6" t="s">
        <v>24</v>
      </c>
      <c r="F5448" s="6" t="s">
        <v>29677</v>
      </c>
      <c r="G5448" s="3" t="str">
        <f>IFERROR(__xludf.DUMMYFUNCTION("REGEXREPLACE(
D5448,
""([一-龯々]+)\[([^\]]+)\]"",
""&lt;ruby&gt;$1&lt;rt&gt;$2&lt;/rt&gt;&lt;/ruby&gt;""
)&amp;""&lt;br&gt;&lt;div class=""""audio""""&gt;[sound:""&amp;C5448&amp;"".mp3]&lt;/div&gt;"""),"&lt;ruby&gt;仲直&lt;rt&gt;なかなお&lt;/rt&gt;&lt;/ruby&gt;り&lt;br&gt;&lt;div class=""audio""&gt;[sound:なかなおり.mp3]&lt;/div&gt;")</f>
        <v>&lt;ruby&gt;仲直&lt;rt&gt;なかなお&lt;/rt&gt;&lt;/ruby&gt;り&lt;br&gt;&lt;div class="audio"&gt;[sound:なかなおり.mp3]&lt;/div&gt;</v>
      </c>
      <c r="H5448" s="3" t="str">
        <f t="shared" si="1"/>
        <v>(v): làm hòa</v>
      </c>
      <c r="I5448" s="6" t="s">
        <v>29678</v>
      </c>
      <c r="J5448" s="6" t="s">
        <v>29679</v>
      </c>
      <c r="K5448" s="7">
        <f t="shared" si="2"/>
        <v>0.2662063023</v>
      </c>
    </row>
    <row r="5449">
      <c r="A5449" s="4">
        <v>5449.0</v>
      </c>
      <c r="B5449" s="5" t="s">
        <v>29680</v>
      </c>
      <c r="C5449" s="5" t="s">
        <v>29681</v>
      </c>
      <c r="D5449" s="5" t="s">
        <v>29682</v>
      </c>
      <c r="E5449" s="6" t="s">
        <v>24</v>
      </c>
      <c r="F5449" s="6" t="s">
        <v>29683</v>
      </c>
      <c r="G5449" s="3" t="str">
        <f>IFERROR(__xludf.DUMMYFUNCTION("REGEXREPLACE(
D5449,
""([一-龯々]+)\[([^\]]+)\]"",
""&lt;ruby&gt;$1&lt;rt&gt;$2&lt;/rt&gt;&lt;/ruby&gt;""
)&amp;""&lt;br&gt;&lt;div class=""""audio""""&gt;[sound:""&amp;C5449&amp;"".mp3]&lt;/div&gt;"""),"&lt;ruby&gt;燃&lt;rt&gt;も&lt;/rt&gt;&lt;/ruby&gt;やす&lt;br&gt;&lt;div class=""audio""&gt;[sound:もやす.mp3]&lt;/div&gt;")</f>
        <v>&lt;ruby&gt;燃&lt;rt&gt;も&lt;/rt&gt;&lt;/ruby&gt;やす&lt;br&gt;&lt;div class="audio"&gt;[sound:もやす.mp3]&lt;/div&gt;</v>
      </c>
      <c r="H5449" s="3" t="str">
        <f t="shared" si="1"/>
        <v>(v): đốt</v>
      </c>
      <c r="I5449" s="6" t="s">
        <v>29684</v>
      </c>
      <c r="J5449" s="6" t="s">
        <v>29685</v>
      </c>
      <c r="K5449" s="7">
        <f t="shared" si="2"/>
        <v>0.8131611818</v>
      </c>
    </row>
    <row r="5450">
      <c r="A5450" s="4">
        <v>5450.0</v>
      </c>
      <c r="B5450" s="5" t="s">
        <v>29686</v>
      </c>
      <c r="C5450" s="5" t="s">
        <v>29687</v>
      </c>
      <c r="D5450" s="5" t="s">
        <v>29688</v>
      </c>
      <c r="E5450" s="6" t="s">
        <v>74</v>
      </c>
      <c r="F5450" s="6" t="s">
        <v>10330</v>
      </c>
      <c r="G5450" s="3" t="str">
        <f>IFERROR(__xludf.DUMMYFUNCTION("REGEXREPLACE(
D5450,
""([一-龯々]+)\[([^\]]+)\]"",
""&lt;ruby&gt;$1&lt;rt&gt;$2&lt;/rt&gt;&lt;/ruby&gt;""
)&amp;""&lt;br&gt;&lt;div class=""""audio""""&gt;[sound:""&amp;C5450&amp;"".mp3]&lt;/div&gt;"""),"&lt;ruby&gt;皿&lt;rt&gt;さら&lt;/rt&gt;&lt;/ruby&gt;&lt;br&gt;&lt;div class=""audio""&gt;[sound:さら.mp3]&lt;/div&gt;")</f>
        <v>&lt;ruby&gt;皿&lt;rt&gt;さら&lt;/rt&gt;&lt;/ruby&gt;&lt;br&gt;&lt;div class="audio"&gt;[sound:さら.mp3]&lt;/div&gt;</v>
      </c>
      <c r="H5450" s="3" t="str">
        <f t="shared" si="1"/>
        <v>(n): đĩa</v>
      </c>
      <c r="I5450" s="6" t="s">
        <v>29689</v>
      </c>
      <c r="J5450" s="6" t="s">
        <v>10332</v>
      </c>
      <c r="K5450" s="7">
        <f t="shared" si="2"/>
        <v>0.9697106703</v>
      </c>
    </row>
    <row r="5451">
      <c r="A5451" s="4">
        <v>5451.0</v>
      </c>
      <c r="B5451" s="5" t="s">
        <v>29690</v>
      </c>
      <c r="C5451" s="5" t="s">
        <v>29690</v>
      </c>
      <c r="D5451" s="5" t="s">
        <v>29690</v>
      </c>
      <c r="E5451" s="6" t="s">
        <v>24</v>
      </c>
      <c r="F5451" s="6" t="s">
        <v>29583</v>
      </c>
      <c r="G5451" s="3" t="str">
        <f>IFERROR(__xludf.DUMMYFUNCTION("REGEXREPLACE(
D5451,
""([一-龯々]+)\[([^\]]+)\]"",
""&lt;ruby&gt;$1&lt;rt&gt;$2&lt;/rt&gt;&lt;/ruby&gt;""
)&amp;""&lt;br&gt;&lt;div class=""""audio""""&gt;[sound:""&amp;C5451&amp;"".mp3]&lt;/div&gt;"""),"ちぎる&lt;br&gt;&lt;div class=""audio""&gt;[sound:ちぎる.mp3]&lt;/div&gt;")</f>
        <v>ちぎる&lt;br&gt;&lt;div class="audio"&gt;[sound:ちぎる.mp3]&lt;/div&gt;</v>
      </c>
      <c r="H5451" s="3" t="str">
        <f t="shared" si="1"/>
        <v>(v): xé</v>
      </c>
      <c r="I5451" s="6" t="s">
        <v>29691</v>
      </c>
      <c r="J5451" s="6" t="s">
        <v>29585</v>
      </c>
      <c r="K5451" s="7">
        <f t="shared" si="2"/>
        <v>0.009353705763</v>
      </c>
    </row>
    <row r="5452">
      <c r="A5452" s="4">
        <v>5452.0</v>
      </c>
      <c r="B5452" s="5" t="s">
        <v>29692</v>
      </c>
      <c r="C5452" s="5" t="s">
        <v>29693</v>
      </c>
      <c r="D5452" s="5" t="s">
        <v>29692</v>
      </c>
      <c r="E5452" s="6" t="s">
        <v>74</v>
      </c>
      <c r="F5452" s="6" t="s">
        <v>29694</v>
      </c>
      <c r="G5452" s="3" t="str">
        <f>IFERROR(__xludf.DUMMYFUNCTION("REGEXREPLACE(
D5452,
""([一-龯々]+)\[([^\]]+)\]"",
""&lt;ruby&gt;$1&lt;rt&gt;$2&lt;/rt&gt;&lt;/ruby&gt;""
)&amp;""&lt;br&gt;&lt;div class=""""audio""""&gt;[sound:""&amp;C5452&amp;"".mp3]&lt;/div&gt;"""),"サンダル&lt;br&gt;&lt;div class=""audio""&gt;[sound:さんだる.mp3]&lt;/div&gt;")</f>
        <v>サンダル&lt;br&gt;&lt;div class="audio"&gt;[sound:さんだる.mp3]&lt;/div&gt;</v>
      </c>
      <c r="H5452" s="3" t="str">
        <f t="shared" si="1"/>
        <v>(n): dép quai hậu</v>
      </c>
      <c r="I5452" s="6" t="s">
        <v>29695</v>
      </c>
      <c r="J5452" s="6" t="s">
        <v>29696</v>
      </c>
      <c r="K5452" s="7">
        <f t="shared" si="2"/>
        <v>0.1910671802</v>
      </c>
    </row>
    <row r="5453">
      <c r="A5453" s="4">
        <v>5453.0</v>
      </c>
      <c r="B5453" s="5" t="s">
        <v>29697</v>
      </c>
      <c r="C5453" s="5" t="s">
        <v>29698</v>
      </c>
      <c r="D5453" s="5" t="s">
        <v>29699</v>
      </c>
      <c r="E5453" s="6" t="s">
        <v>74</v>
      </c>
      <c r="F5453" s="6" t="s">
        <v>29700</v>
      </c>
      <c r="G5453" s="3" t="str">
        <f>IFERROR(__xludf.DUMMYFUNCTION("REGEXREPLACE(
D5453,
""([一-龯々]+)\[([^\]]+)\]"",
""&lt;ruby&gt;$1&lt;rt&gt;$2&lt;/rt&gt;&lt;/ruby&gt;""
)&amp;""&lt;br&gt;&lt;div class=""""audio""""&gt;[sound:""&amp;C5453&amp;"".mp3]&lt;/div&gt;"""),"&lt;ruby&gt;迷子&lt;rt&gt;まいご&lt;/rt&gt;&lt;/ruby&gt;&lt;br&gt;&lt;div class=""audio""&gt;[sound:まいご.mp3]&lt;/div&gt;")</f>
        <v>&lt;ruby&gt;迷子&lt;rt&gt;まいご&lt;/rt&gt;&lt;/ruby&gt;&lt;br&gt;&lt;div class="audio"&gt;[sound:まいご.mp3]&lt;/div&gt;</v>
      </c>
      <c r="H5453" s="3" t="str">
        <f t="shared" si="1"/>
        <v>(n): trẻ lạc</v>
      </c>
      <c r="I5453" s="6" t="s">
        <v>29701</v>
      </c>
      <c r="J5453" s="6" t="s">
        <v>29702</v>
      </c>
      <c r="K5453" s="7">
        <f t="shared" si="2"/>
        <v>0.7747078463</v>
      </c>
    </row>
    <row r="5454">
      <c r="A5454" s="4">
        <v>5454.0</v>
      </c>
      <c r="B5454" s="5" t="s">
        <v>29703</v>
      </c>
      <c r="C5454" s="5" t="s">
        <v>28804</v>
      </c>
      <c r="D5454" s="5" t="s">
        <v>29704</v>
      </c>
      <c r="E5454" s="6" t="s">
        <v>74</v>
      </c>
      <c r="F5454" s="6" t="s">
        <v>12122</v>
      </c>
      <c r="G5454" s="3" t="str">
        <f>IFERROR(__xludf.DUMMYFUNCTION("REGEXREPLACE(
D5454,
""([一-龯々]+)\[([^\]]+)\]"",
""&lt;ruby&gt;$1&lt;rt&gt;$2&lt;/rt&gt;&lt;/ruby&gt;""
)&amp;""&lt;br&gt;&lt;div class=""""audio""""&gt;[sound:""&amp;C5454&amp;"".mp3]&lt;/div&gt;"""),"&lt;ruby&gt;皮&lt;rt&gt;かわ&lt;/rt&gt;&lt;/ruby&gt;&lt;br&gt;&lt;div class=""audio""&gt;[sound:かわ.mp3]&lt;/div&gt;")</f>
        <v>&lt;ruby&gt;皮&lt;rt&gt;かわ&lt;/rt&gt;&lt;/ruby&gt;&lt;br&gt;&lt;div class="audio"&gt;[sound:かわ.mp3]&lt;/div&gt;</v>
      </c>
      <c r="H5454" s="3" t="str">
        <f t="shared" si="1"/>
        <v>(n): da</v>
      </c>
      <c r="I5454" s="6" t="s">
        <v>29705</v>
      </c>
      <c r="J5454" s="6" t="s">
        <v>29706</v>
      </c>
      <c r="K5454" s="7">
        <f t="shared" si="2"/>
        <v>0.5701123944</v>
      </c>
    </row>
    <row r="5455">
      <c r="A5455" s="4">
        <v>5455.0</v>
      </c>
      <c r="B5455" s="5" t="s">
        <v>29707</v>
      </c>
      <c r="C5455" s="5" t="s">
        <v>29708</v>
      </c>
      <c r="D5455" s="5" t="s">
        <v>29707</v>
      </c>
      <c r="E5455" s="6" t="s">
        <v>74</v>
      </c>
      <c r="F5455" s="6" t="s">
        <v>29709</v>
      </c>
      <c r="G5455" s="3" t="str">
        <f>IFERROR(__xludf.DUMMYFUNCTION("REGEXREPLACE(
D5455,
""([一-龯々]+)\[([^\]]+)\]"",
""&lt;ruby&gt;$1&lt;rt&gt;$2&lt;/rt&gt;&lt;/ruby&gt;""
)&amp;""&lt;br&gt;&lt;div class=""""audio""""&gt;[sound:""&amp;C5455&amp;"".mp3]&lt;/div&gt;"""),"ペンキ&lt;br&gt;&lt;div class=""audio""&gt;[sound:ぺんき.mp3]&lt;/div&gt;")</f>
        <v>ペンキ&lt;br&gt;&lt;div class="audio"&gt;[sound:ぺんき.mp3]&lt;/div&gt;</v>
      </c>
      <c r="H5455" s="3" t="str">
        <f t="shared" si="1"/>
        <v>(n): sơn</v>
      </c>
      <c r="I5455" s="6" t="s">
        <v>29710</v>
      </c>
      <c r="J5455" s="6" t="s">
        <v>29711</v>
      </c>
      <c r="K5455" s="7">
        <f t="shared" si="2"/>
        <v>0.08466047629</v>
      </c>
    </row>
    <row r="5456">
      <c r="A5456" s="4">
        <v>5456.0</v>
      </c>
      <c r="B5456" s="5" t="s">
        <v>29712</v>
      </c>
      <c r="C5456" s="5" t="s">
        <v>29713</v>
      </c>
      <c r="D5456" s="5" t="s">
        <v>29714</v>
      </c>
      <c r="E5456" s="6" t="s">
        <v>74</v>
      </c>
      <c r="F5456" s="6" t="s">
        <v>15845</v>
      </c>
      <c r="G5456" s="3" t="str">
        <f>IFERROR(__xludf.DUMMYFUNCTION("REGEXREPLACE(
D5456,
""([一-龯々]+)\[([^\]]+)\]"",
""&lt;ruby&gt;$1&lt;rt&gt;$2&lt;/rt&gt;&lt;/ruby&gt;""
)&amp;""&lt;br&gt;&lt;div class=""""audio""""&gt;[sound:""&amp;C5456&amp;"".mp3]&lt;/div&gt;"""),"&lt;ruby&gt;統制&lt;rt&gt;とうせい&lt;/rt&gt;&lt;/ruby&gt;&lt;br&gt;&lt;div class=""audio""&gt;[sound:とうせい.mp3]&lt;/div&gt;")</f>
        <v>&lt;ruby&gt;統制&lt;rt&gt;とうせい&lt;/rt&gt;&lt;/ruby&gt;&lt;br&gt;&lt;div class="audio"&gt;[sound:とうせい.mp3]&lt;/div&gt;</v>
      </c>
      <c r="H5456" s="3" t="str">
        <f t="shared" si="1"/>
        <v>(n): kiểm soát</v>
      </c>
      <c r="I5456" s="6" t="s">
        <v>29715</v>
      </c>
      <c r="J5456" s="6" t="s">
        <v>29716</v>
      </c>
      <c r="K5456" s="7">
        <f t="shared" si="2"/>
        <v>0.03446703271</v>
      </c>
    </row>
    <row r="5457">
      <c r="A5457" s="4">
        <v>5457.0</v>
      </c>
      <c r="B5457" s="5" t="s">
        <v>29717</v>
      </c>
      <c r="C5457" s="5" t="s">
        <v>5465</v>
      </c>
      <c r="D5457" s="5" t="s">
        <v>29718</v>
      </c>
      <c r="E5457" s="6" t="s">
        <v>74</v>
      </c>
      <c r="F5457" s="6" t="s">
        <v>29719</v>
      </c>
      <c r="G5457" s="3" t="str">
        <f>IFERROR(__xludf.DUMMYFUNCTION("REGEXREPLACE(
D5457,
""([一-龯々]+)\[([^\]]+)\]"",
""&lt;ruby&gt;$1&lt;rt&gt;$2&lt;/rt&gt;&lt;/ruby&gt;""
)&amp;""&lt;br&gt;&lt;div class=""""audio""""&gt;[sound:""&amp;C5457&amp;"".mp3]&lt;/div&gt;"""),"&lt;ruby&gt;興業&lt;rt&gt;こうぎょう&lt;/rt&gt;&lt;/ruby&gt;&lt;br&gt;&lt;div class=""audio""&gt;[sound:こうぎょう.mp3]&lt;/div&gt;")</f>
        <v>&lt;ruby&gt;興業&lt;rt&gt;こうぎょう&lt;/rt&gt;&lt;/ruby&gt;&lt;br&gt;&lt;div class="audio"&gt;[sound:こうぎょう.mp3]&lt;/div&gt;</v>
      </c>
      <c r="H5457" s="3" t="str">
        <f t="shared" si="1"/>
        <v>(n): công nghiệp giải trí</v>
      </c>
      <c r="I5457" s="6" t="s">
        <v>29720</v>
      </c>
      <c r="J5457" s="6" t="s">
        <v>29721</v>
      </c>
      <c r="K5457" s="7">
        <f t="shared" si="2"/>
        <v>0.02534193568</v>
      </c>
    </row>
    <row r="5458">
      <c r="A5458" s="4">
        <v>5458.0</v>
      </c>
      <c r="B5458" s="5" t="s">
        <v>29722</v>
      </c>
      <c r="C5458" s="5" t="s">
        <v>514</v>
      </c>
      <c r="D5458" s="5" t="s">
        <v>29723</v>
      </c>
      <c r="E5458" s="6" t="s">
        <v>74</v>
      </c>
      <c r="F5458" s="6" t="s">
        <v>29724</v>
      </c>
      <c r="G5458" s="3" t="str">
        <f>IFERROR(__xludf.DUMMYFUNCTION("REGEXREPLACE(
D5458,
""([一-龯々]+)\[([^\]]+)\]"",
""&lt;ruby&gt;$1&lt;rt&gt;$2&lt;/rt&gt;&lt;/ruby&gt;""
)&amp;""&lt;br&gt;&lt;div class=""""audio""""&gt;[sound:""&amp;C5458&amp;"".mp3]&lt;/div&gt;"""),"&lt;ruby&gt;甲&lt;rt&gt;こう&lt;/rt&gt;&lt;/ruby&gt;&lt;br&gt;&lt;div class=""audio""&gt;[sound:こう.mp3]&lt;/div&gt;")</f>
        <v>&lt;ruby&gt;甲&lt;rt&gt;こう&lt;/rt&gt;&lt;/ruby&gt;&lt;br&gt;&lt;div class="audio"&gt;[sound:こう.mp3]&lt;/div&gt;</v>
      </c>
      <c r="H5458" s="3" t="str">
        <f t="shared" si="1"/>
        <v>(n): giáp</v>
      </c>
      <c r="I5458" s="6" t="s">
        <v>29725</v>
      </c>
      <c r="J5458" s="6" t="s">
        <v>29726</v>
      </c>
      <c r="K5458" s="7">
        <f t="shared" si="2"/>
        <v>0.6161091038</v>
      </c>
    </row>
    <row r="5459">
      <c r="A5459" s="4">
        <v>5459.0</v>
      </c>
      <c r="B5459" s="5" t="s">
        <v>29727</v>
      </c>
      <c r="C5459" s="5" t="s">
        <v>29728</v>
      </c>
      <c r="D5459" s="5" t="s">
        <v>29729</v>
      </c>
      <c r="E5459" s="6" t="s">
        <v>24</v>
      </c>
      <c r="F5459" s="6" t="s">
        <v>29730</v>
      </c>
      <c r="G5459" s="3" t="str">
        <f>IFERROR(__xludf.DUMMYFUNCTION("REGEXREPLACE(
D5459,
""([一-龯々]+)\[([^\]]+)\]"",
""&lt;ruby&gt;$1&lt;rt&gt;$2&lt;/rt&gt;&lt;/ruby&gt;""
)&amp;""&lt;br&gt;&lt;div class=""""audio""""&gt;[sound:""&amp;C5459&amp;"".mp3]&lt;/div&gt;"""),"&lt;ruby&gt;一変&lt;rt&gt;いっぺん&lt;/rt&gt;&lt;/ruby&gt;&lt;br&gt;&lt;div class=""audio""&gt;[sound:いっぺん.mp3]&lt;/div&gt;")</f>
        <v>&lt;ruby&gt;一変&lt;rt&gt;いっぺん&lt;/rt&gt;&lt;/ruby&gt;&lt;br&gt;&lt;div class="audio"&gt;[sound:いっぺん.mp3]&lt;/div&gt;</v>
      </c>
      <c r="H5459" s="3" t="str">
        <f t="shared" si="1"/>
        <v>(v): thay đổi hoàn toàn</v>
      </c>
      <c r="I5459" s="6" t="s">
        <v>29731</v>
      </c>
      <c r="J5459" s="6" t="s">
        <v>29732</v>
      </c>
      <c r="K5459" s="7">
        <f t="shared" si="2"/>
        <v>0.146601074</v>
      </c>
    </row>
    <row r="5460">
      <c r="A5460" s="4">
        <v>5460.0</v>
      </c>
      <c r="B5460" s="5" t="s">
        <v>29733</v>
      </c>
      <c r="C5460" s="5" t="s">
        <v>29734</v>
      </c>
      <c r="D5460" s="5" t="s">
        <v>29735</v>
      </c>
      <c r="E5460" s="6" t="s">
        <v>74</v>
      </c>
      <c r="F5460" s="6" t="s">
        <v>3056</v>
      </c>
      <c r="G5460" s="3" t="str">
        <f>IFERROR(__xludf.DUMMYFUNCTION("REGEXREPLACE(
D5460,
""([一-龯々]+)\[([^\]]+)\]"",
""&lt;ruby&gt;$1&lt;rt&gt;$2&lt;/rt&gt;&lt;/ruby&gt;""
)&amp;""&lt;br&gt;&lt;div class=""""audio""""&gt;[sound:""&amp;C5460&amp;"".mp3]&lt;/div&gt;"""),"&lt;ruby&gt;模索&lt;rt&gt;もさく&lt;/rt&gt;&lt;/ruby&gt;&lt;br&gt;&lt;div class=""audio""&gt;[sound:もさく.mp3]&lt;/div&gt;")</f>
        <v>&lt;ruby&gt;模索&lt;rt&gt;もさく&lt;/rt&gt;&lt;/ruby&gt;&lt;br&gt;&lt;div class="audio"&gt;[sound:もさく.mp3]&lt;/div&gt;</v>
      </c>
      <c r="H5460" s="3" t="str">
        <f t="shared" si="1"/>
        <v>(n): tìm kiếm</v>
      </c>
      <c r="I5460" s="6" t="s">
        <v>29736</v>
      </c>
      <c r="J5460" s="6" t="s">
        <v>29737</v>
      </c>
      <c r="K5460" s="7">
        <f t="shared" si="2"/>
        <v>0.7457028255</v>
      </c>
    </row>
    <row r="5461">
      <c r="A5461" s="4">
        <v>5461.0</v>
      </c>
      <c r="B5461" s="5" t="s">
        <v>29738</v>
      </c>
      <c r="C5461" s="5" t="s">
        <v>29739</v>
      </c>
      <c r="D5461" s="5" t="s">
        <v>29740</v>
      </c>
      <c r="E5461" s="6" t="s">
        <v>74</v>
      </c>
      <c r="F5461" s="6" t="s">
        <v>29741</v>
      </c>
      <c r="G5461" s="3" t="str">
        <f>IFERROR(__xludf.DUMMYFUNCTION("REGEXREPLACE(
D5461,
""([一-龯々]+)\[([^\]]+)\]"",
""&lt;ruby&gt;$1&lt;rt&gt;$2&lt;/rt&gt;&lt;/ruby&gt;""
)&amp;""&lt;br&gt;&lt;div class=""""audio""""&gt;[sound:""&amp;C5461&amp;"".mp3]&lt;/div&gt;"""),"&lt;ruby&gt;用件&lt;rt&gt;ようけん&lt;/rt&gt;&lt;/ruby&gt;&lt;br&gt;&lt;div class=""audio""&gt;[sound:ようけん.mp3]&lt;/div&gt;")</f>
        <v>&lt;ruby&gt;用件&lt;rt&gt;ようけん&lt;/rt&gt;&lt;/ruby&gt;&lt;br&gt;&lt;div class="audio"&gt;[sound:ようけん.mp3]&lt;/div&gt;</v>
      </c>
      <c r="H5461" s="3" t="str">
        <f t="shared" si="1"/>
        <v>(n): nội dung công việc</v>
      </c>
      <c r="I5461" s="6" t="s">
        <v>29742</v>
      </c>
      <c r="J5461" s="6" t="s">
        <v>29743</v>
      </c>
      <c r="K5461" s="7">
        <f t="shared" si="2"/>
        <v>0.5025105865</v>
      </c>
    </row>
    <row r="5462">
      <c r="A5462" s="4">
        <v>5462.0</v>
      </c>
      <c r="B5462" s="5" t="s">
        <v>29744</v>
      </c>
      <c r="C5462" s="5" t="s">
        <v>29745</v>
      </c>
      <c r="D5462" s="5" t="s">
        <v>29746</v>
      </c>
      <c r="E5462" s="6" t="s">
        <v>74</v>
      </c>
      <c r="F5462" s="6" t="s">
        <v>29747</v>
      </c>
      <c r="G5462" s="3" t="str">
        <f>IFERROR(__xludf.DUMMYFUNCTION("REGEXREPLACE(
D5462,
""([一-龯々]+)\[([^\]]+)\]"",
""&lt;ruby&gt;$1&lt;rt&gt;$2&lt;/rt&gt;&lt;/ruby&gt;""
)&amp;""&lt;br&gt;&lt;div class=""""audio""""&gt;[sound:""&amp;C5462&amp;"".mp3]&lt;/div&gt;"""),"&lt;ruby&gt;耳鼻科&lt;rt&gt;じびか&lt;/rt&gt;&lt;/ruby&gt;&lt;br&gt;&lt;div class=""audio""&gt;[sound:じびか.mp3]&lt;/div&gt;")</f>
        <v>&lt;ruby&gt;耳鼻科&lt;rt&gt;じびか&lt;/rt&gt;&lt;/ruby&gt;&lt;br&gt;&lt;div class="audio"&gt;[sound:じびか.mp3]&lt;/div&gt;</v>
      </c>
      <c r="H5462" s="3" t="str">
        <f t="shared" si="1"/>
        <v>(n): khoa tai mũi họng</v>
      </c>
      <c r="I5462" s="6" t="s">
        <v>29748</v>
      </c>
      <c r="J5462" s="6" t="s">
        <v>29749</v>
      </c>
      <c r="K5462" s="7">
        <f t="shared" si="2"/>
        <v>0.9003210646</v>
      </c>
    </row>
    <row r="5463">
      <c r="A5463" s="4">
        <v>5463.0</v>
      </c>
      <c r="B5463" s="5" t="s">
        <v>29750</v>
      </c>
      <c r="C5463" s="5" t="s">
        <v>29751</v>
      </c>
      <c r="D5463" s="5" t="s">
        <v>29752</v>
      </c>
      <c r="E5463" s="6" t="s">
        <v>74</v>
      </c>
      <c r="F5463" s="6" t="s">
        <v>29753</v>
      </c>
      <c r="G5463" s="3" t="str">
        <f>IFERROR(__xludf.DUMMYFUNCTION("REGEXREPLACE(
D5463,
""([一-龯々]+)\[([^\]]+)\]"",
""&lt;ruby&gt;$1&lt;rt&gt;$2&lt;/rt&gt;&lt;/ruby&gt;""
)&amp;""&lt;br&gt;&lt;div class=""""audio""""&gt;[sound:""&amp;C5463&amp;"".mp3]&lt;/div&gt;"""),"&lt;ruby&gt;英字&lt;rt&gt;えいじ&lt;/rt&gt;&lt;/ruby&gt;&lt;br&gt;&lt;div class=""audio""&gt;[sound:えいじ.mp3]&lt;/div&gt;")</f>
        <v>&lt;ruby&gt;英字&lt;rt&gt;えいじ&lt;/rt&gt;&lt;/ruby&gt;&lt;br&gt;&lt;div class="audio"&gt;[sound:えいじ.mp3]&lt;/div&gt;</v>
      </c>
      <c r="H5463" s="3" t="str">
        <f t="shared" si="1"/>
        <v>(n): chữ cái tiếng anh</v>
      </c>
      <c r="I5463" s="6" t="s">
        <v>29754</v>
      </c>
      <c r="J5463" s="6" t="s">
        <v>29755</v>
      </c>
      <c r="K5463" s="7">
        <f t="shared" si="2"/>
        <v>0.4552794661</v>
      </c>
    </row>
    <row r="5464">
      <c r="A5464" s="4">
        <v>5464.0</v>
      </c>
      <c r="B5464" s="5" t="s">
        <v>29756</v>
      </c>
      <c r="C5464" s="5" t="s">
        <v>29756</v>
      </c>
      <c r="D5464" s="5" t="s">
        <v>29756</v>
      </c>
      <c r="E5464" s="6" t="s">
        <v>24</v>
      </c>
      <c r="F5464" s="6" t="s">
        <v>29757</v>
      </c>
      <c r="G5464" s="3" t="str">
        <f>IFERROR(__xludf.DUMMYFUNCTION("REGEXREPLACE(
D5464,
""([一-龯々]+)\[([^\]]+)\]"",
""&lt;ruby&gt;$1&lt;rt&gt;$2&lt;/rt&gt;&lt;/ruby&gt;""
)&amp;""&lt;br&gt;&lt;div class=""""audio""""&gt;[sound:""&amp;C5464&amp;"".mp3]&lt;/div&gt;"""),"こじれる&lt;br&gt;&lt;div class=""audio""&gt;[sound:こじれる.mp3]&lt;/div&gt;")</f>
        <v>こじれる&lt;br&gt;&lt;div class="audio"&gt;[sound:こじれる.mp3]&lt;/div&gt;</v>
      </c>
      <c r="H5464" s="3" t="str">
        <f t="shared" si="1"/>
        <v>(v): trở nên phức tạp</v>
      </c>
      <c r="I5464" s="6" t="s">
        <v>29758</v>
      </c>
      <c r="J5464" s="6" t="s">
        <v>29759</v>
      </c>
      <c r="K5464" s="7">
        <f t="shared" si="2"/>
        <v>0.4500679952</v>
      </c>
    </row>
    <row r="5465">
      <c r="A5465" s="4">
        <v>5465.0</v>
      </c>
      <c r="B5465" s="5" t="s">
        <v>29760</v>
      </c>
      <c r="C5465" s="5" t="s">
        <v>29761</v>
      </c>
      <c r="D5465" s="5" t="s">
        <v>29762</v>
      </c>
      <c r="E5465" s="6" t="s">
        <v>74</v>
      </c>
      <c r="F5465" s="6" t="s">
        <v>29763</v>
      </c>
      <c r="G5465" s="3" t="str">
        <f>IFERROR(__xludf.DUMMYFUNCTION("REGEXREPLACE(
D5465,
""([一-龯々]+)\[([^\]]+)\]"",
""&lt;ruby&gt;$1&lt;rt&gt;$2&lt;/rt&gt;&lt;/ruby&gt;""
)&amp;""&lt;br&gt;&lt;div class=""""audio""""&gt;[sound:""&amp;C5465&amp;"".mp3]&lt;/div&gt;"""),"&lt;ruby&gt;議事堂&lt;rt&gt;ぎじどう&lt;/rt&gt;&lt;/ruby&gt;&lt;br&gt;&lt;div class=""audio""&gt;[sound:ぎじどう.mp3]&lt;/div&gt;")</f>
        <v>&lt;ruby&gt;議事堂&lt;rt&gt;ぎじどう&lt;/rt&gt;&lt;/ruby&gt;&lt;br&gt;&lt;div class="audio"&gt;[sound:ぎじどう.mp3]&lt;/div&gt;</v>
      </c>
      <c r="H5465" s="3" t="str">
        <f t="shared" si="1"/>
        <v>(n): tòa nhà quốc hội</v>
      </c>
      <c r="I5465" s="6" t="s">
        <v>29764</v>
      </c>
      <c r="J5465" s="6" t="s">
        <v>29765</v>
      </c>
      <c r="K5465" s="7">
        <f t="shared" si="2"/>
        <v>0.01593690516</v>
      </c>
    </row>
    <row r="5466">
      <c r="A5466" s="4">
        <v>5466.0</v>
      </c>
      <c r="B5466" s="5" t="s">
        <v>29766</v>
      </c>
      <c r="C5466" s="5" t="s">
        <v>29767</v>
      </c>
      <c r="D5466" s="5" t="s">
        <v>29768</v>
      </c>
      <c r="E5466" s="6" t="s">
        <v>74</v>
      </c>
      <c r="F5466" s="6" t="s">
        <v>29769</v>
      </c>
      <c r="G5466" s="3" t="str">
        <f>IFERROR(__xludf.DUMMYFUNCTION("REGEXREPLACE(
D5466,
""([一-龯々]+)\[([^\]]+)\]"",
""&lt;ruby&gt;$1&lt;rt&gt;$2&lt;/rt&gt;&lt;/ruby&gt;""
)&amp;""&lt;br&gt;&lt;div class=""""audio""""&gt;[sound:""&amp;C5466&amp;"".mp3]&lt;/div&gt;"""),"&lt;ruby&gt;身&lt;rt&gt;み&lt;/rt&gt;&lt;/ruby&gt;の&lt;ruby&gt;回&lt;rt&gt;まわ&lt;/rt&gt;&lt;/ruby&gt;り&lt;br&gt;&lt;div class=""audio""&gt;[sound:みのまわり.mp3]&lt;/div&gt;")</f>
        <v>&lt;ruby&gt;身&lt;rt&gt;み&lt;/rt&gt;&lt;/ruby&gt;の&lt;ruby&gt;回&lt;rt&gt;まわ&lt;/rt&gt;&lt;/ruby&gt;り&lt;br&gt;&lt;div class="audio"&gt;[sound:みのまわり.mp3]&lt;/div&gt;</v>
      </c>
      <c r="H5466" s="3" t="str">
        <f t="shared" si="1"/>
        <v>(n): vật dụng cá nhân</v>
      </c>
      <c r="I5466" s="6" t="s">
        <v>29770</v>
      </c>
      <c r="J5466" s="6" t="s">
        <v>29771</v>
      </c>
      <c r="K5466" s="7">
        <f t="shared" si="2"/>
        <v>0.2194754274</v>
      </c>
    </row>
    <row r="5467">
      <c r="A5467" s="4">
        <v>5467.0</v>
      </c>
      <c r="B5467" s="5" t="s">
        <v>29772</v>
      </c>
      <c r="C5467" s="5" t="s">
        <v>29773</v>
      </c>
      <c r="D5467" s="5" t="s">
        <v>29774</v>
      </c>
      <c r="E5467" s="6" t="s">
        <v>74</v>
      </c>
      <c r="F5467" s="6" t="s">
        <v>29775</v>
      </c>
      <c r="G5467" s="3" t="str">
        <f>IFERROR(__xludf.DUMMYFUNCTION("REGEXREPLACE(
D5467,
""([一-龯々]+)\[([^\]]+)\]"",
""&lt;ruby&gt;$1&lt;rt&gt;$2&lt;/rt&gt;&lt;/ruby&gt;""
)&amp;""&lt;br&gt;&lt;div class=""""audio""""&gt;[sound:""&amp;C5467&amp;"".mp3]&lt;/div&gt;"""),"&lt;ruby&gt;使用人&lt;rt&gt;しようにん&lt;/rt&gt;&lt;/ruby&gt;&lt;br&gt;&lt;div class=""audio""&gt;[sound:しようにん.mp3]&lt;/div&gt;")</f>
        <v>&lt;ruby&gt;使用人&lt;rt&gt;しようにん&lt;/rt&gt;&lt;/ruby&gt;&lt;br&gt;&lt;div class="audio"&gt;[sound:しようにん.mp3]&lt;/div&gt;</v>
      </c>
      <c r="H5467" s="3" t="str">
        <f t="shared" si="1"/>
        <v>(n): người giúp việc</v>
      </c>
      <c r="I5467" s="6" t="s">
        <v>29776</v>
      </c>
      <c r="J5467" s="6" t="s">
        <v>29777</v>
      </c>
      <c r="K5467" s="7">
        <f t="shared" si="2"/>
        <v>0.02639063037</v>
      </c>
    </row>
    <row r="5468">
      <c r="A5468" s="4">
        <v>5468.0</v>
      </c>
      <c r="B5468" s="5" t="s">
        <v>29778</v>
      </c>
      <c r="C5468" s="5" t="s">
        <v>29779</v>
      </c>
      <c r="D5468" s="5" t="s">
        <v>29780</v>
      </c>
      <c r="E5468" s="6" t="s">
        <v>74</v>
      </c>
      <c r="F5468" s="6" t="s">
        <v>29781</v>
      </c>
      <c r="G5468" s="3" t="str">
        <f>IFERROR(__xludf.DUMMYFUNCTION("REGEXREPLACE(
D5468,
""([一-龯々]+)\[([^\]]+)\]"",
""&lt;ruby&gt;$1&lt;rt&gt;$2&lt;/rt&gt;&lt;/ruby&gt;""
)&amp;""&lt;br&gt;&lt;div class=""""audio""""&gt;[sound:""&amp;C5468&amp;"".mp3]&lt;/div&gt;"""),"&lt;ruby&gt;兼業&lt;rt&gt;けんぎょう&lt;/rt&gt;&lt;/ruby&gt;&lt;br&gt;&lt;div class=""audio""&gt;[sound:けんぎょう.mp3]&lt;/div&gt;")</f>
        <v>&lt;ruby&gt;兼業&lt;rt&gt;けんぎょう&lt;/rt&gt;&lt;/ruby&gt;&lt;br&gt;&lt;div class="audio"&gt;[sound:けんぎょう.mp3]&lt;/div&gt;</v>
      </c>
      <c r="H5468" s="3" t="str">
        <f t="shared" si="1"/>
        <v>(n): nghề kiêm nhiệm</v>
      </c>
      <c r="I5468" s="6" t="s">
        <v>29782</v>
      </c>
      <c r="J5468" s="6" t="s">
        <v>29783</v>
      </c>
      <c r="K5468" s="7">
        <f t="shared" si="2"/>
        <v>0.03029891573</v>
      </c>
    </row>
    <row r="5469">
      <c r="A5469" s="4">
        <v>5469.0</v>
      </c>
      <c r="B5469" s="5" t="s">
        <v>29784</v>
      </c>
      <c r="C5469" s="5" t="s">
        <v>29785</v>
      </c>
      <c r="D5469" s="5" t="s">
        <v>29786</v>
      </c>
      <c r="E5469" s="6" t="s">
        <v>74</v>
      </c>
      <c r="F5469" s="6" t="s">
        <v>29787</v>
      </c>
      <c r="G5469" s="3" t="str">
        <f>IFERROR(__xludf.DUMMYFUNCTION("REGEXREPLACE(
D5469,
""([一-龯々]+)\[([^\]]+)\]"",
""&lt;ruby&gt;$1&lt;rt&gt;$2&lt;/rt&gt;&lt;/ruby&gt;""
)&amp;""&lt;br&gt;&lt;div class=""""audio""""&gt;[sound:""&amp;C5469&amp;"".mp3]&lt;/div&gt;"""),"&lt;ruby&gt;吊&lt;rt&gt;つ&lt;/rt&gt;&lt;/ruby&gt;り&lt;ruby&gt;革&lt;rt&gt;かわ&lt;/rt&gt;&lt;/ruby&gt;&lt;br&gt;&lt;div class=""audio""&gt;[sound:つりかわ.mp3]&lt;/div&gt;")</f>
        <v>&lt;ruby&gt;吊&lt;rt&gt;つ&lt;/rt&gt;&lt;/ruby&gt;り&lt;ruby&gt;革&lt;rt&gt;かわ&lt;/rt&gt;&lt;/ruby&gt;&lt;br&gt;&lt;div class="audio"&gt;[sound:つりかわ.mp3]&lt;/div&gt;</v>
      </c>
      <c r="H5469" s="3" t="str">
        <f t="shared" si="1"/>
        <v>(n): tay cầm trên xe</v>
      </c>
      <c r="I5469" s="6" t="s">
        <v>29788</v>
      </c>
      <c r="J5469" s="6" t="s">
        <v>29789</v>
      </c>
      <c r="K5469" s="7">
        <f t="shared" si="2"/>
        <v>0.2401976136</v>
      </c>
    </row>
    <row r="5470">
      <c r="A5470" s="4">
        <v>5470.0</v>
      </c>
      <c r="B5470" s="5" t="s">
        <v>29790</v>
      </c>
      <c r="C5470" s="5" t="s">
        <v>29791</v>
      </c>
      <c r="D5470" s="5" t="s">
        <v>29792</v>
      </c>
      <c r="E5470" s="6" t="s">
        <v>74</v>
      </c>
      <c r="F5470" s="6" t="s">
        <v>29793</v>
      </c>
      <c r="G5470" s="3" t="str">
        <f>IFERROR(__xludf.DUMMYFUNCTION("REGEXREPLACE(
D5470,
""([一-龯々]+)\[([^\]]+)\]"",
""&lt;ruby&gt;$1&lt;rt&gt;$2&lt;/rt&gt;&lt;/ruby&gt;""
)&amp;""&lt;br&gt;&lt;div class=""""audio""""&gt;[sound:""&amp;C5470&amp;"".mp3]&lt;/div&gt;"""),"&lt;ruby&gt;失調&lt;rt&gt;しっちょう&lt;/rt&gt;&lt;/ruby&gt;&lt;br&gt;&lt;div class=""audio""&gt;[sound:しっちょう.mp3]&lt;/div&gt;")</f>
        <v>&lt;ruby&gt;失調&lt;rt&gt;しっちょう&lt;/rt&gt;&lt;/ruby&gt;&lt;br&gt;&lt;div class="audio"&gt;[sound:しっちょう.mp3]&lt;/div&gt;</v>
      </c>
      <c r="H5470" s="3" t="str">
        <f t="shared" si="1"/>
        <v>(n): sự mất điều hòa</v>
      </c>
      <c r="I5470" s="6" t="s">
        <v>29794</v>
      </c>
      <c r="J5470" s="6" t="s">
        <v>29795</v>
      </c>
      <c r="K5470" s="7">
        <f t="shared" si="2"/>
        <v>0.5314816545</v>
      </c>
    </row>
    <row r="5471">
      <c r="A5471" s="4">
        <v>5471.0</v>
      </c>
      <c r="B5471" s="5" t="s">
        <v>29796</v>
      </c>
      <c r="C5471" s="5" t="s">
        <v>29797</v>
      </c>
      <c r="D5471" s="5" t="s">
        <v>29798</v>
      </c>
      <c r="E5471" s="6" t="s">
        <v>11</v>
      </c>
      <c r="F5471" s="6" t="s">
        <v>29799</v>
      </c>
      <c r="G5471" s="3" t="str">
        <f>IFERROR(__xludf.DUMMYFUNCTION("REGEXREPLACE(
D5471,
""([一-龯々]+)\[([^\]]+)\]"",
""&lt;ruby&gt;$1&lt;rt&gt;$2&lt;/rt&gt;&lt;/ruby&gt;""
)&amp;""&lt;br&gt;&lt;div class=""""audio""""&gt;[sound:""&amp;C5471&amp;"".mp3]&lt;/div&gt;"""),"&lt;ruby&gt;無茶苦茶&lt;rt&gt;むちゃくちゃ&lt;/rt&gt;&lt;/ruby&gt;&lt;br&gt;&lt;div class=""audio""&gt;[sound:むちゃくちゃ.mp3]&lt;/div&gt;")</f>
        <v>&lt;ruby&gt;無茶苦茶&lt;rt&gt;むちゃくちゃ&lt;/rt&gt;&lt;/ruby&gt;&lt;br&gt;&lt;div class="audio"&gt;[sound:むちゃくちゃ.mp3]&lt;/div&gt;</v>
      </c>
      <c r="H5471" s="3" t="str">
        <f t="shared" si="1"/>
        <v>(adj): bừa bãi</v>
      </c>
      <c r="I5471" s="6" t="s">
        <v>29800</v>
      </c>
      <c r="J5471" s="6" t="s">
        <v>29801</v>
      </c>
      <c r="K5471" s="7">
        <f t="shared" si="2"/>
        <v>0.6744369509</v>
      </c>
    </row>
    <row r="5472">
      <c r="A5472" s="4">
        <v>5472.0</v>
      </c>
      <c r="B5472" s="5" t="s">
        <v>29802</v>
      </c>
      <c r="C5472" s="5" t="s">
        <v>19847</v>
      </c>
      <c r="D5472" s="5" t="s">
        <v>29803</v>
      </c>
      <c r="E5472" s="6" t="s">
        <v>85</v>
      </c>
      <c r="F5472" s="6" t="s">
        <v>29804</v>
      </c>
      <c r="G5472" s="3" t="str">
        <f>IFERROR(__xludf.DUMMYFUNCTION("REGEXREPLACE(
D5472,
""([一-龯々]+)\[([^\]]+)\]"",
""&lt;ruby&gt;$1&lt;rt&gt;$2&lt;/rt&gt;&lt;/ruby&gt;""
)&amp;""&lt;br&gt;&lt;div class=""""audio""""&gt;[sound:""&amp;C5472&amp;"".mp3]&lt;/div&gt;"""),"&lt;ruby&gt;終始&lt;rt&gt;しゅうし&lt;/rt&gt;&lt;/ruby&gt;&lt;br&gt;&lt;div class=""audio""&gt;[sound:しゅうし.mp3]&lt;/div&gt;")</f>
        <v>&lt;ruby&gt;終始&lt;rt&gt;しゅうし&lt;/rt&gt;&lt;/ruby&gt;&lt;br&gt;&lt;div class="audio"&gt;[sound:しゅうし.mp3]&lt;/div&gt;</v>
      </c>
      <c r="H5472" s="3" t="str">
        <f t="shared" si="1"/>
        <v>(adv): từ đầu đến cuối</v>
      </c>
      <c r="I5472" s="6" t="s">
        <v>29805</v>
      </c>
      <c r="J5472" s="6" t="s">
        <v>29806</v>
      </c>
      <c r="K5472" s="7">
        <f t="shared" si="2"/>
        <v>0.2357210314</v>
      </c>
    </row>
    <row r="5473">
      <c r="A5473" s="4">
        <v>5473.0</v>
      </c>
      <c r="B5473" s="5" t="s">
        <v>29807</v>
      </c>
      <c r="C5473" s="5" t="s">
        <v>29808</v>
      </c>
      <c r="D5473" s="5" t="s">
        <v>29809</v>
      </c>
      <c r="E5473" s="6" t="s">
        <v>74</v>
      </c>
      <c r="F5473" s="6" t="s">
        <v>29810</v>
      </c>
      <c r="G5473" s="3" t="str">
        <f>IFERROR(__xludf.DUMMYFUNCTION("REGEXREPLACE(
D5473,
""([一-龯々]+)\[([^\]]+)\]"",
""&lt;ruby&gt;$1&lt;rt&gt;$2&lt;/rt&gt;&lt;/ruby&gt;""
)&amp;""&lt;br&gt;&lt;div class=""""audio""""&gt;[sound:""&amp;C5473&amp;"".mp3]&lt;/div&gt;"""),"&lt;ruby&gt;警部&lt;rt&gt;けいぶ&lt;/rt&gt;&lt;/ruby&gt;&lt;br&gt;&lt;div class=""audio""&gt;[sound:けいぶ.mp3]&lt;/div&gt;")</f>
        <v>&lt;ruby&gt;警部&lt;rt&gt;けいぶ&lt;/rt&gt;&lt;/ruby&gt;&lt;br&gt;&lt;div class="audio"&gt;[sound:けいぶ.mp3]&lt;/div&gt;</v>
      </c>
      <c r="H5473" s="3" t="str">
        <f t="shared" si="1"/>
        <v>(n): cảnh sát trưởng</v>
      </c>
      <c r="I5473" s="6" t="s">
        <v>29811</v>
      </c>
      <c r="J5473" s="6" t="s">
        <v>29812</v>
      </c>
      <c r="K5473" s="7">
        <f t="shared" si="2"/>
        <v>0.02638975705</v>
      </c>
    </row>
    <row r="5474">
      <c r="A5474" s="4">
        <v>5474.0</v>
      </c>
      <c r="B5474" s="5" t="s">
        <v>29813</v>
      </c>
      <c r="C5474" s="5" t="s">
        <v>29814</v>
      </c>
      <c r="D5474" s="5" t="s">
        <v>29815</v>
      </c>
      <c r="E5474" s="6" t="s">
        <v>74</v>
      </c>
      <c r="F5474" s="6" t="s">
        <v>29816</v>
      </c>
      <c r="G5474" s="3" t="str">
        <f>IFERROR(__xludf.DUMMYFUNCTION("REGEXREPLACE(
D5474,
""([一-龯々]+)\[([^\]]+)\]"",
""&lt;ruby&gt;$1&lt;rt&gt;$2&lt;/rt&gt;&lt;/ruby&gt;""
)&amp;""&lt;br&gt;&lt;div class=""""audio""""&gt;[sound:""&amp;C5474&amp;"".mp3]&lt;/div&gt;"""),"&lt;ruby&gt;全盛&lt;rt&gt;ぜんせい&lt;/rt&gt;&lt;/ruby&gt;&lt;br&gt;&lt;div class=""audio""&gt;[sound:ぜんせい.mp3]&lt;/div&gt;")</f>
        <v>&lt;ruby&gt;全盛&lt;rt&gt;ぜんせい&lt;/rt&gt;&lt;/ruby&gt;&lt;br&gt;&lt;div class="audio"&gt;[sound:ぜんせい.mp3]&lt;/div&gt;</v>
      </c>
      <c r="H5474" s="3" t="str">
        <f t="shared" si="1"/>
        <v>(n): thời cực thịnh</v>
      </c>
      <c r="I5474" s="6" t="s">
        <v>29817</v>
      </c>
      <c r="J5474" s="6" t="s">
        <v>29818</v>
      </c>
      <c r="K5474" s="7">
        <f t="shared" si="2"/>
        <v>0.4845208802</v>
      </c>
    </row>
    <row r="5475">
      <c r="A5475" s="4">
        <v>5475.0</v>
      </c>
      <c r="B5475" s="5" t="s">
        <v>29819</v>
      </c>
      <c r="C5475" s="5" t="s">
        <v>21500</v>
      </c>
      <c r="D5475" s="5" t="s">
        <v>29820</v>
      </c>
      <c r="E5475" s="6" t="s">
        <v>74</v>
      </c>
      <c r="F5475" s="6" t="s">
        <v>29821</v>
      </c>
      <c r="G5475" s="3" t="str">
        <f>IFERROR(__xludf.DUMMYFUNCTION("REGEXREPLACE(
D5475,
""([一-龯々]+)\[([^\]]+)\]"",
""&lt;ruby&gt;$1&lt;rt&gt;$2&lt;/rt&gt;&lt;/ruby&gt;""
)&amp;""&lt;br&gt;&lt;div class=""""audio""""&gt;[sound:""&amp;C5475&amp;"".mp3]&lt;/div&gt;"""),"&lt;ruby&gt;好況&lt;rt&gt;こうきょう&lt;/rt&gt;&lt;/ruby&gt;&lt;br&gt;&lt;div class=""audio""&gt;[sound:こうきょう.mp3]&lt;/div&gt;")</f>
        <v>&lt;ruby&gt;好況&lt;rt&gt;こうきょう&lt;/rt&gt;&lt;/ruby&gt;&lt;br&gt;&lt;div class="audio"&gt;[sound:こうきょう.mp3]&lt;/div&gt;</v>
      </c>
      <c r="H5475" s="3" t="str">
        <f t="shared" si="1"/>
        <v>(n): sự thịnh vượng</v>
      </c>
      <c r="I5475" s="6" t="s">
        <v>29822</v>
      </c>
      <c r="J5475" s="6" t="s">
        <v>29823</v>
      </c>
      <c r="K5475" s="7">
        <f t="shared" si="2"/>
        <v>0.4733763501</v>
      </c>
    </row>
    <row r="5476">
      <c r="A5476" s="4">
        <v>5476.0</v>
      </c>
      <c r="B5476" s="5" t="s">
        <v>29824</v>
      </c>
      <c r="C5476" s="5" t="s">
        <v>29825</v>
      </c>
      <c r="D5476" s="5" t="s">
        <v>29826</v>
      </c>
      <c r="E5476" s="6" t="s">
        <v>24</v>
      </c>
      <c r="F5476" s="6" t="s">
        <v>29827</v>
      </c>
      <c r="G5476" s="3" t="str">
        <f>IFERROR(__xludf.DUMMYFUNCTION("REGEXREPLACE(
D5476,
""([一-龯々]+)\[([^\]]+)\]"",
""&lt;ruby&gt;$1&lt;rt&gt;$2&lt;/rt&gt;&lt;/ruby&gt;""
)&amp;""&lt;br&gt;&lt;div class=""""audio""""&gt;[sound:""&amp;C5476&amp;"".mp3]&lt;/div&gt;"""),"&lt;ruby&gt;歪&lt;rt&gt;ゆが&lt;/rt&gt;&lt;/ruby&gt;む&lt;br&gt;&lt;div class=""audio""&gt;[sound:ゆがむ.mp3]&lt;/div&gt;")</f>
        <v>&lt;ruby&gt;歪&lt;rt&gt;ゆが&lt;/rt&gt;&lt;/ruby&gt;む&lt;br&gt;&lt;div class="audio"&gt;[sound:ゆがむ.mp3]&lt;/div&gt;</v>
      </c>
      <c r="H5476" s="3" t="str">
        <f t="shared" si="1"/>
        <v>(v): bị méo</v>
      </c>
      <c r="I5476" s="6" t="s">
        <v>29828</v>
      </c>
      <c r="J5476" s="6" t="s">
        <v>29829</v>
      </c>
      <c r="K5476" s="7">
        <f t="shared" si="2"/>
        <v>0.2472253675</v>
      </c>
    </row>
    <row r="5477">
      <c r="A5477" s="4">
        <v>5477.0</v>
      </c>
      <c r="B5477" s="5" t="s">
        <v>29830</v>
      </c>
      <c r="C5477" s="5" t="s">
        <v>29831</v>
      </c>
      <c r="D5477" s="5" t="s">
        <v>29832</v>
      </c>
      <c r="E5477" s="6" t="s">
        <v>74</v>
      </c>
      <c r="F5477" s="6" t="s">
        <v>29833</v>
      </c>
      <c r="G5477" s="3" t="str">
        <f>IFERROR(__xludf.DUMMYFUNCTION("REGEXREPLACE(
D5477,
""([一-龯々]+)\[([^\]]+)\]"",
""&lt;ruby&gt;$1&lt;rt&gt;$2&lt;/rt&gt;&lt;/ruby&gt;""
)&amp;""&lt;br&gt;&lt;div class=""""audio""""&gt;[sound:""&amp;C5477&amp;"".mp3]&lt;/div&gt;"""),"&lt;ruby&gt;行進&lt;rt&gt;こうしん&lt;/rt&gt;&lt;/ruby&gt;&lt;br&gt;&lt;div class=""audio""&gt;[sound:こうしん.mp3]&lt;/div&gt;")</f>
        <v>&lt;ruby&gt;行進&lt;rt&gt;こうしん&lt;/rt&gt;&lt;/ruby&gt;&lt;br&gt;&lt;div class="audio"&gt;[sound:こうしん.mp3]&lt;/div&gt;</v>
      </c>
      <c r="H5477" s="3" t="str">
        <f t="shared" si="1"/>
        <v>(n): cuộc diễu hành</v>
      </c>
      <c r="I5477" s="6" t="s">
        <v>29834</v>
      </c>
      <c r="J5477" s="6" t="s">
        <v>29835</v>
      </c>
      <c r="K5477" s="7">
        <f t="shared" si="2"/>
        <v>0.5022771329</v>
      </c>
    </row>
    <row r="5478">
      <c r="A5478" s="4">
        <v>5478.0</v>
      </c>
      <c r="B5478" s="5" t="s">
        <v>29836</v>
      </c>
      <c r="C5478" s="5" t="s">
        <v>29837</v>
      </c>
      <c r="D5478" s="5" t="s">
        <v>29838</v>
      </c>
      <c r="E5478" s="6" t="s">
        <v>74</v>
      </c>
      <c r="F5478" s="6" t="s">
        <v>29839</v>
      </c>
      <c r="G5478" s="3" t="str">
        <f>IFERROR(__xludf.DUMMYFUNCTION("REGEXREPLACE(
D5478,
""([一-龯々]+)\[([^\]]+)\]"",
""&lt;ruby&gt;$1&lt;rt&gt;$2&lt;/rt&gt;&lt;/ruby&gt;""
)&amp;""&lt;br&gt;&lt;div class=""""audio""""&gt;[sound:""&amp;C5478&amp;"".mp3]&lt;/div&gt;"""),"&lt;ruby&gt;購読&lt;rt&gt;こうどく&lt;/rt&gt;&lt;/ruby&gt;&lt;br&gt;&lt;div class=""audio""&gt;[sound:こうどく.mp3]&lt;/div&gt;")</f>
        <v>&lt;ruby&gt;購読&lt;rt&gt;こうどく&lt;/rt&gt;&lt;/ruby&gt;&lt;br&gt;&lt;div class="audio"&gt;[sound:こうどく.mp3]&lt;/div&gt;</v>
      </c>
      <c r="H5478" s="3" t="str">
        <f t="shared" si="1"/>
        <v>(n): sự đặt mua báo</v>
      </c>
      <c r="I5478" s="6" t="s">
        <v>29840</v>
      </c>
      <c r="J5478" s="6" t="s">
        <v>29841</v>
      </c>
      <c r="K5478" s="7">
        <f t="shared" si="2"/>
        <v>0.2448154819</v>
      </c>
    </row>
    <row r="5479">
      <c r="A5479" s="4">
        <v>5479.0</v>
      </c>
      <c r="B5479" s="5" t="s">
        <v>29842</v>
      </c>
      <c r="C5479" s="5" t="s">
        <v>29843</v>
      </c>
      <c r="D5479" s="5" t="s">
        <v>29844</v>
      </c>
      <c r="E5479" s="6" t="s">
        <v>74</v>
      </c>
      <c r="F5479" s="6" t="s">
        <v>29845</v>
      </c>
      <c r="G5479" s="3" t="str">
        <f>IFERROR(__xludf.DUMMYFUNCTION("REGEXREPLACE(
D5479,
""([一-龯々]+)\[([^\]]+)\]"",
""&lt;ruby&gt;$1&lt;rt&gt;$2&lt;/rt&gt;&lt;/ruby&gt;""
)&amp;""&lt;br&gt;&lt;div class=""""audio""""&gt;[sound:""&amp;C5479&amp;"".mp3]&lt;/div&gt;"""),"お&lt;ruby&gt;供&lt;rt&gt;とも&lt;/rt&gt;&lt;/ruby&gt;&lt;br&gt;&lt;div class=""audio""&gt;[sound:おとも.mp3]&lt;/div&gt;")</f>
        <v>お&lt;ruby&gt;供&lt;rt&gt;とも&lt;/rt&gt;&lt;/ruby&gt;&lt;br&gt;&lt;div class="audio"&gt;[sound:おとも.mp3]&lt;/div&gt;</v>
      </c>
      <c r="H5479" s="3" t="str">
        <f t="shared" si="1"/>
        <v>(n): người đi cùng</v>
      </c>
      <c r="I5479" s="6" t="s">
        <v>29846</v>
      </c>
      <c r="J5479" s="6" t="s">
        <v>29847</v>
      </c>
      <c r="K5479" s="7">
        <f t="shared" si="2"/>
        <v>0.2002847331</v>
      </c>
    </row>
    <row r="5480">
      <c r="A5480" s="4">
        <v>5480.0</v>
      </c>
      <c r="B5480" s="5" t="s">
        <v>29848</v>
      </c>
      <c r="C5480" s="5" t="s">
        <v>25699</v>
      </c>
      <c r="D5480" s="5" t="s">
        <v>29849</v>
      </c>
      <c r="E5480" s="6" t="s">
        <v>24</v>
      </c>
      <c r="F5480" s="6" t="s">
        <v>539</v>
      </c>
      <c r="G5480" s="3" t="str">
        <f>IFERROR(__xludf.DUMMYFUNCTION("REGEXREPLACE(
D5480,
""([一-龯々]+)\[([^\]]+)\]"",
""&lt;ruby&gt;$1&lt;rt&gt;$2&lt;/rt&gt;&lt;/ruby&gt;""
)&amp;""&lt;br&gt;&lt;div class=""""audio""""&gt;[sound:""&amp;C5480&amp;"".mp3]&lt;/div&gt;"""),"&lt;ruby&gt;召&lt;rt&gt;め&lt;/rt&gt;&lt;/ruby&gt;す&lt;br&gt;&lt;div class=""audio""&gt;[sound:めす.mp3]&lt;/div&gt;")</f>
        <v>&lt;ruby&gt;召&lt;rt&gt;め&lt;/rt&gt;&lt;/ruby&gt;す&lt;br&gt;&lt;div class="audio"&gt;[sound:めす.mp3]&lt;/div&gt;</v>
      </c>
      <c r="H5480" s="3" t="str">
        <f t="shared" si="1"/>
        <v>(v): ăn</v>
      </c>
      <c r="I5480" s="6" t="s">
        <v>29850</v>
      </c>
      <c r="J5480" s="6" t="s">
        <v>29851</v>
      </c>
      <c r="K5480" s="7">
        <f t="shared" si="2"/>
        <v>0.9748396455</v>
      </c>
    </row>
    <row r="5481">
      <c r="A5481" s="4">
        <v>5481.0</v>
      </c>
      <c r="B5481" s="5" t="s">
        <v>29852</v>
      </c>
      <c r="C5481" s="5" t="s">
        <v>29853</v>
      </c>
      <c r="D5481" s="5" t="s">
        <v>29854</v>
      </c>
      <c r="E5481" s="6" t="s">
        <v>74</v>
      </c>
      <c r="F5481" s="6" t="s">
        <v>29855</v>
      </c>
      <c r="G5481" s="3" t="str">
        <f>IFERROR(__xludf.DUMMYFUNCTION("REGEXREPLACE(
D5481,
""([一-龯々]+)\[([^\]]+)\]"",
""&lt;ruby&gt;$1&lt;rt&gt;$2&lt;/rt&gt;&lt;/ruby&gt;""
)&amp;""&lt;br&gt;&lt;div class=""""audio""""&gt;[sound:""&amp;C5481&amp;"".mp3]&lt;/div&gt;"""),"&lt;ruby&gt;夜更&lt;rt&gt;よふか&lt;/rt&gt;&lt;/ruby&gt;し&lt;br&gt;&lt;div class=""audio""&gt;[sound:よふかし.mp3]&lt;/div&gt;")</f>
        <v>&lt;ruby&gt;夜更&lt;rt&gt;よふか&lt;/rt&gt;&lt;/ruby&gt;し&lt;br&gt;&lt;div class="audio"&gt;[sound:よふかし.mp3]&lt;/div&gt;</v>
      </c>
      <c r="H5481" s="3" t="str">
        <f t="shared" si="1"/>
        <v>(n): sự thức khuya</v>
      </c>
      <c r="I5481" s="6" t="s">
        <v>29856</v>
      </c>
      <c r="J5481" s="6" t="s">
        <v>29857</v>
      </c>
      <c r="K5481" s="7">
        <f t="shared" si="2"/>
        <v>0.5367527126</v>
      </c>
    </row>
    <row r="5482">
      <c r="A5482" s="4">
        <v>5482.0</v>
      </c>
      <c r="B5482" s="5" t="s">
        <v>29858</v>
      </c>
      <c r="C5482" s="5" t="s">
        <v>29859</v>
      </c>
      <c r="D5482" s="5" t="s">
        <v>29860</v>
      </c>
      <c r="E5482" s="6" t="s">
        <v>11</v>
      </c>
      <c r="F5482" s="6" t="s">
        <v>29861</v>
      </c>
      <c r="G5482" s="3" t="str">
        <f>IFERROR(__xludf.DUMMYFUNCTION("REGEXREPLACE(
D5482,
""([一-龯々]+)\[([^\]]+)\]"",
""&lt;ruby&gt;$1&lt;rt&gt;$2&lt;/rt&gt;&lt;/ruby&gt;""
)&amp;""&lt;br&gt;&lt;div class=""""audio""""&gt;[sound:""&amp;C5482&amp;"".mp3]&lt;/div&gt;"""),"&lt;ruby&gt;安&lt;rt&gt;やす&lt;/rt&gt;&lt;/ruby&gt;っぽい&lt;br&gt;&lt;div class=""audio""&gt;[sound:やすっぽい.mp3]&lt;/div&gt;")</f>
        <v>&lt;ruby&gt;安&lt;rt&gt;やす&lt;/rt&gt;&lt;/ruby&gt;っぽい&lt;br&gt;&lt;div class="audio"&gt;[sound:やすっぽい.mp3]&lt;/div&gt;</v>
      </c>
      <c r="H5482" s="3" t="str">
        <f t="shared" si="1"/>
        <v>(adj): trông rẻ tiền</v>
      </c>
      <c r="I5482" s="6" t="s">
        <v>29862</v>
      </c>
      <c r="J5482" s="6" t="s">
        <v>29863</v>
      </c>
      <c r="K5482" s="7">
        <f t="shared" si="2"/>
        <v>0.2265032216</v>
      </c>
    </row>
    <row r="5483">
      <c r="A5483" s="4">
        <v>5483.0</v>
      </c>
      <c r="B5483" s="5" t="s">
        <v>29864</v>
      </c>
      <c r="C5483" s="5" t="s">
        <v>29865</v>
      </c>
      <c r="D5483" s="5" t="s">
        <v>29866</v>
      </c>
      <c r="E5483" s="6" t="s">
        <v>74</v>
      </c>
      <c r="F5483" s="6" t="s">
        <v>29867</v>
      </c>
      <c r="G5483" s="3" t="str">
        <f>IFERROR(__xludf.DUMMYFUNCTION("REGEXREPLACE(
D5483,
""([一-龯々]+)\[([^\]]+)\]"",
""&lt;ruby&gt;$1&lt;rt&gt;$2&lt;/rt&gt;&lt;/ruby&gt;""
)&amp;""&lt;br&gt;&lt;div class=""""audio""""&gt;[sound:""&amp;C5483&amp;"".mp3]&lt;/div&gt;"""),"&lt;ruby&gt;浮気&lt;rt&gt;うわき&lt;/rt&gt;&lt;/ruby&gt;&lt;br&gt;&lt;div class=""audio""&gt;[sound:うわき.mp3]&lt;/div&gt;")</f>
        <v>&lt;ruby&gt;浮気&lt;rt&gt;うわき&lt;/rt&gt;&lt;/ruby&gt;&lt;br&gt;&lt;div class="audio"&gt;[sound:うわき.mp3]&lt;/div&gt;</v>
      </c>
      <c r="H5483" s="3" t="str">
        <f t="shared" si="1"/>
        <v>(n): sự ngoại tình</v>
      </c>
      <c r="I5483" s="6" t="s">
        <v>29868</v>
      </c>
      <c r="J5483" s="6" t="s">
        <v>29869</v>
      </c>
      <c r="K5483" s="7">
        <f t="shared" si="2"/>
        <v>0.8871848191</v>
      </c>
    </row>
    <row r="5484">
      <c r="A5484" s="4">
        <v>5484.0</v>
      </c>
      <c r="B5484" s="5" t="s">
        <v>29870</v>
      </c>
      <c r="C5484" s="5" t="s">
        <v>29871</v>
      </c>
      <c r="D5484" s="5" t="s">
        <v>29872</v>
      </c>
      <c r="E5484" s="6" t="s">
        <v>74</v>
      </c>
      <c r="F5484" s="6" t="s">
        <v>29873</v>
      </c>
      <c r="G5484" s="3" t="str">
        <f>IFERROR(__xludf.DUMMYFUNCTION("REGEXREPLACE(
D5484,
""([一-龯々]+)\[([^\]]+)\]"",
""&lt;ruby&gt;$1&lt;rt&gt;$2&lt;/rt&gt;&lt;/ruby&gt;""
)&amp;""&lt;br&gt;&lt;div class=""""audio""""&gt;[sound:""&amp;C5484&amp;"".mp3]&lt;/div&gt;"""),"&lt;ruby&gt;熱意&lt;rt&gt;ねつい&lt;/rt&gt;&lt;/ruby&gt;&lt;br&gt;&lt;div class=""audio""&gt;[sound:ねつい.mp3]&lt;/div&gt;")</f>
        <v>&lt;ruby&gt;熱意&lt;rt&gt;ねつい&lt;/rt&gt;&lt;/ruby&gt;&lt;br&gt;&lt;div class="audio"&gt;[sound:ねつい.mp3]&lt;/div&gt;</v>
      </c>
      <c r="H5484" s="3" t="str">
        <f t="shared" si="1"/>
        <v>(n): sự nhiệt tình</v>
      </c>
      <c r="I5484" s="6" t="s">
        <v>29874</v>
      </c>
      <c r="J5484" s="6" t="s">
        <v>29875</v>
      </c>
      <c r="K5484" s="7">
        <f t="shared" si="2"/>
        <v>0.6195406637</v>
      </c>
    </row>
    <row r="5485">
      <c r="A5485" s="4">
        <v>5485.0</v>
      </c>
      <c r="B5485" s="5" t="s">
        <v>29876</v>
      </c>
      <c r="C5485" s="5" t="s">
        <v>29877</v>
      </c>
      <c r="D5485" s="5" t="s">
        <v>29878</v>
      </c>
      <c r="E5485" s="6" t="s">
        <v>74</v>
      </c>
      <c r="F5485" s="6" t="s">
        <v>29879</v>
      </c>
      <c r="G5485" s="3" t="str">
        <f>IFERROR(__xludf.DUMMYFUNCTION("REGEXREPLACE(
D5485,
""([一-龯々]+)\[([^\]]+)\]"",
""&lt;ruby&gt;$1&lt;rt&gt;$2&lt;/rt&gt;&lt;/ruby&gt;""
)&amp;""&lt;br&gt;&lt;div class=""""audio""""&gt;[sound:""&amp;C5485&amp;"".mp3]&lt;/div&gt;"""),"&lt;ruby&gt;登校&lt;rt&gt;とうこう&lt;/rt&gt;&lt;/ruby&gt;&lt;br&gt;&lt;div class=""audio""&gt;[sound:とうこう.mp3]&lt;/div&gt;")</f>
        <v>&lt;ruby&gt;登校&lt;rt&gt;とうこう&lt;/rt&gt;&lt;/ruby&gt;&lt;br&gt;&lt;div class="audio"&gt;[sound:とうこう.mp3]&lt;/div&gt;</v>
      </c>
      <c r="H5485" s="3" t="str">
        <f t="shared" si="1"/>
        <v>(n): sự đến trường</v>
      </c>
      <c r="I5485" s="6" t="s">
        <v>29880</v>
      </c>
      <c r="J5485" s="6" t="s">
        <v>29881</v>
      </c>
      <c r="K5485" s="7">
        <f t="shared" si="2"/>
        <v>0.4071485365</v>
      </c>
    </row>
    <row r="5486">
      <c r="A5486" s="4">
        <v>5486.0</v>
      </c>
      <c r="B5486" s="5" t="s">
        <v>29882</v>
      </c>
      <c r="C5486" s="5" t="s">
        <v>29883</v>
      </c>
      <c r="D5486" s="5" t="s">
        <v>29884</v>
      </c>
      <c r="E5486" s="6" t="s">
        <v>74</v>
      </c>
      <c r="F5486" s="6" t="s">
        <v>29885</v>
      </c>
      <c r="G5486" s="3" t="str">
        <f>IFERROR(__xludf.DUMMYFUNCTION("REGEXREPLACE(
D5486,
""([一-龯々]+)\[([^\]]+)\]"",
""&lt;ruby&gt;$1&lt;rt&gt;$2&lt;/rt&gt;&lt;/ruby&gt;""
)&amp;""&lt;br&gt;&lt;div class=""""audio""""&gt;[sound:""&amp;C5486&amp;"".mp3]&lt;/div&gt;"""),"&lt;ruby&gt;自尊心&lt;rt&gt;じそんしん&lt;/rt&gt;&lt;/ruby&gt;&lt;br&gt;&lt;div class=""audio""&gt;[sound:じそんしん.mp3]&lt;/div&gt;")</f>
        <v>&lt;ruby&gt;自尊心&lt;rt&gt;じそんしん&lt;/rt&gt;&lt;/ruby&gt;&lt;br&gt;&lt;div class="audio"&gt;[sound:じそんしん.mp3]&lt;/div&gt;</v>
      </c>
      <c r="H5486" s="3" t="str">
        <f t="shared" si="1"/>
        <v>(n): lòng tự trọng</v>
      </c>
      <c r="I5486" s="6" t="s">
        <v>29886</v>
      </c>
      <c r="J5486" s="6" t="s">
        <v>29887</v>
      </c>
      <c r="K5486" s="7">
        <f t="shared" si="2"/>
        <v>0.4100474855</v>
      </c>
    </row>
    <row r="5487">
      <c r="A5487" s="4">
        <v>5487.0</v>
      </c>
      <c r="B5487" s="5" t="s">
        <v>29888</v>
      </c>
      <c r="C5487" s="5" t="s">
        <v>29889</v>
      </c>
      <c r="D5487" s="5" t="s">
        <v>29890</v>
      </c>
      <c r="E5487" s="6" t="s">
        <v>74</v>
      </c>
      <c r="F5487" s="6" t="s">
        <v>29891</v>
      </c>
      <c r="G5487" s="3" t="str">
        <f>IFERROR(__xludf.DUMMYFUNCTION("REGEXREPLACE(
D5487,
""([一-龯々]+)\[([^\]]+)\]"",
""&lt;ruby&gt;$1&lt;rt&gt;$2&lt;/rt&gt;&lt;/ruby&gt;""
)&amp;""&lt;br&gt;&lt;div class=""""audio""""&gt;[sound:""&amp;C5487&amp;"".mp3]&lt;/div&gt;"""),"&lt;ruby&gt;製鉄&lt;rt&gt;せいてつ&lt;/rt&gt;&lt;/ruby&gt;&lt;br&gt;&lt;div class=""audio""&gt;[sound:せいてつ.mp3]&lt;/div&gt;")</f>
        <v>&lt;ruby&gt;製鉄&lt;rt&gt;せいてつ&lt;/rt&gt;&lt;/ruby&gt;&lt;br&gt;&lt;div class="audio"&gt;[sound:せいてつ.mp3]&lt;/div&gt;</v>
      </c>
      <c r="H5487" s="3" t="str">
        <f t="shared" si="1"/>
        <v>(n): sản xuất thép</v>
      </c>
      <c r="I5487" s="6" t="s">
        <v>29892</v>
      </c>
      <c r="J5487" s="6" t="s">
        <v>29893</v>
      </c>
      <c r="K5487" s="7">
        <f t="shared" si="2"/>
        <v>0.8220149421</v>
      </c>
    </row>
    <row r="5488">
      <c r="A5488" s="4">
        <v>5488.0</v>
      </c>
      <c r="B5488" s="5" t="s">
        <v>29894</v>
      </c>
      <c r="C5488" s="5" t="s">
        <v>29895</v>
      </c>
      <c r="D5488" s="5" t="s">
        <v>29896</v>
      </c>
      <c r="E5488" s="6" t="s">
        <v>74</v>
      </c>
      <c r="F5488" s="6" t="s">
        <v>29897</v>
      </c>
      <c r="G5488" s="3" t="str">
        <f>IFERROR(__xludf.DUMMYFUNCTION("REGEXREPLACE(
D5488,
""([一-龯々]+)\[([^\]]+)\]"",
""&lt;ruby&gt;$1&lt;rt&gt;$2&lt;/rt&gt;&lt;/ruby&gt;""
)&amp;""&lt;br&gt;&lt;div class=""""audio""""&gt;[sound:""&amp;C5488&amp;"".mp3]&lt;/div&gt;"""),"&lt;ruby&gt;親善&lt;rt&gt;しんぜん&lt;/rt&gt;&lt;/ruby&gt;&lt;br&gt;&lt;div class=""audio""&gt;[sound:しんぜん.mp3]&lt;/div&gt;")</f>
        <v>&lt;ruby&gt;親善&lt;rt&gt;しんぜん&lt;/rt&gt;&lt;/ruby&gt;&lt;br&gt;&lt;div class="audio"&gt;[sound:しんぜん.mp3]&lt;/div&gt;</v>
      </c>
      <c r="H5488" s="3" t="str">
        <f t="shared" si="1"/>
        <v>(n): tình hữu nghị</v>
      </c>
      <c r="I5488" s="6" t="s">
        <v>29898</v>
      </c>
      <c r="J5488" s="6" t="s">
        <v>29899</v>
      </c>
      <c r="K5488" s="7">
        <f t="shared" si="2"/>
        <v>0.1920872494</v>
      </c>
    </row>
    <row r="5489">
      <c r="A5489" s="4">
        <v>5489.0</v>
      </c>
      <c r="B5489" s="5" t="s">
        <v>29900</v>
      </c>
      <c r="C5489" s="5" t="s">
        <v>29901</v>
      </c>
      <c r="D5489" s="5" t="s">
        <v>29902</v>
      </c>
      <c r="E5489" s="6" t="s">
        <v>74</v>
      </c>
      <c r="F5489" s="6" t="s">
        <v>29903</v>
      </c>
      <c r="G5489" s="3" t="str">
        <f>IFERROR(__xludf.DUMMYFUNCTION("REGEXREPLACE(
D5489,
""([一-龯々]+)\[([^\]]+)\]"",
""&lt;ruby&gt;$1&lt;rt&gt;$2&lt;/rt&gt;&lt;/ruby&gt;""
)&amp;""&lt;br&gt;&lt;div class=""""audio""""&gt;[sound:""&amp;C5489&amp;"".mp3]&lt;/div&gt;"""),"&lt;ruby&gt;誠&lt;rt&gt;まこと&lt;/rt&gt;&lt;/ruby&gt;&lt;br&gt;&lt;div class=""audio""&gt;[sound:まこと.mp3]&lt;/div&gt;")</f>
        <v>&lt;ruby&gt;誠&lt;rt&gt;まこと&lt;/rt&gt;&lt;/ruby&gt;&lt;br&gt;&lt;div class="audio"&gt;[sound:まこと.mp3]&lt;/div&gt;</v>
      </c>
      <c r="H5489" s="3" t="str">
        <f t="shared" si="1"/>
        <v>(n): sự chân thành</v>
      </c>
      <c r="I5489" s="6" t="s">
        <v>29904</v>
      </c>
      <c r="J5489" s="6" t="s">
        <v>29905</v>
      </c>
      <c r="K5489" s="7">
        <f t="shared" si="2"/>
        <v>0.9268699239</v>
      </c>
    </row>
    <row r="5490">
      <c r="A5490" s="4">
        <v>5490.0</v>
      </c>
      <c r="B5490" s="5" t="s">
        <v>29906</v>
      </c>
      <c r="C5490" s="5" t="s">
        <v>29907</v>
      </c>
      <c r="D5490" s="5" t="s">
        <v>29908</v>
      </c>
      <c r="E5490" s="6" t="s">
        <v>74</v>
      </c>
      <c r="F5490" s="6" t="s">
        <v>29909</v>
      </c>
      <c r="G5490" s="3" t="str">
        <f>IFERROR(__xludf.DUMMYFUNCTION("REGEXREPLACE(
D5490,
""([一-龯々]+)\[([^\]]+)\]"",
""&lt;ruby&gt;$1&lt;rt&gt;$2&lt;/rt&gt;&lt;/ruby&gt;""
)&amp;""&lt;br&gt;&lt;div class=""""audio""""&gt;[sound:""&amp;C5490&amp;"".mp3]&lt;/div&gt;"""),"&lt;ruby&gt;転居&lt;rt&gt;てんきょ&lt;/rt&gt;&lt;/ruby&gt;&lt;br&gt;&lt;div class=""audio""&gt;[sound:てんきょ.mp3]&lt;/div&gt;")</f>
        <v>&lt;ruby&gt;転居&lt;rt&gt;てんきょ&lt;/rt&gt;&lt;/ruby&gt;&lt;br&gt;&lt;div class="audio"&gt;[sound:てんきょ.mp3]&lt;/div&gt;</v>
      </c>
      <c r="H5490" s="3" t="str">
        <f t="shared" si="1"/>
        <v>(n): sự chuyển nhà</v>
      </c>
      <c r="I5490" s="6" t="s">
        <v>29910</v>
      </c>
      <c r="J5490" s="6" t="s">
        <v>29911</v>
      </c>
      <c r="K5490" s="7">
        <f t="shared" si="2"/>
        <v>0.4248736127</v>
      </c>
    </row>
    <row r="5491">
      <c r="A5491" s="4">
        <v>5491.0</v>
      </c>
      <c r="B5491" s="5" t="s">
        <v>29912</v>
      </c>
      <c r="C5491" s="5" t="s">
        <v>29913</v>
      </c>
      <c r="D5491" s="5" t="s">
        <v>29914</v>
      </c>
      <c r="E5491" s="6" t="s">
        <v>74</v>
      </c>
      <c r="F5491" s="6" t="s">
        <v>29915</v>
      </c>
      <c r="G5491" s="3" t="str">
        <f>IFERROR(__xludf.DUMMYFUNCTION("REGEXREPLACE(
D5491,
""([一-龯々]+)\[([^\]]+)\]"",
""&lt;ruby&gt;$1&lt;rt&gt;$2&lt;/rt&gt;&lt;/ruby&gt;""
)&amp;""&lt;br&gt;&lt;div class=""""audio""""&gt;[sound:""&amp;C5491&amp;"".mp3]&lt;/div&gt;"""),"&lt;ruby&gt;軽蔑&lt;rt&gt;けいべつ&lt;/rt&gt;&lt;/ruby&gt;&lt;br&gt;&lt;div class=""audio""&gt;[sound:けいべつ.mp3]&lt;/div&gt;")</f>
        <v>&lt;ruby&gt;軽蔑&lt;rt&gt;けいべつ&lt;/rt&gt;&lt;/ruby&gt;&lt;br&gt;&lt;div class="audio"&gt;[sound:けいべつ.mp3]&lt;/div&gt;</v>
      </c>
      <c r="H5491" s="3" t="str">
        <f t="shared" si="1"/>
        <v>(n): sự coi thường</v>
      </c>
      <c r="I5491" s="6" t="s">
        <v>29916</v>
      </c>
      <c r="J5491" s="6" t="s">
        <v>29917</v>
      </c>
      <c r="K5491" s="7">
        <f t="shared" si="2"/>
        <v>0.211780289</v>
      </c>
    </row>
    <row r="5492">
      <c r="A5492" s="4">
        <v>5492.0</v>
      </c>
      <c r="B5492" s="5" t="s">
        <v>29918</v>
      </c>
      <c r="C5492" s="5" t="s">
        <v>29919</v>
      </c>
      <c r="D5492" s="5" t="s">
        <v>29918</v>
      </c>
      <c r="E5492" s="6" t="s">
        <v>74</v>
      </c>
      <c r="F5492" s="6" t="s">
        <v>29920</v>
      </c>
      <c r="G5492" s="3" t="str">
        <f>IFERROR(__xludf.DUMMYFUNCTION("REGEXREPLACE(
D5492,
""([一-龯々]+)\[([^\]]+)\]"",
""&lt;ruby&gt;$1&lt;rt&gt;$2&lt;/rt&gt;&lt;/ruby&gt;""
)&amp;""&lt;br&gt;&lt;div class=""""audio""""&gt;[sound:""&amp;C5492&amp;"".mp3]&lt;/div&gt;"""),"レントゲン&lt;br&gt;&lt;div class=""audio""&gt;[sound:れんとげん.mp3]&lt;/div&gt;")</f>
        <v>レントゲン&lt;br&gt;&lt;div class="audio"&gt;[sound:れんとげん.mp3]&lt;/div&gt;</v>
      </c>
      <c r="H5492" s="3" t="str">
        <f t="shared" si="1"/>
        <v>(n): x-quang</v>
      </c>
      <c r="I5492" s="6" t="s">
        <v>29921</v>
      </c>
      <c r="J5492" s="6" t="s">
        <v>29922</v>
      </c>
      <c r="K5492" s="7">
        <f t="shared" si="2"/>
        <v>0.7490365588</v>
      </c>
    </row>
    <row r="5493">
      <c r="A5493" s="4">
        <v>5493.0</v>
      </c>
      <c r="B5493" s="5" t="s">
        <v>29923</v>
      </c>
      <c r="C5493" s="5" t="s">
        <v>29924</v>
      </c>
      <c r="D5493" s="5" t="s">
        <v>29925</v>
      </c>
      <c r="E5493" s="6" t="s">
        <v>74</v>
      </c>
      <c r="F5493" s="6" t="s">
        <v>29926</v>
      </c>
      <c r="G5493" s="3" t="str">
        <f>IFERROR(__xludf.DUMMYFUNCTION("REGEXREPLACE(
D5493,
""([一-龯々]+)\[([^\]]+)\]"",
""&lt;ruby&gt;$1&lt;rt&gt;$2&lt;/rt&gt;&lt;/ruby&gt;""
)&amp;""&lt;br&gt;&lt;div class=""""audio""""&gt;[sound:""&amp;C5493&amp;"".mp3]&lt;/div&gt;"""),"&lt;ruby&gt;保温&lt;rt&gt;ほおん&lt;/rt&gt;&lt;/ruby&gt;&lt;br&gt;&lt;div class=""audio""&gt;[sound:ほおん.mp3]&lt;/div&gt;")</f>
        <v>&lt;ruby&gt;保温&lt;rt&gt;ほおん&lt;/rt&gt;&lt;/ruby&gt;&lt;br&gt;&lt;div class="audio"&gt;[sound:ほおん.mp3]&lt;/div&gt;</v>
      </c>
      <c r="H5493" s="3" t="str">
        <f t="shared" si="1"/>
        <v>(n): sự giữ nhiệt</v>
      </c>
      <c r="I5493" s="6" t="s">
        <v>29927</v>
      </c>
      <c r="J5493" s="6" t="s">
        <v>29928</v>
      </c>
      <c r="K5493" s="7">
        <f t="shared" si="2"/>
        <v>0.8660260934</v>
      </c>
    </row>
    <row r="5494">
      <c r="A5494" s="4">
        <v>5494.0</v>
      </c>
      <c r="B5494" s="5" t="s">
        <v>29929</v>
      </c>
      <c r="C5494" s="5" t="s">
        <v>29930</v>
      </c>
      <c r="D5494" s="5" t="s">
        <v>29931</v>
      </c>
      <c r="E5494" s="6" t="s">
        <v>74</v>
      </c>
      <c r="F5494" s="6" t="s">
        <v>29932</v>
      </c>
      <c r="G5494" s="3" t="str">
        <f>IFERROR(__xludf.DUMMYFUNCTION("REGEXREPLACE(
D5494,
""([一-龯々]+)\[([^\]]+)\]"",
""&lt;ruby&gt;$1&lt;rt&gt;$2&lt;/rt&gt;&lt;/ruby&gt;""
)&amp;""&lt;br&gt;&lt;div class=""""audio""""&gt;[sound:""&amp;C5494&amp;"".mp3]&lt;/div&gt;"""),"&lt;ruby&gt;信任&lt;rt&gt;しんにん&lt;/rt&gt;&lt;/ruby&gt;&lt;br&gt;&lt;div class=""audio""&gt;[sound:しんにん.mp3]&lt;/div&gt;")</f>
        <v>&lt;ruby&gt;信任&lt;rt&gt;しんにん&lt;/rt&gt;&lt;/ruby&gt;&lt;br&gt;&lt;div class="audio"&gt;[sound:しんにん.mp3]&lt;/div&gt;</v>
      </c>
      <c r="H5494" s="3" t="str">
        <f t="shared" si="1"/>
        <v>(n): sự tín nhiệm</v>
      </c>
      <c r="I5494" s="6" t="s">
        <v>29933</v>
      </c>
      <c r="J5494" s="6" t="s">
        <v>29934</v>
      </c>
      <c r="K5494" s="7">
        <f t="shared" si="2"/>
        <v>0.4674285814</v>
      </c>
    </row>
    <row r="5495">
      <c r="A5495" s="4">
        <v>5495.0</v>
      </c>
      <c r="B5495" s="5" t="s">
        <v>29935</v>
      </c>
      <c r="C5495" s="5" t="s">
        <v>29936</v>
      </c>
      <c r="D5495" s="5" t="s">
        <v>29937</v>
      </c>
      <c r="E5495" s="6" t="s">
        <v>74</v>
      </c>
      <c r="F5495" s="6" t="s">
        <v>29938</v>
      </c>
      <c r="G5495" s="3" t="str">
        <f>IFERROR(__xludf.DUMMYFUNCTION("REGEXREPLACE(
D5495,
""([一-龯々]+)\[([^\]]+)\]"",
""&lt;ruby&gt;$1&lt;rt&gt;$2&lt;/rt&gt;&lt;/ruby&gt;""
)&amp;""&lt;br&gt;&lt;div class=""""audio""""&gt;[sound:""&amp;C5495&amp;"".mp3]&lt;/div&gt;"""),"&lt;ruby&gt;健在&lt;rt&gt;けんざい&lt;/rt&gt;&lt;/ruby&gt;&lt;br&gt;&lt;div class=""audio""&gt;[sound:けんざい.mp3]&lt;/div&gt;")</f>
        <v>&lt;ruby&gt;健在&lt;rt&gt;けんざい&lt;/rt&gt;&lt;/ruby&gt;&lt;br&gt;&lt;div class="audio"&gt;[sound:けんざい.mp3]&lt;/div&gt;</v>
      </c>
      <c r="H5495" s="3" t="str">
        <f t="shared" si="1"/>
        <v>(n): sự khỏe mạnh</v>
      </c>
      <c r="I5495" s="6" t="s">
        <v>29939</v>
      </c>
      <c r="J5495" s="6" t="s">
        <v>29940</v>
      </c>
      <c r="K5495" s="7">
        <f t="shared" si="2"/>
        <v>0.2492507792</v>
      </c>
    </row>
    <row r="5496">
      <c r="A5496" s="4">
        <v>5496.0</v>
      </c>
      <c r="B5496" s="5" t="s">
        <v>29941</v>
      </c>
      <c r="C5496" s="5" t="s">
        <v>29942</v>
      </c>
      <c r="D5496" s="5" t="s">
        <v>29943</v>
      </c>
      <c r="E5496" s="6" t="s">
        <v>74</v>
      </c>
      <c r="F5496" s="6" t="s">
        <v>29944</v>
      </c>
      <c r="G5496" s="3" t="str">
        <f>IFERROR(__xludf.DUMMYFUNCTION("REGEXREPLACE(
D5496,
""([一-龯々]+)\[([^\]]+)\]"",
""&lt;ruby&gt;$1&lt;rt&gt;$2&lt;/rt&gt;&lt;/ruby&gt;""
)&amp;""&lt;br&gt;&lt;div class=""""audio""""&gt;[sound:""&amp;C5496&amp;"".mp3]&lt;/div&gt;"""),"&lt;ruby&gt;先代&lt;rt&gt;せんだい&lt;/rt&gt;&lt;/ruby&gt;&lt;br&gt;&lt;div class=""audio""&gt;[sound:せんだい.mp3]&lt;/div&gt;")</f>
        <v>&lt;ruby&gt;先代&lt;rt&gt;せんだい&lt;/rt&gt;&lt;/ruby&gt;&lt;br&gt;&lt;div class="audio"&gt;[sound:せんだい.mp3]&lt;/div&gt;</v>
      </c>
      <c r="H5496" s="3" t="str">
        <f t="shared" si="1"/>
        <v>(n): thế hệ trước</v>
      </c>
      <c r="I5496" s="6" t="s">
        <v>29945</v>
      </c>
      <c r="J5496" s="6" t="s">
        <v>29946</v>
      </c>
      <c r="K5496" s="7">
        <f t="shared" si="2"/>
        <v>0.07973845348</v>
      </c>
    </row>
    <row r="5497">
      <c r="A5497" s="4">
        <v>5497.0</v>
      </c>
      <c r="B5497" s="5" t="s">
        <v>29947</v>
      </c>
      <c r="C5497" s="5" t="s">
        <v>29948</v>
      </c>
      <c r="D5497" s="5" t="s">
        <v>29949</v>
      </c>
      <c r="E5497" s="6" t="s">
        <v>74</v>
      </c>
      <c r="F5497" s="6" t="s">
        <v>29950</v>
      </c>
      <c r="G5497" s="3" t="str">
        <f>IFERROR(__xludf.DUMMYFUNCTION("REGEXREPLACE(
D5497,
""([一-龯々]+)\[([^\]]+)\]"",
""&lt;ruby&gt;$1&lt;rt&gt;$2&lt;/rt&gt;&lt;/ruby&gt;""
)&amp;""&lt;br&gt;&lt;div class=""""audio""""&gt;[sound:""&amp;C5497&amp;"".mp3]&lt;/div&gt;"""),"&lt;ruby&gt;公団&lt;rt&gt;こうだん&lt;/rt&gt;&lt;/ruby&gt;&lt;br&gt;&lt;div class=""audio""&gt;[sound:こうだん.mp3]&lt;/div&gt;")</f>
        <v>&lt;ruby&gt;公団&lt;rt&gt;こうだん&lt;/rt&gt;&lt;/ruby&gt;&lt;br&gt;&lt;div class="audio"&gt;[sound:こうだん.mp3]&lt;/div&gt;</v>
      </c>
      <c r="H5497" s="3" t="str">
        <f t="shared" si="1"/>
        <v>(n): tổng công ty</v>
      </c>
      <c r="I5497" s="6" t="s">
        <v>29951</v>
      </c>
      <c r="J5497" s="6" t="s">
        <v>29952</v>
      </c>
      <c r="K5497" s="7">
        <f t="shared" si="2"/>
        <v>0.2291745784</v>
      </c>
    </row>
    <row r="5498">
      <c r="A5498" s="4">
        <v>5498.0</v>
      </c>
      <c r="B5498" s="5" t="s">
        <v>29953</v>
      </c>
      <c r="C5498" s="5" t="s">
        <v>22146</v>
      </c>
      <c r="D5498" s="5" t="s">
        <v>29954</v>
      </c>
      <c r="E5498" s="6" t="s">
        <v>74</v>
      </c>
      <c r="F5498" s="6" t="s">
        <v>29955</v>
      </c>
      <c r="G5498" s="3" t="str">
        <f>IFERROR(__xludf.DUMMYFUNCTION("REGEXREPLACE(
D5498,
""([一-龯々]+)\[([^\]]+)\]"",
""&lt;ruby&gt;$1&lt;rt&gt;$2&lt;/rt&gt;&lt;/ruby&gt;""
)&amp;""&lt;br&gt;&lt;div class=""""audio""""&gt;[sound:""&amp;C5498&amp;"".mp3]&lt;/div&gt;"""),"&lt;ruby&gt;化繊&lt;rt&gt;かせん&lt;/rt&gt;&lt;/ruby&gt;&lt;br&gt;&lt;div class=""audio""&gt;[sound:かせん.mp3]&lt;/div&gt;")</f>
        <v>&lt;ruby&gt;化繊&lt;rt&gt;かせん&lt;/rt&gt;&lt;/ruby&gt;&lt;br&gt;&lt;div class="audio"&gt;[sound:かせん.mp3]&lt;/div&gt;</v>
      </c>
      <c r="H5498" s="3" t="str">
        <f t="shared" si="1"/>
        <v>(n): sợi tổng hợp</v>
      </c>
      <c r="I5498" s="6" t="s">
        <v>29956</v>
      </c>
      <c r="J5498" s="6" t="s">
        <v>29957</v>
      </c>
      <c r="K5498" s="7">
        <f t="shared" si="2"/>
        <v>0.4276195745</v>
      </c>
    </row>
    <row r="5499">
      <c r="A5499" s="4">
        <v>5499.0</v>
      </c>
      <c r="B5499" s="5" t="s">
        <v>29958</v>
      </c>
      <c r="C5499" s="5" t="s">
        <v>29959</v>
      </c>
      <c r="D5499" s="5" t="s">
        <v>29960</v>
      </c>
      <c r="E5499" s="6" t="s">
        <v>11</v>
      </c>
      <c r="F5499" s="6" t="s">
        <v>29961</v>
      </c>
      <c r="G5499" s="3" t="str">
        <f>IFERROR(__xludf.DUMMYFUNCTION("REGEXREPLACE(
D5499,
""([一-龯々]+)\[([^\]]+)\]"",
""&lt;ruby&gt;$1&lt;rt&gt;$2&lt;/rt&gt;&lt;/ruby&gt;""
)&amp;""&lt;br&gt;&lt;div class=""""audio""""&gt;[sound:""&amp;C5499&amp;"".mp3]&lt;/div&gt;"""),"&lt;ruby&gt;厳&lt;rt&gt;おごそ&lt;/rt&gt;&lt;/ruby&gt;か&lt;br&gt;&lt;div class=""audio""&gt;[sound:おごそか.mp3]&lt;/div&gt;")</f>
        <v>&lt;ruby&gt;厳&lt;rt&gt;おごそ&lt;/rt&gt;&lt;/ruby&gt;か&lt;br&gt;&lt;div class="audio"&gt;[sound:おごそか.mp3]&lt;/div&gt;</v>
      </c>
      <c r="H5499" s="3" t="str">
        <f t="shared" si="1"/>
        <v>(adj): trang nghiêm</v>
      </c>
      <c r="I5499" s="6" t="s">
        <v>29962</v>
      </c>
      <c r="J5499" s="6" t="s">
        <v>29963</v>
      </c>
      <c r="K5499" s="7">
        <f t="shared" si="2"/>
        <v>0.5091389268</v>
      </c>
    </row>
    <row r="5500">
      <c r="A5500" s="4">
        <v>5500.0</v>
      </c>
      <c r="B5500" s="5" t="s">
        <v>29964</v>
      </c>
      <c r="C5500" s="5" t="s">
        <v>29965</v>
      </c>
      <c r="D5500" s="5" t="s">
        <v>29966</v>
      </c>
      <c r="E5500" s="6" t="s">
        <v>74</v>
      </c>
      <c r="F5500" s="6" t="s">
        <v>29967</v>
      </c>
      <c r="G5500" s="3" t="str">
        <f>IFERROR(__xludf.DUMMYFUNCTION("REGEXREPLACE(
D5500,
""([一-龯々]+)\[([^\]]+)\]"",
""&lt;ruby&gt;$1&lt;rt&gt;$2&lt;/rt&gt;&lt;/ruby&gt;""
)&amp;""&lt;br&gt;&lt;div class=""""audio""""&gt;[sound:""&amp;C5500&amp;"".mp3]&lt;/div&gt;"""),"&lt;ruby&gt;口述&lt;rt&gt;こうじゅつ&lt;/rt&gt;&lt;/ruby&gt;&lt;br&gt;&lt;div class=""audio""&gt;[sound:こうじゅつ.mp3]&lt;/div&gt;")</f>
        <v>&lt;ruby&gt;口述&lt;rt&gt;こうじゅつ&lt;/rt&gt;&lt;/ruby&gt;&lt;br&gt;&lt;div class="audio"&gt;[sound:こうじゅつ.mp3]&lt;/div&gt;</v>
      </c>
      <c r="H5500" s="3" t="str">
        <f t="shared" si="1"/>
        <v>(n): sự thuật lại</v>
      </c>
      <c r="I5500" s="6" t="s">
        <v>29968</v>
      </c>
      <c r="J5500" s="6" t="s">
        <v>29969</v>
      </c>
      <c r="K5500" s="7">
        <f t="shared" si="2"/>
        <v>0.4579862665</v>
      </c>
    </row>
    <row r="5501">
      <c r="A5501" s="4">
        <v>5501.0</v>
      </c>
      <c r="B5501" s="5" t="s">
        <v>29970</v>
      </c>
      <c r="C5501" s="5" t="s">
        <v>29971</v>
      </c>
      <c r="D5501" s="5" t="s">
        <v>29972</v>
      </c>
      <c r="E5501" s="6" t="s">
        <v>74</v>
      </c>
      <c r="F5501" s="6" t="s">
        <v>29973</v>
      </c>
      <c r="G5501" s="3" t="str">
        <f>IFERROR(__xludf.DUMMYFUNCTION("REGEXREPLACE(
D5501,
""([一-龯々]+)\[([^\]]+)\]"",
""&lt;ruby&gt;$1&lt;rt&gt;$2&lt;/rt&gt;&lt;/ruby&gt;""
)&amp;""&lt;br&gt;&lt;div class=""""audio""""&gt;[sound:""&amp;C5501&amp;"".mp3]&lt;/div&gt;"""),"&lt;ruby&gt;吹奏&lt;rt&gt;すいそう&lt;/rt&gt;&lt;/ruby&gt;&lt;br&gt;&lt;div class=""audio""&gt;[sound:すいそう.mp3]&lt;/div&gt;")</f>
        <v>&lt;ruby&gt;吹奏&lt;rt&gt;すいそう&lt;/rt&gt;&lt;/ruby&gt;&lt;br&gt;&lt;div class="audio"&gt;[sound:すいそう.mp3]&lt;/div&gt;</v>
      </c>
      <c r="H5501" s="3" t="str">
        <f t="shared" si="1"/>
        <v>(n): sự thổi nhạc</v>
      </c>
      <c r="I5501" s="6" t="s">
        <v>29974</v>
      </c>
      <c r="J5501" s="6" t="s">
        <v>29975</v>
      </c>
      <c r="K5501" s="7">
        <f t="shared" si="2"/>
        <v>0.8419922395</v>
      </c>
    </row>
    <row r="5502">
      <c r="A5502" s="4">
        <v>5502.0</v>
      </c>
      <c r="B5502" s="5" t="s">
        <v>29976</v>
      </c>
      <c r="C5502" s="5" t="s">
        <v>12807</v>
      </c>
      <c r="D5502" s="5" t="s">
        <v>29977</v>
      </c>
      <c r="E5502" s="6" t="s">
        <v>74</v>
      </c>
      <c r="F5502" s="6" t="s">
        <v>29978</v>
      </c>
      <c r="G5502" s="3" t="str">
        <f>IFERROR(__xludf.DUMMYFUNCTION("REGEXREPLACE(
D5502,
""([一-龯々]+)\[([^\]]+)\]"",
""&lt;ruby&gt;$1&lt;rt&gt;$2&lt;/rt&gt;&lt;/ruby&gt;""
)&amp;""&lt;br&gt;&lt;div class=""""audio""""&gt;[sound:""&amp;C5502&amp;"".mp3]&lt;/div&gt;"""),"&lt;ruby&gt;回送&lt;rt&gt;かいそう&lt;/rt&gt;&lt;/ruby&gt;&lt;br&gt;&lt;div class=""audio""&gt;[sound:かいそう.mp3]&lt;/div&gt;")</f>
        <v>&lt;ruby&gt;回送&lt;rt&gt;かいそう&lt;/rt&gt;&lt;/ruby&gt;&lt;br&gt;&lt;div class="audio"&gt;[sound:かいそう.mp3]&lt;/div&gt;</v>
      </c>
      <c r="H5502" s="3" t="str">
        <f t="shared" si="1"/>
        <v>(n): sự chuyển xe</v>
      </c>
      <c r="I5502" s="6" t="s">
        <v>29979</v>
      </c>
      <c r="J5502" s="6" t="s">
        <v>29980</v>
      </c>
      <c r="K5502" s="7">
        <f t="shared" si="2"/>
        <v>0.304594393</v>
      </c>
    </row>
    <row r="5503">
      <c r="A5503" s="4">
        <v>5503.0</v>
      </c>
      <c r="B5503" s="5" t="s">
        <v>29981</v>
      </c>
      <c r="C5503" s="5" t="s">
        <v>29982</v>
      </c>
      <c r="D5503" s="5" t="s">
        <v>29983</v>
      </c>
      <c r="E5503" s="6" t="s">
        <v>74</v>
      </c>
      <c r="F5503" s="6" t="s">
        <v>29984</v>
      </c>
      <c r="G5503" s="3" t="str">
        <f>IFERROR(__xludf.DUMMYFUNCTION("REGEXREPLACE(
D5503,
""([一-龯々]+)\[([^\]]+)\]"",
""&lt;ruby&gt;$1&lt;rt&gt;$2&lt;/rt&gt;&lt;/ruby&gt;""
)&amp;""&lt;br&gt;&lt;div class=""""audio""""&gt;[sound:""&amp;C5503&amp;"".mp3]&lt;/div&gt;"""),"&lt;ruby&gt;安静&lt;rt&gt;あんせい&lt;/rt&gt;&lt;/ruby&gt;&lt;br&gt;&lt;div class=""audio""&gt;[sound:あんせい.mp3]&lt;/div&gt;")</f>
        <v>&lt;ruby&gt;安静&lt;rt&gt;あんせい&lt;/rt&gt;&lt;/ruby&gt;&lt;br&gt;&lt;div class="audio"&gt;[sound:あんせい.mp3]&lt;/div&gt;</v>
      </c>
      <c r="H5503" s="3" t="str">
        <f t="shared" si="1"/>
        <v>(n): sự nghỉ ngơi</v>
      </c>
      <c r="I5503" s="6" t="s">
        <v>29985</v>
      </c>
      <c r="J5503" s="6" t="s">
        <v>29986</v>
      </c>
      <c r="K5503" s="7">
        <f t="shared" si="2"/>
        <v>0.4405120478</v>
      </c>
    </row>
    <row r="5504">
      <c r="A5504" s="4">
        <v>5504.0</v>
      </c>
      <c r="B5504" s="5" t="s">
        <v>29987</v>
      </c>
      <c r="C5504" s="5" t="s">
        <v>29988</v>
      </c>
      <c r="D5504" s="5" t="s">
        <v>29989</v>
      </c>
      <c r="E5504" s="6" t="s">
        <v>74</v>
      </c>
      <c r="F5504" s="6" t="s">
        <v>29990</v>
      </c>
      <c r="G5504" s="3" t="str">
        <f>IFERROR(__xludf.DUMMYFUNCTION("REGEXREPLACE(
D5504,
""([一-龯々]+)\[([^\]]+)\]"",
""&lt;ruby&gt;$1&lt;rt&gt;$2&lt;/rt&gt;&lt;/ruby&gt;""
)&amp;""&lt;br&gt;&lt;div class=""""audio""""&gt;[sound:""&amp;C5504&amp;"".mp3]&lt;/div&gt;"""),"&lt;ruby&gt;束縛&lt;rt&gt;そくばく&lt;/rt&gt;&lt;/ruby&gt;&lt;br&gt;&lt;div class=""audio""&gt;[sound:そくばく.mp3]&lt;/div&gt;")</f>
        <v>&lt;ruby&gt;束縛&lt;rt&gt;そくばく&lt;/rt&gt;&lt;/ruby&gt;&lt;br&gt;&lt;div class="audio"&gt;[sound:そくばく.mp3]&lt;/div&gt;</v>
      </c>
      <c r="H5504" s="3" t="str">
        <f t="shared" si="1"/>
        <v>(n): sự trói buộc</v>
      </c>
      <c r="I5504" s="6" t="s">
        <v>29991</v>
      </c>
      <c r="J5504" s="6" t="s">
        <v>29992</v>
      </c>
      <c r="K5504" s="7">
        <f t="shared" si="2"/>
        <v>0.8581345595</v>
      </c>
    </row>
    <row r="5505">
      <c r="A5505" s="4">
        <v>5505.0</v>
      </c>
      <c r="B5505" s="5" t="s">
        <v>29993</v>
      </c>
      <c r="C5505" s="5" t="s">
        <v>29994</v>
      </c>
      <c r="D5505" s="5" t="s">
        <v>29995</v>
      </c>
      <c r="E5505" s="6" t="s">
        <v>74</v>
      </c>
      <c r="F5505" s="6" t="s">
        <v>29996</v>
      </c>
      <c r="G5505" s="3" t="str">
        <f>IFERROR(__xludf.DUMMYFUNCTION("REGEXREPLACE(
D5505,
""([一-龯々]+)\[([^\]]+)\]"",
""&lt;ruby&gt;$1&lt;rt&gt;$2&lt;/rt&gt;&lt;/ruby&gt;""
)&amp;""&lt;br&gt;&lt;div class=""""audio""""&gt;[sound:""&amp;C5505&amp;"".mp3]&lt;/div&gt;"""),"&lt;ruby&gt;解剖&lt;rt&gt;かいぼう&lt;/rt&gt;&lt;/ruby&gt;&lt;br&gt;&lt;div class=""audio""&gt;[sound:かいぼう.mp3]&lt;/div&gt;")</f>
        <v>&lt;ruby&gt;解剖&lt;rt&gt;かいぼう&lt;/rt&gt;&lt;/ruby&gt;&lt;br&gt;&lt;div class="audio"&gt;[sound:かいぼう.mp3]&lt;/div&gt;</v>
      </c>
      <c r="H5505" s="3" t="str">
        <f t="shared" si="1"/>
        <v>(n): sự giải phẫu</v>
      </c>
      <c r="I5505" s="6" t="s">
        <v>29997</v>
      </c>
      <c r="J5505" s="6" t="s">
        <v>29998</v>
      </c>
      <c r="K5505" s="7">
        <f t="shared" si="2"/>
        <v>0.7426309945</v>
      </c>
    </row>
    <row r="5506">
      <c r="A5506" s="4">
        <v>5506.0</v>
      </c>
      <c r="B5506" s="5" t="s">
        <v>29999</v>
      </c>
      <c r="C5506" s="5" t="s">
        <v>30000</v>
      </c>
      <c r="D5506" s="5" t="s">
        <v>30001</v>
      </c>
      <c r="E5506" s="6" t="s">
        <v>74</v>
      </c>
      <c r="F5506" s="6" t="s">
        <v>30002</v>
      </c>
      <c r="G5506" s="3" t="str">
        <f>IFERROR(__xludf.DUMMYFUNCTION("REGEXREPLACE(
D5506,
""([一-龯々]+)\[([^\]]+)\]"",
""&lt;ruby&gt;$1&lt;rt&gt;$2&lt;/rt&gt;&lt;/ruby&gt;""
)&amp;""&lt;br&gt;&lt;div class=""""audio""""&gt;[sound:""&amp;C5506&amp;"".mp3]&lt;/div&gt;"""),"&lt;ruby&gt;誇張&lt;rt&gt;こちょう&lt;/rt&gt;&lt;/ruby&gt;&lt;br&gt;&lt;div class=""audio""&gt;[sound:こちょう.mp3]&lt;/div&gt;")</f>
        <v>&lt;ruby&gt;誇張&lt;rt&gt;こちょう&lt;/rt&gt;&lt;/ruby&gt;&lt;br&gt;&lt;div class="audio"&gt;[sound:こちょう.mp3]&lt;/div&gt;</v>
      </c>
      <c r="H5506" s="3" t="str">
        <f t="shared" si="1"/>
        <v>(n): sự phóng đại</v>
      </c>
      <c r="I5506" s="6" t="s">
        <v>30003</v>
      </c>
      <c r="J5506" s="6" t="s">
        <v>30004</v>
      </c>
      <c r="K5506" s="7">
        <f t="shared" si="2"/>
        <v>0.1070847969</v>
      </c>
    </row>
    <row r="5507">
      <c r="A5507" s="4">
        <v>5507.0</v>
      </c>
      <c r="B5507" s="5" t="s">
        <v>30005</v>
      </c>
      <c r="C5507" s="5" t="s">
        <v>30006</v>
      </c>
      <c r="D5507" s="5" t="s">
        <v>30007</v>
      </c>
      <c r="E5507" s="6" t="s">
        <v>74</v>
      </c>
      <c r="F5507" s="6" t="s">
        <v>30008</v>
      </c>
      <c r="G5507" s="3" t="str">
        <f>IFERROR(__xludf.DUMMYFUNCTION("REGEXREPLACE(
D5507,
""([一-龯々]+)\[([^\]]+)\]"",
""&lt;ruby&gt;$1&lt;rt&gt;$2&lt;/rt&gt;&lt;/ruby&gt;""
)&amp;""&lt;br&gt;&lt;div class=""""audio""""&gt;[sound:""&amp;C5507&amp;"".mp3]&lt;/div&gt;"""),"&lt;ruby&gt;赴任&lt;rt&gt;ふにん&lt;/rt&gt;&lt;/ruby&gt;&lt;br&gt;&lt;div class=""audio""&gt;[sound:ふにん.mp3]&lt;/div&gt;")</f>
        <v>&lt;ruby&gt;赴任&lt;rt&gt;ふにん&lt;/rt&gt;&lt;/ruby&gt;&lt;br&gt;&lt;div class="audio"&gt;[sound:ふにん.mp3]&lt;/div&gt;</v>
      </c>
      <c r="H5507" s="3" t="str">
        <f t="shared" si="1"/>
        <v>(n): sự nhậm chức</v>
      </c>
      <c r="I5507" s="6" t="s">
        <v>30009</v>
      </c>
      <c r="J5507" s="6" t="s">
        <v>30010</v>
      </c>
      <c r="K5507" s="7">
        <f t="shared" si="2"/>
        <v>0.2192633601</v>
      </c>
    </row>
    <row r="5508">
      <c r="A5508" s="4">
        <v>5508.0</v>
      </c>
      <c r="B5508" s="5" t="s">
        <v>30011</v>
      </c>
      <c r="C5508" s="5" t="s">
        <v>30012</v>
      </c>
      <c r="D5508" s="5" t="s">
        <v>30013</v>
      </c>
      <c r="E5508" s="6" t="s">
        <v>74</v>
      </c>
      <c r="F5508" s="6" t="s">
        <v>30014</v>
      </c>
      <c r="G5508" s="3" t="str">
        <f>IFERROR(__xludf.DUMMYFUNCTION("REGEXREPLACE(
D5508,
""([一-龯々]+)\[([^\]]+)\]"",
""&lt;ruby&gt;$1&lt;rt&gt;$2&lt;/rt&gt;&lt;/ruby&gt;""
)&amp;""&lt;br&gt;&lt;div class=""""audio""""&gt;[sound:""&amp;C5508&amp;"".mp3]&lt;/div&gt;"""),"&lt;ruby&gt;退化&lt;rt&gt;たいか&lt;/rt&gt;&lt;/ruby&gt;&lt;br&gt;&lt;div class=""audio""&gt;[sound:たいか.mp3]&lt;/div&gt;")</f>
        <v>&lt;ruby&gt;退化&lt;rt&gt;たいか&lt;/rt&gt;&lt;/ruby&gt;&lt;br&gt;&lt;div class="audio"&gt;[sound:たいか.mp3]&lt;/div&gt;</v>
      </c>
      <c r="H5508" s="3" t="str">
        <f t="shared" si="1"/>
        <v>(n): sự thoái hóa</v>
      </c>
      <c r="I5508" s="6" t="s">
        <v>30015</v>
      </c>
      <c r="J5508" s="6" t="s">
        <v>30016</v>
      </c>
      <c r="K5508" s="7">
        <f t="shared" si="2"/>
        <v>0.7278775559</v>
      </c>
    </row>
    <row r="5509">
      <c r="A5509" s="4">
        <v>5509.0</v>
      </c>
      <c r="B5509" s="5" t="s">
        <v>30017</v>
      </c>
      <c r="C5509" s="5" t="s">
        <v>30018</v>
      </c>
      <c r="D5509" s="5" t="s">
        <v>30019</v>
      </c>
      <c r="E5509" s="6" t="s">
        <v>74</v>
      </c>
      <c r="F5509" s="6" t="s">
        <v>12279</v>
      </c>
      <c r="G5509" s="3" t="str">
        <f>IFERROR(__xludf.DUMMYFUNCTION("REGEXREPLACE(
D5509,
""([一-龯々]+)\[([^\]]+)\]"",
""&lt;ruby&gt;$1&lt;rt&gt;$2&lt;/rt&gt;&lt;/ruby&gt;""
)&amp;""&lt;br&gt;&lt;div class=""""audio""""&gt;[sound:""&amp;C5509&amp;"".mp3]&lt;/div&gt;"""),"&lt;ruby&gt;陳列&lt;rt&gt;ちんれつ&lt;/rt&gt;&lt;/ruby&gt;&lt;br&gt;&lt;div class=""audio""&gt;[sound:ちんれつ.mp3]&lt;/div&gt;")</f>
        <v>&lt;ruby&gt;陳列&lt;rt&gt;ちんれつ&lt;/rt&gt;&lt;/ruby&gt;&lt;br&gt;&lt;div class="audio"&gt;[sound:ちんれつ.mp3]&lt;/div&gt;</v>
      </c>
      <c r="H5509" s="3" t="str">
        <f t="shared" si="1"/>
        <v>(n): sự trưng bày</v>
      </c>
      <c r="I5509" s="6" t="s">
        <v>30020</v>
      </c>
      <c r="J5509" s="6" t="s">
        <v>30021</v>
      </c>
      <c r="K5509" s="7">
        <f t="shared" si="2"/>
        <v>0.07371143645</v>
      </c>
    </row>
    <row r="5510">
      <c r="A5510" s="4">
        <v>5510.0</v>
      </c>
      <c r="B5510" s="5" t="s">
        <v>30022</v>
      </c>
      <c r="C5510" s="5" t="s">
        <v>30022</v>
      </c>
      <c r="D5510" s="5" t="s">
        <v>30022</v>
      </c>
      <c r="E5510" s="6" t="s">
        <v>24</v>
      </c>
      <c r="F5510" s="6" t="s">
        <v>30023</v>
      </c>
      <c r="G5510" s="3" t="str">
        <f>IFERROR(__xludf.DUMMYFUNCTION("REGEXREPLACE(
D5510,
""([一-龯々]+)\[([^\]]+)\]"",
""&lt;ruby&gt;$1&lt;rt&gt;$2&lt;/rt&gt;&lt;/ruby&gt;""
)&amp;""&lt;br&gt;&lt;div class=""""audio""""&gt;[sound:""&amp;C5510&amp;"".mp3]&lt;/div&gt;"""),"とがめる&lt;br&gt;&lt;div class=""audio""&gt;[sound:とがめる.mp3]&lt;/div&gt;")</f>
        <v>とがめる&lt;br&gt;&lt;div class="audio"&gt;[sound:とがめる.mp3]&lt;/div&gt;</v>
      </c>
      <c r="H5510" s="3" t="str">
        <f t="shared" si="1"/>
        <v>(v): khiển trách</v>
      </c>
      <c r="I5510" s="6" t="s">
        <v>30024</v>
      </c>
      <c r="J5510" s="6" t="s">
        <v>30025</v>
      </c>
      <c r="K5510" s="7">
        <f t="shared" si="2"/>
        <v>0.9540415367</v>
      </c>
    </row>
    <row r="5511">
      <c r="A5511" s="4">
        <v>5511.0</v>
      </c>
      <c r="B5511" s="5" t="s">
        <v>30026</v>
      </c>
      <c r="C5511" s="5" t="s">
        <v>30027</v>
      </c>
      <c r="D5511" s="5" t="s">
        <v>30026</v>
      </c>
      <c r="E5511" s="6" t="s">
        <v>74</v>
      </c>
      <c r="F5511" s="6" t="s">
        <v>30028</v>
      </c>
      <c r="G5511" s="3" t="str">
        <f>IFERROR(__xludf.DUMMYFUNCTION("REGEXREPLACE(
D5511,
""([一-龯々]+)\[([^\]]+)\]"",
""&lt;ruby&gt;$1&lt;rt&gt;$2&lt;/rt&gt;&lt;/ruby&gt;""
)&amp;""&lt;br&gt;&lt;div class=""""audio""""&gt;[sound:""&amp;C5511&amp;"".mp3]&lt;/div&gt;"""),"ネガ&lt;br&gt;&lt;div class=""audio""&gt;[sound:ねが.mp3]&lt;/div&gt;")</f>
        <v>ネガ&lt;br&gt;&lt;div class="audio"&gt;[sound:ねが.mp3]&lt;/div&gt;</v>
      </c>
      <c r="H5511" s="3" t="str">
        <f t="shared" si="1"/>
        <v>(n): phim âm bản</v>
      </c>
      <c r="I5511" s="6" t="s">
        <v>30029</v>
      </c>
      <c r="J5511" s="6" t="s">
        <v>30030</v>
      </c>
      <c r="K5511" s="7">
        <f t="shared" si="2"/>
        <v>0.3777864968</v>
      </c>
    </row>
    <row r="5512">
      <c r="A5512" s="4">
        <v>5512.0</v>
      </c>
      <c r="B5512" s="5" t="s">
        <v>30031</v>
      </c>
      <c r="C5512" s="5" t="s">
        <v>30032</v>
      </c>
      <c r="D5512" s="5" t="s">
        <v>30033</v>
      </c>
      <c r="E5512" s="6" t="s">
        <v>74</v>
      </c>
      <c r="F5512" s="6" t="s">
        <v>30034</v>
      </c>
      <c r="G5512" s="3" t="str">
        <f>IFERROR(__xludf.DUMMYFUNCTION("REGEXREPLACE(
D5512,
""([一-龯々]+)\[([^\]]+)\]"",
""&lt;ruby&gt;$1&lt;rt&gt;$2&lt;/rt&gt;&lt;/ruby&gt;""
)&amp;""&lt;br&gt;&lt;div class=""""audio""""&gt;[sound:""&amp;C5512&amp;"".mp3]&lt;/div&gt;"""),"&lt;ruby&gt;他動詞&lt;rt&gt;たどうし&lt;/rt&gt;&lt;/ruby&gt;&lt;br&gt;&lt;div class=""audio""&gt;[sound:たどうし.mp3]&lt;/div&gt;")</f>
        <v>&lt;ruby&gt;他動詞&lt;rt&gt;たどうし&lt;/rt&gt;&lt;/ruby&gt;&lt;br&gt;&lt;div class="audio"&gt;[sound:たどうし.mp3]&lt;/div&gt;</v>
      </c>
      <c r="H5512" s="3" t="str">
        <f t="shared" si="1"/>
        <v>(n): ngoại động từ</v>
      </c>
      <c r="I5512" s="6" t="s">
        <v>30035</v>
      </c>
      <c r="J5512" s="6" t="s">
        <v>30036</v>
      </c>
      <c r="K5512" s="7">
        <f t="shared" si="2"/>
        <v>0.008514609875</v>
      </c>
    </row>
    <row r="5513">
      <c r="A5513" s="4">
        <v>5513.0</v>
      </c>
      <c r="B5513" s="5" t="s">
        <v>30037</v>
      </c>
      <c r="C5513" s="5" t="s">
        <v>30038</v>
      </c>
      <c r="D5513" s="5" t="s">
        <v>30039</v>
      </c>
      <c r="E5513" s="6" t="s">
        <v>11</v>
      </c>
      <c r="F5513" s="6" t="s">
        <v>30040</v>
      </c>
      <c r="G5513" s="3" t="str">
        <f>IFERROR(__xludf.DUMMYFUNCTION("REGEXREPLACE(
D5513,
""([一-龯々]+)\[([^\]]+)\]"",
""&lt;ruby&gt;$1&lt;rt&gt;$2&lt;/rt&gt;&lt;/ruby&gt;""
)&amp;""&lt;br&gt;&lt;div class=""""audio""""&gt;[sound:""&amp;C5513&amp;"".mp3]&lt;/div&gt;"""),"&lt;ruby&gt;善良&lt;rt&gt;ぜんりょう&lt;/rt&gt;&lt;/ruby&gt;&lt;br&gt;&lt;div class=""audio""&gt;[sound:ぜんりょう.mp3]&lt;/div&gt;")</f>
        <v>&lt;ruby&gt;善良&lt;rt&gt;ぜんりょう&lt;/rt&gt;&lt;/ruby&gt;&lt;br&gt;&lt;div class="audio"&gt;[sound:ぜんりょう.mp3]&lt;/div&gt;</v>
      </c>
      <c r="H5513" s="3" t="str">
        <f t="shared" si="1"/>
        <v>(adj): lương thiện</v>
      </c>
      <c r="I5513" s="6" t="s">
        <v>30041</v>
      </c>
      <c r="J5513" s="6" t="s">
        <v>30042</v>
      </c>
      <c r="K5513" s="7">
        <f t="shared" si="2"/>
        <v>0.527353168</v>
      </c>
    </row>
    <row r="5514">
      <c r="A5514" s="4">
        <v>5514.0</v>
      </c>
      <c r="B5514" s="5" t="s">
        <v>30043</v>
      </c>
      <c r="C5514" s="5" t="s">
        <v>4694</v>
      </c>
      <c r="D5514" s="5" t="s">
        <v>30044</v>
      </c>
      <c r="E5514" s="6" t="s">
        <v>74</v>
      </c>
      <c r="F5514" s="6" t="s">
        <v>30045</v>
      </c>
      <c r="G5514" s="3" t="str">
        <f>IFERROR(__xludf.DUMMYFUNCTION("REGEXREPLACE(
D5514,
""([一-龯々]+)\[([^\]]+)\]"",
""&lt;ruby&gt;$1&lt;rt&gt;$2&lt;/rt&gt;&lt;/ruby&gt;""
)&amp;""&lt;br&gt;&lt;div class=""""audio""""&gt;[sound:""&amp;C5514&amp;"".mp3]&lt;/div&gt;"""),"&lt;ruby&gt;嗜好&lt;rt&gt;しこう&lt;/rt&gt;&lt;/ruby&gt;&lt;br&gt;&lt;div class=""audio""&gt;[sound:しこう.mp3]&lt;/div&gt;")</f>
        <v>&lt;ruby&gt;嗜好&lt;rt&gt;しこう&lt;/rt&gt;&lt;/ruby&gt;&lt;br&gt;&lt;div class="audio"&gt;[sound:しこう.mp3]&lt;/div&gt;</v>
      </c>
      <c r="H5514" s="3" t="str">
        <f t="shared" si="1"/>
        <v>(n): sự ưa thích</v>
      </c>
      <c r="I5514" s="6" t="s">
        <v>30046</v>
      </c>
      <c r="J5514" s="6" t="s">
        <v>30047</v>
      </c>
      <c r="K5514" s="7">
        <f t="shared" si="2"/>
        <v>0.01804740145</v>
      </c>
    </row>
    <row r="5515">
      <c r="A5515" s="4">
        <v>5515.0</v>
      </c>
      <c r="B5515" s="5" t="s">
        <v>30048</v>
      </c>
      <c r="C5515" s="5" t="s">
        <v>30049</v>
      </c>
      <c r="D5515" s="5" t="s">
        <v>30050</v>
      </c>
      <c r="E5515" s="6" t="s">
        <v>74</v>
      </c>
      <c r="F5515" s="6" t="s">
        <v>30051</v>
      </c>
      <c r="G5515" s="3" t="str">
        <f>IFERROR(__xludf.DUMMYFUNCTION("REGEXREPLACE(
D5515,
""([一-龯々]+)\[([^\]]+)\]"",
""&lt;ruby&gt;$1&lt;rt&gt;$2&lt;/rt&gt;&lt;/ruby&gt;""
)&amp;""&lt;br&gt;&lt;div class=""""audio""""&gt;[sound:""&amp;C5515&amp;"".mp3]&lt;/div&gt;"""),"&lt;ruby&gt;変遷&lt;rt&gt;へんせん&lt;/rt&gt;&lt;/ruby&gt;&lt;br&gt;&lt;div class=""audio""&gt;[sound:へんせん.mp3]&lt;/div&gt;")</f>
        <v>&lt;ruby&gt;変遷&lt;rt&gt;へんせん&lt;/rt&gt;&lt;/ruby&gt;&lt;br&gt;&lt;div class="audio"&gt;[sound:へんせん.mp3]&lt;/div&gt;</v>
      </c>
      <c r="H5515" s="3" t="str">
        <f t="shared" si="1"/>
        <v>(n): sự biến đổi</v>
      </c>
      <c r="I5515" s="6" t="s">
        <v>30052</v>
      </c>
      <c r="J5515" s="6" t="s">
        <v>30053</v>
      </c>
      <c r="K5515" s="7">
        <f t="shared" si="2"/>
        <v>0.4385687855</v>
      </c>
    </row>
    <row r="5516">
      <c r="A5516" s="4">
        <v>5516.0</v>
      </c>
      <c r="B5516" s="5" t="s">
        <v>30054</v>
      </c>
      <c r="C5516" s="5" t="s">
        <v>30055</v>
      </c>
      <c r="D5516" s="5" t="s">
        <v>30056</v>
      </c>
      <c r="E5516" s="6" t="s">
        <v>74</v>
      </c>
      <c r="F5516" s="6" t="s">
        <v>30057</v>
      </c>
      <c r="G5516" s="3" t="str">
        <f>IFERROR(__xludf.DUMMYFUNCTION("REGEXREPLACE(
D5516,
""([一-龯々]+)\[([^\]]+)\]"",
""&lt;ruby&gt;$1&lt;rt&gt;$2&lt;/rt&gt;&lt;/ruby&gt;""
)&amp;""&lt;br&gt;&lt;div class=""""audio""""&gt;[sound:""&amp;C5516&amp;"".mp3]&lt;/div&gt;"""),"&lt;ruby&gt;失脚&lt;rt&gt;しっきゃく&lt;/rt&gt;&lt;/ruby&gt;&lt;br&gt;&lt;div class=""audio""&gt;[sound:しっきゃく.mp3]&lt;/div&gt;")</f>
        <v>&lt;ruby&gt;失脚&lt;rt&gt;しっきゃく&lt;/rt&gt;&lt;/ruby&gt;&lt;br&gt;&lt;div class="audio"&gt;[sound:しっきゃく.mp3]&lt;/div&gt;</v>
      </c>
      <c r="H5516" s="3" t="str">
        <f t="shared" si="1"/>
        <v>(n): sự mất chức</v>
      </c>
      <c r="I5516" s="6" t="s">
        <v>30058</v>
      </c>
      <c r="J5516" s="6" t="s">
        <v>30059</v>
      </c>
      <c r="K5516" s="7">
        <f t="shared" si="2"/>
        <v>0.5984119924</v>
      </c>
    </row>
    <row r="5517">
      <c r="A5517" s="4">
        <v>5517.0</v>
      </c>
      <c r="B5517" s="5" t="s">
        <v>30060</v>
      </c>
      <c r="C5517" s="5" t="s">
        <v>18681</v>
      </c>
      <c r="D5517" s="5" t="s">
        <v>30061</v>
      </c>
      <c r="E5517" s="6" t="s">
        <v>74</v>
      </c>
      <c r="F5517" s="6" t="s">
        <v>30062</v>
      </c>
      <c r="G5517" s="3" t="str">
        <f>IFERROR(__xludf.DUMMYFUNCTION("REGEXREPLACE(
D5517,
""([一-龯々]+)\[([^\]]+)\]"",
""&lt;ruby&gt;$1&lt;rt&gt;$2&lt;/rt&gt;&lt;/ruby&gt;""
)&amp;""&lt;br&gt;&lt;div class=""""audio""""&gt;[sound:""&amp;C5517&amp;"".mp3]&lt;/div&gt;"""),"&lt;ruby&gt;漢語&lt;rt&gt;かんご&lt;/rt&gt;&lt;/ruby&gt;&lt;br&gt;&lt;div class=""audio""&gt;[sound:かんご.mp3]&lt;/div&gt;")</f>
        <v>&lt;ruby&gt;漢語&lt;rt&gt;かんご&lt;/rt&gt;&lt;/ruby&gt;&lt;br&gt;&lt;div class="audio"&gt;[sound:かんご.mp3]&lt;/div&gt;</v>
      </c>
      <c r="H5517" s="3" t="str">
        <f t="shared" si="1"/>
        <v>(n): từ hán nhật</v>
      </c>
      <c r="I5517" s="6" t="s">
        <v>30063</v>
      </c>
      <c r="J5517" s="6" t="s">
        <v>30064</v>
      </c>
      <c r="K5517" s="7">
        <f t="shared" si="2"/>
        <v>0.9083359413</v>
      </c>
    </row>
    <row r="5518">
      <c r="A5518" s="4">
        <v>5518.0</v>
      </c>
      <c r="B5518" s="5" t="s">
        <v>30065</v>
      </c>
      <c r="C5518" s="5" t="s">
        <v>30066</v>
      </c>
      <c r="D5518" s="5" t="s">
        <v>30067</v>
      </c>
      <c r="E5518" s="6" t="s">
        <v>74</v>
      </c>
      <c r="F5518" s="6" t="s">
        <v>30068</v>
      </c>
      <c r="G5518" s="3" t="str">
        <f>IFERROR(__xludf.DUMMYFUNCTION("REGEXREPLACE(
D5518,
""([一-龯々]+)\[([^\]]+)\]"",
""&lt;ruby&gt;$1&lt;rt&gt;$2&lt;/rt&gt;&lt;/ruby&gt;""
)&amp;""&lt;br&gt;&lt;div class=""""audio""""&gt;[sound:""&amp;C5518&amp;"".mp3]&lt;/div&gt;"""),"&lt;ruby&gt;燃焼&lt;rt&gt;ねんしょう&lt;/rt&gt;&lt;/ruby&gt;&lt;br&gt;&lt;div class=""audio""&gt;[sound:ねんしょう.mp3]&lt;/div&gt;")</f>
        <v>&lt;ruby&gt;燃焼&lt;rt&gt;ねんしょう&lt;/rt&gt;&lt;/ruby&gt;&lt;br&gt;&lt;div class="audio"&gt;[sound:ねんしょう.mp3]&lt;/div&gt;</v>
      </c>
      <c r="H5518" s="3" t="str">
        <f t="shared" si="1"/>
        <v>(n): sự đốt cháy</v>
      </c>
      <c r="I5518" s="6" t="s">
        <v>30069</v>
      </c>
      <c r="J5518" s="6" t="s">
        <v>30070</v>
      </c>
      <c r="K5518" s="7">
        <f t="shared" si="2"/>
        <v>0.2870030502</v>
      </c>
    </row>
    <row r="5519">
      <c r="A5519" s="4">
        <v>5519.0</v>
      </c>
      <c r="B5519" s="5" t="s">
        <v>30071</v>
      </c>
      <c r="C5519" s="5" t="s">
        <v>30072</v>
      </c>
      <c r="D5519" s="5" t="s">
        <v>30073</v>
      </c>
      <c r="E5519" s="6" t="s">
        <v>74</v>
      </c>
      <c r="F5519" s="6" t="s">
        <v>30074</v>
      </c>
      <c r="G5519" s="3" t="str">
        <f>IFERROR(__xludf.DUMMYFUNCTION("REGEXREPLACE(
D5519,
""([一-龯々]+)\[([^\]]+)\]"",
""&lt;ruby&gt;$1&lt;rt&gt;$2&lt;/rt&gt;&lt;/ruby&gt;""
)&amp;""&lt;br&gt;&lt;div class=""""audio""""&gt;[sound:""&amp;C5519&amp;"".mp3]&lt;/div&gt;"""),"&lt;ruby&gt;申出&lt;rt&gt;もうしで&lt;/rt&gt;&lt;/ruby&gt;&lt;br&gt;&lt;div class=""audio""&gt;[sound:もうしで.mp3]&lt;/div&gt;")</f>
        <v>&lt;ruby&gt;申出&lt;rt&gt;もうしで&lt;/rt&gt;&lt;/ruby&gt;&lt;br&gt;&lt;div class="audio"&gt;[sound:もうしで.mp3]&lt;/div&gt;</v>
      </c>
      <c r="H5519" s="3" t="str">
        <f t="shared" si="1"/>
        <v>(n): đơn đề nghị</v>
      </c>
      <c r="I5519" s="6" t="s">
        <v>30075</v>
      </c>
      <c r="J5519" s="6" t="s">
        <v>30076</v>
      </c>
      <c r="K5519" s="7">
        <f t="shared" si="2"/>
        <v>0.2442384551</v>
      </c>
    </row>
    <row r="5520">
      <c r="A5520" s="4">
        <v>5520.0</v>
      </c>
      <c r="B5520" s="5" t="s">
        <v>30077</v>
      </c>
      <c r="C5520" s="5" t="s">
        <v>30078</v>
      </c>
      <c r="D5520" s="5" t="s">
        <v>30079</v>
      </c>
      <c r="E5520" s="6" t="s">
        <v>74</v>
      </c>
      <c r="F5520" s="6" t="s">
        <v>30080</v>
      </c>
      <c r="G5520" s="3" t="str">
        <f>IFERROR(__xludf.DUMMYFUNCTION("REGEXREPLACE(
D5520,
""([一-龯々]+)\[([^\]]+)\]"",
""&lt;ruby&gt;$1&lt;rt&gt;$2&lt;/rt&gt;&lt;/ruby&gt;""
)&amp;""&lt;br&gt;&lt;div class=""""audio""""&gt;[sound:""&amp;C5520&amp;"".mp3]&lt;/div&gt;"""),"&lt;ruby&gt;短縮&lt;rt&gt;たんしゅく&lt;/rt&gt;&lt;/ruby&gt;&lt;br&gt;&lt;div class=""audio""&gt;[sound:たんしゅく.mp3]&lt;/div&gt;")</f>
        <v>&lt;ruby&gt;短縮&lt;rt&gt;たんしゅく&lt;/rt&gt;&lt;/ruby&gt;&lt;br&gt;&lt;div class="audio"&gt;[sound:たんしゅく.mp3]&lt;/div&gt;</v>
      </c>
      <c r="H5520" s="3" t="str">
        <f t="shared" si="1"/>
        <v>(n): sự rút ngắn</v>
      </c>
      <c r="I5520" s="6" t="s">
        <v>30081</v>
      </c>
      <c r="J5520" s="6" t="s">
        <v>30082</v>
      </c>
      <c r="K5520" s="7">
        <f t="shared" si="2"/>
        <v>0.8665030678</v>
      </c>
    </row>
    <row r="5521">
      <c r="A5521" s="4">
        <v>5521.0</v>
      </c>
      <c r="B5521" s="5" t="s">
        <v>30083</v>
      </c>
      <c r="C5521" s="5" t="s">
        <v>30084</v>
      </c>
      <c r="D5521" s="5" t="s">
        <v>30085</v>
      </c>
      <c r="E5521" s="6" t="s">
        <v>74</v>
      </c>
      <c r="F5521" s="6" t="s">
        <v>30086</v>
      </c>
      <c r="G5521" s="3" t="str">
        <f>IFERROR(__xludf.DUMMYFUNCTION("REGEXREPLACE(
D5521,
""([一-龯々]+)\[([^\]]+)\]"",
""&lt;ruby&gt;$1&lt;rt&gt;$2&lt;/rt&gt;&lt;/ruby&gt;""
)&amp;""&lt;br&gt;&lt;div class=""""audio""""&gt;[sound:""&amp;C5521&amp;"".mp3]&lt;/div&gt;"""),"&lt;ruby&gt;神秘&lt;rt&gt;しんぴ&lt;/rt&gt;&lt;/ruby&gt;&lt;br&gt;&lt;div class=""audio""&gt;[sound:しんぴ.mp3]&lt;/div&gt;")</f>
        <v>&lt;ruby&gt;神秘&lt;rt&gt;しんぴ&lt;/rt&gt;&lt;/ruby&gt;&lt;br&gt;&lt;div class="audio"&gt;[sound:しんぴ.mp3]&lt;/div&gt;</v>
      </c>
      <c r="H5521" s="3" t="str">
        <f t="shared" si="1"/>
        <v>(n): sự huyền bí</v>
      </c>
      <c r="I5521" s="6" t="s">
        <v>30087</v>
      </c>
      <c r="J5521" s="6" t="s">
        <v>30088</v>
      </c>
      <c r="K5521" s="7">
        <f t="shared" si="2"/>
        <v>0.0494305942</v>
      </c>
    </row>
    <row r="5522">
      <c r="A5522" s="4">
        <v>5522.0</v>
      </c>
      <c r="B5522" s="5" t="s">
        <v>30089</v>
      </c>
      <c r="C5522" s="5" t="s">
        <v>30090</v>
      </c>
      <c r="D5522" s="5" t="s">
        <v>30091</v>
      </c>
      <c r="E5522" s="6" t="s">
        <v>74</v>
      </c>
      <c r="F5522" s="6" t="s">
        <v>30092</v>
      </c>
      <c r="G5522" s="3" t="str">
        <f>IFERROR(__xludf.DUMMYFUNCTION("REGEXREPLACE(
D5522,
""([一-龯々]+)\[([^\]]+)\]"",
""&lt;ruby&gt;$1&lt;rt&gt;$2&lt;/rt&gt;&lt;/ruby&gt;""
)&amp;""&lt;br&gt;&lt;div class=""""audio""""&gt;[sound:""&amp;C5522&amp;"".mp3]&lt;/div&gt;"""),"&lt;ruby&gt;移民&lt;rt&gt;いみん&lt;/rt&gt;&lt;/ruby&gt;&lt;br&gt;&lt;div class=""audio""&gt;[sound:いみん.mp3]&lt;/div&gt;")</f>
        <v>&lt;ruby&gt;移民&lt;rt&gt;いみん&lt;/rt&gt;&lt;/ruby&gt;&lt;br&gt;&lt;div class="audio"&gt;[sound:いみん.mp3]&lt;/div&gt;</v>
      </c>
      <c r="H5522" s="3" t="str">
        <f t="shared" si="1"/>
        <v>(n): người di cư</v>
      </c>
      <c r="I5522" s="6" t="s">
        <v>30093</v>
      </c>
      <c r="J5522" s="6" t="s">
        <v>30094</v>
      </c>
      <c r="K5522" s="7">
        <f t="shared" si="2"/>
        <v>0.8588375759</v>
      </c>
    </row>
    <row r="5523">
      <c r="A5523" s="4">
        <v>5523.0</v>
      </c>
      <c r="B5523" s="5" t="s">
        <v>30095</v>
      </c>
      <c r="C5523" s="5" t="s">
        <v>30096</v>
      </c>
      <c r="D5523" s="5" t="s">
        <v>30097</v>
      </c>
      <c r="E5523" s="6" t="s">
        <v>74</v>
      </c>
      <c r="F5523" s="6" t="s">
        <v>30098</v>
      </c>
      <c r="G5523" s="3" t="str">
        <f>IFERROR(__xludf.DUMMYFUNCTION("REGEXREPLACE(
D5523,
""([一-龯々]+)\[([^\]]+)\]"",
""&lt;ruby&gt;$1&lt;rt&gt;$2&lt;/rt&gt;&lt;/ruby&gt;""
)&amp;""&lt;br&gt;&lt;div class=""""audio""""&gt;[sound:""&amp;C5523&amp;"".mp3]&lt;/div&gt;"""),"&lt;ruby&gt;行&lt;rt&gt;い&lt;/rt&gt;&lt;/ruby&gt;き&lt;ruby&gt;違&lt;rt&gt;ちが&lt;/rt&gt;&lt;/ruby&gt;い&lt;br&gt;&lt;div class=""audio""&gt;[sound:いきちがい.mp3]&lt;/div&gt;")</f>
        <v>&lt;ruby&gt;行&lt;rt&gt;い&lt;/rt&gt;&lt;/ruby&gt;き&lt;ruby&gt;違&lt;rt&gt;ちが&lt;/rt&gt;&lt;/ruby&gt;い&lt;br&gt;&lt;div class="audio"&gt;[sound:いきちがい.mp3]&lt;/div&gt;</v>
      </c>
      <c r="H5523" s="3" t="str">
        <f t="shared" si="1"/>
        <v>(n): sự hiểu lầm</v>
      </c>
      <c r="I5523" s="6" t="s">
        <v>30099</v>
      </c>
      <c r="J5523" s="6" t="s">
        <v>30100</v>
      </c>
      <c r="K5523" s="7">
        <f t="shared" si="2"/>
        <v>0.7986718362</v>
      </c>
    </row>
    <row r="5524">
      <c r="A5524" s="4">
        <v>5524.0</v>
      </c>
      <c r="B5524" s="5" t="s">
        <v>30101</v>
      </c>
      <c r="C5524" s="5" t="s">
        <v>30102</v>
      </c>
      <c r="D5524" s="5" t="s">
        <v>30103</v>
      </c>
      <c r="E5524" s="6" t="s">
        <v>74</v>
      </c>
      <c r="F5524" s="6" t="s">
        <v>30104</v>
      </c>
      <c r="G5524" s="3" t="str">
        <f>IFERROR(__xludf.DUMMYFUNCTION("REGEXREPLACE(
D5524,
""([一-龯々]+)\[([^\]]+)\]"",
""&lt;ruby&gt;$1&lt;rt&gt;$2&lt;/rt&gt;&lt;/ruby&gt;""
)&amp;""&lt;br&gt;&lt;div class=""""audio""""&gt;[sound:""&amp;C5524&amp;"".mp3]&lt;/div&gt;"""),"&lt;ruby&gt;起伏&lt;rt&gt;きふく&lt;/rt&gt;&lt;/ruby&gt;&lt;br&gt;&lt;div class=""audio""&gt;[sound:きふく.mp3]&lt;/div&gt;")</f>
        <v>&lt;ruby&gt;起伏&lt;rt&gt;きふく&lt;/rt&gt;&lt;/ruby&gt;&lt;br&gt;&lt;div class="audio"&gt;[sound:きふく.mp3]&lt;/div&gt;</v>
      </c>
      <c r="H5524" s="3" t="str">
        <f t="shared" si="1"/>
        <v>(n): sự nhấp nhô</v>
      </c>
      <c r="I5524" s="6" t="s">
        <v>30105</v>
      </c>
      <c r="J5524" s="6" t="s">
        <v>30106</v>
      </c>
      <c r="K5524" s="7">
        <f t="shared" si="2"/>
        <v>0.1400515198</v>
      </c>
    </row>
    <row r="5525">
      <c r="A5525" s="4">
        <v>5525.0</v>
      </c>
      <c r="B5525" s="5" t="s">
        <v>30107</v>
      </c>
      <c r="C5525" s="5" t="s">
        <v>5224</v>
      </c>
      <c r="D5525" s="5" t="s">
        <v>30108</v>
      </c>
      <c r="E5525" s="6" t="s">
        <v>74</v>
      </c>
      <c r="F5525" s="6" t="s">
        <v>30109</v>
      </c>
      <c r="G5525" s="3" t="str">
        <f>IFERROR(__xludf.DUMMYFUNCTION("REGEXREPLACE(
D5525,
""([一-龯々]+)\[([^\]]+)\]"",
""&lt;ruby&gt;$1&lt;rt&gt;$2&lt;/rt&gt;&lt;/ruby&gt;""
)&amp;""&lt;br&gt;&lt;div class=""""audio""""&gt;[sound:""&amp;C5525&amp;"".mp3]&lt;/div&gt;"""),"&lt;ruby&gt;転回&lt;rt&gt;てんかい&lt;/rt&gt;&lt;/ruby&gt;&lt;br&gt;&lt;div class=""audio""&gt;[sound:てんかい.mp3]&lt;/div&gt;")</f>
        <v>&lt;ruby&gt;転回&lt;rt&gt;てんかい&lt;/rt&gt;&lt;/ruby&gt;&lt;br&gt;&lt;div class="audio"&gt;[sound:てんかい.mp3]&lt;/div&gt;</v>
      </c>
      <c r="H5525" s="3" t="str">
        <f t="shared" si="1"/>
        <v>(n): sự quay đầu</v>
      </c>
      <c r="I5525" s="6" t="s">
        <v>30110</v>
      </c>
      <c r="J5525" s="6" t="s">
        <v>30111</v>
      </c>
      <c r="K5525" s="7">
        <f t="shared" si="2"/>
        <v>0.13813476</v>
      </c>
    </row>
    <row r="5526">
      <c r="A5526" s="4">
        <v>5526.0</v>
      </c>
      <c r="B5526" s="5" t="s">
        <v>30112</v>
      </c>
      <c r="C5526" s="5" t="s">
        <v>30113</v>
      </c>
      <c r="D5526" s="5" t="s">
        <v>30114</v>
      </c>
      <c r="E5526" s="6" t="s">
        <v>74</v>
      </c>
      <c r="F5526" s="6" t="s">
        <v>30115</v>
      </c>
      <c r="G5526" s="3" t="str">
        <f>IFERROR(__xludf.DUMMYFUNCTION("REGEXREPLACE(
D5526,
""([一-龯々]+)\[([^\]]+)\]"",
""&lt;ruby&gt;$1&lt;rt&gt;$2&lt;/rt&gt;&lt;/ruby&gt;""
)&amp;""&lt;br&gt;&lt;div class=""""audio""""&gt;[sound:""&amp;C5526&amp;"".mp3]&lt;/div&gt;"""),"&lt;ruby&gt;退治&lt;rt&gt;たいじ&lt;/rt&gt;&lt;/ruby&gt;&lt;br&gt;&lt;div class=""audio""&gt;[sound:たいじ.mp3]&lt;/div&gt;")</f>
        <v>&lt;ruby&gt;退治&lt;rt&gt;たいじ&lt;/rt&gt;&lt;/ruby&gt;&lt;br&gt;&lt;div class="audio"&gt;[sound:たいじ.mp3]&lt;/div&gt;</v>
      </c>
      <c r="H5526" s="3" t="str">
        <f t="shared" si="1"/>
        <v>(n): sự diệt trừ</v>
      </c>
      <c r="I5526" s="6" t="s">
        <v>30116</v>
      </c>
      <c r="J5526" s="6" t="s">
        <v>30117</v>
      </c>
      <c r="K5526" s="7">
        <f t="shared" si="2"/>
        <v>0.6295038107</v>
      </c>
    </row>
    <row r="5527">
      <c r="A5527" s="4">
        <v>5527.0</v>
      </c>
      <c r="B5527" s="5" t="s">
        <v>30118</v>
      </c>
      <c r="C5527" s="5" t="s">
        <v>30119</v>
      </c>
      <c r="D5527" s="5" t="s">
        <v>30120</v>
      </c>
      <c r="E5527" s="6" t="s">
        <v>74</v>
      </c>
      <c r="F5527" s="6" t="s">
        <v>15677</v>
      </c>
      <c r="G5527" s="3" t="str">
        <f>IFERROR(__xludf.DUMMYFUNCTION("REGEXREPLACE(
D5527,
""([一-龯々]+)\[([^\]]+)\]"",
""&lt;ruby&gt;$1&lt;rt&gt;$2&lt;/rt&gt;&lt;/ruby&gt;""
)&amp;""&lt;br&gt;&lt;div class=""""audio""""&gt;[sound:""&amp;C5527&amp;"".mp3]&lt;/div&gt;"""),"&lt;ruby&gt;配給&lt;rt&gt;はいきゅう&lt;/rt&gt;&lt;/ruby&gt;&lt;br&gt;&lt;div class=""audio""&gt;[sound:はいきゅう.mp3]&lt;/div&gt;")</f>
        <v>&lt;ruby&gt;配給&lt;rt&gt;はいきゅう&lt;/rt&gt;&lt;/ruby&gt;&lt;br&gt;&lt;div class="audio"&gt;[sound:はいきゅう.mp3]&lt;/div&gt;</v>
      </c>
      <c r="H5527" s="3" t="str">
        <f t="shared" si="1"/>
        <v>(n): sự cung cấp</v>
      </c>
      <c r="I5527" s="6" t="s">
        <v>30121</v>
      </c>
      <c r="J5527" s="6" t="s">
        <v>30122</v>
      </c>
      <c r="K5527" s="7">
        <f t="shared" si="2"/>
        <v>0.2120859722</v>
      </c>
    </row>
    <row r="5528">
      <c r="A5528" s="4">
        <v>5528.0</v>
      </c>
      <c r="B5528" s="5" t="s">
        <v>30123</v>
      </c>
      <c r="C5528" s="5" t="s">
        <v>30124</v>
      </c>
      <c r="D5528" s="5" t="s">
        <v>30125</v>
      </c>
      <c r="E5528" s="6" t="s">
        <v>74</v>
      </c>
      <c r="F5528" s="6" t="s">
        <v>30126</v>
      </c>
      <c r="G5528" s="3" t="str">
        <f>IFERROR(__xludf.DUMMYFUNCTION("REGEXREPLACE(
D5528,
""([一-龯々]+)\[([^\]]+)\]"",
""&lt;ruby&gt;$1&lt;rt&gt;$2&lt;/rt&gt;&lt;/ruby&gt;""
)&amp;""&lt;br&gt;&lt;div class=""""audio""""&gt;[sound:""&amp;C5528&amp;"".mp3]&lt;/div&gt;"""),"&lt;ruby&gt;風車&lt;rt&gt;ふうしゃ&lt;/rt&gt;&lt;/ruby&gt;&lt;br&gt;&lt;div class=""audio""&gt;[sound:ふうしゃ.mp3]&lt;/div&gt;")</f>
        <v>&lt;ruby&gt;風車&lt;rt&gt;ふうしゃ&lt;/rt&gt;&lt;/ruby&gt;&lt;br&gt;&lt;div class="audio"&gt;[sound:ふうしゃ.mp3]&lt;/div&gt;</v>
      </c>
      <c r="H5528" s="3" t="str">
        <f t="shared" si="1"/>
        <v>(n): cối xay gió</v>
      </c>
      <c r="I5528" s="6" t="s">
        <v>30127</v>
      </c>
      <c r="J5528" s="6" t="s">
        <v>30128</v>
      </c>
      <c r="K5528" s="7">
        <f t="shared" si="2"/>
        <v>0.3145355931</v>
      </c>
    </row>
    <row r="5529">
      <c r="A5529" s="4">
        <v>5529.0</v>
      </c>
      <c r="B5529" s="5" t="s">
        <v>30129</v>
      </c>
      <c r="C5529" s="5" t="s">
        <v>30130</v>
      </c>
      <c r="D5529" s="5" t="s">
        <v>30129</v>
      </c>
      <c r="E5529" s="6" t="s">
        <v>11</v>
      </c>
      <c r="F5529" s="6" t="s">
        <v>17924</v>
      </c>
      <c r="G5529" s="3" t="str">
        <f>IFERROR(__xludf.DUMMYFUNCTION("REGEXREPLACE(
D5529,
""([一-龯々]+)\[([^\]]+)\]"",
""&lt;ruby&gt;$1&lt;rt&gt;$2&lt;/rt&gt;&lt;/ruby&gt;""
)&amp;""&lt;br&gt;&lt;div class=""""audio""""&gt;[sound:""&amp;C5529&amp;"".mp3]&lt;/div&gt;"""),"エレガント&lt;br&gt;&lt;div class=""audio""&gt;[sound:えれがんと.mp3]&lt;/div&gt;")</f>
        <v>エレガント&lt;br&gt;&lt;div class="audio"&gt;[sound:えれがんと.mp3]&lt;/div&gt;</v>
      </c>
      <c r="H5529" s="3" t="str">
        <f t="shared" si="1"/>
        <v>(adj): thanh lịch</v>
      </c>
      <c r="I5529" s="6" t="s">
        <v>30131</v>
      </c>
      <c r="J5529" s="6" t="s">
        <v>30132</v>
      </c>
      <c r="K5529" s="7">
        <f t="shared" si="2"/>
        <v>0.4954929822</v>
      </c>
    </row>
    <row r="5530">
      <c r="A5530" s="4">
        <v>5530.0</v>
      </c>
      <c r="B5530" s="5" t="s">
        <v>30133</v>
      </c>
      <c r="C5530" s="5" t="s">
        <v>30134</v>
      </c>
      <c r="D5530" s="5" t="s">
        <v>30133</v>
      </c>
      <c r="E5530" s="6" t="s">
        <v>11</v>
      </c>
      <c r="F5530" s="6" t="s">
        <v>21301</v>
      </c>
      <c r="G5530" s="3" t="str">
        <f>IFERROR(__xludf.DUMMYFUNCTION("REGEXREPLACE(
D5530,
""([一-龯々]+)\[([^\]]+)\]"",
""&lt;ruby&gt;$1&lt;rt&gt;$2&lt;/rt&gt;&lt;/ruby&gt;""
)&amp;""&lt;br&gt;&lt;div class=""""audio""""&gt;[sound:""&amp;C5530&amp;"".mp3]&lt;/div&gt;"""),"シック&lt;br&gt;&lt;div class=""audio""&gt;[sound:しっく.mp3]&lt;/div&gt;")</f>
        <v>シック&lt;br&gt;&lt;div class="audio"&gt;[sound:しっく.mp3]&lt;/div&gt;</v>
      </c>
      <c r="H5530" s="3" t="str">
        <f t="shared" si="1"/>
        <v>(adj): sang trọng</v>
      </c>
      <c r="I5530" s="6" t="s">
        <v>30135</v>
      </c>
      <c r="J5530" s="6" t="s">
        <v>30136</v>
      </c>
      <c r="K5530" s="7">
        <f t="shared" si="2"/>
        <v>0.7862762782</v>
      </c>
    </row>
    <row r="5531">
      <c r="A5531" s="4">
        <v>5531.0</v>
      </c>
      <c r="B5531" s="5" t="s">
        <v>30137</v>
      </c>
      <c r="C5531" s="5" t="s">
        <v>30138</v>
      </c>
      <c r="D5531" s="5" t="s">
        <v>30139</v>
      </c>
      <c r="E5531" s="6" t="s">
        <v>74</v>
      </c>
      <c r="F5531" s="6" t="s">
        <v>16310</v>
      </c>
      <c r="G5531" s="3" t="str">
        <f>IFERROR(__xludf.DUMMYFUNCTION("REGEXREPLACE(
D5531,
""([一-龯々]+)\[([^\]]+)\]"",
""&lt;ruby&gt;$1&lt;rt&gt;$2&lt;/rt&gt;&lt;/ruby&gt;""
)&amp;""&lt;br&gt;&lt;div class=""""audio""""&gt;[sound:""&amp;C5531&amp;"".mp3]&lt;/div&gt;"""),"&lt;ruby&gt;一筋&lt;rt&gt;ひとすじ&lt;/rt&gt;&lt;/ruby&gt;&lt;br&gt;&lt;div class=""audio""&gt;[sound:ひとすじ.mp3]&lt;/div&gt;")</f>
        <v>&lt;ruby&gt;一筋&lt;rt&gt;ひとすじ&lt;/rt&gt;&lt;/ruby&gt;&lt;br&gt;&lt;div class="audio"&gt;[sound:ひとすじ.mp3]&lt;/div&gt;</v>
      </c>
      <c r="H5531" s="3" t="str">
        <f t="shared" si="1"/>
        <v>(n): chuyên tâm</v>
      </c>
      <c r="I5531" s="6" t="s">
        <v>30140</v>
      </c>
      <c r="J5531" s="6" t="s">
        <v>30141</v>
      </c>
      <c r="K5531" s="7">
        <f t="shared" si="2"/>
        <v>0.7776137536</v>
      </c>
    </row>
    <row r="5532">
      <c r="A5532" s="4">
        <v>5532.0</v>
      </c>
      <c r="B5532" s="5" t="s">
        <v>30142</v>
      </c>
      <c r="C5532" s="5" t="s">
        <v>30143</v>
      </c>
      <c r="D5532" s="5" t="s">
        <v>30144</v>
      </c>
      <c r="E5532" s="6" t="s">
        <v>74</v>
      </c>
      <c r="F5532" s="6" t="s">
        <v>30145</v>
      </c>
      <c r="G5532" s="3" t="str">
        <f>IFERROR(__xludf.DUMMYFUNCTION("REGEXREPLACE(
D5532,
""([一-龯々]+)\[([^\]]+)\]"",
""&lt;ruby&gt;$1&lt;rt&gt;$2&lt;/rt&gt;&lt;/ruby&gt;""
)&amp;""&lt;br&gt;&lt;div class=""""audio""""&gt;[sound:""&amp;C5532&amp;"".mp3]&lt;/div&gt;"""),"&lt;ruby&gt;不服&lt;rt&gt;ふふく&lt;/rt&gt;&lt;/ruby&gt;&lt;br&gt;&lt;div class=""audio""&gt;[sound:ふふく.mp3]&lt;/div&gt;")</f>
        <v>&lt;ruby&gt;不服&lt;rt&gt;ふふく&lt;/rt&gt;&lt;/ruby&gt;&lt;br&gt;&lt;div class="audio"&gt;[sound:ふふく.mp3]&lt;/div&gt;</v>
      </c>
      <c r="H5532" s="3" t="str">
        <f t="shared" si="1"/>
        <v>(n): không phục</v>
      </c>
      <c r="I5532" s="6" t="s">
        <v>30146</v>
      </c>
      <c r="J5532" s="6" t="s">
        <v>30147</v>
      </c>
      <c r="K5532" s="7">
        <f t="shared" si="2"/>
        <v>0.8633935973</v>
      </c>
    </row>
    <row r="5533">
      <c r="A5533" s="4">
        <v>5533.0</v>
      </c>
      <c r="B5533" s="5" t="s">
        <v>30148</v>
      </c>
      <c r="C5533" s="5" t="s">
        <v>30149</v>
      </c>
      <c r="D5533" s="5" t="s">
        <v>30150</v>
      </c>
      <c r="E5533" s="6" t="s">
        <v>74</v>
      </c>
      <c r="F5533" s="6" t="s">
        <v>30151</v>
      </c>
      <c r="G5533" s="3" t="str">
        <f>IFERROR(__xludf.DUMMYFUNCTION("REGEXREPLACE(
D5533,
""([一-龯々]+)\[([^\]]+)\]"",
""&lt;ruby&gt;$1&lt;rt&gt;$2&lt;/rt&gt;&lt;/ruby&gt;""
)&amp;""&lt;br&gt;&lt;div class=""""audio""""&gt;[sound:""&amp;C5533&amp;"".mp3]&lt;/div&gt;"""),"&lt;ruby&gt;人影&lt;rt&gt;ひとかげ&lt;/rt&gt;&lt;/ruby&gt;&lt;br&gt;&lt;div class=""audio""&gt;[sound:ひとかげ.mp3]&lt;/div&gt;")</f>
        <v>&lt;ruby&gt;人影&lt;rt&gt;ひとかげ&lt;/rt&gt;&lt;/ruby&gt;&lt;br&gt;&lt;div class="audio"&gt;[sound:ひとかげ.mp3]&lt;/div&gt;</v>
      </c>
      <c r="H5533" s="3" t="str">
        <f t="shared" si="1"/>
        <v>(n): bóng người</v>
      </c>
      <c r="I5533" s="6" t="s">
        <v>30152</v>
      </c>
      <c r="J5533" s="6" t="s">
        <v>30153</v>
      </c>
      <c r="K5533" s="7">
        <f t="shared" si="2"/>
        <v>0.9853768367</v>
      </c>
    </row>
    <row r="5534">
      <c r="A5534" s="4">
        <v>5534.0</v>
      </c>
      <c r="B5534" s="5" t="s">
        <v>30154</v>
      </c>
      <c r="C5534" s="5" t="s">
        <v>30155</v>
      </c>
      <c r="D5534" s="5" t="s">
        <v>30156</v>
      </c>
      <c r="E5534" s="6" t="s">
        <v>74</v>
      </c>
      <c r="F5534" s="6" t="s">
        <v>30157</v>
      </c>
      <c r="G5534" s="3" t="str">
        <f>IFERROR(__xludf.DUMMYFUNCTION("REGEXREPLACE(
D5534,
""([一-龯々]+)\[([^\]]+)\]"",
""&lt;ruby&gt;$1&lt;rt&gt;$2&lt;/rt&gt;&lt;/ruby&gt;""
)&amp;""&lt;br&gt;&lt;div class=""""audio""""&gt;[sound:""&amp;C5534&amp;"".mp3]&lt;/div&gt;"""),"&lt;ruby&gt;仏像&lt;rt&gt;ぶつぞう&lt;/rt&gt;&lt;/ruby&gt;&lt;br&gt;&lt;div class=""audio""&gt;[sound:ぶつぞう.mp3]&lt;/div&gt;")</f>
        <v>&lt;ruby&gt;仏像&lt;rt&gt;ぶつぞう&lt;/rt&gt;&lt;/ruby&gt;&lt;br&gt;&lt;div class="audio"&gt;[sound:ぶつぞう.mp3]&lt;/div&gt;</v>
      </c>
      <c r="H5534" s="3" t="str">
        <f t="shared" si="1"/>
        <v>(n): tượng phật</v>
      </c>
      <c r="I5534" s="6" t="s">
        <v>30158</v>
      </c>
      <c r="J5534" s="6" t="s">
        <v>30159</v>
      </c>
      <c r="K5534" s="7">
        <f t="shared" si="2"/>
        <v>0.4763774469</v>
      </c>
    </row>
    <row r="5535">
      <c r="A5535" s="4">
        <v>5535.0</v>
      </c>
      <c r="B5535" s="5" t="s">
        <v>30160</v>
      </c>
      <c r="C5535" s="5" t="s">
        <v>30161</v>
      </c>
      <c r="D5535" s="5" t="s">
        <v>30162</v>
      </c>
      <c r="E5535" s="6" t="s">
        <v>74</v>
      </c>
      <c r="F5535" s="6" t="s">
        <v>30163</v>
      </c>
      <c r="G5535" s="3" t="str">
        <f>IFERROR(__xludf.DUMMYFUNCTION("REGEXREPLACE(
D5535,
""([一-龯々]+)\[([^\]]+)\]"",
""&lt;ruby&gt;$1&lt;rt&gt;$2&lt;/rt&gt;&lt;/ruby&gt;""
)&amp;""&lt;br&gt;&lt;div class=""""audio""""&gt;[sound:""&amp;C5535&amp;"".mp3]&lt;/div&gt;"""),"&lt;ruby&gt;修学&lt;rt&gt;しゅうがく&lt;/rt&gt;&lt;/ruby&gt;&lt;br&gt;&lt;div class=""audio""&gt;[sound:しゅうがく.mp3]&lt;/div&gt;")</f>
        <v>&lt;ruby&gt;修学&lt;rt&gt;しゅうがく&lt;/rt&gt;&lt;/ruby&gt;&lt;br&gt;&lt;div class="audio"&gt;[sound:しゅうがく.mp3]&lt;/div&gt;</v>
      </c>
      <c r="H5535" s="3" t="str">
        <f t="shared" si="1"/>
        <v>(n): sự học tập</v>
      </c>
      <c r="I5535" s="6" t="s">
        <v>30164</v>
      </c>
      <c r="J5535" s="6" t="s">
        <v>30165</v>
      </c>
      <c r="K5535" s="7">
        <f t="shared" si="2"/>
        <v>0.2976775457</v>
      </c>
    </row>
    <row r="5536">
      <c r="A5536" s="4">
        <v>5536.0</v>
      </c>
      <c r="B5536" s="5" t="s">
        <v>30166</v>
      </c>
      <c r="C5536" s="5" t="s">
        <v>30167</v>
      </c>
      <c r="D5536" s="5" t="s">
        <v>30168</v>
      </c>
      <c r="E5536" s="6" t="s">
        <v>74</v>
      </c>
      <c r="F5536" s="6" t="s">
        <v>30169</v>
      </c>
      <c r="G5536" s="3" t="str">
        <f>IFERROR(__xludf.DUMMYFUNCTION("REGEXREPLACE(
D5536,
""([一-龯々]+)\[([^\]]+)\]"",
""&lt;ruby&gt;$1&lt;rt&gt;$2&lt;/rt&gt;&lt;/ruby&gt;""
)&amp;""&lt;br&gt;&lt;div class=""""audio""""&gt;[sound:""&amp;C5536&amp;"".mp3]&lt;/div&gt;"""),"&lt;ruby&gt;出直&lt;rt&gt;でなお&lt;/rt&gt;&lt;/ruby&gt;し&lt;br&gt;&lt;div class=""audio""&gt;[sound:でなおし.mp3]&lt;/div&gt;")</f>
        <v>&lt;ruby&gt;出直&lt;rt&gt;でなお&lt;/rt&gt;&lt;/ruby&gt;し&lt;br&gt;&lt;div class="audio"&gt;[sound:でなおし.mp3]&lt;/div&gt;</v>
      </c>
      <c r="H5536" s="3" t="str">
        <f t="shared" si="1"/>
        <v>(n): sự làm lại</v>
      </c>
      <c r="I5536" s="6" t="s">
        <v>30170</v>
      </c>
      <c r="J5536" s="6" t="s">
        <v>30171</v>
      </c>
      <c r="K5536" s="7">
        <f t="shared" si="2"/>
        <v>0.5615039975</v>
      </c>
    </row>
    <row r="5537">
      <c r="A5537" s="4">
        <v>5537.0</v>
      </c>
      <c r="B5537" s="5" t="s">
        <v>30172</v>
      </c>
      <c r="C5537" s="5" t="s">
        <v>30173</v>
      </c>
      <c r="D5537" s="5" t="s">
        <v>30174</v>
      </c>
      <c r="E5537" s="6" t="s">
        <v>74</v>
      </c>
      <c r="F5537" s="6" t="s">
        <v>30175</v>
      </c>
      <c r="G5537" s="3" t="str">
        <f>IFERROR(__xludf.DUMMYFUNCTION("REGEXREPLACE(
D5537,
""([一-龯々]+)\[([^\]]+)\]"",
""&lt;ruby&gt;$1&lt;rt&gt;$2&lt;/rt&gt;&lt;/ruby&gt;""
)&amp;""&lt;br&gt;&lt;div class=""""audio""""&gt;[sound:""&amp;C5537&amp;"".mp3]&lt;/div&gt;"""),"&lt;ruby&gt;初版&lt;rt&gt;しょはん&lt;/rt&gt;&lt;/ruby&gt;&lt;br&gt;&lt;div class=""audio""&gt;[sound:しょはん.mp3]&lt;/div&gt;")</f>
        <v>&lt;ruby&gt;初版&lt;rt&gt;しょはん&lt;/rt&gt;&lt;/ruby&gt;&lt;br&gt;&lt;div class="audio"&gt;[sound:しょはん.mp3]&lt;/div&gt;</v>
      </c>
      <c r="H5537" s="3" t="str">
        <f t="shared" si="1"/>
        <v>(n): ấn bản đầu</v>
      </c>
      <c r="I5537" s="6" t="s">
        <v>30176</v>
      </c>
      <c r="J5537" s="6" t="s">
        <v>30177</v>
      </c>
      <c r="K5537" s="7">
        <f t="shared" si="2"/>
        <v>0.5265450637</v>
      </c>
    </row>
    <row r="5538">
      <c r="A5538" s="4">
        <v>5538.0</v>
      </c>
      <c r="B5538" s="5" t="s">
        <v>30178</v>
      </c>
      <c r="C5538" s="5" t="s">
        <v>15510</v>
      </c>
      <c r="D5538" s="5" t="s">
        <v>30179</v>
      </c>
      <c r="E5538" s="6" t="s">
        <v>74</v>
      </c>
      <c r="F5538" s="6" t="s">
        <v>5335</v>
      </c>
      <c r="G5538" s="3" t="str">
        <f>IFERROR(__xludf.DUMMYFUNCTION("REGEXREPLACE(
D5538,
""([一-龯々]+)\[([^\]]+)\]"",
""&lt;ruby&gt;$1&lt;rt&gt;$2&lt;/rt&gt;&lt;/ruby&gt;""
)&amp;""&lt;br&gt;&lt;div class=""""audio""""&gt;[sound:""&amp;C5538&amp;"".mp3]&lt;/div&gt;"""),"&lt;ruby&gt;原典&lt;rt&gt;げんてん&lt;/rt&gt;&lt;/ruby&gt;&lt;br&gt;&lt;div class=""audio""&gt;[sound:げんてん.mp3]&lt;/div&gt;")</f>
        <v>&lt;ruby&gt;原典&lt;rt&gt;げんてん&lt;/rt&gt;&lt;/ruby&gt;&lt;br&gt;&lt;div class="audio"&gt;[sound:げんてん.mp3]&lt;/div&gt;</v>
      </c>
      <c r="H5538" s="3" t="str">
        <f t="shared" si="1"/>
        <v>(n): nguyên bản</v>
      </c>
      <c r="I5538" s="6" t="s">
        <v>30180</v>
      </c>
      <c r="J5538" s="6" t="s">
        <v>30181</v>
      </c>
      <c r="K5538" s="7">
        <f t="shared" si="2"/>
        <v>0.3852156834</v>
      </c>
    </row>
    <row r="5539">
      <c r="A5539" s="4">
        <v>5539.0</v>
      </c>
      <c r="B5539" s="5" t="s">
        <v>30182</v>
      </c>
      <c r="C5539" s="5" t="s">
        <v>30183</v>
      </c>
      <c r="D5539" s="5" t="s">
        <v>30184</v>
      </c>
      <c r="E5539" s="6" t="s">
        <v>11</v>
      </c>
      <c r="F5539" s="6" t="s">
        <v>30185</v>
      </c>
      <c r="G5539" s="3" t="str">
        <f>IFERROR(__xludf.DUMMYFUNCTION("REGEXREPLACE(
D5539,
""([一-龯々]+)\[([^\]]+)\]"",
""&lt;ruby&gt;$1&lt;rt&gt;$2&lt;/rt&gt;&lt;/ruby&gt;""
)&amp;""&lt;br&gt;&lt;div class=""""audio""""&gt;[sound:""&amp;C5539&amp;"".mp3]&lt;/div&gt;"""),"&lt;ruby&gt;呆気&lt;rt&gt;あっけ&lt;/rt&gt;&lt;/ruby&gt;ない&lt;br&gt;&lt;div class=""audio""&gt;[sound:あっけない.mp3]&lt;/div&gt;")</f>
        <v>&lt;ruby&gt;呆気&lt;rt&gt;あっけ&lt;/rt&gt;&lt;/ruby&gt;ない&lt;br&gt;&lt;div class="audio"&gt;[sound:あっけない.mp3]&lt;/div&gt;</v>
      </c>
      <c r="H5539" s="3" t="str">
        <f t="shared" si="1"/>
        <v>(adj): chóng vánh</v>
      </c>
      <c r="I5539" s="6" t="s">
        <v>30186</v>
      </c>
      <c r="J5539" s="6" t="s">
        <v>30187</v>
      </c>
      <c r="K5539" s="7">
        <f t="shared" si="2"/>
        <v>0.5255486644</v>
      </c>
    </row>
    <row r="5540">
      <c r="A5540" s="4">
        <v>5540.0</v>
      </c>
      <c r="B5540" s="5" t="s">
        <v>30188</v>
      </c>
      <c r="C5540" s="5" t="s">
        <v>30189</v>
      </c>
      <c r="D5540" s="5" t="s">
        <v>30190</v>
      </c>
      <c r="E5540" s="6" t="s">
        <v>74</v>
      </c>
      <c r="F5540" s="6" t="s">
        <v>30191</v>
      </c>
      <c r="G5540" s="3" t="str">
        <f>IFERROR(__xludf.DUMMYFUNCTION("REGEXREPLACE(
D5540,
""([一-龯々]+)\[([^\]]+)\]"",
""&lt;ruby&gt;$1&lt;rt&gt;$2&lt;/rt&gt;&lt;/ruby&gt;""
)&amp;""&lt;br&gt;&lt;div class=""""audio""""&gt;[sound:""&amp;C5540&amp;"".mp3]&lt;/div&gt;"""),"&lt;ruby&gt;和文&lt;rt&gt;わぶん&lt;/rt&gt;&lt;/ruby&gt;&lt;br&gt;&lt;div class=""audio""&gt;[sound:わぶん.mp3]&lt;/div&gt;")</f>
        <v>&lt;ruby&gt;和文&lt;rt&gt;わぶん&lt;/rt&gt;&lt;/ruby&gt;&lt;br&gt;&lt;div class="audio"&gt;[sound:わぶん.mp3]&lt;/div&gt;</v>
      </c>
      <c r="H5540" s="3" t="str">
        <f t="shared" si="1"/>
        <v>(n): tiếng nhật</v>
      </c>
      <c r="I5540" s="6" t="s">
        <v>30192</v>
      </c>
      <c r="J5540" s="6" t="s">
        <v>30193</v>
      </c>
      <c r="K5540" s="7">
        <f t="shared" si="2"/>
        <v>0.1786563323</v>
      </c>
    </row>
    <row r="5541">
      <c r="A5541" s="4">
        <v>5541.0</v>
      </c>
      <c r="B5541" s="5" t="s">
        <v>30194</v>
      </c>
      <c r="C5541" s="5" t="s">
        <v>30195</v>
      </c>
      <c r="D5541" s="5" t="s">
        <v>30196</v>
      </c>
      <c r="E5541" s="6" t="s">
        <v>85</v>
      </c>
      <c r="F5541" s="6" t="s">
        <v>30197</v>
      </c>
      <c r="G5541" s="3" t="str">
        <f>IFERROR(__xludf.DUMMYFUNCTION("REGEXREPLACE(
D5541,
""([一-龯々]+)\[([^\]]+)\]"",
""&lt;ruby&gt;$1&lt;rt&gt;$2&lt;/rt&gt;&lt;/ruby&gt;""
)&amp;""&lt;br&gt;&lt;div class=""""audio""""&gt;[sound:""&amp;C5541&amp;"".mp3]&lt;/div&gt;"""),"&lt;ruby&gt;嫌々&lt;rt&gt;いやいや&lt;/rt&gt;&lt;/ruby&gt;&lt;br&gt;&lt;div class=""audio""&gt;[sound:いやいや.mp3]&lt;/div&gt;")</f>
        <v>&lt;ruby&gt;嫌々&lt;rt&gt;いやいや&lt;/rt&gt;&lt;/ruby&gt;&lt;br&gt;&lt;div class="audio"&gt;[sound:いやいや.mp3]&lt;/div&gt;</v>
      </c>
      <c r="H5541" s="3" t="str">
        <f t="shared" si="1"/>
        <v>(adv): miễn cưỡng</v>
      </c>
      <c r="I5541" s="6" t="s">
        <v>30198</v>
      </c>
      <c r="J5541" s="6" t="s">
        <v>30199</v>
      </c>
      <c r="K5541" s="7">
        <f t="shared" si="2"/>
        <v>0.6300002073</v>
      </c>
    </row>
    <row r="5542">
      <c r="A5542" s="4">
        <v>5542.0</v>
      </c>
      <c r="B5542" s="5" t="s">
        <v>30200</v>
      </c>
      <c r="C5542" s="5" t="s">
        <v>30201</v>
      </c>
      <c r="D5542" s="5" t="s">
        <v>30202</v>
      </c>
      <c r="E5542" s="6" t="s">
        <v>74</v>
      </c>
      <c r="F5542" s="6" t="s">
        <v>30203</v>
      </c>
      <c r="G5542" s="3" t="str">
        <f>IFERROR(__xludf.DUMMYFUNCTION("REGEXREPLACE(
D5542,
""([一-龯々]+)\[([^\]]+)\]"",
""&lt;ruby&gt;$1&lt;rt&gt;$2&lt;/rt&gt;&lt;/ruby&gt;""
)&amp;""&lt;br&gt;&lt;div class=""""audio""""&gt;[sound:""&amp;C5542&amp;"".mp3]&lt;/div&gt;"""),"&lt;ruby&gt;孤児&lt;rt&gt;こじ&lt;/rt&gt;&lt;/ruby&gt;&lt;br&gt;&lt;div class=""audio""&gt;[sound:こじ.mp3]&lt;/div&gt;")</f>
        <v>&lt;ruby&gt;孤児&lt;rt&gt;こじ&lt;/rt&gt;&lt;/ruby&gt;&lt;br&gt;&lt;div class="audio"&gt;[sound:こじ.mp3]&lt;/div&gt;</v>
      </c>
      <c r="H5542" s="3" t="str">
        <f t="shared" si="1"/>
        <v>(n): trẻ mồ côi</v>
      </c>
      <c r="I5542" s="6" t="s">
        <v>30204</v>
      </c>
      <c r="J5542" s="6" t="s">
        <v>30205</v>
      </c>
      <c r="K5542" s="7">
        <f t="shared" si="2"/>
        <v>0.7290260184</v>
      </c>
    </row>
    <row r="5543">
      <c r="A5543" s="4">
        <v>5543.0</v>
      </c>
      <c r="B5543" s="5" t="s">
        <v>30206</v>
      </c>
      <c r="C5543" s="5" t="s">
        <v>30207</v>
      </c>
      <c r="D5543" s="5" t="s">
        <v>30208</v>
      </c>
      <c r="E5543" s="6" t="s">
        <v>24</v>
      </c>
      <c r="F5543" s="6" t="s">
        <v>30209</v>
      </c>
      <c r="G5543" s="3" t="str">
        <f>IFERROR(__xludf.DUMMYFUNCTION("REGEXREPLACE(
D5543,
""([一-龯々]+)\[([^\]]+)\]"",
""&lt;ruby&gt;$1&lt;rt&gt;$2&lt;/rt&gt;&lt;/ruby&gt;""
)&amp;""&lt;br&gt;&lt;div class=""""audio""""&gt;[sound:""&amp;C5543&amp;"".mp3]&lt;/div&gt;"""),"&lt;ruby&gt;染&lt;rt&gt;そ&lt;/rt&gt;&lt;/ruby&gt;まる&lt;br&gt;&lt;div class=""audio""&gt;[sound:そまる.mp3]&lt;/div&gt;")</f>
        <v>&lt;ruby&gt;染&lt;rt&gt;そ&lt;/rt&gt;&lt;/ruby&gt;まる&lt;br&gt;&lt;div class="audio"&gt;[sound:そまる.mp3]&lt;/div&gt;</v>
      </c>
      <c r="H5543" s="3" t="str">
        <f t="shared" si="1"/>
        <v>(v): được nhuộm</v>
      </c>
      <c r="I5543" s="6" t="s">
        <v>30210</v>
      </c>
      <c r="J5543" s="6" t="s">
        <v>30211</v>
      </c>
      <c r="K5543" s="7">
        <f t="shared" si="2"/>
        <v>0.9907998836</v>
      </c>
    </row>
    <row r="5544">
      <c r="A5544" s="4">
        <v>5544.0</v>
      </c>
      <c r="B5544" s="5" t="s">
        <v>30212</v>
      </c>
      <c r="C5544" s="5" t="s">
        <v>30213</v>
      </c>
      <c r="D5544" s="5" t="s">
        <v>30214</v>
      </c>
      <c r="E5544" s="6" t="s">
        <v>11</v>
      </c>
      <c r="F5544" s="6" t="s">
        <v>30215</v>
      </c>
      <c r="G5544" s="3" t="str">
        <f>IFERROR(__xludf.DUMMYFUNCTION("REGEXREPLACE(
D5544,
""([一-龯々]+)\[([^\]]+)\]"",
""&lt;ruby&gt;$1&lt;rt&gt;$2&lt;/rt&gt;&lt;/ruby&gt;""
)&amp;""&lt;br&gt;&lt;div class=""""audio""""&gt;[sound:""&amp;C5544&amp;"".mp3]&lt;/div&gt;"""),"&lt;ruby&gt;相応&lt;rt&gt;そうおう&lt;/rt&gt;&lt;/ruby&gt;&lt;br&gt;&lt;div class=""audio""&gt;[sound:そうおう.mp3]&lt;/div&gt;")</f>
        <v>&lt;ruby&gt;相応&lt;rt&gt;そうおう&lt;/rt&gt;&lt;/ruby&gt;&lt;br&gt;&lt;div class="audio"&gt;[sound:そうおう.mp3]&lt;/div&gt;</v>
      </c>
      <c r="H5544" s="3" t="str">
        <f t="shared" si="1"/>
        <v>(adj): tương xứng</v>
      </c>
      <c r="I5544" s="6" t="s">
        <v>30216</v>
      </c>
      <c r="J5544" s="6" t="s">
        <v>30217</v>
      </c>
      <c r="K5544" s="7">
        <f t="shared" si="2"/>
        <v>0.2479016711</v>
      </c>
    </row>
    <row r="5545">
      <c r="A5545" s="4">
        <v>5545.0</v>
      </c>
      <c r="B5545" s="5" t="s">
        <v>30218</v>
      </c>
      <c r="C5545" s="5" t="s">
        <v>30219</v>
      </c>
      <c r="D5545" s="5" t="s">
        <v>30220</v>
      </c>
      <c r="E5545" s="6" t="s">
        <v>74</v>
      </c>
      <c r="F5545" s="6" t="s">
        <v>30221</v>
      </c>
      <c r="G5545" s="3" t="str">
        <f>IFERROR(__xludf.DUMMYFUNCTION("REGEXREPLACE(
D5545,
""([一-龯々]+)\[([^\]]+)\]"",
""&lt;ruby&gt;$1&lt;rt&gt;$2&lt;/rt&gt;&lt;/ruby&gt;""
)&amp;""&lt;br&gt;&lt;div class=""""audio""""&gt;[sound:""&amp;C5545&amp;"".mp3]&lt;/div&gt;"""),"&lt;ruby&gt;着陸&lt;rt&gt;ちゃくりく&lt;/rt&gt;&lt;/ruby&gt;&lt;br&gt;&lt;div class=""audio""&gt;[sound:ちゃくりく.mp3]&lt;/div&gt;")</f>
        <v>&lt;ruby&gt;着陸&lt;rt&gt;ちゃくりく&lt;/rt&gt;&lt;/ruby&gt;&lt;br&gt;&lt;div class="audio"&gt;[sound:ちゃくりく.mp3]&lt;/div&gt;</v>
      </c>
      <c r="H5545" s="3" t="str">
        <f t="shared" si="1"/>
        <v>(n): sự hạ cánh</v>
      </c>
      <c r="I5545" s="6" t="s">
        <v>30222</v>
      </c>
      <c r="J5545" s="6" t="s">
        <v>30223</v>
      </c>
      <c r="K5545" s="7">
        <f t="shared" si="2"/>
        <v>0.4906024824</v>
      </c>
    </row>
    <row r="5546">
      <c r="A5546" s="4">
        <v>5546.0</v>
      </c>
      <c r="B5546" s="5" t="s">
        <v>30224</v>
      </c>
      <c r="C5546" s="5" t="s">
        <v>30225</v>
      </c>
      <c r="D5546" s="5" t="s">
        <v>30226</v>
      </c>
      <c r="E5546" s="6" t="s">
        <v>74</v>
      </c>
      <c r="F5546" s="6" t="s">
        <v>30227</v>
      </c>
      <c r="G5546" s="3" t="str">
        <f>IFERROR(__xludf.DUMMYFUNCTION("REGEXREPLACE(
D5546,
""([一-龯々]+)\[([^\]]+)\]"",
""&lt;ruby&gt;$1&lt;rt&gt;$2&lt;/rt&gt;&lt;/ruby&gt;""
)&amp;""&lt;br&gt;&lt;div class=""""audio""""&gt;[sound:""&amp;C5546&amp;"".mp3]&lt;/div&gt;"""),"&lt;ruby&gt;統治&lt;rt&gt;とうち&lt;/rt&gt;&lt;/ruby&gt;&lt;br&gt;&lt;div class=""audio""&gt;[sound:とうち.mp3]&lt;/div&gt;")</f>
        <v>&lt;ruby&gt;統治&lt;rt&gt;とうち&lt;/rt&gt;&lt;/ruby&gt;&lt;br&gt;&lt;div class="audio"&gt;[sound:とうち.mp3]&lt;/div&gt;</v>
      </c>
      <c r="H5546" s="3" t="str">
        <f t="shared" si="1"/>
        <v>(n): sự cai trị</v>
      </c>
      <c r="I5546" s="6" t="s">
        <v>30228</v>
      </c>
      <c r="J5546" s="6" t="s">
        <v>28706</v>
      </c>
      <c r="K5546" s="7">
        <f t="shared" si="2"/>
        <v>0.3434631821</v>
      </c>
    </row>
    <row r="5547">
      <c r="A5547" s="4">
        <v>5547.0</v>
      </c>
      <c r="B5547" s="5" t="s">
        <v>30229</v>
      </c>
      <c r="C5547" s="5" t="s">
        <v>30230</v>
      </c>
      <c r="D5547" s="5" t="s">
        <v>30231</v>
      </c>
      <c r="E5547" s="6" t="s">
        <v>74</v>
      </c>
      <c r="F5547" s="6" t="s">
        <v>30232</v>
      </c>
      <c r="G5547" s="3" t="str">
        <f>IFERROR(__xludf.DUMMYFUNCTION("REGEXREPLACE(
D5547,
""([一-龯々]+)\[([^\]]+)\]"",
""&lt;ruby&gt;$1&lt;rt&gt;$2&lt;/rt&gt;&lt;/ruby&gt;""
)&amp;""&lt;br&gt;&lt;div class=""""audio""""&gt;[sound:""&amp;C5547&amp;"".mp3]&lt;/div&gt;"""),"&lt;ruby&gt;脱退&lt;rt&gt;だったい&lt;/rt&gt;&lt;/ruby&gt;&lt;br&gt;&lt;div class=""audio""&gt;[sound:だったい.mp3]&lt;/div&gt;")</f>
        <v>&lt;ruby&gt;脱退&lt;rt&gt;だったい&lt;/rt&gt;&lt;/ruby&gt;&lt;br&gt;&lt;div class="audio"&gt;[sound:だったい.mp3]&lt;/div&gt;</v>
      </c>
      <c r="H5547" s="3" t="str">
        <f t="shared" si="1"/>
        <v>(n): sự rút lui</v>
      </c>
      <c r="I5547" s="6" t="s">
        <v>30233</v>
      </c>
      <c r="J5547" s="6" t="s">
        <v>30234</v>
      </c>
      <c r="K5547" s="7">
        <f t="shared" si="2"/>
        <v>0.5369284837</v>
      </c>
    </row>
    <row r="5548">
      <c r="A5548" s="4">
        <v>5548.0</v>
      </c>
      <c r="B5548" s="5" t="s">
        <v>30235</v>
      </c>
      <c r="C5548" s="5" t="s">
        <v>30236</v>
      </c>
      <c r="D5548" s="5" t="s">
        <v>30237</v>
      </c>
      <c r="E5548" s="6" t="s">
        <v>74</v>
      </c>
      <c r="F5548" s="6" t="s">
        <v>30238</v>
      </c>
      <c r="G5548" s="3" t="str">
        <f>IFERROR(__xludf.DUMMYFUNCTION("REGEXREPLACE(
D5548,
""([一-龯々]+)\[([^\]]+)\]"",
""&lt;ruby&gt;$1&lt;rt&gt;$2&lt;/rt&gt;&lt;/ruby&gt;""
)&amp;""&lt;br&gt;&lt;div class=""""audio""""&gt;[sound:""&amp;C5548&amp;"".mp3]&lt;/div&gt;"""),"&lt;ruby&gt;見合&lt;rt&gt;みあ&lt;/rt&gt;&lt;/ruby&gt;い&lt;br&gt;&lt;div class=""audio""&gt;[sound:みあい.mp3]&lt;/div&gt;")</f>
        <v>&lt;ruby&gt;見合&lt;rt&gt;みあ&lt;/rt&gt;&lt;/ruby&gt;い&lt;br&gt;&lt;div class="audio"&gt;[sound:みあい.mp3]&lt;/div&gt;</v>
      </c>
      <c r="H5548" s="3" t="str">
        <f t="shared" si="1"/>
        <v>(n): sự mai mối</v>
      </c>
      <c r="I5548" s="6" t="s">
        <v>30239</v>
      </c>
      <c r="J5548" s="6" t="s">
        <v>30240</v>
      </c>
      <c r="K5548" s="7">
        <f t="shared" si="2"/>
        <v>0.7685545787</v>
      </c>
    </row>
    <row r="5549">
      <c r="A5549" s="4">
        <v>5549.0</v>
      </c>
      <c r="B5549" s="5" t="s">
        <v>30241</v>
      </c>
      <c r="C5549" s="5" t="s">
        <v>12343</v>
      </c>
      <c r="D5549" s="5" t="s">
        <v>30242</v>
      </c>
      <c r="E5549" s="6" t="s">
        <v>11</v>
      </c>
      <c r="F5549" s="6" t="s">
        <v>30243</v>
      </c>
      <c r="G5549" s="3" t="str">
        <f>IFERROR(__xludf.DUMMYFUNCTION("REGEXREPLACE(
D5549,
""([一-龯々]+)\[([^\]]+)\]"",
""&lt;ruby&gt;$1&lt;rt&gt;$2&lt;/rt&gt;&lt;/ruby&gt;""
)&amp;""&lt;br&gt;&lt;div class=""""audio""""&gt;[sound:""&amp;C5549&amp;"".mp3]&lt;/div&gt;"""),"&lt;ruby&gt;軽快&lt;rt&gt;けいかい&lt;/rt&gt;&lt;/ruby&gt;&lt;br&gt;&lt;div class=""audio""&gt;[sound:けいかい.mp3]&lt;/div&gt;")</f>
        <v>&lt;ruby&gt;軽快&lt;rt&gt;けいかい&lt;/rt&gt;&lt;/ruby&gt;&lt;br&gt;&lt;div class="audio"&gt;[sound:けいかい.mp3]&lt;/div&gt;</v>
      </c>
      <c r="H5549" s="3" t="str">
        <f t="shared" si="1"/>
        <v>(adj): nhịp nhàng</v>
      </c>
      <c r="I5549" s="6" t="s">
        <v>30244</v>
      </c>
      <c r="J5549" s="6" t="s">
        <v>30245</v>
      </c>
      <c r="K5549" s="7">
        <f t="shared" si="2"/>
        <v>0.9245976382</v>
      </c>
    </row>
    <row r="5550">
      <c r="A5550" s="4">
        <v>5550.0</v>
      </c>
      <c r="B5550" s="5" t="s">
        <v>30246</v>
      </c>
      <c r="C5550" s="5" t="s">
        <v>30247</v>
      </c>
      <c r="D5550" s="5" t="s">
        <v>30248</v>
      </c>
      <c r="E5550" s="6" t="s">
        <v>74</v>
      </c>
      <c r="F5550" s="6" t="s">
        <v>30249</v>
      </c>
      <c r="G5550" s="3" t="str">
        <f>IFERROR(__xludf.DUMMYFUNCTION("REGEXREPLACE(
D5550,
""([一-龯々]+)\[([^\]]+)\]"",
""&lt;ruby&gt;$1&lt;rt&gt;$2&lt;/rt&gt;&lt;/ruby&gt;""
)&amp;""&lt;br&gt;&lt;div class=""""audio""""&gt;[sound:""&amp;C5550&amp;"".mp3]&lt;/div&gt;"""),"&lt;ruby&gt;迫害&lt;rt&gt;はくがい&lt;/rt&gt;&lt;/ruby&gt;&lt;br&gt;&lt;div class=""audio""&gt;[sound:はくがい.mp3]&lt;/div&gt;")</f>
        <v>&lt;ruby&gt;迫害&lt;rt&gt;はくがい&lt;/rt&gt;&lt;/ruby&gt;&lt;br&gt;&lt;div class="audio"&gt;[sound:はくがい.mp3]&lt;/div&gt;</v>
      </c>
      <c r="H5550" s="3" t="str">
        <f t="shared" si="1"/>
        <v>(n): sự bức hại</v>
      </c>
      <c r="I5550" s="6" t="s">
        <v>30250</v>
      </c>
      <c r="J5550" s="6" t="s">
        <v>30251</v>
      </c>
      <c r="K5550" s="7">
        <f t="shared" si="2"/>
        <v>0.1327033777</v>
      </c>
    </row>
    <row r="5551">
      <c r="A5551" s="4">
        <v>5551.0</v>
      </c>
      <c r="B5551" s="5" t="s">
        <v>30252</v>
      </c>
      <c r="C5551" s="5" t="s">
        <v>30253</v>
      </c>
      <c r="D5551" s="5" t="s">
        <v>30254</v>
      </c>
      <c r="E5551" s="6" t="s">
        <v>74</v>
      </c>
      <c r="F5551" s="6" t="s">
        <v>30255</v>
      </c>
      <c r="G5551" s="3" t="str">
        <f>IFERROR(__xludf.DUMMYFUNCTION("REGEXREPLACE(
D5551,
""([一-龯々]+)\[([^\]]+)\]"",
""&lt;ruby&gt;$1&lt;rt&gt;$2&lt;/rt&gt;&lt;/ruby&gt;""
)&amp;""&lt;br&gt;&lt;div class=""""audio""""&gt;[sound:""&amp;C5551&amp;"".mp3]&lt;/div&gt;"""),"&lt;ruby&gt;遠回&lt;rt&gt;とおまわ&lt;/rt&gt;&lt;/ruby&gt;り&lt;br&gt;&lt;div class=""audio""&gt;[sound:とおまわり.mp3]&lt;/div&gt;")</f>
        <v>&lt;ruby&gt;遠回&lt;rt&gt;とおまわ&lt;/rt&gt;&lt;/ruby&gt;り&lt;br&gt;&lt;div class="audio"&gt;[sound:とおまわり.mp3]&lt;/div&gt;</v>
      </c>
      <c r="H5551" s="3" t="str">
        <f t="shared" si="1"/>
        <v>(n): sự đi vòng</v>
      </c>
      <c r="I5551" s="6" t="s">
        <v>30256</v>
      </c>
      <c r="J5551" s="6" t="s">
        <v>30257</v>
      </c>
      <c r="K5551" s="7">
        <f t="shared" si="2"/>
        <v>0.6152478791</v>
      </c>
    </row>
    <row r="5552">
      <c r="A5552" s="4">
        <v>5552.0</v>
      </c>
      <c r="B5552" s="5" t="s">
        <v>30258</v>
      </c>
      <c r="C5552" s="5" t="s">
        <v>30258</v>
      </c>
      <c r="D5552" s="5" t="s">
        <v>30258</v>
      </c>
      <c r="E5552" s="6" t="s">
        <v>85</v>
      </c>
      <c r="F5552" s="6" t="s">
        <v>28473</v>
      </c>
      <c r="G5552" s="3" t="str">
        <f>IFERROR(__xludf.DUMMYFUNCTION("REGEXREPLACE(
D5552,
""([一-龯々]+)\[([^\]]+)\]"",
""&lt;ruby&gt;$1&lt;rt&gt;$2&lt;/rt&gt;&lt;/ruby&gt;""
)&amp;""&lt;br&gt;&lt;div class=""""audio""""&gt;[sound:""&amp;C5552&amp;"".mp3]&lt;/div&gt;"""),"ずらっと&lt;br&gt;&lt;div class=""audio""&gt;[sound:ずらっと.mp3]&lt;/div&gt;")</f>
        <v>ずらっと&lt;br&gt;&lt;div class="audio"&gt;[sound:ずらっと.mp3]&lt;/div&gt;</v>
      </c>
      <c r="H5552" s="3" t="str">
        <f t="shared" si="1"/>
        <v>(adv): hàng loạt</v>
      </c>
      <c r="I5552" s="6" t="s">
        <v>30259</v>
      </c>
      <c r="J5552" s="6" t="s">
        <v>30260</v>
      </c>
      <c r="K5552" s="7">
        <f t="shared" si="2"/>
        <v>0.3647508105</v>
      </c>
    </row>
    <row r="5553">
      <c r="A5553" s="4">
        <v>5553.0</v>
      </c>
      <c r="B5553" s="5" t="s">
        <v>30261</v>
      </c>
      <c r="C5553" s="5" t="s">
        <v>30262</v>
      </c>
      <c r="D5553" s="5" t="s">
        <v>30261</v>
      </c>
      <c r="E5553" s="6" t="s">
        <v>74</v>
      </c>
      <c r="F5553" s="6" t="s">
        <v>30263</v>
      </c>
      <c r="G5553" s="3" t="str">
        <f>IFERROR(__xludf.DUMMYFUNCTION("REGEXREPLACE(
D5553,
""([一-龯々]+)\[([^\]]+)\]"",
""&lt;ruby&gt;$1&lt;rt&gt;$2&lt;/rt&gt;&lt;/ruby&gt;""
)&amp;""&lt;br&gt;&lt;div class=""""audio""""&gt;[sound:""&amp;C5553&amp;"".mp3]&lt;/div&gt;"""),"デッサン&lt;br&gt;&lt;div class=""audio""&gt;[sound:でっさん.mp3]&lt;/div&gt;")</f>
        <v>デッサン&lt;br&gt;&lt;div class="audio"&gt;[sound:でっさん.mp3]&lt;/div&gt;</v>
      </c>
      <c r="H5553" s="3" t="str">
        <f t="shared" si="1"/>
        <v>(n): phác thảo</v>
      </c>
      <c r="I5553" s="6" t="s">
        <v>30264</v>
      </c>
      <c r="J5553" s="6" t="s">
        <v>30265</v>
      </c>
      <c r="K5553" s="7">
        <f t="shared" si="2"/>
        <v>0.3636603894</v>
      </c>
    </row>
    <row r="5554">
      <c r="A5554" s="4">
        <v>5554.0</v>
      </c>
      <c r="B5554" s="5" t="s">
        <v>30266</v>
      </c>
      <c r="C5554" s="5" t="s">
        <v>30267</v>
      </c>
      <c r="D5554" s="5" t="s">
        <v>30268</v>
      </c>
      <c r="E5554" s="6" t="s">
        <v>74</v>
      </c>
      <c r="F5554" s="6" t="s">
        <v>30269</v>
      </c>
      <c r="G5554" s="3" t="str">
        <f>IFERROR(__xludf.DUMMYFUNCTION("REGEXREPLACE(
D5554,
""([一-龯々]+)\[([^\]]+)\]"",
""&lt;ruby&gt;$1&lt;rt&gt;$2&lt;/rt&gt;&lt;/ruby&gt;""
)&amp;""&lt;br&gt;&lt;div class=""""audio""""&gt;[sound:""&amp;C5554&amp;"".mp3]&lt;/div&gt;"""),"&lt;ruby&gt;主食&lt;rt&gt;しゅしょく&lt;/rt&gt;&lt;/ruby&gt;&lt;br&gt;&lt;div class=""audio""&gt;[sound:しゅしょく.mp3]&lt;/div&gt;")</f>
        <v>&lt;ruby&gt;主食&lt;rt&gt;しゅしょく&lt;/rt&gt;&lt;/ruby&gt;&lt;br&gt;&lt;div class="audio"&gt;[sound:しゅしょく.mp3]&lt;/div&gt;</v>
      </c>
      <c r="H5554" s="3" t="str">
        <f t="shared" si="1"/>
        <v>(n): món chính</v>
      </c>
      <c r="I5554" s="6" t="s">
        <v>30270</v>
      </c>
      <c r="J5554" s="6" t="s">
        <v>30271</v>
      </c>
      <c r="K5554" s="7">
        <f t="shared" si="2"/>
        <v>0.1328697607</v>
      </c>
    </row>
    <row r="5555">
      <c r="A5555" s="4">
        <v>5555.0</v>
      </c>
      <c r="B5555" s="5" t="s">
        <v>30272</v>
      </c>
      <c r="C5555" s="5" t="s">
        <v>30273</v>
      </c>
      <c r="D5555" s="5" t="s">
        <v>30274</v>
      </c>
      <c r="E5555" s="6" t="s">
        <v>74</v>
      </c>
      <c r="F5555" s="6" t="s">
        <v>30275</v>
      </c>
      <c r="G5555" s="3" t="str">
        <f>IFERROR(__xludf.DUMMYFUNCTION("REGEXREPLACE(
D5555,
""([一-龯々]+)\[([^\]]+)\]"",
""&lt;ruby&gt;$1&lt;rt&gt;$2&lt;/rt&gt;&lt;/ruby&gt;""
)&amp;""&lt;br&gt;&lt;div class=""""audio""""&gt;[sound:""&amp;C5555&amp;"".mp3]&lt;/div&gt;"""),"&lt;ruby&gt;先着&lt;rt&gt;せんちゃく&lt;/rt&gt;&lt;/ruby&gt;&lt;br&gt;&lt;div class=""audio""&gt;[sound:せんちゃく.mp3]&lt;/div&gt;")</f>
        <v>&lt;ruby&gt;先着&lt;rt&gt;せんちゃく&lt;/rt&gt;&lt;/ruby&gt;&lt;br&gt;&lt;div class="audio"&gt;[sound:せんちゃく.mp3]&lt;/div&gt;</v>
      </c>
      <c r="H5555" s="3" t="str">
        <f t="shared" si="1"/>
        <v>(n): đến trước</v>
      </c>
      <c r="I5555" s="6" t="s">
        <v>30276</v>
      </c>
      <c r="J5555" s="6" t="s">
        <v>30277</v>
      </c>
      <c r="K5555" s="7">
        <f t="shared" si="2"/>
        <v>0.7512158211</v>
      </c>
    </row>
    <row r="5556">
      <c r="A5556" s="4">
        <v>5556.0</v>
      </c>
      <c r="B5556" s="5" t="s">
        <v>30278</v>
      </c>
      <c r="C5556" s="5" t="s">
        <v>30279</v>
      </c>
      <c r="D5556" s="5" t="s">
        <v>30280</v>
      </c>
      <c r="E5556" s="6" t="s">
        <v>85</v>
      </c>
      <c r="F5556" s="6" t="s">
        <v>30281</v>
      </c>
      <c r="G5556" s="3" t="str">
        <f>IFERROR(__xludf.DUMMYFUNCTION("REGEXREPLACE(
D5556,
""([一-龯々]+)\[([^\]]+)\]"",
""&lt;ruby&gt;$1&lt;rt&gt;$2&lt;/rt&gt;&lt;/ruby&gt;""
)&amp;""&lt;br&gt;&lt;div class=""""audio""""&gt;[sound:""&amp;C5556&amp;"".mp3]&lt;/div&gt;"""),"&lt;ruby&gt;公然&lt;rt&gt;こうぜん&lt;/rt&gt;&lt;/ruby&gt;&lt;br&gt;&lt;div class=""audio""&gt;[sound:こうぜん.mp3]&lt;/div&gt;")</f>
        <v>&lt;ruby&gt;公然&lt;rt&gt;こうぜん&lt;/rt&gt;&lt;/ruby&gt;&lt;br&gt;&lt;div class="audio"&gt;[sound:こうぜん.mp3]&lt;/div&gt;</v>
      </c>
      <c r="H5556" s="3" t="str">
        <f t="shared" si="1"/>
        <v>(adv): công khai</v>
      </c>
      <c r="I5556" s="6" t="s">
        <v>30282</v>
      </c>
      <c r="J5556" s="6" t="s">
        <v>30283</v>
      </c>
      <c r="K5556" s="7">
        <f t="shared" si="2"/>
        <v>0.9878484928</v>
      </c>
    </row>
    <row r="5557">
      <c r="A5557" s="4">
        <v>5557.0</v>
      </c>
      <c r="B5557" s="5" t="s">
        <v>30284</v>
      </c>
      <c r="C5557" s="5" t="s">
        <v>30285</v>
      </c>
      <c r="D5557" s="5" t="s">
        <v>30286</v>
      </c>
      <c r="E5557" s="6" t="s">
        <v>74</v>
      </c>
      <c r="F5557" s="6" t="s">
        <v>30287</v>
      </c>
      <c r="G5557" s="3" t="str">
        <f>IFERROR(__xludf.DUMMYFUNCTION("REGEXREPLACE(
D5557,
""([一-龯々]+)\[([^\]]+)\]"",
""&lt;ruby&gt;$1&lt;rt&gt;$2&lt;/rt&gt;&lt;/ruby&gt;""
)&amp;""&lt;br&gt;&lt;div class=""""audio""""&gt;[sound:""&amp;C5557&amp;"".mp3]&lt;/div&gt;"""),"&lt;ruby&gt;内乱&lt;rt&gt;ないらん&lt;/rt&gt;&lt;/ruby&gt;&lt;br&gt;&lt;div class=""audio""&gt;[sound:ないらん.mp3]&lt;/div&gt;")</f>
        <v>&lt;ruby&gt;内乱&lt;rt&gt;ないらん&lt;/rt&gt;&lt;/ruby&gt;&lt;br&gt;&lt;div class="audio"&gt;[sound:ないらん.mp3]&lt;/div&gt;</v>
      </c>
      <c r="H5557" s="3" t="str">
        <f t="shared" si="1"/>
        <v>(n): nội chiến</v>
      </c>
      <c r="I5557" s="6" t="s">
        <v>30288</v>
      </c>
      <c r="J5557" s="6" t="s">
        <v>30289</v>
      </c>
      <c r="K5557" s="7">
        <f t="shared" si="2"/>
        <v>0.191250756</v>
      </c>
    </row>
    <row r="5558">
      <c r="A5558" s="4">
        <v>5558.0</v>
      </c>
      <c r="B5558" s="5" t="s">
        <v>30290</v>
      </c>
      <c r="C5558" s="5" t="s">
        <v>30291</v>
      </c>
      <c r="D5558" s="5" t="s">
        <v>30292</v>
      </c>
      <c r="E5558" s="6" t="s">
        <v>74</v>
      </c>
      <c r="F5558" s="6" t="s">
        <v>1444</v>
      </c>
      <c r="G5558" s="3" t="str">
        <f>IFERROR(__xludf.DUMMYFUNCTION("REGEXREPLACE(
D5558,
""([一-龯々]+)\[([^\]]+)\]"",
""&lt;ruby&gt;$1&lt;rt&gt;$2&lt;/rt&gt;&lt;/ruby&gt;""
)&amp;""&lt;br&gt;&lt;div class=""""audio""""&gt;[sound:""&amp;C5558&amp;"".mp3]&lt;/div&gt;"""),"&lt;ruby&gt;前途&lt;rt&gt;ぜんと&lt;/rt&gt;&lt;/ruby&gt;&lt;br&gt;&lt;div class=""audio""&gt;[sound:ぜんと.mp3]&lt;/div&gt;")</f>
        <v>&lt;ruby&gt;前途&lt;rt&gt;ぜんと&lt;/rt&gt;&lt;/ruby&gt;&lt;br&gt;&lt;div class="audio"&gt;[sound:ぜんと.mp3]&lt;/div&gt;</v>
      </c>
      <c r="H5558" s="3" t="str">
        <f t="shared" si="1"/>
        <v>(n): tương lai</v>
      </c>
      <c r="I5558" s="6" t="s">
        <v>30293</v>
      </c>
      <c r="J5558" s="6" t="s">
        <v>30294</v>
      </c>
      <c r="K5558" s="7">
        <f t="shared" si="2"/>
        <v>0.8391039999</v>
      </c>
    </row>
    <row r="5559">
      <c r="A5559" s="4">
        <v>5559.0</v>
      </c>
      <c r="B5559" s="5" t="s">
        <v>30295</v>
      </c>
      <c r="C5559" s="5" t="s">
        <v>30296</v>
      </c>
      <c r="D5559" s="5" t="s">
        <v>30297</v>
      </c>
      <c r="E5559" s="6" t="s">
        <v>11</v>
      </c>
      <c r="F5559" s="6" t="s">
        <v>3887</v>
      </c>
      <c r="G5559" s="3" t="str">
        <f>IFERROR(__xludf.DUMMYFUNCTION("REGEXREPLACE(
D5559,
""([一-龯々]+)\[([^\]]+)\]"",
""&lt;ruby&gt;$1&lt;rt&gt;$2&lt;/rt&gt;&lt;/ruby&gt;""
)&amp;""&lt;br&gt;&lt;div class=""""audio""""&gt;[sound:""&amp;C5559&amp;"".mp3]&lt;/div&gt;"""),"&lt;ruby&gt;名高&lt;rt&gt;なだか&lt;/rt&gt;&lt;/ruby&gt;い&lt;br&gt;&lt;div class=""audio""&gt;[sound:なだかい.mp3]&lt;/div&gt;")</f>
        <v>&lt;ruby&gt;名高&lt;rt&gt;なだか&lt;/rt&gt;&lt;/ruby&gt;い&lt;br&gt;&lt;div class="audio"&gt;[sound:なだかい.mp3]&lt;/div&gt;</v>
      </c>
      <c r="H5559" s="3" t="str">
        <f t="shared" si="1"/>
        <v>(adj): nổi tiếng</v>
      </c>
      <c r="I5559" s="6" t="s">
        <v>30298</v>
      </c>
      <c r="J5559" s="6" t="s">
        <v>30299</v>
      </c>
      <c r="K5559" s="7">
        <f t="shared" si="2"/>
        <v>0.6276880122</v>
      </c>
    </row>
    <row r="5560">
      <c r="A5560" s="4">
        <v>5560.0</v>
      </c>
      <c r="B5560" s="5" t="s">
        <v>30300</v>
      </c>
      <c r="C5560" s="5" t="s">
        <v>30301</v>
      </c>
      <c r="D5560" s="5" t="s">
        <v>30302</v>
      </c>
      <c r="E5560" s="6" t="s">
        <v>74</v>
      </c>
      <c r="F5560" s="6" t="s">
        <v>30303</v>
      </c>
      <c r="G5560" s="3" t="str">
        <f>IFERROR(__xludf.DUMMYFUNCTION("REGEXREPLACE(
D5560,
""([一-龯々]+)\[([^\]]+)\]"",
""&lt;ruby&gt;$1&lt;rt&gt;$2&lt;/rt&gt;&lt;/ruby&gt;""
)&amp;""&lt;br&gt;&lt;div class=""""audio""""&gt;[sound:""&amp;C5560&amp;"".mp3]&lt;/div&gt;"""),"&lt;ruby&gt;国定&lt;rt&gt;こくてい&lt;/rt&gt;&lt;/ruby&gt;&lt;br&gt;&lt;div class=""audio""&gt;[sound:こくてい.mp3]&lt;/div&gt;")</f>
        <v>&lt;ruby&gt;国定&lt;rt&gt;こくてい&lt;/rt&gt;&lt;/ruby&gt;&lt;br&gt;&lt;div class="audio"&gt;[sound:こくてい.mp3]&lt;/div&gt;</v>
      </c>
      <c r="H5560" s="3" t="str">
        <f t="shared" si="1"/>
        <v>(n): quốc định</v>
      </c>
      <c r="I5560" s="6" t="s">
        <v>30304</v>
      </c>
      <c r="J5560" s="6" t="s">
        <v>30305</v>
      </c>
      <c r="K5560" s="7">
        <f t="shared" si="2"/>
        <v>0.7245925697</v>
      </c>
    </row>
    <row r="5561">
      <c r="A5561" s="4">
        <v>5561.0</v>
      </c>
      <c r="B5561" s="5" t="s">
        <v>30306</v>
      </c>
      <c r="C5561" s="5" t="s">
        <v>30307</v>
      </c>
      <c r="D5561" s="5" t="s">
        <v>30308</v>
      </c>
      <c r="E5561" s="6" t="s">
        <v>74</v>
      </c>
      <c r="F5561" s="6" t="s">
        <v>30309</v>
      </c>
      <c r="G5561" s="3" t="str">
        <f>IFERROR(__xludf.DUMMYFUNCTION("REGEXREPLACE(
D5561,
""([一-龯々]+)\[([^\]]+)\]"",
""&lt;ruby&gt;$1&lt;rt&gt;$2&lt;/rt&gt;&lt;/ruby&gt;""
)&amp;""&lt;br&gt;&lt;div class=""""audio""""&gt;[sound:""&amp;C5561&amp;"".mp3]&lt;/div&gt;"""),"&lt;ruby&gt;夜更&lt;rt&gt;よふ&lt;/rt&gt;&lt;/ruby&gt;け&lt;br&gt;&lt;div class=""audio""&gt;[sound:よふけ.mp3]&lt;/div&gt;")</f>
        <v>&lt;ruby&gt;夜更&lt;rt&gt;よふ&lt;/rt&gt;&lt;/ruby&gt;け&lt;br&gt;&lt;div class="audio"&gt;[sound:よふけ.mp3]&lt;/div&gt;</v>
      </c>
      <c r="H5561" s="3" t="str">
        <f t="shared" si="1"/>
        <v>(n): đêm khuya</v>
      </c>
      <c r="I5561" s="6" t="s">
        <v>30310</v>
      </c>
      <c r="J5561" s="6" t="s">
        <v>30311</v>
      </c>
      <c r="K5561" s="7">
        <f t="shared" si="2"/>
        <v>0.9385256191</v>
      </c>
    </row>
    <row r="5562">
      <c r="A5562" s="4">
        <v>5562.0</v>
      </c>
      <c r="B5562" s="5" t="s">
        <v>30312</v>
      </c>
      <c r="C5562" s="5" t="s">
        <v>15878</v>
      </c>
      <c r="D5562" s="5" t="s">
        <v>30313</v>
      </c>
      <c r="E5562" s="6" t="s">
        <v>74</v>
      </c>
      <c r="F5562" s="6" t="s">
        <v>30314</v>
      </c>
      <c r="G5562" s="3" t="str">
        <f>IFERROR(__xludf.DUMMYFUNCTION("REGEXREPLACE(
D5562,
""([一-龯々]+)\[([^\]]+)\]"",
""&lt;ruby&gt;$1&lt;rt&gt;$2&lt;/rt&gt;&lt;/ruby&gt;""
)&amp;""&lt;br&gt;&lt;div class=""""audio""""&gt;[sound:""&amp;C5562&amp;"".mp3]&lt;/div&gt;"""),"&lt;ruby&gt;天災&lt;rt&gt;てんさい&lt;/rt&gt;&lt;/ruby&gt;&lt;br&gt;&lt;div class=""audio""&gt;[sound:てんさい.mp3]&lt;/div&gt;")</f>
        <v>&lt;ruby&gt;天災&lt;rt&gt;てんさい&lt;/rt&gt;&lt;/ruby&gt;&lt;br&gt;&lt;div class="audio"&gt;[sound:てんさい.mp3]&lt;/div&gt;</v>
      </c>
      <c r="H5562" s="3" t="str">
        <f t="shared" si="1"/>
        <v>(n): thiên tai</v>
      </c>
      <c r="I5562" s="6" t="s">
        <v>30315</v>
      </c>
      <c r="J5562" s="6" t="s">
        <v>30316</v>
      </c>
      <c r="K5562" s="7">
        <f t="shared" si="2"/>
        <v>0.2473643115</v>
      </c>
    </row>
    <row r="5563">
      <c r="A5563" s="4">
        <v>5563.0</v>
      </c>
      <c r="B5563" s="5" t="s">
        <v>30317</v>
      </c>
      <c r="C5563" s="5" t="s">
        <v>30318</v>
      </c>
      <c r="D5563" s="5" t="s">
        <v>30319</v>
      </c>
      <c r="E5563" s="6" t="s">
        <v>24</v>
      </c>
      <c r="F5563" s="6" t="s">
        <v>30320</v>
      </c>
      <c r="G5563" s="3" t="str">
        <f>IFERROR(__xludf.DUMMYFUNCTION("REGEXREPLACE(
D5563,
""([一-龯々]+)\[([^\]]+)\]"",
""&lt;ruby&gt;$1&lt;rt&gt;$2&lt;/rt&gt;&lt;/ruby&gt;""
)&amp;""&lt;br&gt;&lt;div class=""""audio""""&gt;[sound:""&amp;C5563&amp;"".mp3]&lt;/div&gt;"""),"&lt;ruby&gt;栄&lt;rt&gt;さか&lt;/rt&gt;&lt;/ruby&gt;える&lt;br&gt;&lt;div class=""audio""&gt;[sound:さかえる.mp3]&lt;/div&gt;")</f>
        <v>&lt;ruby&gt;栄&lt;rt&gt;さか&lt;/rt&gt;&lt;/ruby&gt;える&lt;br&gt;&lt;div class="audio"&gt;[sound:さかえる.mp3]&lt;/div&gt;</v>
      </c>
      <c r="H5563" s="3" t="str">
        <f t="shared" si="1"/>
        <v>(v): phồn vinh</v>
      </c>
      <c r="I5563" s="6" t="s">
        <v>30321</v>
      </c>
      <c r="J5563" s="6" t="s">
        <v>30322</v>
      </c>
      <c r="K5563" s="7">
        <f t="shared" si="2"/>
        <v>0.914155687</v>
      </c>
    </row>
    <row r="5564">
      <c r="A5564" s="4">
        <v>5564.0</v>
      </c>
      <c r="B5564" s="5" t="s">
        <v>30323</v>
      </c>
      <c r="C5564" s="5" t="s">
        <v>30324</v>
      </c>
      <c r="D5564" s="5" t="s">
        <v>30325</v>
      </c>
      <c r="E5564" s="6" t="s">
        <v>74</v>
      </c>
      <c r="F5564" s="6" t="s">
        <v>30326</v>
      </c>
      <c r="G5564" s="3" t="str">
        <f>IFERROR(__xludf.DUMMYFUNCTION("REGEXREPLACE(
D5564,
""([一-龯々]+)\[([^\]]+)\]"",
""&lt;ruby&gt;$1&lt;rt&gt;$2&lt;/rt&gt;&lt;/ruby&gt;""
)&amp;""&lt;br&gt;&lt;div class=""""audio""""&gt;[sound:""&amp;C5564&amp;"".mp3]&lt;/div&gt;"""),"&lt;ruby&gt;植民地&lt;rt&gt;しょくみんち&lt;/rt&gt;&lt;/ruby&gt;&lt;br&gt;&lt;div class=""audio""&gt;[sound:しょくみんち.mp3]&lt;/div&gt;")</f>
        <v>&lt;ruby&gt;植民地&lt;rt&gt;しょくみんち&lt;/rt&gt;&lt;/ruby&gt;&lt;br&gt;&lt;div class="audio"&gt;[sound:しょくみんち.mp3]&lt;/div&gt;</v>
      </c>
      <c r="H5564" s="3" t="str">
        <f t="shared" si="1"/>
        <v>(n): thuộc địa</v>
      </c>
      <c r="I5564" s="6" t="s">
        <v>30327</v>
      </c>
      <c r="J5564" s="6" t="s">
        <v>30328</v>
      </c>
      <c r="K5564" s="7">
        <f t="shared" si="2"/>
        <v>0.6528457175</v>
      </c>
    </row>
    <row r="5565">
      <c r="A5565" s="4">
        <v>5565.0</v>
      </c>
      <c r="B5565" s="5" t="s">
        <v>30329</v>
      </c>
      <c r="C5565" s="5" t="s">
        <v>30330</v>
      </c>
      <c r="D5565" s="5" t="s">
        <v>30331</v>
      </c>
      <c r="E5565" s="6" t="s">
        <v>74</v>
      </c>
      <c r="F5565" s="6" t="s">
        <v>30332</v>
      </c>
      <c r="G5565" s="3" t="str">
        <f>IFERROR(__xludf.DUMMYFUNCTION("REGEXREPLACE(
D5565,
""([一-龯々]+)\[([^\]]+)\]"",
""&lt;ruby&gt;$1&lt;rt&gt;$2&lt;/rt&gt;&lt;/ruby&gt;""
)&amp;""&lt;br&gt;&lt;div class=""""audio""""&gt;[sound:""&amp;C5565&amp;"".mp3]&lt;/div&gt;"""),"&lt;ruby&gt;母校&lt;rt&gt;ぼこう&lt;/rt&gt;&lt;/ruby&gt;&lt;br&gt;&lt;div class=""audio""&gt;[sound:ぼこう.mp3]&lt;/div&gt;")</f>
        <v>&lt;ruby&gt;母校&lt;rt&gt;ぼこう&lt;/rt&gt;&lt;/ruby&gt;&lt;br&gt;&lt;div class="audio"&gt;[sound:ぼこう.mp3]&lt;/div&gt;</v>
      </c>
      <c r="H5565" s="3" t="str">
        <f t="shared" si="1"/>
        <v>(n): trường cũ</v>
      </c>
      <c r="I5565" s="6" t="s">
        <v>30333</v>
      </c>
      <c r="J5565" s="6" t="s">
        <v>30334</v>
      </c>
      <c r="K5565" s="7">
        <f t="shared" si="2"/>
        <v>0.2447433454</v>
      </c>
    </row>
    <row r="5566">
      <c r="A5566" s="4">
        <v>5566.0</v>
      </c>
      <c r="B5566" s="5" t="s">
        <v>30335</v>
      </c>
      <c r="C5566" s="5" t="s">
        <v>30336</v>
      </c>
      <c r="D5566" s="5" t="s">
        <v>30337</v>
      </c>
      <c r="E5566" s="6" t="s">
        <v>74</v>
      </c>
      <c r="F5566" s="6" t="s">
        <v>30338</v>
      </c>
      <c r="G5566" s="3" t="str">
        <f>IFERROR(__xludf.DUMMYFUNCTION("REGEXREPLACE(
D5566,
""([一-龯々]+)\[([^\]]+)\]"",
""&lt;ruby&gt;$1&lt;rt&gt;$2&lt;/rt&gt;&lt;/ruby&gt;""
)&amp;""&lt;br&gt;&lt;div class=""""audio""""&gt;[sound:""&amp;C5566&amp;"".mp3]&lt;/div&gt;"""),"&lt;ruby&gt;水田&lt;rt&gt;すいでん&lt;/rt&gt;&lt;/ruby&gt;&lt;br&gt;&lt;div class=""audio""&gt;[sound:すいでん.mp3]&lt;/div&gt;")</f>
        <v>&lt;ruby&gt;水田&lt;rt&gt;すいでん&lt;/rt&gt;&lt;/ruby&gt;&lt;br&gt;&lt;div class="audio"&gt;[sound:すいでん.mp3]&lt;/div&gt;</v>
      </c>
      <c r="H5566" s="3" t="str">
        <f t="shared" si="1"/>
        <v>(n): ruộng lúa</v>
      </c>
      <c r="I5566" s="6" t="s">
        <v>30339</v>
      </c>
      <c r="J5566" s="6" t="s">
        <v>30340</v>
      </c>
      <c r="K5566" s="7">
        <f t="shared" si="2"/>
        <v>0.2700380424</v>
      </c>
    </row>
    <row r="5567">
      <c r="A5567" s="4">
        <v>5567.0</v>
      </c>
      <c r="B5567" s="5" t="s">
        <v>30341</v>
      </c>
      <c r="C5567" s="5" t="s">
        <v>1288</v>
      </c>
      <c r="D5567" s="5" t="s">
        <v>30342</v>
      </c>
      <c r="E5567" s="6" t="s">
        <v>74</v>
      </c>
      <c r="F5567" s="6" t="s">
        <v>30343</v>
      </c>
      <c r="G5567" s="3" t="str">
        <f>IFERROR(__xludf.DUMMYFUNCTION("REGEXREPLACE(
D5567,
""([一-龯々]+)\[([^\]]+)\]"",
""&lt;ruby&gt;$1&lt;rt&gt;$2&lt;/rt&gt;&lt;/ruby&gt;""
)&amp;""&lt;br&gt;&lt;div class=""""audio""""&gt;[sound:""&amp;C5567&amp;"".mp3]&lt;/div&gt;"""),"&lt;ruby&gt;液&lt;rt&gt;えき&lt;/rt&gt;&lt;/ruby&gt;&lt;br&gt;&lt;div class=""audio""&gt;[sound:えき.mp3]&lt;/div&gt;")</f>
        <v>&lt;ruby&gt;液&lt;rt&gt;えき&lt;/rt&gt;&lt;/ruby&gt;&lt;br&gt;&lt;div class="audio"&gt;[sound:えき.mp3]&lt;/div&gt;</v>
      </c>
      <c r="H5567" s="3" t="str">
        <f t="shared" si="1"/>
        <v>(n): dung dịch</v>
      </c>
      <c r="I5567" s="6" t="s">
        <v>30344</v>
      </c>
      <c r="J5567" s="6" t="s">
        <v>30345</v>
      </c>
      <c r="K5567" s="7">
        <f t="shared" si="2"/>
        <v>0.3118464564</v>
      </c>
    </row>
    <row r="5568">
      <c r="A5568" s="4">
        <v>5568.0</v>
      </c>
      <c r="B5568" s="5" t="s">
        <v>30346</v>
      </c>
      <c r="C5568" s="5" t="s">
        <v>30347</v>
      </c>
      <c r="D5568" s="5" t="s">
        <v>30348</v>
      </c>
      <c r="E5568" s="6" t="s">
        <v>24</v>
      </c>
      <c r="F5568" s="6" t="s">
        <v>30349</v>
      </c>
      <c r="G5568" s="3" t="str">
        <f>IFERROR(__xludf.DUMMYFUNCTION("REGEXREPLACE(
D5568,
""([一-龯々]+)\[([^\]]+)\]"",
""&lt;ruby&gt;$1&lt;rt&gt;$2&lt;/rt&gt;&lt;/ruby&gt;""
)&amp;""&lt;br&gt;&lt;div class=""""audio""""&gt;[sound:""&amp;C5568&amp;"".mp3]&lt;/div&gt;"""),"&lt;ruby&gt;滅&lt;rt&gt;ほろ&lt;/rt&gt;&lt;/ruby&gt;びる&lt;br&gt;&lt;div class=""audio""&gt;[sound:ほろびる.mp3]&lt;/div&gt;")</f>
        <v>&lt;ruby&gt;滅&lt;rt&gt;ほろ&lt;/rt&gt;&lt;/ruby&gt;びる&lt;br&gt;&lt;div class="audio"&gt;[sound:ほろびる.mp3]&lt;/div&gt;</v>
      </c>
      <c r="H5568" s="3" t="str">
        <f t="shared" si="1"/>
        <v>(v): diệt vong</v>
      </c>
      <c r="I5568" s="6" t="s">
        <v>30350</v>
      </c>
      <c r="J5568" s="6" t="s">
        <v>30351</v>
      </c>
      <c r="K5568" s="7">
        <f t="shared" si="2"/>
        <v>0.9728215145</v>
      </c>
    </row>
    <row r="5569">
      <c r="A5569" s="4">
        <v>5569.0</v>
      </c>
      <c r="B5569" s="5" t="s">
        <v>30352</v>
      </c>
      <c r="C5569" s="5" t="s">
        <v>30353</v>
      </c>
      <c r="D5569" s="5" t="s">
        <v>30354</v>
      </c>
      <c r="E5569" s="6" t="s">
        <v>24</v>
      </c>
      <c r="F5569" s="6" t="s">
        <v>30355</v>
      </c>
      <c r="G5569" s="3" t="str">
        <f>IFERROR(__xludf.DUMMYFUNCTION("REGEXREPLACE(
D5569,
""([一-龯々]+)\[([^\]]+)\]"",
""&lt;ruby&gt;$1&lt;rt&gt;$2&lt;/rt&gt;&lt;/ruby&gt;""
)&amp;""&lt;br&gt;&lt;div class=""""audio""""&gt;[sound:""&amp;C5569&amp;"".mp3]&lt;/div&gt;"""),"&lt;ruby&gt;漏&lt;rt&gt;も&lt;/rt&gt;&lt;/ruby&gt;らす&lt;br&gt;&lt;div class=""audio""&gt;[sound:もらす.mp3]&lt;/div&gt;")</f>
        <v>&lt;ruby&gt;漏&lt;rt&gt;も&lt;/rt&gt;&lt;/ruby&gt;らす&lt;br&gt;&lt;div class="audio"&gt;[sound:もらす.mp3]&lt;/div&gt;</v>
      </c>
      <c r="H5569" s="3" t="str">
        <f t="shared" si="1"/>
        <v>(v): làm rò rỉ</v>
      </c>
      <c r="I5569" s="6" t="s">
        <v>30356</v>
      </c>
      <c r="J5569" s="6" t="s">
        <v>30357</v>
      </c>
      <c r="K5569" s="7">
        <f t="shared" si="2"/>
        <v>0.03104418347</v>
      </c>
    </row>
    <row r="5570">
      <c r="A5570" s="4">
        <v>5570.0</v>
      </c>
      <c r="B5570" s="5" t="s">
        <v>30358</v>
      </c>
      <c r="C5570" s="5" t="s">
        <v>30359</v>
      </c>
      <c r="D5570" s="5" t="s">
        <v>30360</v>
      </c>
      <c r="E5570" s="6" t="s">
        <v>74</v>
      </c>
      <c r="F5570" s="6" t="s">
        <v>30361</v>
      </c>
      <c r="G5570" s="3" t="str">
        <f>IFERROR(__xludf.DUMMYFUNCTION("REGEXREPLACE(
D5570,
""([一-龯々]+)\[([^\]]+)\]"",
""&lt;ruby&gt;$1&lt;rt&gt;$2&lt;/rt&gt;&lt;/ruby&gt;""
)&amp;""&lt;br&gt;&lt;div class=""""audio""""&gt;[sound:""&amp;C5570&amp;"".mp3]&lt;/div&gt;"""),"&lt;ruby&gt;直感&lt;rt&gt;ちょっかん&lt;/rt&gt;&lt;/ruby&gt;&lt;br&gt;&lt;div class=""audio""&gt;[sound:ちょっかん.mp3]&lt;/div&gt;")</f>
        <v>&lt;ruby&gt;直感&lt;rt&gt;ちょっかん&lt;/rt&gt;&lt;/ruby&gt;&lt;br&gt;&lt;div class="audio"&gt;[sound:ちょっかん.mp3]&lt;/div&gt;</v>
      </c>
      <c r="H5570" s="3" t="str">
        <f t="shared" si="1"/>
        <v>(n): trực giác</v>
      </c>
      <c r="I5570" s="6" t="s">
        <v>30362</v>
      </c>
      <c r="J5570" s="6" t="s">
        <v>30363</v>
      </c>
      <c r="K5570" s="7">
        <f t="shared" si="2"/>
        <v>0.7987148742</v>
      </c>
    </row>
    <row r="5571">
      <c r="A5571" s="4">
        <v>5571.0</v>
      </c>
      <c r="B5571" s="5" t="s">
        <v>30364</v>
      </c>
      <c r="C5571" s="5" t="s">
        <v>30365</v>
      </c>
      <c r="D5571" s="5" t="s">
        <v>30366</v>
      </c>
      <c r="E5571" s="6" t="s">
        <v>74</v>
      </c>
      <c r="F5571" s="6" t="s">
        <v>30367</v>
      </c>
      <c r="G5571" s="3" t="str">
        <f>IFERROR(__xludf.DUMMYFUNCTION("REGEXREPLACE(
D5571,
""([一-龯々]+)\[([^\]]+)\]"",
""&lt;ruby&gt;$1&lt;rt&gt;$2&lt;/rt&gt;&lt;/ruby&gt;""
)&amp;""&lt;br&gt;&lt;div class=""""audio""""&gt;[sound:""&amp;C5571&amp;"".mp3]&lt;/div&gt;"""),"&lt;ruby&gt;破棄&lt;rt&gt;はき&lt;/rt&gt;&lt;/ruby&gt;&lt;br&gt;&lt;div class=""audio""&gt;[sound:はき.mp3]&lt;/div&gt;")</f>
        <v>&lt;ruby&gt;破棄&lt;rt&gt;はき&lt;/rt&gt;&lt;/ruby&gt;&lt;br&gt;&lt;div class="audio"&gt;[sound:はき.mp3]&lt;/div&gt;</v>
      </c>
      <c r="H5571" s="3" t="str">
        <f t="shared" si="1"/>
        <v>(n): sự hủy bỏ</v>
      </c>
      <c r="I5571" s="6" t="s">
        <v>30368</v>
      </c>
      <c r="J5571" s="6" t="s">
        <v>30369</v>
      </c>
      <c r="K5571" s="7">
        <f t="shared" si="2"/>
        <v>0.2816378149</v>
      </c>
    </row>
    <row r="5572">
      <c r="A5572" s="4">
        <v>5572.0</v>
      </c>
      <c r="B5572" s="5" t="s">
        <v>30370</v>
      </c>
      <c r="C5572" s="5" t="s">
        <v>30371</v>
      </c>
      <c r="D5572" s="5" t="s">
        <v>30372</v>
      </c>
      <c r="E5572" s="6" t="s">
        <v>85</v>
      </c>
      <c r="F5572" s="6" t="s">
        <v>2225</v>
      </c>
      <c r="G5572" s="3" t="str">
        <f>IFERROR(__xludf.DUMMYFUNCTION("REGEXREPLACE(
D5572,
""([一-龯々]+)\[([^\]]+)\]"",
""&lt;ruby&gt;$1&lt;rt&gt;$2&lt;/rt&gt;&lt;/ruby&gt;""
)&amp;""&lt;br&gt;&lt;div class=""""audio""""&gt;[sound:""&amp;C5572&amp;"".mp3]&lt;/div&gt;"""),"&lt;ruby&gt;突如&lt;rt&gt;とつじょ&lt;/rt&gt;&lt;/ruby&gt;&lt;br&gt;&lt;div class=""audio""&gt;[sound:とつじょ.mp3]&lt;/div&gt;")</f>
        <v>&lt;ruby&gt;突如&lt;rt&gt;とつじょ&lt;/rt&gt;&lt;/ruby&gt;&lt;br&gt;&lt;div class="audio"&gt;[sound:とつじょ.mp3]&lt;/div&gt;</v>
      </c>
      <c r="H5572" s="3" t="str">
        <f t="shared" si="1"/>
        <v>(adv): đột nhiên</v>
      </c>
      <c r="I5572" s="6" t="s">
        <v>30373</v>
      </c>
      <c r="J5572" s="6" t="s">
        <v>30374</v>
      </c>
      <c r="K5572" s="7">
        <f t="shared" si="2"/>
        <v>0.8341383224</v>
      </c>
    </row>
    <row r="5573">
      <c r="A5573" s="4">
        <v>5573.0</v>
      </c>
      <c r="B5573" s="5" t="s">
        <v>30375</v>
      </c>
      <c r="C5573" s="5" t="s">
        <v>487</v>
      </c>
      <c r="D5573" s="5" t="s">
        <v>30376</v>
      </c>
      <c r="E5573" s="6" t="s">
        <v>74</v>
      </c>
      <c r="F5573" s="6" t="s">
        <v>30377</v>
      </c>
      <c r="G5573" s="3" t="str">
        <f>IFERROR(__xludf.DUMMYFUNCTION("REGEXREPLACE(
D5573,
""([一-龯々]+)\[([^\]]+)\]"",
""&lt;ruby&gt;$1&lt;rt&gt;$2&lt;/rt&gt;&lt;/ruby&gt;""
)&amp;""&lt;br&gt;&lt;div class=""""audio""""&gt;[sound:""&amp;C5573&amp;"".mp3]&lt;/div&gt;"""),"&lt;ruby&gt;胴&lt;rt&gt;どう&lt;/rt&gt;&lt;/ruby&gt;&lt;br&gt;&lt;div class=""audio""&gt;[sound:どう.mp3]&lt;/div&gt;")</f>
        <v>&lt;ruby&gt;胴&lt;rt&gt;どう&lt;/rt&gt;&lt;/ruby&gt;&lt;br&gt;&lt;div class="audio"&gt;[sound:どう.mp3]&lt;/div&gt;</v>
      </c>
      <c r="H5573" s="3" t="str">
        <f t="shared" si="1"/>
        <v>(n): thân mình</v>
      </c>
      <c r="I5573" s="6" t="s">
        <v>30378</v>
      </c>
      <c r="J5573" s="6" t="s">
        <v>30379</v>
      </c>
      <c r="K5573" s="7">
        <f t="shared" si="2"/>
        <v>0.03668546955</v>
      </c>
    </row>
    <row r="5574">
      <c r="A5574" s="4">
        <v>5574.0</v>
      </c>
      <c r="B5574" s="5" t="s">
        <v>30380</v>
      </c>
      <c r="C5574" s="5" t="s">
        <v>30381</v>
      </c>
      <c r="D5574" s="5" t="s">
        <v>30382</v>
      </c>
      <c r="E5574" s="6" t="s">
        <v>74</v>
      </c>
      <c r="F5574" s="6" t="s">
        <v>30383</v>
      </c>
      <c r="G5574" s="3" t="str">
        <f>IFERROR(__xludf.DUMMYFUNCTION("REGEXREPLACE(
D5574,
""([一-龯々]+)\[([^\]]+)\]"",
""&lt;ruby&gt;$1&lt;rt&gt;$2&lt;/rt&gt;&lt;/ruby&gt;""
)&amp;""&lt;br&gt;&lt;div class=""""audio""""&gt;[sound:""&amp;C5574&amp;"".mp3]&lt;/div&gt;"""),"&lt;ruby&gt;街道&lt;rt&gt;かいどう&lt;/rt&gt;&lt;/ruby&gt;&lt;br&gt;&lt;div class=""audio""&gt;[sound:かいどう.mp3]&lt;/div&gt;")</f>
        <v>&lt;ruby&gt;街道&lt;rt&gt;かいどう&lt;/rt&gt;&lt;/ruby&gt;&lt;br&gt;&lt;div class="audio"&gt;[sound:かいどう.mp3]&lt;/div&gt;</v>
      </c>
      <c r="H5574" s="3" t="str">
        <f t="shared" si="1"/>
        <v>(n): đường cái</v>
      </c>
      <c r="I5574" s="6" t="s">
        <v>30384</v>
      </c>
      <c r="J5574" s="6" t="s">
        <v>30385</v>
      </c>
      <c r="K5574" s="7">
        <f t="shared" si="2"/>
        <v>0.7079741568</v>
      </c>
    </row>
    <row r="5575">
      <c r="A5575" s="4">
        <v>5575.0</v>
      </c>
      <c r="B5575" s="5" t="s">
        <v>30386</v>
      </c>
      <c r="C5575" s="5" t="s">
        <v>30387</v>
      </c>
      <c r="D5575" s="5" t="s">
        <v>30388</v>
      </c>
      <c r="E5575" s="6" t="s">
        <v>74</v>
      </c>
      <c r="F5575" s="6" t="s">
        <v>30389</v>
      </c>
      <c r="G5575" s="3" t="str">
        <f>IFERROR(__xludf.DUMMYFUNCTION("REGEXREPLACE(
D5575,
""([一-龯々]+)\[([^\]]+)\]"",
""&lt;ruby&gt;$1&lt;rt&gt;$2&lt;/rt&gt;&lt;/ruby&gt;""
)&amp;""&lt;br&gt;&lt;div class=""""audio""""&gt;[sound:""&amp;C5575&amp;"".mp3]&lt;/div&gt;"""),"&lt;ruby&gt;記名&lt;rt&gt;きめい&lt;/rt&gt;&lt;/ruby&gt;&lt;br&gt;&lt;div class=""audio""&gt;[sound:きめい.mp3]&lt;/div&gt;")</f>
        <v>&lt;ruby&gt;記名&lt;rt&gt;きめい&lt;/rt&gt;&lt;/ruby&gt;&lt;br&gt;&lt;div class="audio"&gt;[sound:きめい.mp3]&lt;/div&gt;</v>
      </c>
      <c r="H5575" s="3" t="str">
        <f t="shared" si="1"/>
        <v>(n): sự ký tên</v>
      </c>
      <c r="I5575" s="6" t="s">
        <v>30390</v>
      </c>
      <c r="J5575" s="6" t="s">
        <v>30391</v>
      </c>
      <c r="K5575" s="7">
        <f t="shared" si="2"/>
        <v>0.57505317</v>
      </c>
    </row>
    <row r="5576">
      <c r="A5576" s="4">
        <v>5576.0</v>
      </c>
      <c r="B5576" s="5" t="s">
        <v>30392</v>
      </c>
      <c r="C5576" s="5" t="s">
        <v>30393</v>
      </c>
      <c r="D5576" s="5" t="s">
        <v>30394</v>
      </c>
      <c r="E5576" s="6" t="s">
        <v>74</v>
      </c>
      <c r="F5576" s="6" t="s">
        <v>30395</v>
      </c>
      <c r="G5576" s="3" t="str">
        <f>IFERROR(__xludf.DUMMYFUNCTION("REGEXREPLACE(
D5576,
""([一-龯々]+)\[([^\]]+)\]"",
""&lt;ruby&gt;$1&lt;rt&gt;$2&lt;/rt&gt;&lt;/ruby&gt;""
)&amp;""&lt;br&gt;&lt;div class=""""audio""""&gt;[sound:""&amp;C5576&amp;"".mp3]&lt;/div&gt;"""),"&lt;ruby&gt;語源&lt;rt&gt;ごげん&lt;/rt&gt;&lt;/ruby&gt;&lt;br&gt;&lt;div class=""audio""&gt;[sound:ごげん.mp3]&lt;/div&gt;")</f>
        <v>&lt;ruby&gt;語源&lt;rt&gt;ごげん&lt;/rt&gt;&lt;/ruby&gt;&lt;br&gt;&lt;div class="audio"&gt;[sound:ごげん.mp3]&lt;/div&gt;</v>
      </c>
      <c r="H5576" s="3" t="str">
        <f t="shared" si="1"/>
        <v>(n): từ nguyên</v>
      </c>
      <c r="I5576" s="6" t="s">
        <v>30396</v>
      </c>
      <c r="J5576" s="6" t="s">
        <v>30397</v>
      </c>
      <c r="K5576" s="7">
        <f t="shared" si="2"/>
        <v>0.3776454956</v>
      </c>
    </row>
    <row r="5577">
      <c r="A5577" s="4">
        <v>5577.0</v>
      </c>
      <c r="B5577" s="5" t="s">
        <v>30398</v>
      </c>
      <c r="C5577" s="5" t="s">
        <v>30399</v>
      </c>
      <c r="D5577" s="5" t="s">
        <v>30400</v>
      </c>
      <c r="E5577" s="6" t="s">
        <v>74</v>
      </c>
      <c r="F5577" s="6" t="s">
        <v>30401</v>
      </c>
      <c r="G5577" s="3" t="str">
        <f>IFERROR(__xludf.DUMMYFUNCTION("REGEXREPLACE(
D5577,
""([一-龯々]+)\[([^\]]+)\]"",
""&lt;ruby&gt;$1&lt;rt&gt;$2&lt;/rt&gt;&lt;/ruby&gt;""
)&amp;""&lt;br&gt;&lt;div class=""""audio""""&gt;[sound:""&amp;C5577&amp;"".mp3]&lt;/div&gt;"""),"&lt;ruby&gt;調印&lt;rt&gt;ちょういん&lt;/rt&gt;&lt;/ruby&gt;&lt;br&gt;&lt;div class=""audio""&gt;[sound:ちょういん.mp3]&lt;/div&gt;")</f>
        <v>&lt;ruby&gt;調印&lt;rt&gt;ちょういん&lt;/rt&gt;&lt;/ruby&gt;&lt;br&gt;&lt;div class="audio"&gt;[sound:ちょういん.mp3]&lt;/div&gt;</v>
      </c>
      <c r="H5577" s="3" t="str">
        <f t="shared" si="1"/>
        <v>(n): sự ký kết</v>
      </c>
      <c r="I5577" s="6" t="s">
        <v>30402</v>
      </c>
      <c r="J5577" s="6" t="s">
        <v>30403</v>
      </c>
      <c r="K5577" s="7">
        <f t="shared" si="2"/>
        <v>0.7232546081</v>
      </c>
    </row>
    <row r="5578">
      <c r="A5578" s="4">
        <v>5578.0</v>
      </c>
      <c r="B5578" s="5" t="s">
        <v>30404</v>
      </c>
      <c r="C5578" s="5" t="s">
        <v>30405</v>
      </c>
      <c r="D5578" s="5" t="s">
        <v>30406</v>
      </c>
      <c r="E5578" s="6" t="s">
        <v>11</v>
      </c>
      <c r="F5578" s="6" t="s">
        <v>3779</v>
      </c>
      <c r="G5578" s="3" t="str">
        <f>IFERROR(__xludf.DUMMYFUNCTION("REGEXREPLACE(
D5578,
""([一-龯々]+)\[([^\]]+)\]"",
""&lt;ruby&gt;$1&lt;rt&gt;$2&lt;/rt&gt;&lt;/ruby&gt;""
)&amp;""&lt;br&gt;&lt;div class=""""audio""""&gt;[sound:""&amp;C5578&amp;"".mp3]&lt;/div&gt;"""),"&lt;ruby&gt;達者&lt;rt&gt;たっしゃ&lt;/rt&gt;&lt;/ruby&gt;&lt;br&gt;&lt;div class=""audio""&gt;[sound:たっしゃ.mp3]&lt;/div&gt;")</f>
        <v>&lt;ruby&gt;達者&lt;rt&gt;たっしゃ&lt;/rt&gt;&lt;/ruby&gt;&lt;br&gt;&lt;div class="audio"&gt;[sound:たっしゃ.mp3]&lt;/div&gt;</v>
      </c>
      <c r="H5578" s="3" t="str">
        <f t="shared" si="1"/>
        <v>(adj): khỏe mạnh</v>
      </c>
      <c r="I5578" s="6" t="s">
        <v>30407</v>
      </c>
      <c r="J5578" s="6" t="s">
        <v>30408</v>
      </c>
      <c r="K5578" s="7">
        <f t="shared" si="2"/>
        <v>0.5207982743</v>
      </c>
    </row>
    <row r="5579">
      <c r="A5579" s="4">
        <v>5579.0</v>
      </c>
      <c r="B5579" s="5" t="s">
        <v>30409</v>
      </c>
      <c r="C5579" s="5" t="s">
        <v>30410</v>
      </c>
      <c r="D5579" s="5" t="s">
        <v>30411</v>
      </c>
      <c r="E5579" s="6" t="s">
        <v>74</v>
      </c>
      <c r="F5579" s="6" t="s">
        <v>30412</v>
      </c>
      <c r="G5579" s="3" t="str">
        <f>IFERROR(__xludf.DUMMYFUNCTION("REGEXREPLACE(
D5579,
""([一-龯々]+)\[([^\]]+)\]"",
""&lt;ruby&gt;$1&lt;rt&gt;$2&lt;/rt&gt;&lt;/ruby&gt;""
)&amp;""&lt;br&gt;&lt;div class=""""audio""""&gt;[sound:""&amp;C5579&amp;"".mp3]&lt;/div&gt;"""),"&lt;ruby&gt;降水&lt;rt&gt;こうすい&lt;/rt&gt;&lt;/ruby&gt;&lt;br&gt;&lt;div class=""audio""&gt;[sound:こうすい.mp3]&lt;/div&gt;")</f>
        <v>&lt;ruby&gt;降水&lt;rt&gt;こうすい&lt;/rt&gt;&lt;/ruby&gt;&lt;br&gt;&lt;div class="audio"&gt;[sound:こうすい.mp3]&lt;/div&gt;</v>
      </c>
      <c r="H5579" s="3" t="str">
        <f t="shared" si="1"/>
        <v>(n): lượng mưa</v>
      </c>
      <c r="I5579" s="6" t="s">
        <v>30413</v>
      </c>
      <c r="J5579" s="6" t="s">
        <v>30414</v>
      </c>
      <c r="K5579" s="7">
        <f t="shared" si="2"/>
        <v>0.9981803466</v>
      </c>
    </row>
    <row r="5580">
      <c r="A5580" s="4">
        <v>5580.0</v>
      </c>
      <c r="B5580" s="5" t="s">
        <v>30415</v>
      </c>
      <c r="C5580" s="5" t="s">
        <v>30416</v>
      </c>
      <c r="D5580" s="5" t="s">
        <v>30417</v>
      </c>
      <c r="E5580" s="6" t="s">
        <v>74</v>
      </c>
      <c r="F5580" s="6" t="s">
        <v>30418</v>
      </c>
      <c r="G5580" s="3" t="str">
        <f>IFERROR(__xludf.DUMMYFUNCTION("REGEXREPLACE(
D5580,
""([一-龯々]+)\[([^\]]+)\]"",
""&lt;ruby&gt;$1&lt;rt&gt;$2&lt;/rt&gt;&lt;/ruby&gt;""
)&amp;""&lt;br&gt;&lt;div class=""""audio""""&gt;[sound:""&amp;C5580&amp;"".mp3]&lt;/div&gt;"""),"&lt;ruby&gt;駆&lt;rt&gt;か&lt;/rt&gt;&lt;/ruby&gt;け&lt;ruby&gt;足&lt;rt&gt;あし&lt;/rt&gt;&lt;/ruby&gt;&lt;br&gt;&lt;div class=""audio""&gt;[sound:かけあし.mp3]&lt;/div&gt;")</f>
        <v>&lt;ruby&gt;駆&lt;rt&gt;か&lt;/rt&gt;&lt;/ruby&gt;け&lt;ruby&gt;足&lt;rt&gt;あし&lt;/rt&gt;&lt;/ruby&gt;&lt;br&gt;&lt;div class="audio"&gt;[sound:かけあし.mp3]&lt;/div&gt;</v>
      </c>
      <c r="H5580" s="3" t="str">
        <f t="shared" si="1"/>
        <v>(n): bước chạy</v>
      </c>
      <c r="I5580" s="6" t="s">
        <v>30419</v>
      </c>
      <c r="J5580" s="6" t="s">
        <v>30420</v>
      </c>
      <c r="K5580" s="7">
        <f t="shared" si="2"/>
        <v>0.5158559605</v>
      </c>
    </row>
    <row r="5581">
      <c r="A5581" s="4">
        <v>5581.0</v>
      </c>
      <c r="B5581" s="5" t="s">
        <v>30421</v>
      </c>
      <c r="C5581" s="5" t="s">
        <v>30421</v>
      </c>
      <c r="D5581" s="5" t="s">
        <v>30421</v>
      </c>
      <c r="E5581" s="6" t="s">
        <v>24</v>
      </c>
      <c r="F5581" s="6" t="s">
        <v>4858</v>
      </c>
      <c r="G5581" s="3" t="str">
        <f>IFERROR(__xludf.DUMMYFUNCTION("REGEXREPLACE(
D5581,
""([一-龯々]+)\[([^\]]+)\]"",
""&lt;ruby&gt;$1&lt;rt&gt;$2&lt;/rt&gt;&lt;/ruby&gt;""
)&amp;""&lt;br&gt;&lt;div class=""""audio""""&gt;[sound:""&amp;C5581&amp;"".mp3]&lt;/div&gt;"""),"いたわる&lt;br&gt;&lt;div class=""audio""&gt;[sound:いたわる.mp3]&lt;/div&gt;")</f>
        <v>いたわる&lt;br&gt;&lt;div class="audio"&gt;[sound:いたわる.mp3]&lt;/div&gt;</v>
      </c>
      <c r="H5581" s="3" t="str">
        <f t="shared" si="1"/>
        <v>(v): quan tâm</v>
      </c>
      <c r="I5581" s="6" t="s">
        <v>30422</v>
      </c>
      <c r="J5581" s="6" t="s">
        <v>30423</v>
      </c>
      <c r="K5581" s="7">
        <f t="shared" si="2"/>
        <v>0.5650793382</v>
      </c>
    </row>
    <row r="5582">
      <c r="A5582" s="4">
        <v>5582.0</v>
      </c>
      <c r="B5582" s="5" t="s">
        <v>30424</v>
      </c>
      <c r="C5582" s="5" t="s">
        <v>30424</v>
      </c>
      <c r="D5582" s="5" t="s">
        <v>30424</v>
      </c>
      <c r="E5582" s="6" t="s">
        <v>11</v>
      </c>
      <c r="F5582" s="6" t="s">
        <v>2738</v>
      </c>
      <c r="G5582" s="3" t="str">
        <f>IFERROR(__xludf.DUMMYFUNCTION("REGEXREPLACE(
D5582,
""([一-龯々]+)\[([^\]]+)\]"",
""&lt;ruby&gt;$1&lt;rt&gt;$2&lt;/rt&gt;&lt;/ruby&gt;""
)&amp;""&lt;br&gt;&lt;div class=""""audio""""&gt;[sound:""&amp;C5582&amp;"".mp3]&lt;/div&gt;"""),"おおまかな&lt;br&gt;&lt;div class=""audio""&gt;[sound:おおまかな.mp3]&lt;/div&gt;")</f>
        <v>おおまかな&lt;br&gt;&lt;div class="audio"&gt;[sound:おおまかな.mp3]&lt;/div&gt;</v>
      </c>
      <c r="H5582" s="3" t="str">
        <f t="shared" si="1"/>
        <v>(adj): đại khái</v>
      </c>
      <c r="I5582" s="6" t="s">
        <v>30425</v>
      </c>
      <c r="J5582" s="6" t="s">
        <v>30426</v>
      </c>
      <c r="K5582" s="7">
        <f t="shared" si="2"/>
        <v>0.2892311506</v>
      </c>
    </row>
    <row r="5583">
      <c r="A5583" s="4">
        <v>5583.0</v>
      </c>
      <c r="B5583" s="5" t="s">
        <v>30427</v>
      </c>
      <c r="C5583" s="5" t="s">
        <v>30427</v>
      </c>
      <c r="D5583" s="5" t="s">
        <v>30427</v>
      </c>
      <c r="E5583" s="6" t="s">
        <v>74</v>
      </c>
      <c r="F5583" s="6" t="s">
        <v>30428</v>
      </c>
      <c r="G5583" s="3" t="str">
        <f>IFERROR(__xludf.DUMMYFUNCTION("REGEXREPLACE(
D5583,
""([一-龯々]+)\[([^\]]+)\]"",
""&lt;ruby&gt;$1&lt;rt&gt;$2&lt;/rt&gt;&lt;/ruby&gt;""
)&amp;""&lt;br&gt;&lt;div class=""""audio""""&gt;[sound:""&amp;C5583&amp;"".mp3]&lt;/div&gt;"""),"くじびき&lt;br&gt;&lt;div class=""audio""&gt;[sound:くじびき.mp3]&lt;/div&gt;")</f>
        <v>くじびき&lt;br&gt;&lt;div class="audio"&gt;[sound:くじびき.mp3]&lt;/div&gt;</v>
      </c>
      <c r="H5583" s="3" t="str">
        <f t="shared" si="1"/>
        <v>(n): rút thăm</v>
      </c>
      <c r="I5583" s="6" t="s">
        <v>30429</v>
      </c>
      <c r="J5583" s="6" t="s">
        <v>30430</v>
      </c>
      <c r="K5583" s="7">
        <f t="shared" si="2"/>
        <v>0.8041731521</v>
      </c>
    </row>
    <row r="5584">
      <c r="A5584" s="4">
        <v>5584.0</v>
      </c>
      <c r="B5584" s="5" t="s">
        <v>30431</v>
      </c>
      <c r="C5584" s="5" t="s">
        <v>30432</v>
      </c>
      <c r="D5584" s="5" t="s">
        <v>30431</v>
      </c>
      <c r="E5584" s="6" t="s">
        <v>74</v>
      </c>
      <c r="F5584" s="6" t="s">
        <v>30433</v>
      </c>
      <c r="G5584" s="3" t="str">
        <f>IFERROR(__xludf.DUMMYFUNCTION("REGEXREPLACE(
D5584,
""([一-龯々]+)\[([^\]]+)\]"",
""&lt;ruby&gt;$1&lt;rt&gt;$2&lt;/rt&gt;&lt;/ruby&gt;""
)&amp;""&lt;br&gt;&lt;div class=""""audio""""&gt;[sound:""&amp;C5584&amp;"".mp3]&lt;/div&gt;"""),"スチーム&lt;br&gt;&lt;div class=""audio""&gt;[sound:すちーむ.mp3]&lt;/div&gt;")</f>
        <v>スチーム&lt;br&gt;&lt;div class="audio"&gt;[sound:すちーむ.mp3]&lt;/div&gt;</v>
      </c>
      <c r="H5584" s="3" t="str">
        <f t="shared" si="1"/>
        <v>(n): hơi nước</v>
      </c>
      <c r="I5584" s="6" t="s">
        <v>30434</v>
      </c>
      <c r="J5584" s="6" t="s">
        <v>30435</v>
      </c>
      <c r="K5584" s="7">
        <f t="shared" si="2"/>
        <v>0.8869523131</v>
      </c>
    </row>
    <row r="5585">
      <c r="A5585" s="4">
        <v>5585.0</v>
      </c>
      <c r="B5585" s="5" t="s">
        <v>30436</v>
      </c>
      <c r="C5585" s="5" t="s">
        <v>30437</v>
      </c>
      <c r="D5585" s="5" t="s">
        <v>30436</v>
      </c>
      <c r="E5585" s="6" t="s">
        <v>11</v>
      </c>
      <c r="F5585" s="6" t="s">
        <v>30438</v>
      </c>
      <c r="G5585" s="3" t="str">
        <f>IFERROR(__xludf.DUMMYFUNCTION("REGEXREPLACE(
D5585,
""([一-龯々]+)\[([^\]]+)\]"",
""&lt;ruby&gt;$1&lt;rt&gt;$2&lt;/rt&gt;&lt;/ruby&gt;""
)&amp;""&lt;br&gt;&lt;div class=""""audio""""&gt;[sound:""&amp;C5585&amp;"".mp3]&lt;/div&gt;"""),"タイムリー&lt;br&gt;&lt;div class=""audio""&gt;[sound:たいむりー.mp3]&lt;/div&gt;")</f>
        <v>タイムリー&lt;br&gt;&lt;div class="audio"&gt;[sound:たいむりー.mp3]&lt;/div&gt;</v>
      </c>
      <c r="H5585" s="3" t="str">
        <f t="shared" si="1"/>
        <v>(adj): kịp thời</v>
      </c>
      <c r="I5585" s="6" t="s">
        <v>30439</v>
      </c>
      <c r="J5585" s="6" t="s">
        <v>30440</v>
      </c>
      <c r="K5585" s="7">
        <f t="shared" si="2"/>
        <v>0.9129992138</v>
      </c>
    </row>
    <row r="5586">
      <c r="A5586" s="4">
        <v>5586.0</v>
      </c>
      <c r="B5586" s="5" t="s">
        <v>30441</v>
      </c>
      <c r="C5586" s="5" t="s">
        <v>30442</v>
      </c>
      <c r="D5586" s="5" t="s">
        <v>30443</v>
      </c>
      <c r="E5586" s="6" t="s">
        <v>74</v>
      </c>
      <c r="F5586" s="6" t="s">
        <v>28513</v>
      </c>
      <c r="G5586" s="3" t="str">
        <f>IFERROR(__xludf.DUMMYFUNCTION("REGEXREPLACE(
D5586,
""([一-龯々]+)\[([^\]]+)\]"",
""&lt;ruby&gt;$1&lt;rt&gt;$2&lt;/rt&gt;&lt;/ruby&gt;""
)&amp;""&lt;br&gt;&lt;div class=""""audio""""&gt;[sound:""&amp;C5586&amp;"".mp3]&lt;/div&gt;"""),"ばい&lt;ruby&gt;菌&lt;rt&gt;きん&lt;/rt&gt;&lt;/ruby&gt;&lt;br&gt;&lt;div class=""audio""&gt;[sound:ばいきん.mp3]&lt;/div&gt;")</f>
        <v>ばい&lt;ruby&gt;菌&lt;rt&gt;きん&lt;/rt&gt;&lt;/ruby&gt;&lt;br&gt;&lt;div class="audio"&gt;[sound:ばいきん.mp3]&lt;/div&gt;</v>
      </c>
      <c r="H5586" s="3" t="str">
        <f t="shared" si="1"/>
        <v>(n): vi khuẩn</v>
      </c>
      <c r="I5586" s="6" t="s">
        <v>30444</v>
      </c>
      <c r="J5586" s="6" t="s">
        <v>30445</v>
      </c>
      <c r="K5586" s="7">
        <f t="shared" si="2"/>
        <v>0.4831592428</v>
      </c>
    </row>
    <row r="5587">
      <c r="A5587" s="4">
        <v>5587.0</v>
      </c>
      <c r="B5587" s="5" t="s">
        <v>30446</v>
      </c>
      <c r="C5587" s="5" t="s">
        <v>30447</v>
      </c>
      <c r="D5587" s="5" t="s">
        <v>30446</v>
      </c>
      <c r="E5587" s="6" t="s">
        <v>74</v>
      </c>
      <c r="F5587" s="6" t="s">
        <v>30448</v>
      </c>
      <c r="G5587" s="3" t="str">
        <f>IFERROR(__xludf.DUMMYFUNCTION("REGEXREPLACE(
D5587,
""([一-龯々]+)\[([^\]]+)\]"",
""&lt;ruby&gt;$1&lt;rt&gt;$2&lt;/rt&gt;&lt;/ruby&gt;""
)&amp;""&lt;br&gt;&lt;div class=""""audio""""&gt;[sound:""&amp;C5587&amp;"".mp3]&lt;/div&gt;"""),"バッジ&lt;br&gt;&lt;div class=""audio""&gt;[sound:ばっじ.mp3]&lt;/div&gt;")</f>
        <v>バッジ&lt;br&gt;&lt;div class="audio"&gt;[sound:ばっじ.mp3]&lt;/div&gt;</v>
      </c>
      <c r="H5587" s="3" t="str">
        <f t="shared" si="1"/>
        <v>(n): huy hiệu</v>
      </c>
      <c r="I5587" s="6" t="s">
        <v>30449</v>
      </c>
      <c r="J5587" s="6" t="s">
        <v>30450</v>
      </c>
      <c r="K5587" s="7">
        <f t="shared" si="2"/>
        <v>0.7320664783</v>
      </c>
    </row>
    <row r="5588">
      <c r="A5588" s="4">
        <v>5588.0</v>
      </c>
      <c r="B5588" s="5" t="s">
        <v>30451</v>
      </c>
      <c r="C5588" s="5" t="s">
        <v>30451</v>
      </c>
      <c r="D5588" s="5" t="s">
        <v>30451</v>
      </c>
      <c r="E5588" s="6" t="s">
        <v>24</v>
      </c>
      <c r="F5588" s="6" t="s">
        <v>30452</v>
      </c>
      <c r="G5588" s="3" t="str">
        <f>IFERROR(__xludf.DUMMYFUNCTION("REGEXREPLACE(
D5588,
""([一-龯々]+)\[([^\]]+)\]"",
""&lt;ruby&gt;$1&lt;rt&gt;$2&lt;/rt&gt;&lt;/ruby&gt;""
)&amp;""&lt;br&gt;&lt;div class=""""audio""""&gt;[sound:""&amp;C5588&amp;"".mp3]&lt;/div&gt;"""),"もてなす&lt;br&gt;&lt;div class=""audio""&gt;[sound:もてなす.mp3]&lt;/div&gt;")</f>
        <v>もてなす&lt;br&gt;&lt;div class="audio"&gt;[sound:もてなす.mp3]&lt;/div&gt;</v>
      </c>
      <c r="H5588" s="3" t="str">
        <f t="shared" si="1"/>
        <v>(v): tiếp đãi</v>
      </c>
      <c r="I5588" s="6" t="s">
        <v>30453</v>
      </c>
      <c r="J5588" s="6" t="s">
        <v>30454</v>
      </c>
      <c r="K5588" s="7">
        <f t="shared" si="2"/>
        <v>0.2347163326</v>
      </c>
    </row>
    <row r="5589">
      <c r="A5589" s="4">
        <v>5589.0</v>
      </c>
      <c r="B5589" s="5" t="s">
        <v>30455</v>
      </c>
      <c r="C5589" s="5" t="s">
        <v>30455</v>
      </c>
      <c r="D5589" s="5" t="s">
        <v>30455</v>
      </c>
      <c r="E5589" s="6" t="s">
        <v>11</v>
      </c>
      <c r="F5589" s="6" t="s">
        <v>8784</v>
      </c>
      <c r="G5589" s="3" t="str">
        <f>IFERROR(__xludf.DUMMYFUNCTION("REGEXREPLACE(
D5589,
""([一-龯々]+)\[([^\]]+)\]"",
""&lt;ruby&gt;$1&lt;rt&gt;$2&lt;/rt&gt;&lt;/ruby&gt;""
)&amp;""&lt;br&gt;&lt;div class=""""audio""""&gt;[sound:""&amp;C5589&amp;"".mp3]&lt;/div&gt;"""),"ややこしい&lt;br&gt;&lt;div class=""audio""&gt;[sound:ややこしい.mp3]&lt;/div&gt;")</f>
        <v>ややこしい&lt;br&gt;&lt;div class="audio"&gt;[sound:ややこしい.mp3]&lt;/div&gt;</v>
      </c>
      <c r="H5589" s="3" t="str">
        <f t="shared" si="1"/>
        <v>(adj): phức tạp</v>
      </c>
      <c r="I5589" s="6" t="s">
        <v>30456</v>
      </c>
      <c r="J5589" s="6" t="s">
        <v>30457</v>
      </c>
      <c r="K5589" s="7">
        <f t="shared" si="2"/>
        <v>0.9438583595</v>
      </c>
    </row>
    <row r="5590">
      <c r="A5590" s="4">
        <v>5590.0</v>
      </c>
      <c r="B5590" s="5" t="s">
        <v>30458</v>
      </c>
      <c r="C5590" s="5" t="s">
        <v>30459</v>
      </c>
      <c r="D5590" s="5" t="s">
        <v>30458</v>
      </c>
      <c r="E5590" s="6" t="s">
        <v>11</v>
      </c>
      <c r="F5590" s="6" t="s">
        <v>30460</v>
      </c>
      <c r="G5590" s="3" t="str">
        <f>IFERROR(__xludf.DUMMYFUNCTION("REGEXREPLACE(
D5590,
""([一-龯々]+)\[([^\]]+)\]"",
""&lt;ruby&gt;$1&lt;rt&gt;$2&lt;/rt&gt;&lt;/ruby&gt;""
)&amp;""&lt;br&gt;&lt;div class=""""audio""""&gt;[sound:""&amp;C5590&amp;"".mp3]&lt;/div&gt;"""),"ルーズ&lt;br&gt;&lt;div class=""audio""&gt;[sound:るーず.mp3]&lt;/div&gt;")</f>
        <v>ルーズ&lt;br&gt;&lt;div class="audio"&gt;[sound:るーず.mp3]&lt;/div&gt;</v>
      </c>
      <c r="H5590" s="3" t="str">
        <f t="shared" si="1"/>
        <v>(adj): lỏng lẻo</v>
      </c>
      <c r="I5590" s="6" t="s">
        <v>30461</v>
      </c>
      <c r="J5590" s="6" t="s">
        <v>30462</v>
      </c>
      <c r="K5590" s="7">
        <f t="shared" si="2"/>
        <v>0.325599955</v>
      </c>
    </row>
    <row r="5591">
      <c r="A5591" s="4">
        <v>5591.0</v>
      </c>
      <c r="B5591" s="5" t="s">
        <v>30463</v>
      </c>
      <c r="C5591" s="5" t="s">
        <v>30464</v>
      </c>
      <c r="D5591" s="5" t="s">
        <v>30465</v>
      </c>
      <c r="E5591" s="6" t="s">
        <v>74</v>
      </c>
      <c r="F5591" s="6" t="s">
        <v>16714</v>
      </c>
      <c r="G5591" s="3" t="str">
        <f>IFERROR(__xludf.DUMMYFUNCTION("REGEXREPLACE(
D5591,
""([一-龯々]+)\[([^\]]+)\]"",
""&lt;ruby&gt;$1&lt;rt&gt;$2&lt;/rt&gt;&lt;/ruby&gt;""
)&amp;""&lt;br&gt;&lt;div class=""""audio""""&gt;[sound:""&amp;C5591&amp;"".mp3]&lt;/div&gt;"""),"&lt;ruby&gt;下地&lt;rt&gt;したじ&lt;/rt&gt;&lt;/ruby&gt;&lt;br&gt;&lt;div class=""audio""&gt;[sound:したじ.mp3]&lt;/div&gt;")</f>
        <v>&lt;ruby&gt;下地&lt;rt&gt;したじ&lt;/rt&gt;&lt;/ruby&gt;&lt;br&gt;&lt;div class="audio"&gt;[sound:したじ.mp3]&lt;/div&gt;</v>
      </c>
      <c r="H5591" s="3" t="str">
        <f t="shared" si="1"/>
        <v>(n): nền tảng</v>
      </c>
      <c r="I5591" s="6" t="s">
        <v>30466</v>
      </c>
      <c r="J5591" s="6" t="s">
        <v>30467</v>
      </c>
      <c r="K5591" s="7">
        <f t="shared" si="2"/>
        <v>0.9879561976</v>
      </c>
    </row>
    <row r="5592">
      <c r="A5592" s="4">
        <v>5592.0</v>
      </c>
      <c r="B5592" s="5" t="s">
        <v>30468</v>
      </c>
      <c r="C5592" s="5" t="s">
        <v>23539</v>
      </c>
      <c r="D5592" s="5" t="s">
        <v>30469</v>
      </c>
      <c r="E5592" s="6" t="s">
        <v>24</v>
      </c>
      <c r="F5592" s="6" t="s">
        <v>30470</v>
      </c>
      <c r="G5592" s="3" t="str">
        <f>IFERROR(__xludf.DUMMYFUNCTION("REGEXREPLACE(
D5592,
""([一-龯々]+)\[([^\]]+)\]"",
""&lt;ruby&gt;$1&lt;rt&gt;$2&lt;/rt&gt;&lt;/ruby&gt;""
)&amp;""&lt;br&gt;&lt;div class=""""audio""""&gt;[sound:""&amp;C5592&amp;"".mp3]&lt;/div&gt;"""),"&lt;ruby&gt;中傷&lt;rt&gt;ちゅうしょう&lt;/rt&gt;&lt;/ruby&gt;&lt;br&gt;&lt;div class=""audio""&gt;[sound:ちゅうしょう.mp3]&lt;/div&gt;")</f>
        <v>&lt;ruby&gt;中傷&lt;rt&gt;ちゅうしょう&lt;/rt&gt;&lt;/ruby&gt;&lt;br&gt;&lt;div class="audio"&gt;[sound:ちゅうしょう.mp3]&lt;/div&gt;</v>
      </c>
      <c r="H5592" s="3" t="str">
        <f t="shared" si="1"/>
        <v>(v): phỉ báng</v>
      </c>
      <c r="I5592" s="6" t="s">
        <v>30471</v>
      </c>
      <c r="J5592" s="6" t="s">
        <v>30472</v>
      </c>
      <c r="K5592" s="7">
        <f t="shared" si="2"/>
        <v>0.1903643551</v>
      </c>
    </row>
    <row r="5593">
      <c r="A5593" s="4">
        <v>5593.0</v>
      </c>
      <c r="B5593" s="5" t="s">
        <v>30473</v>
      </c>
      <c r="C5593" s="5" t="s">
        <v>30474</v>
      </c>
      <c r="D5593" s="5" t="s">
        <v>30475</v>
      </c>
      <c r="E5593" s="6" t="s">
        <v>85</v>
      </c>
      <c r="F5593" s="6" t="s">
        <v>30476</v>
      </c>
      <c r="G5593" s="3" t="str">
        <f>IFERROR(__xludf.DUMMYFUNCTION("REGEXREPLACE(
D5593,
""([一-龯々]+)\[([^\]]+)\]"",
""&lt;ruby&gt;$1&lt;rt&gt;$2&lt;/rt&gt;&lt;/ruby&gt;""
)&amp;""&lt;br&gt;&lt;div class=""""audio""""&gt;[sound:""&amp;C5593&amp;"".mp3]&lt;/div&gt;"""),"&lt;ruby&gt;予&lt;rt&gt;かね&lt;/rt&gt;&lt;/ruby&gt;て&lt;br&gt;&lt;div class=""audio""&gt;[sound:かねて.mp3]&lt;/div&gt;")</f>
        <v>&lt;ruby&gt;予&lt;rt&gt;かね&lt;/rt&gt;&lt;/ruby&gt;て&lt;br&gt;&lt;div class="audio"&gt;[sound:かねて.mp3]&lt;/div&gt;</v>
      </c>
      <c r="H5593" s="3" t="str">
        <f t="shared" si="1"/>
        <v>(adv): từ trước</v>
      </c>
      <c r="I5593" s="6" t="s">
        <v>30477</v>
      </c>
      <c r="J5593" s="6" t="s">
        <v>30478</v>
      </c>
      <c r="K5593" s="7">
        <f t="shared" si="2"/>
        <v>0.6895238882</v>
      </c>
    </row>
    <row r="5594">
      <c r="A5594" s="4">
        <v>5594.0</v>
      </c>
      <c r="B5594" s="5" t="s">
        <v>30479</v>
      </c>
      <c r="C5594" s="5" t="s">
        <v>30480</v>
      </c>
      <c r="D5594" s="5" t="s">
        <v>30481</v>
      </c>
      <c r="E5594" s="6" t="s">
        <v>24</v>
      </c>
      <c r="F5594" s="6" t="s">
        <v>30482</v>
      </c>
      <c r="G5594" s="3" t="str">
        <f>IFERROR(__xludf.DUMMYFUNCTION("REGEXREPLACE(
D5594,
""([一-龯々]+)\[([^\]]+)\]"",
""&lt;ruby&gt;$1&lt;rt&gt;$2&lt;/rt&gt;&lt;/ruby&gt;""
)&amp;""&lt;br&gt;&lt;div class=""""audio""""&gt;[sound:""&amp;C5594&amp;"".mp3]&lt;/div&gt;"""),"&lt;ruby&gt;仕&lt;rt&gt;つか&lt;/rt&gt;&lt;/ruby&gt;える&lt;br&gt;&lt;div class=""audio""&gt;[sound:つかえる.mp3]&lt;/div&gt;")</f>
        <v>&lt;ruby&gt;仕&lt;rt&gt;つか&lt;/rt&gt;&lt;/ruby&gt;える&lt;br&gt;&lt;div class="audio"&gt;[sound:つかえる.mp3]&lt;/div&gt;</v>
      </c>
      <c r="H5594" s="3" t="str">
        <f t="shared" si="1"/>
        <v>(v): phụng sự</v>
      </c>
      <c r="I5594" s="6" t="s">
        <v>30483</v>
      </c>
      <c r="J5594" s="6" t="s">
        <v>30484</v>
      </c>
      <c r="K5594" s="7">
        <f t="shared" si="2"/>
        <v>0.06464040025</v>
      </c>
    </row>
    <row r="5595">
      <c r="A5595" s="4">
        <v>5595.0</v>
      </c>
      <c r="B5595" s="5" t="s">
        <v>30485</v>
      </c>
      <c r="C5595" s="5" t="s">
        <v>30486</v>
      </c>
      <c r="D5595" s="5" t="s">
        <v>30487</v>
      </c>
      <c r="E5595" s="6" t="s">
        <v>24</v>
      </c>
      <c r="F5595" s="6" t="s">
        <v>4010</v>
      </c>
      <c r="G5595" s="3" t="str">
        <f>IFERROR(__xludf.DUMMYFUNCTION("REGEXREPLACE(
D5595,
""([一-龯々]+)\[([^\]]+)\]"",
""&lt;ruby&gt;$1&lt;rt&gt;$2&lt;/rt&gt;&lt;/ruby&gt;""
)&amp;""&lt;br&gt;&lt;div class=""""audio""""&gt;[sound:""&amp;C5595&amp;"".mp3]&lt;/div&gt;"""),"&lt;ruby&gt;代用&lt;rt&gt;だいよう&lt;/rt&gt;&lt;/ruby&gt;&lt;br&gt;&lt;div class=""audio""&gt;[sound:だいよう.mp3]&lt;/div&gt;")</f>
        <v>&lt;ruby&gt;代用&lt;rt&gt;だいよう&lt;/rt&gt;&lt;/ruby&gt;&lt;br&gt;&lt;div class="audio"&gt;[sound:だいよう.mp3]&lt;/div&gt;</v>
      </c>
      <c r="H5595" s="3" t="str">
        <f t="shared" si="1"/>
        <v>(v): thay thế</v>
      </c>
      <c r="I5595" s="6" t="s">
        <v>30488</v>
      </c>
      <c r="J5595" s="6" t="s">
        <v>30489</v>
      </c>
      <c r="K5595" s="7">
        <f t="shared" si="2"/>
        <v>0.3991651205</v>
      </c>
    </row>
    <row r="5596">
      <c r="A5596" s="4">
        <v>5596.0</v>
      </c>
      <c r="B5596" s="5" t="s">
        <v>30490</v>
      </c>
      <c r="C5596" s="5" t="s">
        <v>30491</v>
      </c>
      <c r="D5596" s="5" t="s">
        <v>30492</v>
      </c>
      <c r="E5596" s="6" t="s">
        <v>24</v>
      </c>
      <c r="F5596" s="6" t="s">
        <v>30493</v>
      </c>
      <c r="G5596" s="3" t="str">
        <f>IFERROR(__xludf.DUMMYFUNCTION("REGEXREPLACE(
D5596,
""([一-龯々]+)\[([^\]]+)\]"",
""&lt;ruby&gt;$1&lt;rt&gt;$2&lt;/rt&gt;&lt;/ruby&gt;""
)&amp;""&lt;br&gt;&lt;div class=""""audio""""&gt;[sound:""&amp;C5596&amp;"".mp3]&lt;/div&gt;"""),"&lt;ruby&gt;仰&lt;rt&gt;あお&lt;/rt&gt;&lt;/ruby&gt;ぐ&lt;br&gt;&lt;div class=""audio""&gt;[sound:あおぐ.mp3]&lt;/div&gt;")</f>
        <v>&lt;ruby&gt;仰&lt;rt&gt;あお&lt;/rt&gt;&lt;/ruby&gt;ぐ&lt;br&gt;&lt;div class="audio"&gt;[sound:あおぐ.mp3]&lt;/div&gt;</v>
      </c>
      <c r="H5596" s="3" t="str">
        <f t="shared" si="1"/>
        <v>(v): nhìn lên</v>
      </c>
      <c r="I5596" s="6" t="s">
        <v>30494</v>
      </c>
      <c r="J5596" s="6" t="s">
        <v>30495</v>
      </c>
      <c r="K5596" s="7">
        <f t="shared" si="2"/>
        <v>0.06215432233</v>
      </c>
    </row>
    <row r="5597">
      <c r="A5597" s="4">
        <v>5597.0</v>
      </c>
      <c r="B5597" s="5" t="s">
        <v>30496</v>
      </c>
      <c r="C5597" s="5" t="s">
        <v>30497</v>
      </c>
      <c r="D5597" s="5" t="s">
        <v>30498</v>
      </c>
      <c r="E5597" s="6" t="s">
        <v>74</v>
      </c>
      <c r="F5597" s="6" t="s">
        <v>19676</v>
      </c>
      <c r="G5597" s="3" t="str">
        <f>IFERROR(__xludf.DUMMYFUNCTION("REGEXREPLACE(
D5597,
""([一-龯々]+)\[([^\]]+)\]"",
""&lt;ruby&gt;$1&lt;rt&gt;$2&lt;/rt&gt;&lt;/ruby&gt;""
)&amp;""&lt;br&gt;&lt;div class=""""audio""""&gt;[sound:""&amp;C5597&amp;"".mp3]&lt;/div&gt;"""),"&lt;ruby&gt;体裁&lt;rt&gt;ていさい&lt;/rt&gt;&lt;/ruby&gt;&lt;br&gt;&lt;div class=""audio""&gt;[sound:ていさい.mp3]&lt;/div&gt;")</f>
        <v>&lt;ruby&gt;体裁&lt;rt&gt;ていさい&lt;/rt&gt;&lt;/ruby&gt;&lt;br&gt;&lt;div class="audio"&gt;[sound:ていさい.mp3]&lt;/div&gt;</v>
      </c>
      <c r="H5597" s="3" t="str">
        <f t="shared" si="1"/>
        <v>(n): diện mạo</v>
      </c>
      <c r="I5597" s="6" t="s">
        <v>30499</v>
      </c>
      <c r="J5597" s="6" t="s">
        <v>30500</v>
      </c>
      <c r="K5597" s="7">
        <f t="shared" si="2"/>
        <v>0.7769306824</v>
      </c>
    </row>
    <row r="5598">
      <c r="A5598" s="4">
        <v>5598.0</v>
      </c>
      <c r="B5598" s="5" t="s">
        <v>30501</v>
      </c>
      <c r="C5598" s="5" t="s">
        <v>30502</v>
      </c>
      <c r="D5598" s="5" t="s">
        <v>30503</v>
      </c>
      <c r="E5598" s="6" t="s">
        <v>11</v>
      </c>
      <c r="F5598" s="6" t="s">
        <v>30504</v>
      </c>
      <c r="G5598" s="3" t="str">
        <f>IFERROR(__xludf.DUMMYFUNCTION("REGEXREPLACE(
D5598,
""([一-龯々]+)\[([^\]]+)\]"",
""&lt;ruby&gt;$1&lt;rt&gt;$2&lt;/rt&gt;&lt;/ruby&gt;""
)&amp;""&lt;br&gt;&lt;div class=""""audio""""&gt;[sound:""&amp;C5598&amp;"".mp3]&lt;/div&gt;"""),"&lt;ruby&gt;冷淡&lt;rt&gt;れいたん&lt;/rt&gt;&lt;/ruby&gt;&lt;br&gt;&lt;div class=""audio""&gt;[sound:れいたん.mp3]&lt;/div&gt;")</f>
        <v>&lt;ruby&gt;冷淡&lt;rt&gt;れいたん&lt;/rt&gt;&lt;/ruby&gt;&lt;br&gt;&lt;div class="audio"&gt;[sound:れいたん.mp3]&lt;/div&gt;</v>
      </c>
      <c r="H5598" s="3" t="str">
        <f t="shared" si="1"/>
        <v>(adj): lãnh đạm</v>
      </c>
      <c r="I5598" s="6" t="s">
        <v>30505</v>
      </c>
      <c r="J5598" s="6" t="s">
        <v>30506</v>
      </c>
      <c r="K5598" s="7">
        <f t="shared" si="2"/>
        <v>0.1301769431</v>
      </c>
    </row>
    <row r="5599">
      <c r="A5599" s="4">
        <v>5599.0</v>
      </c>
      <c r="B5599" s="5" t="s">
        <v>30507</v>
      </c>
      <c r="C5599" s="5" t="s">
        <v>30508</v>
      </c>
      <c r="D5599" s="5" t="s">
        <v>30509</v>
      </c>
      <c r="E5599" s="6" t="s">
        <v>11</v>
      </c>
      <c r="F5599" s="6" t="s">
        <v>30510</v>
      </c>
      <c r="G5599" s="3" t="str">
        <f>IFERROR(__xludf.DUMMYFUNCTION("REGEXREPLACE(
D5599,
""([一-龯々]+)\[([^\]]+)\]"",
""&lt;ruby&gt;$1&lt;rt&gt;$2&lt;/rt&gt;&lt;/ruby&gt;""
)&amp;""&lt;br&gt;&lt;div class=""""audio""""&gt;[sound:""&amp;C5599&amp;"".mp3]&lt;/div&gt;"""),"&lt;ruby&gt;冷酷&lt;rt&gt;れいこく&lt;/rt&gt;&lt;/ruby&gt;&lt;br&gt;&lt;div class=""audio""&gt;[sound:れいこく.mp3]&lt;/div&gt;")</f>
        <v>&lt;ruby&gt;冷酷&lt;rt&gt;れいこく&lt;/rt&gt;&lt;/ruby&gt;&lt;br&gt;&lt;div class="audio"&gt;[sound:れいこく.mp3]&lt;/div&gt;</v>
      </c>
      <c r="H5599" s="3" t="str">
        <f t="shared" si="1"/>
        <v>(adj): tàn nhẫn</v>
      </c>
      <c r="I5599" s="6" t="s">
        <v>30511</v>
      </c>
      <c r="J5599" s="6" t="s">
        <v>30512</v>
      </c>
      <c r="K5599" s="7">
        <f t="shared" si="2"/>
        <v>0.5628363967</v>
      </c>
    </row>
    <row r="5600">
      <c r="A5600" s="4">
        <v>5600.0</v>
      </c>
      <c r="B5600" s="5" t="s">
        <v>30513</v>
      </c>
      <c r="C5600" s="5" t="s">
        <v>30514</v>
      </c>
      <c r="D5600" s="5" t="s">
        <v>30515</v>
      </c>
      <c r="E5600" s="6" t="s">
        <v>11</v>
      </c>
      <c r="F5600" s="6" t="s">
        <v>30516</v>
      </c>
      <c r="G5600" s="3" t="str">
        <f>IFERROR(__xludf.DUMMYFUNCTION("REGEXREPLACE(
D5600,
""([一-龯々]+)\[([^\]]+)\]"",
""&lt;ruby&gt;$1&lt;rt&gt;$2&lt;/rt&gt;&lt;/ruby&gt;""
)&amp;""&lt;br&gt;&lt;div class=""""audio""""&gt;[sound:""&amp;C5600&amp;"".mp3]&lt;/div&gt;"""),"&lt;ruby&gt;勇敢&lt;rt&gt;ゆうかん&lt;/rt&gt;&lt;/ruby&gt;&lt;br&gt;&lt;div class=""audio""&gt;[sound:ゆうかん.mp3]&lt;/div&gt;")</f>
        <v>&lt;ruby&gt;勇敢&lt;rt&gt;ゆうかん&lt;/rt&gt;&lt;/ruby&gt;&lt;br&gt;&lt;div class="audio"&gt;[sound:ゆうかん.mp3]&lt;/div&gt;</v>
      </c>
      <c r="H5600" s="3" t="str">
        <f t="shared" si="1"/>
        <v>(adj): dũng cảm</v>
      </c>
      <c r="I5600" s="6" t="s">
        <v>30517</v>
      </c>
      <c r="J5600" s="6" t="s">
        <v>30518</v>
      </c>
      <c r="K5600" s="7">
        <f t="shared" si="2"/>
        <v>0.7747624259</v>
      </c>
    </row>
    <row r="5601">
      <c r="A5601" s="4">
        <v>5601.0</v>
      </c>
      <c r="B5601" s="5" t="s">
        <v>30519</v>
      </c>
      <c r="C5601" s="5" t="s">
        <v>30520</v>
      </c>
      <c r="D5601" s="5" t="s">
        <v>30521</v>
      </c>
      <c r="E5601" s="6" t="s">
        <v>11</v>
      </c>
      <c r="F5601" s="6" t="s">
        <v>30522</v>
      </c>
      <c r="G5601" s="3" t="str">
        <f>IFERROR(__xludf.DUMMYFUNCTION("REGEXREPLACE(
D5601,
""([一-龯々]+)\[([^\]]+)\]"",
""&lt;ruby&gt;$1&lt;rt&gt;$2&lt;/rt&gt;&lt;/ruby&gt;""
)&amp;""&lt;br&gt;&lt;div class=""""audio""""&gt;[sound:""&amp;C5601&amp;"".mp3]&lt;/div&gt;"""),"&lt;ruby&gt;卑&lt;rt&gt;いや&lt;/rt&gt;&lt;/ruby&gt;しい&lt;br&gt;&lt;div class=""audio""&gt;[sound:いやしい.mp3]&lt;/div&gt;")</f>
        <v>&lt;ruby&gt;卑&lt;rt&gt;いや&lt;/rt&gt;&lt;/ruby&gt;しい&lt;br&gt;&lt;div class="audio"&gt;[sound:いやしい.mp3]&lt;/div&gt;</v>
      </c>
      <c r="H5601" s="3" t="str">
        <f t="shared" si="1"/>
        <v>(adj): thấp hèn</v>
      </c>
      <c r="I5601" s="6" t="s">
        <v>30523</v>
      </c>
      <c r="J5601" s="6" t="s">
        <v>30524</v>
      </c>
      <c r="K5601" s="7">
        <f t="shared" si="2"/>
        <v>0.3045979542</v>
      </c>
    </row>
    <row r="5602">
      <c r="A5602" s="4">
        <v>5602.0</v>
      </c>
      <c r="B5602" s="5" t="s">
        <v>30525</v>
      </c>
      <c r="C5602" s="5" t="s">
        <v>30526</v>
      </c>
      <c r="D5602" s="5" t="s">
        <v>30527</v>
      </c>
      <c r="E5602" s="6" t="s">
        <v>24</v>
      </c>
      <c r="F5602" s="6" t="s">
        <v>19571</v>
      </c>
      <c r="G5602" s="3" t="str">
        <f>IFERROR(__xludf.DUMMYFUNCTION("REGEXREPLACE(
D5602,
""([一-龯々]+)\[([^\]]+)\]"",
""&lt;ruby&gt;$1&lt;rt&gt;$2&lt;/rt&gt;&lt;/ruby&gt;""
)&amp;""&lt;br&gt;&lt;div class=""""audio""""&gt;[sound:""&amp;C5602&amp;"".mp3]&lt;/div&gt;"""),"&lt;ruby&gt;取&lt;rt&gt;と&lt;/rt&gt;&lt;/ruby&gt;り&lt;ruby&gt;混&lt;rt&gt;ま&lt;/rt&gt;&lt;/ruby&gt;ぜる&lt;br&gt;&lt;div class=""audio""&gt;[sound:とりまぜる.mp3]&lt;/div&gt;")</f>
        <v>&lt;ruby&gt;取&lt;rt&gt;と&lt;/rt&gt;&lt;/ruby&gt;り&lt;ruby&gt;混&lt;rt&gt;ま&lt;/rt&gt;&lt;/ruby&gt;ぜる&lt;br&gt;&lt;div class="audio"&gt;[sound:とりまぜる.mp3]&lt;/div&gt;</v>
      </c>
      <c r="H5602" s="3" t="str">
        <f t="shared" si="1"/>
        <v>(v): trộn lẫn</v>
      </c>
      <c r="I5602" s="6" t="s">
        <v>30528</v>
      </c>
      <c r="J5602" s="6" t="s">
        <v>30529</v>
      </c>
      <c r="K5602" s="7">
        <f t="shared" si="2"/>
        <v>0.9878642414</v>
      </c>
    </row>
    <row r="5603">
      <c r="A5603" s="4">
        <v>5603.0</v>
      </c>
      <c r="B5603" s="5" t="s">
        <v>30530</v>
      </c>
      <c r="C5603" s="5" t="s">
        <v>30531</v>
      </c>
      <c r="D5603" s="5" t="s">
        <v>30532</v>
      </c>
      <c r="E5603" s="6" t="s">
        <v>74</v>
      </c>
      <c r="F5603" s="6" t="s">
        <v>30533</v>
      </c>
      <c r="G5603" s="3" t="str">
        <f>IFERROR(__xludf.DUMMYFUNCTION("REGEXREPLACE(
D5603,
""([一-龯々]+)\[([^\]]+)\]"",
""&lt;ruby&gt;$1&lt;rt&gt;$2&lt;/rt&gt;&lt;/ruby&gt;""
)&amp;""&lt;br&gt;&lt;div class=""""audio""""&gt;[sound:""&amp;C5603&amp;"".mp3]&lt;/div&gt;"""),"&lt;ruby&gt;君主&lt;rt&gt;くんしゅ&lt;/rt&gt;&lt;/ruby&gt;&lt;br&gt;&lt;div class=""audio""&gt;[sound:くんしゅ.mp3]&lt;/div&gt;")</f>
        <v>&lt;ruby&gt;君主&lt;rt&gt;くんしゅ&lt;/rt&gt;&lt;/ruby&gt;&lt;br&gt;&lt;div class="audio"&gt;[sound:くんしゅ.mp3]&lt;/div&gt;</v>
      </c>
      <c r="H5603" s="3" t="str">
        <f t="shared" si="1"/>
        <v>(n): quân chủ</v>
      </c>
      <c r="I5603" s="6" t="s">
        <v>30534</v>
      </c>
      <c r="J5603" s="6" t="s">
        <v>30535</v>
      </c>
      <c r="K5603" s="7">
        <f t="shared" si="2"/>
        <v>0.05746695378</v>
      </c>
    </row>
    <row r="5604">
      <c r="A5604" s="4">
        <v>5604.0</v>
      </c>
      <c r="B5604" s="5" t="s">
        <v>30536</v>
      </c>
      <c r="C5604" s="5" t="s">
        <v>30537</v>
      </c>
      <c r="D5604" s="5" t="s">
        <v>30538</v>
      </c>
      <c r="E5604" s="6" t="s">
        <v>74</v>
      </c>
      <c r="F5604" s="6" t="s">
        <v>30539</v>
      </c>
      <c r="G5604" s="3" t="str">
        <f>IFERROR(__xludf.DUMMYFUNCTION("REGEXREPLACE(
D5604,
""([一-龯々]+)\[([^\]]+)\]"",
""&lt;ruby&gt;$1&lt;rt&gt;$2&lt;/rt&gt;&lt;/ruby&gt;""
)&amp;""&lt;br&gt;&lt;div class=""""audio""""&gt;[sound:""&amp;C5604&amp;"".mp3]&lt;/div&gt;"""),"&lt;ruby&gt;唾&lt;rt&gt;つば&lt;/rt&gt;&lt;/ruby&gt;&lt;br&gt;&lt;div class=""audio""&gt;[sound:つば.mp3]&lt;/div&gt;")</f>
        <v>&lt;ruby&gt;唾&lt;rt&gt;つば&lt;/rt&gt;&lt;/ruby&gt;&lt;br&gt;&lt;div class="audio"&gt;[sound:つば.mp3]&lt;/div&gt;</v>
      </c>
      <c r="H5604" s="3" t="str">
        <f t="shared" si="1"/>
        <v>(n): nước bọt</v>
      </c>
      <c r="I5604" s="6" t="s">
        <v>30540</v>
      </c>
      <c r="J5604" s="6" t="s">
        <v>30541</v>
      </c>
      <c r="K5604" s="7">
        <f t="shared" si="2"/>
        <v>0.5428109012</v>
      </c>
    </row>
    <row r="5605">
      <c r="A5605" s="4">
        <v>5605.0</v>
      </c>
      <c r="B5605" s="5" t="s">
        <v>30542</v>
      </c>
      <c r="C5605" s="5" t="s">
        <v>30543</v>
      </c>
      <c r="D5605" s="5" t="s">
        <v>30544</v>
      </c>
      <c r="E5605" s="6" t="s">
        <v>24</v>
      </c>
      <c r="F5605" s="6" t="s">
        <v>30545</v>
      </c>
      <c r="G5605" s="3" t="str">
        <f>IFERROR(__xludf.DUMMYFUNCTION("REGEXREPLACE(
D5605,
""([一-龯々]+)\[([^\]]+)\]"",
""&lt;ruby&gt;$1&lt;rt&gt;$2&lt;/rt&gt;&lt;/ruby&gt;""
)&amp;""&lt;br&gt;&lt;div class=""""audio""""&gt;[sound:""&amp;C5605&amp;"".mp3]&lt;/div&gt;"""),"&lt;ruby&gt;嘲笑&lt;rt&gt;あざわら&lt;/rt&gt;&lt;/ruby&gt;う&lt;br&gt;&lt;div class=""audio""&gt;[sound:あざわらう.mp3]&lt;/div&gt;")</f>
        <v>&lt;ruby&gt;嘲笑&lt;rt&gt;あざわら&lt;/rt&gt;&lt;/ruby&gt;う&lt;br&gt;&lt;div class="audio"&gt;[sound:あざわらう.mp3]&lt;/div&gt;</v>
      </c>
      <c r="H5605" s="3" t="str">
        <f t="shared" si="1"/>
        <v>(v): chế nhạo</v>
      </c>
      <c r="I5605" s="6" t="s">
        <v>30546</v>
      </c>
      <c r="J5605" s="6" t="s">
        <v>30547</v>
      </c>
      <c r="K5605" s="7">
        <f t="shared" si="2"/>
        <v>0.2312582257</v>
      </c>
    </row>
    <row r="5606">
      <c r="A5606" s="4">
        <v>5606.0</v>
      </c>
      <c r="B5606" s="5" t="s">
        <v>30548</v>
      </c>
      <c r="C5606" s="5" t="s">
        <v>30549</v>
      </c>
      <c r="D5606" s="5" t="s">
        <v>30550</v>
      </c>
      <c r="E5606" s="6" t="s">
        <v>74</v>
      </c>
      <c r="F5606" s="6" t="s">
        <v>30551</v>
      </c>
      <c r="G5606" s="3" t="str">
        <f>IFERROR(__xludf.DUMMYFUNCTION("REGEXREPLACE(
D5606,
""([一-龯々]+)\[([^\]]+)\]"",
""&lt;ruby&gt;$1&lt;rt&gt;$2&lt;/rt&gt;&lt;/ruby&gt;""
)&amp;""&lt;br&gt;&lt;div class=""""audio""""&gt;[sound:""&amp;C5606&amp;"".mp3]&lt;/div&gt;"""),"&lt;ruby&gt;大便&lt;rt&gt;だいべん&lt;/rt&gt;&lt;/ruby&gt;&lt;br&gt;&lt;div class=""audio""&gt;[sound:だいべん.mp3]&lt;/div&gt;")</f>
        <v>&lt;ruby&gt;大便&lt;rt&gt;だいべん&lt;/rt&gt;&lt;/ruby&gt;&lt;br&gt;&lt;div class="audio"&gt;[sound:だいべん.mp3]&lt;/div&gt;</v>
      </c>
      <c r="H5606" s="3" t="str">
        <f t="shared" si="1"/>
        <v>(n): đại tiện</v>
      </c>
      <c r="I5606" s="6" t="s">
        <v>30552</v>
      </c>
      <c r="J5606" s="6" t="s">
        <v>30553</v>
      </c>
      <c r="K5606" s="7">
        <f t="shared" si="2"/>
        <v>0.7731898692</v>
      </c>
    </row>
    <row r="5607">
      <c r="A5607" s="4">
        <v>5607.0</v>
      </c>
      <c r="B5607" s="5" t="s">
        <v>30554</v>
      </c>
      <c r="C5607" s="5" t="s">
        <v>30555</v>
      </c>
      <c r="D5607" s="5" t="s">
        <v>30556</v>
      </c>
      <c r="E5607" s="6" t="s">
        <v>74</v>
      </c>
      <c r="F5607" s="6" t="s">
        <v>11633</v>
      </c>
      <c r="G5607" s="3" t="str">
        <f>IFERROR(__xludf.DUMMYFUNCTION("REGEXREPLACE(
D5607,
""([一-龯々]+)\[([^\]]+)\]"",
""&lt;ruby&gt;$1&lt;rt&gt;$2&lt;/rt&gt;&lt;/ruby&gt;""
)&amp;""&lt;br&gt;&lt;div class=""""audio""""&gt;[sound:""&amp;C5607&amp;"".mp3]&lt;/div&gt;"""),"&lt;ruby&gt;子息&lt;rt&gt;しそく&lt;/rt&gt;&lt;/ruby&gt;&lt;br&gt;&lt;div class=""audio""&gt;[sound:しそく.mp3]&lt;/div&gt;")</f>
        <v>&lt;ruby&gt;子息&lt;rt&gt;しそく&lt;/rt&gt;&lt;/ruby&gt;&lt;br&gt;&lt;div class="audio"&gt;[sound:しそく.mp3]&lt;/div&gt;</v>
      </c>
      <c r="H5607" s="3" t="str">
        <f t="shared" si="1"/>
        <v>(n): con trai</v>
      </c>
      <c r="I5607" s="6" t="s">
        <v>30557</v>
      </c>
      <c r="J5607" s="6" t="s">
        <v>30558</v>
      </c>
      <c r="K5607" s="7">
        <f t="shared" si="2"/>
        <v>0.689212423</v>
      </c>
    </row>
    <row r="5608">
      <c r="A5608" s="4">
        <v>5608.0</v>
      </c>
      <c r="B5608" s="5" t="s">
        <v>30559</v>
      </c>
      <c r="C5608" s="5" t="s">
        <v>30560</v>
      </c>
      <c r="D5608" s="5" t="s">
        <v>30561</v>
      </c>
      <c r="E5608" s="6" t="s">
        <v>74</v>
      </c>
      <c r="F5608" s="6" t="s">
        <v>30562</v>
      </c>
      <c r="G5608" s="3" t="str">
        <f>IFERROR(__xludf.DUMMYFUNCTION("REGEXREPLACE(
D5608,
""([一-龯々]+)\[([^\]]+)\]"",
""&lt;ruby&gt;$1&lt;rt&gt;$2&lt;/rt&gt;&lt;/ruby&gt;""
)&amp;""&lt;br&gt;&lt;div class=""""audio""""&gt;[sound:""&amp;C5608&amp;"".mp3]&lt;/div&gt;"""),"&lt;ruby&gt;学芸&lt;rt&gt;がくげい&lt;/rt&gt;&lt;/ruby&gt;&lt;br&gt;&lt;div class=""audio""&gt;[sound:がくげい.mp3]&lt;/div&gt;")</f>
        <v>&lt;ruby&gt;学芸&lt;rt&gt;がくげい&lt;/rt&gt;&lt;/ruby&gt;&lt;br&gt;&lt;div class="audio"&gt;[sound:がくげい.mp3]&lt;/div&gt;</v>
      </c>
      <c r="H5608" s="3" t="str">
        <f t="shared" si="1"/>
        <v>(n): học nghệ</v>
      </c>
      <c r="I5608" s="6" t="s">
        <v>30563</v>
      </c>
      <c r="J5608" s="6" t="s">
        <v>30564</v>
      </c>
      <c r="K5608" s="7">
        <f t="shared" si="2"/>
        <v>0.2115602078</v>
      </c>
    </row>
    <row r="5609">
      <c r="A5609" s="4">
        <v>5609.0</v>
      </c>
      <c r="B5609" s="5" t="s">
        <v>30565</v>
      </c>
      <c r="C5609" s="5" t="s">
        <v>30566</v>
      </c>
      <c r="D5609" s="5" t="s">
        <v>30567</v>
      </c>
      <c r="E5609" s="6" t="s">
        <v>74</v>
      </c>
      <c r="F5609" s="6" t="s">
        <v>30568</v>
      </c>
      <c r="G5609" s="3" t="str">
        <f>IFERROR(__xludf.DUMMYFUNCTION("REGEXREPLACE(
D5609,
""([一-龯々]+)\[([^\]]+)\]"",
""&lt;ruby&gt;$1&lt;rt&gt;$2&lt;/rt&gt;&lt;/ruby&gt;""
)&amp;""&lt;br&gt;&lt;div class=""""audio""""&gt;[sound:""&amp;C5609&amp;"".mp3]&lt;/div&gt;"""),"&lt;ruby&gt;楽譜&lt;rt&gt;がくふ&lt;/rt&gt;&lt;/ruby&gt;&lt;br&gt;&lt;div class=""audio""&gt;[sound:がくふ.mp3]&lt;/div&gt;")</f>
        <v>&lt;ruby&gt;楽譜&lt;rt&gt;がくふ&lt;/rt&gt;&lt;/ruby&gt;&lt;br&gt;&lt;div class="audio"&gt;[sound:がくふ.mp3]&lt;/div&gt;</v>
      </c>
      <c r="H5609" s="3" t="str">
        <f t="shared" si="1"/>
        <v>(n): bản nhạc</v>
      </c>
      <c r="I5609" s="6" t="s">
        <v>30569</v>
      </c>
      <c r="J5609" s="6" t="s">
        <v>30570</v>
      </c>
      <c r="K5609" s="7">
        <f t="shared" si="2"/>
        <v>0.7586853554</v>
      </c>
    </row>
    <row r="5610">
      <c r="A5610" s="4">
        <v>5610.0</v>
      </c>
      <c r="B5610" s="5" t="s">
        <v>30571</v>
      </c>
      <c r="C5610" s="5" t="s">
        <v>30572</v>
      </c>
      <c r="D5610" s="5" t="s">
        <v>30573</v>
      </c>
      <c r="E5610" s="6" t="s">
        <v>74</v>
      </c>
      <c r="F5610" s="6" t="s">
        <v>19676</v>
      </c>
      <c r="G5610" s="3" t="str">
        <f>IFERROR(__xludf.DUMMYFUNCTION("REGEXREPLACE(
D5610,
""([一-龯々]+)\[([^\]]+)\]"",
""&lt;ruby&gt;$1&lt;rt&gt;$2&lt;/rt&gt;&lt;/ruby&gt;""
)&amp;""&lt;br&gt;&lt;div class=""""audio""""&gt;[sound:""&amp;C5610&amp;"".mp3]&lt;/div&gt;"""),"&lt;ruby&gt;様相&lt;rt&gt;ようそう&lt;/rt&gt;&lt;/ruby&gt;&lt;br&gt;&lt;div class=""audio""&gt;[sound:ようそう.mp3]&lt;/div&gt;")</f>
        <v>&lt;ruby&gt;様相&lt;rt&gt;ようそう&lt;/rt&gt;&lt;/ruby&gt;&lt;br&gt;&lt;div class="audio"&gt;[sound:ようそう.mp3]&lt;/div&gt;</v>
      </c>
      <c r="H5610" s="3" t="str">
        <f t="shared" si="1"/>
        <v>(n): diện mạo</v>
      </c>
      <c r="I5610" s="6" t="s">
        <v>30574</v>
      </c>
      <c r="J5610" s="6" t="s">
        <v>30575</v>
      </c>
      <c r="K5610" s="7">
        <f t="shared" si="2"/>
        <v>0.465348467</v>
      </c>
    </row>
    <row r="5611">
      <c r="A5611" s="4">
        <v>5611.0</v>
      </c>
      <c r="B5611" s="5" t="s">
        <v>30576</v>
      </c>
      <c r="C5611" s="5" t="s">
        <v>30577</v>
      </c>
      <c r="D5611" s="5" t="s">
        <v>30578</v>
      </c>
      <c r="E5611" s="6" t="s">
        <v>74</v>
      </c>
      <c r="F5611" s="6" t="s">
        <v>30579</v>
      </c>
      <c r="G5611" s="3" t="str">
        <f>IFERROR(__xludf.DUMMYFUNCTION("REGEXREPLACE(
D5611,
""([一-龯々]+)\[([^\]]+)\]"",
""&lt;ruby&gt;$1&lt;rt&gt;$2&lt;/rt&gt;&lt;/ruby&gt;""
)&amp;""&lt;br&gt;&lt;div class=""""audio""""&gt;[sound:""&amp;C5611&amp;"".mp3]&lt;/div&gt;"""),"&lt;ruby&gt;比重&lt;rt&gt;ひじゅう&lt;/rt&gt;&lt;/ruby&gt;&lt;br&gt;&lt;div class=""audio""&gt;[sound:ひじゅう.mp3]&lt;/div&gt;")</f>
        <v>&lt;ruby&gt;比重&lt;rt&gt;ひじゅう&lt;/rt&gt;&lt;/ruby&gt;&lt;br&gt;&lt;div class="audio"&gt;[sound:ひじゅう.mp3]&lt;/div&gt;</v>
      </c>
      <c r="H5611" s="3" t="str">
        <f t="shared" si="1"/>
        <v>(n): tỷ trọng</v>
      </c>
      <c r="I5611" s="6" t="s">
        <v>30580</v>
      </c>
      <c r="J5611" s="6" t="s">
        <v>30581</v>
      </c>
      <c r="K5611" s="7">
        <f t="shared" si="2"/>
        <v>0.3043669707</v>
      </c>
    </row>
    <row r="5612">
      <c r="A5612" s="4">
        <v>5612.0</v>
      </c>
      <c r="B5612" s="5" t="s">
        <v>30582</v>
      </c>
      <c r="C5612" s="5" t="s">
        <v>30583</v>
      </c>
      <c r="D5612" s="5" t="s">
        <v>30584</v>
      </c>
      <c r="E5612" s="6" t="s">
        <v>24</v>
      </c>
      <c r="F5612" s="6" t="s">
        <v>30585</v>
      </c>
      <c r="G5612" s="3" t="str">
        <f>IFERROR(__xludf.DUMMYFUNCTION("REGEXREPLACE(
D5612,
""([一-龯々]+)\[([^\]]+)\]"",
""&lt;ruby&gt;$1&lt;rt&gt;$2&lt;/rt&gt;&lt;/ruby&gt;""
)&amp;""&lt;br&gt;&lt;div class=""""audio""""&gt;[sound:""&amp;C5612&amp;"".mp3]&lt;/div&gt;"""),"&lt;ruby&gt;沈&lt;rt&gt;しず&lt;/rt&gt;&lt;/ruby&gt;める&lt;br&gt;&lt;div class=""audio""&gt;[sound:しずめる.mp3]&lt;/div&gt;")</f>
        <v>&lt;ruby&gt;沈&lt;rt&gt;しず&lt;/rt&gt;&lt;/ruby&gt;める&lt;br&gt;&lt;div class="audio"&gt;[sound:しずめる.mp3]&lt;/div&gt;</v>
      </c>
      <c r="H5612" s="3" t="str">
        <f t="shared" si="1"/>
        <v>(v): làm chìm</v>
      </c>
      <c r="I5612" s="6" t="s">
        <v>30586</v>
      </c>
      <c r="J5612" s="6" t="s">
        <v>30587</v>
      </c>
      <c r="K5612" s="7">
        <f t="shared" si="2"/>
        <v>0.4526632478</v>
      </c>
    </row>
    <row r="5613">
      <c r="A5613" s="4">
        <v>5613.0</v>
      </c>
      <c r="B5613" s="5" t="s">
        <v>30588</v>
      </c>
      <c r="C5613" s="5" t="s">
        <v>30589</v>
      </c>
      <c r="D5613" s="5" t="s">
        <v>30590</v>
      </c>
      <c r="E5613" s="6" t="s">
        <v>74</v>
      </c>
      <c r="F5613" s="6" t="s">
        <v>30591</v>
      </c>
      <c r="G5613" s="3" t="str">
        <f>IFERROR(__xludf.DUMMYFUNCTION("REGEXREPLACE(
D5613,
""([一-龯々]+)\[([^\]]+)\]"",
""&lt;ruby&gt;$1&lt;rt&gt;$2&lt;/rt&gt;&lt;/ruby&gt;""
)&amp;""&lt;br&gt;&lt;div class=""""audio""""&gt;[sound:""&amp;C5613&amp;"".mp3]&lt;/div&gt;"""),"&lt;ruby&gt;浜&lt;rt&gt;はま&lt;/rt&gt;&lt;/ruby&gt;&lt;br&gt;&lt;div class=""audio""&gt;[sound:はま.mp3]&lt;/div&gt;")</f>
        <v>&lt;ruby&gt;浜&lt;rt&gt;はま&lt;/rt&gt;&lt;/ruby&gt;&lt;br&gt;&lt;div class="audio"&gt;[sound:はま.mp3]&lt;/div&gt;</v>
      </c>
      <c r="H5613" s="3" t="str">
        <f t="shared" si="1"/>
        <v>(n): bãi biển</v>
      </c>
      <c r="I5613" s="6" t="s">
        <v>30592</v>
      </c>
      <c r="J5613" s="6" t="s">
        <v>30593</v>
      </c>
      <c r="K5613" s="7">
        <f t="shared" si="2"/>
        <v>0.4535027003</v>
      </c>
    </row>
    <row r="5614">
      <c r="A5614" s="4">
        <v>5614.0</v>
      </c>
      <c r="B5614" s="5" t="s">
        <v>30594</v>
      </c>
      <c r="C5614" s="5" t="s">
        <v>30595</v>
      </c>
      <c r="D5614" s="5" t="s">
        <v>30596</v>
      </c>
      <c r="E5614" s="6" t="s">
        <v>11</v>
      </c>
      <c r="F5614" s="6" t="s">
        <v>30597</v>
      </c>
      <c r="G5614" s="3" t="str">
        <f>IFERROR(__xludf.DUMMYFUNCTION("REGEXREPLACE(
D5614,
""([一-龯々]+)\[([^\]]+)\]"",
""&lt;ruby&gt;$1&lt;rt&gt;$2&lt;/rt&gt;&lt;/ruby&gt;""
)&amp;""&lt;br&gt;&lt;div class=""""audio""""&gt;[sound:""&amp;C5614&amp;"".mp3]&lt;/div&gt;"""),"&lt;ruby&gt;滑&lt;rt&gt;なめ&lt;/rt&gt;&lt;/ruby&gt;らか&lt;br&gt;&lt;div class=""audio""&gt;[sound:なめらか.mp3]&lt;/div&gt;")</f>
        <v>&lt;ruby&gt;滑&lt;rt&gt;なめ&lt;/rt&gt;&lt;/ruby&gt;らか&lt;br&gt;&lt;div class="audio"&gt;[sound:なめらか.mp3]&lt;/div&gt;</v>
      </c>
      <c r="H5614" s="3" t="str">
        <f t="shared" si="1"/>
        <v>(adj): trơn tru</v>
      </c>
      <c r="I5614" s="6" t="s">
        <v>30598</v>
      </c>
      <c r="J5614" s="6" t="s">
        <v>30599</v>
      </c>
      <c r="K5614" s="7">
        <f t="shared" si="2"/>
        <v>0.4435978082</v>
      </c>
    </row>
    <row r="5615">
      <c r="A5615" s="4">
        <v>5615.0</v>
      </c>
      <c r="B5615" s="5" t="s">
        <v>30600</v>
      </c>
      <c r="C5615" s="5" t="s">
        <v>9268</v>
      </c>
      <c r="D5615" s="5" t="s">
        <v>30601</v>
      </c>
      <c r="E5615" s="6" t="s">
        <v>74</v>
      </c>
      <c r="F5615" s="6" t="s">
        <v>30602</v>
      </c>
      <c r="G5615" s="3" t="str">
        <f>IFERROR(__xludf.DUMMYFUNCTION("REGEXREPLACE(
D5615,
""([一-龯々]+)\[([^\]]+)\]"",
""&lt;ruby&gt;$1&lt;rt&gt;$2&lt;/rt&gt;&lt;/ruby&gt;""
)&amp;""&lt;br&gt;&lt;div class=""""audio""""&gt;[sound:""&amp;C5615&amp;"".mp3]&lt;/div&gt;"""),"&lt;ruby&gt;結晶&lt;rt&gt;けっしょう&lt;/rt&gt;&lt;/ruby&gt;&lt;br&gt;&lt;div class=""audio""&gt;[sound:けっしょう.mp3]&lt;/div&gt;")</f>
        <v>&lt;ruby&gt;結晶&lt;rt&gt;けっしょう&lt;/rt&gt;&lt;/ruby&gt;&lt;br&gt;&lt;div class="audio"&gt;[sound:けっしょう.mp3]&lt;/div&gt;</v>
      </c>
      <c r="H5615" s="3" t="str">
        <f t="shared" si="1"/>
        <v>(n): tinh thể</v>
      </c>
      <c r="I5615" s="6" t="s">
        <v>30603</v>
      </c>
      <c r="J5615" s="6" t="s">
        <v>30604</v>
      </c>
      <c r="K5615" s="7">
        <f t="shared" si="2"/>
        <v>0.9152402212</v>
      </c>
    </row>
    <row r="5616">
      <c r="A5616" s="4">
        <v>5616.0</v>
      </c>
      <c r="B5616" s="5" t="s">
        <v>30605</v>
      </c>
      <c r="C5616" s="5" t="s">
        <v>30606</v>
      </c>
      <c r="D5616" s="5" t="s">
        <v>30607</v>
      </c>
      <c r="E5616" s="6" t="s">
        <v>74</v>
      </c>
      <c r="F5616" s="6" t="s">
        <v>30608</v>
      </c>
      <c r="G5616" s="3" t="str">
        <f>IFERROR(__xludf.DUMMYFUNCTION("REGEXREPLACE(
D5616,
""([一-龯々]+)\[([^\]]+)\]"",
""&lt;ruby&gt;$1&lt;rt&gt;$2&lt;/rt&gt;&lt;/ruby&gt;""
)&amp;""&lt;br&gt;&lt;div class=""""audio""""&gt;[sound:""&amp;C5616&amp;"".mp3]&lt;/div&gt;"""),"&lt;ruby&gt;腕前&lt;rt&gt;うでまえ&lt;/rt&gt;&lt;/ruby&gt;&lt;br&gt;&lt;div class=""audio""&gt;[sound:うでまえ.mp3]&lt;/div&gt;")</f>
        <v>&lt;ruby&gt;腕前&lt;rt&gt;うでまえ&lt;/rt&gt;&lt;/ruby&gt;&lt;br&gt;&lt;div class="audio"&gt;[sound:うでまえ.mp3]&lt;/div&gt;</v>
      </c>
      <c r="H5616" s="3" t="str">
        <f t="shared" si="1"/>
        <v>(n): tay nghề</v>
      </c>
      <c r="I5616" s="6" t="s">
        <v>30609</v>
      </c>
      <c r="J5616" s="6" t="s">
        <v>30610</v>
      </c>
      <c r="K5616" s="7">
        <f t="shared" si="2"/>
        <v>0.1640102218</v>
      </c>
    </row>
    <row r="5617">
      <c r="A5617" s="4">
        <v>5617.0</v>
      </c>
      <c r="B5617" s="5" t="s">
        <v>30611</v>
      </c>
      <c r="C5617" s="5" t="s">
        <v>30612</v>
      </c>
      <c r="D5617" s="5" t="s">
        <v>30613</v>
      </c>
      <c r="E5617" s="6" t="s">
        <v>24</v>
      </c>
      <c r="F5617" s="6" t="s">
        <v>30614</v>
      </c>
      <c r="G5617" s="3" t="str">
        <f>IFERROR(__xludf.DUMMYFUNCTION("REGEXREPLACE(
D5617,
""([一-龯々]+)\[([^\]]+)\]"",
""&lt;ruby&gt;$1&lt;rt&gt;$2&lt;/rt&gt;&lt;/ruby&gt;""
)&amp;""&lt;br&gt;&lt;div class=""""audio""""&gt;[sound:""&amp;C5617&amp;"".mp3]&lt;/div&gt;"""),"&lt;ruby&gt;興&lt;rt&gt;きょう&lt;/rt&gt;&lt;/ruby&gt;じる&lt;br&gt;&lt;div class=""audio""&gt;[sound:きょうじる.mp3]&lt;/div&gt;")</f>
        <v>&lt;ruby&gt;興&lt;rt&gt;きょう&lt;/rt&gt;&lt;/ruby&gt;じる&lt;br&gt;&lt;div class="audio"&gt;[sound:きょうじる.mp3]&lt;/div&gt;</v>
      </c>
      <c r="H5617" s="3" t="str">
        <f t="shared" si="1"/>
        <v>(v): vui chơi</v>
      </c>
      <c r="I5617" s="6" t="s">
        <v>30615</v>
      </c>
      <c r="J5617" s="6" t="s">
        <v>30616</v>
      </c>
      <c r="K5617" s="7">
        <f t="shared" si="2"/>
        <v>0.2716983713</v>
      </c>
    </row>
    <row r="5618">
      <c r="A5618" s="4">
        <v>5618.0</v>
      </c>
      <c r="B5618" s="5" t="s">
        <v>30617</v>
      </c>
      <c r="C5618" s="5" t="s">
        <v>30618</v>
      </c>
      <c r="D5618" s="5" t="s">
        <v>30619</v>
      </c>
      <c r="E5618" s="6" t="s">
        <v>74</v>
      </c>
      <c r="F5618" s="6" t="s">
        <v>30620</v>
      </c>
      <c r="G5618" s="3" t="str">
        <f>IFERROR(__xludf.DUMMYFUNCTION("REGEXREPLACE(
D5618,
""([一-龯々]+)\[([^\]]+)\]"",
""&lt;ruby&gt;$1&lt;rt&gt;$2&lt;/rt&gt;&lt;/ruby&gt;""
)&amp;""&lt;br&gt;&lt;div class=""""audio""""&gt;[sound:""&amp;C5618&amp;"".mp3]&lt;/div&gt;"""),"&lt;ruby&gt;花&lt;rt&gt;はな&lt;/rt&gt;&lt;/ruby&gt;びら&lt;br&gt;&lt;div class=""audio""&gt;[sound:はなびら.mp3]&lt;/div&gt;")</f>
        <v>&lt;ruby&gt;花&lt;rt&gt;はな&lt;/rt&gt;&lt;/ruby&gt;びら&lt;br&gt;&lt;div class="audio"&gt;[sound:はなびら.mp3]&lt;/div&gt;</v>
      </c>
      <c r="H5618" s="3" t="str">
        <f t="shared" si="1"/>
        <v>(n): cánh hoa</v>
      </c>
      <c r="I5618" s="6" t="s">
        <v>30621</v>
      </c>
      <c r="J5618" s="6" t="s">
        <v>30622</v>
      </c>
      <c r="K5618" s="7">
        <f t="shared" si="2"/>
        <v>0.7580357617</v>
      </c>
    </row>
    <row r="5619">
      <c r="A5619" s="4">
        <v>5619.0</v>
      </c>
      <c r="B5619" s="5" t="s">
        <v>30623</v>
      </c>
      <c r="C5619" s="5" t="s">
        <v>30624</v>
      </c>
      <c r="D5619" s="5" t="s">
        <v>30625</v>
      </c>
      <c r="E5619" s="6" t="s">
        <v>74</v>
      </c>
      <c r="F5619" s="6" t="s">
        <v>30626</v>
      </c>
      <c r="G5619" s="3" t="str">
        <f>IFERROR(__xludf.DUMMYFUNCTION("REGEXREPLACE(
D5619,
""([一-龯々]+)\[([^\]]+)\]"",
""&lt;ruby&gt;$1&lt;rt&gt;$2&lt;/rt&gt;&lt;/ruby&gt;""
)&amp;""&lt;br&gt;&lt;div class=""""audio""""&gt;[sound:""&amp;C5619&amp;"".mp3]&lt;/div&gt;"""),"&lt;ruby&gt;花壇&lt;rt&gt;かだん&lt;/rt&gt;&lt;/ruby&gt;&lt;br&gt;&lt;div class=""audio""&gt;[sound:かだん.mp3]&lt;/div&gt;")</f>
        <v>&lt;ruby&gt;花壇&lt;rt&gt;かだん&lt;/rt&gt;&lt;/ruby&gt;&lt;br&gt;&lt;div class="audio"&gt;[sound:かだん.mp3]&lt;/div&gt;</v>
      </c>
      <c r="H5619" s="3" t="str">
        <f t="shared" si="1"/>
        <v>(n): vườn hoa</v>
      </c>
      <c r="I5619" s="6" t="s">
        <v>30627</v>
      </c>
      <c r="J5619" s="6" t="s">
        <v>30628</v>
      </c>
      <c r="K5619" s="7">
        <f t="shared" si="2"/>
        <v>0.7587249976</v>
      </c>
    </row>
    <row r="5620">
      <c r="A5620" s="4">
        <v>5620.0</v>
      </c>
      <c r="B5620" s="5" t="s">
        <v>30629</v>
      </c>
      <c r="C5620" s="5" t="s">
        <v>30630</v>
      </c>
      <c r="D5620" s="5" t="s">
        <v>30631</v>
      </c>
      <c r="E5620" s="6" t="s">
        <v>74</v>
      </c>
      <c r="F5620" s="6" t="s">
        <v>22982</v>
      </c>
      <c r="G5620" s="3" t="str">
        <f>IFERROR(__xludf.DUMMYFUNCTION("REGEXREPLACE(
D5620,
""([一-龯々]+)\[([^\]]+)\]"",
""&lt;ruby&gt;$1&lt;rt&gt;$2&lt;/rt&gt;&lt;/ruby&gt;""
)&amp;""&lt;br&gt;&lt;div class=""""audio""""&gt;[sound:""&amp;C5620&amp;"".mp3]&lt;/div&gt;"""),"&lt;ruby&gt;茎&lt;rt&gt;くき&lt;/rt&gt;&lt;/ruby&gt;&lt;br&gt;&lt;div class=""audio""&gt;[sound:くき.mp3]&lt;/div&gt;")</f>
        <v>&lt;ruby&gt;茎&lt;rt&gt;くき&lt;/rt&gt;&lt;/ruby&gt;&lt;br&gt;&lt;div class="audio"&gt;[sound:くき.mp3]&lt;/div&gt;</v>
      </c>
      <c r="H5620" s="3" t="str">
        <f t="shared" si="1"/>
        <v>(n): thân cây</v>
      </c>
      <c r="I5620" s="6" t="s">
        <v>30632</v>
      </c>
      <c r="J5620" s="6" t="s">
        <v>30633</v>
      </c>
      <c r="K5620" s="7">
        <f t="shared" si="2"/>
        <v>0.4900771884</v>
      </c>
    </row>
    <row r="5621">
      <c r="A5621" s="4">
        <v>5621.0</v>
      </c>
      <c r="B5621" s="5" t="s">
        <v>30634</v>
      </c>
      <c r="C5621" s="5" t="s">
        <v>30635</v>
      </c>
      <c r="D5621" s="5" t="s">
        <v>30636</v>
      </c>
      <c r="E5621" s="6" t="s">
        <v>24</v>
      </c>
      <c r="F5621" s="6" t="s">
        <v>30637</v>
      </c>
      <c r="G5621" s="3" t="str">
        <f>IFERROR(__xludf.DUMMYFUNCTION("REGEXREPLACE(
D5621,
""([一-龯々]+)\[([^\]]+)\]"",
""&lt;ruby&gt;$1&lt;rt&gt;$2&lt;/rt&gt;&lt;/ruby&gt;""
)&amp;""&lt;br&gt;&lt;div class=""""audio""""&gt;[sound:""&amp;C5621&amp;"".mp3]&lt;/div&gt;"""),"&lt;ruby&gt;葬&lt;rt&gt;ほうむ&lt;/rt&gt;&lt;/ruby&gt;る&lt;br&gt;&lt;div class=""audio""&gt;[sound:ほうむる.mp3]&lt;/div&gt;")</f>
        <v>&lt;ruby&gt;葬&lt;rt&gt;ほうむ&lt;/rt&gt;&lt;/ruby&gt;る&lt;br&gt;&lt;div class="audio"&gt;[sound:ほうむる.mp3]&lt;/div&gt;</v>
      </c>
      <c r="H5621" s="3" t="str">
        <f t="shared" si="1"/>
        <v>(v): mai táng</v>
      </c>
      <c r="I5621" s="6" t="s">
        <v>30638</v>
      </c>
      <c r="J5621" s="6" t="s">
        <v>30639</v>
      </c>
      <c r="K5621" s="7">
        <f t="shared" si="2"/>
        <v>0.2247698094</v>
      </c>
    </row>
    <row r="5622">
      <c r="A5622" s="4">
        <v>5622.0</v>
      </c>
      <c r="B5622" s="5" t="s">
        <v>30640</v>
      </c>
      <c r="C5622" s="5" t="s">
        <v>30641</v>
      </c>
      <c r="D5622" s="5" t="s">
        <v>30642</v>
      </c>
      <c r="E5622" s="6" t="s">
        <v>11</v>
      </c>
      <c r="F5622" s="6" t="s">
        <v>14724</v>
      </c>
      <c r="G5622" s="3" t="str">
        <f>IFERROR(__xludf.DUMMYFUNCTION("REGEXREPLACE(
D5622,
""([一-龯々]+)\[([^\]]+)\]"",
""&lt;ruby&gt;$1&lt;rt&gt;$2&lt;/rt&gt;&lt;/ruby&gt;""
)&amp;""&lt;br&gt;&lt;div class=""""audio""""&gt;[sound:""&amp;C5622&amp;"".mp3]&lt;/div&gt;"""),"&lt;ruby&gt;過密&lt;rt&gt;かみつ&lt;/rt&gt;&lt;/ruby&gt;&lt;br&gt;&lt;div class=""audio""&gt;[sound:かみつ.mp3]&lt;/div&gt;")</f>
        <v>&lt;ruby&gt;過密&lt;rt&gt;かみつ&lt;/rt&gt;&lt;/ruby&gt;&lt;br&gt;&lt;div class="audio"&gt;[sound:かみつ.mp3]&lt;/div&gt;</v>
      </c>
      <c r="H5622" s="3" t="str">
        <f t="shared" si="1"/>
        <v>(adj): đông đúc</v>
      </c>
      <c r="I5622" s="6" t="s">
        <v>30643</v>
      </c>
      <c r="J5622" s="6" t="s">
        <v>30644</v>
      </c>
      <c r="K5622" s="7">
        <f t="shared" si="2"/>
        <v>0.342246285</v>
      </c>
    </row>
    <row r="5623">
      <c r="A5623" s="4">
        <v>5623.0</v>
      </c>
      <c r="B5623" s="5" t="s">
        <v>30645</v>
      </c>
      <c r="C5623" s="5" t="s">
        <v>30646</v>
      </c>
      <c r="D5623" s="5" t="s">
        <v>30647</v>
      </c>
      <c r="E5623" s="6" t="s">
        <v>74</v>
      </c>
      <c r="F5623" s="6" t="s">
        <v>30648</v>
      </c>
      <c r="G5623" s="3" t="str">
        <f>IFERROR(__xludf.DUMMYFUNCTION("REGEXREPLACE(
D5623,
""([一-龯々]+)\[([^\]]+)\]"",
""&lt;ruby&gt;$1&lt;rt&gt;$2&lt;/rt&gt;&lt;/ruby&gt;""
)&amp;""&lt;br&gt;&lt;div class=""""audio""""&gt;[sound:""&amp;C5623&amp;"".mp3]&lt;/div&gt;"""),"&lt;ruby&gt;面目&lt;rt&gt;めんぼく&lt;/rt&gt;&lt;/ruby&gt;&lt;br&gt;&lt;div class=""audio""&gt;[sound:めんぼく.mp3]&lt;/div&gt;")</f>
        <v>&lt;ruby&gt;面目&lt;rt&gt;めんぼく&lt;/rt&gt;&lt;/ruby&gt;&lt;br&gt;&lt;div class="audio"&gt;[sound:めんぼく.mp3]&lt;/div&gt;</v>
      </c>
      <c r="H5623" s="3" t="str">
        <f t="shared" si="1"/>
        <v>(n): thể diện</v>
      </c>
      <c r="I5623" s="6" t="s">
        <v>30649</v>
      </c>
      <c r="J5623" s="6" t="s">
        <v>30650</v>
      </c>
      <c r="K5623" s="7">
        <f t="shared" si="2"/>
        <v>0.4351690854</v>
      </c>
    </row>
    <row r="5624">
      <c r="A5624" s="4">
        <v>5624.0</v>
      </c>
      <c r="B5624" s="5" t="s">
        <v>30651</v>
      </c>
      <c r="C5624" s="5" t="s">
        <v>7060</v>
      </c>
      <c r="D5624" s="5" t="s">
        <v>30652</v>
      </c>
      <c r="E5624" s="6" t="s">
        <v>74</v>
      </c>
      <c r="F5624" s="6" t="s">
        <v>30653</v>
      </c>
      <c r="G5624" s="3" t="str">
        <f>IFERROR(__xludf.DUMMYFUNCTION("REGEXREPLACE(
D5624,
""([一-龯々]+)\[([^\]]+)\]"",
""&lt;ruby&gt;$1&lt;rt&gt;$2&lt;/rt&gt;&lt;/ruby&gt;""
)&amp;""&lt;br&gt;&lt;div class=""""audio""""&gt;[sound:""&amp;C5624&amp;"".mp3]&lt;/div&gt;"""),"&lt;ruby&gt;領海&lt;rt&gt;りょうかい&lt;/rt&gt;&lt;/ruby&gt;&lt;br&gt;&lt;div class=""audio""&gt;[sound:りょうかい.mp3]&lt;/div&gt;")</f>
        <v>&lt;ruby&gt;領海&lt;rt&gt;りょうかい&lt;/rt&gt;&lt;/ruby&gt;&lt;br&gt;&lt;div class="audio"&gt;[sound:りょうかい.mp3]&lt;/div&gt;</v>
      </c>
      <c r="H5624" s="3" t="str">
        <f t="shared" si="1"/>
        <v>(n): lãnh hải</v>
      </c>
      <c r="I5624" s="6" t="s">
        <v>30654</v>
      </c>
      <c r="J5624" s="6" t="s">
        <v>30655</v>
      </c>
      <c r="K5624" s="7">
        <f t="shared" si="2"/>
        <v>0.8528230363</v>
      </c>
    </row>
    <row r="5625">
      <c r="A5625" s="4">
        <v>5625.0</v>
      </c>
      <c r="B5625" s="5" t="s">
        <v>30656</v>
      </c>
      <c r="C5625" s="5" t="s">
        <v>30657</v>
      </c>
      <c r="D5625" s="5" t="s">
        <v>30656</v>
      </c>
      <c r="E5625" s="6" t="s">
        <v>24</v>
      </c>
      <c r="F5625" s="6" t="s">
        <v>30658</v>
      </c>
      <c r="G5625" s="3" t="str">
        <f>IFERROR(__xludf.DUMMYFUNCTION("REGEXREPLACE(
D5625,
""([一-龯々]+)\[([^\]]+)\]"",
""&lt;ruby&gt;$1&lt;rt&gt;$2&lt;/rt&gt;&lt;/ruby&gt;""
)&amp;""&lt;br&gt;&lt;div class=""""audio""""&gt;[sound:""&amp;C5625&amp;"".mp3]&lt;/div&gt;"""),"カムバック&lt;br&gt;&lt;div class=""audio""&gt;[sound:かむばっく.mp3]&lt;/div&gt;")</f>
        <v>カムバック&lt;br&gt;&lt;div class="audio"&gt;[sound:かむばっく.mp3]&lt;/div&gt;</v>
      </c>
      <c r="H5625" s="3" t="str">
        <f t="shared" si="1"/>
        <v>(v): trở lại</v>
      </c>
      <c r="I5625" s="6" t="s">
        <v>30659</v>
      </c>
      <c r="J5625" s="6" t="s">
        <v>30660</v>
      </c>
      <c r="K5625" s="7">
        <f t="shared" si="2"/>
        <v>0.1578649422</v>
      </c>
    </row>
    <row r="5626">
      <c r="A5626" s="4">
        <v>5626.0</v>
      </c>
      <c r="B5626" s="5" t="s">
        <v>30661</v>
      </c>
      <c r="C5626" s="5" t="s">
        <v>30661</v>
      </c>
      <c r="D5626" s="5" t="s">
        <v>30661</v>
      </c>
      <c r="E5626" s="6" t="s">
        <v>24</v>
      </c>
      <c r="F5626" s="6" t="s">
        <v>30662</v>
      </c>
      <c r="G5626" s="3" t="str">
        <f>IFERROR(__xludf.DUMMYFUNCTION("REGEXREPLACE(
D5626,
""([一-龯々]+)\[([^\]]+)\]"",
""&lt;ruby&gt;$1&lt;rt&gt;$2&lt;/rt&gt;&lt;/ruby&gt;""
)&amp;""&lt;br&gt;&lt;div class=""""audio""""&gt;[sound:""&amp;C5626&amp;"".mp3]&lt;/div&gt;"""),"けなす&lt;br&gt;&lt;div class=""audio""&gt;[sound:けなす.mp3]&lt;/div&gt;")</f>
        <v>けなす&lt;br&gt;&lt;div class="audio"&gt;[sound:けなす.mp3]&lt;/div&gt;</v>
      </c>
      <c r="H5626" s="3" t="str">
        <f t="shared" si="1"/>
        <v>(v): chê bai</v>
      </c>
      <c r="I5626" s="6" t="s">
        <v>30663</v>
      </c>
      <c r="J5626" s="6" t="s">
        <v>30664</v>
      </c>
      <c r="K5626" s="7">
        <f t="shared" si="2"/>
        <v>0.6970194901</v>
      </c>
    </row>
    <row r="5627">
      <c r="A5627" s="4">
        <v>5627.0</v>
      </c>
      <c r="B5627" s="5" t="s">
        <v>30665</v>
      </c>
      <c r="C5627" s="5" t="s">
        <v>30665</v>
      </c>
      <c r="D5627" s="5" t="s">
        <v>30665</v>
      </c>
      <c r="E5627" s="6" t="s">
        <v>11</v>
      </c>
      <c r="F5627" s="6" t="s">
        <v>30666</v>
      </c>
      <c r="G5627" s="3" t="str">
        <f>IFERROR(__xludf.DUMMYFUNCTION("REGEXREPLACE(
D5627,
""([一-龯々]+)\[([^\]]+)\]"",
""&lt;ruby&gt;$1&lt;rt&gt;$2&lt;/rt&gt;&lt;/ruby&gt;""
)&amp;""&lt;br&gt;&lt;div class=""""audio""""&gt;[sound:""&amp;C5627&amp;"".mp3]&lt;/div&gt;"""),"しなやか&lt;br&gt;&lt;div class=""audio""&gt;[sound:しなやか.mp3]&lt;/div&gt;")</f>
        <v>しなやか&lt;br&gt;&lt;div class="audio"&gt;[sound:しなやか.mp3]&lt;/div&gt;</v>
      </c>
      <c r="H5627" s="3" t="str">
        <f t="shared" si="1"/>
        <v>(adj): dẻo dai</v>
      </c>
      <c r="I5627" s="6" t="s">
        <v>30667</v>
      </c>
      <c r="J5627" s="6" t="s">
        <v>30668</v>
      </c>
      <c r="K5627" s="7">
        <f t="shared" si="2"/>
        <v>0.4597351001</v>
      </c>
    </row>
    <row r="5628">
      <c r="A5628" s="4">
        <v>5628.0</v>
      </c>
      <c r="B5628" s="5" t="s">
        <v>30669</v>
      </c>
      <c r="C5628" s="5" t="s">
        <v>30669</v>
      </c>
      <c r="D5628" s="5" t="s">
        <v>30669</v>
      </c>
      <c r="E5628" s="6" t="s">
        <v>11</v>
      </c>
      <c r="F5628" s="6" t="s">
        <v>30670</v>
      </c>
      <c r="G5628" s="3" t="str">
        <f>IFERROR(__xludf.DUMMYFUNCTION("REGEXREPLACE(
D5628,
""([一-龯々]+)\[([^\]]+)\]"",
""&lt;ruby&gt;$1&lt;rt&gt;$2&lt;/rt&gt;&lt;/ruby&gt;""
)&amp;""&lt;br&gt;&lt;div class=""""audio""""&gt;[sound:""&amp;C5628&amp;"".mp3]&lt;/div&gt;"""),"ふんだん&lt;br&gt;&lt;div class=""audio""&gt;[sound:ふんだん.mp3]&lt;/div&gt;")</f>
        <v>ふんだん&lt;br&gt;&lt;div class="audio"&gt;[sound:ふんだん.mp3]&lt;/div&gt;</v>
      </c>
      <c r="H5628" s="3" t="str">
        <f t="shared" si="1"/>
        <v>(adj): dồi dào</v>
      </c>
      <c r="I5628" s="6" t="s">
        <v>30671</v>
      </c>
      <c r="J5628" s="6" t="s">
        <v>30672</v>
      </c>
      <c r="K5628" s="7">
        <f t="shared" si="2"/>
        <v>0.2630631873</v>
      </c>
    </row>
    <row r="5629">
      <c r="A5629" s="4">
        <v>5629.0</v>
      </c>
      <c r="B5629" s="5" t="s">
        <v>30673</v>
      </c>
      <c r="C5629" s="5" t="s">
        <v>30673</v>
      </c>
      <c r="D5629" s="5" t="s">
        <v>30673</v>
      </c>
      <c r="E5629" s="6" t="s">
        <v>85</v>
      </c>
      <c r="F5629" s="6" t="s">
        <v>14029</v>
      </c>
      <c r="G5629" s="3" t="str">
        <f>IFERROR(__xludf.DUMMYFUNCTION("REGEXREPLACE(
D5629,
""([一-龯々]+)\[([^\]]+)\]"",
""&lt;ruby&gt;$1&lt;rt&gt;$2&lt;/rt&gt;&lt;/ruby&gt;""
)&amp;""&lt;br&gt;&lt;div class=""""audio""""&gt;[sound:""&amp;C5629&amp;"".mp3]&lt;/div&gt;"""),"ぼつぼつ&lt;br&gt;&lt;div class=""audio""&gt;[sound:ぼつぼつ.mp3]&lt;/div&gt;")</f>
        <v>ぼつぼつ&lt;br&gt;&lt;div class="audio"&gt;[sound:ぼつぼつ.mp3]&lt;/div&gt;</v>
      </c>
      <c r="H5629" s="3" t="str">
        <f t="shared" si="1"/>
        <v>(adv): dần dần</v>
      </c>
      <c r="I5629" s="6" t="s">
        <v>30674</v>
      </c>
      <c r="J5629" s="6" t="s">
        <v>30675</v>
      </c>
      <c r="K5629" s="7">
        <f t="shared" si="2"/>
        <v>0.9979827223</v>
      </c>
    </row>
    <row r="5630">
      <c r="A5630" s="4">
        <v>5630.0</v>
      </c>
      <c r="B5630" s="5" t="s">
        <v>30676</v>
      </c>
      <c r="C5630" s="5" t="s">
        <v>30676</v>
      </c>
      <c r="D5630" s="5" t="s">
        <v>30676</v>
      </c>
      <c r="E5630" s="6" t="s">
        <v>85</v>
      </c>
      <c r="F5630" s="6" t="s">
        <v>5646</v>
      </c>
      <c r="G5630" s="3" t="str">
        <f>IFERROR(__xludf.DUMMYFUNCTION("REGEXREPLACE(
D5630,
""([一-龯々]+)\[([^\]]+)\]"",
""&lt;ruby&gt;$1&lt;rt&gt;$2&lt;/rt&gt;&lt;/ruby&gt;""
)&amp;""&lt;br&gt;&lt;div class=""""audio""""&gt;[sound:""&amp;C5630&amp;"".mp3]&lt;/div&gt;"""),"やけに&lt;br&gt;&lt;div class=""audio""&gt;[sound:やけに.mp3]&lt;/div&gt;")</f>
        <v>やけに&lt;br&gt;&lt;div class="audio"&gt;[sound:やけに.mp3]&lt;/div&gt;</v>
      </c>
      <c r="H5630" s="3" t="str">
        <f t="shared" si="1"/>
        <v>(adv): hết sức</v>
      </c>
      <c r="I5630" s="6" t="s">
        <v>30677</v>
      </c>
      <c r="J5630" s="6" t="s">
        <v>30678</v>
      </c>
      <c r="K5630" s="7">
        <f t="shared" si="2"/>
        <v>0.2823588145</v>
      </c>
    </row>
    <row r="5631">
      <c r="A5631" s="4">
        <v>5631.0</v>
      </c>
      <c r="B5631" s="5" t="s">
        <v>30679</v>
      </c>
      <c r="C5631" s="5" t="s">
        <v>30680</v>
      </c>
      <c r="D5631" s="5" t="s">
        <v>30681</v>
      </c>
      <c r="E5631" s="6" t="s">
        <v>74</v>
      </c>
      <c r="F5631" s="6" t="s">
        <v>30682</v>
      </c>
      <c r="G5631" s="3" t="str">
        <f>IFERROR(__xludf.DUMMYFUNCTION("REGEXREPLACE(
D5631,
""([一-龯々]+)\[([^\]]+)\]"",
""&lt;ruby&gt;$1&lt;rt&gt;$2&lt;/rt&gt;&lt;/ruby&gt;""
)&amp;""&lt;br&gt;&lt;div class=""""audio""""&gt;[sound:""&amp;C5631&amp;"".mp3]&lt;/div&gt;"""),"&lt;ruby&gt;云々&lt;rt&gt;うんぬん&lt;/rt&gt;&lt;/ruby&gt;&lt;br&gt;&lt;div class=""audio""&gt;[sound:うんぬん.mp3]&lt;/div&gt;")</f>
        <v>&lt;ruby&gt;云々&lt;rt&gt;うんぬん&lt;/rt&gt;&lt;/ruby&gt;&lt;br&gt;&lt;div class="audio"&gt;[sound:うんぬん.mp3]&lt;/div&gt;</v>
      </c>
      <c r="H5631" s="3" t="str">
        <f t="shared" si="1"/>
        <v>(n): vân vân</v>
      </c>
      <c r="I5631" s="6" t="s">
        <v>30683</v>
      </c>
      <c r="J5631" s="6" t="s">
        <v>30684</v>
      </c>
      <c r="K5631" s="7">
        <f t="shared" si="2"/>
        <v>0.3992523744</v>
      </c>
    </row>
    <row r="5632">
      <c r="A5632" s="4">
        <v>5632.0</v>
      </c>
      <c r="B5632" s="5" t="s">
        <v>30685</v>
      </c>
      <c r="C5632" s="5" t="s">
        <v>30686</v>
      </c>
      <c r="D5632" s="5" t="s">
        <v>30687</v>
      </c>
      <c r="E5632" s="6" t="s">
        <v>74</v>
      </c>
      <c r="F5632" s="6" t="s">
        <v>30688</v>
      </c>
      <c r="G5632" s="3" t="str">
        <f>IFERROR(__xludf.DUMMYFUNCTION("REGEXREPLACE(
D5632,
""([一-龯々]+)\[([^\]]+)\]"",
""&lt;ruby&gt;$1&lt;rt&gt;$2&lt;/rt&gt;&lt;/ruby&gt;""
)&amp;""&lt;br&gt;&lt;div class=""""audio""""&gt;[sound:""&amp;C5632&amp;"".mp3]&lt;/div&gt;"""),"&lt;ruby&gt;付録&lt;rt&gt;ふろく&lt;/rt&gt;&lt;/ruby&gt;&lt;br&gt;&lt;div class=""audio""&gt;[sound:ふろく.mp3]&lt;/div&gt;")</f>
        <v>&lt;ruby&gt;付録&lt;rt&gt;ふろく&lt;/rt&gt;&lt;/ruby&gt;&lt;br&gt;&lt;div class="audio"&gt;[sound:ふろく.mp3]&lt;/div&gt;</v>
      </c>
      <c r="H5632" s="3" t="str">
        <f t="shared" si="1"/>
        <v>(n): phụ lục</v>
      </c>
      <c r="I5632" s="6" t="s">
        <v>30689</v>
      </c>
      <c r="J5632" s="6" t="s">
        <v>30690</v>
      </c>
      <c r="K5632" s="7">
        <f t="shared" si="2"/>
        <v>0.9683805227</v>
      </c>
    </row>
    <row r="5633">
      <c r="A5633" s="4">
        <v>5633.0</v>
      </c>
      <c r="B5633" s="5" t="s">
        <v>30691</v>
      </c>
      <c r="C5633" s="5" t="s">
        <v>30692</v>
      </c>
      <c r="D5633" s="5" t="s">
        <v>30693</v>
      </c>
      <c r="E5633" s="6" t="s">
        <v>11</v>
      </c>
      <c r="F5633" s="6" t="s">
        <v>30694</v>
      </c>
      <c r="G5633" s="3" t="str">
        <f>IFERROR(__xludf.DUMMYFUNCTION("REGEXREPLACE(
D5633,
""([一-龯々]+)\[([^\]]+)\]"",
""&lt;ruby&gt;$1&lt;rt&gt;$2&lt;/rt&gt;&lt;/ruby&gt;""
)&amp;""&lt;br&gt;&lt;div class=""""audio""""&gt;[sound:""&amp;C5633&amp;"".mp3]&lt;/div&gt;"""),"&lt;ruby&gt;何気&lt;rt&gt;なにげ&lt;/rt&gt;&lt;/ruby&gt;ない&lt;br&gt;&lt;div class=""audio""&gt;[sound:なにげない.mp3]&lt;/div&gt;")</f>
        <v>&lt;ruby&gt;何気&lt;rt&gt;なにげ&lt;/rt&gt;&lt;/ruby&gt;ない&lt;br&gt;&lt;div class="audio"&gt;[sound:なにげない.mp3]&lt;/div&gt;</v>
      </c>
      <c r="H5633" s="3" t="str">
        <f t="shared" si="1"/>
        <v>(adj): vô tình</v>
      </c>
      <c r="I5633" s="6" t="s">
        <v>30695</v>
      </c>
      <c r="J5633" s="6" t="s">
        <v>30696</v>
      </c>
      <c r="K5633" s="7">
        <f t="shared" si="2"/>
        <v>0.8742411937</v>
      </c>
    </row>
    <row r="5634">
      <c r="A5634" s="4">
        <v>5634.0</v>
      </c>
      <c r="B5634" s="5" t="s">
        <v>30697</v>
      </c>
      <c r="C5634" s="5" t="s">
        <v>30698</v>
      </c>
      <c r="D5634" s="5" t="s">
        <v>30699</v>
      </c>
      <c r="E5634" s="6" t="s">
        <v>74</v>
      </c>
      <c r="F5634" s="6" t="s">
        <v>30700</v>
      </c>
      <c r="G5634" s="3" t="str">
        <f>IFERROR(__xludf.DUMMYFUNCTION("REGEXREPLACE(
D5634,
""([一-龯々]+)\[([^\]]+)\]"",
""&lt;ruby&gt;$1&lt;rt&gt;$2&lt;/rt&gt;&lt;/ruby&gt;""
)&amp;""&lt;br&gt;&lt;div class=""""audio""""&gt;[sound:""&amp;C5634&amp;"".mp3]&lt;/div&gt;"""),"&lt;ruby&gt;光沢&lt;rt&gt;こうたく&lt;/rt&gt;&lt;/ruby&gt;&lt;br&gt;&lt;div class=""audio""&gt;[sound:こうたく.mp3]&lt;/div&gt;")</f>
        <v>&lt;ruby&gt;光沢&lt;rt&gt;こうたく&lt;/rt&gt;&lt;/ruby&gt;&lt;br&gt;&lt;div class="audio"&gt;[sound:こうたく.mp3]&lt;/div&gt;</v>
      </c>
      <c r="H5634" s="3" t="str">
        <f t="shared" si="1"/>
        <v>(n): độ bóng</v>
      </c>
      <c r="I5634" s="6" t="s">
        <v>30701</v>
      </c>
      <c r="J5634" s="6" t="s">
        <v>30702</v>
      </c>
      <c r="K5634" s="7">
        <f t="shared" si="2"/>
        <v>0.9692464929</v>
      </c>
    </row>
    <row r="5635">
      <c r="A5635" s="4">
        <v>5635.0</v>
      </c>
      <c r="B5635" s="5" t="s">
        <v>30703</v>
      </c>
      <c r="C5635" s="5" t="s">
        <v>27050</v>
      </c>
      <c r="D5635" s="5" t="s">
        <v>30704</v>
      </c>
      <c r="E5635" s="6" t="s">
        <v>74</v>
      </c>
      <c r="F5635" s="6" t="s">
        <v>30705</v>
      </c>
      <c r="G5635" s="3" t="str">
        <f>IFERROR(__xludf.DUMMYFUNCTION("REGEXREPLACE(
D5635,
""([一-龯々]+)\[([^\]]+)\]"",
""&lt;ruby&gt;$1&lt;rt&gt;$2&lt;/rt&gt;&lt;/ruby&gt;""
)&amp;""&lt;br&gt;&lt;div class=""""audio""""&gt;[sound:""&amp;C5635&amp;"".mp3]&lt;/div&gt;"""),"&lt;ruby&gt;公用&lt;rt&gt;こうよう&lt;/rt&gt;&lt;/ruby&gt;&lt;br&gt;&lt;div class=""audio""&gt;[sound:こうよう.mp3]&lt;/div&gt;")</f>
        <v>&lt;ruby&gt;公用&lt;rt&gt;こうよう&lt;/rt&gt;&lt;/ruby&gt;&lt;br&gt;&lt;div class="audio"&gt;[sound:こうよう.mp3]&lt;/div&gt;</v>
      </c>
      <c r="H5635" s="3" t="str">
        <f t="shared" si="1"/>
        <v>(n): công vụ</v>
      </c>
      <c r="I5635" s="6" t="s">
        <v>30706</v>
      </c>
      <c r="J5635" s="6" t="s">
        <v>30707</v>
      </c>
      <c r="K5635" s="7">
        <f t="shared" si="2"/>
        <v>0.2646355075</v>
      </c>
    </row>
    <row r="5636">
      <c r="A5636" s="4">
        <v>5636.0</v>
      </c>
      <c r="B5636" s="5" t="s">
        <v>30708</v>
      </c>
      <c r="C5636" s="5" t="s">
        <v>30709</v>
      </c>
      <c r="D5636" s="5" t="s">
        <v>30710</v>
      </c>
      <c r="E5636" s="6" t="s">
        <v>74</v>
      </c>
      <c r="F5636" s="6" t="s">
        <v>30711</v>
      </c>
      <c r="G5636" s="3" t="str">
        <f>IFERROR(__xludf.DUMMYFUNCTION("REGEXREPLACE(
D5636,
""([一-龯々]+)\[([^\]]+)\]"",
""&lt;ruby&gt;$1&lt;rt&gt;$2&lt;/rt&gt;&lt;/ruby&gt;""
)&amp;""&lt;br&gt;&lt;div class=""""audio""""&gt;[sound:""&amp;C5636&amp;"".mp3]&lt;/div&gt;"""),"&lt;ruby&gt;内陸&lt;rt&gt;ないりく&lt;/rt&gt;&lt;/ruby&gt;&lt;br&gt;&lt;div class=""audio""&gt;[sound:ないりく.mp3]&lt;/div&gt;")</f>
        <v>&lt;ruby&gt;内陸&lt;rt&gt;ないりく&lt;/rt&gt;&lt;/ruby&gt;&lt;br&gt;&lt;div class="audio"&gt;[sound:ないりく.mp3]&lt;/div&gt;</v>
      </c>
      <c r="H5636" s="3" t="str">
        <f t="shared" si="1"/>
        <v>(n): nội địa</v>
      </c>
      <c r="I5636" s="6" t="s">
        <v>30712</v>
      </c>
      <c r="J5636" s="6" t="s">
        <v>30713</v>
      </c>
      <c r="K5636" s="7">
        <f t="shared" si="2"/>
        <v>0.1860173439</v>
      </c>
    </row>
    <row r="5637">
      <c r="A5637" s="4">
        <v>5637.0</v>
      </c>
      <c r="B5637" s="5" t="s">
        <v>30714</v>
      </c>
      <c r="C5637" s="5" t="s">
        <v>30715</v>
      </c>
      <c r="D5637" s="5" t="s">
        <v>30716</v>
      </c>
      <c r="E5637" s="6" t="s">
        <v>74</v>
      </c>
      <c r="F5637" s="6" t="s">
        <v>30717</v>
      </c>
      <c r="G5637" s="3" t="str">
        <f>IFERROR(__xludf.DUMMYFUNCTION("REGEXREPLACE(
D5637,
""([一-龯々]+)\[([^\]]+)\]"",
""&lt;ruby&gt;$1&lt;rt&gt;$2&lt;/rt&gt;&lt;/ruby&gt;""
)&amp;""&lt;br&gt;&lt;div class=""""audio""""&gt;[sound:""&amp;C5637&amp;"".mp3]&lt;/div&gt;"""),"&lt;ruby&gt;初耳&lt;rt&gt;はつみみ&lt;/rt&gt;&lt;/ruby&gt;&lt;br&gt;&lt;div class=""audio""&gt;[sound:はつみみ.mp3]&lt;/div&gt;")</f>
        <v>&lt;ruby&gt;初耳&lt;rt&gt;はつみみ&lt;/rt&gt;&lt;/ruby&gt;&lt;br&gt;&lt;div class="audio"&gt;[sound:はつみみ.mp3]&lt;/div&gt;</v>
      </c>
      <c r="H5637" s="3" t="str">
        <f t="shared" si="1"/>
        <v>(n): tin mới</v>
      </c>
      <c r="I5637" s="6" t="s">
        <v>30718</v>
      </c>
      <c r="J5637" s="6" t="s">
        <v>30719</v>
      </c>
      <c r="K5637" s="7">
        <f t="shared" si="2"/>
        <v>0.7124163111</v>
      </c>
    </row>
    <row r="5638">
      <c r="A5638" s="4">
        <v>5638.0</v>
      </c>
      <c r="B5638" s="5" t="s">
        <v>30720</v>
      </c>
      <c r="C5638" s="5" t="s">
        <v>30721</v>
      </c>
      <c r="D5638" s="5" t="s">
        <v>30722</v>
      </c>
      <c r="E5638" s="6" t="s">
        <v>74</v>
      </c>
      <c r="F5638" s="6" t="s">
        <v>23304</v>
      </c>
      <c r="G5638" s="3" t="str">
        <f>IFERROR(__xludf.DUMMYFUNCTION("REGEXREPLACE(
D5638,
""([一-龯々]+)\[([^\]]+)\]"",
""&lt;ruby&gt;$1&lt;rt&gt;$2&lt;/rt&gt;&lt;/ruby&gt;""
)&amp;""&lt;br&gt;&lt;div class=""""audio""""&gt;[sound:""&amp;C5638&amp;"".mp3]&lt;/div&gt;"""),"&lt;ruby&gt;名産&lt;rt&gt;めいさん&lt;/rt&gt;&lt;/ruby&gt;&lt;br&gt;&lt;div class=""audio""&gt;[sound:めいさん.mp3]&lt;/div&gt;")</f>
        <v>&lt;ruby&gt;名産&lt;rt&gt;めいさん&lt;/rt&gt;&lt;/ruby&gt;&lt;br&gt;&lt;div class="audio"&gt;[sound:めいさん.mp3]&lt;/div&gt;</v>
      </c>
      <c r="H5638" s="3" t="str">
        <f t="shared" si="1"/>
        <v>(n): đặc sản</v>
      </c>
      <c r="I5638" s="6" t="s">
        <v>30723</v>
      </c>
      <c r="J5638" s="6" t="s">
        <v>30724</v>
      </c>
      <c r="K5638" s="7">
        <f t="shared" si="2"/>
        <v>0.4231460218</v>
      </c>
    </row>
    <row r="5639">
      <c r="A5639" s="4">
        <v>5639.0</v>
      </c>
      <c r="B5639" s="5" t="s">
        <v>30725</v>
      </c>
      <c r="C5639" s="5" t="s">
        <v>30726</v>
      </c>
      <c r="D5639" s="5" t="s">
        <v>30727</v>
      </c>
      <c r="E5639" s="6" t="s">
        <v>24</v>
      </c>
      <c r="F5639" s="6" t="s">
        <v>30728</v>
      </c>
      <c r="G5639" s="3" t="str">
        <f>IFERROR(__xludf.DUMMYFUNCTION("REGEXREPLACE(
D5639,
""([一-龯々]+)\[([^\]]+)\]"",
""&lt;ruby&gt;$1&lt;rt&gt;$2&lt;/rt&gt;&lt;/ruby&gt;""
)&amp;""&lt;br&gt;&lt;div class=""""audio""""&gt;[sound:""&amp;C5639&amp;"".mp3]&lt;/div&gt;"""),"&lt;ruby&gt;噛&lt;rt&gt;か&lt;/rt&gt;&lt;/ruby&gt;み&lt;ruby&gt;切&lt;rt&gt;き&lt;/rt&gt;&lt;/ruby&gt;る&lt;br&gt;&lt;div class=""audio""&gt;[sound:かみきる.mp3]&lt;/div&gt;")</f>
        <v>&lt;ruby&gt;噛&lt;rt&gt;か&lt;/rt&gt;&lt;/ruby&gt;み&lt;ruby&gt;切&lt;rt&gt;き&lt;/rt&gt;&lt;/ruby&gt;る&lt;br&gt;&lt;div class="audio"&gt;[sound:かみきる.mp3]&lt;/div&gt;</v>
      </c>
      <c r="H5639" s="3" t="str">
        <f t="shared" si="1"/>
        <v>(v): cắn đứt</v>
      </c>
      <c r="I5639" s="6" t="s">
        <v>30729</v>
      </c>
      <c r="J5639" s="6" t="s">
        <v>30730</v>
      </c>
      <c r="K5639" s="7">
        <f t="shared" si="2"/>
        <v>0.9822642956</v>
      </c>
    </row>
    <row r="5640">
      <c r="A5640" s="4">
        <v>5640.0</v>
      </c>
      <c r="B5640" s="5" t="s">
        <v>30731</v>
      </c>
      <c r="C5640" s="5" t="s">
        <v>30732</v>
      </c>
      <c r="D5640" s="5" t="s">
        <v>30733</v>
      </c>
      <c r="E5640" s="6" t="s">
        <v>24</v>
      </c>
      <c r="F5640" s="6" t="s">
        <v>30734</v>
      </c>
      <c r="G5640" s="3" t="str">
        <f>IFERROR(__xludf.DUMMYFUNCTION("REGEXREPLACE(
D5640,
""([一-龯々]+)\[([^\]]+)\]"",
""&lt;ruby&gt;$1&lt;rt&gt;$2&lt;/rt&gt;&lt;/ruby&gt;""
)&amp;""&lt;br&gt;&lt;div class=""""audio""""&gt;[sound:""&amp;C5640&amp;"".mp3]&lt;/div&gt;"""),"&lt;ruby&gt;奉&lt;rt&gt;たてまつ&lt;/rt&gt;&lt;/ruby&gt;る&lt;br&gt;&lt;div class=""audio""&gt;[sound:たてまつる.mp3]&lt;/div&gt;")</f>
        <v>&lt;ruby&gt;奉&lt;rt&gt;たてまつ&lt;/rt&gt;&lt;/ruby&gt;る&lt;br&gt;&lt;div class="audio"&gt;[sound:たてまつる.mp3]&lt;/div&gt;</v>
      </c>
      <c r="H5640" s="3" t="str">
        <f t="shared" si="1"/>
        <v>(v): tôn thờ</v>
      </c>
      <c r="I5640" s="6" t="s">
        <v>30735</v>
      </c>
      <c r="J5640" s="6" t="s">
        <v>30736</v>
      </c>
      <c r="K5640" s="7">
        <f t="shared" si="2"/>
        <v>0.2678247052</v>
      </c>
    </row>
    <row r="5641">
      <c r="A5641" s="4">
        <v>5641.0</v>
      </c>
      <c r="B5641" s="5" t="s">
        <v>30737</v>
      </c>
      <c r="C5641" s="5" t="s">
        <v>30738</v>
      </c>
      <c r="D5641" s="5" t="s">
        <v>30739</v>
      </c>
      <c r="E5641" s="6" t="s">
        <v>74</v>
      </c>
      <c r="F5641" s="6" t="s">
        <v>30740</v>
      </c>
      <c r="G5641" s="3" t="str">
        <f>IFERROR(__xludf.DUMMYFUNCTION("REGEXREPLACE(
D5641,
""([一-龯々]+)\[([^\]]+)\]"",
""&lt;ruby&gt;$1&lt;rt&gt;$2&lt;/rt&gt;&lt;/ruby&gt;""
)&amp;""&lt;br&gt;&lt;div class=""""audio""""&gt;[sound:""&amp;C5641&amp;"".mp3]&lt;/div&gt;"""),"&lt;ruby&gt;学士&lt;rt&gt;がくし&lt;/rt&gt;&lt;/ruby&gt;&lt;br&gt;&lt;div class=""audio""&gt;[sound:がくし.mp3]&lt;/div&gt;")</f>
        <v>&lt;ruby&gt;学士&lt;rt&gt;がくし&lt;/rt&gt;&lt;/ruby&gt;&lt;br&gt;&lt;div class="audio"&gt;[sound:がくし.mp3]&lt;/div&gt;</v>
      </c>
      <c r="H5641" s="3" t="str">
        <f t="shared" si="1"/>
        <v>(n): cử nhân</v>
      </c>
      <c r="I5641" s="6" t="s">
        <v>30741</v>
      </c>
      <c r="J5641" s="6" t="s">
        <v>30742</v>
      </c>
      <c r="K5641" s="7">
        <f t="shared" si="2"/>
        <v>0.2624002213</v>
      </c>
    </row>
    <row r="5642">
      <c r="A5642" s="4">
        <v>5642.0</v>
      </c>
      <c r="B5642" s="5" t="s">
        <v>30743</v>
      </c>
      <c r="C5642" s="5" t="s">
        <v>30744</v>
      </c>
      <c r="D5642" s="5" t="s">
        <v>30745</v>
      </c>
      <c r="E5642" s="6" t="s">
        <v>74</v>
      </c>
      <c r="F5642" s="6" t="s">
        <v>30746</v>
      </c>
      <c r="G5642" s="3" t="str">
        <f>IFERROR(__xludf.DUMMYFUNCTION("REGEXREPLACE(
D5642,
""([一-龯々]+)\[([^\]]+)\]"",
""&lt;ruby&gt;$1&lt;rt&gt;$2&lt;/rt&gt;&lt;/ruby&gt;""
)&amp;""&lt;br&gt;&lt;div class=""""audio""""&gt;[sound:""&amp;C5642&amp;"".mp3]&lt;/div&gt;"""),"&lt;ruby&gt;死刑&lt;rt&gt;しけい&lt;/rt&gt;&lt;/ruby&gt;&lt;br&gt;&lt;div class=""audio""&gt;[sound:しけい.mp3]&lt;/div&gt;")</f>
        <v>&lt;ruby&gt;死刑&lt;rt&gt;しけい&lt;/rt&gt;&lt;/ruby&gt;&lt;br&gt;&lt;div class="audio"&gt;[sound:しけい.mp3]&lt;/div&gt;</v>
      </c>
      <c r="H5642" s="3" t="str">
        <f t="shared" si="1"/>
        <v>(n): tử hình</v>
      </c>
      <c r="I5642" s="6" t="s">
        <v>30747</v>
      </c>
      <c r="J5642" s="6" t="s">
        <v>30748</v>
      </c>
      <c r="K5642" s="7">
        <f t="shared" si="2"/>
        <v>0.2179779565</v>
      </c>
    </row>
    <row r="5643">
      <c r="A5643" s="4">
        <v>5643.0</v>
      </c>
      <c r="B5643" s="5" t="s">
        <v>30749</v>
      </c>
      <c r="C5643" s="5" t="s">
        <v>30750</v>
      </c>
      <c r="D5643" s="5" t="s">
        <v>30751</v>
      </c>
      <c r="E5643" s="6" t="s">
        <v>74</v>
      </c>
      <c r="F5643" s="6" t="s">
        <v>30752</v>
      </c>
      <c r="G5643" s="3" t="str">
        <f>IFERROR(__xludf.DUMMYFUNCTION("REGEXREPLACE(
D5643,
""([一-龯々]+)\[([^\]]+)\]"",
""&lt;ruby&gt;$1&lt;rt&gt;$2&lt;/rt&gt;&lt;/ruby&gt;""
)&amp;""&lt;br&gt;&lt;div class=""""audio""""&gt;[sound:""&amp;C5643&amp;"".mp3]&lt;/div&gt;"""),"&lt;ruby&gt;流&lt;rt&gt;なが&lt;/rt&gt;&lt;/ruby&gt;し&lt;br&gt;&lt;div class=""audio""&gt;[sound:ながし.mp3]&lt;/div&gt;")</f>
        <v>&lt;ruby&gt;流&lt;rt&gt;なが&lt;/rt&gt;&lt;/ruby&gt;し&lt;br&gt;&lt;div class="audio"&gt;[sound:ながし.mp3]&lt;/div&gt;</v>
      </c>
      <c r="H5643" s="3" t="str">
        <f t="shared" si="1"/>
        <v>(n): bồn rửa</v>
      </c>
      <c r="I5643" s="6" t="s">
        <v>30753</v>
      </c>
      <c r="J5643" s="6" t="s">
        <v>30754</v>
      </c>
      <c r="K5643" s="7">
        <f t="shared" si="2"/>
        <v>0.5772900571</v>
      </c>
    </row>
    <row r="5644">
      <c r="A5644" s="4">
        <v>5644.0</v>
      </c>
      <c r="B5644" s="5" t="s">
        <v>30755</v>
      </c>
      <c r="C5644" s="5" t="s">
        <v>30756</v>
      </c>
      <c r="D5644" s="5" t="s">
        <v>30757</v>
      </c>
      <c r="E5644" s="6" t="s">
        <v>24</v>
      </c>
      <c r="F5644" s="6" t="s">
        <v>19800</v>
      </c>
      <c r="G5644" s="3" t="str">
        <f>IFERROR(__xludf.DUMMYFUNCTION("REGEXREPLACE(
D5644,
""([一-龯々]+)\[([^\]]+)\]"",
""&lt;ruby&gt;$1&lt;rt&gt;$2&lt;/rt&gt;&lt;/ruby&gt;""
)&amp;""&lt;br&gt;&lt;div class=""""audio""""&gt;[sound:""&amp;C5644&amp;"".mp3]&lt;/div&gt;"""),"&lt;ruby&gt;滞&lt;rt&gt;とどこお&lt;/rt&gt;&lt;/ruby&gt;る&lt;br&gt;&lt;div class=""audio""&gt;[sound:とどこおる.mp3]&lt;/div&gt;")</f>
        <v>&lt;ruby&gt;滞&lt;rt&gt;とどこお&lt;/rt&gt;&lt;/ruby&gt;る&lt;br&gt;&lt;div class="audio"&gt;[sound:とどこおる.mp3]&lt;/div&gt;</v>
      </c>
      <c r="H5644" s="3" t="str">
        <f t="shared" si="1"/>
        <v>(v): trì trệ</v>
      </c>
      <c r="I5644" s="6" t="s">
        <v>30758</v>
      </c>
      <c r="J5644" s="6" t="s">
        <v>30759</v>
      </c>
      <c r="K5644" s="7">
        <f t="shared" si="2"/>
        <v>0.1492283342</v>
      </c>
    </row>
    <row r="5645">
      <c r="A5645" s="4">
        <v>5645.0</v>
      </c>
      <c r="B5645" s="5" t="s">
        <v>30760</v>
      </c>
      <c r="C5645" s="5" t="s">
        <v>30761</v>
      </c>
      <c r="D5645" s="5" t="s">
        <v>30762</v>
      </c>
      <c r="E5645" s="6" t="s">
        <v>74</v>
      </c>
      <c r="F5645" s="6" t="s">
        <v>30763</v>
      </c>
      <c r="G5645" s="3" t="str">
        <f>IFERROR(__xludf.DUMMYFUNCTION("REGEXREPLACE(
D5645,
""([一-龯々]+)\[([^\]]+)\]"",
""&lt;ruby&gt;$1&lt;rt&gt;$2&lt;/rt&gt;&lt;/ruby&gt;""
)&amp;""&lt;br&gt;&lt;div class=""""audio""""&gt;[sound:""&amp;C5645&amp;"".mp3]&lt;/div&gt;"""),"&lt;ruby&gt;無用&lt;rt&gt;むよう&lt;/rt&gt;&lt;/ruby&gt;&lt;br&gt;&lt;div class=""audio""&gt;[sound:むよう.mp3]&lt;/div&gt;")</f>
        <v>&lt;ruby&gt;無用&lt;rt&gt;むよう&lt;/rt&gt;&lt;/ruby&gt;&lt;br&gt;&lt;div class="audio"&gt;[sound:むよう.mp3]&lt;/div&gt;</v>
      </c>
      <c r="H5645" s="3" t="str">
        <f t="shared" si="1"/>
        <v>(n): vô dụng</v>
      </c>
      <c r="I5645" s="6" t="s">
        <v>30764</v>
      </c>
      <c r="J5645" s="6" t="s">
        <v>30765</v>
      </c>
      <c r="K5645" s="7">
        <f t="shared" si="2"/>
        <v>0.02992319478</v>
      </c>
    </row>
    <row r="5646">
      <c r="A5646" s="4">
        <v>5646.0</v>
      </c>
      <c r="B5646" s="5" t="s">
        <v>30766</v>
      </c>
      <c r="C5646" s="5" t="s">
        <v>30767</v>
      </c>
      <c r="D5646" s="5" t="s">
        <v>30768</v>
      </c>
      <c r="E5646" s="6" t="s">
        <v>24</v>
      </c>
      <c r="F5646" s="6" t="s">
        <v>30769</v>
      </c>
      <c r="G5646" s="3" t="str">
        <f>IFERROR(__xludf.DUMMYFUNCTION("REGEXREPLACE(
D5646,
""([一-龯々]+)\[([^\]]+)\]"",
""&lt;ruby&gt;$1&lt;rt&gt;$2&lt;/rt&gt;&lt;/ruby&gt;""
)&amp;""&lt;br&gt;&lt;div class=""""audio""""&gt;[sound:""&amp;C5646&amp;"".mp3]&lt;/div&gt;"""),"&lt;ruby&gt;申&lt;rt&gt;もう&lt;/rt&gt;&lt;/ruby&gt;し&lt;ruby&gt;入&lt;rt&gt;い&lt;/rt&gt;&lt;/ruby&gt;れる&lt;br&gt;&lt;div class=""audio""&gt;[sound:もうしいれる.mp3]&lt;/div&gt;")</f>
        <v>&lt;ruby&gt;申&lt;rt&gt;もう&lt;/rt&gt;&lt;/ruby&gt;し&lt;ruby&gt;入&lt;rt&gt;い&lt;/rt&gt;&lt;/ruby&gt;れる&lt;br&gt;&lt;div class="audio"&gt;[sound:もうしいれる.mp3]&lt;/div&gt;</v>
      </c>
      <c r="H5646" s="3" t="str">
        <f t="shared" si="1"/>
        <v>(v): đề nghị</v>
      </c>
      <c r="I5646" s="6" t="s">
        <v>30770</v>
      </c>
      <c r="J5646" s="6" t="s">
        <v>30771</v>
      </c>
      <c r="K5646" s="7">
        <f t="shared" si="2"/>
        <v>0.812313838</v>
      </c>
    </row>
    <row r="5647">
      <c r="A5647" s="4">
        <v>5647.0</v>
      </c>
      <c r="B5647" s="5" t="s">
        <v>30772</v>
      </c>
      <c r="C5647" s="5" t="s">
        <v>30773</v>
      </c>
      <c r="D5647" s="5" t="s">
        <v>30774</v>
      </c>
      <c r="E5647" s="6" t="s">
        <v>74</v>
      </c>
      <c r="F5647" s="6" t="s">
        <v>23931</v>
      </c>
      <c r="G5647" s="3" t="str">
        <f>IFERROR(__xludf.DUMMYFUNCTION("REGEXREPLACE(
D5647,
""([一-龯々]+)\[([^\]]+)\]"",
""&lt;ruby&gt;$1&lt;rt&gt;$2&lt;/rt&gt;&lt;/ruby&gt;""
)&amp;""&lt;br&gt;&lt;div class=""""audio""""&gt;[sound:""&amp;C5647&amp;"".mp3]&lt;/div&gt;"""),"&lt;ruby&gt;矢&lt;rt&gt;や&lt;/rt&gt;&lt;/ruby&gt;&lt;br&gt;&lt;div class=""audio""&gt;[sound:や.mp3]&lt;/div&gt;")</f>
        <v>&lt;ruby&gt;矢&lt;rt&gt;や&lt;/rt&gt;&lt;/ruby&gt;&lt;br&gt;&lt;div class="audio"&gt;[sound:や.mp3]&lt;/div&gt;</v>
      </c>
      <c r="H5647" s="3" t="str">
        <f t="shared" si="1"/>
        <v>(n): mũi tên</v>
      </c>
      <c r="I5647" s="6" t="s">
        <v>30775</v>
      </c>
      <c r="J5647" s="6" t="s">
        <v>30776</v>
      </c>
      <c r="K5647" s="7">
        <f t="shared" si="2"/>
        <v>0.1676538308</v>
      </c>
    </row>
    <row r="5648">
      <c r="A5648" s="4">
        <v>5648.0</v>
      </c>
      <c r="B5648" s="5" t="s">
        <v>30777</v>
      </c>
      <c r="C5648" s="5" t="s">
        <v>30778</v>
      </c>
      <c r="D5648" s="5" t="s">
        <v>30779</v>
      </c>
      <c r="E5648" s="6" t="s">
        <v>74</v>
      </c>
      <c r="F5648" s="6" t="s">
        <v>30780</v>
      </c>
      <c r="G5648" s="3" t="str">
        <f>IFERROR(__xludf.DUMMYFUNCTION("REGEXREPLACE(
D5648,
""([一-龯々]+)\[([^\]]+)\]"",
""&lt;ruby&gt;$1&lt;rt&gt;$2&lt;/rt&gt;&lt;/ruby&gt;""
)&amp;""&lt;br&gt;&lt;div class=""""audio""""&gt;[sound:""&amp;C5648&amp;"".mp3]&lt;/div&gt;"""),"&lt;ruby&gt;紳士&lt;rt&gt;しんし&lt;/rt&gt;&lt;/ruby&gt;&lt;br&gt;&lt;div class=""audio""&gt;[sound:しんし.mp3]&lt;/div&gt;")</f>
        <v>&lt;ruby&gt;紳士&lt;rt&gt;しんし&lt;/rt&gt;&lt;/ruby&gt;&lt;br&gt;&lt;div class="audio"&gt;[sound:しんし.mp3]&lt;/div&gt;</v>
      </c>
      <c r="H5648" s="3" t="str">
        <f t="shared" si="1"/>
        <v>(n): quý ông</v>
      </c>
      <c r="I5648" s="6" t="s">
        <v>30781</v>
      </c>
      <c r="J5648" s="6" t="s">
        <v>30782</v>
      </c>
      <c r="K5648" s="7">
        <f t="shared" si="2"/>
        <v>0.3453032647</v>
      </c>
    </row>
    <row r="5649">
      <c r="A5649" s="4">
        <v>5649.0</v>
      </c>
      <c r="B5649" s="5" t="s">
        <v>30783</v>
      </c>
      <c r="C5649" s="5" t="s">
        <v>30784</v>
      </c>
      <c r="D5649" s="5" t="s">
        <v>30785</v>
      </c>
      <c r="E5649" s="6" t="s">
        <v>74</v>
      </c>
      <c r="F5649" s="6" t="s">
        <v>7392</v>
      </c>
      <c r="G5649" s="3" t="str">
        <f>IFERROR(__xludf.DUMMYFUNCTION("REGEXREPLACE(
D5649,
""([一-龯々]+)\[([^\]]+)\]"",
""&lt;ruby&gt;$1&lt;rt&gt;$2&lt;/rt&gt;&lt;/ruby&gt;""
)&amp;""&lt;br&gt;&lt;div class=""""audio""""&gt;[sound:""&amp;C5649&amp;"".mp3]&lt;/div&gt;"""),"&lt;ruby&gt;経歴&lt;rt&gt;けいれき&lt;/rt&gt;&lt;/ruby&gt;&lt;br&gt;&lt;div class=""audio""&gt;[sound:けいれき.mp3]&lt;/div&gt;")</f>
        <v>&lt;ruby&gt;経歴&lt;rt&gt;けいれき&lt;/rt&gt;&lt;/ruby&gt;&lt;br&gt;&lt;div class="audio"&gt;[sound:けいれき.mp3]&lt;/div&gt;</v>
      </c>
      <c r="H5649" s="3" t="str">
        <f t="shared" si="1"/>
        <v>(n): lý lịch</v>
      </c>
      <c r="I5649" s="6" t="s">
        <v>30786</v>
      </c>
      <c r="J5649" s="6" t="s">
        <v>30787</v>
      </c>
      <c r="K5649" s="7">
        <f t="shared" si="2"/>
        <v>0.2528282093</v>
      </c>
    </row>
    <row r="5650">
      <c r="A5650" s="4">
        <v>5650.0</v>
      </c>
      <c r="B5650" s="5" t="s">
        <v>30788</v>
      </c>
      <c r="C5650" s="5" t="s">
        <v>30789</v>
      </c>
      <c r="D5650" s="5" t="s">
        <v>30790</v>
      </c>
      <c r="E5650" s="6" t="s">
        <v>74</v>
      </c>
      <c r="F5650" s="6" t="s">
        <v>30791</v>
      </c>
      <c r="G5650" s="3" t="str">
        <f>IFERROR(__xludf.DUMMYFUNCTION("REGEXREPLACE(
D5650,
""([一-龯々]+)\[([^\]]+)\]"",
""&lt;ruby&gt;$1&lt;rt&gt;$2&lt;/rt&gt;&lt;/ruby&gt;""
)&amp;""&lt;br&gt;&lt;div class=""""audio""""&gt;[sound:""&amp;C5650&amp;"".mp3]&lt;/div&gt;"""),"&lt;ruby&gt;賭&lt;rt&gt;かけ&lt;/rt&gt;&lt;/ruby&gt;&lt;br&gt;&lt;div class=""audio""&gt;[sound:かけ.mp3]&lt;/div&gt;")</f>
        <v>&lt;ruby&gt;賭&lt;rt&gt;かけ&lt;/rt&gt;&lt;/ruby&gt;&lt;br&gt;&lt;div class="audio"&gt;[sound:かけ.mp3]&lt;/div&gt;</v>
      </c>
      <c r="H5650" s="3" t="str">
        <f t="shared" si="1"/>
        <v>(n): cá cược</v>
      </c>
      <c r="I5650" s="6" t="s">
        <v>30792</v>
      </c>
      <c r="J5650" s="6" t="s">
        <v>30793</v>
      </c>
      <c r="K5650" s="7">
        <f t="shared" si="2"/>
        <v>0.2587900059</v>
      </c>
    </row>
    <row r="5651">
      <c r="A5651" s="4">
        <v>5651.0</v>
      </c>
      <c r="B5651" s="5" t="s">
        <v>30794</v>
      </c>
      <c r="C5651" s="5" t="s">
        <v>30795</v>
      </c>
      <c r="D5651" s="5" t="s">
        <v>30796</v>
      </c>
      <c r="E5651" s="6" t="s">
        <v>74</v>
      </c>
      <c r="F5651" s="6" t="s">
        <v>30797</v>
      </c>
      <c r="G5651" s="3" t="str">
        <f>IFERROR(__xludf.DUMMYFUNCTION("REGEXREPLACE(
D5651,
""([一-龯々]+)\[([^\]]+)\]"",
""&lt;ruby&gt;$1&lt;rt&gt;$2&lt;/rt&gt;&lt;/ruby&gt;""
)&amp;""&lt;br&gt;&lt;div class=""""audio""""&gt;[sound:""&amp;C5651&amp;"".mp3]&lt;/div&gt;"""),"&lt;ruby&gt;過労&lt;rt&gt;かろう&lt;/rt&gt;&lt;/ruby&gt;&lt;br&gt;&lt;div class=""audio""&gt;[sound:かろう.mp3]&lt;/div&gt;")</f>
        <v>&lt;ruby&gt;過労&lt;rt&gt;かろう&lt;/rt&gt;&lt;/ruby&gt;&lt;br&gt;&lt;div class="audio"&gt;[sound:かろう.mp3]&lt;/div&gt;</v>
      </c>
      <c r="H5651" s="3" t="str">
        <f t="shared" si="1"/>
        <v>(n): quá sức</v>
      </c>
      <c r="I5651" s="6" t="s">
        <v>30798</v>
      </c>
      <c r="J5651" s="6" t="s">
        <v>30799</v>
      </c>
      <c r="K5651" s="7">
        <f t="shared" si="2"/>
        <v>0.9896723245</v>
      </c>
    </row>
    <row r="5652">
      <c r="A5652" s="4">
        <v>5652.0</v>
      </c>
      <c r="B5652" s="5" t="s">
        <v>30800</v>
      </c>
      <c r="C5652" s="5" t="s">
        <v>30801</v>
      </c>
      <c r="D5652" s="5" t="s">
        <v>30802</v>
      </c>
      <c r="E5652" s="6" t="s">
        <v>74</v>
      </c>
      <c r="F5652" s="6" t="s">
        <v>9093</v>
      </c>
      <c r="G5652" s="3" t="str">
        <f>IFERROR(__xludf.DUMMYFUNCTION("REGEXREPLACE(
D5652,
""([一-龯々]+)\[([^\]]+)\]"",
""&lt;ruby&gt;$1&lt;rt&gt;$2&lt;/rt&gt;&lt;/ruby&gt;""
)&amp;""&lt;br&gt;&lt;div class=""""audio""""&gt;[sound:""&amp;C5652&amp;"".mp3]&lt;/div&gt;"""),"&lt;ruby&gt;錯誤&lt;rt&gt;さくご&lt;/rt&gt;&lt;/ruby&gt;&lt;br&gt;&lt;div class=""audio""&gt;[sound:さくご.mp3]&lt;/div&gt;")</f>
        <v>&lt;ruby&gt;錯誤&lt;rt&gt;さくご&lt;/rt&gt;&lt;/ruby&gt;&lt;br&gt;&lt;div class="audio"&gt;[sound:さくご.mp3]&lt;/div&gt;</v>
      </c>
      <c r="H5652" s="3" t="str">
        <f t="shared" si="1"/>
        <v>(n): sai lầm</v>
      </c>
      <c r="I5652" s="6" t="s">
        <v>30803</v>
      </c>
      <c r="J5652" s="6" t="s">
        <v>30804</v>
      </c>
      <c r="K5652" s="7">
        <f t="shared" si="2"/>
        <v>0.07443186558</v>
      </c>
    </row>
    <row r="5653">
      <c r="A5653" s="4">
        <v>5653.0</v>
      </c>
      <c r="B5653" s="5" t="s">
        <v>30805</v>
      </c>
      <c r="C5653" s="5" t="s">
        <v>30806</v>
      </c>
      <c r="D5653" s="5" t="s">
        <v>30807</v>
      </c>
      <c r="E5653" s="6" t="s">
        <v>11</v>
      </c>
      <c r="F5653" s="6" t="s">
        <v>2848</v>
      </c>
      <c r="G5653" s="3" t="str">
        <f>IFERROR(__xludf.DUMMYFUNCTION("REGEXREPLACE(
D5653,
""([一-龯々]+)\[([^\]]+)\]"",
""&lt;ruby&gt;$1&lt;rt&gt;$2&lt;/rt&gt;&lt;/ruby&gt;""
)&amp;""&lt;br&gt;&lt;div class=""""audio""""&gt;[sound:""&amp;C5653&amp;"".mp3]&lt;/div&gt;"""),"&lt;ruby&gt;露骨&lt;rt&gt;ろこつ&lt;/rt&gt;&lt;/ruby&gt;&lt;br&gt;&lt;div class=""audio""&gt;[sound:ろこつ.mp3]&lt;/div&gt;")</f>
        <v>&lt;ruby&gt;露骨&lt;rt&gt;ろこつ&lt;/rt&gt;&lt;/ruby&gt;&lt;br&gt;&lt;div class="audio"&gt;[sound:ろこつ.mp3]&lt;/div&gt;</v>
      </c>
      <c r="H5653" s="3" t="str">
        <f t="shared" si="1"/>
        <v>(adj): rõ ràng</v>
      </c>
      <c r="I5653" s="6" t="s">
        <v>30808</v>
      </c>
      <c r="J5653" s="6" t="s">
        <v>30809</v>
      </c>
      <c r="K5653" s="7">
        <f t="shared" si="2"/>
        <v>0.8873829984</v>
      </c>
    </row>
    <row r="5654">
      <c r="A5654" s="4">
        <v>5654.0</v>
      </c>
      <c r="B5654" s="5" t="s">
        <v>30810</v>
      </c>
      <c r="C5654" s="5" t="s">
        <v>30811</v>
      </c>
      <c r="D5654" s="5" t="s">
        <v>30812</v>
      </c>
      <c r="E5654" s="6" t="s">
        <v>74</v>
      </c>
      <c r="F5654" s="6" t="s">
        <v>4975</v>
      </c>
      <c r="G5654" s="3" t="str">
        <f>IFERROR(__xludf.DUMMYFUNCTION("REGEXREPLACE(
D5654,
""([一-龯々]+)\[([^\]]+)\]"",
""&lt;ruby&gt;$1&lt;rt&gt;$2&lt;/rt&gt;&lt;/ruby&gt;""
)&amp;""&lt;br&gt;&lt;div class=""""audio""""&gt;[sound:""&amp;C5654&amp;"".mp3]&lt;/div&gt;"""),"&lt;ruby&gt;領地&lt;rt&gt;りょうち&lt;/rt&gt;&lt;/ruby&gt;&lt;br&gt;&lt;div class=""audio""&gt;[sound:りょうち.mp3]&lt;/div&gt;")</f>
        <v>&lt;ruby&gt;領地&lt;rt&gt;りょうち&lt;/rt&gt;&lt;/ruby&gt;&lt;br&gt;&lt;div class="audio"&gt;[sound:りょうち.mp3]&lt;/div&gt;</v>
      </c>
      <c r="H5654" s="3" t="str">
        <f t="shared" si="1"/>
        <v>(n): đất đai</v>
      </c>
      <c r="I5654" s="6" t="s">
        <v>30813</v>
      </c>
      <c r="J5654" s="6" t="s">
        <v>30814</v>
      </c>
      <c r="K5654" s="7">
        <f t="shared" si="2"/>
        <v>0.6632517391</v>
      </c>
    </row>
    <row r="5655">
      <c r="A5655" s="4">
        <v>5655.0</v>
      </c>
      <c r="B5655" s="5" t="s">
        <v>30815</v>
      </c>
      <c r="C5655" s="5" t="s">
        <v>30815</v>
      </c>
      <c r="D5655" s="5" t="s">
        <v>30815</v>
      </c>
      <c r="E5655" s="6" t="s">
        <v>90</v>
      </c>
      <c r="F5655" s="6" t="s">
        <v>1089</v>
      </c>
      <c r="G5655" s="3" t="str">
        <f>IFERROR(__xludf.DUMMYFUNCTION("REGEXREPLACE(
D5655,
""([一-龯々]+)\[([^\]]+)\]"",
""&lt;ruby&gt;$1&lt;rt&gt;$2&lt;/rt&gt;&lt;/ruby&gt;""
)&amp;""&lt;br&gt;&lt;div class=""""audio""""&gt;[sound:""&amp;C5655&amp;"".mp3]&lt;/div&gt;"""),"それゆえ&lt;br&gt;&lt;div class=""audio""&gt;[sound:それゆえ.mp3]&lt;/div&gt;")</f>
        <v>それゆえ&lt;br&gt;&lt;div class="audio"&gt;[sound:それゆえ.mp3]&lt;/div&gt;</v>
      </c>
      <c r="H5655" s="3" t="str">
        <f t="shared" si="1"/>
        <v>(conj): vì thế</v>
      </c>
      <c r="I5655" s="6" t="s">
        <v>30816</v>
      </c>
      <c r="J5655" s="6" t="s">
        <v>30817</v>
      </c>
      <c r="K5655" s="7">
        <f t="shared" si="2"/>
        <v>0.4543671245</v>
      </c>
    </row>
    <row r="5656">
      <c r="A5656" s="4">
        <v>5656.0</v>
      </c>
      <c r="B5656" s="5" t="s">
        <v>30818</v>
      </c>
      <c r="C5656" s="5" t="s">
        <v>30818</v>
      </c>
      <c r="D5656" s="5" t="s">
        <v>30818</v>
      </c>
      <c r="E5656" s="6" t="s">
        <v>85</v>
      </c>
      <c r="F5656" s="6" t="s">
        <v>30819</v>
      </c>
      <c r="G5656" s="3" t="str">
        <f>IFERROR(__xludf.DUMMYFUNCTION("REGEXREPLACE(
D5656,
""([一-龯々]+)\[([^\]]+)\]"",
""&lt;ruby&gt;$1&lt;rt&gt;$2&lt;/rt&gt;&lt;/ruby&gt;""
)&amp;""&lt;br&gt;&lt;div class=""""audio""""&gt;[sound:""&amp;C5656&amp;"".mp3]&lt;/div&gt;"""),"なにとぞ&lt;br&gt;&lt;div class=""audio""&gt;[sound:なにとぞ.mp3]&lt;/div&gt;")</f>
        <v>なにとぞ&lt;br&gt;&lt;div class="audio"&gt;[sound:なにとぞ.mp3]&lt;/div&gt;</v>
      </c>
      <c r="H5656" s="3" t="str">
        <f t="shared" si="1"/>
        <v>(adv): làm ơn</v>
      </c>
      <c r="I5656" s="6" t="s">
        <v>30820</v>
      </c>
      <c r="J5656" s="6" t="s">
        <v>30821</v>
      </c>
      <c r="K5656" s="7">
        <f t="shared" si="2"/>
        <v>0.3136531474</v>
      </c>
    </row>
    <row r="5657">
      <c r="A5657" s="4">
        <v>5657.0</v>
      </c>
      <c r="B5657" s="5" t="s">
        <v>30822</v>
      </c>
      <c r="C5657" s="5" t="s">
        <v>30823</v>
      </c>
      <c r="D5657" s="5" t="s">
        <v>30824</v>
      </c>
      <c r="E5657" s="6" t="s">
        <v>74</v>
      </c>
      <c r="F5657" s="6" t="s">
        <v>30825</v>
      </c>
      <c r="G5657" s="3" t="str">
        <f>IFERROR(__xludf.DUMMYFUNCTION("REGEXREPLACE(
D5657,
""([一-龯々]+)\[([^\]]+)\]"",
""&lt;ruby&gt;$1&lt;rt&gt;$2&lt;/rt&gt;&lt;/ruby&gt;""
)&amp;""&lt;br&gt;&lt;div class=""""audio""""&gt;[sound:""&amp;C5657&amp;"".mp3]&lt;/div&gt;"""),"にせ&lt;ruby&gt;物&lt;rt&gt;もの&lt;/rt&gt;&lt;/ruby&gt;&lt;br&gt;&lt;div class=""audio""&gt;[sound:にせもの.mp3]&lt;/div&gt;")</f>
        <v>にせ&lt;ruby&gt;物&lt;rt&gt;もの&lt;/rt&gt;&lt;/ruby&gt;&lt;br&gt;&lt;div class="audio"&gt;[sound:にせもの.mp3]&lt;/div&gt;</v>
      </c>
      <c r="H5657" s="3" t="str">
        <f t="shared" si="1"/>
        <v>(n): đồ giả</v>
      </c>
      <c r="I5657" s="6" t="s">
        <v>30826</v>
      </c>
      <c r="J5657" s="6" t="s">
        <v>30827</v>
      </c>
      <c r="K5657" s="7">
        <f t="shared" si="2"/>
        <v>0.5515595326</v>
      </c>
    </row>
    <row r="5658">
      <c r="A5658" s="4">
        <v>5658.0</v>
      </c>
      <c r="B5658" s="5" t="s">
        <v>30828</v>
      </c>
      <c r="C5658" s="5" t="s">
        <v>30829</v>
      </c>
      <c r="D5658" s="5" t="s">
        <v>30828</v>
      </c>
      <c r="E5658" s="6" t="s">
        <v>74</v>
      </c>
      <c r="F5658" s="6" t="s">
        <v>30830</v>
      </c>
      <c r="G5658" s="3" t="str">
        <f>IFERROR(__xludf.DUMMYFUNCTION("REGEXREPLACE(
D5658,
""([一-龯々]+)\[([^\]]+)\]"",
""&lt;ruby&gt;$1&lt;rt&gt;$2&lt;/rt&gt;&lt;/ruby&gt;""
)&amp;""&lt;br&gt;&lt;div class=""""audio""""&gt;[sound:""&amp;C5658&amp;"".mp3]&lt;/div&gt;"""),"レディー&lt;br&gt;&lt;div class=""audio""&gt;[sound:れでぃー.mp3]&lt;/div&gt;")</f>
        <v>レディー&lt;br&gt;&lt;div class="audio"&gt;[sound:れでぃー.mp3]&lt;/div&gt;</v>
      </c>
      <c r="H5658" s="3" t="str">
        <f t="shared" si="1"/>
        <v>(n): quý cô</v>
      </c>
      <c r="I5658" s="6" t="s">
        <v>30831</v>
      </c>
      <c r="J5658" s="6" t="s">
        <v>30832</v>
      </c>
      <c r="K5658" s="7">
        <f t="shared" si="2"/>
        <v>0.9618951072</v>
      </c>
    </row>
    <row r="5659">
      <c r="A5659" s="4">
        <v>5659.0</v>
      </c>
      <c r="B5659" s="5" t="s">
        <v>30833</v>
      </c>
      <c r="C5659" s="5" t="s">
        <v>30834</v>
      </c>
      <c r="D5659" s="5" t="s">
        <v>30835</v>
      </c>
      <c r="E5659" s="6" t="s">
        <v>11</v>
      </c>
      <c r="F5659" s="6" t="s">
        <v>30836</v>
      </c>
      <c r="G5659" s="3" t="str">
        <f>IFERROR(__xludf.DUMMYFUNCTION("REGEXREPLACE(
D5659,
""([一-龯々]+)\[([^\]]+)\]"",
""&lt;ruby&gt;$1&lt;rt&gt;$2&lt;/rt&gt;&lt;/ruby&gt;""
)&amp;""&lt;br&gt;&lt;div class=""""audio""""&gt;[sound:""&amp;C5659&amp;"".mp3]&lt;/div&gt;"""),"&lt;ruby&gt;勤勉&lt;rt&gt;きんべん&lt;/rt&gt;&lt;/ruby&gt;&lt;br&gt;&lt;div class=""audio""&gt;[sound:きんべん.mp3]&lt;/div&gt;")</f>
        <v>&lt;ruby&gt;勤勉&lt;rt&gt;きんべん&lt;/rt&gt;&lt;/ruby&gt;&lt;br&gt;&lt;div class="audio"&gt;[sound:きんべん.mp3]&lt;/div&gt;</v>
      </c>
      <c r="H5659" s="3" t="str">
        <f t="shared" si="1"/>
        <v>(adj): cần cù</v>
      </c>
      <c r="I5659" s="6" t="s">
        <v>30837</v>
      </c>
      <c r="J5659" s="6" t="s">
        <v>30838</v>
      </c>
      <c r="K5659" s="7">
        <f t="shared" si="2"/>
        <v>0.6682841625</v>
      </c>
    </row>
    <row r="5660">
      <c r="A5660" s="4">
        <v>5660.0</v>
      </c>
      <c r="B5660" s="5" t="s">
        <v>30839</v>
      </c>
      <c r="C5660" s="5" t="s">
        <v>30840</v>
      </c>
      <c r="D5660" s="5" t="s">
        <v>30841</v>
      </c>
      <c r="E5660" s="6" t="s">
        <v>74</v>
      </c>
      <c r="F5660" s="6" t="s">
        <v>29615</v>
      </c>
      <c r="G5660" s="3" t="str">
        <f>IFERROR(__xludf.DUMMYFUNCTION("REGEXREPLACE(
D5660,
""([一-龯々]+)\[([^\]]+)\]"",
""&lt;ruby&gt;$1&lt;rt&gt;$2&lt;/rt&gt;&lt;/ruby&gt;""
)&amp;""&lt;br&gt;&lt;div class=""""audio""""&gt;[sound:""&amp;C5660&amp;"".mp3]&lt;/div&gt;"""),"&lt;ruby&gt;原&lt;rt&gt;はら&lt;/rt&gt;&lt;/ruby&gt;っぱ&lt;br&gt;&lt;div class=""audio""&gt;[sound:はらっぱ.mp3]&lt;/div&gt;")</f>
        <v>&lt;ruby&gt;原&lt;rt&gt;はら&lt;/rt&gt;&lt;/ruby&gt;っぱ&lt;br&gt;&lt;div class="audio"&gt;[sound:はらっぱ.mp3]&lt;/div&gt;</v>
      </c>
      <c r="H5660" s="3" t="str">
        <f t="shared" si="1"/>
        <v>(n): bãi cỏ</v>
      </c>
      <c r="I5660" s="6" t="s">
        <v>30842</v>
      </c>
      <c r="J5660" s="6" t="s">
        <v>30843</v>
      </c>
      <c r="K5660" s="7">
        <f t="shared" si="2"/>
        <v>0.7196936502</v>
      </c>
    </row>
    <row r="5661">
      <c r="A5661" s="4">
        <v>5661.0</v>
      </c>
      <c r="B5661" s="5" t="s">
        <v>30844</v>
      </c>
      <c r="C5661" s="5" t="s">
        <v>30845</v>
      </c>
      <c r="D5661" s="5" t="s">
        <v>30846</v>
      </c>
      <c r="E5661" s="6" t="s">
        <v>11</v>
      </c>
      <c r="F5661" s="6" t="s">
        <v>30847</v>
      </c>
      <c r="G5661" s="3" t="str">
        <f>IFERROR(__xludf.DUMMYFUNCTION("REGEXREPLACE(
D5661,
""([一-龯々]+)\[([^\]]+)\]"",
""&lt;ruby&gt;$1&lt;rt&gt;$2&lt;/rt&gt;&lt;/ruby&gt;""
)&amp;""&lt;br&gt;&lt;div class=""""audio""""&gt;[sound:""&amp;C5661&amp;"".mp3]&lt;/div&gt;"""),"&lt;ruby&gt;大柄&lt;rt&gt;おおがら&lt;/rt&gt;&lt;/ruby&gt;&lt;br&gt;&lt;div class=""audio""&gt;[sound:おおがら.mp3]&lt;/div&gt;")</f>
        <v>&lt;ruby&gt;大柄&lt;rt&gt;おおがら&lt;/rt&gt;&lt;/ruby&gt;&lt;br&gt;&lt;div class="audio"&gt;[sound:おおがら.mp3]&lt;/div&gt;</v>
      </c>
      <c r="H5661" s="3" t="str">
        <f t="shared" si="1"/>
        <v>(adj): to lớn</v>
      </c>
      <c r="I5661" s="6" t="s">
        <v>30848</v>
      </c>
      <c r="J5661" s="6" t="s">
        <v>30849</v>
      </c>
      <c r="K5661" s="7">
        <f t="shared" si="2"/>
        <v>0.5099059532</v>
      </c>
    </row>
    <row r="5662">
      <c r="A5662" s="4">
        <v>5662.0</v>
      </c>
      <c r="B5662" s="5" t="s">
        <v>30850</v>
      </c>
      <c r="C5662" s="5" t="s">
        <v>30851</v>
      </c>
      <c r="D5662" s="5" t="s">
        <v>30852</v>
      </c>
      <c r="E5662" s="6" t="s">
        <v>74</v>
      </c>
      <c r="F5662" s="6" t="s">
        <v>30853</v>
      </c>
      <c r="G5662" s="3" t="str">
        <f>IFERROR(__xludf.DUMMYFUNCTION("REGEXREPLACE(
D5662,
""([一-龯々]+)\[([^\]]+)\]"",
""&lt;ruby&gt;$1&lt;rt&gt;$2&lt;/rt&gt;&lt;/ruby&gt;""
)&amp;""&lt;br&gt;&lt;div class=""""audio""""&gt;[sound:""&amp;C5662&amp;"".mp3]&lt;/div&gt;"""),"&lt;ruby&gt;婿&lt;rt&gt;むこ&lt;/rt&gt;&lt;/ruby&gt;&lt;br&gt;&lt;div class=""audio""&gt;[sound:むこ.mp3]&lt;/div&gt;")</f>
        <v>&lt;ruby&gt;婿&lt;rt&gt;むこ&lt;/rt&gt;&lt;/ruby&gt;&lt;br&gt;&lt;div class="audio"&gt;[sound:むこ.mp3]&lt;/div&gt;</v>
      </c>
      <c r="H5662" s="3" t="str">
        <f t="shared" si="1"/>
        <v>(n): con rể</v>
      </c>
      <c r="I5662" s="6" t="s">
        <v>30854</v>
      </c>
      <c r="J5662" s="6" t="s">
        <v>30855</v>
      </c>
      <c r="K5662" s="7">
        <f t="shared" si="2"/>
        <v>0.5426825473</v>
      </c>
    </row>
    <row r="5663">
      <c r="A5663" s="4">
        <v>5663.0</v>
      </c>
      <c r="B5663" s="5" t="s">
        <v>30856</v>
      </c>
      <c r="C5663" s="5" t="s">
        <v>30857</v>
      </c>
      <c r="D5663" s="5" t="s">
        <v>30858</v>
      </c>
      <c r="E5663" s="6" t="s">
        <v>74</v>
      </c>
      <c r="F5663" s="6" t="s">
        <v>8099</v>
      </c>
      <c r="G5663" s="3" t="str">
        <f>IFERROR(__xludf.DUMMYFUNCTION("REGEXREPLACE(
D5663,
""([一-龯々]+)\[([^\]]+)\]"",
""&lt;ruby&gt;$1&lt;rt&gt;$2&lt;/rt&gt;&lt;/ruby&gt;""
)&amp;""&lt;br&gt;&lt;div class=""""audio""""&gt;[sound:""&amp;C5663&amp;"".mp3]&lt;/div&gt;"""),"&lt;ruby&gt;守衛&lt;rt&gt;しゅえい&lt;/rt&gt;&lt;/ruby&gt;&lt;br&gt;&lt;div class=""audio""&gt;[sound:しゅえい.mp3]&lt;/div&gt;")</f>
        <v>&lt;ruby&gt;守衛&lt;rt&gt;しゅえい&lt;/rt&gt;&lt;/ruby&gt;&lt;br&gt;&lt;div class="audio"&gt;[sound:しゅえい.mp3]&lt;/div&gt;</v>
      </c>
      <c r="H5663" s="3" t="str">
        <f t="shared" si="1"/>
        <v>(n): bảo vệ</v>
      </c>
      <c r="I5663" s="6" t="s">
        <v>30859</v>
      </c>
      <c r="J5663" s="6" t="s">
        <v>30860</v>
      </c>
      <c r="K5663" s="7">
        <f t="shared" si="2"/>
        <v>0.943369565</v>
      </c>
    </row>
    <row r="5664">
      <c r="A5664" s="4">
        <v>5664.0</v>
      </c>
      <c r="B5664" s="5" t="s">
        <v>30861</v>
      </c>
      <c r="C5664" s="5" t="s">
        <v>30862</v>
      </c>
      <c r="D5664" s="5" t="s">
        <v>30863</v>
      </c>
      <c r="E5664" s="6" t="s">
        <v>74</v>
      </c>
      <c r="F5664" s="6" t="s">
        <v>30864</v>
      </c>
      <c r="G5664" s="3" t="str">
        <f>IFERROR(__xludf.DUMMYFUNCTION("REGEXREPLACE(
D5664,
""([一-龯々]+)\[([^\]]+)\]"",
""&lt;ruby&gt;$1&lt;rt&gt;$2&lt;/rt&gt;&lt;/ruby&gt;""
)&amp;""&lt;br&gt;&lt;div class=""""audio""""&gt;[sound:""&amp;C5664&amp;"".mp3]&lt;/div&gt;"""),"&lt;ruby&gt;炭素&lt;rt&gt;たんそ&lt;/rt&gt;&lt;/ruby&gt;&lt;br&gt;&lt;div class=""audio""&gt;[sound:たんそ.mp3]&lt;/div&gt;")</f>
        <v>&lt;ruby&gt;炭素&lt;rt&gt;たんそ&lt;/rt&gt;&lt;/ruby&gt;&lt;br&gt;&lt;div class="audio"&gt;[sound:たんそ.mp3]&lt;/div&gt;</v>
      </c>
      <c r="H5664" s="3" t="str">
        <f t="shared" si="1"/>
        <v>(n): cacbon</v>
      </c>
      <c r="I5664" s="6" t="s">
        <v>30865</v>
      </c>
      <c r="J5664" s="6" t="s">
        <v>30866</v>
      </c>
      <c r="K5664" s="7">
        <f t="shared" si="2"/>
        <v>0.3858033004</v>
      </c>
    </row>
    <row r="5665">
      <c r="A5665" s="4">
        <v>5665.0</v>
      </c>
      <c r="B5665" s="5" t="s">
        <v>30867</v>
      </c>
      <c r="C5665" s="5" t="s">
        <v>30868</v>
      </c>
      <c r="D5665" s="5" t="s">
        <v>30869</v>
      </c>
      <c r="E5665" s="6" t="s">
        <v>74</v>
      </c>
      <c r="F5665" s="6" t="s">
        <v>30870</v>
      </c>
      <c r="G5665" s="3" t="str">
        <f>IFERROR(__xludf.DUMMYFUNCTION("REGEXREPLACE(
D5665,
""([一-龯々]+)\[([^\]]+)\]"",
""&lt;ruby&gt;$1&lt;rt&gt;$2&lt;/rt&gt;&lt;/ruby&gt;""
)&amp;""&lt;br&gt;&lt;div class=""""audio""""&gt;[sound:""&amp;C5665&amp;"".mp3]&lt;/div&gt;"""),"&lt;ruby&gt;理性&lt;rt&gt;りせい&lt;/rt&gt;&lt;/ruby&gt;&lt;br&gt;&lt;div class=""audio""&gt;[sound:りせい.mp3]&lt;/div&gt;")</f>
        <v>&lt;ruby&gt;理性&lt;rt&gt;りせい&lt;/rt&gt;&lt;/ruby&gt;&lt;br&gt;&lt;div class="audio"&gt;[sound:りせい.mp3]&lt;/div&gt;</v>
      </c>
      <c r="H5665" s="3" t="str">
        <f t="shared" si="1"/>
        <v>(n): lý trí</v>
      </c>
      <c r="I5665" s="6" t="s">
        <v>30871</v>
      </c>
      <c r="J5665" s="6" t="s">
        <v>30872</v>
      </c>
      <c r="K5665" s="7">
        <f t="shared" si="2"/>
        <v>0.0785818062</v>
      </c>
    </row>
    <row r="5666">
      <c r="A5666" s="4">
        <v>5666.0</v>
      </c>
      <c r="B5666" s="5" t="s">
        <v>30873</v>
      </c>
      <c r="C5666" s="5" t="s">
        <v>30874</v>
      </c>
      <c r="D5666" s="5" t="s">
        <v>30875</v>
      </c>
      <c r="E5666" s="6" t="s">
        <v>24</v>
      </c>
      <c r="F5666" s="6" t="s">
        <v>30876</v>
      </c>
      <c r="G5666" s="3" t="str">
        <f>IFERROR(__xludf.DUMMYFUNCTION("REGEXREPLACE(
D5666,
""([一-龯々]+)\[([^\]]+)\]"",
""&lt;ruby&gt;$1&lt;rt&gt;$2&lt;/rt&gt;&lt;/ruby&gt;""
)&amp;""&lt;br&gt;&lt;div class=""""audio""""&gt;[sound:""&amp;C5666&amp;"".mp3]&lt;/div&gt;"""),"&lt;ruby&gt;群&lt;rt&gt;むら&lt;/rt&gt;&lt;/ruby&gt;がる&lt;br&gt;&lt;div class=""audio""&gt;[sound:むらがる.mp3]&lt;/div&gt;")</f>
        <v>&lt;ruby&gt;群&lt;rt&gt;むら&lt;/rt&gt;&lt;/ruby&gt;がる&lt;br&gt;&lt;div class="audio"&gt;[sound:むらがる.mp3]&lt;/div&gt;</v>
      </c>
      <c r="H5666" s="3" t="str">
        <f t="shared" si="1"/>
        <v>(v): tụ tập</v>
      </c>
      <c r="I5666" s="6" t="s">
        <v>30877</v>
      </c>
      <c r="J5666" s="6" t="s">
        <v>30878</v>
      </c>
      <c r="K5666" s="7">
        <f t="shared" si="2"/>
        <v>0.6015654445</v>
      </c>
    </row>
    <row r="5667">
      <c r="A5667" s="4">
        <v>5667.0</v>
      </c>
      <c r="B5667" s="5" t="s">
        <v>30879</v>
      </c>
      <c r="C5667" s="5" t="s">
        <v>30880</v>
      </c>
      <c r="D5667" s="5" t="s">
        <v>30881</v>
      </c>
      <c r="E5667" s="6" t="s">
        <v>24</v>
      </c>
      <c r="F5667" s="6" t="s">
        <v>27591</v>
      </c>
      <c r="G5667" s="3" t="str">
        <f>IFERROR(__xludf.DUMMYFUNCTION("REGEXREPLACE(
D5667,
""([一-龯々]+)\[([^\]]+)\]"",
""&lt;ruby&gt;$1&lt;rt&gt;$2&lt;/rt&gt;&lt;/ruby&gt;""
)&amp;""&lt;br&gt;&lt;div class=""""audio""""&gt;[sound:""&amp;C5667&amp;"".mp3]&lt;/div&gt;"""),"&lt;ruby&gt;老&lt;rt&gt;ふ&lt;/rt&gt;&lt;/ruby&gt;ける&lt;br&gt;&lt;div class=""audio""&gt;[sound:ふける.mp3]&lt;/div&gt;")</f>
        <v>&lt;ruby&gt;老&lt;rt&gt;ふ&lt;/rt&gt;&lt;/ruby&gt;ける&lt;br&gt;&lt;div class="audio"&gt;[sound:ふける.mp3]&lt;/div&gt;</v>
      </c>
      <c r="H5667" s="3" t="str">
        <f t="shared" si="1"/>
        <v>(v): già đi</v>
      </c>
      <c r="I5667" s="6" t="s">
        <v>30882</v>
      </c>
      <c r="J5667" s="6" t="s">
        <v>30883</v>
      </c>
      <c r="K5667" s="7">
        <f t="shared" si="2"/>
        <v>0.5675391828</v>
      </c>
    </row>
    <row r="5668">
      <c r="A5668" s="4">
        <v>5668.0</v>
      </c>
      <c r="B5668" s="5" t="s">
        <v>30884</v>
      </c>
      <c r="C5668" s="5" t="s">
        <v>30885</v>
      </c>
      <c r="D5668" s="5" t="s">
        <v>30886</v>
      </c>
      <c r="E5668" s="6" t="s">
        <v>11</v>
      </c>
      <c r="F5668" s="6" t="s">
        <v>16243</v>
      </c>
      <c r="G5668" s="3" t="str">
        <f>IFERROR(__xludf.DUMMYFUNCTION("REGEXREPLACE(
D5668,
""([一-龯々]+)\[([^\]]+)\]"",
""&lt;ruby&gt;$1&lt;rt&gt;$2&lt;/rt&gt;&lt;/ruby&gt;""
)&amp;""&lt;br&gt;&lt;div class=""""audio""""&gt;[sound:""&amp;C5668&amp;"".mp3]&lt;/div&gt;"""),"&lt;ruby&gt;華々&lt;rt&gt;はなばな&lt;/rt&gt;&lt;/ruby&gt;しい&lt;br&gt;&lt;div class=""audio""&gt;[sound:はなばなしい.mp3]&lt;/div&gt;")</f>
        <v>&lt;ruby&gt;華々&lt;rt&gt;はなばな&lt;/rt&gt;&lt;/ruby&gt;しい&lt;br&gt;&lt;div class="audio"&gt;[sound:はなばなしい.mp3]&lt;/div&gt;</v>
      </c>
      <c r="H5668" s="3" t="str">
        <f t="shared" si="1"/>
        <v>(adj): rực rỡ</v>
      </c>
      <c r="I5668" s="6" t="s">
        <v>30887</v>
      </c>
      <c r="J5668" s="6" t="s">
        <v>30888</v>
      </c>
      <c r="K5668" s="7">
        <f t="shared" si="2"/>
        <v>0.3469022937</v>
      </c>
    </row>
    <row r="5669">
      <c r="A5669" s="4">
        <v>5669.0</v>
      </c>
      <c r="B5669" s="5" t="s">
        <v>30889</v>
      </c>
      <c r="C5669" s="5" t="s">
        <v>30890</v>
      </c>
      <c r="D5669" s="5" t="s">
        <v>30891</v>
      </c>
      <c r="E5669" s="6" t="s">
        <v>74</v>
      </c>
      <c r="F5669" s="6" t="s">
        <v>20053</v>
      </c>
      <c r="G5669" s="3" t="str">
        <f>IFERROR(__xludf.DUMMYFUNCTION("REGEXREPLACE(
D5669,
""([一-龯々]+)\[([^\]]+)\]"",
""&lt;ruby&gt;$1&lt;rt&gt;$2&lt;/rt&gt;&lt;/ruby&gt;""
)&amp;""&lt;br&gt;&lt;div class=""""audio""""&gt;[sound:""&amp;C5669&amp;"".mp3]&lt;/div&gt;"""),"&lt;ruby&gt;観覧&lt;rt&gt;かんらん&lt;/rt&gt;&lt;/ruby&gt;&lt;br&gt;&lt;div class=""audio""&gt;[sound:かんらん.mp3]&lt;/div&gt;")</f>
        <v>&lt;ruby&gt;観覧&lt;rt&gt;かんらん&lt;/rt&gt;&lt;/ruby&gt;&lt;br&gt;&lt;div class="audio"&gt;[sound:かんらん.mp3]&lt;/div&gt;</v>
      </c>
      <c r="H5669" s="3" t="str">
        <f t="shared" si="1"/>
        <v>(n): sự xem</v>
      </c>
      <c r="I5669" s="6" t="s">
        <v>30892</v>
      </c>
      <c r="J5669" s="6" t="s">
        <v>30893</v>
      </c>
      <c r="K5669" s="7">
        <f t="shared" si="2"/>
        <v>0.2793221781</v>
      </c>
    </row>
    <row r="5670">
      <c r="A5670" s="4">
        <v>5670.0</v>
      </c>
      <c r="B5670" s="5" t="s">
        <v>30894</v>
      </c>
      <c r="C5670" s="5" t="s">
        <v>30895</v>
      </c>
      <c r="D5670" s="5" t="s">
        <v>30896</v>
      </c>
      <c r="E5670" s="6" t="s">
        <v>74</v>
      </c>
      <c r="F5670" s="6" t="s">
        <v>30897</v>
      </c>
      <c r="G5670" s="3" t="str">
        <f>IFERROR(__xludf.DUMMYFUNCTION("REGEXREPLACE(
D5670,
""([一-龯々]+)\[([^\]]+)\]"",
""&lt;ruby&gt;$1&lt;rt&gt;$2&lt;/rt&gt;&lt;/ruby&gt;""
)&amp;""&lt;br&gt;&lt;div class=""""audio""""&gt;[sound:""&amp;C5670&amp;"".mp3]&lt;/div&gt;"""),"&lt;ruby&gt;連中&lt;rt&gt;れんちゅう&lt;/rt&gt;&lt;/ruby&gt;&lt;br&gt;&lt;div class=""audio""&gt;[sound:れんちゅう.mp3]&lt;/div&gt;")</f>
        <v>&lt;ruby&gt;連中&lt;rt&gt;れんちゅう&lt;/rt&gt;&lt;/ruby&gt;&lt;br&gt;&lt;div class="audio"&gt;[sound:れんちゅう.mp3]&lt;/div&gt;</v>
      </c>
      <c r="H5670" s="3" t="str">
        <f t="shared" si="1"/>
        <v>(n): bọn họ</v>
      </c>
      <c r="I5670" s="6" t="s">
        <v>30898</v>
      </c>
      <c r="J5670" s="6" t="s">
        <v>30899</v>
      </c>
      <c r="K5670" s="7">
        <f t="shared" si="2"/>
        <v>0.8945548139</v>
      </c>
    </row>
    <row r="5671">
      <c r="A5671" s="4">
        <v>5671.0</v>
      </c>
      <c r="B5671" s="5" t="s">
        <v>30900</v>
      </c>
      <c r="C5671" s="5" t="s">
        <v>30901</v>
      </c>
      <c r="D5671" s="5" t="s">
        <v>30902</v>
      </c>
      <c r="E5671" s="6" t="s">
        <v>74</v>
      </c>
      <c r="F5671" s="6" t="s">
        <v>30903</v>
      </c>
      <c r="G5671" s="3" t="str">
        <f>IFERROR(__xludf.DUMMYFUNCTION("REGEXREPLACE(
D5671,
""([一-龯々]+)\[([^\]]+)\]"",
""&lt;ruby&gt;$1&lt;rt&gt;$2&lt;/rt&gt;&lt;/ruby&gt;""
)&amp;""&lt;br&gt;&lt;div class=""""audio""""&gt;[sound:""&amp;C5671&amp;"".mp3]&lt;/div&gt;"""),"&lt;ruby&gt;陶器&lt;rt&gt;とうき&lt;/rt&gt;&lt;/ruby&gt;&lt;br&gt;&lt;div class=""audio""&gt;[sound:とうき.mp3]&lt;/div&gt;")</f>
        <v>&lt;ruby&gt;陶器&lt;rt&gt;とうき&lt;/rt&gt;&lt;/ruby&gt;&lt;br&gt;&lt;div class="audio"&gt;[sound:とうき.mp3]&lt;/div&gt;</v>
      </c>
      <c r="H5671" s="3" t="str">
        <f t="shared" si="1"/>
        <v>(n): đồ gốm</v>
      </c>
      <c r="I5671" s="6" t="s">
        <v>30904</v>
      </c>
      <c r="J5671" s="6" t="s">
        <v>30905</v>
      </c>
      <c r="K5671" s="7">
        <f t="shared" si="2"/>
        <v>0.5108988558</v>
      </c>
    </row>
    <row r="5672">
      <c r="A5672" s="4">
        <v>5672.0</v>
      </c>
      <c r="B5672" s="5" t="s">
        <v>30906</v>
      </c>
      <c r="C5672" s="5" t="s">
        <v>30906</v>
      </c>
      <c r="D5672" s="5" t="s">
        <v>30906</v>
      </c>
      <c r="E5672" s="6" t="s">
        <v>11</v>
      </c>
      <c r="F5672" s="6" t="s">
        <v>10396</v>
      </c>
      <c r="G5672" s="3" t="str">
        <f>IFERROR(__xludf.DUMMYFUNCTION("REGEXREPLACE(
D5672,
""([一-龯々]+)\[([^\]]+)\]"",
""&lt;ruby&gt;$1&lt;rt&gt;$2&lt;/rt&gt;&lt;/ruby&gt;""
)&amp;""&lt;br&gt;&lt;div class=""""audio""""&gt;[sound:""&amp;C5672&amp;"".mp3]&lt;/div&gt;"""),"あやふや&lt;br&gt;&lt;div class=""audio""&gt;[sound:あやふや.mp3]&lt;/div&gt;")</f>
        <v>あやふや&lt;br&gt;&lt;div class="audio"&gt;[sound:あやふや.mp3]&lt;/div&gt;</v>
      </c>
      <c r="H5672" s="3" t="str">
        <f t="shared" si="1"/>
        <v>(adj): mơ hồ</v>
      </c>
      <c r="I5672" s="6" t="s">
        <v>30907</v>
      </c>
      <c r="J5672" s="6" t="s">
        <v>30908</v>
      </c>
      <c r="K5672" s="7">
        <f t="shared" si="2"/>
        <v>0.594177933</v>
      </c>
    </row>
    <row r="5673">
      <c r="A5673" s="4">
        <v>5673.0</v>
      </c>
      <c r="B5673" s="5" t="s">
        <v>30909</v>
      </c>
      <c r="C5673" s="5" t="s">
        <v>30909</v>
      </c>
      <c r="D5673" s="5" t="s">
        <v>30909</v>
      </c>
      <c r="E5673" s="6" t="s">
        <v>85</v>
      </c>
      <c r="F5673" s="6" t="s">
        <v>30910</v>
      </c>
      <c r="G5673" s="3" t="str">
        <f>IFERROR(__xludf.DUMMYFUNCTION("REGEXREPLACE(
D5673,
""([一-龯々]+)\[([^\]]+)\]"",
""&lt;ruby&gt;$1&lt;rt&gt;$2&lt;/rt&gt;&lt;/ruby&gt;""
)&amp;""&lt;br&gt;&lt;div class=""""audio""""&gt;[sound:""&amp;C5673&amp;"".mp3]&lt;/div&gt;"""),"はらはら&lt;br&gt;&lt;div class=""audio""&gt;[sound:はらはら.mp3]&lt;/div&gt;")</f>
        <v>はらはら&lt;br&gt;&lt;div class="audio"&gt;[sound:はらはら.mp3]&lt;/div&gt;</v>
      </c>
      <c r="H5673" s="3" t="str">
        <f t="shared" si="1"/>
        <v>(adv): lo sợ</v>
      </c>
      <c r="I5673" s="6" t="s">
        <v>30911</v>
      </c>
      <c r="J5673" s="6" t="s">
        <v>30912</v>
      </c>
      <c r="K5673" s="7">
        <f t="shared" si="2"/>
        <v>0.1775421486</v>
      </c>
    </row>
    <row r="5674">
      <c r="A5674" s="4">
        <v>5674.0</v>
      </c>
      <c r="B5674" s="5" t="s">
        <v>30913</v>
      </c>
      <c r="C5674" s="5" t="s">
        <v>30914</v>
      </c>
      <c r="D5674" s="5" t="s">
        <v>30913</v>
      </c>
      <c r="E5674" s="6" t="s">
        <v>74</v>
      </c>
      <c r="F5674" s="6" t="s">
        <v>30915</v>
      </c>
      <c r="G5674" s="3" t="str">
        <f>IFERROR(__xludf.DUMMYFUNCTION("REGEXREPLACE(
D5674,
""([一-龯々]+)\[([^\]]+)\]"",
""&lt;ruby&gt;$1&lt;rt&gt;$2&lt;/rt&gt;&lt;/ruby&gt;""
)&amp;""&lt;br&gt;&lt;div class=""""audio""""&gt;[sound:""&amp;C5674&amp;"".mp3]&lt;/div&gt;"""),"ビールス&lt;br&gt;&lt;div class=""audio""&gt;[sound:びーるす.mp3]&lt;/div&gt;")</f>
        <v>ビールス&lt;br&gt;&lt;div class="audio"&gt;[sound:びーるす.mp3]&lt;/div&gt;</v>
      </c>
      <c r="H5674" s="3" t="str">
        <f t="shared" si="1"/>
        <v>(n): virus</v>
      </c>
      <c r="I5674" s="6" t="s">
        <v>30916</v>
      </c>
      <c r="J5674" s="6" t="s">
        <v>30917</v>
      </c>
      <c r="K5674" s="7">
        <f t="shared" si="2"/>
        <v>0.7234396338</v>
      </c>
    </row>
    <row r="5675">
      <c r="A5675" s="4">
        <v>5675.0</v>
      </c>
      <c r="B5675" s="5" t="s">
        <v>30918</v>
      </c>
      <c r="C5675" s="5" t="s">
        <v>30918</v>
      </c>
      <c r="D5675" s="5" t="s">
        <v>30918</v>
      </c>
      <c r="E5675" s="6" t="s">
        <v>85</v>
      </c>
      <c r="F5675" s="6" t="s">
        <v>7212</v>
      </c>
      <c r="G5675" s="3" t="str">
        <f>IFERROR(__xludf.DUMMYFUNCTION("REGEXREPLACE(
D5675,
""([一-龯々]+)\[([^\]]+)\]"",
""&lt;ruby&gt;$1&lt;rt&gt;$2&lt;/rt&gt;&lt;/ruby&gt;""
)&amp;""&lt;br&gt;&lt;div class=""""audio""""&gt;[sound:""&amp;C5675&amp;"".mp3]&lt;/div&gt;"""),"ひょっと&lt;br&gt;&lt;div class=""audio""&gt;[sound:ひょっと.mp3]&lt;/div&gt;")</f>
        <v>ひょっと&lt;br&gt;&lt;div class="audio"&gt;[sound:ひょっと.mp3]&lt;/div&gt;</v>
      </c>
      <c r="H5675" s="3" t="str">
        <f t="shared" si="1"/>
        <v>(adv): có lẽ</v>
      </c>
      <c r="I5675" s="6" t="s">
        <v>30919</v>
      </c>
      <c r="J5675" s="6" t="s">
        <v>30920</v>
      </c>
      <c r="K5675" s="7">
        <f t="shared" si="2"/>
        <v>0.802143148</v>
      </c>
    </row>
    <row r="5676">
      <c r="A5676" s="4">
        <v>5676.0</v>
      </c>
      <c r="B5676" s="5" t="s">
        <v>30921</v>
      </c>
      <c r="C5676" s="5" t="s">
        <v>30922</v>
      </c>
      <c r="D5676" s="5" t="s">
        <v>30923</v>
      </c>
      <c r="E5676" s="6" t="s">
        <v>74</v>
      </c>
      <c r="F5676" s="6" t="s">
        <v>807</v>
      </c>
      <c r="G5676" s="3" t="str">
        <f>IFERROR(__xludf.DUMMYFUNCTION("REGEXREPLACE(
D5676,
""([一-龯々]+)\[([^\]]+)\]"",
""&lt;ruby&gt;$1&lt;rt&gt;$2&lt;/rt&gt;&lt;/ruby&gt;""
)&amp;""&lt;br&gt;&lt;div class=""""audio""""&gt;[sound:""&amp;C5676&amp;"".mp3]&lt;/div&gt;"""),"&lt;ruby&gt;外方&lt;rt&gt;ほかほう&lt;/rt&gt;&lt;/ruby&gt;&lt;br&gt;&lt;div class=""audio""&gt;[sound:ほかほう.mp3]&lt;/div&gt;")</f>
        <v>&lt;ruby&gt;外方&lt;rt&gt;ほかほう&lt;/rt&gt;&lt;/ruby&gt;&lt;br&gt;&lt;div class="audio"&gt;[sound:ほかほう.mp3]&lt;/div&gt;</v>
      </c>
      <c r="H5676" s="3" t="str">
        <f t="shared" si="1"/>
        <v>(n): bên ngoài</v>
      </c>
      <c r="I5676" s="6" t="s">
        <v>30924</v>
      </c>
      <c r="J5676" s="6" t="s">
        <v>30925</v>
      </c>
      <c r="K5676" s="7">
        <f t="shared" si="2"/>
        <v>0.1151532314</v>
      </c>
    </row>
    <row r="5677">
      <c r="A5677" s="4">
        <v>5677.0</v>
      </c>
      <c r="B5677" s="5" t="s">
        <v>30926</v>
      </c>
      <c r="C5677" s="5" t="s">
        <v>30927</v>
      </c>
      <c r="D5677" s="5" t="s">
        <v>30928</v>
      </c>
      <c r="E5677" s="6" t="s">
        <v>11</v>
      </c>
      <c r="F5677" s="6" t="s">
        <v>2207</v>
      </c>
      <c r="G5677" s="3" t="str">
        <f>IFERROR(__xludf.DUMMYFUNCTION("REGEXREPLACE(
D5677,
""([一-龯々]+)\[([^\]]+)\]"",
""&lt;ruby&gt;$1&lt;rt&gt;$2&lt;/rt&gt;&lt;/ruby&gt;""
)&amp;""&lt;br&gt;&lt;div class=""""audio""""&gt;[sound:""&amp;C5677&amp;"".mp3]&lt;/div&gt;"""),"&lt;ruby&gt;自在&lt;rt&gt;じざい&lt;/rt&gt;&lt;/ruby&gt;&lt;br&gt;&lt;div class=""audio""&gt;[sound:じざい.mp3]&lt;/div&gt;")</f>
        <v>&lt;ruby&gt;自在&lt;rt&gt;じざい&lt;/rt&gt;&lt;/ruby&gt;&lt;br&gt;&lt;div class="audio"&gt;[sound:じざい.mp3]&lt;/div&gt;</v>
      </c>
      <c r="H5677" s="3" t="str">
        <f t="shared" si="1"/>
        <v>(adj): tự do</v>
      </c>
      <c r="I5677" s="6" t="s">
        <v>30929</v>
      </c>
      <c r="J5677" s="6" t="s">
        <v>30930</v>
      </c>
      <c r="K5677" s="7">
        <f t="shared" si="2"/>
        <v>0.102487821</v>
      </c>
    </row>
    <row r="5678">
      <c r="A5678" s="4">
        <v>5678.0</v>
      </c>
      <c r="B5678" s="5" t="s">
        <v>30931</v>
      </c>
      <c r="C5678" s="5" t="s">
        <v>30932</v>
      </c>
      <c r="D5678" s="5" t="s">
        <v>30933</v>
      </c>
      <c r="E5678" s="6" t="s">
        <v>74</v>
      </c>
      <c r="F5678" s="6" t="s">
        <v>30934</v>
      </c>
      <c r="G5678" s="3" t="str">
        <f>IFERROR(__xludf.DUMMYFUNCTION("REGEXREPLACE(
D5678,
""([一-龯々]+)\[([^\]]+)\]"",
""&lt;ruby&gt;$1&lt;rt&gt;$2&lt;/rt&gt;&lt;/ruby&gt;""
)&amp;""&lt;br&gt;&lt;div class=""""audio""""&gt;[sound:""&amp;C5678&amp;"".mp3]&lt;/div&gt;"""),"&lt;ruby&gt;襟&lt;rt&gt;えり&lt;/rt&gt;&lt;/ruby&gt;&lt;br&gt;&lt;div class=""audio""&gt;[sound:えり.mp3]&lt;/div&gt;")</f>
        <v>&lt;ruby&gt;襟&lt;rt&gt;えり&lt;/rt&gt;&lt;/ruby&gt;&lt;br&gt;&lt;div class="audio"&gt;[sound:えり.mp3]&lt;/div&gt;</v>
      </c>
      <c r="H5678" s="3" t="str">
        <f t="shared" si="1"/>
        <v>(n): cổ áo</v>
      </c>
      <c r="I5678" s="6" t="s">
        <v>30935</v>
      </c>
      <c r="J5678" s="6" t="s">
        <v>30936</v>
      </c>
      <c r="K5678" s="7">
        <f t="shared" si="2"/>
        <v>0.5759590863</v>
      </c>
    </row>
    <row r="5679">
      <c r="A5679" s="4">
        <v>5679.0</v>
      </c>
      <c r="B5679" s="5" t="s">
        <v>30937</v>
      </c>
      <c r="C5679" s="5" t="s">
        <v>30938</v>
      </c>
      <c r="D5679" s="5" t="s">
        <v>30939</v>
      </c>
      <c r="E5679" s="6" t="s">
        <v>85</v>
      </c>
      <c r="F5679" s="6" t="s">
        <v>30940</v>
      </c>
      <c r="G5679" s="3" t="str">
        <f>IFERROR(__xludf.DUMMYFUNCTION("REGEXREPLACE(
D5679,
""([一-龯々]+)\[([^\]]+)\]"",
""&lt;ruby&gt;$1&lt;rt&gt;$2&lt;/rt&gt;&lt;/ruby&gt;""
)&amp;""&lt;br&gt;&lt;div class=""""audio""""&gt;[sound:""&amp;C5679&amp;"".mp3]&lt;/div&gt;"""),"&lt;ruby&gt;適宜&lt;rt&gt;てきぎ&lt;/rt&gt;&lt;/ruby&gt;&lt;br&gt;&lt;div class=""audio""&gt;[sound:てきぎ.mp3]&lt;/div&gt;")</f>
        <v>&lt;ruby&gt;適宜&lt;rt&gt;てきぎ&lt;/rt&gt;&lt;/ruby&gt;&lt;br&gt;&lt;div class="audio"&gt;[sound:てきぎ.mp3]&lt;/div&gt;</v>
      </c>
      <c r="H5679" s="3" t="str">
        <f t="shared" si="1"/>
        <v>(adv): tùy ý</v>
      </c>
      <c r="I5679" s="6" t="s">
        <v>30941</v>
      </c>
      <c r="J5679" s="6" t="s">
        <v>30942</v>
      </c>
      <c r="K5679" s="7">
        <f t="shared" si="2"/>
        <v>0.02548034513</v>
      </c>
    </row>
    <row r="5680">
      <c r="A5680" s="4">
        <v>5680.0</v>
      </c>
      <c r="B5680" s="5" t="s">
        <v>30943</v>
      </c>
      <c r="C5680" s="5" t="s">
        <v>30943</v>
      </c>
      <c r="D5680" s="5" t="s">
        <v>30943</v>
      </c>
      <c r="E5680" s="6" t="s">
        <v>85</v>
      </c>
      <c r="F5680" s="6" t="s">
        <v>4897</v>
      </c>
      <c r="G5680" s="3" t="str">
        <f>IFERROR(__xludf.DUMMYFUNCTION("REGEXREPLACE(
D5680,
""([一-龯々]+)\[([^\]]+)\]"",
""&lt;ruby&gt;$1&lt;rt&gt;$2&lt;/rt&gt;&lt;/ruby&gt;""
)&amp;""&lt;br&gt;&lt;div class=""""audio""""&gt;[sound:""&amp;C5680&amp;"".mp3]&lt;/div&gt;"""),"きっかり&lt;br&gt;&lt;div class=""audio""&gt;[sound:きっかり.mp3]&lt;/div&gt;")</f>
        <v>きっかり&lt;br&gt;&lt;div class="audio"&gt;[sound:きっかり.mp3]&lt;/div&gt;</v>
      </c>
      <c r="H5680" s="3" t="str">
        <f t="shared" si="1"/>
        <v>(adv): đúng</v>
      </c>
      <c r="I5680" s="6" t="s">
        <v>30944</v>
      </c>
      <c r="J5680" s="6" t="s">
        <v>30945</v>
      </c>
      <c r="K5680" s="7">
        <f t="shared" si="2"/>
        <v>0.1363815725</v>
      </c>
    </row>
    <row r="5681">
      <c r="A5681" s="4">
        <v>5681.0</v>
      </c>
      <c r="B5681" s="5" t="s">
        <v>30946</v>
      </c>
      <c r="C5681" s="5" t="s">
        <v>30947</v>
      </c>
      <c r="D5681" s="5" t="s">
        <v>30948</v>
      </c>
      <c r="E5681" s="6" t="s">
        <v>74</v>
      </c>
      <c r="F5681" s="6" t="s">
        <v>30949</v>
      </c>
      <c r="G5681" s="3" t="str">
        <f>IFERROR(__xludf.DUMMYFUNCTION("REGEXREPLACE(
D5681,
""([一-龯々]+)\[([^\]]+)\]"",
""&lt;ruby&gt;$1&lt;rt&gt;$2&lt;/rt&gt;&lt;/ruby&gt;""
)&amp;""&lt;br&gt;&lt;div class=""""audio""""&gt;[sound:""&amp;C5681&amp;"".mp3]&lt;/div&gt;"""),"&lt;ruby&gt;刺繍&lt;rt&gt;ししゅう&lt;/rt&gt;&lt;/ruby&gt;&lt;br&gt;&lt;div class=""audio""&gt;[sound:ししゅう.mp3]&lt;/div&gt;")</f>
        <v>&lt;ruby&gt;刺繍&lt;rt&gt;ししゅう&lt;/rt&gt;&lt;/ruby&gt;&lt;br&gt;&lt;div class="audio"&gt;[sound:ししゅう.mp3]&lt;/div&gt;</v>
      </c>
      <c r="H5681" s="3" t="str">
        <f t="shared" si="1"/>
        <v>(n): thêu</v>
      </c>
      <c r="I5681" s="6" t="s">
        <v>30950</v>
      </c>
      <c r="J5681" s="6" t="s">
        <v>30951</v>
      </c>
      <c r="K5681" s="7">
        <f t="shared" si="2"/>
        <v>0.8662860191</v>
      </c>
    </row>
    <row r="5682">
      <c r="A5682" s="4">
        <v>5682.0</v>
      </c>
      <c r="B5682" s="5" t="s">
        <v>30952</v>
      </c>
      <c r="C5682" s="5" t="s">
        <v>30953</v>
      </c>
      <c r="D5682" s="5" t="s">
        <v>30954</v>
      </c>
      <c r="E5682" s="6" t="s">
        <v>74</v>
      </c>
      <c r="F5682" s="6" t="s">
        <v>30955</v>
      </c>
      <c r="G5682" s="3" t="str">
        <f>IFERROR(__xludf.DUMMYFUNCTION("REGEXREPLACE(
D5682,
""([一-龯々]+)\[([^\]]+)\]"",
""&lt;ruby&gt;$1&lt;rt&gt;$2&lt;/rt&gt;&lt;/ruby&gt;""
)&amp;""&lt;br&gt;&lt;div class=""""audio""""&gt;[sound:""&amp;C5682&amp;"".mp3]&lt;/div&gt;"""),"&lt;ruby&gt;網&lt;rt&gt;あみ&lt;/rt&gt;&lt;/ruby&gt;&lt;br&gt;&lt;div class=""audio""&gt;[sound:あみ.mp3]&lt;/div&gt;")</f>
        <v>&lt;ruby&gt;網&lt;rt&gt;あみ&lt;/rt&gt;&lt;/ruby&gt;&lt;br&gt;&lt;div class="audio"&gt;[sound:あみ.mp3]&lt;/div&gt;</v>
      </c>
      <c r="H5682" s="3" t="str">
        <f t="shared" si="1"/>
        <v>(n): lưới</v>
      </c>
      <c r="I5682" s="6" t="s">
        <v>30956</v>
      </c>
      <c r="J5682" s="6" t="s">
        <v>30957</v>
      </c>
      <c r="K5682" s="7">
        <f t="shared" si="2"/>
        <v>0.8304939758</v>
      </c>
    </row>
    <row r="5683">
      <c r="A5683" s="4">
        <v>5683.0</v>
      </c>
      <c r="B5683" s="5" t="s">
        <v>30958</v>
      </c>
      <c r="C5683" s="5" t="s">
        <v>30959</v>
      </c>
      <c r="D5683" s="5" t="s">
        <v>30960</v>
      </c>
      <c r="E5683" s="6" t="s">
        <v>24</v>
      </c>
      <c r="F5683" s="6" t="s">
        <v>30961</v>
      </c>
      <c r="G5683" s="3" t="str">
        <f>IFERROR(__xludf.DUMMYFUNCTION("REGEXREPLACE(
D5683,
""([一-龯々]+)\[([^\]]+)\]"",
""&lt;ruby&gt;$1&lt;rt&gt;$2&lt;/rt&gt;&lt;/ruby&gt;""
)&amp;""&lt;br&gt;&lt;div class=""""audio""""&gt;[sound:""&amp;C5683&amp;"".mp3]&lt;/div&gt;"""),"&lt;ruby&gt;震&lt;rt&gt;ふる&lt;/rt&gt;&lt;/ruby&gt;わせる&lt;br&gt;&lt;div class=""audio""&gt;[sound:ふるわせる.mp3]&lt;/div&gt;")</f>
        <v>&lt;ruby&gt;震&lt;rt&gt;ふる&lt;/rt&gt;&lt;/ruby&gt;わせる&lt;br&gt;&lt;div class="audio"&gt;[sound:ふるわせる.mp3]&lt;/div&gt;</v>
      </c>
      <c r="H5683" s="3" t="str">
        <f t="shared" si="1"/>
        <v>(v): rung</v>
      </c>
      <c r="I5683" s="6" t="s">
        <v>30962</v>
      </c>
      <c r="J5683" s="6" t="s">
        <v>30963</v>
      </c>
      <c r="K5683" s="7">
        <f t="shared" si="2"/>
        <v>0.7605020241</v>
      </c>
    </row>
    <row r="5684">
      <c r="A5684" s="4">
        <v>5684.0</v>
      </c>
      <c r="B5684" s="5" t="s">
        <v>30964</v>
      </c>
      <c r="C5684" s="5" t="s">
        <v>30965</v>
      </c>
      <c r="D5684" s="5" t="s">
        <v>30964</v>
      </c>
      <c r="E5684" s="6" t="s">
        <v>74</v>
      </c>
      <c r="F5684" s="6" t="s">
        <v>30966</v>
      </c>
      <c r="G5684" s="3" t="str">
        <f>IFERROR(__xludf.DUMMYFUNCTION("REGEXREPLACE(
D5684,
""([一-龯々]+)\[([^\]]+)\]"",
""&lt;ruby&gt;$1&lt;rt&gt;$2&lt;/rt&gt;&lt;/ruby&gt;""
)&amp;""&lt;br&gt;&lt;div class=""""audio""""&gt;[sound:""&amp;C5684&amp;"".mp3]&lt;/div&gt;"""),"アワー&lt;br&gt;&lt;div class=""audio""&gt;[sound:あわー.mp3]&lt;/div&gt;")</f>
        <v>アワー&lt;br&gt;&lt;div class="audio"&gt;[sound:あわー.mp3]&lt;/div&gt;</v>
      </c>
      <c r="H5684" s="3" t="str">
        <f t="shared" si="1"/>
        <v>(n): giờ</v>
      </c>
      <c r="I5684" s="6" t="s">
        <v>30967</v>
      </c>
      <c r="J5684" s="6" t="s">
        <v>30968</v>
      </c>
      <c r="K5684" s="7">
        <f t="shared" si="2"/>
        <v>0.3133051311</v>
      </c>
    </row>
    <row r="5685">
      <c r="A5685" s="4">
        <v>5685.0</v>
      </c>
      <c r="B5685" s="5" t="s">
        <v>30969</v>
      </c>
      <c r="C5685" s="5" t="s">
        <v>30970</v>
      </c>
      <c r="D5685" s="5" t="s">
        <v>30971</v>
      </c>
      <c r="E5685" s="6" t="s">
        <v>74</v>
      </c>
      <c r="F5685" s="6" t="s">
        <v>18337</v>
      </c>
      <c r="G5685" s="3" t="str">
        <f>IFERROR(__xludf.DUMMYFUNCTION("REGEXREPLACE(
D5685,
""([一-龯々]+)\[([^\]]+)\]"",
""&lt;ruby&gt;$1&lt;rt&gt;$2&lt;/rt&gt;&lt;/ruby&gt;""
)&amp;""&lt;br&gt;&lt;div class=""""audio""""&gt;[sound:""&amp;C5685&amp;"".mp3]&lt;/div&gt;"""),"&lt;ruby&gt;大部&lt;rt&gt;たいぶ&lt;/rt&gt;&lt;/ruby&gt;&lt;br&gt;&lt;div class=""audio""&gt;[sound:たいぶ.mp3]&lt;/div&gt;")</f>
        <v>&lt;ruby&gt;大部&lt;rt&gt;たいぶ&lt;/rt&gt;&lt;/ruby&gt;&lt;br&gt;&lt;div class="audio"&gt;[sound:たいぶ.mp3]&lt;/div&gt;</v>
      </c>
      <c r="H5685" s="3" t="str">
        <f t="shared" si="1"/>
        <v>(n): dày</v>
      </c>
      <c r="I5685" s="6" t="s">
        <v>30972</v>
      </c>
      <c r="J5685" s="6" t="s">
        <v>30973</v>
      </c>
      <c r="K5685" s="7">
        <f t="shared" si="2"/>
        <v>0.1739393778</v>
      </c>
    </row>
    <row r="5686">
      <c r="A5686" s="4">
        <v>5686.0</v>
      </c>
      <c r="B5686" s="5" t="s">
        <v>30974</v>
      </c>
      <c r="C5686" s="5" t="s">
        <v>30975</v>
      </c>
      <c r="D5686" s="5" t="s">
        <v>30976</v>
      </c>
      <c r="E5686" s="6" t="s">
        <v>74</v>
      </c>
      <c r="F5686" s="6" t="s">
        <v>30977</v>
      </c>
      <c r="G5686" s="3" t="str">
        <f>IFERROR(__xludf.DUMMYFUNCTION("REGEXREPLACE(
D5686,
""([一-龯々]+)\[([^\]]+)\]"",
""&lt;ruby&gt;$1&lt;rt&gt;$2&lt;/rt&gt;&lt;/ruby&gt;""
)&amp;""&lt;br&gt;&lt;div class=""""audio""""&gt;[sound:""&amp;C5686&amp;"".mp3]&lt;/div&gt;"""),"&lt;ruby&gt;杖&lt;rt&gt;つえ&lt;/rt&gt;&lt;/ruby&gt;&lt;br&gt;&lt;div class=""audio""&gt;[sound:つえ.mp3]&lt;/div&gt;")</f>
        <v>&lt;ruby&gt;杖&lt;rt&gt;つえ&lt;/rt&gt;&lt;/ruby&gt;&lt;br&gt;&lt;div class="audio"&gt;[sound:つえ.mp3]&lt;/div&gt;</v>
      </c>
      <c r="H5686" s="3" t="str">
        <f t="shared" si="1"/>
        <v>(n): gậy</v>
      </c>
      <c r="I5686" s="6" t="s">
        <v>30978</v>
      </c>
      <c r="J5686" s="6" t="s">
        <v>30979</v>
      </c>
      <c r="K5686" s="7">
        <f t="shared" si="2"/>
        <v>0.3308494592</v>
      </c>
    </row>
    <row r="5687">
      <c r="A5687" s="4">
        <v>5687.0</v>
      </c>
      <c r="B5687" s="5" t="s">
        <v>30980</v>
      </c>
      <c r="C5687" s="5" t="s">
        <v>30981</v>
      </c>
      <c r="D5687" s="5" t="s">
        <v>30982</v>
      </c>
      <c r="E5687" s="6" t="s">
        <v>24</v>
      </c>
      <c r="F5687" s="6" t="s">
        <v>30983</v>
      </c>
      <c r="G5687" s="3" t="str">
        <f>IFERROR(__xludf.DUMMYFUNCTION("REGEXREPLACE(
D5687,
""([一-龯々]+)\[([^\]]+)\]"",
""&lt;ruby&gt;$1&lt;rt&gt;$2&lt;/rt&gt;&lt;/ruby&gt;""
)&amp;""&lt;br&gt;&lt;div class=""""audio""""&gt;[sound:""&amp;C5687&amp;"".mp3]&lt;/div&gt;"""),"&lt;ruby&gt;鈍&lt;rt&gt;にぶ&lt;/rt&gt;&lt;/ruby&gt;る&lt;br&gt;&lt;div class=""audio""&gt;[sound:にぶる.mp3]&lt;/div&gt;")</f>
        <v>&lt;ruby&gt;鈍&lt;rt&gt;にぶ&lt;/rt&gt;&lt;/ruby&gt;る&lt;br&gt;&lt;div class="audio"&gt;[sound:にぶる.mp3]&lt;/div&gt;</v>
      </c>
      <c r="H5687" s="3" t="str">
        <f t="shared" si="1"/>
        <v>(v): cùn</v>
      </c>
      <c r="I5687" s="6" t="s">
        <v>30984</v>
      </c>
      <c r="J5687" s="6" t="s">
        <v>30985</v>
      </c>
      <c r="K5687" s="7">
        <f t="shared" si="2"/>
        <v>0.8157356502</v>
      </c>
    </row>
    <row r="5688">
      <c r="A5688" s="4">
        <v>5688.0</v>
      </c>
      <c r="B5688" s="5" t="s">
        <v>30986</v>
      </c>
      <c r="C5688" s="5" t="s">
        <v>30987</v>
      </c>
      <c r="D5688" s="5" t="s">
        <v>30988</v>
      </c>
      <c r="E5688" s="6" t="s">
        <v>74</v>
      </c>
      <c r="F5688" s="6" t="s">
        <v>30989</v>
      </c>
      <c r="G5688" s="3" t="str">
        <f>IFERROR(__xludf.DUMMYFUNCTION("REGEXREPLACE(
D5688,
""([一-龯々]+)\[([^\]]+)\]"",
""&lt;ruby&gt;$1&lt;rt&gt;$2&lt;/rt&gt;&lt;/ruby&gt;""
)&amp;""&lt;br&gt;&lt;div class=""""audio""""&gt;[sound:""&amp;C5688&amp;"".mp3]&lt;/div&gt;"""),"&lt;ruby&gt;鉛&lt;rt&gt;なまり&lt;/rt&gt;&lt;/ruby&gt;&lt;br&gt;&lt;div class=""audio""&gt;[sound:なまり.mp3]&lt;/div&gt;")</f>
        <v>&lt;ruby&gt;鉛&lt;rt&gt;なまり&lt;/rt&gt;&lt;/ruby&gt;&lt;br&gt;&lt;div class="audio"&gt;[sound:なまり.mp3]&lt;/div&gt;</v>
      </c>
      <c r="H5688" s="3" t="str">
        <f t="shared" si="1"/>
        <v>(n): chì</v>
      </c>
      <c r="I5688" s="6" t="s">
        <v>30990</v>
      </c>
      <c r="J5688" s="6" t="s">
        <v>30991</v>
      </c>
      <c r="K5688" s="7">
        <f t="shared" si="2"/>
        <v>0.08544696121</v>
      </c>
    </row>
    <row r="5689">
      <c r="A5689" s="4">
        <v>5689.0</v>
      </c>
      <c r="B5689" s="5" t="s">
        <v>30992</v>
      </c>
      <c r="C5689" s="5" t="s">
        <v>30993</v>
      </c>
      <c r="D5689" s="5" t="s">
        <v>30994</v>
      </c>
      <c r="E5689" s="6" t="s">
        <v>74</v>
      </c>
      <c r="F5689" s="6" t="s">
        <v>30995</v>
      </c>
      <c r="G5689" s="3" t="str">
        <f>IFERROR(__xludf.DUMMYFUNCTION("REGEXREPLACE(
D5689,
""([一-龯々]+)\[([^\]]+)\]"",
""&lt;ruby&gt;$1&lt;rt&gt;$2&lt;/rt&gt;&lt;/ruby&gt;""
)&amp;""&lt;br&gt;&lt;div class=""""audio""""&gt;[sound:""&amp;C5689&amp;"".mp3]&lt;/div&gt;"""),"&lt;ruby&gt;嘴&lt;rt&gt;くちばし&lt;/rt&gt;&lt;/ruby&gt;&lt;br&gt;&lt;div class=""audio""&gt;[sound:くちばし.mp3]&lt;/div&gt;")</f>
        <v>&lt;ruby&gt;嘴&lt;rt&gt;くちばし&lt;/rt&gt;&lt;/ruby&gt;&lt;br&gt;&lt;div class="audio"&gt;[sound:くちばし.mp3]&lt;/div&gt;</v>
      </c>
      <c r="H5689" s="3" t="str">
        <f t="shared" si="1"/>
        <v>(n): mỏ</v>
      </c>
      <c r="I5689" s="6" t="s">
        <v>30996</v>
      </c>
      <c r="J5689" s="6" t="s">
        <v>30997</v>
      </c>
      <c r="K5689" s="7">
        <f t="shared" si="2"/>
        <v>0.6477598004</v>
      </c>
    </row>
    <row r="5690">
      <c r="A5690" s="4">
        <v>5690.0</v>
      </c>
      <c r="B5690" s="5" t="s">
        <v>30998</v>
      </c>
      <c r="C5690" s="5" t="s">
        <v>30999</v>
      </c>
      <c r="D5690" s="5" t="s">
        <v>31000</v>
      </c>
      <c r="E5690" s="6" t="s">
        <v>74</v>
      </c>
      <c r="F5690" s="6" t="s">
        <v>31001</v>
      </c>
      <c r="G5690" s="3" t="str">
        <f>IFERROR(__xludf.DUMMYFUNCTION("REGEXREPLACE(
D5690,
""([一-龯々]+)\[([^\]]+)\]"",
""&lt;ruby&gt;$1&lt;rt&gt;$2&lt;/rt&gt;&lt;/ruby&gt;""
)&amp;""&lt;br&gt;&lt;div class=""""audio""""&gt;[sound:""&amp;C5690&amp;"".mp3]&lt;/div&gt;"""),"&lt;ruby&gt;壷&lt;rt&gt;つぼ&lt;/rt&gt;&lt;/ruby&gt;&lt;br&gt;&lt;div class=""audio""&gt;[sound:つぼ.mp3]&lt;/div&gt;")</f>
        <v>&lt;ruby&gt;壷&lt;rt&gt;つぼ&lt;/rt&gt;&lt;/ruby&gt;&lt;br&gt;&lt;div class="audio"&gt;[sound:つぼ.mp3]&lt;/div&gt;</v>
      </c>
      <c r="H5690" s="3" t="str">
        <f t="shared" si="1"/>
        <v>(n): lọ</v>
      </c>
      <c r="I5690" s="6" t="s">
        <v>31002</v>
      </c>
      <c r="J5690" s="6" t="s">
        <v>31003</v>
      </c>
      <c r="K5690" s="7">
        <f t="shared" si="2"/>
        <v>0.4384595579</v>
      </c>
    </row>
    <row r="5691">
      <c r="A5691" s="4">
        <v>5691.0</v>
      </c>
      <c r="B5691" s="5" t="s">
        <v>31004</v>
      </c>
      <c r="C5691" s="5" t="s">
        <v>1489</v>
      </c>
      <c r="D5691" s="5" t="s">
        <v>31005</v>
      </c>
      <c r="E5691" s="6" t="s">
        <v>24</v>
      </c>
      <c r="F5691" s="6" t="s">
        <v>9167</v>
      </c>
      <c r="G5691" s="3" t="str">
        <f>IFERROR(__xludf.DUMMYFUNCTION("REGEXREPLACE(
D5691,
""([一-龯々]+)\[([^\]]+)\]"",
""&lt;ruby&gt;$1&lt;rt&gt;$2&lt;/rt&gt;&lt;/ruby&gt;""
)&amp;""&lt;br&gt;&lt;div class=""""audio""""&gt;[sound:""&amp;C5691&amp;"".mp3]&lt;/div&gt;"""),"&lt;ruby&gt;欠&lt;rt&gt;か&lt;/rt&gt;&lt;/ruby&gt;く&lt;br&gt;&lt;div class=""audio""&gt;[sound:かく.mp3]&lt;/div&gt;")</f>
        <v>&lt;ruby&gt;欠&lt;rt&gt;か&lt;/rt&gt;&lt;/ruby&gt;く&lt;br&gt;&lt;div class="audio"&gt;[sound:かく.mp3]&lt;/div&gt;</v>
      </c>
      <c r="H5691" s="3" t="str">
        <f t="shared" si="1"/>
        <v>(v): thiếu</v>
      </c>
      <c r="I5691" s="6" t="s">
        <v>31006</v>
      </c>
      <c r="J5691" s="6" t="s">
        <v>31007</v>
      </c>
      <c r="K5691" s="7">
        <f t="shared" si="2"/>
        <v>0.7911891032</v>
      </c>
    </row>
    <row r="5692">
      <c r="A5692" s="4">
        <v>5692.0</v>
      </c>
      <c r="B5692" s="5" t="s">
        <v>31008</v>
      </c>
      <c r="C5692" s="5" t="s">
        <v>31009</v>
      </c>
      <c r="D5692" s="5" t="s">
        <v>31010</v>
      </c>
      <c r="E5692" s="6" t="s">
        <v>74</v>
      </c>
      <c r="F5692" s="6" t="s">
        <v>2091</v>
      </c>
      <c r="G5692" s="3" t="str">
        <f>IFERROR(__xludf.DUMMYFUNCTION("REGEXREPLACE(
D5692,
""([一-龯々]+)\[([^\]]+)\]"",
""&lt;ruby&gt;$1&lt;rt&gt;$2&lt;/rt&gt;&lt;/ruby&gt;""
)&amp;""&lt;br&gt;&lt;div class=""""audio""""&gt;[sound:""&amp;C5692&amp;"".mp3]&lt;/div&gt;"""),"&lt;ruby&gt;教養&lt;rt&gt;きょうよう&lt;/rt&gt;&lt;/ruby&gt;&lt;br&gt;&lt;div class=""audio""&gt;[sound:きょうよう.mp3]&lt;/div&gt;")</f>
        <v>&lt;ruby&gt;教養&lt;rt&gt;きょうよう&lt;/rt&gt;&lt;/ruby&gt;&lt;br&gt;&lt;div class="audio"&gt;[sound:きょうよう.mp3]&lt;/div&gt;</v>
      </c>
      <c r="H5692" s="3" t="str">
        <f t="shared" si="1"/>
        <v>(n): văn hóa</v>
      </c>
      <c r="I5692" s="6" t="s">
        <v>31011</v>
      </c>
      <c r="J5692" s="6" t="s">
        <v>31012</v>
      </c>
      <c r="K5692" s="7">
        <f t="shared" si="2"/>
        <v>0.7949897834</v>
      </c>
    </row>
    <row r="5693">
      <c r="A5693" s="4">
        <v>5693.0</v>
      </c>
      <c r="B5693" s="5" t="s">
        <v>31013</v>
      </c>
      <c r="C5693" s="5" t="s">
        <v>31014</v>
      </c>
      <c r="D5693" s="5" t="s">
        <v>31015</v>
      </c>
      <c r="E5693" s="6" t="s">
        <v>85</v>
      </c>
      <c r="F5693" s="6" t="s">
        <v>31016</v>
      </c>
      <c r="G5693" s="3" t="str">
        <f>IFERROR(__xludf.DUMMYFUNCTION("REGEXREPLACE(
D5693,
""([一-龯々]+)\[([^\]]+)\]"",
""&lt;ruby&gt;$1&lt;rt&gt;$2&lt;/rt&gt;&lt;/ruby&gt;""
)&amp;""&lt;br&gt;&lt;div class=""""audio""""&gt;[sound:""&amp;C5693&amp;"".mp3]&lt;/div&gt;"""),"&lt;ruby&gt;案外&lt;rt&gt;あんがい&lt;/rt&gt;&lt;/ruby&gt;&lt;br&gt;&lt;div class=""audio""&gt;[sound:あんがい.mp3]&lt;/div&gt;")</f>
        <v>&lt;ruby&gt;案外&lt;rt&gt;あんがい&lt;/rt&gt;&lt;/ruby&gt;&lt;br&gt;&lt;div class="audio"&gt;[sound:あんがい.mp3]&lt;/div&gt;</v>
      </c>
      <c r="H5693" s="3" t="str">
        <f t="shared" si="1"/>
        <v>(adv): không ngờ</v>
      </c>
      <c r="I5693" s="6" t="s">
        <v>31017</v>
      </c>
      <c r="J5693" s="6" t="s">
        <v>31018</v>
      </c>
      <c r="K5693" s="7">
        <f t="shared" si="2"/>
        <v>0.2774273902</v>
      </c>
    </row>
    <row r="5694">
      <c r="A5694" s="4">
        <v>5694.0</v>
      </c>
      <c r="B5694" s="5" t="s">
        <v>31019</v>
      </c>
      <c r="C5694" s="5" t="s">
        <v>31020</v>
      </c>
      <c r="D5694" s="5" t="s">
        <v>31021</v>
      </c>
      <c r="E5694" s="6" t="s">
        <v>74</v>
      </c>
      <c r="F5694" s="6" t="s">
        <v>9075</v>
      </c>
      <c r="G5694" s="3" t="str">
        <f>IFERROR(__xludf.DUMMYFUNCTION("REGEXREPLACE(
D5694,
""([一-龯々]+)\[([^\]]+)\]"",
""&lt;ruby&gt;$1&lt;rt&gt;$2&lt;/rt&gt;&lt;/ruby&gt;""
)&amp;""&lt;br&gt;&lt;div class=""""audio""""&gt;[sound:""&amp;C5694&amp;"".mp3]&lt;/div&gt;"""),"&lt;ruby&gt;昼御飯&lt;rt&gt;ひるごはん&lt;/rt&gt;&lt;/ruby&gt;&lt;br&gt;&lt;div class=""audio""&gt;[sound:ひるごはん.mp3]&lt;/div&gt;")</f>
        <v>&lt;ruby&gt;昼御飯&lt;rt&gt;ひるごはん&lt;/rt&gt;&lt;/ruby&gt;&lt;br&gt;&lt;div class="audio"&gt;[sound:ひるごはん.mp3]&lt;/div&gt;</v>
      </c>
      <c r="H5694" s="3" t="str">
        <f t="shared" si="1"/>
        <v>(n): bữa trưa</v>
      </c>
      <c r="I5694" s="6" t="s">
        <v>31022</v>
      </c>
      <c r="J5694" s="6" t="s">
        <v>22885</v>
      </c>
      <c r="K5694" s="7">
        <f t="shared" si="2"/>
        <v>0.3773515555</v>
      </c>
    </row>
    <row r="5695">
      <c r="A5695" s="4">
        <v>5695.0</v>
      </c>
      <c r="B5695" s="5" t="s">
        <v>31023</v>
      </c>
      <c r="C5695" s="5" t="s">
        <v>26334</v>
      </c>
      <c r="D5695" s="5" t="s">
        <v>31024</v>
      </c>
      <c r="E5695" s="6" t="s">
        <v>74</v>
      </c>
      <c r="F5695" s="6" t="s">
        <v>31025</v>
      </c>
      <c r="G5695" s="3" t="str">
        <f>IFERROR(__xludf.DUMMYFUNCTION("REGEXREPLACE(
D5695,
""([一-龯々]+)\[([^\]]+)\]"",
""&lt;ruby&gt;$1&lt;rt&gt;$2&lt;/rt&gt;&lt;/ruby&gt;""
)&amp;""&lt;br&gt;&lt;div class=""""audio""""&gt;[sound:""&amp;C5695&amp;"".mp3]&lt;/div&gt;"""),"&lt;ruby&gt;気候&lt;rt&gt;きこう&lt;/rt&gt;&lt;/ruby&gt;&lt;br&gt;&lt;div class=""audio""&gt;[sound:きこう.mp3]&lt;/div&gt;")</f>
        <v>&lt;ruby&gt;気候&lt;rt&gt;きこう&lt;/rt&gt;&lt;/ruby&gt;&lt;br&gt;&lt;div class="audio"&gt;[sound:きこう.mp3]&lt;/div&gt;</v>
      </c>
      <c r="H5695" s="3" t="str">
        <f t="shared" si="1"/>
        <v>(n): khí hậu</v>
      </c>
      <c r="I5695" s="6" t="s">
        <v>31026</v>
      </c>
      <c r="J5695" s="6" t="s">
        <v>31027</v>
      </c>
      <c r="K5695" s="7">
        <f t="shared" si="2"/>
        <v>0.8460161498</v>
      </c>
    </row>
    <row r="5696">
      <c r="A5696" s="4">
        <v>5696.0</v>
      </c>
      <c r="B5696" s="5" t="s">
        <v>31028</v>
      </c>
      <c r="C5696" s="5" t="s">
        <v>31029</v>
      </c>
      <c r="D5696" s="5" t="s">
        <v>31030</v>
      </c>
      <c r="E5696" s="6" t="s">
        <v>74</v>
      </c>
      <c r="F5696" s="6" t="s">
        <v>31031</v>
      </c>
      <c r="G5696" s="3" t="str">
        <f>IFERROR(__xludf.DUMMYFUNCTION("REGEXREPLACE(
D5696,
""([一-龯々]+)\[([^\]]+)\]"",
""&lt;ruby&gt;$1&lt;rt&gt;$2&lt;/rt&gt;&lt;/ruby&gt;""
)&amp;""&lt;br&gt;&lt;div class=""""audio""""&gt;[sound:""&amp;C5696&amp;"".mp3]&lt;/div&gt;"""),"&lt;ruby&gt;家畜&lt;rt&gt;かちく&lt;/rt&gt;&lt;/ruby&gt;&lt;br&gt;&lt;div class=""audio""&gt;[sound:かちく.mp3]&lt;/div&gt;")</f>
        <v>&lt;ruby&gt;家畜&lt;rt&gt;かちく&lt;/rt&gt;&lt;/ruby&gt;&lt;br&gt;&lt;div class="audio"&gt;[sound:かちく.mp3]&lt;/div&gt;</v>
      </c>
      <c r="H5696" s="3" t="str">
        <f t="shared" si="1"/>
        <v>(n): gia súc</v>
      </c>
      <c r="I5696" s="6" t="s">
        <v>31032</v>
      </c>
      <c r="J5696" s="6" t="s">
        <v>31033</v>
      </c>
      <c r="K5696" s="7">
        <f t="shared" si="2"/>
        <v>0.4529273704</v>
      </c>
    </row>
    <row r="5697">
      <c r="A5697" s="4">
        <v>5697.0</v>
      </c>
      <c r="B5697" s="5" t="s">
        <v>31034</v>
      </c>
      <c r="C5697" s="5" t="s">
        <v>31035</v>
      </c>
      <c r="D5697" s="5" t="s">
        <v>31036</v>
      </c>
      <c r="E5697" s="6" t="s">
        <v>24</v>
      </c>
      <c r="F5697" s="6" t="s">
        <v>31037</v>
      </c>
      <c r="G5697" s="3" t="str">
        <f>IFERROR(__xludf.DUMMYFUNCTION("REGEXREPLACE(
D5697,
""([一-龯々]+)\[([^\]]+)\]"",
""&lt;ruby&gt;$1&lt;rt&gt;$2&lt;/rt&gt;&lt;/ruby&gt;""
)&amp;""&lt;br&gt;&lt;div class=""""audio""""&gt;[sound:""&amp;C5697&amp;"".mp3]&lt;/div&gt;"""),"&lt;ruby&gt;映&lt;rt&gt;は&lt;/rt&gt;&lt;/ruby&gt;える&lt;br&gt;&lt;div class=""audio""&gt;[sound:はえる.mp3]&lt;/div&gt;")</f>
        <v>&lt;ruby&gt;映&lt;rt&gt;は&lt;/rt&gt;&lt;/ruby&gt;える&lt;br&gt;&lt;div class="audio"&gt;[sound:はえる.mp3]&lt;/div&gt;</v>
      </c>
      <c r="H5697" s="3" t="str">
        <f t="shared" si="1"/>
        <v>(v): ánh lên</v>
      </c>
      <c r="I5697" s="6" t="s">
        <v>31038</v>
      </c>
      <c r="J5697" s="6" t="s">
        <v>31039</v>
      </c>
      <c r="K5697" s="7">
        <f t="shared" si="2"/>
        <v>0.6508084763</v>
      </c>
    </row>
    <row r="5698">
      <c r="A5698" s="4">
        <v>5698.0</v>
      </c>
      <c r="B5698" s="5" t="s">
        <v>31040</v>
      </c>
      <c r="C5698" s="5" t="s">
        <v>1019</v>
      </c>
      <c r="D5698" s="5" t="s">
        <v>31041</v>
      </c>
      <c r="E5698" s="6" t="s">
        <v>24</v>
      </c>
      <c r="F5698" s="6" t="s">
        <v>11761</v>
      </c>
      <c r="G5698" s="3" t="str">
        <f>IFERROR(__xludf.DUMMYFUNCTION("REGEXREPLACE(
D5698,
""([一-龯々]+)\[([^\]]+)\]"",
""&lt;ruby&gt;$1&lt;rt&gt;$2&lt;/rt&gt;&lt;/ruby&gt;""
)&amp;""&lt;br&gt;&lt;div class=""""audio""""&gt;[sound:""&amp;C5698&amp;"".mp3]&lt;/div&gt;"""),"&lt;ruby&gt;断&lt;rt&gt;た&lt;/rt&gt;&lt;/ruby&gt;つ&lt;br&gt;&lt;div class=""audio""&gt;[sound:たつ.mp3]&lt;/div&gt;")</f>
        <v>&lt;ruby&gt;断&lt;rt&gt;た&lt;/rt&gt;&lt;/ruby&gt;つ&lt;br&gt;&lt;div class="audio"&gt;[sound:たつ.mp3]&lt;/div&gt;</v>
      </c>
      <c r="H5698" s="3" t="str">
        <f t="shared" si="1"/>
        <v>(v): cắt đứt</v>
      </c>
      <c r="I5698" s="6" t="s">
        <v>31042</v>
      </c>
      <c r="J5698" s="6" t="s">
        <v>31043</v>
      </c>
      <c r="K5698" s="7">
        <f t="shared" si="2"/>
        <v>0.3014662947</v>
      </c>
    </row>
    <row r="5699">
      <c r="A5699" s="4">
        <v>5699.0</v>
      </c>
      <c r="B5699" s="5" t="s">
        <v>31044</v>
      </c>
      <c r="C5699" s="5" t="s">
        <v>31045</v>
      </c>
      <c r="D5699" s="5" t="s">
        <v>31046</v>
      </c>
      <c r="E5699" s="6" t="s">
        <v>24</v>
      </c>
      <c r="F5699" s="6" t="s">
        <v>11905</v>
      </c>
      <c r="G5699" s="3" t="str">
        <f>IFERROR(__xludf.DUMMYFUNCTION("REGEXREPLACE(
D5699,
""([一-龯々]+)\[([^\]]+)\]"",
""&lt;ruby&gt;$1&lt;rt&gt;$2&lt;/rt&gt;&lt;/ruby&gt;""
)&amp;""&lt;br&gt;&lt;div class=""""audio""""&gt;[sound:""&amp;C5699&amp;"".mp3]&lt;/div&gt;"""),"&lt;ruby&gt;横切&lt;rt&gt;よこぎ&lt;/rt&gt;&lt;/ruby&gt;る&lt;br&gt;&lt;div class=""audio""&gt;[sound:よこぎる.mp3]&lt;/div&gt;")</f>
        <v>&lt;ruby&gt;横切&lt;rt&gt;よこぎ&lt;/rt&gt;&lt;/ruby&gt;る&lt;br&gt;&lt;div class="audio"&gt;[sound:よこぎる.mp3]&lt;/div&gt;</v>
      </c>
      <c r="H5699" s="3" t="str">
        <f t="shared" si="1"/>
        <v>(v): băng qua</v>
      </c>
      <c r="I5699" s="6" t="s">
        <v>31047</v>
      </c>
      <c r="J5699" s="6" t="s">
        <v>31048</v>
      </c>
      <c r="K5699" s="7">
        <f t="shared" si="2"/>
        <v>0.5445025641</v>
      </c>
    </row>
    <row r="5700">
      <c r="A5700" s="4">
        <v>5700.0</v>
      </c>
      <c r="B5700" s="5" t="s">
        <v>31049</v>
      </c>
      <c r="C5700" s="5" t="s">
        <v>31050</v>
      </c>
      <c r="D5700" s="5" t="s">
        <v>31051</v>
      </c>
      <c r="E5700" s="6" t="s">
        <v>74</v>
      </c>
      <c r="F5700" s="6" t="s">
        <v>31052</v>
      </c>
      <c r="G5700" s="3" t="str">
        <f>IFERROR(__xludf.DUMMYFUNCTION("REGEXREPLACE(
D5700,
""([一-龯々]+)\[([^\]]+)\]"",
""&lt;ruby&gt;$1&lt;rt&gt;$2&lt;/rt&gt;&lt;/ruby&gt;""
)&amp;""&lt;br&gt;&lt;div class=""""audio""""&gt;[sound:""&amp;C5700&amp;"".mp3]&lt;/div&gt;"""),"&lt;ruby&gt;歩道&lt;rt&gt;ほどう&lt;/rt&gt;&lt;/ruby&gt;&lt;br&gt;&lt;div class=""audio""&gt;[sound:ほどう.mp3]&lt;/div&gt;")</f>
        <v>&lt;ruby&gt;歩道&lt;rt&gt;ほどう&lt;/rt&gt;&lt;/ruby&gt;&lt;br&gt;&lt;div class="audio"&gt;[sound:ほどう.mp3]&lt;/div&gt;</v>
      </c>
      <c r="H5700" s="3" t="str">
        <f t="shared" si="1"/>
        <v>(n): vỉa hè</v>
      </c>
      <c r="I5700" s="6" t="s">
        <v>31053</v>
      </c>
      <c r="J5700" s="6" t="s">
        <v>31054</v>
      </c>
      <c r="K5700" s="7">
        <f t="shared" si="2"/>
        <v>0.2293569799</v>
      </c>
    </row>
    <row r="5701">
      <c r="A5701" s="4">
        <v>5701.0</v>
      </c>
      <c r="B5701" s="5" t="s">
        <v>31055</v>
      </c>
      <c r="C5701" s="5" t="s">
        <v>6543</v>
      </c>
      <c r="D5701" s="5" t="s">
        <v>31056</v>
      </c>
      <c r="E5701" s="6" t="s">
        <v>24</v>
      </c>
      <c r="F5701" s="6" t="s">
        <v>31057</v>
      </c>
      <c r="G5701" s="3" t="str">
        <f>IFERROR(__xludf.DUMMYFUNCTION("REGEXREPLACE(
D5701,
""([一-龯々]+)\[([^\]]+)\]"",
""&lt;ruby&gt;$1&lt;rt&gt;$2&lt;/rt&gt;&lt;/ruby&gt;""
)&amp;""&lt;br&gt;&lt;div class=""""audio""""&gt;[sound:""&amp;C5701&amp;"".mp3]&lt;/div&gt;"""),"&lt;ruby&gt;挿&lt;rt&gt;さ&lt;/rt&gt;&lt;/ruby&gt;す&lt;br&gt;&lt;div class=""audio""&gt;[sound:さす.mp3]&lt;/div&gt;")</f>
        <v>&lt;ruby&gt;挿&lt;rt&gt;さ&lt;/rt&gt;&lt;/ruby&gt;す&lt;br&gt;&lt;div class="audio"&gt;[sound:さす.mp3]&lt;/div&gt;</v>
      </c>
      <c r="H5701" s="3" t="str">
        <f t="shared" si="1"/>
        <v>(v): cắm</v>
      </c>
      <c r="I5701" s="6" t="s">
        <v>31058</v>
      </c>
      <c r="J5701" s="6" t="s">
        <v>31059</v>
      </c>
      <c r="K5701" s="7">
        <f t="shared" si="2"/>
        <v>0.02086075776</v>
      </c>
    </row>
    <row r="5702">
      <c r="A5702" s="4">
        <v>5702.0</v>
      </c>
      <c r="B5702" s="5" t="s">
        <v>31060</v>
      </c>
      <c r="C5702" s="5" t="s">
        <v>31061</v>
      </c>
      <c r="D5702" s="5" t="s">
        <v>31062</v>
      </c>
      <c r="E5702" s="6" t="s">
        <v>74</v>
      </c>
      <c r="F5702" s="6" t="s">
        <v>2358</v>
      </c>
      <c r="G5702" s="3" t="str">
        <f>IFERROR(__xludf.DUMMYFUNCTION("REGEXREPLACE(
D5702,
""([一-龯々]+)\[([^\]]+)\]"",
""&lt;ruby&gt;$1&lt;rt&gt;$2&lt;/rt&gt;&lt;/ruby&gt;""
)&amp;""&lt;br&gt;&lt;div class=""""audio""""&gt;[sound:""&amp;C5702&amp;"".mp3]&lt;/div&gt;"""),"&lt;ruby&gt;札&lt;rt&gt;ふだ&lt;/rt&gt;&lt;/ruby&gt;&lt;br&gt;&lt;div class=""audio""&gt;[sound:ふだ.mp3]&lt;/div&gt;")</f>
        <v>&lt;ruby&gt;札&lt;rt&gt;ふだ&lt;/rt&gt;&lt;/ruby&gt;&lt;br&gt;&lt;div class="audio"&gt;[sound:ふだ.mp3]&lt;/div&gt;</v>
      </c>
      <c r="H5702" s="3" t="str">
        <f t="shared" si="1"/>
        <v>(n): thẻ</v>
      </c>
      <c r="I5702" s="6" t="s">
        <v>31063</v>
      </c>
      <c r="J5702" s="6" t="s">
        <v>31064</v>
      </c>
      <c r="K5702" s="7">
        <f t="shared" si="2"/>
        <v>0.5344380016</v>
      </c>
    </row>
    <row r="5703">
      <c r="A5703" s="4">
        <v>5703.0</v>
      </c>
      <c r="B5703" s="5" t="s">
        <v>31065</v>
      </c>
      <c r="C5703" s="5" t="s">
        <v>31066</v>
      </c>
      <c r="D5703" s="5" t="s">
        <v>31067</v>
      </c>
      <c r="E5703" s="6" t="s">
        <v>11</v>
      </c>
      <c r="F5703" s="6" t="s">
        <v>31068</v>
      </c>
      <c r="G5703" s="3" t="str">
        <f>IFERROR(__xludf.DUMMYFUNCTION("REGEXREPLACE(
D5703,
""([一-龯々]+)\[([^\]]+)\]"",
""&lt;ruby&gt;$1&lt;rt&gt;$2&lt;/rt&gt;&lt;/ruby&gt;""
)&amp;""&lt;br&gt;&lt;div class=""""audio""""&gt;[sound:""&amp;C5703&amp;"".mp3]&lt;/div&gt;"""),"&lt;ruby&gt;寛容&lt;rt&gt;かんよう&lt;/rt&gt;&lt;/ruby&gt;&lt;br&gt;&lt;div class=""audio""&gt;[sound:かんよう.mp3]&lt;/div&gt;")</f>
        <v>&lt;ruby&gt;寛容&lt;rt&gt;かんよう&lt;/rt&gt;&lt;/ruby&gt;&lt;br&gt;&lt;div class="audio"&gt;[sound:かんよう.mp3]&lt;/div&gt;</v>
      </c>
      <c r="H5703" s="3" t="str">
        <f t="shared" si="1"/>
        <v>(adj): bao dung</v>
      </c>
      <c r="I5703" s="6" t="s">
        <v>31069</v>
      </c>
      <c r="J5703" s="6" t="s">
        <v>31070</v>
      </c>
      <c r="K5703" s="7">
        <f t="shared" si="2"/>
        <v>0.306892359</v>
      </c>
    </row>
    <row r="5704">
      <c r="A5704" s="4">
        <v>5704.0</v>
      </c>
      <c r="B5704" s="5" t="s">
        <v>31071</v>
      </c>
      <c r="C5704" s="5" t="s">
        <v>31072</v>
      </c>
      <c r="D5704" s="5" t="s">
        <v>31073</v>
      </c>
      <c r="E5704" s="6" t="s">
        <v>74</v>
      </c>
      <c r="F5704" s="6" t="s">
        <v>31074</v>
      </c>
      <c r="G5704" s="3" t="str">
        <f>IFERROR(__xludf.DUMMYFUNCTION("REGEXREPLACE(
D5704,
""([一-龯々]+)\[([^\]]+)\]"",
""&lt;ruby&gt;$1&lt;rt&gt;$2&lt;/rt&gt;&lt;/ruby&gt;""
)&amp;""&lt;br&gt;&lt;div class=""""audio""""&gt;[sound:""&amp;C5704&amp;"".mp3]&lt;/div&gt;"""),"&lt;ruby&gt;差額&lt;rt&gt;さがく&lt;/rt&gt;&lt;/ruby&gt;&lt;br&gt;&lt;div class=""audio""&gt;[sound:さがく.mp3]&lt;/div&gt;")</f>
        <v>&lt;ruby&gt;差額&lt;rt&gt;さがく&lt;/rt&gt;&lt;/ruby&gt;&lt;br&gt;&lt;div class="audio"&gt;[sound:さがく.mp3]&lt;/div&gt;</v>
      </c>
      <c r="H5704" s="3" t="str">
        <f t="shared" si="1"/>
        <v>(n): số tiền chênh lệch</v>
      </c>
      <c r="I5704" s="6" t="s">
        <v>31075</v>
      </c>
      <c r="J5704" s="6" t="s">
        <v>31076</v>
      </c>
      <c r="K5704" s="7">
        <f t="shared" si="2"/>
        <v>0.8431143412</v>
      </c>
    </row>
    <row r="5705">
      <c r="A5705" s="4">
        <v>5705.0</v>
      </c>
      <c r="B5705" s="5" t="s">
        <v>31077</v>
      </c>
      <c r="C5705" s="5" t="s">
        <v>31078</v>
      </c>
      <c r="D5705" s="5" t="s">
        <v>31079</v>
      </c>
      <c r="E5705" s="6" t="s">
        <v>74</v>
      </c>
      <c r="F5705" s="6" t="s">
        <v>31080</v>
      </c>
      <c r="G5705" s="3" t="str">
        <f>IFERROR(__xludf.DUMMYFUNCTION("REGEXREPLACE(
D5705,
""([一-龯々]+)\[([^\]]+)\]"",
""&lt;ruby&gt;$1&lt;rt&gt;$2&lt;/rt&gt;&lt;/ruby&gt;""
)&amp;""&lt;br&gt;&lt;div class=""""audio""""&gt;[sound:""&amp;C5705&amp;"".mp3]&lt;/div&gt;"""),"&lt;ruby&gt;座談会&lt;rt&gt;ざだんかい&lt;/rt&gt;&lt;/ruby&gt;&lt;br&gt;&lt;div class=""audio""&gt;[sound:ざだんかい.mp3]&lt;/div&gt;")</f>
        <v>&lt;ruby&gt;座談会&lt;rt&gt;ざだんかい&lt;/rt&gt;&lt;/ruby&gt;&lt;br&gt;&lt;div class="audio"&gt;[sound:ざだんかい.mp3]&lt;/div&gt;</v>
      </c>
      <c r="H5705" s="3" t="str">
        <f t="shared" si="1"/>
        <v>(n): buổi tọa đàm</v>
      </c>
      <c r="I5705" s="6" t="s">
        <v>31081</v>
      </c>
      <c r="J5705" s="6" t="s">
        <v>31082</v>
      </c>
      <c r="K5705" s="7">
        <f t="shared" si="2"/>
        <v>0.1203994061</v>
      </c>
    </row>
    <row r="5706">
      <c r="A5706" s="4">
        <v>5706.0</v>
      </c>
      <c r="B5706" s="5" t="s">
        <v>31083</v>
      </c>
      <c r="C5706" s="5" t="s">
        <v>31084</v>
      </c>
      <c r="D5706" s="5" t="s">
        <v>31085</v>
      </c>
      <c r="E5706" s="6" t="s">
        <v>24</v>
      </c>
      <c r="F5706" s="6" t="s">
        <v>9544</v>
      </c>
      <c r="G5706" s="3" t="str">
        <f>IFERROR(__xludf.DUMMYFUNCTION("REGEXREPLACE(
D5706,
""([一-龯々]+)\[([^\]]+)\]"",
""&lt;ruby&gt;$1&lt;rt&gt;$2&lt;/rt&gt;&lt;/ruby&gt;""
)&amp;""&lt;br&gt;&lt;div class=""""audio""""&gt;[sound:""&amp;C5706&amp;"".mp3]&lt;/div&gt;"""),"&lt;ruby&gt;意気込&lt;rt&gt;いきご&lt;/rt&gt;&lt;/ruby&gt;む&lt;br&gt;&lt;div class=""audio""&gt;[sound:いきごむ.mp3]&lt;/div&gt;")</f>
        <v>&lt;ruby&gt;意気込&lt;rt&gt;いきご&lt;/rt&gt;&lt;/ruby&gt;む&lt;br&gt;&lt;div class="audio"&gt;[sound:いきごむ.mp3]&lt;/div&gt;</v>
      </c>
      <c r="H5706" s="3" t="str">
        <f t="shared" si="1"/>
        <v>(v): quyết tâm</v>
      </c>
      <c r="I5706" s="6" t="s">
        <v>31086</v>
      </c>
      <c r="J5706" s="6" t="s">
        <v>31087</v>
      </c>
      <c r="K5706" s="7">
        <f t="shared" si="2"/>
        <v>0.8586953759</v>
      </c>
    </row>
    <row r="5707">
      <c r="A5707" s="4">
        <v>5707.0</v>
      </c>
      <c r="B5707" s="5" t="s">
        <v>31088</v>
      </c>
      <c r="C5707" s="5" t="s">
        <v>31089</v>
      </c>
      <c r="D5707" s="5" t="s">
        <v>31090</v>
      </c>
      <c r="E5707" s="6" t="s">
        <v>24</v>
      </c>
      <c r="F5707" s="6" t="s">
        <v>31091</v>
      </c>
      <c r="G5707" s="3" t="str">
        <f>IFERROR(__xludf.DUMMYFUNCTION("REGEXREPLACE(
D5707,
""([一-龯々]+)\[([^\]]+)\]"",
""&lt;ruby&gt;$1&lt;rt&gt;$2&lt;/rt&gt;&lt;/ruby&gt;""
)&amp;""&lt;br&gt;&lt;div class=""""audio""""&gt;[sound:""&amp;C5707&amp;"".mp3]&lt;/div&gt;"""),"&lt;ruby&gt;引取&lt;rt&gt;ひきと&lt;/rt&gt;&lt;/ruby&gt;る&lt;br&gt;&lt;div class=""audio""&gt;[sound:ひきとる.mp3]&lt;/div&gt;")</f>
        <v>&lt;ruby&gt;引取&lt;rt&gt;ひきと&lt;/rt&gt;&lt;/ruby&gt;る&lt;br&gt;&lt;div class="audio"&gt;[sound:ひきとる.mp3]&lt;/div&gt;</v>
      </c>
      <c r="H5707" s="3" t="str">
        <f t="shared" si="1"/>
        <v>(v): nhận về</v>
      </c>
      <c r="I5707" s="6" t="s">
        <v>31092</v>
      </c>
      <c r="J5707" s="6" t="s">
        <v>31093</v>
      </c>
      <c r="K5707" s="7">
        <f t="shared" si="2"/>
        <v>0.3011445149</v>
      </c>
    </row>
    <row r="5708">
      <c r="A5708" s="4">
        <v>5708.0</v>
      </c>
      <c r="B5708" s="5" t="s">
        <v>31094</v>
      </c>
      <c r="C5708" s="5" t="s">
        <v>31095</v>
      </c>
      <c r="D5708" s="5" t="s">
        <v>31096</v>
      </c>
      <c r="E5708" s="6" t="s">
        <v>24</v>
      </c>
      <c r="F5708" s="6" t="s">
        <v>12872</v>
      </c>
      <c r="G5708" s="3" t="str">
        <f>IFERROR(__xludf.DUMMYFUNCTION("REGEXREPLACE(
D5708,
""([一-龯々]+)\[([^\]]+)\]"",
""&lt;ruby&gt;$1&lt;rt&gt;$2&lt;/rt&gt;&lt;/ruby&gt;""
)&amp;""&lt;br&gt;&lt;div class=""""audio""""&gt;[sound:""&amp;C5708&amp;"".mp3]&lt;/div&gt;"""),"&lt;ruby&gt;据&lt;rt&gt;す&lt;/rt&gt;&lt;/ruby&gt;え&lt;ruby&gt;付&lt;rt&gt;つ&lt;/rt&gt;&lt;/ruby&gt;ける&lt;br&gt;&lt;div class=""audio""&gt;[sound:すえつける.mp3]&lt;/div&gt;")</f>
        <v>&lt;ruby&gt;据&lt;rt&gt;す&lt;/rt&gt;&lt;/ruby&gt;え&lt;ruby&gt;付&lt;rt&gt;つ&lt;/rt&gt;&lt;/ruby&gt;ける&lt;br&gt;&lt;div class="audio"&gt;[sound:すえつける.mp3]&lt;/div&gt;</v>
      </c>
      <c r="H5708" s="3" t="str">
        <f t="shared" si="1"/>
        <v>(v): lắp đặt</v>
      </c>
      <c r="I5708" s="6" t="s">
        <v>31097</v>
      </c>
      <c r="J5708" s="6" t="s">
        <v>12874</v>
      </c>
      <c r="K5708" s="7">
        <f t="shared" si="2"/>
        <v>0.03083542239</v>
      </c>
    </row>
    <row r="5709">
      <c r="A5709" s="4">
        <v>5709.0</v>
      </c>
      <c r="B5709" s="5" t="s">
        <v>31098</v>
      </c>
      <c r="C5709" s="5" t="s">
        <v>31099</v>
      </c>
      <c r="D5709" s="5" t="s">
        <v>31100</v>
      </c>
      <c r="E5709" s="6" t="s">
        <v>11</v>
      </c>
      <c r="F5709" s="6" t="s">
        <v>31101</v>
      </c>
      <c r="G5709" s="3" t="str">
        <f>IFERROR(__xludf.DUMMYFUNCTION("REGEXREPLACE(
D5709,
""([一-龯々]+)\[([^\]]+)\]"",
""&lt;ruby&gt;$1&lt;rt&gt;$2&lt;/rt&gt;&lt;/ruby&gt;""
)&amp;""&lt;br&gt;&lt;div class=""""audio""""&gt;[sound:""&amp;C5709&amp;"".mp3]&lt;/div&gt;"""),"&lt;ruby&gt;憂鬱&lt;rt&gt;ゆううつ&lt;/rt&gt;&lt;/ruby&gt;&lt;br&gt;&lt;div class=""audio""&gt;[sound:ゆううつ.mp3]&lt;/div&gt;")</f>
        <v>&lt;ruby&gt;憂鬱&lt;rt&gt;ゆううつ&lt;/rt&gt;&lt;/ruby&gt;&lt;br&gt;&lt;div class="audio"&gt;[sound:ゆううつ.mp3]&lt;/div&gt;</v>
      </c>
      <c r="H5709" s="3" t="str">
        <f t="shared" si="1"/>
        <v>(adj): u uất</v>
      </c>
      <c r="I5709" s="6" t="s">
        <v>31102</v>
      </c>
      <c r="J5709" s="6" t="s">
        <v>31103</v>
      </c>
      <c r="K5709" s="7">
        <f t="shared" si="2"/>
        <v>0.649193037</v>
      </c>
    </row>
    <row r="5710">
      <c r="A5710" s="4">
        <v>5710.0</v>
      </c>
      <c r="B5710" s="5" t="s">
        <v>31104</v>
      </c>
      <c r="C5710" s="5" t="s">
        <v>31105</v>
      </c>
      <c r="D5710" s="5" t="s">
        <v>31106</v>
      </c>
      <c r="E5710" s="6" t="s">
        <v>74</v>
      </c>
      <c r="F5710" s="6" t="s">
        <v>21741</v>
      </c>
      <c r="G5710" s="3" t="str">
        <f>IFERROR(__xludf.DUMMYFUNCTION("REGEXREPLACE(
D5710,
""([一-龯々]+)\[([^\]]+)\]"",
""&lt;ruby&gt;$1&lt;rt&gt;$2&lt;/rt&gt;&lt;/ruby&gt;""
)&amp;""&lt;br&gt;&lt;div class=""""audio""""&gt;[sound:""&amp;C5710&amp;"".mp3]&lt;/div&gt;"""),"&lt;ruby&gt;戯曲&lt;rt&gt;ぎきょく&lt;/rt&gt;&lt;/ruby&gt;&lt;br&gt;&lt;div class=""audio""&gt;[sound:ぎきょく.mp3]&lt;/div&gt;")</f>
        <v>&lt;ruby&gt;戯曲&lt;rt&gt;ぎきょく&lt;/rt&gt;&lt;/ruby&gt;&lt;br&gt;&lt;div class="audio"&gt;[sound:ぎきょく.mp3]&lt;/div&gt;</v>
      </c>
      <c r="H5710" s="3" t="str">
        <f t="shared" si="1"/>
        <v>(n): kịch</v>
      </c>
      <c r="I5710" s="6" t="s">
        <v>31107</v>
      </c>
      <c r="J5710" s="6" t="s">
        <v>31108</v>
      </c>
      <c r="K5710" s="7">
        <f t="shared" si="2"/>
        <v>0.5637531023</v>
      </c>
    </row>
    <row r="5711">
      <c r="A5711" s="4">
        <v>5711.0</v>
      </c>
      <c r="B5711" s="5" t="s">
        <v>31109</v>
      </c>
      <c r="C5711" s="5" t="s">
        <v>31110</v>
      </c>
      <c r="D5711" s="5" t="s">
        <v>31111</v>
      </c>
      <c r="E5711" s="6" t="s">
        <v>74</v>
      </c>
      <c r="F5711" s="6" t="s">
        <v>31112</v>
      </c>
      <c r="G5711" s="3" t="str">
        <f>IFERROR(__xludf.DUMMYFUNCTION("REGEXREPLACE(
D5711,
""([一-龯々]+)\[([^\]]+)\]"",
""&lt;ruby&gt;$1&lt;rt&gt;$2&lt;/rt&gt;&lt;/ruby&gt;""
)&amp;""&lt;br&gt;&lt;div class=""""audio""""&gt;[sound:""&amp;C5711&amp;"".mp3]&lt;/div&gt;"""),"&lt;ruby&gt;家出&lt;rt&gt;いえで&lt;/rt&gt;&lt;/ruby&gt;&lt;br&gt;&lt;div class=""audio""&gt;[sound:いえで.mp3]&lt;/div&gt;")</f>
        <v>&lt;ruby&gt;家出&lt;rt&gt;いえで&lt;/rt&gt;&lt;/ruby&gt;&lt;br&gt;&lt;div class="audio"&gt;[sound:いえで.mp3]&lt;/div&gt;</v>
      </c>
      <c r="H5711" s="3" t="str">
        <f t="shared" si="1"/>
        <v>(n): bỏ nhà</v>
      </c>
      <c r="I5711" s="6" t="s">
        <v>31113</v>
      </c>
      <c r="J5711" s="6" t="s">
        <v>31114</v>
      </c>
      <c r="K5711" s="7">
        <f t="shared" si="2"/>
        <v>0.5775304997</v>
      </c>
    </row>
    <row r="5712">
      <c r="A5712" s="4">
        <v>5712.0</v>
      </c>
      <c r="B5712" s="5" t="s">
        <v>31115</v>
      </c>
      <c r="C5712" s="5" t="s">
        <v>31116</v>
      </c>
      <c r="D5712" s="5" t="s">
        <v>31117</v>
      </c>
      <c r="E5712" s="6" t="s">
        <v>74</v>
      </c>
      <c r="F5712" s="6" t="s">
        <v>31118</v>
      </c>
      <c r="G5712" s="3" t="str">
        <f>IFERROR(__xludf.DUMMYFUNCTION("REGEXREPLACE(
D5712,
""([一-龯々]+)\[([^\]]+)\]"",
""&lt;ruby&gt;$1&lt;rt&gt;$2&lt;/rt&gt;&lt;/ruby&gt;""
)&amp;""&lt;br&gt;&lt;div class=""""audio""""&gt;[sound:""&amp;C5712&amp;"".mp3]&lt;/div&gt;"""),"&lt;ruby&gt;方々&lt;rt&gt;かたがた&lt;/rt&gt;&lt;/ruby&gt;&lt;br&gt;&lt;div class=""audio""&gt;[sound:かたがた.mp3]&lt;/div&gt;")</f>
        <v>&lt;ruby&gt;方々&lt;rt&gt;かたがた&lt;/rt&gt;&lt;/ruby&gt;&lt;br&gt;&lt;div class="audio"&gt;[sound:かたがた.mp3]&lt;/div&gt;</v>
      </c>
      <c r="H5712" s="3" t="str">
        <f t="shared" si="1"/>
        <v>(n): các vị</v>
      </c>
      <c r="I5712" s="6" t="s">
        <v>31119</v>
      </c>
      <c r="J5712" s="6" t="s">
        <v>31120</v>
      </c>
      <c r="K5712" s="7">
        <f t="shared" si="2"/>
        <v>0.1866620465</v>
      </c>
    </row>
    <row r="5713">
      <c r="A5713" s="4">
        <v>5713.0</v>
      </c>
      <c r="B5713" s="5" t="s">
        <v>31121</v>
      </c>
      <c r="C5713" s="5" t="s">
        <v>31122</v>
      </c>
      <c r="D5713" s="5" t="s">
        <v>31123</v>
      </c>
      <c r="E5713" s="6" t="s">
        <v>74</v>
      </c>
      <c r="F5713" s="6" t="s">
        <v>31124</v>
      </c>
      <c r="G5713" s="3" t="str">
        <f>IFERROR(__xludf.DUMMYFUNCTION("REGEXREPLACE(
D5713,
""([一-龯々]+)\[([^\]]+)\]"",
""&lt;ruby&gt;$1&lt;rt&gt;$2&lt;/rt&gt;&lt;/ruby&gt;""
)&amp;""&lt;br&gt;&lt;div class=""""audio""""&gt;[sound:""&amp;C5713&amp;"".mp3]&lt;/div&gt;"""),"&lt;ruby&gt;東西&lt;rt&gt;とうざい&lt;/rt&gt;&lt;/ruby&gt;&lt;br&gt;&lt;div class=""audio""&gt;[sound:とうざい.mp3]&lt;/div&gt;")</f>
        <v>&lt;ruby&gt;東西&lt;rt&gt;とうざい&lt;/rt&gt;&lt;/ruby&gt;&lt;br&gt;&lt;div class="audio"&gt;[sound:とうざい.mp3]&lt;/div&gt;</v>
      </c>
      <c r="H5713" s="3" t="str">
        <f t="shared" si="1"/>
        <v>(n): đông tây</v>
      </c>
      <c r="I5713" s="6" t="s">
        <v>31125</v>
      </c>
      <c r="J5713" s="6" t="s">
        <v>31126</v>
      </c>
      <c r="K5713" s="7">
        <f t="shared" si="2"/>
        <v>0.5268038515</v>
      </c>
    </row>
    <row r="5714">
      <c r="A5714" s="4">
        <v>5714.0</v>
      </c>
      <c r="B5714" s="5" t="s">
        <v>31127</v>
      </c>
      <c r="C5714" s="5" t="s">
        <v>31128</v>
      </c>
      <c r="D5714" s="5" t="s">
        <v>31129</v>
      </c>
      <c r="E5714" s="6" t="s">
        <v>74</v>
      </c>
      <c r="F5714" s="6" t="s">
        <v>31130</v>
      </c>
      <c r="G5714" s="3" t="str">
        <f>IFERROR(__xludf.DUMMYFUNCTION("REGEXREPLACE(
D5714,
""([一-龯々]+)\[([^\]]+)\]"",
""&lt;ruby&gt;$1&lt;rt&gt;$2&lt;/rt&gt;&lt;/ruby&gt;""
)&amp;""&lt;br&gt;&lt;div class=""""audio""""&gt;[sound:""&amp;C5714&amp;"".mp3]&lt;/div&gt;"""),"&lt;ruby&gt;改造&lt;rt&gt;かいぞう&lt;/rt&gt;&lt;/ruby&gt;&lt;br&gt;&lt;div class=""audio""&gt;[sound:かいぞう.mp3]&lt;/div&gt;")</f>
        <v>&lt;ruby&gt;改造&lt;rt&gt;かいぞう&lt;/rt&gt;&lt;/ruby&gt;&lt;br&gt;&lt;div class="audio"&gt;[sound:かいぞう.mp3]&lt;/div&gt;</v>
      </c>
      <c r="H5714" s="3" t="str">
        <f t="shared" si="1"/>
        <v>(n): cải tạo</v>
      </c>
      <c r="I5714" s="6" t="s">
        <v>31131</v>
      </c>
      <c r="J5714" s="6" t="s">
        <v>31132</v>
      </c>
      <c r="K5714" s="7">
        <f t="shared" si="2"/>
        <v>0.2028212613</v>
      </c>
    </row>
    <row r="5715">
      <c r="A5715" s="4">
        <v>5715.0</v>
      </c>
      <c r="B5715" s="5" t="s">
        <v>31133</v>
      </c>
      <c r="C5715" s="5" t="s">
        <v>15159</v>
      </c>
      <c r="D5715" s="5" t="s">
        <v>31134</v>
      </c>
      <c r="E5715" s="6" t="s">
        <v>74</v>
      </c>
      <c r="F5715" s="6" t="s">
        <v>31135</v>
      </c>
      <c r="G5715" s="3" t="str">
        <f>IFERROR(__xludf.DUMMYFUNCTION("REGEXREPLACE(
D5715,
""([一-龯々]+)\[([^\]]+)\]"",
""&lt;ruby&gt;$1&lt;rt&gt;$2&lt;/rt&gt;&lt;/ruby&gt;""
)&amp;""&lt;br&gt;&lt;div class=""""audio""""&gt;[sound:""&amp;C5715&amp;"".mp3]&lt;/div&gt;"""),"&lt;ruby&gt;正体&lt;rt&gt;しょうたい&lt;/rt&gt;&lt;/ruby&gt;&lt;br&gt;&lt;div class=""audio""&gt;[sound:しょうたい.mp3]&lt;/div&gt;")</f>
        <v>&lt;ruby&gt;正体&lt;rt&gt;しょうたい&lt;/rt&gt;&lt;/ruby&gt;&lt;br&gt;&lt;div class="audio"&gt;[sound:しょうたい.mp3]&lt;/div&gt;</v>
      </c>
      <c r="H5715" s="3" t="str">
        <f t="shared" si="1"/>
        <v>(n): thân phận</v>
      </c>
      <c r="I5715" s="6" t="s">
        <v>31136</v>
      </c>
      <c r="J5715" s="6" t="s">
        <v>31137</v>
      </c>
      <c r="K5715" s="7">
        <f t="shared" si="2"/>
        <v>0.8700529994</v>
      </c>
    </row>
    <row r="5716">
      <c r="A5716" s="4">
        <v>5716.0</v>
      </c>
      <c r="B5716" s="5" t="s">
        <v>31138</v>
      </c>
      <c r="C5716" s="5" t="s">
        <v>31139</v>
      </c>
      <c r="D5716" s="5" t="s">
        <v>31140</v>
      </c>
      <c r="E5716" s="6" t="s">
        <v>74</v>
      </c>
      <c r="F5716" s="6" t="s">
        <v>21536</v>
      </c>
      <c r="G5716" s="3" t="str">
        <f>IFERROR(__xludf.DUMMYFUNCTION("REGEXREPLACE(
D5716,
""([一-龯々]+)\[([^\]]+)\]"",
""&lt;ruby&gt;$1&lt;rt&gt;$2&lt;/rt&gt;&lt;/ruby&gt;""
)&amp;""&lt;br&gt;&lt;div class=""""audio""""&gt;[sound:""&amp;C5716&amp;"".mp3]&lt;/div&gt;"""),"&lt;ruby&gt;晩御飯&lt;rt&gt;ばんごはん&lt;/rt&gt;&lt;/ruby&gt;&lt;br&gt;&lt;div class=""audio""&gt;[sound:ばんごはん.mp3]&lt;/div&gt;")</f>
        <v>&lt;ruby&gt;晩御飯&lt;rt&gt;ばんごはん&lt;/rt&gt;&lt;/ruby&gt;&lt;br&gt;&lt;div class="audio"&gt;[sound:ばんごはん.mp3]&lt;/div&gt;</v>
      </c>
      <c r="H5716" s="3" t="str">
        <f t="shared" si="1"/>
        <v>(n): bữa tối</v>
      </c>
      <c r="I5716" s="6" t="s">
        <v>31141</v>
      </c>
      <c r="J5716" s="6" t="s">
        <v>21538</v>
      </c>
      <c r="K5716" s="7">
        <f t="shared" si="2"/>
        <v>0.08119100807</v>
      </c>
    </row>
    <row r="5717">
      <c r="A5717" s="4">
        <v>5717.0</v>
      </c>
      <c r="B5717" s="5" t="s">
        <v>31142</v>
      </c>
      <c r="C5717" s="5" t="s">
        <v>31143</v>
      </c>
      <c r="D5717" s="5" t="s">
        <v>31144</v>
      </c>
      <c r="E5717" s="6" t="s">
        <v>74</v>
      </c>
      <c r="F5717" s="6" t="s">
        <v>22750</v>
      </c>
      <c r="G5717" s="3" t="str">
        <f>IFERROR(__xludf.DUMMYFUNCTION("REGEXREPLACE(
D5717,
""([一-龯々]+)\[([^\]]+)\]"",
""&lt;ruby&gt;$1&lt;rt&gt;$2&lt;/rt&gt;&lt;/ruby&gt;""
)&amp;""&lt;br&gt;&lt;div class=""""audio""""&gt;[sound:""&amp;C5717&amp;"".mp3]&lt;/div&gt;"""),"&lt;ruby&gt;森林&lt;rt&gt;しんりん&lt;/rt&gt;&lt;/ruby&gt;&lt;br&gt;&lt;div class=""audio""&gt;[sound:しんりん.mp3]&lt;/div&gt;")</f>
        <v>&lt;ruby&gt;森林&lt;rt&gt;しんりん&lt;/rt&gt;&lt;/ruby&gt;&lt;br&gt;&lt;div class="audio"&gt;[sound:しんりん.mp3]&lt;/div&gt;</v>
      </c>
      <c r="H5717" s="3" t="str">
        <f t="shared" si="1"/>
        <v>(n): rừng</v>
      </c>
      <c r="I5717" s="6" t="s">
        <v>31145</v>
      </c>
      <c r="J5717" s="6" t="s">
        <v>31146</v>
      </c>
      <c r="K5717" s="7">
        <f t="shared" si="2"/>
        <v>0.3297817767</v>
      </c>
    </row>
    <row r="5718">
      <c r="A5718" s="4">
        <v>5718.0</v>
      </c>
      <c r="B5718" s="5" t="s">
        <v>31147</v>
      </c>
      <c r="C5718" s="5" t="s">
        <v>31148</v>
      </c>
      <c r="D5718" s="5" t="s">
        <v>31149</v>
      </c>
      <c r="E5718" s="6" t="s">
        <v>74</v>
      </c>
      <c r="F5718" s="6" t="s">
        <v>31150</v>
      </c>
      <c r="G5718" s="3" t="str">
        <f>IFERROR(__xludf.DUMMYFUNCTION("REGEXREPLACE(
D5718,
""([一-龯々]+)\[([^\]]+)\]"",
""&lt;ruby&gt;$1&lt;rt&gt;$2&lt;/rt&gt;&lt;/ruby&gt;""
)&amp;""&lt;br&gt;&lt;div class=""""audio""""&gt;[sound:""&amp;C5718&amp;"".mp3]&lt;/div&gt;"""),"&lt;ruby&gt;年号&lt;rt&gt;ねんごう&lt;/rt&gt;&lt;/ruby&gt;&lt;br&gt;&lt;div class=""audio""&gt;[sound:ねんごう.mp3]&lt;/div&gt;")</f>
        <v>&lt;ruby&gt;年号&lt;rt&gt;ねんごう&lt;/rt&gt;&lt;/ruby&gt;&lt;br&gt;&lt;div class="audio"&gt;[sound:ねんごう.mp3]&lt;/div&gt;</v>
      </c>
      <c r="H5718" s="3" t="str">
        <f t="shared" si="1"/>
        <v>(n): niên hiệu</v>
      </c>
      <c r="I5718" s="6" t="s">
        <v>31151</v>
      </c>
      <c r="J5718" s="6" t="s">
        <v>31152</v>
      </c>
      <c r="K5718" s="7">
        <f t="shared" si="2"/>
        <v>0.6523674286</v>
      </c>
    </row>
    <row r="5719">
      <c r="A5719" s="4">
        <v>5719.0</v>
      </c>
      <c r="B5719" s="5" t="s">
        <v>31153</v>
      </c>
      <c r="C5719" s="5" t="s">
        <v>31154</v>
      </c>
      <c r="D5719" s="5" t="s">
        <v>31155</v>
      </c>
      <c r="E5719" s="6" t="s">
        <v>74</v>
      </c>
      <c r="F5719" s="6" t="s">
        <v>31156</v>
      </c>
      <c r="G5719" s="3" t="str">
        <f>IFERROR(__xludf.DUMMYFUNCTION("REGEXREPLACE(
D5719,
""([一-龯々]+)\[([^\]]+)\]"",
""&lt;ruby&gt;$1&lt;rt&gt;$2&lt;/rt&gt;&lt;/ruby&gt;""
)&amp;""&lt;br&gt;&lt;div class=""""audio""""&gt;[sound:""&amp;C5719&amp;"".mp3]&lt;/div&gt;"""),"&lt;ruby&gt;屋敷&lt;rt&gt;やしき&lt;/rt&gt;&lt;/ruby&gt;&lt;br&gt;&lt;div class=""audio""&gt;[sound:やしき.mp3]&lt;/div&gt;")</f>
        <v>&lt;ruby&gt;屋敷&lt;rt&gt;やしき&lt;/rt&gt;&lt;/ruby&gt;&lt;br&gt;&lt;div class="audio"&gt;[sound:やしき.mp3]&lt;/div&gt;</v>
      </c>
      <c r="H5719" s="3" t="str">
        <f t="shared" si="1"/>
        <v>(n): dinh thự</v>
      </c>
      <c r="I5719" s="6" t="s">
        <v>31157</v>
      </c>
      <c r="J5719" s="6" t="s">
        <v>31158</v>
      </c>
      <c r="K5719" s="7">
        <f t="shared" si="2"/>
        <v>0.7669875847</v>
      </c>
    </row>
    <row r="5720">
      <c r="A5720" s="4">
        <v>5720.0</v>
      </c>
      <c r="B5720" s="5" t="s">
        <v>31159</v>
      </c>
      <c r="C5720" s="5" t="s">
        <v>31160</v>
      </c>
      <c r="D5720" s="5" t="s">
        <v>31161</v>
      </c>
      <c r="E5720" s="6" t="s">
        <v>74</v>
      </c>
      <c r="F5720" s="6" t="s">
        <v>19653</v>
      </c>
      <c r="G5720" s="3" t="str">
        <f>IFERROR(__xludf.DUMMYFUNCTION("REGEXREPLACE(
D5720,
""([一-龯々]+)\[([^\]]+)\]"",
""&lt;ruby&gt;$1&lt;rt&gt;$2&lt;/rt&gt;&lt;/ruby&gt;""
)&amp;""&lt;br&gt;&lt;div class=""""audio""""&gt;[sound:""&amp;C5720&amp;"".mp3]&lt;/div&gt;"""),"&lt;ruby&gt;愚痴&lt;rt&gt;ぐち&lt;/rt&gt;&lt;/ruby&gt;&lt;br&gt;&lt;div class=""audio""&gt;[sound:ぐち.mp3]&lt;/div&gt;")</f>
        <v>&lt;ruby&gt;愚痴&lt;rt&gt;ぐち&lt;/rt&gt;&lt;/ruby&gt;&lt;br&gt;&lt;div class="audio"&gt;[sound:ぐち.mp3]&lt;/div&gt;</v>
      </c>
      <c r="H5720" s="3" t="str">
        <f t="shared" si="1"/>
        <v>(n): than vãn</v>
      </c>
      <c r="I5720" s="6" t="s">
        <v>31162</v>
      </c>
      <c r="J5720" s="6" t="s">
        <v>31163</v>
      </c>
      <c r="K5720" s="7">
        <f t="shared" si="2"/>
        <v>0.2918997986</v>
      </c>
    </row>
    <row r="5721">
      <c r="A5721" s="4">
        <v>5721.0</v>
      </c>
      <c r="B5721" s="5" t="s">
        <v>31164</v>
      </c>
      <c r="C5721" s="5" t="s">
        <v>31165</v>
      </c>
      <c r="D5721" s="5" t="s">
        <v>31166</v>
      </c>
      <c r="E5721" s="6" t="s">
        <v>74</v>
      </c>
      <c r="F5721" s="6" t="s">
        <v>31167</v>
      </c>
      <c r="G5721" s="3" t="str">
        <f>IFERROR(__xludf.DUMMYFUNCTION("REGEXREPLACE(
D5721,
""([一-龯々]+)\[([^\]]+)\]"",
""&lt;ruby&gt;$1&lt;rt&gt;$2&lt;/rt&gt;&lt;/ruby&gt;""
)&amp;""&lt;br&gt;&lt;div class=""""audio""""&gt;[sound:""&amp;C5721&amp;"".mp3]&lt;/div&gt;"""),"&lt;ruby&gt;弓&lt;rt&gt;ゆみ&lt;/rt&gt;&lt;/ruby&gt;&lt;br&gt;&lt;div class=""audio""&gt;[sound:ゆみ.mp3]&lt;/div&gt;")</f>
        <v>&lt;ruby&gt;弓&lt;rt&gt;ゆみ&lt;/rt&gt;&lt;/ruby&gt;&lt;br&gt;&lt;div class="audio"&gt;[sound:ゆみ.mp3]&lt;/div&gt;</v>
      </c>
      <c r="H5721" s="3" t="str">
        <f t="shared" si="1"/>
        <v>(n): cung</v>
      </c>
      <c r="I5721" s="6" t="s">
        <v>31168</v>
      </c>
      <c r="J5721" s="6" t="s">
        <v>31169</v>
      </c>
      <c r="K5721" s="7">
        <f t="shared" si="2"/>
        <v>0.8132670841</v>
      </c>
    </row>
    <row r="5722">
      <c r="A5722" s="4">
        <v>5722.0</v>
      </c>
      <c r="B5722" s="5" t="s">
        <v>31170</v>
      </c>
      <c r="C5722" s="5" t="s">
        <v>23202</v>
      </c>
      <c r="D5722" s="5" t="s">
        <v>31171</v>
      </c>
      <c r="E5722" s="6" t="s">
        <v>74</v>
      </c>
      <c r="F5722" s="6" t="s">
        <v>31172</v>
      </c>
      <c r="G5722" s="3" t="str">
        <f>IFERROR(__xludf.DUMMYFUNCTION("REGEXREPLACE(
D5722,
""([一-龯々]+)\[([^\]]+)\]"",
""&lt;ruby&gt;$1&lt;rt&gt;$2&lt;/rt&gt;&lt;/ruby&gt;""
)&amp;""&lt;br&gt;&lt;div class=""""audio""""&gt;[sound:""&amp;C5722&amp;"".mp3]&lt;/div&gt;"""),"&lt;ruby&gt;校舎&lt;rt&gt;こうしゃ&lt;/rt&gt;&lt;/ruby&gt;&lt;br&gt;&lt;div class=""audio""&gt;[sound:こうしゃ.mp3]&lt;/div&gt;")</f>
        <v>&lt;ruby&gt;校舎&lt;rt&gt;こうしゃ&lt;/rt&gt;&lt;/ruby&gt;&lt;br&gt;&lt;div class="audio"&gt;[sound:こうしゃ.mp3]&lt;/div&gt;</v>
      </c>
      <c r="H5722" s="3" t="str">
        <f t="shared" si="1"/>
        <v>(n): tòa nhà trường</v>
      </c>
      <c r="I5722" s="6" t="s">
        <v>31173</v>
      </c>
      <c r="J5722" s="6" t="s">
        <v>31174</v>
      </c>
      <c r="K5722" s="7">
        <f t="shared" si="2"/>
        <v>0.1210244012</v>
      </c>
    </row>
    <row r="5723">
      <c r="A5723" s="4">
        <v>5723.0</v>
      </c>
      <c r="B5723" s="5" t="s">
        <v>31175</v>
      </c>
      <c r="C5723" s="5" t="s">
        <v>31176</v>
      </c>
      <c r="D5723" s="5" t="s">
        <v>31177</v>
      </c>
      <c r="E5723" s="6" t="s">
        <v>74</v>
      </c>
      <c r="F5723" s="6" t="s">
        <v>22196</v>
      </c>
      <c r="G5723" s="3" t="str">
        <f>IFERROR(__xludf.DUMMYFUNCTION("REGEXREPLACE(
D5723,
""([一-龯々]+)\[([^\]]+)\]"",
""&lt;ruby&gt;$1&lt;rt&gt;$2&lt;/rt&gt;&lt;/ruby&gt;""
)&amp;""&lt;br&gt;&lt;div class=""""audio""""&gt;[sound:""&amp;C5723&amp;"".mp3]&lt;/div&gt;"""),"&lt;ruby&gt;欠席&lt;rt&gt;けっせき&lt;/rt&gt;&lt;/ruby&gt;&lt;br&gt;&lt;div class=""audio""&gt;[sound:けっせき.mp3]&lt;/div&gt;")</f>
        <v>&lt;ruby&gt;欠席&lt;rt&gt;けっせき&lt;/rt&gt;&lt;/ruby&gt;&lt;br&gt;&lt;div class="audio"&gt;[sound:けっせき.mp3]&lt;/div&gt;</v>
      </c>
      <c r="H5723" s="3" t="str">
        <f t="shared" si="1"/>
        <v>(n): vắng mặt</v>
      </c>
      <c r="I5723" s="6" t="s">
        <v>31178</v>
      </c>
      <c r="J5723" s="6" t="s">
        <v>31179</v>
      </c>
      <c r="K5723" s="7">
        <f t="shared" si="2"/>
        <v>0.8874178374</v>
      </c>
    </row>
    <row r="5724">
      <c r="A5724" s="4">
        <v>5724.0</v>
      </c>
      <c r="B5724" s="5" t="s">
        <v>31180</v>
      </c>
      <c r="C5724" s="5" t="s">
        <v>31181</v>
      </c>
      <c r="D5724" s="5" t="s">
        <v>31182</v>
      </c>
      <c r="E5724" s="6" t="s">
        <v>24</v>
      </c>
      <c r="F5724" s="6" t="s">
        <v>31183</v>
      </c>
      <c r="G5724" s="3" t="str">
        <f>IFERROR(__xludf.DUMMYFUNCTION("REGEXREPLACE(
D5724,
""([一-龯々]+)\[([^\]]+)\]"",
""&lt;ruby&gt;$1&lt;rt&gt;$2&lt;/rt&gt;&lt;/ruby&gt;""
)&amp;""&lt;br&gt;&lt;div class=""""audio""""&gt;[sound:""&amp;C5724&amp;"".mp3]&lt;/div&gt;"""),"&lt;ruby&gt;散&lt;rt&gt;ち&lt;/rt&gt;&lt;/ruby&gt;らす&lt;br&gt;&lt;div class=""audio""&gt;[sound:ちらす.mp3]&lt;/div&gt;")</f>
        <v>&lt;ruby&gt;散&lt;rt&gt;ち&lt;/rt&gt;&lt;/ruby&gt;らす&lt;br&gt;&lt;div class="audio"&gt;[sound:ちらす.mp3]&lt;/div&gt;</v>
      </c>
      <c r="H5724" s="3" t="str">
        <f t="shared" si="1"/>
        <v>(v): rải rác</v>
      </c>
      <c r="I5724" s="6" t="s">
        <v>31184</v>
      </c>
      <c r="J5724" s="6" t="s">
        <v>31185</v>
      </c>
      <c r="K5724" s="7">
        <f t="shared" si="2"/>
        <v>0.6071637638</v>
      </c>
    </row>
    <row r="5725">
      <c r="A5725" s="4">
        <v>5725.0</v>
      </c>
      <c r="B5725" s="5" t="s">
        <v>31186</v>
      </c>
      <c r="C5725" s="5" t="s">
        <v>31187</v>
      </c>
      <c r="D5725" s="5" t="s">
        <v>31188</v>
      </c>
      <c r="E5725" s="6" t="s">
        <v>74</v>
      </c>
      <c r="F5725" s="6" t="s">
        <v>915</v>
      </c>
      <c r="G5725" s="3" t="str">
        <f>IFERROR(__xludf.DUMMYFUNCTION("REGEXREPLACE(
D5725,
""([一-龯々]+)\[([^\]]+)\]"",
""&lt;ruby&gt;$1&lt;rt&gt;$2&lt;/rt&gt;&lt;/ruby&gt;""
)&amp;""&lt;br&gt;&lt;div class=""""audio""""&gt;[sound:""&amp;C5725&amp;"".mp3]&lt;/div&gt;"""),"&lt;ruby&gt;月日&lt;rt&gt;つきひ&lt;/rt&gt;&lt;/ruby&gt;&lt;br&gt;&lt;div class=""audio""&gt;[sound:つきひ.mp3]&lt;/div&gt;")</f>
        <v>&lt;ruby&gt;月日&lt;rt&gt;つきひ&lt;/rt&gt;&lt;/ruby&gt;&lt;br&gt;&lt;div class="audio"&gt;[sound:つきひ.mp3]&lt;/div&gt;</v>
      </c>
      <c r="H5725" s="3" t="str">
        <f t="shared" si="1"/>
        <v>(n): thời gian</v>
      </c>
      <c r="I5725" s="6" t="s">
        <v>31189</v>
      </c>
      <c r="J5725" s="6" t="s">
        <v>3753</v>
      </c>
      <c r="K5725" s="7">
        <f t="shared" si="2"/>
        <v>0.05475231374</v>
      </c>
    </row>
    <row r="5726">
      <c r="A5726" s="4">
        <v>5726.0</v>
      </c>
      <c r="B5726" s="5" t="s">
        <v>31190</v>
      </c>
      <c r="C5726" s="5" t="s">
        <v>7872</v>
      </c>
      <c r="D5726" s="5" t="s">
        <v>31191</v>
      </c>
      <c r="E5726" s="6" t="s">
        <v>74</v>
      </c>
      <c r="F5726" s="6" t="s">
        <v>2986</v>
      </c>
      <c r="G5726" s="3" t="str">
        <f>IFERROR(__xludf.DUMMYFUNCTION("REGEXREPLACE(
D5726,
""([一-龯々]+)\[([^\]]+)\]"",
""&lt;ruby&gt;$1&lt;rt&gt;$2&lt;/rt&gt;&lt;/ruby&gt;""
)&amp;""&lt;br&gt;&lt;div class=""""audio""""&gt;[sound:""&amp;C5726&amp;"".mp3]&lt;/div&gt;"""),"&lt;ruby&gt;昨&lt;rt&gt;さく&lt;/rt&gt;&lt;/ruby&gt;&lt;br&gt;&lt;div class=""audio""&gt;[sound:さく.mp3]&lt;/div&gt;")</f>
        <v>&lt;ruby&gt;昨&lt;rt&gt;さく&lt;/rt&gt;&lt;/ruby&gt;&lt;br&gt;&lt;div class="audio"&gt;[sound:さく.mp3]&lt;/div&gt;</v>
      </c>
      <c r="H5726" s="3" t="str">
        <f t="shared" si="1"/>
        <v>(n): hôm qua</v>
      </c>
      <c r="I5726" s="6" t="s">
        <v>31192</v>
      </c>
      <c r="J5726" s="6" t="s">
        <v>31193</v>
      </c>
      <c r="K5726" s="7">
        <f t="shared" si="2"/>
        <v>0.2122440621</v>
      </c>
    </row>
    <row r="5727">
      <c r="A5727" s="4">
        <v>5727.0</v>
      </c>
      <c r="B5727" s="5" t="s">
        <v>31194</v>
      </c>
      <c r="C5727" s="5" t="s">
        <v>31195</v>
      </c>
      <c r="D5727" s="5" t="s">
        <v>31196</v>
      </c>
      <c r="E5727" s="6" t="s">
        <v>74</v>
      </c>
      <c r="F5727" s="6" t="s">
        <v>31197</v>
      </c>
      <c r="G5727" s="3" t="str">
        <f>IFERROR(__xludf.DUMMYFUNCTION("REGEXREPLACE(
D5727,
""([一-龯々]+)\[([^\]]+)\]"",
""&lt;ruby&gt;$1&lt;rt&gt;$2&lt;/rt&gt;&lt;/ruby&gt;""
)&amp;""&lt;br&gt;&lt;div class=""""audio""""&gt;[sound:""&amp;C5727&amp;"".mp3]&lt;/div&gt;"""),"&lt;ruby&gt;毒&lt;rt&gt;どく&lt;/rt&gt;&lt;/ruby&gt;&lt;br&gt;&lt;div class=""audio""&gt;[sound:どく.mp3]&lt;/div&gt;")</f>
        <v>&lt;ruby&gt;毒&lt;rt&gt;どく&lt;/rt&gt;&lt;/ruby&gt;&lt;br&gt;&lt;div class="audio"&gt;[sound:どく.mp3]&lt;/div&gt;</v>
      </c>
      <c r="H5727" s="3" t="str">
        <f t="shared" si="1"/>
        <v>(n): độc</v>
      </c>
      <c r="I5727" s="6" t="s">
        <v>31198</v>
      </c>
      <c r="J5727" s="6" t="s">
        <v>31199</v>
      </c>
      <c r="K5727" s="7">
        <f t="shared" si="2"/>
        <v>0.2914561743</v>
      </c>
    </row>
    <row r="5728">
      <c r="A5728" s="4">
        <v>5728.0</v>
      </c>
      <c r="B5728" s="5" t="s">
        <v>31200</v>
      </c>
      <c r="C5728" s="5" t="s">
        <v>31201</v>
      </c>
      <c r="D5728" s="5" t="s">
        <v>31202</v>
      </c>
      <c r="E5728" s="6" t="s">
        <v>24</v>
      </c>
      <c r="F5728" s="6" t="s">
        <v>31203</v>
      </c>
      <c r="G5728" s="3" t="str">
        <f>IFERROR(__xludf.DUMMYFUNCTION("REGEXREPLACE(
D5728,
""([一-龯々]+)\[([^\]]+)\]"",
""&lt;ruby&gt;$1&lt;rt&gt;$2&lt;/rt&gt;&lt;/ruby&gt;""
)&amp;""&lt;br&gt;&lt;div class=""""audio""""&gt;[sound:""&amp;C5728&amp;"".mp3]&lt;/div&gt;"""),"&lt;ruby&gt;捻&lt;rt&gt;ひね&lt;/rt&gt;&lt;/ruby&gt;る&lt;br&gt;&lt;div class=""audio""&gt;[sound:ひねる.mp3]&lt;/div&gt;")</f>
        <v>&lt;ruby&gt;捻&lt;rt&gt;ひね&lt;/rt&gt;&lt;/ruby&gt;る&lt;br&gt;&lt;div class="audio"&gt;[sound:ひねる.mp3]&lt;/div&gt;</v>
      </c>
      <c r="H5728" s="3" t="str">
        <f t="shared" si="1"/>
        <v>(v): vặn</v>
      </c>
      <c r="I5728" s="6" t="s">
        <v>31204</v>
      </c>
      <c r="J5728" s="6" t="s">
        <v>29092</v>
      </c>
      <c r="K5728" s="7">
        <f t="shared" si="2"/>
        <v>0.2021137261</v>
      </c>
    </row>
    <row r="5729">
      <c r="A5729" s="4">
        <v>5729.0</v>
      </c>
      <c r="B5729" s="5" t="s">
        <v>31205</v>
      </c>
      <c r="C5729" s="5" t="s">
        <v>31206</v>
      </c>
      <c r="D5729" s="5" t="s">
        <v>31207</v>
      </c>
      <c r="E5729" s="6" t="s">
        <v>24</v>
      </c>
      <c r="F5729" s="6" t="s">
        <v>4075</v>
      </c>
      <c r="G5729" s="3" t="str">
        <f>IFERROR(__xludf.DUMMYFUNCTION("REGEXREPLACE(
D5729,
""([一-龯々]+)\[([^\]]+)\]"",
""&lt;ruby&gt;$1&lt;rt&gt;$2&lt;/rt&gt;&lt;/ruby&gt;""
)&amp;""&lt;br&gt;&lt;div class=""""audio""""&gt;[sound:""&amp;C5729&amp;"".mp3]&lt;/div&gt;"""),"&lt;ruby&gt;実&lt;rt&gt;みの&lt;/rt&gt;&lt;/ruby&gt;る&lt;br&gt;&lt;div class=""audio""&gt;[sound:みのる.mp3]&lt;/div&gt;")</f>
        <v>&lt;ruby&gt;実&lt;rt&gt;みの&lt;/rt&gt;&lt;/ruby&gt;る&lt;br&gt;&lt;div class="audio"&gt;[sound:みのる.mp3]&lt;/div&gt;</v>
      </c>
      <c r="H5729" s="3" t="str">
        <f t="shared" si="1"/>
        <v>(v): chín</v>
      </c>
      <c r="I5729" s="6" t="s">
        <v>31208</v>
      </c>
      <c r="J5729" s="6" t="s">
        <v>31209</v>
      </c>
      <c r="K5729" s="7">
        <f t="shared" si="2"/>
        <v>0.5516985454</v>
      </c>
    </row>
    <row r="5730">
      <c r="A5730" s="4">
        <v>5730.0</v>
      </c>
      <c r="B5730" s="5" t="s">
        <v>31210</v>
      </c>
      <c r="C5730" s="5" t="s">
        <v>31211</v>
      </c>
      <c r="D5730" s="5" t="s">
        <v>31212</v>
      </c>
      <c r="E5730" s="6" t="s">
        <v>11</v>
      </c>
      <c r="F5730" s="6" t="s">
        <v>7155</v>
      </c>
      <c r="G5730" s="3" t="str">
        <f>IFERROR(__xludf.DUMMYFUNCTION("REGEXREPLACE(
D5730,
""([一-龯々]+)\[([^\]]+)\]"",
""&lt;ruby&gt;$1&lt;rt&gt;$2&lt;/rt&gt;&lt;/ruby&gt;""
)&amp;""&lt;br&gt;&lt;div class=""""audio""""&gt;[sound:""&amp;C5730&amp;"".mp3]&lt;/div&gt;"""),"&lt;ruby&gt;哀&lt;rt&gt;あわ&lt;/rt&gt;&lt;/ruby&gt;れ&lt;br&gt;&lt;div class=""audio""&gt;[sound:あわれ.mp3]&lt;/div&gt;")</f>
        <v>&lt;ruby&gt;哀&lt;rt&gt;あわ&lt;/rt&gt;&lt;/ruby&gt;れ&lt;br&gt;&lt;div class="audio"&gt;[sound:あわれ.mp3]&lt;/div&gt;</v>
      </c>
      <c r="H5730" s="3" t="str">
        <f t="shared" si="1"/>
        <v>(adj): đáng thương</v>
      </c>
      <c r="I5730" s="6" t="s">
        <v>31213</v>
      </c>
      <c r="J5730" s="6" t="s">
        <v>31214</v>
      </c>
      <c r="K5730" s="7">
        <f t="shared" si="2"/>
        <v>0.00935605413</v>
      </c>
    </row>
    <row r="5731">
      <c r="A5731" s="4">
        <v>5731.0</v>
      </c>
      <c r="B5731" s="5" t="s">
        <v>31215</v>
      </c>
      <c r="C5731" s="5" t="s">
        <v>31216</v>
      </c>
      <c r="D5731" s="5" t="s">
        <v>31217</v>
      </c>
      <c r="E5731" s="6" t="s">
        <v>74</v>
      </c>
      <c r="F5731" s="6" t="s">
        <v>16831</v>
      </c>
      <c r="G5731" s="3" t="str">
        <f>IFERROR(__xludf.DUMMYFUNCTION("REGEXREPLACE(
D5731,
""([一-龯々]+)\[([^\]]+)\]"",
""&lt;ruby&gt;$1&lt;rt&gt;$2&lt;/rt&gt;&lt;/ruby&gt;""
)&amp;""&lt;br&gt;&lt;div class=""""audio""""&gt;[sound:""&amp;C5731&amp;"".mp3]&lt;/div&gt;"""),"&lt;ruby&gt;順序&lt;rt&gt;じゅんじょ&lt;/rt&gt;&lt;/ruby&gt;&lt;br&gt;&lt;div class=""audio""&gt;[sound:じゅんじょ.mp3]&lt;/div&gt;")</f>
        <v>&lt;ruby&gt;順序&lt;rt&gt;じゅんじょ&lt;/rt&gt;&lt;/ruby&gt;&lt;br&gt;&lt;div class="audio"&gt;[sound:じゅんじょ.mp3]&lt;/div&gt;</v>
      </c>
      <c r="H5731" s="3" t="str">
        <f t="shared" si="1"/>
        <v>(n): thứ tự</v>
      </c>
      <c r="I5731" s="6" t="s">
        <v>31218</v>
      </c>
      <c r="J5731" s="6" t="s">
        <v>31219</v>
      </c>
      <c r="K5731" s="7">
        <f t="shared" si="2"/>
        <v>0.5989120869</v>
      </c>
    </row>
    <row r="5732">
      <c r="A5732" s="4">
        <v>5732.0</v>
      </c>
      <c r="B5732" s="5" t="s">
        <v>31220</v>
      </c>
      <c r="C5732" s="5" t="s">
        <v>31221</v>
      </c>
      <c r="D5732" s="5" t="s">
        <v>31222</v>
      </c>
      <c r="E5732" s="6" t="s">
        <v>74</v>
      </c>
      <c r="F5732" s="6" t="s">
        <v>6059</v>
      </c>
      <c r="G5732" s="3" t="str">
        <f>IFERROR(__xludf.DUMMYFUNCTION("REGEXREPLACE(
D5732,
""([一-龯々]+)\[([^\]]+)\]"",
""&lt;ruby&gt;$1&lt;rt&gt;$2&lt;/rt&gt;&lt;/ruby&gt;""
)&amp;""&lt;br&gt;&lt;div class=""""audio""""&gt;[sound:""&amp;C5732&amp;"".mp3]&lt;/div&gt;"""),"&lt;ruby&gt;題名&lt;rt&gt;だいめい&lt;/rt&gt;&lt;/ruby&gt;&lt;br&gt;&lt;div class=""audio""&gt;[sound:だいめい.mp3]&lt;/div&gt;")</f>
        <v>&lt;ruby&gt;題名&lt;rt&gt;だいめい&lt;/rt&gt;&lt;/ruby&gt;&lt;br&gt;&lt;div class="audio"&gt;[sound:だいめい.mp3]&lt;/div&gt;</v>
      </c>
      <c r="H5732" s="3" t="str">
        <f t="shared" si="1"/>
        <v>(n): tiêu đề</v>
      </c>
      <c r="I5732" s="6" t="s">
        <v>31223</v>
      </c>
      <c r="J5732" s="6" t="s">
        <v>31224</v>
      </c>
      <c r="K5732" s="7">
        <f t="shared" si="2"/>
        <v>0.8269645587</v>
      </c>
    </row>
    <row r="5733">
      <c r="A5733" s="4">
        <v>5733.0</v>
      </c>
      <c r="B5733" s="5" t="s">
        <v>31225</v>
      </c>
      <c r="C5733" s="5" t="s">
        <v>11637</v>
      </c>
      <c r="D5733" s="5" t="s">
        <v>31226</v>
      </c>
      <c r="E5733" s="6" t="s">
        <v>74</v>
      </c>
      <c r="F5733" s="6" t="s">
        <v>16671</v>
      </c>
      <c r="G5733" s="3" t="str">
        <f>IFERROR(__xludf.DUMMYFUNCTION("REGEXREPLACE(
D5733,
""([一-龯々]+)\[([^\]]+)\]"",
""&lt;ruby&gt;$1&lt;rt&gt;$2&lt;/rt&gt;&lt;/ruby&gt;""
)&amp;""&lt;br&gt;&lt;div class=""""audio""""&gt;[sound:""&amp;C5733&amp;"".mp3]&lt;/div&gt;"""),"&lt;ruby&gt;精算&lt;rt&gt;せいさん&lt;/rt&gt;&lt;/ruby&gt;&lt;br&gt;&lt;div class=""audio""&gt;[sound:せいさん.mp3]&lt;/div&gt;")</f>
        <v>&lt;ruby&gt;精算&lt;rt&gt;せいさん&lt;/rt&gt;&lt;/ruby&gt;&lt;br&gt;&lt;div class="audio"&gt;[sound:せいさん.mp3]&lt;/div&gt;</v>
      </c>
      <c r="H5733" s="3" t="str">
        <f t="shared" si="1"/>
        <v>(n): thanh toán</v>
      </c>
      <c r="I5733" s="6" t="s">
        <v>31227</v>
      </c>
      <c r="J5733" s="6" t="s">
        <v>31228</v>
      </c>
      <c r="K5733" s="7">
        <f t="shared" si="2"/>
        <v>0.5548971771</v>
      </c>
    </row>
    <row r="5734">
      <c r="A5734" s="4">
        <v>5734.0</v>
      </c>
      <c r="B5734" s="5" t="s">
        <v>31229</v>
      </c>
      <c r="C5734" s="5" t="s">
        <v>11202</v>
      </c>
      <c r="D5734" s="5" t="s">
        <v>31230</v>
      </c>
      <c r="E5734" s="6" t="s">
        <v>74</v>
      </c>
      <c r="F5734" s="6" t="s">
        <v>31231</v>
      </c>
      <c r="G5734" s="3" t="str">
        <f>IFERROR(__xludf.DUMMYFUNCTION("REGEXREPLACE(
D5734,
""([一-龯々]+)\[([^\]]+)\]"",
""&lt;ruby&gt;$1&lt;rt&gt;$2&lt;/rt&gt;&lt;/ruby&gt;""
)&amp;""&lt;br&gt;&lt;div class=""""audio""""&gt;[sound:""&amp;C5734&amp;"".mp3]&lt;/div&gt;"""),"&lt;ruby&gt;商人&lt;rt&gt;しょうにん&lt;/rt&gt;&lt;/ruby&gt;&lt;br&gt;&lt;div class=""audio""&gt;[sound:しょうにん.mp3]&lt;/div&gt;")</f>
        <v>&lt;ruby&gt;商人&lt;rt&gt;しょうにん&lt;/rt&gt;&lt;/ruby&gt;&lt;br&gt;&lt;div class="audio"&gt;[sound:しょうにん.mp3]&lt;/div&gt;</v>
      </c>
      <c r="H5734" s="3" t="str">
        <f t="shared" si="1"/>
        <v>(n): thương nhân</v>
      </c>
      <c r="I5734" s="6" t="s">
        <v>31232</v>
      </c>
      <c r="J5734" s="6" t="s">
        <v>31233</v>
      </c>
      <c r="K5734" s="7">
        <f t="shared" si="2"/>
        <v>0.4221972895</v>
      </c>
    </row>
    <row r="5735">
      <c r="A5735" s="4">
        <v>5735.0</v>
      </c>
      <c r="B5735" s="5" t="s">
        <v>31234</v>
      </c>
      <c r="C5735" s="5" t="s">
        <v>31235</v>
      </c>
      <c r="D5735" s="5" t="s">
        <v>31236</v>
      </c>
      <c r="E5735" s="6" t="s">
        <v>74</v>
      </c>
      <c r="F5735" s="6" t="s">
        <v>31237</v>
      </c>
      <c r="G5735" s="3" t="str">
        <f>IFERROR(__xludf.DUMMYFUNCTION("REGEXREPLACE(
D5735,
""([一-龯々]+)\[([^\]]+)\]"",
""&lt;ruby&gt;$1&lt;rt&gt;$2&lt;/rt&gt;&lt;/ruby&gt;""
)&amp;""&lt;br&gt;&lt;div class=""""audio""""&gt;[sound:""&amp;C5735&amp;"".mp3]&lt;/div&gt;"""),"&lt;ruby&gt;消化&lt;rt&gt;しょうか&lt;/rt&gt;&lt;/ruby&gt;&lt;br&gt;&lt;div class=""audio""&gt;[sound:しょうか.mp3]&lt;/div&gt;")</f>
        <v>&lt;ruby&gt;消化&lt;rt&gt;しょうか&lt;/rt&gt;&lt;/ruby&gt;&lt;br&gt;&lt;div class="audio"&gt;[sound:しょうか.mp3]&lt;/div&gt;</v>
      </c>
      <c r="H5735" s="3" t="str">
        <f t="shared" si="1"/>
        <v>(n): tiêu hóa</v>
      </c>
      <c r="I5735" s="6" t="s">
        <v>31238</v>
      </c>
      <c r="J5735" s="6" t="s">
        <v>31239</v>
      </c>
      <c r="K5735" s="7">
        <f t="shared" si="2"/>
        <v>0.1944900701</v>
      </c>
    </row>
    <row r="5736">
      <c r="A5736" s="4">
        <v>5736.0</v>
      </c>
      <c r="B5736" s="5" t="s">
        <v>31240</v>
      </c>
      <c r="C5736" s="5" t="s">
        <v>27285</v>
      </c>
      <c r="D5736" s="5" t="s">
        <v>31241</v>
      </c>
      <c r="E5736" s="6" t="s">
        <v>24</v>
      </c>
      <c r="F5736" s="6" t="s">
        <v>254</v>
      </c>
      <c r="G5736" s="3" t="str">
        <f>IFERROR(__xludf.DUMMYFUNCTION("REGEXREPLACE(
D5736,
""([一-龯々]+)\[([^\]]+)\]"",
""&lt;ruby&gt;$1&lt;rt&gt;$2&lt;/rt&gt;&lt;/ruby&gt;""
)&amp;""&lt;br&gt;&lt;div class=""""audio""""&gt;[sound:""&amp;C5736&amp;"".mp3]&lt;/div&gt;"""),"&lt;ruby&gt;吊&lt;rt&gt;つ&lt;/rt&gt;&lt;/ruby&gt;る&lt;br&gt;&lt;div class=""audio""&gt;[sound:つる.mp3]&lt;/div&gt;")</f>
        <v>&lt;ruby&gt;吊&lt;rt&gt;つ&lt;/rt&gt;&lt;/ruby&gt;る&lt;br&gt;&lt;div class="audio"&gt;[sound:つる.mp3]&lt;/div&gt;</v>
      </c>
      <c r="H5736" s="3" t="str">
        <f t="shared" si="1"/>
        <v>(v): treo</v>
      </c>
      <c r="I5736" s="6" t="s">
        <v>31242</v>
      </c>
      <c r="J5736" s="6" t="s">
        <v>31243</v>
      </c>
      <c r="K5736" s="7">
        <f t="shared" si="2"/>
        <v>0.5970789874</v>
      </c>
    </row>
    <row r="5737">
      <c r="A5737" s="4">
        <v>5737.0</v>
      </c>
      <c r="B5737" s="5" t="s">
        <v>31244</v>
      </c>
      <c r="C5737" s="5" t="s">
        <v>31245</v>
      </c>
      <c r="D5737" s="5" t="s">
        <v>31246</v>
      </c>
      <c r="E5737" s="6" t="s">
        <v>24</v>
      </c>
      <c r="F5737" s="6" t="s">
        <v>31247</v>
      </c>
      <c r="G5737" s="3" t="str">
        <f>IFERROR(__xludf.DUMMYFUNCTION("REGEXREPLACE(
D5737,
""([一-龯々]+)\[([^\]]+)\]"",
""&lt;ruby&gt;$1&lt;rt&gt;$2&lt;/rt&gt;&lt;/ruby&gt;""
)&amp;""&lt;br&gt;&lt;div class=""""audio""""&gt;[sound:""&amp;C5737&amp;"".mp3]&lt;/div&gt;"""),"&lt;ruby&gt;驚&lt;rt&gt;おどろ&lt;/rt&gt;&lt;/ruby&gt;かす&lt;br&gt;&lt;div class=""audio""&gt;[sound:おどろかす.mp3]&lt;/div&gt;")</f>
        <v>&lt;ruby&gt;驚&lt;rt&gt;おどろ&lt;/rt&gt;&lt;/ruby&gt;かす&lt;br&gt;&lt;div class="audio"&gt;[sound:おどろかす.mp3]&lt;/div&gt;</v>
      </c>
      <c r="H5737" s="3" t="str">
        <f t="shared" si="1"/>
        <v>(v): làm ngạc nhiên</v>
      </c>
      <c r="I5737" s="6" t="s">
        <v>31248</v>
      </c>
      <c r="J5737" s="6" t="s">
        <v>31249</v>
      </c>
      <c r="K5737" s="7">
        <f t="shared" si="2"/>
        <v>0.02591336998</v>
      </c>
    </row>
    <row r="5738">
      <c r="A5738" s="4">
        <v>5738.0</v>
      </c>
      <c r="B5738" s="5" t="s">
        <v>31250</v>
      </c>
      <c r="C5738" s="5" t="s">
        <v>31251</v>
      </c>
      <c r="D5738" s="5" t="s">
        <v>31252</v>
      </c>
      <c r="E5738" s="6" t="s">
        <v>74</v>
      </c>
      <c r="F5738" s="6" t="s">
        <v>16821</v>
      </c>
      <c r="G5738" s="3" t="str">
        <f>IFERROR(__xludf.DUMMYFUNCTION("REGEXREPLACE(
D5738,
""([一-龯々]+)\[([^\]]+)\]"",
""&lt;ruby&gt;$1&lt;rt&gt;$2&lt;/rt&gt;&lt;/ruby&gt;""
)&amp;""&lt;br&gt;&lt;div class=""""audio""""&gt;[sound:""&amp;C5738&amp;"".mp3]&lt;/div&gt;"""),"&lt;ruby&gt;集会&lt;rt&gt;しゅうかい&lt;/rt&gt;&lt;/ruby&gt;&lt;br&gt;&lt;div class=""audio""&gt;[sound:しゅうかい.mp3]&lt;/div&gt;")</f>
        <v>&lt;ruby&gt;集会&lt;rt&gt;しゅうかい&lt;/rt&gt;&lt;/ruby&gt;&lt;br&gt;&lt;div class="audio"&gt;[sound:しゅうかい.mp3]&lt;/div&gt;</v>
      </c>
      <c r="H5738" s="3" t="str">
        <f t="shared" si="1"/>
        <v>(n): cuộc họp</v>
      </c>
      <c r="I5738" s="6" t="s">
        <v>31253</v>
      </c>
      <c r="J5738" s="6" t="s">
        <v>31254</v>
      </c>
      <c r="K5738" s="7">
        <f t="shared" si="2"/>
        <v>0.711236446</v>
      </c>
    </row>
    <row r="5739">
      <c r="A5739" s="4">
        <v>5739.0</v>
      </c>
      <c r="B5739" s="5" t="s">
        <v>31255</v>
      </c>
      <c r="C5739" s="5" t="s">
        <v>20748</v>
      </c>
      <c r="D5739" s="5" t="s">
        <v>31256</v>
      </c>
      <c r="E5739" s="6" t="s">
        <v>24</v>
      </c>
      <c r="F5739" s="6" t="s">
        <v>31257</v>
      </c>
      <c r="G5739" s="3" t="str">
        <f>IFERROR(__xludf.DUMMYFUNCTION("REGEXREPLACE(
D5739,
""([一-龯々]+)\[([^\]]+)\]"",
""&lt;ruby&gt;$1&lt;rt&gt;$2&lt;/rt&gt;&lt;/ruby&gt;""
)&amp;""&lt;br&gt;&lt;div class=""""audio""""&gt;[sound:""&amp;C5739&amp;"".mp3]&lt;/div&gt;"""),"&lt;ruby&gt;嗅&lt;rt&gt;か&lt;/rt&gt;&lt;/ruby&gt;ぐ&lt;br&gt;&lt;div class=""audio""&gt;[sound:かぐ.mp3]&lt;/div&gt;")</f>
        <v>&lt;ruby&gt;嗅&lt;rt&gt;か&lt;/rt&gt;&lt;/ruby&gt;ぐ&lt;br&gt;&lt;div class="audio"&gt;[sound:かぐ.mp3]&lt;/div&gt;</v>
      </c>
      <c r="H5739" s="3" t="str">
        <f t="shared" si="1"/>
        <v>(v): ngửi</v>
      </c>
      <c r="I5739" s="6" t="s">
        <v>31258</v>
      </c>
      <c r="J5739" s="6" t="s">
        <v>31259</v>
      </c>
      <c r="K5739" s="7">
        <f t="shared" si="2"/>
        <v>0.4571699327</v>
      </c>
    </row>
    <row r="5740">
      <c r="A5740" s="4">
        <v>5740.0</v>
      </c>
      <c r="B5740" s="5" t="s">
        <v>31260</v>
      </c>
      <c r="C5740" s="5" t="s">
        <v>31261</v>
      </c>
      <c r="D5740" s="5" t="s">
        <v>31262</v>
      </c>
      <c r="E5740" s="6" t="s">
        <v>74</v>
      </c>
      <c r="F5740" s="6" t="s">
        <v>30309</v>
      </c>
      <c r="G5740" s="3" t="str">
        <f>IFERROR(__xludf.DUMMYFUNCTION("REGEXREPLACE(
D5740,
""([一-龯々]+)\[([^\]]+)\]"",
""&lt;ruby&gt;$1&lt;rt&gt;$2&lt;/rt&gt;&lt;/ruby&gt;""
)&amp;""&lt;br&gt;&lt;div class=""""audio""""&gt;[sound:""&amp;C5740&amp;"".mp3]&lt;/div&gt;"""),"&lt;ruby&gt;深夜&lt;rt&gt;しんや&lt;/rt&gt;&lt;/ruby&gt;&lt;br&gt;&lt;div class=""audio""&gt;[sound:しんや.mp3]&lt;/div&gt;")</f>
        <v>&lt;ruby&gt;深夜&lt;rt&gt;しんや&lt;/rt&gt;&lt;/ruby&gt;&lt;br&gt;&lt;div class="audio"&gt;[sound:しんや.mp3]&lt;/div&gt;</v>
      </c>
      <c r="H5740" s="3" t="str">
        <f t="shared" si="1"/>
        <v>(n): đêm khuya</v>
      </c>
      <c r="I5740" s="6" t="s">
        <v>31263</v>
      </c>
      <c r="J5740" s="6" t="s">
        <v>31264</v>
      </c>
      <c r="K5740" s="7">
        <f t="shared" si="2"/>
        <v>0.2289131139</v>
      </c>
    </row>
    <row r="5741">
      <c r="A5741" s="4">
        <v>5741.0</v>
      </c>
      <c r="B5741" s="5" t="s">
        <v>31265</v>
      </c>
      <c r="C5741" s="5" t="s">
        <v>31266</v>
      </c>
      <c r="D5741" s="5" t="s">
        <v>31267</v>
      </c>
      <c r="E5741" s="6" t="s">
        <v>74</v>
      </c>
      <c r="F5741" s="6" t="s">
        <v>17338</v>
      </c>
      <c r="G5741" s="3" t="str">
        <f>IFERROR(__xludf.DUMMYFUNCTION("REGEXREPLACE(
D5741,
""([一-龯々]+)\[([^\]]+)\]"",
""&lt;ruby&gt;$1&lt;rt&gt;$2&lt;/rt&gt;&lt;/ruby&gt;""
)&amp;""&lt;br&gt;&lt;div class=""""audio""""&gt;[sound:""&amp;C5741&amp;"".mp3]&lt;/div&gt;"""),"&lt;ruby&gt;経緯&lt;rt&gt;けいい&lt;/rt&gt;&lt;/ruby&gt;&lt;br&gt;&lt;div class=""audio""&gt;[sound:けいい.mp3]&lt;/div&gt;")</f>
        <v>&lt;ruby&gt;経緯&lt;rt&gt;けいい&lt;/rt&gt;&lt;/ruby&gt;&lt;br&gt;&lt;div class="audio"&gt;[sound:けいい.mp3]&lt;/div&gt;</v>
      </c>
      <c r="H5741" s="3" t="str">
        <f t="shared" si="1"/>
        <v>(n): quá trình</v>
      </c>
      <c r="I5741" s="6" t="s">
        <v>31268</v>
      </c>
      <c r="J5741" s="6" t="s">
        <v>31269</v>
      </c>
      <c r="K5741" s="7">
        <f t="shared" si="2"/>
        <v>0.8696424408</v>
      </c>
    </row>
    <row r="5742">
      <c r="A5742" s="4">
        <v>5742.0</v>
      </c>
      <c r="B5742" s="5" t="s">
        <v>31270</v>
      </c>
      <c r="C5742" s="5" t="s">
        <v>20586</v>
      </c>
      <c r="D5742" s="5" t="s">
        <v>31271</v>
      </c>
      <c r="E5742" s="6" t="s">
        <v>74</v>
      </c>
      <c r="F5742" s="6" t="s">
        <v>31272</v>
      </c>
      <c r="G5742" s="3" t="str">
        <f>IFERROR(__xludf.DUMMYFUNCTION("REGEXREPLACE(
D5742,
""([一-龯々]+)\[([^\]]+)\]"",
""&lt;ruby&gt;$1&lt;rt&gt;$2&lt;/rt&gt;&lt;/ruby&gt;""
)&amp;""&lt;br&gt;&lt;div class=""""audio""""&gt;[sound:""&amp;C5742&amp;"".mp3]&lt;/div&gt;"""),"&lt;ruby&gt;航海&lt;rt&gt;こうかい&lt;/rt&gt;&lt;/ruby&gt;&lt;br&gt;&lt;div class=""audio""&gt;[sound:こうかい.mp3]&lt;/div&gt;")</f>
        <v>&lt;ruby&gt;航海&lt;rt&gt;こうかい&lt;/rt&gt;&lt;/ruby&gt;&lt;br&gt;&lt;div class="audio"&gt;[sound:こうかい.mp3]&lt;/div&gt;</v>
      </c>
      <c r="H5742" s="3" t="str">
        <f t="shared" si="1"/>
        <v>(n): hàng hải</v>
      </c>
      <c r="I5742" s="6" t="s">
        <v>31273</v>
      </c>
      <c r="J5742" s="6" t="s">
        <v>31274</v>
      </c>
      <c r="K5742" s="7">
        <f t="shared" si="2"/>
        <v>0.1881254112</v>
      </c>
    </row>
    <row r="5743">
      <c r="A5743" s="4">
        <v>5743.0</v>
      </c>
      <c r="B5743" s="5" t="s">
        <v>31275</v>
      </c>
      <c r="C5743" s="5" t="s">
        <v>31276</v>
      </c>
      <c r="D5743" s="5" t="s">
        <v>31277</v>
      </c>
      <c r="E5743" s="6" t="s">
        <v>74</v>
      </c>
      <c r="F5743" s="6" t="s">
        <v>31278</v>
      </c>
      <c r="G5743" s="3" t="str">
        <f>IFERROR(__xludf.DUMMYFUNCTION("REGEXREPLACE(
D5743,
""([一-龯々]+)\[([^\]]+)\]"",
""&lt;ruby&gt;$1&lt;rt&gt;$2&lt;/rt&gt;&lt;/ruby&gt;""
)&amp;""&lt;br&gt;&lt;div class=""""audio""""&gt;[sound:""&amp;C5743&amp;"".mp3]&lt;/div&gt;"""),"&lt;ruby&gt;坊&lt;rt&gt;ぼう&lt;/rt&gt;&lt;/ruby&gt;さん&lt;br&gt;&lt;div class=""audio""&gt;[sound:ぼうさん.mp3]&lt;/div&gt;")</f>
        <v>&lt;ruby&gt;坊&lt;rt&gt;ぼう&lt;/rt&gt;&lt;/ruby&gt;さん&lt;br&gt;&lt;div class="audio"&gt;[sound:ぼうさん.mp3]&lt;/div&gt;</v>
      </c>
      <c r="H5743" s="3" t="str">
        <f t="shared" si="1"/>
        <v>(n): nhà sư</v>
      </c>
      <c r="I5743" s="6" t="s">
        <v>31279</v>
      </c>
      <c r="J5743" s="6" t="s">
        <v>31280</v>
      </c>
      <c r="K5743" s="7">
        <f t="shared" si="2"/>
        <v>0.1672422609</v>
      </c>
    </row>
    <row r="5744">
      <c r="A5744" s="4">
        <v>5744.0</v>
      </c>
      <c r="B5744" s="5" t="s">
        <v>31281</v>
      </c>
      <c r="C5744" s="5" t="s">
        <v>20380</v>
      </c>
      <c r="D5744" s="5" t="s">
        <v>31282</v>
      </c>
      <c r="E5744" s="6" t="s">
        <v>74</v>
      </c>
      <c r="F5744" s="6" t="s">
        <v>31283</v>
      </c>
      <c r="G5744" s="3" t="str">
        <f>IFERROR(__xludf.DUMMYFUNCTION("REGEXREPLACE(
D5744,
""([一-龯々]+)\[([^\]]+)\]"",
""&lt;ruby&gt;$1&lt;rt&gt;$2&lt;/rt&gt;&lt;/ruby&gt;""
)&amp;""&lt;br&gt;&lt;div class=""""audio""""&gt;[sound:""&amp;C5744&amp;"".mp3]&lt;/div&gt;"""),"&lt;ruby&gt;快晴&lt;rt&gt;かいせい&lt;/rt&gt;&lt;/ruby&gt;&lt;br&gt;&lt;div class=""audio""&gt;[sound:かいせい.mp3]&lt;/div&gt;")</f>
        <v>&lt;ruby&gt;快晴&lt;rt&gt;かいせい&lt;/rt&gt;&lt;/ruby&gt;&lt;br&gt;&lt;div class="audio"&gt;[sound:かいせい.mp3]&lt;/div&gt;</v>
      </c>
      <c r="H5744" s="3" t="str">
        <f t="shared" si="1"/>
        <v>(n): thời tiết đẹp</v>
      </c>
      <c r="I5744" s="6" t="s">
        <v>31284</v>
      </c>
      <c r="J5744" s="6" t="s">
        <v>31285</v>
      </c>
      <c r="K5744" s="7">
        <f t="shared" si="2"/>
        <v>0.727123582</v>
      </c>
    </row>
    <row r="5745">
      <c r="A5745" s="4">
        <v>5745.0</v>
      </c>
      <c r="B5745" s="5" t="s">
        <v>31286</v>
      </c>
      <c r="C5745" s="5" t="s">
        <v>20918</v>
      </c>
      <c r="D5745" s="5" t="s">
        <v>31287</v>
      </c>
      <c r="E5745" s="6" t="s">
        <v>74</v>
      </c>
      <c r="F5745" s="6" t="s">
        <v>31288</v>
      </c>
      <c r="G5745" s="3" t="str">
        <f>IFERROR(__xludf.DUMMYFUNCTION("REGEXREPLACE(
D5745,
""([一-龯々]+)\[([^\]]+)\]"",
""&lt;ruby&gt;$1&lt;rt&gt;$2&lt;/rt&gt;&lt;/ruby&gt;""
)&amp;""&lt;br&gt;&lt;div class=""""audio""""&gt;[sound:""&amp;C5745&amp;"".mp3]&lt;/div&gt;"""),"&lt;ruby&gt;定価&lt;rt&gt;ていか&lt;/rt&gt;&lt;/ruby&gt;&lt;br&gt;&lt;div class=""audio""&gt;[sound:ていか.mp3]&lt;/div&gt;")</f>
        <v>&lt;ruby&gt;定価&lt;rt&gt;ていか&lt;/rt&gt;&lt;/ruby&gt;&lt;br&gt;&lt;div class="audio"&gt;[sound:ていか.mp3]&lt;/div&gt;</v>
      </c>
      <c r="H5745" s="3" t="str">
        <f t="shared" si="1"/>
        <v>(n): giá niêm yết</v>
      </c>
      <c r="I5745" s="6" t="s">
        <v>31289</v>
      </c>
      <c r="J5745" s="6" t="s">
        <v>31290</v>
      </c>
      <c r="K5745" s="7">
        <f t="shared" si="2"/>
        <v>0.5119563647</v>
      </c>
    </row>
    <row r="5746">
      <c r="A5746" s="4">
        <v>5746.0</v>
      </c>
      <c r="B5746" s="5" t="s">
        <v>31291</v>
      </c>
      <c r="C5746" s="5" t="s">
        <v>31292</v>
      </c>
      <c r="D5746" s="5" t="s">
        <v>31293</v>
      </c>
      <c r="E5746" s="6" t="s">
        <v>74</v>
      </c>
      <c r="F5746" s="6" t="s">
        <v>31294</v>
      </c>
      <c r="G5746" s="3" t="str">
        <f>IFERROR(__xludf.DUMMYFUNCTION("REGEXREPLACE(
D5746,
""([一-龯々]+)\[([^\]]+)\]"",
""&lt;ruby&gt;$1&lt;rt&gt;$2&lt;/rt&gt;&lt;/ruby&gt;""
)&amp;""&lt;br&gt;&lt;div class=""""audio""""&gt;[sound:""&amp;C5746&amp;"".mp3]&lt;/div&gt;"""),"&lt;ruby&gt;空中&lt;rt&gt;くうちゅう&lt;/rt&gt;&lt;/ruby&gt;&lt;br&gt;&lt;div class=""audio""&gt;[sound:くうちゅう.mp3]&lt;/div&gt;")</f>
        <v>&lt;ruby&gt;空中&lt;rt&gt;くうちゅう&lt;/rt&gt;&lt;/ruby&gt;&lt;br&gt;&lt;div class="audio"&gt;[sound:くうちゅう.mp3]&lt;/div&gt;</v>
      </c>
      <c r="H5746" s="3" t="str">
        <f t="shared" si="1"/>
        <v>(n): không trung</v>
      </c>
      <c r="I5746" s="6" t="s">
        <v>31295</v>
      </c>
      <c r="J5746" s="6" t="s">
        <v>31296</v>
      </c>
      <c r="K5746" s="7">
        <f t="shared" si="2"/>
        <v>0.580867338</v>
      </c>
    </row>
    <row r="5747">
      <c r="A5747" s="4">
        <v>5747.0</v>
      </c>
      <c r="B5747" s="5" t="s">
        <v>31297</v>
      </c>
      <c r="C5747" s="5" t="s">
        <v>31298</v>
      </c>
      <c r="D5747" s="5" t="s">
        <v>31299</v>
      </c>
      <c r="E5747" s="6" t="s">
        <v>74</v>
      </c>
      <c r="F5747" s="6" t="s">
        <v>31300</v>
      </c>
      <c r="G5747" s="3" t="str">
        <f>IFERROR(__xludf.DUMMYFUNCTION("REGEXREPLACE(
D5747,
""([一-龯々]+)\[([^\]]+)\]"",
""&lt;ruby&gt;$1&lt;rt&gt;$2&lt;/rt&gt;&lt;/ruby&gt;""
)&amp;""&lt;br&gt;&lt;div class=""""audio""""&gt;[sound:""&amp;C5747&amp;"".mp3]&lt;/div&gt;"""),"&lt;ruby&gt;真空&lt;rt&gt;しんくう&lt;/rt&gt;&lt;/ruby&gt;&lt;br&gt;&lt;div class=""audio""&gt;[sound:しんくう.mp3]&lt;/div&gt;")</f>
        <v>&lt;ruby&gt;真空&lt;rt&gt;しんくう&lt;/rt&gt;&lt;/ruby&gt;&lt;br&gt;&lt;div class="audio"&gt;[sound:しんくう.mp3]&lt;/div&gt;</v>
      </c>
      <c r="H5747" s="3" t="str">
        <f t="shared" si="1"/>
        <v>(n): chân không</v>
      </c>
      <c r="I5747" s="6" t="s">
        <v>31301</v>
      </c>
      <c r="J5747" s="6" t="s">
        <v>31302</v>
      </c>
      <c r="K5747" s="7">
        <f t="shared" si="2"/>
        <v>0.1165423924</v>
      </c>
    </row>
    <row r="5748">
      <c r="A5748" s="4">
        <v>5748.0</v>
      </c>
      <c r="B5748" s="5" t="s">
        <v>31303</v>
      </c>
      <c r="C5748" s="5" t="s">
        <v>31304</v>
      </c>
      <c r="D5748" s="5" t="s">
        <v>31305</v>
      </c>
      <c r="E5748" s="6" t="s">
        <v>74</v>
      </c>
      <c r="F5748" s="6" t="s">
        <v>22955</v>
      </c>
      <c r="G5748" s="3" t="str">
        <f>IFERROR(__xludf.DUMMYFUNCTION("REGEXREPLACE(
D5748,
""([一-龯々]+)\[([^\]]+)\]"",
""&lt;ruby&gt;$1&lt;rt&gt;$2&lt;/rt&gt;&lt;/ruby&gt;""
)&amp;""&lt;br&gt;&lt;div class=""""audio""""&gt;[sound:""&amp;C5748&amp;"".mp3]&lt;/div&gt;"""),"&lt;ruby&gt;小便&lt;rt&gt;しょうべん&lt;/rt&gt;&lt;/ruby&gt;&lt;br&gt;&lt;div class=""audio""&gt;[sound:しょうべん.mp3]&lt;/div&gt;")</f>
        <v>&lt;ruby&gt;小便&lt;rt&gt;しょうべん&lt;/rt&gt;&lt;/ruby&gt;&lt;br&gt;&lt;div class="audio"&gt;[sound:しょうべん.mp3]&lt;/div&gt;</v>
      </c>
      <c r="H5748" s="3" t="str">
        <f t="shared" si="1"/>
        <v>(n): nước tiểu</v>
      </c>
      <c r="I5748" s="6" t="s">
        <v>31306</v>
      </c>
      <c r="J5748" s="6" t="s">
        <v>31307</v>
      </c>
      <c r="K5748" s="7">
        <f t="shared" si="2"/>
        <v>0.5954981185</v>
      </c>
    </row>
    <row r="5749">
      <c r="A5749" s="4">
        <v>5749.0</v>
      </c>
      <c r="B5749" s="5" t="s">
        <v>31308</v>
      </c>
      <c r="C5749" s="5" t="s">
        <v>24012</v>
      </c>
      <c r="D5749" s="5" t="s">
        <v>31309</v>
      </c>
      <c r="E5749" s="6" t="s">
        <v>24</v>
      </c>
      <c r="F5749" s="6" t="s">
        <v>31310</v>
      </c>
      <c r="G5749" s="3" t="str">
        <f>IFERROR(__xludf.DUMMYFUNCTION("REGEXREPLACE(
D5749,
""([一-龯々]+)\[([^\]]+)\]"",
""&lt;ruby&gt;$1&lt;rt&gt;$2&lt;/rt&gt;&lt;/ruby&gt;""
)&amp;""&lt;br&gt;&lt;div class=""""audio""""&gt;[sound:""&amp;C5749&amp;"".mp3]&lt;/div&gt;"""),"&lt;ruby&gt;混&lt;rt&gt;ま&lt;/rt&gt;&lt;/ruby&gt;じる&lt;br&gt;&lt;div class=""audio""&gt;[sound:まじる.mp3]&lt;/div&gt;")</f>
        <v>&lt;ruby&gt;混&lt;rt&gt;ま&lt;/rt&gt;&lt;/ruby&gt;じる&lt;br&gt;&lt;div class="audio"&gt;[sound:まじる.mp3]&lt;/div&gt;</v>
      </c>
      <c r="H5749" s="3" t="str">
        <f t="shared" si="1"/>
        <v>(v): hòa lẫn</v>
      </c>
      <c r="I5749" s="6" t="s">
        <v>31311</v>
      </c>
      <c r="J5749" s="6" t="s">
        <v>31312</v>
      </c>
      <c r="K5749" s="7">
        <f t="shared" si="2"/>
        <v>0.4676121357</v>
      </c>
    </row>
    <row r="5750">
      <c r="A5750" s="4">
        <v>5750.0</v>
      </c>
      <c r="B5750" s="5" t="s">
        <v>31313</v>
      </c>
      <c r="C5750" s="5" t="s">
        <v>31314</v>
      </c>
      <c r="D5750" s="5" t="s">
        <v>31315</v>
      </c>
      <c r="E5750" s="6" t="s">
        <v>85</v>
      </c>
      <c r="F5750" s="6" t="s">
        <v>1897</v>
      </c>
      <c r="G5750" s="3" t="str">
        <f>IFERROR(__xludf.DUMMYFUNCTION("REGEXREPLACE(
D5750,
""([一-龯々]+)\[([^\]]+)\]"",
""&lt;ruby&gt;$1&lt;rt&gt;$2&lt;/rt&gt;&lt;/ruby&gt;""
)&amp;""&lt;br&gt;&lt;div class=""""audio""""&gt;[sound:""&amp;C5750&amp;"".mp3]&lt;/div&gt;"""),"&lt;ruby&gt;現&lt;rt&gt;げん&lt;/rt&gt;&lt;/ruby&gt;に&lt;br&gt;&lt;div class=""audio""&gt;[sound:げんに.mp3]&lt;/div&gt;")</f>
        <v>&lt;ruby&gt;現&lt;rt&gt;げん&lt;/rt&gt;&lt;/ruby&gt;に&lt;br&gt;&lt;div class="audio"&gt;[sound:げんに.mp3]&lt;/div&gt;</v>
      </c>
      <c r="H5750" s="3" t="str">
        <f t="shared" si="1"/>
        <v>(adv): thực tế</v>
      </c>
      <c r="I5750" s="6" t="s">
        <v>31316</v>
      </c>
      <c r="J5750" s="6" t="s">
        <v>31317</v>
      </c>
      <c r="K5750" s="7">
        <f t="shared" si="2"/>
        <v>0.4472986571</v>
      </c>
    </row>
    <row r="5751">
      <c r="A5751" s="4">
        <v>5751.0</v>
      </c>
      <c r="B5751" s="5" t="s">
        <v>31318</v>
      </c>
      <c r="C5751" s="5" t="s">
        <v>19264</v>
      </c>
      <c r="D5751" s="5" t="s">
        <v>31319</v>
      </c>
      <c r="E5751" s="6" t="s">
        <v>11</v>
      </c>
      <c r="F5751" s="6" t="s">
        <v>18478</v>
      </c>
      <c r="G5751" s="3" t="str">
        <f>IFERROR(__xludf.DUMMYFUNCTION("REGEXREPLACE(
D5751,
""([一-龯々]+)\[([^\]]+)\]"",
""&lt;ruby&gt;$1&lt;rt&gt;$2&lt;/rt&gt;&lt;/ruby&gt;""
)&amp;""&lt;br&gt;&lt;div class=""""audio""""&gt;[sound:""&amp;C5751&amp;"".mp3]&lt;/div&gt;"""),"&lt;ruby&gt;高等&lt;rt&gt;こうとう&lt;/rt&gt;&lt;/ruby&gt;&lt;br&gt;&lt;div class=""audio""&gt;[sound:こうとう.mp3]&lt;/div&gt;")</f>
        <v>&lt;ruby&gt;高等&lt;rt&gt;こうとう&lt;/rt&gt;&lt;/ruby&gt;&lt;br&gt;&lt;div class="audio"&gt;[sound:こうとう.mp3]&lt;/div&gt;</v>
      </c>
      <c r="H5751" s="3" t="str">
        <f t="shared" si="1"/>
        <v>(adj): cao cấp</v>
      </c>
      <c r="I5751" s="6" t="s">
        <v>31320</v>
      </c>
      <c r="J5751" s="6" t="s">
        <v>31321</v>
      </c>
      <c r="K5751" s="7">
        <f t="shared" si="2"/>
        <v>0.4757462601</v>
      </c>
    </row>
    <row r="5752">
      <c r="A5752" s="4">
        <v>5752.0</v>
      </c>
      <c r="B5752" s="5" t="s">
        <v>31322</v>
      </c>
      <c r="C5752" s="5" t="s">
        <v>31323</v>
      </c>
      <c r="D5752" s="5" t="s">
        <v>31324</v>
      </c>
      <c r="E5752" s="6" t="s">
        <v>24</v>
      </c>
      <c r="F5752" s="6" t="s">
        <v>31325</v>
      </c>
      <c r="G5752" s="3" t="str">
        <f>IFERROR(__xludf.DUMMYFUNCTION("REGEXREPLACE(
D5752,
""([一-龯々]+)\[([^\]]+)\]"",
""&lt;ruby&gt;$1&lt;rt&gt;$2&lt;/rt&gt;&lt;/ruby&gt;""
)&amp;""&lt;br&gt;&lt;div class=""""audio""""&gt;[sound:""&amp;C5752&amp;"".mp3]&lt;/div&gt;"""),"&lt;ruby&gt;静&lt;rt&gt;しず&lt;/rt&gt;&lt;/ruby&gt;まる&lt;br&gt;&lt;div class=""audio""&gt;[sound:しずまる.mp3]&lt;/div&gt;")</f>
        <v>&lt;ruby&gt;静&lt;rt&gt;しず&lt;/rt&gt;&lt;/ruby&gt;まる&lt;br&gt;&lt;div class="audio"&gt;[sound:しずまる.mp3]&lt;/div&gt;</v>
      </c>
      <c r="H5752" s="3" t="str">
        <f t="shared" si="1"/>
        <v>(v): yên tĩnh lại</v>
      </c>
      <c r="I5752" s="6" t="s">
        <v>31326</v>
      </c>
      <c r="J5752" s="6" t="s">
        <v>31327</v>
      </c>
      <c r="K5752" s="7">
        <f t="shared" si="2"/>
        <v>0.6180053425</v>
      </c>
    </row>
    <row r="5753">
      <c r="A5753" s="4">
        <v>5753.0</v>
      </c>
      <c r="B5753" s="5" t="s">
        <v>31328</v>
      </c>
      <c r="C5753" s="5" t="s">
        <v>31329</v>
      </c>
      <c r="D5753" s="5" t="s">
        <v>31330</v>
      </c>
      <c r="E5753" s="6" t="s">
        <v>74</v>
      </c>
      <c r="F5753" s="6" t="s">
        <v>31331</v>
      </c>
      <c r="G5753" s="3" t="str">
        <f>IFERROR(__xludf.DUMMYFUNCTION("REGEXREPLACE(
D5753,
""([一-龯々]+)\[([^\]]+)\]"",
""&lt;ruby&gt;$1&lt;rt&gt;$2&lt;/rt&gt;&lt;/ruby&gt;""
)&amp;""&lt;br&gt;&lt;div class=""""audio""""&gt;[sound:""&amp;C5753&amp;"".mp3]&lt;/div&gt;"""),"&lt;ruby&gt;大通&lt;rt&gt;おおどお&lt;/rt&gt;&lt;/ruby&gt;り&lt;br&gt;&lt;div class=""audio""&gt;[sound:おおどおり.mp3]&lt;/div&gt;")</f>
        <v>&lt;ruby&gt;大通&lt;rt&gt;おおどお&lt;/rt&gt;&lt;/ruby&gt;り&lt;br&gt;&lt;div class="audio"&gt;[sound:おおどおり.mp3]&lt;/div&gt;</v>
      </c>
      <c r="H5753" s="3" t="str">
        <f t="shared" si="1"/>
        <v>(n): đường lớn</v>
      </c>
      <c r="I5753" s="6" t="s">
        <v>31332</v>
      </c>
      <c r="J5753" s="6" t="s">
        <v>31333</v>
      </c>
      <c r="K5753" s="7">
        <f t="shared" si="2"/>
        <v>0.2750397473</v>
      </c>
    </row>
    <row r="5754">
      <c r="A5754" s="4">
        <v>5754.0</v>
      </c>
      <c r="B5754" s="5" t="s">
        <v>31334</v>
      </c>
      <c r="C5754" s="5" t="s">
        <v>31335</v>
      </c>
      <c r="D5754" s="5" t="s">
        <v>31336</v>
      </c>
      <c r="E5754" s="6" t="s">
        <v>74</v>
      </c>
      <c r="F5754" s="6" t="s">
        <v>31337</v>
      </c>
      <c r="G5754" s="3" t="str">
        <f>IFERROR(__xludf.DUMMYFUNCTION("REGEXREPLACE(
D5754,
""([一-龯々]+)\[([^\]]+)\]"",
""&lt;ruby&gt;$1&lt;rt&gt;$2&lt;/rt&gt;&lt;/ruby&gt;""
)&amp;""&lt;br&gt;&lt;div class=""""audio""""&gt;[sound:""&amp;C5754&amp;"".mp3]&lt;/div&gt;"""),"&lt;ruby&gt;発&lt;rt&gt;はつ&lt;/rt&gt;&lt;/ruby&gt;&lt;br&gt;&lt;div class=""audio""&gt;[sound:はつ.mp3]&lt;/div&gt;")</f>
        <v>&lt;ruby&gt;発&lt;rt&gt;はつ&lt;/rt&gt;&lt;/ruby&gt;&lt;br&gt;&lt;div class="audio"&gt;[sound:はつ.mp3]&lt;/div&gt;</v>
      </c>
      <c r="H5754" s="3" t="str">
        <f t="shared" si="1"/>
        <v>(n): khởi hành</v>
      </c>
      <c r="I5754" s="6" t="s">
        <v>31338</v>
      </c>
      <c r="J5754" s="6" t="s">
        <v>31339</v>
      </c>
      <c r="K5754" s="7">
        <f t="shared" si="2"/>
        <v>0.3223406266</v>
      </c>
    </row>
    <row r="5755">
      <c r="A5755" s="4">
        <v>5755.0</v>
      </c>
      <c r="B5755" s="5" t="s">
        <v>31340</v>
      </c>
      <c r="C5755" s="5" t="s">
        <v>20569</v>
      </c>
      <c r="D5755" s="5" t="s">
        <v>31341</v>
      </c>
      <c r="E5755" s="6" t="s">
        <v>74</v>
      </c>
      <c r="F5755" s="6" t="s">
        <v>31342</v>
      </c>
      <c r="G5755" s="3" t="str">
        <f>IFERROR(__xludf.DUMMYFUNCTION("REGEXREPLACE(
D5755,
""([一-龯々]+)\[([^\]]+)\]"",
""&lt;ruby&gt;$1&lt;rt&gt;$2&lt;/rt&gt;&lt;/ruby&gt;""
)&amp;""&lt;br&gt;&lt;div class=""""audio""""&gt;[sound:""&amp;C5755&amp;"".mp3]&lt;/div&gt;"""),"&lt;ruby&gt;瓶&lt;rt&gt;びん&lt;/rt&gt;&lt;/ruby&gt;&lt;br&gt;&lt;div class=""audio""&gt;[sound:びん.mp3]&lt;/div&gt;")</f>
        <v>&lt;ruby&gt;瓶&lt;rt&gt;びん&lt;/rt&gt;&lt;/ruby&gt;&lt;br&gt;&lt;div class="audio"&gt;[sound:びん.mp3]&lt;/div&gt;</v>
      </c>
      <c r="H5755" s="3" t="str">
        <f t="shared" si="1"/>
        <v>(n): cái chai</v>
      </c>
      <c r="I5755" s="6" t="s">
        <v>31343</v>
      </c>
      <c r="J5755" s="6" t="s">
        <v>31344</v>
      </c>
      <c r="K5755" s="7">
        <f t="shared" si="2"/>
        <v>0.6571621603</v>
      </c>
    </row>
    <row r="5756">
      <c r="A5756" s="4">
        <v>5756.0</v>
      </c>
      <c r="B5756" s="5" t="s">
        <v>31345</v>
      </c>
      <c r="C5756" s="5" t="s">
        <v>31346</v>
      </c>
      <c r="D5756" s="5" t="s">
        <v>31347</v>
      </c>
      <c r="E5756" s="6" t="s">
        <v>74</v>
      </c>
      <c r="F5756" s="6" t="s">
        <v>31348</v>
      </c>
      <c r="G5756" s="3" t="str">
        <f>IFERROR(__xludf.DUMMYFUNCTION("REGEXREPLACE(
D5756,
""([一-龯々]+)\[([^\]]+)\]"",
""&lt;ruby&gt;$1&lt;rt&gt;$2&lt;/rt&gt;&lt;/ruby&gt;""
)&amp;""&lt;br&gt;&lt;div class=""""audio""""&gt;[sound:""&amp;C5756&amp;"".mp3]&lt;/div&gt;"""),"&lt;ruby&gt;王様&lt;rt&gt;おうさま&lt;/rt&gt;&lt;/ruby&gt;&lt;br&gt;&lt;div class=""audio""&gt;[sound:おうさま.mp3]&lt;/div&gt;")</f>
        <v>&lt;ruby&gt;王様&lt;rt&gt;おうさま&lt;/rt&gt;&lt;/ruby&gt;&lt;br&gt;&lt;div class="audio"&gt;[sound:おうさま.mp3]&lt;/div&gt;</v>
      </c>
      <c r="H5756" s="3" t="str">
        <f t="shared" si="1"/>
        <v>(n): nhà vua</v>
      </c>
      <c r="I5756" s="6" t="s">
        <v>31349</v>
      </c>
      <c r="J5756" s="6" t="s">
        <v>31350</v>
      </c>
      <c r="K5756" s="7">
        <f t="shared" si="2"/>
        <v>0.1361411571</v>
      </c>
    </row>
    <row r="5757">
      <c r="A5757" s="4">
        <v>5757.0</v>
      </c>
      <c r="B5757" s="5" t="s">
        <v>31351</v>
      </c>
      <c r="C5757" s="5" t="s">
        <v>10621</v>
      </c>
      <c r="D5757" s="5" t="s">
        <v>31352</v>
      </c>
      <c r="E5757" s="6" t="s">
        <v>74</v>
      </c>
      <c r="F5757" s="6" t="s">
        <v>13034</v>
      </c>
      <c r="G5757" s="3" t="str">
        <f>IFERROR(__xludf.DUMMYFUNCTION("REGEXREPLACE(
D5757,
""([一-龯々]+)\[([^\]]+)\]"",
""&lt;ruby&gt;$1&lt;rt&gt;$2&lt;/rt&gt;&lt;/ruby&gt;""
)&amp;""&lt;br&gt;&lt;div class=""""audio""""&gt;[sound:""&amp;C5757&amp;"".mp3]&lt;/div&gt;"""),"&lt;ruby&gt;塔&lt;rt&gt;とう&lt;/rt&gt;&lt;/ruby&gt;&lt;br&gt;&lt;div class=""audio""&gt;[sound:とう.mp3]&lt;/div&gt;")</f>
        <v>&lt;ruby&gt;塔&lt;rt&gt;とう&lt;/rt&gt;&lt;/ruby&gt;&lt;br&gt;&lt;div class="audio"&gt;[sound:とう.mp3]&lt;/div&gt;</v>
      </c>
      <c r="H5757" s="3" t="str">
        <f t="shared" si="1"/>
        <v>(n): tháp</v>
      </c>
      <c r="I5757" s="6" t="s">
        <v>31353</v>
      </c>
      <c r="J5757" s="6" t="s">
        <v>13036</v>
      </c>
      <c r="K5757" s="7">
        <f t="shared" si="2"/>
        <v>0.06232216061</v>
      </c>
    </row>
    <row r="5758">
      <c r="A5758" s="4">
        <v>5758.0</v>
      </c>
      <c r="B5758" s="5" t="s">
        <v>31354</v>
      </c>
      <c r="C5758" s="5" t="s">
        <v>31355</v>
      </c>
      <c r="D5758" s="5" t="s">
        <v>31356</v>
      </c>
      <c r="E5758" s="6" t="s">
        <v>74</v>
      </c>
      <c r="F5758" s="6" t="s">
        <v>31357</v>
      </c>
      <c r="G5758" s="3" t="str">
        <f>IFERROR(__xludf.DUMMYFUNCTION("REGEXREPLACE(
D5758,
""([一-龯々]+)\[([^\]]+)\]"",
""&lt;ruby&gt;$1&lt;rt&gt;$2&lt;/rt&gt;&lt;/ruby&gt;""
)&amp;""&lt;br&gt;&lt;div class=""""audio""""&gt;[sound:""&amp;C5758&amp;"".mp3]&lt;/div&gt;"""),"&lt;ruby&gt;垂直&lt;rt&gt;すいちょく&lt;/rt&gt;&lt;/ruby&gt;&lt;br&gt;&lt;div class=""audio""&gt;[sound:すいちょく.mp3]&lt;/div&gt;")</f>
        <v>&lt;ruby&gt;垂直&lt;rt&gt;すいちょく&lt;/rt&gt;&lt;/ruby&gt;&lt;br&gt;&lt;div class="audio"&gt;[sound:すいちょく.mp3]&lt;/div&gt;</v>
      </c>
      <c r="H5758" s="3" t="str">
        <f t="shared" si="1"/>
        <v>(n): thẳng đứng</v>
      </c>
      <c r="I5758" s="6" t="s">
        <v>31358</v>
      </c>
      <c r="J5758" s="6" t="s">
        <v>31359</v>
      </c>
      <c r="K5758" s="7">
        <f t="shared" si="2"/>
        <v>0.9924834788</v>
      </c>
    </row>
    <row r="5759">
      <c r="A5759" s="4">
        <v>5759.0</v>
      </c>
      <c r="B5759" s="5" t="s">
        <v>31360</v>
      </c>
      <c r="C5759" s="5" t="s">
        <v>31361</v>
      </c>
      <c r="D5759" s="5" t="s">
        <v>31362</v>
      </c>
      <c r="E5759" s="6" t="s">
        <v>74</v>
      </c>
      <c r="F5759" s="6" t="s">
        <v>31363</v>
      </c>
      <c r="G5759" s="3" t="str">
        <f>IFERROR(__xludf.DUMMYFUNCTION("REGEXREPLACE(
D5759,
""([一-龯々]+)\[([^\]]+)\]"",
""&lt;ruby&gt;$1&lt;rt&gt;$2&lt;/rt&gt;&lt;/ruby&gt;""
)&amp;""&lt;br&gt;&lt;div class=""""audio""""&gt;[sound:""&amp;C5759&amp;"".mp3]&lt;/div&gt;"""),"&lt;ruby&gt;儀式&lt;rt&gt;ぎしき&lt;/rt&gt;&lt;/ruby&gt;&lt;br&gt;&lt;div class=""audio""&gt;[sound:ぎしき.mp3]&lt;/div&gt;")</f>
        <v>&lt;ruby&gt;儀式&lt;rt&gt;ぎしき&lt;/rt&gt;&lt;/ruby&gt;&lt;br&gt;&lt;div class="audio"&gt;[sound:ぎしき.mp3]&lt;/div&gt;</v>
      </c>
      <c r="H5759" s="3" t="str">
        <f t="shared" si="1"/>
        <v>(n): nghi thức</v>
      </c>
      <c r="I5759" s="6" t="s">
        <v>31364</v>
      </c>
      <c r="J5759" s="6" t="s">
        <v>31365</v>
      </c>
      <c r="K5759" s="7">
        <f t="shared" si="2"/>
        <v>0.2522722752</v>
      </c>
    </row>
    <row r="5760">
      <c r="A5760" s="4">
        <v>5760.0</v>
      </c>
      <c r="B5760" s="5" t="s">
        <v>31366</v>
      </c>
      <c r="C5760" s="5" t="s">
        <v>31367</v>
      </c>
      <c r="D5760" s="5" t="s">
        <v>31368</v>
      </c>
      <c r="E5760" s="6" t="s">
        <v>74</v>
      </c>
      <c r="F5760" s="6" t="s">
        <v>31369</v>
      </c>
      <c r="G5760" s="3" t="str">
        <f>IFERROR(__xludf.DUMMYFUNCTION("REGEXREPLACE(
D5760,
""([一-龯々]+)\[([^\]]+)\]"",
""&lt;ruby&gt;$1&lt;rt&gt;$2&lt;/rt&gt;&lt;/ruby&gt;""
)&amp;""&lt;br&gt;&lt;div class=""""audio""""&gt;[sound:""&amp;C5760&amp;"".mp3]&lt;/div&gt;"""),"&lt;ruby&gt;冷凍&lt;rt&gt;れいとう&lt;/rt&gt;&lt;/ruby&gt;&lt;br&gt;&lt;div class=""audio""&gt;[sound:れいとう.mp3]&lt;/div&gt;")</f>
        <v>&lt;ruby&gt;冷凍&lt;rt&gt;れいとう&lt;/rt&gt;&lt;/ruby&gt;&lt;br&gt;&lt;div class="audio"&gt;[sound:れいとう.mp3]&lt;/div&gt;</v>
      </c>
      <c r="H5760" s="3" t="str">
        <f t="shared" si="1"/>
        <v>(n): đông lạnh</v>
      </c>
      <c r="I5760" s="6" t="s">
        <v>31370</v>
      </c>
      <c r="J5760" s="6" t="s">
        <v>31371</v>
      </c>
      <c r="K5760" s="7">
        <f t="shared" si="2"/>
        <v>0.5348830423</v>
      </c>
    </row>
    <row r="5761">
      <c r="A5761" s="4">
        <v>5761.0</v>
      </c>
      <c r="B5761" s="5" t="s">
        <v>31372</v>
      </c>
      <c r="C5761" s="5" t="s">
        <v>17327</v>
      </c>
      <c r="D5761" s="5" t="s">
        <v>31373</v>
      </c>
      <c r="E5761" s="6" t="s">
        <v>74</v>
      </c>
      <c r="F5761" s="6" t="s">
        <v>31374</v>
      </c>
      <c r="G5761" s="3" t="str">
        <f>IFERROR(__xludf.DUMMYFUNCTION("REGEXREPLACE(
D5761,
""([一-龯々]+)\[([^\]]+)\]"",
""&lt;ruby&gt;$1&lt;rt&gt;$2&lt;/rt&gt;&lt;/ruby&gt;""
)&amp;""&lt;br&gt;&lt;div class=""""audio""""&gt;[sound:""&amp;C5761&amp;"".mp3]&lt;/div&gt;"""),"&lt;ruby&gt;官僚&lt;rt&gt;かんりょう&lt;/rt&gt;&lt;/ruby&gt;&lt;br&gt;&lt;div class=""audio""&gt;[sound:かんりょう.mp3]&lt;/div&gt;")</f>
        <v>&lt;ruby&gt;官僚&lt;rt&gt;かんりょう&lt;/rt&gt;&lt;/ruby&gt;&lt;br&gt;&lt;div class="audio"&gt;[sound:かんりょう.mp3]&lt;/div&gt;</v>
      </c>
      <c r="H5761" s="3" t="str">
        <f t="shared" si="1"/>
        <v>(n): quan chức</v>
      </c>
      <c r="I5761" s="6" t="s">
        <v>31375</v>
      </c>
      <c r="J5761" s="6" t="s">
        <v>31376</v>
      </c>
      <c r="K5761" s="7">
        <f t="shared" si="2"/>
        <v>0.05262586263</v>
      </c>
    </row>
    <row r="5762">
      <c r="A5762" s="4">
        <v>5762.0</v>
      </c>
      <c r="B5762" s="5" t="s">
        <v>31377</v>
      </c>
      <c r="C5762" s="5" t="s">
        <v>31378</v>
      </c>
      <c r="D5762" s="5" t="s">
        <v>31379</v>
      </c>
      <c r="E5762" s="6" t="s">
        <v>24</v>
      </c>
      <c r="F5762" s="6" t="s">
        <v>31380</v>
      </c>
      <c r="G5762" s="3" t="str">
        <f>IFERROR(__xludf.DUMMYFUNCTION("REGEXREPLACE(
D5762,
""([一-龯々]+)\[([^\]]+)\]"",
""&lt;ruby&gt;$1&lt;rt&gt;$2&lt;/rt&gt;&lt;/ruby&gt;""
)&amp;""&lt;br&gt;&lt;div class=""""audio""""&gt;[sound:""&amp;C5762&amp;"".mp3]&lt;/div&gt;"""),"&lt;ruby&gt;膨&lt;rt&gt;ふく&lt;/rt&gt;&lt;/ruby&gt;らます&lt;br&gt;&lt;div class=""audio""&gt;[sound:ふくらます.mp3]&lt;/div&gt;")</f>
        <v>&lt;ruby&gt;膨&lt;rt&gt;ふく&lt;/rt&gt;&lt;/ruby&gt;らます&lt;br&gt;&lt;div class="audio"&gt;[sound:ふくらます.mp3]&lt;/div&gt;</v>
      </c>
      <c r="H5762" s="3" t="str">
        <f t="shared" si="1"/>
        <v>(v): làm phồng</v>
      </c>
      <c r="I5762" s="6" t="s">
        <v>31381</v>
      </c>
      <c r="J5762" s="6" t="s">
        <v>31382</v>
      </c>
      <c r="K5762" s="7">
        <f t="shared" si="2"/>
        <v>0.4052237979</v>
      </c>
    </row>
    <row r="5763">
      <c r="A5763" s="4">
        <v>5763.0</v>
      </c>
      <c r="B5763" s="5" t="s">
        <v>31383</v>
      </c>
      <c r="C5763" s="5" t="s">
        <v>23976</v>
      </c>
      <c r="D5763" s="5" t="s">
        <v>31384</v>
      </c>
      <c r="E5763" s="6" t="s">
        <v>24</v>
      </c>
      <c r="F5763" s="6" t="s">
        <v>19571</v>
      </c>
      <c r="G5763" s="3" t="str">
        <f>IFERROR(__xludf.DUMMYFUNCTION("REGEXREPLACE(
D5763,
""([一-龯々]+)\[([^\]]+)\]"",
""&lt;ruby&gt;$1&lt;rt&gt;$2&lt;/rt&gt;&lt;/ruby&gt;""
)&amp;""&lt;br&gt;&lt;div class=""""audio""""&gt;[sound:""&amp;C5763&amp;"".mp3]&lt;/div&gt;"""),"&lt;ruby&gt;混&lt;rt&gt;ま&lt;/rt&gt;&lt;/ruby&gt;ざる&lt;br&gt;&lt;div class=""audio""&gt;[sound:まざる.mp3]&lt;/div&gt;")</f>
        <v>&lt;ruby&gt;混&lt;rt&gt;ま&lt;/rt&gt;&lt;/ruby&gt;ざる&lt;br&gt;&lt;div class="audio"&gt;[sound:まざる.mp3]&lt;/div&gt;</v>
      </c>
      <c r="H5763" s="3" t="str">
        <f t="shared" si="1"/>
        <v>(v): trộn lẫn</v>
      </c>
      <c r="I5763" s="6" t="s">
        <v>31385</v>
      </c>
      <c r="J5763" s="6" t="s">
        <v>31386</v>
      </c>
      <c r="K5763" s="7">
        <f t="shared" si="2"/>
        <v>0.1203488072</v>
      </c>
    </row>
    <row r="5764">
      <c r="A5764" s="4">
        <v>5764.0</v>
      </c>
      <c r="B5764" s="5" t="s">
        <v>31387</v>
      </c>
      <c r="C5764" s="5" t="s">
        <v>31388</v>
      </c>
      <c r="D5764" s="5" t="s">
        <v>31389</v>
      </c>
      <c r="E5764" s="6" t="s">
        <v>74</v>
      </c>
      <c r="F5764" s="6" t="s">
        <v>31390</v>
      </c>
      <c r="G5764" s="3" t="str">
        <f>IFERROR(__xludf.DUMMYFUNCTION("REGEXREPLACE(
D5764,
""([一-龯々]+)\[([^\]]+)\]"",
""&lt;ruby&gt;$1&lt;rt&gt;$2&lt;/rt&gt;&lt;/ruby&gt;""
)&amp;""&lt;br&gt;&lt;div class=""""audio""""&gt;[sound:""&amp;C5764&amp;"".mp3]&lt;/div&gt;"""),"&lt;ruby&gt;飛行&lt;rt&gt;ひこう&lt;/rt&gt;&lt;/ruby&gt;&lt;br&gt;&lt;div class=""audio""&gt;[sound:ひこう.mp3]&lt;/div&gt;")</f>
        <v>&lt;ruby&gt;飛行&lt;rt&gt;ひこう&lt;/rt&gt;&lt;/ruby&gt;&lt;br&gt;&lt;div class="audio"&gt;[sound:ひこう.mp3]&lt;/div&gt;</v>
      </c>
      <c r="H5764" s="3" t="str">
        <f t="shared" si="1"/>
        <v>(n): sự bay</v>
      </c>
      <c r="I5764" s="6" t="s">
        <v>31391</v>
      </c>
      <c r="J5764" s="6" t="s">
        <v>31392</v>
      </c>
      <c r="K5764" s="7">
        <f t="shared" si="2"/>
        <v>0.3419454435</v>
      </c>
    </row>
    <row r="5765">
      <c r="A5765" s="4">
        <v>5765.0</v>
      </c>
      <c r="B5765" s="5" t="s">
        <v>31393</v>
      </c>
      <c r="C5765" s="5" t="s">
        <v>31394</v>
      </c>
      <c r="D5765" s="5" t="s">
        <v>31395</v>
      </c>
      <c r="E5765" s="6" t="s">
        <v>74</v>
      </c>
      <c r="F5765" s="6" t="s">
        <v>22866</v>
      </c>
      <c r="G5765" s="3" t="str">
        <f>IFERROR(__xludf.DUMMYFUNCTION("REGEXREPLACE(
D5765,
""([一-龯々]+)\[([^\]]+)\]"",
""&lt;ruby&gt;$1&lt;rt&gt;$2&lt;/rt&gt;&lt;/ruby&gt;""
)&amp;""&lt;br&gt;&lt;div class=""""audio""""&gt;[sound:""&amp;C5765&amp;"".mp3]&lt;/div&gt;"""),"&lt;ruby&gt;畳&lt;rt&gt;たたみ&lt;/rt&gt;&lt;/ruby&gt;&lt;br&gt;&lt;div class=""audio""&gt;[sound:たたみ.mp3]&lt;/div&gt;")</f>
        <v>&lt;ruby&gt;畳&lt;rt&gt;たたみ&lt;/rt&gt;&lt;/ruby&gt;&lt;br&gt;&lt;div class="audio"&gt;[sound:たたみ.mp3]&lt;/div&gt;</v>
      </c>
      <c r="H5765" s="3" t="str">
        <f t="shared" si="1"/>
        <v>(n): chiếu</v>
      </c>
      <c r="I5765" s="6" t="s">
        <v>31396</v>
      </c>
      <c r="J5765" s="6" t="s">
        <v>31397</v>
      </c>
      <c r="K5765" s="7">
        <f t="shared" si="2"/>
        <v>0.517534703</v>
      </c>
    </row>
    <row r="5766">
      <c r="A5766" s="4">
        <v>5766.0</v>
      </c>
      <c r="B5766" s="5" t="s">
        <v>31398</v>
      </c>
      <c r="C5766" s="5" t="s">
        <v>31399</v>
      </c>
      <c r="D5766" s="5" t="s">
        <v>31400</v>
      </c>
      <c r="E5766" s="6" t="s">
        <v>74</v>
      </c>
      <c r="F5766" s="6" t="s">
        <v>31401</v>
      </c>
      <c r="G5766" s="3" t="str">
        <f>IFERROR(__xludf.DUMMYFUNCTION("REGEXREPLACE(
D5766,
""([一-龯々]+)\[([^\]]+)\]"",
""&lt;ruby&gt;$1&lt;rt&gt;$2&lt;/rt&gt;&lt;/ruby&gt;""
)&amp;""&lt;br&gt;&lt;div class=""""audio""""&gt;[sound:""&amp;C5766&amp;"".mp3]&lt;/div&gt;"""),"&lt;ruby&gt;老&lt;rt&gt;お&lt;/rt&gt;&lt;/ruby&gt;い&lt;br&gt;&lt;div class=""audio""&gt;[sound:おい.mp3]&lt;/div&gt;")</f>
        <v>&lt;ruby&gt;老&lt;rt&gt;お&lt;/rt&gt;&lt;/ruby&gt;い&lt;br&gt;&lt;div class="audio"&gt;[sound:おい.mp3]&lt;/div&gt;</v>
      </c>
      <c r="H5766" s="3" t="str">
        <f t="shared" si="1"/>
        <v>(n): già</v>
      </c>
      <c r="I5766" s="6" t="s">
        <v>31402</v>
      </c>
      <c r="J5766" s="6" t="s">
        <v>31403</v>
      </c>
      <c r="K5766" s="7">
        <f t="shared" si="2"/>
        <v>0.2416845621</v>
      </c>
    </row>
    <row r="5767">
      <c r="A5767" s="4">
        <v>5767.0</v>
      </c>
      <c r="B5767" s="5" t="s">
        <v>31404</v>
      </c>
      <c r="C5767" s="5" t="s">
        <v>31405</v>
      </c>
      <c r="D5767" s="5" t="s">
        <v>31406</v>
      </c>
      <c r="E5767" s="6" t="s">
        <v>74</v>
      </c>
      <c r="F5767" s="6" t="s">
        <v>31407</v>
      </c>
      <c r="G5767" s="3" t="str">
        <f>IFERROR(__xludf.DUMMYFUNCTION("REGEXREPLACE(
D5767,
""([一-龯々]+)\[([^\]]+)\]"",
""&lt;ruby&gt;$1&lt;rt&gt;$2&lt;/rt&gt;&lt;/ruby&gt;""
)&amp;""&lt;br&gt;&lt;div class=""""audio""""&gt;[sound:""&amp;C5767&amp;"".mp3]&lt;/div&gt;"""),"&lt;ruby&gt;形容動詞&lt;rt&gt;けいようどうし&lt;/rt&gt;&lt;/ruby&gt;&lt;br&gt;&lt;div class=""audio""&gt;[sound:けいようどうし.mp3]&lt;/div&gt;")</f>
        <v>&lt;ruby&gt;形容動詞&lt;rt&gt;けいようどうし&lt;/rt&gt;&lt;/ruby&gt;&lt;br&gt;&lt;div class="audio"&gt;[sound:けいようどうし.mp3]&lt;/div&gt;</v>
      </c>
      <c r="H5767" s="3" t="str">
        <f t="shared" si="1"/>
        <v>(n): tính từ đuôi na</v>
      </c>
      <c r="I5767" s="6" t="s">
        <v>31408</v>
      </c>
      <c r="J5767" s="6" t="s">
        <v>31409</v>
      </c>
      <c r="K5767" s="7">
        <f t="shared" si="2"/>
        <v>0.8577891474</v>
      </c>
    </row>
    <row r="5768">
      <c r="A5768" s="4">
        <v>5768.0</v>
      </c>
      <c r="B5768" s="5" t="s">
        <v>31410</v>
      </c>
      <c r="C5768" s="5" t="s">
        <v>31411</v>
      </c>
      <c r="D5768" s="5" t="s">
        <v>31412</v>
      </c>
      <c r="E5768" s="6" t="s">
        <v>74</v>
      </c>
      <c r="F5768" s="6" t="s">
        <v>31413</v>
      </c>
      <c r="G5768" s="3" t="str">
        <f>IFERROR(__xludf.DUMMYFUNCTION("REGEXREPLACE(
D5768,
""([一-龯々]+)\[([^\]]+)\]"",
""&lt;ruby&gt;$1&lt;rt&gt;$2&lt;/rt&gt;&lt;/ruby&gt;""
)&amp;""&lt;br&gt;&lt;div class=""""audio""""&gt;[sound:""&amp;C5768&amp;"".mp3]&lt;/div&gt;"""),"&lt;ruby&gt;克服&lt;rt&gt;こくふく&lt;/rt&gt;&lt;/ruby&gt;&lt;br&gt;&lt;div class=""audio""&gt;[sound:こくふく.mp3]&lt;/div&gt;")</f>
        <v>&lt;ruby&gt;克服&lt;rt&gt;こくふく&lt;/rt&gt;&lt;/ruby&gt;&lt;br&gt;&lt;div class="audio"&gt;[sound:こくふく.mp3]&lt;/div&gt;</v>
      </c>
      <c r="H5768" s="3" t="str">
        <f t="shared" si="1"/>
        <v>(n): khắc phục</v>
      </c>
      <c r="I5768" s="6" t="s">
        <v>31414</v>
      </c>
      <c r="J5768" s="6" t="s">
        <v>31415</v>
      </c>
      <c r="K5768" s="7">
        <f t="shared" si="2"/>
        <v>0.9436629866</v>
      </c>
    </row>
    <row r="5769">
      <c r="A5769" s="4">
        <v>5769.0</v>
      </c>
      <c r="B5769" s="5" t="s">
        <v>31416</v>
      </c>
      <c r="C5769" s="5" t="s">
        <v>31417</v>
      </c>
      <c r="D5769" s="5" t="s">
        <v>31418</v>
      </c>
      <c r="E5769" s="6" t="s">
        <v>74</v>
      </c>
      <c r="F5769" s="6" t="s">
        <v>31419</v>
      </c>
      <c r="G5769" s="3" t="str">
        <f>IFERROR(__xludf.DUMMYFUNCTION("REGEXREPLACE(
D5769,
""([一-龯々]+)\[([^\]]+)\]"",
""&lt;ruby&gt;$1&lt;rt&gt;$2&lt;/rt&gt;&lt;/ruby&gt;""
)&amp;""&lt;br&gt;&lt;div class=""""audio""""&gt;[sound:""&amp;C5769&amp;"".mp3]&lt;/div&gt;"""),"&lt;ruby&gt;噴火&lt;rt&gt;ふんか&lt;/rt&gt;&lt;/ruby&gt;&lt;br&gt;&lt;div class=""audio""&gt;[sound:ふんか.mp3]&lt;/div&gt;")</f>
        <v>&lt;ruby&gt;噴火&lt;rt&gt;ふんか&lt;/rt&gt;&lt;/ruby&gt;&lt;br&gt;&lt;div class="audio"&gt;[sound:ふんか.mp3]&lt;/div&gt;</v>
      </c>
      <c r="H5769" s="3" t="str">
        <f t="shared" si="1"/>
        <v>(n): phun trào</v>
      </c>
      <c r="I5769" s="6" t="s">
        <v>31420</v>
      </c>
      <c r="J5769" s="6" t="s">
        <v>31421</v>
      </c>
      <c r="K5769" s="7">
        <f t="shared" si="2"/>
        <v>0.04318630789</v>
      </c>
    </row>
    <row r="5770">
      <c r="A5770" s="4">
        <v>5770.0</v>
      </c>
      <c r="B5770" s="5" t="s">
        <v>31422</v>
      </c>
      <c r="C5770" s="5" t="s">
        <v>31423</v>
      </c>
      <c r="D5770" s="5" t="s">
        <v>31424</v>
      </c>
      <c r="E5770" s="6" t="s">
        <v>74</v>
      </c>
      <c r="F5770" s="6" t="s">
        <v>31425</v>
      </c>
      <c r="G5770" s="3" t="str">
        <f>IFERROR(__xludf.DUMMYFUNCTION("REGEXREPLACE(
D5770,
""([一-龯々]+)\[([^\]]+)\]"",
""&lt;ruby&gt;$1&lt;rt&gt;$2&lt;/rt&gt;&lt;/ruby&gt;""
)&amp;""&lt;br&gt;&lt;div class=""""audio""""&gt;[sound:""&amp;C5770&amp;"".mp3]&lt;/div&gt;"""),"&lt;ruby&gt;増減&lt;rt&gt;ぞうげん&lt;/rt&gt;&lt;/ruby&gt;&lt;br&gt;&lt;div class=""audio""&gt;[sound:ぞうげん.mp3]&lt;/div&gt;")</f>
        <v>&lt;ruby&gt;増減&lt;rt&gt;ぞうげん&lt;/rt&gt;&lt;/ruby&gt;&lt;br&gt;&lt;div class="audio"&gt;[sound:ぞうげん.mp3]&lt;/div&gt;</v>
      </c>
      <c r="H5770" s="3" t="str">
        <f t="shared" si="1"/>
        <v>(n): tăng giảm</v>
      </c>
      <c r="I5770" s="6" t="s">
        <v>31426</v>
      </c>
      <c r="J5770" s="6" t="s">
        <v>31427</v>
      </c>
      <c r="K5770" s="7">
        <f t="shared" si="2"/>
        <v>0.1074036723</v>
      </c>
    </row>
    <row r="5771">
      <c r="A5771" s="4">
        <v>5771.0</v>
      </c>
      <c r="B5771" s="5" t="s">
        <v>31428</v>
      </c>
      <c r="C5771" s="5" t="s">
        <v>28845</v>
      </c>
      <c r="D5771" s="5" t="s">
        <v>31429</v>
      </c>
      <c r="E5771" s="6" t="s">
        <v>74</v>
      </c>
      <c r="F5771" s="6" t="s">
        <v>31430</v>
      </c>
      <c r="G5771" s="3" t="str">
        <f>IFERROR(__xludf.DUMMYFUNCTION("REGEXREPLACE(
D5771,
""([一-龯々]+)\[([^\]]+)\]"",
""&lt;ruby&gt;$1&lt;rt&gt;$2&lt;/rt&gt;&lt;/ruby&gt;""
)&amp;""&lt;br&gt;&lt;div class=""""audio""""&gt;[sound:""&amp;C5771&amp;"".mp3]&lt;/div&gt;"""),"&lt;ruby&gt;従姉妹&lt;rt&gt;いとこ&lt;/rt&gt;&lt;/ruby&gt;&lt;br&gt;&lt;div class=""audio""&gt;[sound:いとこ.mp3]&lt;/div&gt;")</f>
        <v>&lt;ruby&gt;従姉妹&lt;rt&gt;いとこ&lt;/rt&gt;&lt;/ruby&gt;&lt;br&gt;&lt;div class="audio"&gt;[sound:いとこ.mp3]&lt;/div&gt;</v>
      </c>
      <c r="H5771" s="3" t="str">
        <f t="shared" si="1"/>
        <v>(n): chị em họ</v>
      </c>
      <c r="I5771" s="6" t="s">
        <v>31431</v>
      </c>
      <c r="J5771" s="6" t="s">
        <v>31432</v>
      </c>
      <c r="K5771" s="7">
        <f t="shared" si="2"/>
        <v>0.6873854264</v>
      </c>
    </row>
    <row r="5772">
      <c r="A5772" s="4">
        <v>5772.0</v>
      </c>
      <c r="B5772" s="5" t="s">
        <v>31433</v>
      </c>
      <c r="C5772" s="5" t="s">
        <v>31434</v>
      </c>
      <c r="D5772" s="5" t="s">
        <v>31435</v>
      </c>
      <c r="E5772" s="6" t="s">
        <v>74</v>
      </c>
      <c r="F5772" s="6" t="s">
        <v>31436</v>
      </c>
      <c r="G5772" s="3" t="str">
        <f>IFERROR(__xludf.DUMMYFUNCTION("REGEXREPLACE(
D5772,
""([一-龯々]+)\[([^\]]+)\]"",
""&lt;ruby&gt;$1&lt;rt&gt;$2&lt;/rt&gt;&lt;/ruby&gt;""
)&amp;""&lt;br&gt;&lt;div class=""""audio""""&gt;[sound:""&amp;C5772&amp;"".mp3]&lt;/div&gt;"""),"&lt;ruby&gt;友情&lt;rt&gt;ゆうじょう&lt;/rt&gt;&lt;/ruby&gt;&lt;br&gt;&lt;div class=""audio""&gt;[sound:ゆうじょう.mp3]&lt;/div&gt;")</f>
        <v>&lt;ruby&gt;友情&lt;rt&gt;ゆうじょう&lt;/rt&gt;&lt;/ruby&gt;&lt;br&gt;&lt;div class="audio"&gt;[sound:ゆうじょう.mp3]&lt;/div&gt;</v>
      </c>
      <c r="H5772" s="3" t="str">
        <f t="shared" si="1"/>
        <v>(n): tình bạn</v>
      </c>
      <c r="I5772" s="6" t="s">
        <v>31437</v>
      </c>
      <c r="J5772" s="6" t="s">
        <v>31438</v>
      </c>
      <c r="K5772" s="7">
        <f t="shared" si="2"/>
        <v>0.425710612</v>
      </c>
    </row>
    <row r="5773">
      <c r="A5773" s="4">
        <v>5773.0</v>
      </c>
      <c r="B5773" s="5" t="s">
        <v>31439</v>
      </c>
      <c r="C5773" s="5" t="s">
        <v>31440</v>
      </c>
      <c r="D5773" s="5" t="s">
        <v>31441</v>
      </c>
      <c r="E5773" s="6" t="s">
        <v>24</v>
      </c>
      <c r="F5773" s="6" t="s">
        <v>31442</v>
      </c>
      <c r="G5773" s="3" t="str">
        <f>IFERROR(__xludf.DUMMYFUNCTION("REGEXREPLACE(
D5773,
""([一-龯々]+)\[([^\]]+)\]"",
""&lt;ruby&gt;$1&lt;rt&gt;$2&lt;/rt&gt;&lt;/ruby&gt;""
)&amp;""&lt;br&gt;&lt;div class=""""audio""""&gt;[sound:""&amp;C5773&amp;"".mp3]&lt;/div&gt;"""),"&lt;ruby&gt;溶&lt;rt&gt;と&lt;/rt&gt;&lt;/ruby&gt;かす&lt;br&gt;&lt;div class=""audio""&gt;[sound:とかす.mp3]&lt;/div&gt;")</f>
        <v>&lt;ruby&gt;溶&lt;rt&gt;と&lt;/rt&gt;&lt;/ruby&gt;かす&lt;br&gt;&lt;div class="audio"&gt;[sound:とかす.mp3]&lt;/div&gt;</v>
      </c>
      <c r="H5773" s="3" t="str">
        <f t="shared" si="1"/>
        <v>(v): làm tan</v>
      </c>
      <c r="I5773" s="6" t="s">
        <v>31443</v>
      </c>
      <c r="J5773" s="6" t="s">
        <v>31444</v>
      </c>
      <c r="K5773" s="7">
        <f t="shared" si="2"/>
        <v>0.4868047219</v>
      </c>
    </row>
    <row r="5774">
      <c r="A5774" s="4">
        <v>5774.0</v>
      </c>
      <c r="B5774" s="5" t="s">
        <v>31445</v>
      </c>
      <c r="C5774" s="5" t="s">
        <v>487</v>
      </c>
      <c r="D5774" s="5" t="s">
        <v>31446</v>
      </c>
      <c r="E5774" s="6" t="s">
        <v>74</v>
      </c>
      <c r="F5774" s="6" t="s">
        <v>31447</v>
      </c>
      <c r="G5774" s="3" t="str">
        <f>IFERROR(__xludf.DUMMYFUNCTION("REGEXREPLACE(
D5774,
""([一-龯々]+)\[([^\]]+)\]"",
""&lt;ruby&gt;$1&lt;rt&gt;$2&lt;/rt&gt;&lt;/ruby&gt;""
)&amp;""&lt;br&gt;&lt;div class=""""audio""""&gt;[sound:""&amp;C5774&amp;"".mp3]&lt;/div&gt;"""),"&lt;ruby&gt;銅&lt;rt&gt;どう&lt;/rt&gt;&lt;/ruby&gt;&lt;br&gt;&lt;div class=""audio""&gt;[sound:どう.mp3]&lt;/div&gt;")</f>
        <v>&lt;ruby&gt;銅&lt;rt&gt;どう&lt;/rt&gt;&lt;/ruby&gt;&lt;br&gt;&lt;div class="audio"&gt;[sound:どう.mp3]&lt;/div&gt;</v>
      </c>
      <c r="H5774" s="3" t="str">
        <f t="shared" si="1"/>
        <v>(n): đồng</v>
      </c>
      <c r="I5774" s="6" t="s">
        <v>31448</v>
      </c>
      <c r="J5774" s="6" t="s">
        <v>31449</v>
      </c>
      <c r="K5774" s="7">
        <f t="shared" si="2"/>
        <v>0.6292858363</v>
      </c>
    </row>
    <row r="5775">
      <c r="A5775" s="4">
        <v>5775.0</v>
      </c>
      <c r="B5775" s="5" t="s">
        <v>31450</v>
      </c>
      <c r="C5775" s="5" t="s">
        <v>13833</v>
      </c>
      <c r="D5775" s="5" t="s">
        <v>31451</v>
      </c>
      <c r="E5775" s="6" t="s">
        <v>74</v>
      </c>
      <c r="F5775" s="6" t="s">
        <v>27123</v>
      </c>
      <c r="G5775" s="3" t="str">
        <f>IFERROR(__xludf.DUMMYFUNCTION("REGEXREPLACE(
D5775,
""([一-龯々]+)\[([^\]]+)\]"",
""&lt;ruby&gt;$1&lt;rt&gt;$2&lt;/rt&gt;&lt;/ruby&gt;""
)&amp;""&lt;br&gt;&lt;div class=""""audio""""&gt;[sound:""&amp;C5775&amp;"".mp3]&lt;/div&gt;"""),"&lt;ruby&gt;公演&lt;rt&gt;こうえん&lt;/rt&gt;&lt;/ruby&gt;&lt;br&gt;&lt;div class=""audio""&gt;[sound:こうえん.mp3]&lt;/div&gt;")</f>
        <v>&lt;ruby&gt;公演&lt;rt&gt;こうえん&lt;/rt&gt;&lt;/ruby&gt;&lt;br&gt;&lt;div class="audio"&gt;[sound:こうえん.mp3]&lt;/div&gt;</v>
      </c>
      <c r="H5775" s="3" t="str">
        <f t="shared" si="1"/>
        <v>(n): biểu diễn</v>
      </c>
      <c r="I5775" s="6" t="s">
        <v>31452</v>
      </c>
      <c r="J5775" s="6" t="s">
        <v>31453</v>
      </c>
      <c r="K5775" s="7">
        <f t="shared" si="2"/>
        <v>0.2725636743</v>
      </c>
    </row>
    <row r="5776">
      <c r="A5776" s="4">
        <v>5776.0</v>
      </c>
      <c r="B5776" s="5" t="s">
        <v>31454</v>
      </c>
      <c r="C5776" s="5" t="s">
        <v>31455</v>
      </c>
      <c r="D5776" s="5" t="s">
        <v>31456</v>
      </c>
      <c r="E5776" s="6" t="s">
        <v>85</v>
      </c>
      <c r="F5776" s="6" t="s">
        <v>20258</v>
      </c>
      <c r="G5776" s="3" t="str">
        <f>IFERROR(__xludf.DUMMYFUNCTION("REGEXREPLACE(
D5776,
""([一-龯々]+)\[([^\]]+)\]"",
""&lt;ruby&gt;$1&lt;rt&gt;$2&lt;/rt&gt;&lt;/ruby&gt;""
)&amp;""&lt;br&gt;&lt;div class=""""audio""""&gt;[sound:""&amp;C5776&amp;"".mp3]&lt;/div&gt;"""),"&lt;ruby&gt;割&lt;rt&gt;わり&lt;/rt&gt;&lt;/ruby&gt;と&lt;br&gt;&lt;div class=""audio""&gt;[sound:わりと.mp3]&lt;/div&gt;")</f>
        <v>&lt;ruby&gt;割&lt;rt&gt;わり&lt;/rt&gt;&lt;/ruby&gt;と&lt;br&gt;&lt;div class="audio"&gt;[sound:わりと.mp3]&lt;/div&gt;</v>
      </c>
      <c r="H5776" s="3" t="str">
        <f t="shared" si="1"/>
        <v>(adv): tương đối</v>
      </c>
      <c r="I5776" s="6" t="s">
        <v>31457</v>
      </c>
      <c r="J5776" s="6" t="s">
        <v>31458</v>
      </c>
      <c r="K5776" s="7">
        <f t="shared" si="2"/>
        <v>0.4580024741</v>
      </c>
    </row>
    <row r="5777">
      <c r="A5777" s="4">
        <v>5777.0</v>
      </c>
      <c r="B5777" s="5" t="s">
        <v>31459</v>
      </c>
      <c r="C5777" s="5" t="s">
        <v>31460</v>
      </c>
      <c r="D5777" s="5" t="s">
        <v>31461</v>
      </c>
      <c r="E5777" s="6" t="s">
        <v>74</v>
      </c>
      <c r="F5777" s="6" t="s">
        <v>746</v>
      </c>
      <c r="G5777" s="3" t="str">
        <f>IFERROR(__xludf.DUMMYFUNCTION("REGEXREPLACE(
D5777,
""([一-龯々]+)\[([^\]]+)\]"",
""&lt;ruby&gt;$1&lt;rt&gt;$2&lt;/rt&gt;&lt;/ruby&gt;""
)&amp;""&lt;br&gt;&lt;div class=""""audio""""&gt;[sound:""&amp;C5777&amp;"".mp3]&lt;/div&gt;"""),"&lt;ruby&gt;勤&lt;rt&gt;つと&lt;/rt&gt;&lt;/ruby&gt;め&lt;br&gt;&lt;div class=""audio""&gt;[sound:つとめ.mp3]&lt;/div&gt;")</f>
        <v>&lt;ruby&gt;勤&lt;rt&gt;つと&lt;/rt&gt;&lt;/ruby&gt;め&lt;br&gt;&lt;div class="audio"&gt;[sound:つとめ.mp3]&lt;/div&gt;</v>
      </c>
      <c r="H5777" s="3" t="str">
        <f t="shared" si="1"/>
        <v>(n): công việc</v>
      </c>
      <c r="I5777" s="6" t="s">
        <v>31462</v>
      </c>
      <c r="J5777" s="6" t="s">
        <v>31463</v>
      </c>
      <c r="K5777" s="7">
        <f t="shared" si="2"/>
        <v>0.6701685135</v>
      </c>
    </row>
    <row r="5778">
      <c r="A5778" s="4">
        <v>5778.0</v>
      </c>
      <c r="B5778" s="5" t="s">
        <v>31464</v>
      </c>
      <c r="C5778" s="5" t="s">
        <v>31465</v>
      </c>
      <c r="D5778" s="5" t="s">
        <v>31466</v>
      </c>
      <c r="E5778" s="6" t="s">
        <v>24</v>
      </c>
      <c r="F5778" s="6" t="s">
        <v>31467</v>
      </c>
      <c r="G5778" s="3" t="str">
        <f>IFERROR(__xludf.DUMMYFUNCTION("REGEXREPLACE(
D5778,
""([一-龯々]+)\[([^\]]+)\]"",
""&lt;ruby&gt;$1&lt;rt&gt;$2&lt;/rt&gt;&lt;/ruby&gt;""
)&amp;""&lt;br&gt;&lt;div class=""""audio""""&gt;[sound:""&amp;C5778&amp;"".mp3]&lt;/div&gt;"""),"&lt;ruby&gt;暴&lt;rt&gt;あば&lt;/rt&gt;&lt;/ruby&gt;れる&lt;br&gt;&lt;div class=""audio""&gt;[sound:あばれる.mp3]&lt;/div&gt;")</f>
        <v>&lt;ruby&gt;暴&lt;rt&gt;あば&lt;/rt&gt;&lt;/ruby&gt;れる&lt;br&gt;&lt;div class="audio"&gt;[sound:あばれる.mp3]&lt;/div&gt;</v>
      </c>
      <c r="H5778" s="3" t="str">
        <f t="shared" si="1"/>
        <v>(v): quậy phá</v>
      </c>
      <c r="I5778" s="6" t="s">
        <v>31468</v>
      </c>
      <c r="J5778" s="6" t="s">
        <v>31469</v>
      </c>
      <c r="K5778" s="7">
        <f t="shared" si="2"/>
        <v>0.4859699114</v>
      </c>
    </row>
    <row r="5779">
      <c r="A5779" s="4">
        <v>5779.0</v>
      </c>
      <c r="B5779" s="5" t="s">
        <v>31470</v>
      </c>
      <c r="C5779" s="5" t="s">
        <v>31471</v>
      </c>
      <c r="D5779" s="5" t="s">
        <v>31472</v>
      </c>
      <c r="E5779" s="6" t="s">
        <v>74</v>
      </c>
      <c r="F5779" s="6" t="s">
        <v>31473</v>
      </c>
      <c r="G5779" s="3" t="str">
        <f>IFERROR(__xludf.DUMMYFUNCTION("REGEXREPLACE(
D5779,
""([一-龯々]+)\[([^\]]+)\]"",
""&lt;ruby&gt;$1&lt;rt&gt;$2&lt;/rt&gt;&lt;/ruby&gt;""
)&amp;""&lt;br&gt;&lt;div class=""""audio""""&gt;[sound:""&amp;C5779&amp;"".mp3]&lt;/div&gt;"""),"&lt;ruby&gt;大小&lt;rt&gt;だいしょう&lt;/rt&gt;&lt;/ruby&gt;&lt;br&gt;&lt;div class=""audio""&gt;[sound:だいしょう.mp3]&lt;/div&gt;")</f>
        <v>&lt;ruby&gt;大小&lt;rt&gt;だいしょう&lt;/rt&gt;&lt;/ruby&gt;&lt;br&gt;&lt;div class="audio"&gt;[sound:だいしょう.mp3]&lt;/div&gt;</v>
      </c>
      <c r="H5779" s="3" t="str">
        <f t="shared" si="1"/>
        <v>(n): lớn nhỏ</v>
      </c>
      <c r="I5779" s="6" t="s">
        <v>31474</v>
      </c>
      <c r="J5779" s="6" t="s">
        <v>31475</v>
      </c>
      <c r="K5779" s="7">
        <f t="shared" si="2"/>
        <v>0.08369833952</v>
      </c>
    </row>
    <row r="5780">
      <c r="A5780" s="4">
        <v>5780.0</v>
      </c>
      <c r="B5780" s="5" t="s">
        <v>31476</v>
      </c>
      <c r="C5780" s="5" t="s">
        <v>31477</v>
      </c>
      <c r="D5780" s="5" t="s">
        <v>31478</v>
      </c>
      <c r="E5780" s="6" t="s">
        <v>11</v>
      </c>
      <c r="F5780" s="6" t="s">
        <v>3467</v>
      </c>
      <c r="G5780" s="3" t="str">
        <f>IFERROR(__xludf.DUMMYFUNCTION("REGEXREPLACE(
D5780,
""([一-龯々]+)\[([^\]]+)\]"",
""&lt;ruby&gt;$1&lt;rt&gt;$2&lt;/rt&gt;&lt;/ruby&gt;""
)&amp;""&lt;br&gt;&lt;div class=""""audio""""&gt;[sound:""&amp;C5780&amp;"".mp3]&lt;/div&gt;"""),"&lt;ruby&gt;安易&lt;rt&gt;あんい&lt;/rt&gt;&lt;/ruby&gt;&lt;br&gt;&lt;div class=""audio""&gt;[sound:あんい.mp3]&lt;/div&gt;")</f>
        <v>&lt;ruby&gt;安易&lt;rt&gt;あんい&lt;/rt&gt;&lt;/ruby&gt;&lt;br&gt;&lt;div class="audio"&gt;[sound:あんい.mp3]&lt;/div&gt;</v>
      </c>
      <c r="H5780" s="3" t="str">
        <f t="shared" si="1"/>
        <v>(adj): dễ dàng</v>
      </c>
      <c r="I5780" s="6" t="s">
        <v>31479</v>
      </c>
      <c r="J5780" s="6" t="s">
        <v>31480</v>
      </c>
      <c r="K5780" s="7">
        <f t="shared" si="2"/>
        <v>0.4604949704</v>
      </c>
    </row>
    <row r="5781">
      <c r="A5781" s="4">
        <v>5781.0</v>
      </c>
      <c r="B5781" s="5" t="s">
        <v>31481</v>
      </c>
      <c r="C5781" s="5" t="s">
        <v>31482</v>
      </c>
      <c r="D5781" s="5" t="s">
        <v>31483</v>
      </c>
      <c r="E5781" s="6" t="s">
        <v>74</v>
      </c>
      <c r="F5781" s="6" t="s">
        <v>7762</v>
      </c>
      <c r="G5781" s="3" t="str">
        <f>IFERROR(__xludf.DUMMYFUNCTION("REGEXREPLACE(
D5781,
""([一-龯々]+)\[([^\]]+)\]"",
""&lt;ruby&gt;$1&lt;rt&gt;$2&lt;/rt&gt;&lt;/ruby&gt;""
)&amp;""&lt;br&gt;&lt;div class=""""audio""""&gt;[sound:""&amp;C5781&amp;"".mp3]&lt;/div&gt;"""),"&lt;ruby&gt;滞在&lt;rt&gt;たいざい&lt;/rt&gt;&lt;/ruby&gt;&lt;br&gt;&lt;div class=""audio""&gt;[sound:たいざい.mp3]&lt;/div&gt;")</f>
        <v>&lt;ruby&gt;滞在&lt;rt&gt;たいざい&lt;/rt&gt;&lt;/ruby&gt;&lt;br&gt;&lt;div class="audio"&gt;[sound:たいざい.mp3]&lt;/div&gt;</v>
      </c>
      <c r="H5781" s="3" t="str">
        <f t="shared" si="1"/>
        <v>(n): lưu trú</v>
      </c>
      <c r="I5781" s="6" t="s">
        <v>31484</v>
      </c>
      <c r="J5781" s="6" t="s">
        <v>31485</v>
      </c>
      <c r="K5781" s="7">
        <f t="shared" si="2"/>
        <v>0.681749423</v>
      </c>
    </row>
    <row r="5782">
      <c r="A5782" s="4">
        <v>5782.0</v>
      </c>
      <c r="B5782" s="5" t="s">
        <v>31486</v>
      </c>
      <c r="C5782" s="5" t="s">
        <v>31487</v>
      </c>
      <c r="D5782" s="5" t="s">
        <v>31488</v>
      </c>
      <c r="E5782" s="6" t="s">
        <v>74</v>
      </c>
      <c r="F5782" s="6" t="s">
        <v>31489</v>
      </c>
      <c r="G5782" s="3" t="str">
        <f>IFERROR(__xludf.DUMMYFUNCTION("REGEXREPLACE(
D5782,
""([一-龯々]+)\[([^\]]+)\]"",
""&lt;ruby&gt;$1&lt;rt&gt;$2&lt;/rt&gt;&lt;/ruby&gt;""
)&amp;""&lt;br&gt;&lt;div class=""""audio""""&gt;[sound:""&amp;C5782&amp;"".mp3]&lt;/div&gt;"""),"&lt;ruby&gt;隙間&lt;rt&gt;すきま&lt;/rt&gt;&lt;/ruby&gt;&lt;br&gt;&lt;div class=""audio""&gt;[sound:すきま.mp3]&lt;/div&gt;")</f>
        <v>&lt;ruby&gt;隙間&lt;rt&gt;すきま&lt;/rt&gt;&lt;/ruby&gt;&lt;br&gt;&lt;div class="audio"&gt;[sound:すきま.mp3]&lt;/div&gt;</v>
      </c>
      <c r="H5782" s="3" t="str">
        <f t="shared" si="1"/>
        <v>(n): khe hở</v>
      </c>
      <c r="I5782" s="6" t="s">
        <v>31490</v>
      </c>
      <c r="J5782" s="6" t="s">
        <v>31491</v>
      </c>
      <c r="K5782" s="7">
        <f t="shared" si="2"/>
        <v>0.5443715036</v>
      </c>
    </row>
    <row r="5783">
      <c r="A5783" s="4">
        <v>5783.0</v>
      </c>
      <c r="B5783" s="5" t="s">
        <v>31492</v>
      </c>
      <c r="C5783" s="5" t="s">
        <v>31493</v>
      </c>
      <c r="D5783" s="5" t="s">
        <v>31494</v>
      </c>
      <c r="E5783" s="6" t="s">
        <v>74</v>
      </c>
      <c r="F5783" s="6" t="s">
        <v>4668</v>
      </c>
      <c r="G5783" s="3" t="str">
        <f>IFERROR(__xludf.DUMMYFUNCTION("REGEXREPLACE(
D5783,
""([一-龯々]+)\[([^\]]+)\]"",
""&lt;ruby&gt;$1&lt;rt&gt;$2&lt;/rt&gt;&lt;/ruby&gt;""
)&amp;""&lt;br&gt;&lt;div class=""""audio""""&gt;[sound:""&amp;C5783&amp;"".mp3]&lt;/div&gt;"""),"&lt;ruby&gt;隅&lt;rt&gt;すみ&lt;/rt&gt;&lt;/ruby&gt;&lt;br&gt;&lt;div class=""audio""&gt;[sound:すみ.mp3]&lt;/div&gt;")</f>
        <v>&lt;ruby&gt;隅&lt;rt&gt;すみ&lt;/rt&gt;&lt;/ruby&gt;&lt;br&gt;&lt;div class="audio"&gt;[sound:すみ.mp3]&lt;/div&gt;</v>
      </c>
      <c r="H5783" s="3" t="str">
        <f t="shared" si="1"/>
        <v>(n): góc</v>
      </c>
      <c r="I5783" s="6" t="s">
        <v>31495</v>
      </c>
      <c r="J5783" s="6" t="s">
        <v>31496</v>
      </c>
      <c r="K5783" s="7">
        <f t="shared" si="2"/>
        <v>0.72192832</v>
      </c>
    </row>
    <row r="5784">
      <c r="A5784" s="4">
        <v>5784.0</v>
      </c>
      <c r="B5784" s="5" t="s">
        <v>31497</v>
      </c>
      <c r="C5784" s="5" t="s">
        <v>31498</v>
      </c>
      <c r="D5784" s="5" t="s">
        <v>31499</v>
      </c>
      <c r="E5784" s="6" t="s">
        <v>74</v>
      </c>
      <c r="F5784" s="6" t="s">
        <v>12450</v>
      </c>
      <c r="G5784" s="3" t="str">
        <f>IFERROR(__xludf.DUMMYFUNCTION("REGEXREPLACE(
D5784,
""([一-龯々]+)\[([^\]]+)\]"",
""&lt;ruby&gt;$1&lt;rt&gt;$2&lt;/rt&gt;&lt;/ruby&gt;""
)&amp;""&lt;br&gt;&lt;div class=""""audio""""&gt;[sound:""&amp;C5784&amp;"".mp3]&lt;/div&gt;"""),"&lt;ruby&gt;原料&lt;rt&gt;げんりょう&lt;/rt&gt;&lt;/ruby&gt;&lt;br&gt;&lt;div class=""audio""&gt;[sound:げんりょう.mp3]&lt;/div&gt;")</f>
        <v>&lt;ruby&gt;原料&lt;rt&gt;げんりょう&lt;/rt&gt;&lt;/ruby&gt;&lt;br&gt;&lt;div class="audio"&gt;[sound:げんりょう.mp3]&lt;/div&gt;</v>
      </c>
      <c r="H5784" s="3" t="str">
        <f t="shared" si="1"/>
        <v>(n): nguyên liệu</v>
      </c>
      <c r="I5784" s="6" t="s">
        <v>31500</v>
      </c>
      <c r="J5784" s="6" t="s">
        <v>31501</v>
      </c>
      <c r="K5784" s="7">
        <f t="shared" si="2"/>
        <v>0.5102510144</v>
      </c>
    </row>
    <row r="5785">
      <c r="A5785" s="4">
        <v>5785.0</v>
      </c>
      <c r="B5785" s="5" t="s">
        <v>31502</v>
      </c>
      <c r="C5785" s="5" t="s">
        <v>8418</v>
      </c>
      <c r="D5785" s="5" t="s">
        <v>31503</v>
      </c>
      <c r="E5785" s="6" t="s">
        <v>74</v>
      </c>
      <c r="F5785" s="6" t="s">
        <v>31504</v>
      </c>
      <c r="G5785" s="3" t="str">
        <f>IFERROR(__xludf.DUMMYFUNCTION("REGEXREPLACE(
D5785,
""([一-龯々]+)\[([^\]]+)\]"",
""&lt;ruby&gt;$1&lt;rt&gt;$2&lt;/rt&gt;&lt;/ruby&gt;""
)&amp;""&lt;br&gt;&lt;div class=""""audio""""&gt;[sound:""&amp;C5785&amp;"".mp3]&lt;/div&gt;"""),"&lt;ruby&gt;間隔&lt;rt&gt;かんかく&lt;/rt&gt;&lt;/ruby&gt;&lt;br&gt;&lt;div class=""audio""&gt;[sound:かんかく.mp3]&lt;/div&gt;")</f>
        <v>&lt;ruby&gt;間隔&lt;rt&gt;かんかく&lt;/rt&gt;&lt;/ruby&gt;&lt;br&gt;&lt;div class="audio"&gt;[sound:かんかく.mp3]&lt;/div&gt;</v>
      </c>
      <c r="H5785" s="3" t="str">
        <f t="shared" si="1"/>
        <v>(n): khoảng cách</v>
      </c>
      <c r="I5785" s="6" t="s">
        <v>31505</v>
      </c>
      <c r="J5785" s="6" t="s">
        <v>31506</v>
      </c>
      <c r="K5785" s="7">
        <f t="shared" si="2"/>
        <v>0.6407009198</v>
      </c>
    </row>
    <row r="5786">
      <c r="A5786" s="4">
        <v>5786.0</v>
      </c>
      <c r="B5786" s="5" t="s">
        <v>31507</v>
      </c>
      <c r="C5786" s="5" t="s">
        <v>31508</v>
      </c>
      <c r="D5786" s="5" t="s">
        <v>31509</v>
      </c>
      <c r="E5786" s="6" t="s">
        <v>11</v>
      </c>
      <c r="F5786" s="6" t="s">
        <v>31510</v>
      </c>
      <c r="G5786" s="3" t="str">
        <f>IFERROR(__xludf.DUMMYFUNCTION("REGEXREPLACE(
D5786,
""([一-龯々]+)\[([^\]]+)\]"",
""&lt;ruby&gt;$1&lt;rt&gt;$2&lt;/rt&gt;&lt;/ruby&gt;""
)&amp;""&lt;br&gt;&lt;div class=""""audio""""&gt;[sound:""&amp;C5786&amp;"".mp3]&lt;/div&gt;"""),"&lt;ruby&gt;公平&lt;rt&gt;こうへい&lt;/rt&gt;&lt;/ruby&gt;&lt;br&gt;&lt;div class=""audio""&gt;[sound:こうへい.mp3]&lt;/div&gt;")</f>
        <v>&lt;ruby&gt;公平&lt;rt&gt;こうへい&lt;/rt&gt;&lt;/ruby&gt;&lt;br&gt;&lt;div class="audio"&gt;[sound:こうへい.mp3]&lt;/div&gt;</v>
      </c>
      <c r="H5786" s="3" t="str">
        <f t="shared" si="1"/>
        <v>(adj): công bằng</v>
      </c>
      <c r="I5786" s="6" t="s">
        <v>31511</v>
      </c>
      <c r="J5786" s="6" t="s">
        <v>31512</v>
      </c>
      <c r="K5786" s="7">
        <f t="shared" si="2"/>
        <v>0.8269190739</v>
      </c>
    </row>
    <row r="5787">
      <c r="A5787" s="4">
        <v>5787.0</v>
      </c>
      <c r="B5787" s="5" t="s">
        <v>31513</v>
      </c>
      <c r="C5787" s="5" t="s">
        <v>31514</v>
      </c>
      <c r="D5787" s="5" t="s">
        <v>31515</v>
      </c>
      <c r="E5787" s="6" t="s">
        <v>74</v>
      </c>
      <c r="F5787" s="6" t="s">
        <v>31516</v>
      </c>
      <c r="G5787" s="3" t="str">
        <f>IFERROR(__xludf.DUMMYFUNCTION("REGEXREPLACE(
D5787,
""([一-龯々]+)\[([^\]]+)\]"",
""&lt;ruby&gt;$1&lt;rt&gt;$2&lt;/rt&gt;&lt;/ruby&gt;""
)&amp;""&lt;br&gt;&lt;div class=""""audio""""&gt;[sound:""&amp;C5787&amp;"".mp3]&lt;/div&gt;"""),"&lt;ruby&gt;演技&lt;rt&gt;えんぎ&lt;/rt&gt;&lt;/ruby&gt;&lt;br&gt;&lt;div class=""audio""&gt;[sound:えんぎ.mp3]&lt;/div&gt;")</f>
        <v>&lt;ruby&gt;演技&lt;rt&gt;えんぎ&lt;/rt&gt;&lt;/ruby&gt;&lt;br&gt;&lt;div class="audio"&gt;[sound:えんぎ.mp3]&lt;/div&gt;</v>
      </c>
      <c r="H5787" s="3" t="str">
        <f t="shared" si="1"/>
        <v>(n): diễn xuất</v>
      </c>
      <c r="I5787" s="6" t="s">
        <v>31517</v>
      </c>
      <c r="J5787" s="6" t="s">
        <v>31518</v>
      </c>
      <c r="K5787" s="7">
        <f t="shared" si="2"/>
        <v>0.04047061524</v>
      </c>
    </row>
    <row r="5788">
      <c r="A5788" s="4">
        <v>5788.0</v>
      </c>
      <c r="B5788" s="5" t="s">
        <v>31519</v>
      </c>
      <c r="C5788" s="5" t="s">
        <v>143</v>
      </c>
      <c r="D5788" s="5" t="s">
        <v>31520</v>
      </c>
      <c r="E5788" s="6" t="s">
        <v>74</v>
      </c>
      <c r="F5788" s="6" t="s">
        <v>2270</v>
      </c>
      <c r="G5788" s="3" t="str">
        <f>IFERROR(__xludf.DUMMYFUNCTION("REGEXREPLACE(
D5788,
""([一-龯々]+)\[([^\]]+)\]"",
""&lt;ruby&gt;$1&lt;rt&gt;$2&lt;/rt&gt;&lt;/ruby&gt;""
)&amp;""&lt;br&gt;&lt;div class=""""audio""""&gt;[sound:""&amp;C5788&amp;"".mp3]&lt;/div&gt;"""),"&lt;ruby&gt;個々&lt;rt&gt;ここ&lt;/rt&gt;&lt;/ruby&gt;&lt;br&gt;&lt;div class=""audio""&gt;[sound:ここ.mp3]&lt;/div&gt;")</f>
        <v>&lt;ruby&gt;個々&lt;rt&gt;ここ&lt;/rt&gt;&lt;/ruby&gt;&lt;br&gt;&lt;div class="audio"&gt;[sound:ここ.mp3]&lt;/div&gt;</v>
      </c>
      <c r="H5788" s="3" t="str">
        <f t="shared" si="1"/>
        <v>(n): từng cái</v>
      </c>
      <c r="I5788" s="6" t="s">
        <v>31521</v>
      </c>
      <c r="J5788" s="6" t="s">
        <v>31522</v>
      </c>
      <c r="K5788" s="7">
        <f t="shared" si="2"/>
        <v>0.5800063097</v>
      </c>
    </row>
    <row r="5789">
      <c r="A5789" s="4">
        <v>5789.0</v>
      </c>
      <c r="B5789" s="5" t="s">
        <v>31523</v>
      </c>
      <c r="C5789" s="5" t="s">
        <v>31524</v>
      </c>
      <c r="D5789" s="5" t="s">
        <v>31525</v>
      </c>
      <c r="E5789" s="6" t="s">
        <v>74</v>
      </c>
      <c r="F5789" s="6" t="s">
        <v>31526</v>
      </c>
      <c r="G5789" s="3" t="str">
        <f>IFERROR(__xludf.DUMMYFUNCTION("REGEXREPLACE(
D5789,
""([一-龯々]+)\[([^\]]+)\]"",
""&lt;ruby&gt;$1&lt;rt&gt;$2&lt;/rt&gt;&lt;/ruby&gt;""
)&amp;""&lt;br&gt;&lt;div class=""""audio""""&gt;[sound:""&amp;C5789&amp;"".mp3]&lt;/div&gt;"""),"&lt;ruby&gt;水面&lt;rt&gt;すいめん&lt;/rt&gt;&lt;/ruby&gt;&lt;br&gt;&lt;div class=""audio""&gt;[sound:すいめん.mp3]&lt;/div&gt;")</f>
        <v>&lt;ruby&gt;水面&lt;rt&gt;すいめん&lt;/rt&gt;&lt;/ruby&gt;&lt;br&gt;&lt;div class="audio"&gt;[sound:すいめん.mp3]&lt;/div&gt;</v>
      </c>
      <c r="H5789" s="3" t="str">
        <f t="shared" si="1"/>
        <v>(n): mặt nước</v>
      </c>
      <c r="I5789" s="6" t="s">
        <v>31527</v>
      </c>
      <c r="J5789" s="6" t="s">
        <v>31528</v>
      </c>
      <c r="K5789" s="7">
        <f t="shared" si="2"/>
        <v>0.9135722545</v>
      </c>
    </row>
    <row r="5790">
      <c r="A5790" s="4">
        <v>5790.0</v>
      </c>
      <c r="B5790" s="5" t="s">
        <v>31529</v>
      </c>
      <c r="C5790" s="5" t="s">
        <v>31530</v>
      </c>
      <c r="D5790" s="5" t="s">
        <v>31531</v>
      </c>
      <c r="E5790" s="6" t="s">
        <v>11</v>
      </c>
      <c r="F5790" s="6" t="s">
        <v>31532</v>
      </c>
      <c r="G5790" s="3" t="str">
        <f>IFERROR(__xludf.DUMMYFUNCTION("REGEXREPLACE(
D5790,
""([一-龯々]+)\[([^\]]+)\]"",
""&lt;ruby&gt;$1&lt;rt&gt;$2&lt;/rt&gt;&lt;/ruby&gt;""
)&amp;""&lt;br&gt;&lt;div class=""""audio""""&gt;[sound:""&amp;C5790&amp;"".mp3]&lt;/div&gt;"""),"&lt;ruby&gt;派手&lt;rt&gt;はで&lt;/rt&gt;&lt;/ruby&gt;&lt;br&gt;&lt;div class=""audio""&gt;[sound:はで.mp3]&lt;/div&gt;")</f>
        <v>&lt;ruby&gt;派手&lt;rt&gt;はで&lt;/rt&gt;&lt;/ruby&gt;&lt;br&gt;&lt;div class="audio"&gt;[sound:はで.mp3]&lt;/div&gt;</v>
      </c>
      <c r="H5790" s="3" t="str">
        <f t="shared" si="1"/>
        <v>(adj): lòe loẹt</v>
      </c>
      <c r="I5790" s="6" t="s">
        <v>31533</v>
      </c>
      <c r="J5790" s="6" t="s">
        <v>31534</v>
      </c>
      <c r="K5790" s="7">
        <f t="shared" si="2"/>
        <v>0.9920086254</v>
      </c>
    </row>
    <row r="5791">
      <c r="A5791" s="4">
        <v>5791.0</v>
      </c>
      <c r="B5791" s="5" t="s">
        <v>31535</v>
      </c>
      <c r="C5791" s="5" t="s">
        <v>31536</v>
      </c>
      <c r="D5791" s="5" t="s">
        <v>31537</v>
      </c>
      <c r="E5791" s="6" t="s">
        <v>74</v>
      </c>
      <c r="F5791" s="6" t="s">
        <v>18001</v>
      </c>
      <c r="G5791" s="3" t="str">
        <f>IFERROR(__xludf.DUMMYFUNCTION("REGEXREPLACE(
D5791,
""([一-龯々]+)\[([^\]]+)\]"",
""&lt;ruby&gt;$1&lt;rt&gt;$2&lt;/rt&gt;&lt;/ruby&gt;""
)&amp;""&lt;br&gt;&lt;div class=""""audio""""&gt;[sound:""&amp;C5791&amp;"".mp3]&lt;/div&gt;"""),"&lt;ruby&gt;符号&lt;rt&gt;ふごう&lt;/rt&gt;&lt;/ruby&gt;&lt;br&gt;&lt;div class=""audio""&gt;[sound:ふごう.mp3]&lt;/div&gt;")</f>
        <v>&lt;ruby&gt;符号&lt;rt&gt;ふごう&lt;/rt&gt;&lt;/ruby&gt;&lt;br&gt;&lt;div class="audio"&gt;[sound:ふごう.mp3]&lt;/div&gt;</v>
      </c>
      <c r="H5791" s="3" t="str">
        <f t="shared" si="1"/>
        <v>(n): ký hiệu</v>
      </c>
      <c r="I5791" s="6" t="s">
        <v>31538</v>
      </c>
      <c r="J5791" s="6" t="s">
        <v>31539</v>
      </c>
      <c r="K5791" s="7">
        <f t="shared" si="2"/>
        <v>0.9942485604</v>
      </c>
    </row>
    <row r="5792">
      <c r="A5792" s="4">
        <v>5792.0</v>
      </c>
      <c r="B5792" s="5" t="s">
        <v>31540</v>
      </c>
      <c r="C5792" s="5" t="s">
        <v>31541</v>
      </c>
      <c r="D5792" s="5" t="s">
        <v>31542</v>
      </c>
      <c r="E5792" s="6" t="s">
        <v>74</v>
      </c>
      <c r="F5792" s="6" t="s">
        <v>17419</v>
      </c>
      <c r="G5792" s="3" t="str">
        <f>IFERROR(__xludf.DUMMYFUNCTION("REGEXREPLACE(
D5792,
""([一-龯々]+)\[([^\]]+)\]"",
""&lt;ruby&gt;$1&lt;rt&gt;$2&lt;/rt&gt;&lt;/ruby&gt;""
)&amp;""&lt;br&gt;&lt;div class=""""audio""""&gt;[sound:""&amp;C5792&amp;"".mp3]&lt;/div&gt;"""),"&lt;ruby&gt;出勤&lt;rt&gt;しゅっきん&lt;/rt&gt;&lt;/ruby&gt;&lt;br&gt;&lt;div class=""audio""&gt;[sound:しゅっきん.mp3]&lt;/div&gt;")</f>
        <v>&lt;ruby&gt;出勤&lt;rt&gt;しゅっきん&lt;/rt&gt;&lt;/ruby&gt;&lt;br&gt;&lt;div class="audio"&gt;[sound:しゅっきん.mp3]&lt;/div&gt;</v>
      </c>
      <c r="H5792" s="3" t="str">
        <f t="shared" si="1"/>
        <v>(n): đi làm</v>
      </c>
      <c r="I5792" s="6" t="s">
        <v>31543</v>
      </c>
      <c r="J5792" s="6" t="s">
        <v>31544</v>
      </c>
      <c r="K5792" s="7">
        <f t="shared" si="2"/>
        <v>0.7346110086</v>
      </c>
    </row>
    <row r="5793">
      <c r="A5793" s="4">
        <v>5793.0</v>
      </c>
      <c r="B5793" s="5" t="s">
        <v>31545</v>
      </c>
      <c r="C5793" s="5" t="s">
        <v>31546</v>
      </c>
      <c r="D5793" s="5" t="s">
        <v>31547</v>
      </c>
      <c r="E5793" s="6" t="s">
        <v>74</v>
      </c>
      <c r="F5793" s="6" t="s">
        <v>31548</v>
      </c>
      <c r="G5793" s="3" t="str">
        <f>IFERROR(__xludf.DUMMYFUNCTION("REGEXREPLACE(
D5793,
""([一-龯々]+)\[([^\]]+)\]"",
""&lt;ruby&gt;$1&lt;rt&gt;$2&lt;/rt&gt;&lt;/ruby&gt;""
)&amp;""&lt;br&gt;&lt;div class=""""audio""""&gt;[sound:""&amp;C5793&amp;"".mp3]&lt;/div&gt;"""),"&lt;ruby&gt;空想&lt;rt&gt;くうそう&lt;/rt&gt;&lt;/ruby&gt;&lt;br&gt;&lt;div class=""audio""&gt;[sound:くうそう.mp3]&lt;/div&gt;")</f>
        <v>&lt;ruby&gt;空想&lt;rt&gt;くうそう&lt;/rt&gt;&lt;/ruby&gt;&lt;br&gt;&lt;div class="audio"&gt;[sound:くうそう.mp3]&lt;/div&gt;</v>
      </c>
      <c r="H5793" s="3" t="str">
        <f t="shared" si="1"/>
        <v>(n): hư cấu</v>
      </c>
      <c r="I5793" s="6" t="s">
        <v>31549</v>
      </c>
      <c r="J5793" s="6" t="s">
        <v>31550</v>
      </c>
      <c r="K5793" s="7">
        <f t="shared" si="2"/>
        <v>0.06856848946</v>
      </c>
    </row>
    <row r="5794">
      <c r="A5794" s="4">
        <v>5794.0</v>
      </c>
      <c r="B5794" s="5" t="s">
        <v>31551</v>
      </c>
      <c r="C5794" s="5" t="s">
        <v>31552</v>
      </c>
      <c r="D5794" s="5" t="s">
        <v>31553</v>
      </c>
      <c r="E5794" s="6" t="s">
        <v>74</v>
      </c>
      <c r="F5794" s="6" t="s">
        <v>31554</v>
      </c>
      <c r="G5794" s="3" t="str">
        <f>IFERROR(__xludf.DUMMYFUNCTION("REGEXREPLACE(
D5794,
""([一-龯々]+)\[([^\]]+)\]"",
""&lt;ruby&gt;$1&lt;rt&gt;$2&lt;/rt&gt;&lt;/ruby&gt;""
)&amp;""&lt;br&gt;&lt;div class=""""audio""""&gt;[sound:""&amp;C5794&amp;"".mp3]&lt;/div&gt;"""),"&lt;ruby&gt;社会科学&lt;rt&gt;しゃかいかがく&lt;/rt&gt;&lt;/ruby&gt;&lt;br&gt;&lt;div class=""audio""&gt;[sound:しゃかいかがく.mp3]&lt;/div&gt;")</f>
        <v>&lt;ruby&gt;社会科学&lt;rt&gt;しゃかいかがく&lt;/rt&gt;&lt;/ruby&gt;&lt;br&gt;&lt;div class="audio"&gt;[sound:しゃかいかがく.mp3]&lt;/div&gt;</v>
      </c>
      <c r="H5794" s="3" t="str">
        <f t="shared" si="1"/>
        <v>(n): khoa học xã hội</v>
      </c>
      <c r="I5794" s="6" t="s">
        <v>31555</v>
      </c>
      <c r="J5794" s="6" t="s">
        <v>31556</v>
      </c>
      <c r="K5794" s="7">
        <f t="shared" si="2"/>
        <v>0.374460923</v>
      </c>
    </row>
    <row r="5795">
      <c r="A5795" s="4">
        <v>5795.0</v>
      </c>
      <c r="B5795" s="5" t="s">
        <v>31557</v>
      </c>
      <c r="C5795" s="5" t="s">
        <v>31558</v>
      </c>
      <c r="D5795" s="5" t="s">
        <v>31559</v>
      </c>
      <c r="E5795" s="6" t="s">
        <v>74</v>
      </c>
      <c r="F5795" s="6" t="s">
        <v>3207</v>
      </c>
      <c r="G5795" s="3" t="str">
        <f>IFERROR(__xludf.DUMMYFUNCTION("REGEXREPLACE(
D5795,
""([一-龯々]+)\[([^\]]+)\]"",
""&lt;ruby&gt;$1&lt;rt&gt;$2&lt;/rt&gt;&lt;/ruby&gt;""
)&amp;""&lt;br&gt;&lt;div class=""""audio""""&gt;[sound:""&amp;C5795&amp;"".mp3]&lt;/div&gt;"""),"&lt;ruby&gt;理科&lt;rt&gt;りか&lt;/rt&gt;&lt;/ruby&gt;&lt;br&gt;&lt;div class=""audio""&gt;[sound:りか.mp3]&lt;/div&gt;")</f>
        <v>&lt;ruby&gt;理科&lt;rt&gt;りか&lt;/rt&gt;&lt;/ruby&gt;&lt;br&gt;&lt;div class="audio"&gt;[sound:りか.mp3]&lt;/div&gt;</v>
      </c>
      <c r="H5795" s="3" t="str">
        <f t="shared" si="1"/>
        <v>(n): khoa học</v>
      </c>
      <c r="I5795" s="6" t="s">
        <v>31560</v>
      </c>
      <c r="J5795" s="6" t="s">
        <v>7471</v>
      </c>
      <c r="K5795" s="7">
        <f t="shared" si="2"/>
        <v>0.895721173</v>
      </c>
    </row>
    <row r="5796">
      <c r="A5796" s="4">
        <v>5796.0</v>
      </c>
      <c r="B5796" s="5" t="s">
        <v>31561</v>
      </c>
      <c r="C5796" s="5" t="s">
        <v>31562</v>
      </c>
      <c r="D5796" s="5" t="s">
        <v>31563</v>
      </c>
      <c r="E5796" s="6" t="s">
        <v>74</v>
      </c>
      <c r="F5796" s="6" t="s">
        <v>31564</v>
      </c>
      <c r="G5796" s="3" t="str">
        <f>IFERROR(__xludf.DUMMYFUNCTION("REGEXREPLACE(
D5796,
""([一-龯々]+)\[([^\]]+)\]"",
""&lt;ruby&gt;$1&lt;rt&gt;$2&lt;/rt&gt;&lt;/ruby&gt;""
)&amp;""&lt;br&gt;&lt;div class=""""audio""""&gt;[sound:""&amp;C5796&amp;"".mp3]&lt;/div&gt;"""),"&lt;ruby&gt;騒&lt;rt&gt;さわ&lt;/rt&gt;&lt;/ruby&gt;ぎ&lt;br&gt;&lt;div class=""audio""&gt;[sound:さわぎ.mp3]&lt;/div&gt;")</f>
        <v>&lt;ruby&gt;騒&lt;rt&gt;さわ&lt;/rt&gt;&lt;/ruby&gt;ぎ&lt;br&gt;&lt;div class="audio"&gt;[sound:さわぎ.mp3]&lt;/div&gt;</v>
      </c>
      <c r="H5796" s="3" t="str">
        <f t="shared" si="1"/>
        <v>(n): sự ồn ào</v>
      </c>
      <c r="I5796" s="6" t="s">
        <v>31565</v>
      </c>
      <c r="J5796" s="6" t="s">
        <v>31566</v>
      </c>
      <c r="K5796" s="7">
        <f t="shared" si="2"/>
        <v>0.8541025486</v>
      </c>
    </row>
    <row r="5797">
      <c r="A5797" s="4">
        <v>5797.0</v>
      </c>
      <c r="B5797" s="5" t="s">
        <v>31567</v>
      </c>
      <c r="C5797" s="5" t="s">
        <v>31568</v>
      </c>
      <c r="D5797" s="5" t="s">
        <v>31569</v>
      </c>
      <c r="E5797" s="6" t="s">
        <v>74</v>
      </c>
      <c r="F5797" s="6" t="s">
        <v>31570</v>
      </c>
      <c r="G5797" s="3" t="str">
        <f>IFERROR(__xludf.DUMMYFUNCTION("REGEXREPLACE(
D5797,
""([一-龯々]+)\[([^\]]+)\]"",
""&lt;ruby&gt;$1&lt;rt&gt;$2&lt;/rt&gt;&lt;/ruby&gt;""
)&amp;""&lt;br&gt;&lt;div class=""""audio""""&gt;[sound:""&amp;C5797&amp;"".mp3]&lt;/div&gt;"""),"&lt;ruby&gt;半島&lt;rt&gt;はんとう&lt;/rt&gt;&lt;/ruby&gt;&lt;br&gt;&lt;div class=""audio""&gt;[sound:はんとう.mp3]&lt;/div&gt;")</f>
        <v>&lt;ruby&gt;半島&lt;rt&gt;はんとう&lt;/rt&gt;&lt;/ruby&gt;&lt;br&gt;&lt;div class="audio"&gt;[sound:はんとう.mp3]&lt;/div&gt;</v>
      </c>
      <c r="H5797" s="3" t="str">
        <f t="shared" si="1"/>
        <v>(n): bán đảo</v>
      </c>
      <c r="I5797" s="6" t="s">
        <v>31571</v>
      </c>
      <c r="J5797" s="6" t="s">
        <v>31572</v>
      </c>
      <c r="K5797" s="7">
        <f t="shared" si="2"/>
        <v>0.3023724066</v>
      </c>
    </row>
    <row r="5798">
      <c r="A5798" s="4">
        <v>5798.0</v>
      </c>
      <c r="B5798" s="5" t="s">
        <v>31573</v>
      </c>
      <c r="C5798" s="5" t="s">
        <v>7112</v>
      </c>
      <c r="D5798" s="5" t="s">
        <v>31574</v>
      </c>
      <c r="E5798" s="6" t="s">
        <v>24</v>
      </c>
      <c r="F5798" s="6" t="s">
        <v>31575</v>
      </c>
      <c r="G5798" s="3" t="str">
        <f>IFERROR(__xludf.DUMMYFUNCTION("REGEXREPLACE(
D5798,
""([一-龯々]+)\[([^\]]+)\]"",
""&lt;ruby&gt;$1&lt;rt&gt;$2&lt;/rt&gt;&lt;/ruby&gt;""
)&amp;""&lt;br&gt;&lt;div class=""""audio""""&gt;[sound:""&amp;C5798&amp;"".mp3]&lt;/div&gt;"""),"&lt;ruby&gt;泊&lt;rt&gt;と&lt;/rt&gt;&lt;/ruby&gt;める&lt;br&gt;&lt;div class=""audio""&gt;[sound:とめる.mp3]&lt;/div&gt;")</f>
        <v>&lt;ruby&gt;泊&lt;rt&gt;と&lt;/rt&gt;&lt;/ruby&gt;める&lt;br&gt;&lt;div class="audio"&gt;[sound:とめる.mp3]&lt;/div&gt;</v>
      </c>
      <c r="H5798" s="3" t="str">
        <f t="shared" si="1"/>
        <v>(v): cho trọ</v>
      </c>
      <c r="I5798" s="6" t="s">
        <v>31576</v>
      </c>
      <c r="J5798" s="6" t="s">
        <v>31577</v>
      </c>
      <c r="K5798" s="7">
        <f t="shared" si="2"/>
        <v>0.4032722977</v>
      </c>
    </row>
    <row r="5799">
      <c r="A5799" s="4">
        <v>5799.0</v>
      </c>
      <c r="B5799" s="5" t="s">
        <v>31578</v>
      </c>
      <c r="C5799" s="5" t="s">
        <v>30491</v>
      </c>
      <c r="D5799" s="5" t="s">
        <v>31579</v>
      </c>
      <c r="E5799" s="6" t="s">
        <v>24</v>
      </c>
      <c r="F5799" s="6" t="s">
        <v>31580</v>
      </c>
      <c r="G5799" s="3" t="str">
        <f>IFERROR(__xludf.DUMMYFUNCTION("REGEXREPLACE(
D5799,
""([一-龯々]+)\[([^\]]+)\]"",
""&lt;ruby&gt;$1&lt;rt&gt;$2&lt;/rt&gt;&lt;/ruby&gt;""
)&amp;""&lt;br&gt;&lt;div class=""""audio""""&gt;[sound:""&amp;C5799&amp;"".mp3]&lt;/div&gt;"""),"&lt;ruby&gt;扇&lt;rt&gt;あお&lt;/rt&gt;&lt;/ruby&gt;ぐ&lt;br&gt;&lt;div class=""audio""&gt;[sound:あおぐ.mp3]&lt;/div&gt;")</f>
        <v>&lt;ruby&gt;扇&lt;rt&gt;あお&lt;/rt&gt;&lt;/ruby&gt;ぐ&lt;br&gt;&lt;div class="audio"&gt;[sound:あおぐ.mp3]&lt;/div&gt;</v>
      </c>
      <c r="H5799" s="3" t="str">
        <f t="shared" si="1"/>
        <v>(v): quạt</v>
      </c>
      <c r="I5799" s="6" t="s">
        <v>31581</v>
      </c>
      <c r="J5799" s="6" t="s">
        <v>31582</v>
      </c>
      <c r="K5799" s="7">
        <f t="shared" si="2"/>
        <v>0.1581213529</v>
      </c>
    </row>
    <row r="5800">
      <c r="A5800" s="4">
        <v>5800.0</v>
      </c>
      <c r="B5800" s="5" t="s">
        <v>31583</v>
      </c>
      <c r="C5800" s="5" t="s">
        <v>31584</v>
      </c>
      <c r="D5800" s="5" t="s">
        <v>31585</v>
      </c>
      <c r="E5800" s="6" t="s">
        <v>74</v>
      </c>
      <c r="F5800" s="6" t="s">
        <v>31586</v>
      </c>
      <c r="G5800" s="3" t="str">
        <f>IFERROR(__xludf.DUMMYFUNCTION("REGEXREPLACE(
D5800,
""([一-龯々]+)\[([^\]]+)\]"",
""&lt;ruby&gt;$1&lt;rt&gt;$2&lt;/rt&gt;&lt;/ruby&gt;""
)&amp;""&lt;br&gt;&lt;div class=""""audio""""&gt;[sound:""&amp;C5800&amp;"".mp3]&lt;/div&gt;"""),"&lt;ruby&gt;前者&lt;rt&gt;ぜんしゃ&lt;/rt&gt;&lt;/ruby&gt;&lt;br&gt;&lt;div class=""audio""&gt;[sound:ぜんしゃ.mp3]&lt;/div&gt;")</f>
        <v>&lt;ruby&gt;前者&lt;rt&gt;ぜんしゃ&lt;/rt&gt;&lt;/ruby&gt;&lt;br&gt;&lt;div class="audio"&gt;[sound:ぜんしゃ.mp3]&lt;/div&gt;</v>
      </c>
      <c r="H5800" s="3" t="str">
        <f t="shared" si="1"/>
        <v>(n): cái trước</v>
      </c>
      <c r="I5800" s="6" t="s">
        <v>31587</v>
      </c>
      <c r="J5800" s="6" t="s">
        <v>31588</v>
      </c>
      <c r="K5800" s="7">
        <f t="shared" si="2"/>
        <v>0.30079886</v>
      </c>
    </row>
    <row r="5801">
      <c r="A5801" s="4">
        <v>5801.0</v>
      </c>
      <c r="B5801" s="5" t="s">
        <v>31589</v>
      </c>
      <c r="C5801" s="5" t="s">
        <v>31590</v>
      </c>
      <c r="D5801" s="5" t="s">
        <v>31591</v>
      </c>
      <c r="E5801" s="6" t="s">
        <v>74</v>
      </c>
      <c r="F5801" s="6" t="s">
        <v>6856</v>
      </c>
      <c r="G5801" s="3" t="str">
        <f>IFERROR(__xludf.DUMMYFUNCTION("REGEXREPLACE(
D5801,
""([一-龯々]+)\[([^\]]+)\]"",
""&lt;ruby&gt;$1&lt;rt&gt;$2&lt;/rt&gt;&lt;/ruby&gt;""
)&amp;""&lt;br&gt;&lt;div class=""""audio""""&gt;[sound:""&amp;C5801&amp;"".mp3]&lt;/div&gt;"""),"&lt;ruby&gt;能率&lt;rt&gt;のうりつ&lt;/rt&gt;&lt;/ruby&gt;&lt;br&gt;&lt;div class=""audio""&gt;[sound:のうりつ.mp3]&lt;/div&gt;")</f>
        <v>&lt;ruby&gt;能率&lt;rt&gt;のうりつ&lt;/rt&gt;&lt;/ruby&gt;&lt;br&gt;&lt;div class="audio"&gt;[sound:のうりつ.mp3]&lt;/div&gt;</v>
      </c>
      <c r="H5801" s="3" t="str">
        <f t="shared" si="1"/>
        <v>(n): hiệu suất</v>
      </c>
      <c r="I5801" s="6" t="s">
        <v>31592</v>
      </c>
      <c r="J5801" s="6" t="s">
        <v>31593</v>
      </c>
      <c r="K5801" s="7">
        <f t="shared" si="2"/>
        <v>0.6809892563</v>
      </c>
    </row>
    <row r="5802">
      <c r="A5802" s="4">
        <v>5802.0</v>
      </c>
      <c r="B5802" s="5" t="s">
        <v>31594</v>
      </c>
      <c r="C5802" s="5" t="s">
        <v>31595</v>
      </c>
      <c r="D5802" s="5" t="s">
        <v>31596</v>
      </c>
      <c r="E5802" s="6" t="s">
        <v>74</v>
      </c>
      <c r="F5802" s="6" t="s">
        <v>31597</v>
      </c>
      <c r="G5802" s="3" t="str">
        <f>IFERROR(__xludf.DUMMYFUNCTION("REGEXREPLACE(
D5802,
""([一-龯々]+)\[([^\]]+)\]"",
""&lt;ruby&gt;$1&lt;rt&gt;$2&lt;/rt&gt;&lt;/ruby&gt;""
)&amp;""&lt;br&gt;&lt;div class=""""audio""""&gt;[sound:""&amp;C5802&amp;"".mp3]&lt;/div&gt;"""),"&lt;ruby&gt;効力&lt;rt&gt;こうりょく&lt;/rt&gt;&lt;/ruby&gt;&lt;br&gt;&lt;div class=""audio""&gt;[sound:こうりょく.mp3]&lt;/div&gt;")</f>
        <v>&lt;ruby&gt;効力&lt;rt&gt;こうりょく&lt;/rt&gt;&lt;/ruby&gt;&lt;br&gt;&lt;div class="audio"&gt;[sound:こうりょく.mp3]&lt;/div&gt;</v>
      </c>
      <c r="H5802" s="3" t="str">
        <f t="shared" si="1"/>
        <v>(n): hiệu lực</v>
      </c>
      <c r="I5802" s="6" t="s">
        <v>31598</v>
      </c>
      <c r="J5802" s="6" t="s">
        <v>31599</v>
      </c>
      <c r="K5802" s="7">
        <f t="shared" si="2"/>
        <v>0.3907079003</v>
      </c>
    </row>
    <row r="5803">
      <c r="A5803" s="4">
        <v>5803.0</v>
      </c>
      <c r="B5803" s="5" t="s">
        <v>31600</v>
      </c>
      <c r="C5803" s="5" t="s">
        <v>31601</v>
      </c>
      <c r="D5803" s="5" t="s">
        <v>31602</v>
      </c>
      <c r="E5803" s="6" t="s">
        <v>74</v>
      </c>
      <c r="F5803" s="6" t="s">
        <v>11905</v>
      </c>
      <c r="G5803" s="3" t="str">
        <f>IFERROR(__xludf.DUMMYFUNCTION("REGEXREPLACE(
D5803,
""([一-龯々]+)\[([^\]]+)\]"",
""&lt;ruby&gt;$1&lt;rt&gt;$2&lt;/rt&gt;&lt;/ruby&gt;""
)&amp;""&lt;br&gt;&lt;div class=""""audio""""&gt;[sound:""&amp;C5803&amp;"".mp3]&lt;/div&gt;"""),"&lt;ruby&gt;横断&lt;rt&gt;おうだん&lt;/rt&gt;&lt;/ruby&gt;&lt;br&gt;&lt;div class=""audio""&gt;[sound:おうだん.mp3]&lt;/div&gt;")</f>
        <v>&lt;ruby&gt;横断&lt;rt&gt;おうだん&lt;/rt&gt;&lt;/ruby&gt;&lt;br&gt;&lt;div class="audio"&gt;[sound:おうだん.mp3]&lt;/div&gt;</v>
      </c>
      <c r="H5803" s="3" t="str">
        <f t="shared" si="1"/>
        <v>(n): băng qua</v>
      </c>
      <c r="I5803" s="6" t="s">
        <v>31603</v>
      </c>
      <c r="J5803" s="6" t="s">
        <v>31604</v>
      </c>
      <c r="K5803" s="7">
        <f t="shared" si="2"/>
        <v>0.6668802315</v>
      </c>
    </row>
    <row r="5804">
      <c r="A5804" s="4">
        <v>5804.0</v>
      </c>
      <c r="B5804" s="5" t="s">
        <v>31605</v>
      </c>
      <c r="C5804" s="5" t="s">
        <v>31606</v>
      </c>
      <c r="D5804" s="5" t="s">
        <v>31607</v>
      </c>
      <c r="E5804" s="6" t="s">
        <v>24</v>
      </c>
      <c r="F5804" s="6" t="s">
        <v>31608</v>
      </c>
      <c r="G5804" s="3" t="str">
        <f>IFERROR(__xludf.DUMMYFUNCTION("REGEXREPLACE(
D5804,
""([一-龯々]+)\[([^\]]+)\]"",
""&lt;ruby&gt;$1&lt;rt&gt;$2&lt;/rt&gt;&lt;/ruby&gt;""
)&amp;""&lt;br&gt;&lt;div class=""""audio""""&gt;[sound:""&amp;C5804&amp;"".mp3]&lt;/div&gt;"""),"&lt;ruby&gt;浮&lt;rt&gt;う&lt;/rt&gt;&lt;/ruby&gt;かべる&lt;br&gt;&lt;div class=""audio""&gt;[sound:うかべる.mp3]&lt;/div&gt;")</f>
        <v>&lt;ruby&gt;浮&lt;rt&gt;う&lt;/rt&gt;&lt;/ruby&gt;かべる&lt;br&gt;&lt;div class="audio"&gt;[sound:うかべる.mp3]&lt;/div&gt;</v>
      </c>
      <c r="H5804" s="3" t="str">
        <f t="shared" si="1"/>
        <v>(v): thả nổi</v>
      </c>
      <c r="I5804" s="6" t="s">
        <v>31609</v>
      </c>
      <c r="J5804" s="6" t="s">
        <v>31610</v>
      </c>
      <c r="K5804" s="7">
        <f t="shared" si="2"/>
        <v>0.7026835524</v>
      </c>
    </row>
    <row r="5805">
      <c r="A5805" s="4">
        <v>5805.0</v>
      </c>
      <c r="B5805" s="5" t="s">
        <v>31611</v>
      </c>
      <c r="C5805" s="5" t="s">
        <v>31612</v>
      </c>
      <c r="D5805" s="5" t="s">
        <v>31613</v>
      </c>
      <c r="E5805" s="6" t="s">
        <v>74</v>
      </c>
      <c r="F5805" s="6" t="s">
        <v>28877</v>
      </c>
      <c r="G5805" s="3" t="str">
        <f>IFERROR(__xludf.DUMMYFUNCTION("REGEXREPLACE(
D5805,
""([一-龯々]+)\[([^\]]+)\]"",
""&lt;ruby&gt;$1&lt;rt&gt;$2&lt;/rt&gt;&lt;/ruby&gt;""
)&amp;""&lt;br&gt;&lt;div class=""""audio""""&gt;[sound:""&amp;C5805&amp;"".mp3]&lt;/div&gt;"""),"&lt;ruby&gt;破産&lt;rt&gt;はさん&lt;/rt&gt;&lt;/ruby&gt;&lt;br&gt;&lt;div class=""audio""&gt;[sound:はさん.mp3]&lt;/div&gt;")</f>
        <v>&lt;ruby&gt;破産&lt;rt&gt;はさん&lt;/rt&gt;&lt;/ruby&gt;&lt;br&gt;&lt;div class="audio"&gt;[sound:はさん.mp3]&lt;/div&gt;</v>
      </c>
      <c r="H5805" s="3" t="str">
        <f t="shared" si="1"/>
        <v>(n): phá sản</v>
      </c>
      <c r="I5805" s="6" t="s">
        <v>31614</v>
      </c>
      <c r="J5805" s="6" t="s">
        <v>28879</v>
      </c>
      <c r="K5805" s="7">
        <f t="shared" si="2"/>
        <v>0.2987713351</v>
      </c>
    </row>
    <row r="5806">
      <c r="A5806" s="4">
        <v>5806.0</v>
      </c>
      <c r="B5806" s="5" t="s">
        <v>31615</v>
      </c>
      <c r="C5806" s="5" t="s">
        <v>31616</v>
      </c>
      <c r="D5806" s="5" t="s">
        <v>31617</v>
      </c>
      <c r="E5806" s="6" t="s">
        <v>85</v>
      </c>
      <c r="F5806" s="6" t="s">
        <v>31618</v>
      </c>
      <c r="G5806" s="3" t="str">
        <f>IFERROR(__xludf.DUMMYFUNCTION("REGEXREPLACE(
D5806,
""([一-龯々]+)\[([^\]]+)\]"",
""&lt;ruby&gt;$1&lt;rt&gt;$2&lt;/rt&gt;&lt;/ruby&gt;""
)&amp;""&lt;br&gt;&lt;div class=""""audio""""&gt;[sound:""&amp;C5806&amp;"".mp3]&lt;/div&gt;"""),"&lt;ruby&gt;精々&lt;rt&gt;せいぜい&lt;/rt&gt;&lt;/ruby&gt;&lt;br&gt;&lt;div class=""audio""&gt;[sound:せいぜい.mp3]&lt;/div&gt;")</f>
        <v>&lt;ruby&gt;精々&lt;rt&gt;せいぜい&lt;/rt&gt;&lt;/ruby&gt;&lt;br&gt;&lt;div class="audio"&gt;[sound:せいぜい.mp3]&lt;/div&gt;</v>
      </c>
      <c r="H5806" s="3" t="str">
        <f t="shared" si="1"/>
        <v>(adv): tối đa</v>
      </c>
      <c r="I5806" s="6" t="s">
        <v>31619</v>
      </c>
      <c r="J5806" s="6" t="s">
        <v>31620</v>
      </c>
      <c r="K5806" s="7">
        <f t="shared" si="2"/>
        <v>0.2697948243</v>
      </c>
    </row>
    <row r="5807">
      <c r="A5807" s="4">
        <v>5807.0</v>
      </c>
      <c r="B5807" s="5" t="s">
        <v>31621</v>
      </c>
      <c r="C5807" s="5" t="s">
        <v>31622</v>
      </c>
      <c r="D5807" s="5" t="s">
        <v>31623</v>
      </c>
      <c r="E5807" s="6" t="s">
        <v>24</v>
      </c>
      <c r="F5807" s="6" t="s">
        <v>31624</v>
      </c>
      <c r="G5807" s="3" t="str">
        <f>IFERROR(__xludf.DUMMYFUNCTION("REGEXREPLACE(
D5807,
""([一-龯々]+)\[([^\]]+)\]"",
""&lt;ruby&gt;$1&lt;rt&gt;$2&lt;/rt&gt;&lt;/ruby&gt;""
)&amp;""&lt;br&gt;&lt;div class=""""audio""""&gt;[sound:""&amp;C5807&amp;"".mp3]&lt;/div&gt;"""),"&lt;ruby&gt;飽&lt;rt&gt;あ&lt;/rt&gt;&lt;/ruby&gt;きる&lt;br&gt;&lt;div class=""audio""&gt;[sound:あきる.mp3]&lt;/div&gt;")</f>
        <v>&lt;ruby&gt;飽&lt;rt&gt;あ&lt;/rt&gt;&lt;/ruby&gt;きる&lt;br&gt;&lt;div class="audio"&gt;[sound:あきる.mp3]&lt;/div&gt;</v>
      </c>
      <c r="H5807" s="3" t="str">
        <f t="shared" si="1"/>
        <v>(v): chán</v>
      </c>
      <c r="I5807" s="6" t="s">
        <v>31625</v>
      </c>
      <c r="J5807" s="6" t="s">
        <v>31626</v>
      </c>
      <c r="K5807" s="7">
        <f t="shared" si="2"/>
        <v>0.6358356275</v>
      </c>
    </row>
    <row r="5808">
      <c r="A5808" s="4">
        <v>5808.0</v>
      </c>
      <c r="B5808" s="5" t="s">
        <v>31627</v>
      </c>
      <c r="C5808" s="5" t="s">
        <v>31628</v>
      </c>
      <c r="D5808" s="5" t="s">
        <v>31629</v>
      </c>
      <c r="E5808" s="6" t="s">
        <v>24</v>
      </c>
      <c r="F5808" s="6" t="s">
        <v>1171</v>
      </c>
      <c r="G5808" s="3" t="str">
        <f>IFERROR(__xludf.DUMMYFUNCTION("REGEXREPLACE(
D5808,
""([一-龯々]+)\[([^\]]+)\]"",
""&lt;ruby&gt;$1&lt;rt&gt;$2&lt;/rt&gt;&lt;/ruby&gt;""
)&amp;""&lt;br&gt;&lt;div class=""""audio""""&gt;[sound:""&amp;C5808&amp;"".mp3]&lt;/div&gt;"""),"&lt;ruby&gt;満&lt;rt&gt;み&lt;/rt&gt;&lt;/ruby&gt;ちる&lt;br&gt;&lt;div class=""audio""&gt;[sound:みちる.mp3]&lt;/div&gt;")</f>
        <v>&lt;ruby&gt;満&lt;rt&gt;み&lt;/rt&gt;&lt;/ruby&gt;ちる&lt;br&gt;&lt;div class="audio"&gt;[sound:みちる.mp3]&lt;/div&gt;</v>
      </c>
      <c r="H5808" s="3" t="str">
        <f t="shared" si="1"/>
        <v>(v): đầy</v>
      </c>
      <c r="I5808" s="6" t="s">
        <v>31630</v>
      </c>
      <c r="J5808" s="6" t="s">
        <v>31631</v>
      </c>
      <c r="K5808" s="7">
        <f t="shared" si="2"/>
        <v>0.6864876633</v>
      </c>
    </row>
    <row r="5809">
      <c r="A5809" s="4">
        <v>5809.0</v>
      </c>
      <c r="B5809" s="5" t="s">
        <v>31632</v>
      </c>
      <c r="C5809" s="5" t="s">
        <v>31633</v>
      </c>
      <c r="D5809" s="5" t="s">
        <v>31634</v>
      </c>
      <c r="E5809" s="6" t="s">
        <v>74</v>
      </c>
      <c r="F5809" s="6" t="s">
        <v>31635</v>
      </c>
      <c r="G5809" s="3" t="str">
        <f>IFERROR(__xludf.DUMMYFUNCTION("REGEXREPLACE(
D5809,
""([一-龯々]+)\[([^\]]+)\]"",
""&lt;ruby&gt;$1&lt;rt&gt;$2&lt;/rt&gt;&lt;/ruby&gt;""
)&amp;""&lt;br&gt;&lt;div class=""""audio""""&gt;[sound:""&amp;C5809&amp;"".mp3]&lt;/div&gt;"""),"&lt;ruby&gt;体温&lt;rt&gt;たいおん&lt;/rt&gt;&lt;/ruby&gt;&lt;br&gt;&lt;div class=""audio""&gt;[sound:たいおん.mp3]&lt;/div&gt;")</f>
        <v>&lt;ruby&gt;体温&lt;rt&gt;たいおん&lt;/rt&gt;&lt;/ruby&gt;&lt;br&gt;&lt;div class="audio"&gt;[sound:たいおん.mp3]&lt;/div&gt;</v>
      </c>
      <c r="H5809" s="3" t="str">
        <f t="shared" si="1"/>
        <v>(n): thân nhiệt</v>
      </c>
      <c r="I5809" s="6" t="s">
        <v>31636</v>
      </c>
      <c r="J5809" s="6" t="s">
        <v>31637</v>
      </c>
      <c r="K5809" s="7">
        <f t="shared" si="2"/>
        <v>0.3787234643</v>
      </c>
    </row>
    <row r="5810">
      <c r="A5810" s="4">
        <v>5810.0</v>
      </c>
      <c r="B5810" s="5" t="s">
        <v>31638</v>
      </c>
      <c r="C5810" s="5" t="s">
        <v>7732</v>
      </c>
      <c r="D5810" s="5" t="s">
        <v>31639</v>
      </c>
      <c r="E5810" s="6" t="s">
        <v>74</v>
      </c>
      <c r="F5810" s="6" t="s">
        <v>31640</v>
      </c>
      <c r="G5810" s="3" t="str">
        <f>IFERROR(__xludf.DUMMYFUNCTION("REGEXREPLACE(
D5810,
""([一-龯々]+)\[([^\]]+)\]"",
""&lt;ruby&gt;$1&lt;rt&gt;$2&lt;/rt&gt;&lt;/ruby&gt;""
)&amp;""&lt;br&gt;&lt;div class=""""audio""""&gt;[sound:""&amp;C5810&amp;"".mp3]&lt;/div&gt;"""),"&lt;ruby&gt;協調&lt;rt&gt;きょうちょう&lt;/rt&gt;&lt;/ruby&gt;&lt;br&gt;&lt;div class=""audio""&gt;[sound:きょうちょう.mp3]&lt;/div&gt;")</f>
        <v>&lt;ruby&gt;協調&lt;rt&gt;きょうちょう&lt;/rt&gt;&lt;/ruby&gt;&lt;br&gt;&lt;div class="audio"&gt;[sound:きょうちょう.mp3]&lt;/div&gt;</v>
      </c>
      <c r="H5810" s="3" t="str">
        <f t="shared" si="1"/>
        <v>(n): điều phối</v>
      </c>
      <c r="I5810" s="6" t="s">
        <v>31641</v>
      </c>
      <c r="J5810" s="6" t="s">
        <v>31642</v>
      </c>
      <c r="K5810" s="7">
        <f t="shared" si="2"/>
        <v>0.8465291911</v>
      </c>
    </row>
    <row r="5811">
      <c r="A5811" s="4">
        <v>5811.0</v>
      </c>
      <c r="B5811" s="5" t="s">
        <v>31643</v>
      </c>
      <c r="C5811" s="5" t="s">
        <v>31644</v>
      </c>
      <c r="D5811" s="5" t="s">
        <v>31645</v>
      </c>
      <c r="E5811" s="6" t="s">
        <v>74</v>
      </c>
      <c r="F5811" s="6" t="s">
        <v>31646</v>
      </c>
      <c r="G5811" s="3" t="str">
        <f>IFERROR(__xludf.DUMMYFUNCTION("REGEXREPLACE(
D5811,
""([一-龯々]+)\[([^\]]+)\]"",
""&lt;ruby&gt;$1&lt;rt&gt;$2&lt;/rt&gt;&lt;/ruby&gt;""
)&amp;""&lt;br&gt;&lt;div class=""""audio""""&gt;[sound:""&amp;C5811&amp;"".mp3]&lt;/div&gt;"""),"&lt;ruby&gt;原理&lt;rt&gt;げんり&lt;/rt&gt;&lt;/ruby&gt;&lt;br&gt;&lt;div class=""audio""&gt;[sound:げんり.mp3]&lt;/div&gt;")</f>
        <v>&lt;ruby&gt;原理&lt;rt&gt;げんり&lt;/rt&gt;&lt;/ruby&gt;&lt;br&gt;&lt;div class="audio"&gt;[sound:げんり.mp3]&lt;/div&gt;</v>
      </c>
      <c r="H5811" s="3" t="str">
        <f t="shared" si="1"/>
        <v>(n): nguyên lý</v>
      </c>
      <c r="I5811" s="6" t="s">
        <v>31647</v>
      </c>
      <c r="J5811" s="6" t="s">
        <v>31648</v>
      </c>
      <c r="K5811" s="7">
        <f t="shared" si="2"/>
        <v>0.1768928507</v>
      </c>
    </row>
    <row r="5812">
      <c r="A5812" s="4">
        <v>5812.0</v>
      </c>
      <c r="B5812" s="5" t="s">
        <v>31649</v>
      </c>
      <c r="C5812" s="5" t="s">
        <v>30514</v>
      </c>
      <c r="D5812" s="5" t="s">
        <v>31650</v>
      </c>
      <c r="E5812" s="6" t="s">
        <v>74</v>
      </c>
      <c r="F5812" s="6" t="s">
        <v>31651</v>
      </c>
      <c r="G5812" s="3" t="str">
        <f>IFERROR(__xludf.DUMMYFUNCTION("REGEXREPLACE(
D5812,
""([一-龯々]+)\[([^\]]+)\]"",
""&lt;ruby&gt;$1&lt;rt&gt;$2&lt;/rt&gt;&lt;/ruby&gt;""
)&amp;""&lt;br&gt;&lt;div class=""""audio""""&gt;[sound:""&amp;C5812&amp;"".mp3]&lt;/div&gt;"""),"&lt;ruby&gt;夕刊&lt;rt&gt;ゆうかん&lt;/rt&gt;&lt;/ruby&gt;&lt;br&gt;&lt;div class=""audio""&gt;[sound:ゆうかん.mp3]&lt;/div&gt;")</f>
        <v>&lt;ruby&gt;夕刊&lt;rt&gt;ゆうかん&lt;/rt&gt;&lt;/ruby&gt;&lt;br&gt;&lt;div class="audio"&gt;[sound:ゆうかん.mp3]&lt;/div&gt;</v>
      </c>
      <c r="H5812" s="3" t="str">
        <f t="shared" si="1"/>
        <v>(n): báo chiều</v>
      </c>
      <c r="I5812" s="6" t="s">
        <v>31652</v>
      </c>
      <c r="J5812" s="6" t="s">
        <v>31653</v>
      </c>
      <c r="K5812" s="7">
        <f t="shared" si="2"/>
        <v>0.9612552785</v>
      </c>
    </row>
    <row r="5813">
      <c r="A5813" s="4">
        <v>5813.0</v>
      </c>
      <c r="B5813" s="5" t="s">
        <v>31654</v>
      </c>
      <c r="C5813" s="5" t="s">
        <v>31655</v>
      </c>
      <c r="D5813" s="5" t="s">
        <v>31656</v>
      </c>
      <c r="E5813" s="6" t="s">
        <v>74</v>
      </c>
      <c r="F5813" s="6" t="s">
        <v>31657</v>
      </c>
      <c r="G5813" s="3" t="str">
        <f>IFERROR(__xludf.DUMMYFUNCTION("REGEXREPLACE(
D5813,
""([一-龯々]+)\[([^\]]+)\]"",
""&lt;ruby&gt;$1&lt;rt&gt;$2&lt;/rt&gt;&lt;/ruby&gt;""
)&amp;""&lt;br&gt;&lt;div class=""""audio""""&gt;[sound:""&amp;C5813&amp;"".mp3]&lt;/div&gt;"""),"&lt;ruby&gt;紙幣&lt;rt&gt;しへい&lt;/rt&gt;&lt;/ruby&gt;&lt;br&gt;&lt;div class=""audio""&gt;[sound:しへい.mp3]&lt;/div&gt;")</f>
        <v>&lt;ruby&gt;紙幣&lt;rt&gt;しへい&lt;/rt&gt;&lt;/ruby&gt;&lt;br&gt;&lt;div class="audio"&gt;[sound:しへい.mp3]&lt;/div&gt;</v>
      </c>
      <c r="H5813" s="3" t="str">
        <f t="shared" si="1"/>
        <v>(n): tiền giấy</v>
      </c>
      <c r="I5813" s="6" t="s">
        <v>31658</v>
      </c>
      <c r="J5813" s="6" t="s">
        <v>31659</v>
      </c>
      <c r="K5813" s="7">
        <f t="shared" si="2"/>
        <v>0.4123873455</v>
      </c>
    </row>
    <row r="5814">
      <c r="A5814" s="4">
        <v>5814.0</v>
      </c>
      <c r="B5814" s="5" t="s">
        <v>31660</v>
      </c>
      <c r="C5814" s="5" t="s">
        <v>31661</v>
      </c>
      <c r="D5814" s="5" t="s">
        <v>31662</v>
      </c>
      <c r="E5814" s="6" t="s">
        <v>74</v>
      </c>
      <c r="F5814" s="6" t="s">
        <v>31663</v>
      </c>
      <c r="G5814" s="3" t="str">
        <f>IFERROR(__xludf.DUMMYFUNCTION("REGEXREPLACE(
D5814,
""([一-龯々]+)\[([^\]]+)\]"",
""&lt;ruby&gt;$1&lt;rt&gt;$2&lt;/rt&gt;&lt;/ruby&gt;""
)&amp;""&lt;br&gt;&lt;div class=""""audio""""&gt;[sound:""&amp;C5814&amp;"".mp3]&lt;/div&gt;"""),"&lt;ruby&gt;電波&lt;rt&gt;でんぱ&lt;/rt&gt;&lt;/ruby&gt;&lt;br&gt;&lt;div class=""audio""&gt;[sound:でんぱ.mp3]&lt;/div&gt;")</f>
        <v>&lt;ruby&gt;電波&lt;rt&gt;でんぱ&lt;/rt&gt;&lt;/ruby&gt;&lt;br&gt;&lt;div class="audio"&gt;[sound:でんぱ.mp3]&lt;/div&gt;</v>
      </c>
      <c r="H5814" s="3" t="str">
        <f t="shared" si="1"/>
        <v>(n): sóng điện</v>
      </c>
      <c r="I5814" s="6" t="s">
        <v>31664</v>
      </c>
      <c r="J5814" s="6" t="s">
        <v>31665</v>
      </c>
      <c r="K5814" s="7">
        <f t="shared" si="2"/>
        <v>0.5286200919</v>
      </c>
    </row>
    <row r="5815">
      <c r="A5815" s="4">
        <v>5815.0</v>
      </c>
      <c r="B5815" s="5" t="s">
        <v>31666</v>
      </c>
      <c r="C5815" s="5" t="s">
        <v>31667</v>
      </c>
      <c r="D5815" s="5" t="s">
        <v>31668</v>
      </c>
      <c r="E5815" s="6" t="s">
        <v>74</v>
      </c>
      <c r="F5815" s="6" t="s">
        <v>31669</v>
      </c>
      <c r="G5815" s="3" t="str">
        <f>IFERROR(__xludf.DUMMYFUNCTION("REGEXREPLACE(
D5815,
""([一-龯々]+)\[([^\]]+)\]"",
""&lt;ruby&gt;$1&lt;rt&gt;$2&lt;/rt&gt;&lt;/ruby&gt;""
)&amp;""&lt;br&gt;&lt;div class=""""audio""""&gt;[sound:""&amp;C5815&amp;"".mp3]&lt;/div&gt;"""),"&lt;ruby&gt;作物&lt;rt&gt;さくもつ&lt;/rt&gt;&lt;/ruby&gt;&lt;br&gt;&lt;div class=""audio""&gt;[sound:さくもつ.mp3]&lt;/div&gt;")</f>
        <v>&lt;ruby&gt;作物&lt;rt&gt;さくもつ&lt;/rt&gt;&lt;/ruby&gt;&lt;br&gt;&lt;div class="audio"&gt;[sound:さくもつ.mp3]&lt;/div&gt;</v>
      </c>
      <c r="H5815" s="3" t="str">
        <f t="shared" si="1"/>
        <v>(n): hoa màu</v>
      </c>
      <c r="I5815" s="6" t="s">
        <v>31670</v>
      </c>
      <c r="J5815" s="6" t="s">
        <v>31671</v>
      </c>
      <c r="K5815" s="7">
        <f t="shared" si="2"/>
        <v>0.8401263862</v>
      </c>
    </row>
    <row r="5816">
      <c r="A5816" s="4">
        <v>5816.0</v>
      </c>
      <c r="B5816" s="5" t="s">
        <v>31672</v>
      </c>
      <c r="C5816" s="5" t="s">
        <v>31673</v>
      </c>
      <c r="D5816" s="5" t="s">
        <v>31674</v>
      </c>
      <c r="E5816" s="6" t="s">
        <v>74</v>
      </c>
      <c r="F5816" s="6" t="s">
        <v>31675</v>
      </c>
      <c r="G5816" s="3" t="str">
        <f>IFERROR(__xludf.DUMMYFUNCTION("REGEXREPLACE(
D5816,
""([一-龯々]+)\[([^\]]+)\]"",
""&lt;ruby&gt;$1&lt;rt&gt;$2&lt;/rt&gt;&lt;/ruby&gt;""
)&amp;""&lt;br&gt;&lt;div class=""""audio""""&gt;[sound:""&amp;C5816&amp;"".mp3]&lt;/div&gt;"""),"&lt;ruby&gt;分布&lt;rt&gt;ぶんぷ&lt;/rt&gt;&lt;/ruby&gt;&lt;br&gt;&lt;div class=""audio""&gt;[sound:ぶんぷ.mp3]&lt;/div&gt;")</f>
        <v>&lt;ruby&gt;分布&lt;rt&gt;ぶんぷ&lt;/rt&gt;&lt;/ruby&gt;&lt;br&gt;&lt;div class="audio"&gt;[sound:ぶんぷ.mp3]&lt;/div&gt;</v>
      </c>
      <c r="H5816" s="3" t="str">
        <f t="shared" si="1"/>
        <v>(n): phân bố</v>
      </c>
      <c r="I5816" s="6" t="s">
        <v>31676</v>
      </c>
      <c r="J5816" s="6" t="s">
        <v>31677</v>
      </c>
      <c r="K5816" s="7">
        <f t="shared" si="2"/>
        <v>0.6268131615</v>
      </c>
    </row>
    <row r="5817">
      <c r="A5817" s="4">
        <v>5817.0</v>
      </c>
      <c r="B5817" s="5" t="s">
        <v>31678</v>
      </c>
      <c r="C5817" s="5" t="s">
        <v>31679</v>
      </c>
      <c r="D5817" s="5" t="s">
        <v>31680</v>
      </c>
      <c r="E5817" s="6" t="s">
        <v>74</v>
      </c>
      <c r="F5817" s="6" t="s">
        <v>31681</v>
      </c>
      <c r="G5817" s="3" t="str">
        <f>IFERROR(__xludf.DUMMYFUNCTION("REGEXREPLACE(
D5817,
""([一-龯々]+)\[([^\]]+)\]"",
""&lt;ruby&gt;$1&lt;rt&gt;$2&lt;/rt&gt;&lt;/ruby&gt;""
)&amp;""&lt;br&gt;&lt;div class=""""audio""""&gt;[sound:""&amp;C5817&amp;"".mp3]&lt;/div&gt;"""),"&lt;ruby&gt;着替&lt;rt&gt;きが&lt;/rt&gt;&lt;/ruby&gt;え&lt;br&gt;&lt;div class=""audio""&gt;[sound:きがえ.mp3]&lt;/div&gt;")</f>
        <v>&lt;ruby&gt;着替&lt;rt&gt;きが&lt;/rt&gt;&lt;/ruby&gt;え&lt;br&gt;&lt;div class="audio"&gt;[sound:きがえ.mp3]&lt;/div&gt;</v>
      </c>
      <c r="H5817" s="3" t="str">
        <f t="shared" si="1"/>
        <v>(n): đồ thay</v>
      </c>
      <c r="I5817" s="6" t="s">
        <v>31682</v>
      </c>
      <c r="J5817" s="6" t="s">
        <v>31683</v>
      </c>
      <c r="K5817" s="7">
        <f t="shared" si="2"/>
        <v>0.6690464518</v>
      </c>
    </row>
    <row r="5818">
      <c r="A5818" s="4">
        <v>5818.0</v>
      </c>
      <c r="B5818" s="5" t="s">
        <v>31684</v>
      </c>
      <c r="C5818" s="5" t="s">
        <v>31685</v>
      </c>
      <c r="D5818" s="5" t="s">
        <v>31686</v>
      </c>
      <c r="E5818" s="6" t="s">
        <v>24</v>
      </c>
      <c r="F5818" s="6" t="s">
        <v>31687</v>
      </c>
      <c r="G5818" s="3" t="str">
        <f>IFERROR(__xludf.DUMMYFUNCTION("REGEXREPLACE(
D5818,
""([一-龯々]+)\[([^\]]+)\]"",
""&lt;ruby&gt;$1&lt;rt&gt;$2&lt;/rt&gt;&lt;/ruby&gt;""
)&amp;""&lt;br&gt;&lt;div class=""""audio""""&gt;[sound:""&amp;C5818&amp;"".mp3]&lt;/div&gt;"""),"&lt;ruby&gt;突&lt;rt&gt;つ&lt;/rt&gt;&lt;/ruby&gt;き&lt;ruby&gt;当&lt;rt&gt;あ&lt;/rt&gt;&lt;/ruby&gt;たる&lt;br&gt;&lt;div class=""audio""&gt;[sound:つきあたる.mp3]&lt;/div&gt;")</f>
        <v>&lt;ruby&gt;突&lt;rt&gt;つ&lt;/rt&gt;&lt;/ruby&gt;き&lt;ruby&gt;当&lt;rt&gt;あ&lt;/rt&gt;&lt;/ruby&gt;たる&lt;br&gt;&lt;div class="audio"&gt;[sound:つきあたる.mp3]&lt;/div&gt;</v>
      </c>
      <c r="H5818" s="3" t="str">
        <f t="shared" si="1"/>
        <v>(v): đâm vào</v>
      </c>
      <c r="I5818" s="6" t="s">
        <v>31688</v>
      </c>
      <c r="J5818" s="6" t="s">
        <v>31689</v>
      </c>
      <c r="K5818" s="7">
        <f t="shared" si="2"/>
        <v>0.2943506334</v>
      </c>
    </row>
    <row r="5819">
      <c r="A5819" s="4">
        <v>5819.0</v>
      </c>
      <c r="B5819" s="5" t="s">
        <v>31690</v>
      </c>
      <c r="C5819" s="5" t="s">
        <v>31691</v>
      </c>
      <c r="D5819" s="5" t="s">
        <v>31692</v>
      </c>
      <c r="E5819" s="6" t="s">
        <v>74</v>
      </c>
      <c r="F5819" s="6" t="s">
        <v>31693</v>
      </c>
      <c r="G5819" s="3" t="str">
        <f>IFERROR(__xludf.DUMMYFUNCTION("REGEXREPLACE(
D5819,
""([一-龯々]+)\[([^\]]+)\]"",
""&lt;ruby&gt;$1&lt;rt&gt;$2&lt;/rt&gt;&lt;/ruby&gt;""
)&amp;""&lt;br&gt;&lt;div class=""""audio""""&gt;[sound:""&amp;C5819&amp;"".mp3]&lt;/div&gt;"""),"&lt;ruby&gt;自衛&lt;rt&gt;じえい&lt;/rt&gt;&lt;/ruby&gt;&lt;br&gt;&lt;div class=""audio""&gt;[sound:じえい.mp3]&lt;/div&gt;")</f>
        <v>&lt;ruby&gt;自衛&lt;rt&gt;じえい&lt;/rt&gt;&lt;/ruby&gt;&lt;br&gt;&lt;div class="audio"&gt;[sound:じえい.mp3]&lt;/div&gt;</v>
      </c>
      <c r="H5819" s="3" t="str">
        <f t="shared" si="1"/>
        <v>(n): tự vệ</v>
      </c>
      <c r="I5819" s="6" t="s">
        <v>31694</v>
      </c>
      <c r="J5819" s="6" t="s">
        <v>31695</v>
      </c>
      <c r="K5819" s="7">
        <f t="shared" si="2"/>
        <v>0.06588129195</v>
      </c>
    </row>
    <row r="5820">
      <c r="A5820" s="4">
        <v>5820.0</v>
      </c>
      <c r="B5820" s="5" t="s">
        <v>31696</v>
      </c>
      <c r="C5820" s="5" t="s">
        <v>31697</v>
      </c>
      <c r="D5820" s="5" t="s">
        <v>31698</v>
      </c>
      <c r="E5820" s="6" t="s">
        <v>74</v>
      </c>
      <c r="F5820" s="6" t="s">
        <v>31699</v>
      </c>
      <c r="G5820" s="3" t="str">
        <f>IFERROR(__xludf.DUMMYFUNCTION("REGEXREPLACE(
D5820,
""([一-龯々]+)\[([^\]]+)\]"",
""&lt;ruby&gt;$1&lt;rt&gt;$2&lt;/rt&gt;&lt;/ruby&gt;""
)&amp;""&lt;br&gt;&lt;div class=""""audio""""&gt;[sound:""&amp;C5820&amp;"".mp3]&lt;/div&gt;"""),"&lt;ruby&gt;稲&lt;rt&gt;いね&lt;/rt&gt;&lt;/ruby&gt;&lt;br&gt;&lt;div class=""audio""&gt;[sound:いね.mp3]&lt;/div&gt;")</f>
        <v>&lt;ruby&gt;稲&lt;rt&gt;いね&lt;/rt&gt;&lt;/ruby&gt;&lt;br&gt;&lt;div class="audio"&gt;[sound:いね.mp3]&lt;/div&gt;</v>
      </c>
      <c r="H5820" s="3" t="str">
        <f t="shared" si="1"/>
        <v>(n): lúa</v>
      </c>
      <c r="I5820" s="6" t="s">
        <v>31700</v>
      </c>
      <c r="J5820" s="6" t="s">
        <v>31701</v>
      </c>
      <c r="K5820" s="7">
        <f t="shared" si="2"/>
        <v>0.9614475518</v>
      </c>
    </row>
    <row r="5821">
      <c r="A5821" s="4">
        <v>5821.0</v>
      </c>
      <c r="B5821" s="5" t="s">
        <v>31702</v>
      </c>
      <c r="C5821" s="5" t="s">
        <v>13529</v>
      </c>
      <c r="D5821" s="5" t="s">
        <v>31703</v>
      </c>
      <c r="E5821" s="6" t="s">
        <v>74</v>
      </c>
      <c r="F5821" s="6" t="s">
        <v>7649</v>
      </c>
      <c r="G5821" s="3" t="str">
        <f>IFERROR(__xludf.DUMMYFUNCTION("REGEXREPLACE(
D5821,
""([一-龯々]+)\[([^\]]+)\]"",
""&lt;ruby&gt;$1&lt;rt&gt;$2&lt;/rt&gt;&lt;/ruby&gt;""
)&amp;""&lt;br&gt;&lt;div class=""""audio""""&gt;[sound:""&amp;C5821&amp;"".mp3]&lt;/div&gt;"""),"&lt;ruby&gt;鑑賞&lt;rt&gt;かんしょう&lt;/rt&gt;&lt;/ruby&gt;&lt;br&gt;&lt;div class=""audio""&gt;[sound:かんしょう.mp3]&lt;/div&gt;")</f>
        <v>&lt;ruby&gt;鑑賞&lt;rt&gt;かんしょう&lt;/rt&gt;&lt;/ruby&gt;&lt;br&gt;&lt;div class="audio"&gt;[sound:かんしょう.mp3]&lt;/div&gt;</v>
      </c>
      <c r="H5821" s="3" t="str">
        <f t="shared" si="1"/>
        <v>(n): thưởng thức</v>
      </c>
      <c r="I5821" s="6" t="s">
        <v>31704</v>
      </c>
      <c r="J5821" s="6" t="s">
        <v>31705</v>
      </c>
      <c r="K5821" s="7">
        <f t="shared" si="2"/>
        <v>0.7916896898</v>
      </c>
    </row>
    <row r="5822">
      <c r="A5822" s="4">
        <v>5822.0</v>
      </c>
      <c r="B5822" s="5" t="s">
        <v>31706</v>
      </c>
      <c r="C5822" s="5" t="s">
        <v>31707</v>
      </c>
      <c r="D5822" s="5" t="s">
        <v>31708</v>
      </c>
      <c r="E5822" s="6" t="s">
        <v>74</v>
      </c>
      <c r="F5822" s="6" t="s">
        <v>11875</v>
      </c>
      <c r="G5822" s="3" t="str">
        <f>IFERROR(__xludf.DUMMYFUNCTION("REGEXREPLACE(
D5822,
""([一-龯々]+)\[([^\]]+)\]"",
""&lt;ruby&gt;$1&lt;rt&gt;$2&lt;/rt&gt;&lt;/ruby&gt;""
)&amp;""&lt;br&gt;&lt;div class=""""audio""""&gt;[sound:""&amp;C5822&amp;"".mp3]&lt;/div&gt;"""),"&lt;ruby&gt;冷房&lt;rt&gt;れいぼう&lt;/rt&gt;&lt;/ruby&gt;&lt;br&gt;&lt;div class=""audio""&gt;[sound:れいぼう.mp3]&lt;/div&gt;")</f>
        <v>&lt;ruby&gt;冷房&lt;rt&gt;れいぼう&lt;/rt&gt;&lt;/ruby&gt;&lt;br&gt;&lt;div class="audio"&gt;[sound:れいぼう.mp3]&lt;/div&gt;</v>
      </c>
      <c r="H5822" s="3" t="str">
        <f t="shared" si="1"/>
        <v>(n): máy lạnh</v>
      </c>
      <c r="I5822" s="6" t="s">
        <v>31709</v>
      </c>
      <c r="J5822" s="6" t="s">
        <v>11877</v>
      </c>
      <c r="K5822" s="7">
        <f t="shared" si="2"/>
        <v>0.8731441465</v>
      </c>
    </row>
    <row r="5823">
      <c r="A5823" s="4">
        <v>5823.0</v>
      </c>
      <c r="B5823" s="5" t="s">
        <v>31710</v>
      </c>
      <c r="C5823" s="5" t="s">
        <v>31711</v>
      </c>
      <c r="D5823" s="5" t="s">
        <v>31712</v>
      </c>
      <c r="E5823" s="6" t="s">
        <v>74</v>
      </c>
      <c r="F5823" s="6" t="s">
        <v>17855</v>
      </c>
      <c r="G5823" s="3" t="str">
        <f>IFERROR(__xludf.DUMMYFUNCTION("REGEXREPLACE(
D5823,
""([一-龯々]+)\[([^\]]+)\]"",
""&lt;ruby&gt;$1&lt;rt&gt;$2&lt;/rt&gt;&lt;/ruby&gt;""
)&amp;""&lt;br&gt;&lt;div class=""""audio""""&gt;[sound:""&amp;C5823&amp;"".mp3]&lt;/div&gt;"""),"&lt;ruby&gt;勘違&lt;rt&gt;かんちが&lt;/rt&gt;&lt;/ruby&gt;い&lt;br&gt;&lt;div class=""audio""&gt;[sound:かんちがい.mp3]&lt;/div&gt;")</f>
        <v>&lt;ruby&gt;勘違&lt;rt&gt;かんちが&lt;/rt&gt;&lt;/ruby&gt;い&lt;br&gt;&lt;div class="audio"&gt;[sound:かんちがい.mp3]&lt;/div&gt;</v>
      </c>
      <c r="H5823" s="3" t="str">
        <f t="shared" si="1"/>
        <v>(n): hiểu lầm</v>
      </c>
      <c r="I5823" s="6" t="s">
        <v>31713</v>
      </c>
      <c r="J5823" s="6" t="s">
        <v>31714</v>
      </c>
      <c r="K5823" s="7">
        <f t="shared" si="2"/>
        <v>0.8312533886</v>
      </c>
    </row>
    <row r="5824">
      <c r="A5824" s="4">
        <v>5824.0</v>
      </c>
      <c r="B5824" s="5" t="s">
        <v>31715</v>
      </c>
      <c r="C5824" s="5" t="s">
        <v>31716</v>
      </c>
      <c r="D5824" s="5" t="s">
        <v>31717</v>
      </c>
      <c r="E5824" s="6" t="s">
        <v>11</v>
      </c>
      <c r="F5824" s="6" t="s">
        <v>31718</v>
      </c>
      <c r="G5824" s="3" t="str">
        <f>IFERROR(__xludf.DUMMYFUNCTION("REGEXREPLACE(
D5824,
""([一-龯々]+)\[([^\]]+)\]"",
""&lt;ruby&gt;$1&lt;rt&gt;$2&lt;/rt&gt;&lt;/ruby&gt;""
)&amp;""&lt;br&gt;&lt;div class=""""audio""""&gt;[sound:""&amp;C5824&amp;"".mp3]&lt;/div&gt;"""),"&lt;ruby&gt;真&lt;rt&gt;ま&lt;/rt&gt;&lt;/ruby&gt;っ&lt;ruby&gt;黒&lt;rt&gt;くろ&lt;/rt&gt;&lt;/ruby&gt;&lt;br&gt;&lt;div class=""audio""&gt;[sound:まっくろ.mp3]&lt;/div&gt;")</f>
        <v>&lt;ruby&gt;真&lt;rt&gt;ま&lt;/rt&gt;&lt;/ruby&gt;っ&lt;ruby&gt;黒&lt;rt&gt;くろ&lt;/rt&gt;&lt;/ruby&gt;&lt;br&gt;&lt;div class="audio"&gt;[sound:まっくろ.mp3]&lt;/div&gt;</v>
      </c>
      <c r="H5824" s="3" t="str">
        <f t="shared" si="1"/>
        <v>(adj): đen thui</v>
      </c>
      <c r="I5824" s="6" t="s">
        <v>31719</v>
      </c>
      <c r="J5824" s="6" t="s">
        <v>31720</v>
      </c>
      <c r="K5824" s="7">
        <f t="shared" si="2"/>
        <v>0.2292236658</v>
      </c>
    </row>
    <row r="5825">
      <c r="A5825" s="4">
        <v>5825.0</v>
      </c>
      <c r="B5825" s="5" t="s">
        <v>31721</v>
      </c>
      <c r="C5825" s="5" t="s">
        <v>31722</v>
      </c>
      <c r="D5825" s="5" t="s">
        <v>31723</v>
      </c>
      <c r="E5825" s="6" t="s">
        <v>74</v>
      </c>
      <c r="F5825" s="6" t="s">
        <v>30433</v>
      </c>
      <c r="G5825" s="3" t="str">
        <f>IFERROR(__xludf.DUMMYFUNCTION("REGEXREPLACE(
D5825,
""([一-龯々]+)\[([^\]]+)\]"",
""&lt;ruby&gt;$1&lt;rt&gt;$2&lt;/rt&gt;&lt;/ruby&gt;""
)&amp;""&lt;br&gt;&lt;div class=""""audio""""&gt;[sound:""&amp;C5825&amp;"".mp3]&lt;/div&gt;"""),"&lt;ruby&gt;蒸気&lt;rt&gt;じょうき&lt;/rt&gt;&lt;/ruby&gt;&lt;br&gt;&lt;div class=""audio""&gt;[sound:じょうき.mp3]&lt;/div&gt;")</f>
        <v>&lt;ruby&gt;蒸気&lt;rt&gt;じょうき&lt;/rt&gt;&lt;/ruby&gt;&lt;br&gt;&lt;div class="audio"&gt;[sound:じょうき.mp3]&lt;/div&gt;</v>
      </c>
      <c r="H5825" s="3" t="str">
        <f t="shared" si="1"/>
        <v>(n): hơi nước</v>
      </c>
      <c r="I5825" s="6" t="s">
        <v>31724</v>
      </c>
      <c r="J5825" s="6" t="s">
        <v>31725</v>
      </c>
      <c r="K5825" s="7">
        <f t="shared" si="2"/>
        <v>0.7411166772</v>
      </c>
    </row>
    <row r="5826">
      <c r="A5826" s="4">
        <v>5826.0</v>
      </c>
      <c r="B5826" s="5" t="s">
        <v>31726</v>
      </c>
      <c r="C5826" s="5" t="s">
        <v>31727</v>
      </c>
      <c r="D5826" s="5" t="s">
        <v>31728</v>
      </c>
      <c r="E5826" s="6" t="s">
        <v>74</v>
      </c>
      <c r="F5826" s="6" t="s">
        <v>31729</v>
      </c>
      <c r="G5826" s="3" t="str">
        <f>IFERROR(__xludf.DUMMYFUNCTION("REGEXREPLACE(
D5826,
""([一-龯々]+)\[([^\]]+)\]"",
""&lt;ruby&gt;$1&lt;rt&gt;$2&lt;/rt&gt;&lt;/ruby&gt;""
)&amp;""&lt;br&gt;&lt;div class=""""audio""""&gt;[sound:""&amp;C5826&amp;"".mp3]&lt;/div&gt;"""),"&lt;ruby&gt;加速&lt;rt&gt;かそく&lt;/rt&gt;&lt;/ruby&gt;&lt;br&gt;&lt;div class=""audio""&gt;[sound:かそく.mp3]&lt;/div&gt;")</f>
        <v>&lt;ruby&gt;加速&lt;rt&gt;かそく&lt;/rt&gt;&lt;/ruby&gt;&lt;br&gt;&lt;div class="audio"&gt;[sound:かそく.mp3]&lt;/div&gt;</v>
      </c>
      <c r="H5826" s="3" t="str">
        <f t="shared" si="1"/>
        <v>(n): gia tốc</v>
      </c>
      <c r="I5826" s="6" t="s">
        <v>31730</v>
      </c>
      <c r="J5826" s="6" t="s">
        <v>31731</v>
      </c>
      <c r="K5826" s="7">
        <f t="shared" si="2"/>
        <v>0.723681573</v>
      </c>
    </row>
    <row r="5827">
      <c r="A5827" s="4">
        <v>5827.0</v>
      </c>
      <c r="B5827" s="5" t="s">
        <v>31732</v>
      </c>
      <c r="C5827" s="5" t="s">
        <v>31733</v>
      </c>
      <c r="D5827" s="5" t="s">
        <v>31734</v>
      </c>
      <c r="E5827" s="6" t="s">
        <v>74</v>
      </c>
      <c r="F5827" s="6" t="s">
        <v>31735</v>
      </c>
      <c r="G5827" s="3" t="str">
        <f>IFERROR(__xludf.DUMMYFUNCTION("REGEXREPLACE(
D5827,
""([一-龯々]+)\[([^\]]+)\]"",
""&lt;ruby&gt;$1&lt;rt&gt;$2&lt;/rt&gt;&lt;/ruby&gt;""
)&amp;""&lt;br&gt;&lt;div class=""""audio""""&gt;[sound:""&amp;C5827&amp;"".mp3]&lt;/div&gt;"""),"&lt;ruby&gt;大工&lt;rt&gt;だいく&lt;/rt&gt;&lt;/ruby&gt;&lt;br&gt;&lt;div class=""audio""&gt;[sound:だいく.mp3]&lt;/div&gt;")</f>
        <v>&lt;ruby&gt;大工&lt;rt&gt;だいく&lt;/rt&gt;&lt;/ruby&gt;&lt;br&gt;&lt;div class="audio"&gt;[sound:だいく.mp3]&lt;/div&gt;</v>
      </c>
      <c r="H5827" s="3" t="str">
        <f t="shared" si="1"/>
        <v>(n): thợ mộc</v>
      </c>
      <c r="I5827" s="6" t="s">
        <v>31736</v>
      </c>
      <c r="J5827" s="6" t="s">
        <v>31737</v>
      </c>
      <c r="K5827" s="7">
        <f t="shared" si="2"/>
        <v>0.7703978759</v>
      </c>
    </row>
    <row r="5828">
      <c r="A5828" s="4">
        <v>5828.0</v>
      </c>
      <c r="B5828" s="5" t="s">
        <v>31738</v>
      </c>
      <c r="C5828" s="5" t="s">
        <v>31739</v>
      </c>
      <c r="D5828" s="5" t="s">
        <v>31740</v>
      </c>
      <c r="E5828" s="6" t="s">
        <v>24</v>
      </c>
      <c r="F5828" s="6" t="s">
        <v>31741</v>
      </c>
      <c r="G5828" s="3" t="str">
        <f>IFERROR(__xludf.DUMMYFUNCTION("REGEXREPLACE(
D5828,
""([一-龯々]+)\[([^\]]+)\]"",
""&lt;ruby&gt;$1&lt;rt&gt;$2&lt;/rt&gt;&lt;/ruby&gt;""
)&amp;""&lt;br&gt;&lt;div class=""""audio""""&gt;[sound:""&amp;C5828&amp;"".mp3]&lt;/div&gt;"""),"&lt;ruby&gt;潰&lt;rt&gt;つぶ&lt;/rt&gt;&lt;/ruby&gt;れる&lt;br&gt;&lt;div class=""audio""&gt;[sound:つぶれる.mp3]&lt;/div&gt;")</f>
        <v>&lt;ruby&gt;潰&lt;rt&gt;つぶ&lt;/rt&gt;&lt;/ruby&gt;れる&lt;br&gt;&lt;div class="audio"&gt;[sound:つぶれる.mp3]&lt;/div&gt;</v>
      </c>
      <c r="H5828" s="3" t="str">
        <f t="shared" si="1"/>
        <v>(v): bị hỏng</v>
      </c>
      <c r="I5828" s="6" t="s">
        <v>31742</v>
      </c>
      <c r="J5828" s="6" t="s">
        <v>31743</v>
      </c>
      <c r="K5828" s="7">
        <f t="shared" si="2"/>
        <v>0.2397667163</v>
      </c>
    </row>
    <row r="5829">
      <c r="A5829" s="4">
        <v>5829.0</v>
      </c>
      <c r="B5829" s="5" t="s">
        <v>31744</v>
      </c>
      <c r="C5829" s="5" t="s">
        <v>31745</v>
      </c>
      <c r="D5829" s="5" t="s">
        <v>31746</v>
      </c>
      <c r="E5829" s="6" t="s">
        <v>11</v>
      </c>
      <c r="F5829" s="6" t="s">
        <v>24398</v>
      </c>
      <c r="G5829" s="3" t="str">
        <f>IFERROR(__xludf.DUMMYFUNCTION("REGEXREPLACE(
D5829,
""([一-龯々]+)\[([^\]]+)\]"",
""&lt;ruby&gt;$1&lt;rt&gt;$2&lt;/rt&gt;&lt;/ruby&gt;""
)&amp;""&lt;br&gt;&lt;div class=""""audio""""&gt;[sound:""&amp;C5829&amp;"".mp3]&lt;/div&gt;"""),"&lt;ruby&gt;偉大&lt;rt&gt;いだい&lt;/rt&gt;&lt;/ruby&gt;&lt;br&gt;&lt;div class=""audio""&gt;[sound:いだい.mp3]&lt;/div&gt;")</f>
        <v>&lt;ruby&gt;偉大&lt;rt&gt;いだい&lt;/rt&gt;&lt;/ruby&gt;&lt;br&gt;&lt;div class="audio"&gt;[sound:いだい.mp3]&lt;/div&gt;</v>
      </c>
      <c r="H5829" s="3" t="str">
        <f t="shared" si="1"/>
        <v>(adj): vĩ đại</v>
      </c>
      <c r="I5829" s="6" t="s">
        <v>31747</v>
      </c>
      <c r="J5829" s="6" t="s">
        <v>31748</v>
      </c>
      <c r="K5829" s="7">
        <f t="shared" si="2"/>
        <v>0.0497630854</v>
      </c>
    </row>
    <row r="5830">
      <c r="A5830" s="4">
        <v>5830.0</v>
      </c>
      <c r="B5830" s="5" t="s">
        <v>31749</v>
      </c>
      <c r="C5830" s="5" t="s">
        <v>31750</v>
      </c>
      <c r="D5830" s="5" t="s">
        <v>31751</v>
      </c>
      <c r="E5830" s="6" t="s">
        <v>74</v>
      </c>
      <c r="F5830" s="6" t="s">
        <v>31752</v>
      </c>
      <c r="G5830" s="3" t="str">
        <f>IFERROR(__xludf.DUMMYFUNCTION("REGEXREPLACE(
D5830,
""([一-龯々]+)\[([^\]]+)\]"",
""&lt;ruby&gt;$1&lt;rt&gt;$2&lt;/rt&gt;&lt;/ruby&gt;""
)&amp;""&lt;br&gt;&lt;div class=""""audio""""&gt;[sound:""&amp;C5830&amp;"".mp3]&lt;/div&gt;"""),"&lt;ruby&gt;煙&lt;rt&gt;けむり&lt;/rt&gt;&lt;/ruby&gt;&lt;br&gt;&lt;div class=""audio""&gt;[sound:けむり.mp3]&lt;/div&gt;")</f>
        <v>&lt;ruby&gt;煙&lt;rt&gt;けむり&lt;/rt&gt;&lt;/ruby&gt;&lt;br&gt;&lt;div class="audio"&gt;[sound:けむり.mp3]&lt;/div&gt;</v>
      </c>
      <c r="H5830" s="3" t="str">
        <f t="shared" si="1"/>
        <v>(n): khói</v>
      </c>
      <c r="I5830" s="6" t="s">
        <v>31753</v>
      </c>
      <c r="J5830" s="6" t="s">
        <v>31754</v>
      </c>
      <c r="K5830" s="7">
        <f t="shared" si="2"/>
        <v>0.4159237624</v>
      </c>
    </row>
    <row r="5831">
      <c r="A5831" s="4">
        <v>5831.0</v>
      </c>
      <c r="B5831" s="5" t="s">
        <v>31755</v>
      </c>
      <c r="C5831" s="5" t="s">
        <v>31756</v>
      </c>
      <c r="D5831" s="5" t="s">
        <v>31757</v>
      </c>
      <c r="E5831" s="6" t="s">
        <v>24</v>
      </c>
      <c r="F5831" s="6" t="s">
        <v>31758</v>
      </c>
      <c r="G5831" s="3" t="str">
        <f>IFERROR(__xludf.DUMMYFUNCTION("REGEXREPLACE(
D5831,
""([一-龯々]+)\[([^\]]+)\]"",
""&lt;ruby&gt;$1&lt;rt&gt;$2&lt;/rt&gt;&lt;/ruby&gt;""
)&amp;""&lt;br&gt;&lt;div class=""""audio""""&gt;[sound:""&amp;C5831&amp;"".mp3]&lt;/div&gt;"""),"&lt;ruby&gt;吠&lt;rt&gt;ほ&lt;/rt&gt;&lt;/ruby&gt;える&lt;br&gt;&lt;div class=""audio""&gt;[sound:ほえる.mp3]&lt;/div&gt;")</f>
        <v>&lt;ruby&gt;吠&lt;rt&gt;ほ&lt;/rt&gt;&lt;/ruby&gt;える&lt;br&gt;&lt;div class="audio"&gt;[sound:ほえる.mp3]&lt;/div&gt;</v>
      </c>
      <c r="H5831" s="3" t="str">
        <f t="shared" si="1"/>
        <v>(v): sủa</v>
      </c>
      <c r="I5831" s="6" t="s">
        <v>31759</v>
      </c>
      <c r="J5831" s="6" t="s">
        <v>31760</v>
      </c>
      <c r="K5831" s="7">
        <f t="shared" si="2"/>
        <v>0.7014359289</v>
      </c>
    </row>
    <row r="5832">
      <c r="A5832" s="4">
        <v>5832.0</v>
      </c>
      <c r="B5832" s="5" t="s">
        <v>31761</v>
      </c>
      <c r="C5832" s="5" t="s">
        <v>31762</v>
      </c>
      <c r="D5832" s="5" t="s">
        <v>31763</v>
      </c>
      <c r="E5832" s="6" t="s">
        <v>85</v>
      </c>
      <c r="F5832" s="6" t="s">
        <v>949</v>
      </c>
      <c r="G5832" s="3" t="str">
        <f>IFERROR(__xludf.DUMMYFUNCTION("REGEXREPLACE(
D5832,
""([一-龯々]+)\[([^\]]+)\]"",
""&lt;ruby&gt;$1&lt;rt&gt;$2&lt;/rt&gt;&lt;/ruby&gt;""
)&amp;""&lt;br&gt;&lt;div class=""""audio""""&gt;[sound:""&amp;C5832&amp;"".mp3]&lt;/div&gt;"""),"&lt;ruby&gt;直&lt;rt&gt;ただ&lt;/rt&gt;&lt;/ruby&gt;ちに&lt;br&gt;&lt;div class=""audio""&gt;[sound:ただちに.mp3]&lt;/div&gt;")</f>
        <v>&lt;ruby&gt;直&lt;rt&gt;ただ&lt;/rt&gt;&lt;/ruby&gt;ちに&lt;br&gt;&lt;div class="audio"&gt;[sound:ただちに.mp3]&lt;/div&gt;</v>
      </c>
      <c r="H5832" s="3" t="str">
        <f t="shared" si="1"/>
        <v>(adv): ngay lập tức</v>
      </c>
      <c r="I5832" s="6" t="s">
        <v>31764</v>
      </c>
      <c r="J5832" s="6" t="s">
        <v>31765</v>
      </c>
      <c r="K5832" s="7">
        <f t="shared" si="2"/>
        <v>0.4919556791</v>
      </c>
    </row>
    <row r="5833">
      <c r="A5833" s="4">
        <v>5833.0</v>
      </c>
      <c r="B5833" s="5" t="s">
        <v>31766</v>
      </c>
      <c r="C5833" s="5" t="s">
        <v>31767</v>
      </c>
      <c r="D5833" s="5" t="s">
        <v>31768</v>
      </c>
      <c r="E5833" s="6" t="s">
        <v>74</v>
      </c>
      <c r="F5833" s="6" t="s">
        <v>31769</v>
      </c>
      <c r="G5833" s="3" t="str">
        <f>IFERROR(__xludf.DUMMYFUNCTION("REGEXREPLACE(
D5833,
""([一-龯々]+)\[([^\]]+)\]"",
""&lt;ruby&gt;$1&lt;rt&gt;$2&lt;/rt&gt;&lt;/ruby&gt;""
)&amp;""&lt;br&gt;&lt;div class=""""audio""""&gt;[sound:""&amp;C5833&amp;"".mp3]&lt;/div&gt;"""),"&lt;ruby&gt;花見&lt;rt&gt;はなみ&lt;/rt&gt;&lt;/ruby&gt;&lt;br&gt;&lt;div class=""audio""&gt;[sound:はなみ.mp3]&lt;/div&gt;")</f>
        <v>&lt;ruby&gt;花見&lt;rt&gt;はなみ&lt;/rt&gt;&lt;/ruby&gt;&lt;br&gt;&lt;div class="audio"&gt;[sound:はなみ.mp3]&lt;/div&gt;</v>
      </c>
      <c r="H5833" s="3" t="str">
        <f t="shared" si="1"/>
        <v>(n): ngắm hoa</v>
      </c>
      <c r="I5833" s="6" t="s">
        <v>31770</v>
      </c>
      <c r="J5833" s="6" t="s">
        <v>31771</v>
      </c>
      <c r="K5833" s="7">
        <f t="shared" si="2"/>
        <v>0.2032697677</v>
      </c>
    </row>
    <row r="5834">
      <c r="A5834" s="4">
        <v>5834.0</v>
      </c>
      <c r="B5834" s="5" t="s">
        <v>31772</v>
      </c>
      <c r="C5834" s="5" t="s">
        <v>31773</v>
      </c>
      <c r="D5834" s="5" t="s">
        <v>31774</v>
      </c>
      <c r="E5834" s="6" t="s">
        <v>58</v>
      </c>
      <c r="F5834" s="6" t="s">
        <v>31775</v>
      </c>
      <c r="G5834" s="3" t="str">
        <f>IFERROR(__xludf.DUMMYFUNCTION("REGEXREPLACE(
D5834,
""([一-龯々]+)\[([^\]]+)\]"",
""&lt;ruby&gt;$1&lt;rt&gt;$2&lt;/rt&gt;&lt;/ruby&gt;""
)&amp;""&lt;br&gt;&lt;div class=""""audio""""&gt;[sound:""&amp;C5834&amp;"".mp3]&lt;/div&gt;"""),"&lt;ruby&gt;六&lt;rt&gt;むっ&lt;/rt&gt;&lt;/ruby&gt;つ&lt;br&gt;&lt;div class=""audio""&gt;[sound:むっつ.mp3]&lt;/div&gt;")</f>
        <v>&lt;ruby&gt;六&lt;rt&gt;むっ&lt;/rt&gt;&lt;/ruby&gt;つ&lt;br&gt;&lt;div class="audio"&gt;[sound:むっつ.mp3]&lt;/div&gt;</v>
      </c>
      <c r="H5834" s="3" t="str">
        <f t="shared" si="1"/>
        <v>(num): sáu cái</v>
      </c>
      <c r="I5834" s="6" t="s">
        <v>31776</v>
      </c>
      <c r="J5834" s="6" t="s">
        <v>31777</v>
      </c>
      <c r="K5834" s="7">
        <f t="shared" si="2"/>
        <v>0.4501502241</v>
      </c>
    </row>
    <row r="5835">
      <c r="A5835" s="4">
        <v>5835.0</v>
      </c>
      <c r="B5835" s="5" t="s">
        <v>31778</v>
      </c>
      <c r="C5835" s="5" t="s">
        <v>31779</v>
      </c>
      <c r="D5835" s="5" t="s">
        <v>31780</v>
      </c>
      <c r="E5835" s="6" t="s">
        <v>24</v>
      </c>
      <c r="F5835" s="6" t="s">
        <v>31781</v>
      </c>
      <c r="G5835" s="3" t="str">
        <f>IFERROR(__xludf.DUMMYFUNCTION("REGEXREPLACE(
D5835,
""([一-龯々]+)\[([^\]]+)\]"",
""&lt;ruby&gt;$1&lt;rt&gt;$2&lt;/rt&gt;&lt;/ruby&gt;""
)&amp;""&lt;br&gt;&lt;div class=""""audio""""&gt;[sound:""&amp;C5835&amp;"".mp3]&lt;/div&gt;"""),"&lt;ruby&gt;揉&lt;rt&gt;も&lt;/rt&gt;&lt;/ruby&gt;む&lt;br&gt;&lt;div class=""audio""&gt;[sound:もむ.mp3]&lt;/div&gt;")</f>
        <v>&lt;ruby&gt;揉&lt;rt&gt;も&lt;/rt&gt;&lt;/ruby&gt;む&lt;br&gt;&lt;div class="audio"&gt;[sound:もむ.mp3]&lt;/div&gt;</v>
      </c>
      <c r="H5835" s="3" t="str">
        <f t="shared" si="1"/>
        <v>(v): xoa bóp</v>
      </c>
      <c r="I5835" s="6" t="s">
        <v>31782</v>
      </c>
      <c r="J5835" s="6" t="s">
        <v>31783</v>
      </c>
      <c r="K5835" s="7">
        <f t="shared" si="2"/>
        <v>0.8022994584</v>
      </c>
    </row>
    <row r="5836">
      <c r="A5836" s="4">
        <v>5836.0</v>
      </c>
      <c r="B5836" s="5" t="s">
        <v>31784</v>
      </c>
      <c r="C5836" s="5" t="s">
        <v>31785</v>
      </c>
      <c r="D5836" s="5" t="s">
        <v>31786</v>
      </c>
      <c r="E5836" s="6" t="s">
        <v>74</v>
      </c>
      <c r="F5836" s="6" t="s">
        <v>31787</v>
      </c>
      <c r="G5836" s="3" t="str">
        <f>IFERROR(__xludf.DUMMYFUNCTION("REGEXREPLACE(
D5836,
""([一-龯々]+)\[([^\]]+)\]"",
""&lt;ruby&gt;$1&lt;rt&gt;$2&lt;/rt&gt;&lt;/ruby&gt;""
)&amp;""&lt;br&gt;&lt;div class=""""audio""""&gt;[sound:""&amp;C5836&amp;"".mp3]&lt;/div&gt;"""),"&lt;ruby&gt;答案&lt;rt&gt;とうあん&lt;/rt&gt;&lt;/ruby&gt;&lt;br&gt;&lt;div class=""audio""&gt;[sound:とうあん.mp3]&lt;/div&gt;")</f>
        <v>&lt;ruby&gt;答案&lt;rt&gt;とうあん&lt;/rt&gt;&lt;/ruby&gt;&lt;br&gt;&lt;div class="audio"&gt;[sound:とうあん.mp3]&lt;/div&gt;</v>
      </c>
      <c r="H5836" s="3" t="str">
        <f t="shared" si="1"/>
        <v>(n): bài thi</v>
      </c>
      <c r="I5836" s="6" t="s">
        <v>31788</v>
      </c>
      <c r="J5836" s="6" t="s">
        <v>31789</v>
      </c>
      <c r="K5836" s="7">
        <f t="shared" si="2"/>
        <v>0.7378642979</v>
      </c>
    </row>
    <row r="5837">
      <c r="A5837" s="4">
        <v>5837.0</v>
      </c>
      <c r="B5837" s="5" t="s">
        <v>31790</v>
      </c>
      <c r="C5837" s="5" t="s">
        <v>6969</v>
      </c>
      <c r="D5837" s="5" t="s">
        <v>31791</v>
      </c>
      <c r="E5837" s="6" t="s">
        <v>74</v>
      </c>
      <c r="F5837" s="6" t="s">
        <v>31792</v>
      </c>
      <c r="G5837" s="3" t="str">
        <f>IFERROR(__xludf.DUMMYFUNCTION("REGEXREPLACE(
D5837,
""([一-龯々]+)\[([^\]]+)\]"",
""&lt;ruby&gt;$1&lt;rt&gt;$2&lt;/rt&gt;&lt;/ruby&gt;""
)&amp;""&lt;br&gt;&lt;div class=""""audio""""&gt;[sound:""&amp;C5837&amp;"".mp3]&lt;/div&gt;"""),"&lt;ruby&gt;氏名&lt;rt&gt;しめい&lt;/rt&gt;&lt;/ruby&gt;&lt;br&gt;&lt;div class=""audio""&gt;[sound:しめい.mp3]&lt;/div&gt;")</f>
        <v>&lt;ruby&gt;氏名&lt;rt&gt;しめい&lt;/rt&gt;&lt;/ruby&gt;&lt;br&gt;&lt;div class="audio"&gt;[sound:しめい.mp3]&lt;/div&gt;</v>
      </c>
      <c r="H5837" s="3" t="str">
        <f t="shared" si="1"/>
        <v>(n): họ tên</v>
      </c>
      <c r="I5837" s="6" t="s">
        <v>31793</v>
      </c>
      <c r="J5837" s="6" t="s">
        <v>31794</v>
      </c>
      <c r="K5837" s="7">
        <f t="shared" si="2"/>
        <v>0.9805144005</v>
      </c>
    </row>
    <row r="5838">
      <c r="A5838" s="4">
        <v>5838.0</v>
      </c>
      <c r="B5838" s="5" t="s">
        <v>31795</v>
      </c>
      <c r="C5838" s="5" t="s">
        <v>31796</v>
      </c>
      <c r="D5838" s="5" t="s">
        <v>31797</v>
      </c>
      <c r="E5838" s="6" t="s">
        <v>74</v>
      </c>
      <c r="F5838" s="6" t="s">
        <v>31798</v>
      </c>
      <c r="G5838" s="3" t="str">
        <f>IFERROR(__xludf.DUMMYFUNCTION("REGEXREPLACE(
D5838,
""([一-龯々]+)\[([^\]]+)\]"",
""&lt;ruby&gt;$1&lt;rt&gt;$2&lt;/rt&gt;&lt;/ruby&gt;""
)&amp;""&lt;br&gt;&lt;div class=""""audio""""&gt;[sound:""&amp;C5838&amp;"".mp3]&lt;/div&gt;"""),"&lt;ruby&gt;絵&lt;rt&gt;え&lt;/rt&gt;&lt;/ruby&gt;の&lt;ruby&gt;具&lt;rt&gt;ぐ&lt;/rt&gt;&lt;/ruby&gt;&lt;br&gt;&lt;div class=""audio""&gt;[sound:えのぐ.mp3]&lt;/div&gt;")</f>
        <v>&lt;ruby&gt;絵&lt;rt&gt;え&lt;/rt&gt;&lt;/ruby&gt;の&lt;ruby&gt;具&lt;rt&gt;ぐ&lt;/rt&gt;&lt;/ruby&gt;&lt;br&gt;&lt;div class="audio"&gt;[sound:えのぐ.mp3]&lt;/div&gt;</v>
      </c>
      <c r="H5838" s="3" t="str">
        <f t="shared" si="1"/>
        <v>(n): màu vẽ</v>
      </c>
      <c r="I5838" s="6" t="s">
        <v>31799</v>
      </c>
      <c r="J5838" s="6" t="s">
        <v>31800</v>
      </c>
      <c r="K5838" s="7">
        <f t="shared" si="2"/>
        <v>0.379133789</v>
      </c>
    </row>
    <row r="5839">
      <c r="A5839" s="4">
        <v>5839.0</v>
      </c>
      <c r="B5839" s="5" t="s">
        <v>31801</v>
      </c>
      <c r="C5839" s="5" t="s">
        <v>31802</v>
      </c>
      <c r="D5839" s="5" t="s">
        <v>31803</v>
      </c>
      <c r="E5839" s="6" t="s">
        <v>24</v>
      </c>
      <c r="F5839" s="6" t="s">
        <v>31804</v>
      </c>
      <c r="G5839" s="3" t="str">
        <f>IFERROR(__xludf.DUMMYFUNCTION("REGEXREPLACE(
D5839,
""([一-龯々]+)\[([^\]]+)\]"",
""&lt;ruby&gt;$1&lt;rt&gt;$2&lt;/rt&gt;&lt;/ruby&gt;""
)&amp;""&lt;br&gt;&lt;div class=""""audio""""&gt;[sound:""&amp;C5839&amp;"".mp3]&lt;/div&gt;"""),"&lt;ruby&gt;睨&lt;rt&gt;にら&lt;/rt&gt;&lt;/ruby&gt;む&lt;br&gt;&lt;div class=""audio""&gt;[sound:にらむ.mp3]&lt;/div&gt;")</f>
        <v>&lt;ruby&gt;睨&lt;rt&gt;にら&lt;/rt&gt;&lt;/ruby&gt;む&lt;br&gt;&lt;div class="audio"&gt;[sound:にらむ.mp3]&lt;/div&gt;</v>
      </c>
      <c r="H5839" s="3" t="str">
        <f t="shared" si="1"/>
        <v>(v): lườm</v>
      </c>
      <c r="I5839" s="6" t="s">
        <v>31805</v>
      </c>
      <c r="J5839" s="6" t="s">
        <v>31806</v>
      </c>
      <c r="K5839" s="7">
        <f t="shared" si="2"/>
        <v>0.643674646</v>
      </c>
    </row>
    <row r="5840">
      <c r="A5840" s="4">
        <v>5840.0</v>
      </c>
      <c r="B5840" s="5" t="s">
        <v>31807</v>
      </c>
      <c r="C5840" s="5" t="s">
        <v>5260</v>
      </c>
      <c r="D5840" s="5" t="s">
        <v>31808</v>
      </c>
      <c r="E5840" s="6" t="s">
        <v>74</v>
      </c>
      <c r="F5840" s="6" t="s">
        <v>31809</v>
      </c>
      <c r="G5840" s="3" t="str">
        <f>IFERROR(__xludf.DUMMYFUNCTION("REGEXREPLACE(
D5840,
""([一-龯々]+)\[([^\]]+)\]"",
""&lt;ruby&gt;$1&lt;rt&gt;$2&lt;/rt&gt;&lt;/ruby&gt;""
)&amp;""&lt;br&gt;&lt;div class=""""audio""""&gt;[sound:""&amp;C5840&amp;"".mp3]&lt;/div&gt;"""),"&lt;ruby&gt;蚊&lt;rt&gt;か&lt;/rt&gt;&lt;/ruby&gt;&lt;br&gt;&lt;div class=""audio""&gt;[sound:か.mp3]&lt;/div&gt;")</f>
        <v>&lt;ruby&gt;蚊&lt;rt&gt;か&lt;/rt&gt;&lt;/ruby&gt;&lt;br&gt;&lt;div class="audio"&gt;[sound:か.mp3]&lt;/div&gt;</v>
      </c>
      <c r="H5840" s="3" t="str">
        <f t="shared" si="1"/>
        <v>(n): muỗi</v>
      </c>
      <c r="I5840" s="6" t="s">
        <v>31810</v>
      </c>
      <c r="J5840" s="6" t="s">
        <v>31811</v>
      </c>
      <c r="K5840" s="7">
        <f t="shared" si="2"/>
        <v>0.7144160741</v>
      </c>
    </row>
    <row r="5841">
      <c r="A5841" s="4">
        <v>5841.0</v>
      </c>
      <c r="B5841" s="5" t="s">
        <v>31812</v>
      </c>
      <c r="C5841" s="5" t="s">
        <v>31813</v>
      </c>
      <c r="D5841" s="5" t="s">
        <v>31814</v>
      </c>
      <c r="E5841" s="6" t="s">
        <v>74</v>
      </c>
      <c r="F5841" s="6" t="s">
        <v>6571</v>
      </c>
      <c r="G5841" s="3" t="str">
        <f>IFERROR(__xludf.DUMMYFUNCTION("REGEXREPLACE(
D5841,
""([一-龯々]+)\[([^\]]+)\]"",
""&lt;ruby&gt;$1&lt;rt&gt;$2&lt;/rt&gt;&lt;/ruby&gt;""
)&amp;""&lt;br&gt;&lt;div class=""""audio""""&gt;[sound:""&amp;C5841&amp;"".mp3]&lt;/div&gt;"""),"&lt;ruby&gt;部首&lt;rt&gt;ぶしゅ&lt;/rt&gt;&lt;/ruby&gt;&lt;br&gt;&lt;div class=""audio""&gt;[sound:ぶしゅ.mp3]&lt;/div&gt;")</f>
        <v>&lt;ruby&gt;部首&lt;rt&gt;ぶしゅ&lt;/rt&gt;&lt;/ruby&gt;&lt;br&gt;&lt;div class="audio"&gt;[sound:ぶしゅ.mp3]&lt;/div&gt;</v>
      </c>
      <c r="H5841" s="3" t="str">
        <f t="shared" si="1"/>
        <v>(n): bộ</v>
      </c>
      <c r="I5841" s="6" t="s">
        <v>31815</v>
      </c>
      <c r="J5841" s="6" t="s">
        <v>31816</v>
      </c>
      <c r="K5841" s="7">
        <f t="shared" si="2"/>
        <v>0.7517703808</v>
      </c>
    </row>
    <row r="5842">
      <c r="A5842" s="4">
        <v>5842.0</v>
      </c>
      <c r="B5842" s="5" t="s">
        <v>31817</v>
      </c>
      <c r="C5842" s="5" t="s">
        <v>6074</v>
      </c>
      <c r="D5842" s="5" t="s">
        <v>31818</v>
      </c>
      <c r="E5842" s="6" t="s">
        <v>74</v>
      </c>
      <c r="F5842" s="6" t="s">
        <v>16671</v>
      </c>
      <c r="G5842" s="3" t="str">
        <f>IFERROR(__xludf.DUMMYFUNCTION("REGEXREPLACE(
D5842,
""([一-龯々]+)\[([^\]]+)\]"",
""&lt;ruby&gt;$1&lt;rt&gt;$2&lt;/rt&gt;&lt;/ruby&gt;""
)&amp;""&lt;br&gt;&lt;div class=""""audio""""&gt;[sound:""&amp;C5842&amp;"".mp3]&lt;/div&gt;"""),"&lt;ruby&gt;勘定&lt;rt&gt;かんじょう&lt;/rt&gt;&lt;/ruby&gt;&lt;br&gt;&lt;div class=""audio""&gt;[sound:かんじょう.mp3]&lt;/div&gt;")</f>
        <v>&lt;ruby&gt;勘定&lt;rt&gt;かんじょう&lt;/rt&gt;&lt;/ruby&gt;&lt;br&gt;&lt;div class="audio"&gt;[sound:かんじょう.mp3]&lt;/div&gt;</v>
      </c>
      <c r="H5842" s="3" t="str">
        <f t="shared" si="1"/>
        <v>(n): thanh toán</v>
      </c>
      <c r="I5842" s="6" t="s">
        <v>31819</v>
      </c>
      <c r="J5842" s="6" t="s">
        <v>31820</v>
      </c>
      <c r="K5842" s="7">
        <f t="shared" si="2"/>
        <v>0.3388282872</v>
      </c>
    </row>
    <row r="5843">
      <c r="A5843" s="4">
        <v>5843.0</v>
      </c>
      <c r="B5843" s="5" t="s">
        <v>31821</v>
      </c>
      <c r="C5843" s="5" t="s">
        <v>31822</v>
      </c>
      <c r="D5843" s="5" t="s">
        <v>31823</v>
      </c>
      <c r="E5843" s="6" t="s">
        <v>74</v>
      </c>
      <c r="F5843" s="6" t="s">
        <v>31824</v>
      </c>
      <c r="G5843" s="3" t="str">
        <f>IFERROR(__xludf.DUMMYFUNCTION("REGEXREPLACE(
D5843,
""([一-龯々]+)\[([^\]]+)\]"",
""&lt;ruby&gt;$1&lt;rt&gt;$2&lt;/rt&gt;&lt;/ruby&gt;""
)&amp;""&lt;br&gt;&lt;div class=""""audio""""&gt;[sound:""&amp;C5843&amp;"".mp3]&lt;/div&gt;"""),"&lt;ruby&gt;間接&lt;rt&gt;かんせつ&lt;/rt&gt;&lt;/ruby&gt;&lt;br&gt;&lt;div class=""audio""&gt;[sound:かんせつ.mp3]&lt;/div&gt;")</f>
        <v>&lt;ruby&gt;間接&lt;rt&gt;かんせつ&lt;/rt&gt;&lt;/ruby&gt;&lt;br&gt;&lt;div class="audio"&gt;[sound:かんせつ.mp3]&lt;/div&gt;</v>
      </c>
      <c r="H5843" s="3" t="str">
        <f t="shared" si="1"/>
        <v>(n): gián tiếp</v>
      </c>
      <c r="I5843" s="6" t="s">
        <v>31825</v>
      </c>
      <c r="J5843" s="6" t="s">
        <v>31826</v>
      </c>
      <c r="K5843" s="7">
        <f t="shared" si="2"/>
        <v>0.9092745126</v>
      </c>
    </row>
    <row r="5844">
      <c r="A5844" s="4">
        <v>5844.0</v>
      </c>
      <c r="B5844" s="5" t="s">
        <v>31827</v>
      </c>
      <c r="C5844" s="5" t="s">
        <v>31828</v>
      </c>
      <c r="D5844" s="5" t="s">
        <v>31829</v>
      </c>
      <c r="E5844" s="6" t="s">
        <v>74</v>
      </c>
      <c r="F5844" s="6" t="s">
        <v>31830</v>
      </c>
      <c r="G5844" s="3" t="str">
        <f>IFERROR(__xludf.DUMMYFUNCTION("REGEXREPLACE(
D5844,
""([一-龯々]+)\[([^\]]+)\]"",
""&lt;ruby&gt;$1&lt;rt&gt;$2&lt;/rt&gt;&lt;/ruby&gt;""
)&amp;""&lt;br&gt;&lt;div class=""""audio""""&gt;[sound:""&amp;C5844&amp;"".mp3]&lt;/div&gt;"""),"&lt;ruby&gt;便&lt;rt&gt;たよ&lt;/rt&gt;&lt;/ruby&gt;り&lt;br&gt;&lt;div class=""audio""&gt;[sound:たより.mp3]&lt;/div&gt;")</f>
        <v>&lt;ruby&gt;便&lt;rt&gt;たよ&lt;/rt&gt;&lt;/ruby&gt;り&lt;br&gt;&lt;div class="audio"&gt;[sound:たより.mp3]&lt;/div&gt;</v>
      </c>
      <c r="H5844" s="3" t="str">
        <f t="shared" si="1"/>
        <v>(n): thư từ</v>
      </c>
      <c r="I5844" s="6" t="s">
        <v>31831</v>
      </c>
      <c r="J5844" s="6" t="s">
        <v>31832</v>
      </c>
      <c r="K5844" s="7">
        <f t="shared" si="2"/>
        <v>0.6076032586</v>
      </c>
    </row>
    <row r="5845">
      <c r="A5845" s="4">
        <v>5845.0</v>
      </c>
      <c r="B5845" s="5" t="s">
        <v>31833</v>
      </c>
      <c r="C5845" s="5" t="s">
        <v>31834</v>
      </c>
      <c r="D5845" s="5" t="s">
        <v>31835</v>
      </c>
      <c r="E5845" s="6" t="s">
        <v>74</v>
      </c>
      <c r="F5845" s="6" t="s">
        <v>3951</v>
      </c>
      <c r="G5845" s="3" t="str">
        <f>IFERROR(__xludf.DUMMYFUNCTION("REGEXREPLACE(
D5845,
""([一-龯々]+)\[([^\]]+)\]"",
""&lt;ruby&gt;$1&lt;rt&gt;$2&lt;/rt&gt;&lt;/ruby&gt;""
)&amp;""&lt;br&gt;&lt;div class=""""audio""""&gt;[sound:""&amp;C5845&amp;"".mp3]&lt;/div&gt;"""),"&lt;ruby&gt;寝台&lt;rt&gt;しんだい&lt;/rt&gt;&lt;/ruby&gt;&lt;br&gt;&lt;div class=""audio""&gt;[sound:しんだい.mp3]&lt;/div&gt;")</f>
        <v>&lt;ruby&gt;寝台&lt;rt&gt;しんだい&lt;/rt&gt;&lt;/ruby&gt;&lt;br&gt;&lt;div class="audio"&gt;[sound:しんだい.mp3]&lt;/div&gt;</v>
      </c>
      <c r="H5845" s="3" t="str">
        <f t="shared" si="1"/>
        <v>(n): giường</v>
      </c>
      <c r="I5845" s="6" t="s">
        <v>31836</v>
      </c>
      <c r="J5845" s="6" t="s">
        <v>31837</v>
      </c>
      <c r="K5845" s="7">
        <f t="shared" si="2"/>
        <v>0.059852228</v>
      </c>
    </row>
    <row r="5846">
      <c r="A5846" s="4">
        <v>5846.0</v>
      </c>
      <c r="B5846" s="5" t="s">
        <v>31838</v>
      </c>
      <c r="C5846" s="5" t="s">
        <v>31839</v>
      </c>
      <c r="D5846" s="5" t="s">
        <v>31840</v>
      </c>
      <c r="E5846" s="6" t="s">
        <v>24</v>
      </c>
      <c r="F5846" s="6" t="s">
        <v>31841</v>
      </c>
      <c r="G5846" s="3" t="str">
        <f>IFERROR(__xludf.DUMMYFUNCTION("REGEXREPLACE(
D5846,
""([一-龯々]+)\[([^\]]+)\]"",
""&lt;ruby&gt;$1&lt;rt&gt;$2&lt;/rt&gt;&lt;/ruby&gt;""
)&amp;""&lt;br&gt;&lt;div class=""""audio""""&gt;[sound:""&amp;C5846&amp;"".mp3]&lt;/div&gt;"""),"&lt;ruby&gt;物語&lt;rt&gt;ものがた&lt;/rt&gt;&lt;/ruby&gt;る&lt;br&gt;&lt;div class=""audio""&gt;[sound:ものがたる.mp3]&lt;/div&gt;")</f>
        <v>&lt;ruby&gt;物語&lt;rt&gt;ものがた&lt;/rt&gt;&lt;/ruby&gt;る&lt;br&gt;&lt;div class="audio"&gt;[sound:ものがたる.mp3]&lt;/div&gt;</v>
      </c>
      <c r="H5846" s="3" t="str">
        <f t="shared" si="1"/>
        <v>(v): kể lại</v>
      </c>
      <c r="I5846" s="6" t="s">
        <v>31842</v>
      </c>
      <c r="J5846" s="6" t="s">
        <v>31843</v>
      </c>
      <c r="K5846" s="7">
        <f t="shared" si="2"/>
        <v>0.7384544768</v>
      </c>
    </row>
    <row r="5847">
      <c r="A5847" s="4">
        <v>5847.0</v>
      </c>
      <c r="B5847" s="5" t="s">
        <v>31844</v>
      </c>
      <c r="C5847" s="5" t="s">
        <v>31845</v>
      </c>
      <c r="D5847" s="5" t="s">
        <v>31846</v>
      </c>
      <c r="E5847" s="6" t="s">
        <v>11</v>
      </c>
      <c r="F5847" s="6" t="s">
        <v>852</v>
      </c>
      <c r="G5847" s="3" t="str">
        <f>IFERROR(__xludf.DUMMYFUNCTION("REGEXREPLACE(
D5847,
""([一-龯々]+)\[([^\]]+)\]"",
""&lt;ruby&gt;$1&lt;rt&gt;$2&lt;/rt&gt;&lt;/ruby&gt;""
)&amp;""&lt;br&gt;&lt;div class=""""audio""""&gt;[sound:""&amp;C5847&amp;"".mp3]&lt;/div&gt;"""),"&lt;ruby&gt;妙&lt;rt&gt;みょう&lt;/rt&gt;&lt;/ruby&gt;&lt;br&gt;&lt;div class=""audio""&gt;[sound:みょう.mp3]&lt;/div&gt;")</f>
        <v>&lt;ruby&gt;妙&lt;rt&gt;みょう&lt;/rt&gt;&lt;/ruby&gt;&lt;br&gt;&lt;div class="audio"&gt;[sound:みょう.mp3]&lt;/div&gt;</v>
      </c>
      <c r="H5847" s="3" t="str">
        <f t="shared" si="1"/>
        <v>(adj): kỳ lạ</v>
      </c>
      <c r="I5847" s="6" t="s">
        <v>31847</v>
      </c>
      <c r="J5847" s="6" t="s">
        <v>31848</v>
      </c>
      <c r="K5847" s="7">
        <f t="shared" si="2"/>
        <v>0.9119919974</v>
      </c>
    </row>
    <row r="5848">
      <c r="A5848" s="4">
        <v>5848.0</v>
      </c>
      <c r="B5848" s="5" t="s">
        <v>31849</v>
      </c>
      <c r="C5848" s="5" t="s">
        <v>31850</v>
      </c>
      <c r="D5848" s="5" t="s">
        <v>31851</v>
      </c>
      <c r="E5848" s="6" t="s">
        <v>74</v>
      </c>
      <c r="F5848" s="6" t="s">
        <v>26272</v>
      </c>
      <c r="G5848" s="3" t="str">
        <f>IFERROR(__xludf.DUMMYFUNCTION("REGEXREPLACE(
D5848,
""([一-龯々]+)\[([^\]]+)\]"",
""&lt;ruby&gt;$1&lt;rt&gt;$2&lt;/rt&gt;&lt;/ruby&gt;""
)&amp;""&lt;br&gt;&lt;div class=""""audio""""&gt;[sound:""&amp;C5848&amp;"".mp3]&lt;/div&gt;"""),"&lt;ruby&gt;靴下&lt;rt&gt;くつした&lt;/rt&gt;&lt;/ruby&gt;&lt;br&gt;&lt;div class=""audio""&gt;[sound:くつした.mp3]&lt;/div&gt;")</f>
        <v>&lt;ruby&gt;靴下&lt;rt&gt;くつした&lt;/rt&gt;&lt;/ruby&gt;&lt;br&gt;&lt;div class="audio"&gt;[sound:くつした.mp3]&lt;/div&gt;</v>
      </c>
      <c r="H5848" s="3" t="str">
        <f t="shared" si="1"/>
        <v>(n): tất</v>
      </c>
      <c r="I5848" s="6" t="s">
        <v>31852</v>
      </c>
      <c r="J5848" s="6" t="s">
        <v>31853</v>
      </c>
      <c r="K5848" s="7">
        <f t="shared" si="2"/>
        <v>0.5377524859</v>
      </c>
    </row>
    <row r="5849">
      <c r="A5849" s="4">
        <v>5849.0</v>
      </c>
      <c r="B5849" s="5" t="s">
        <v>31854</v>
      </c>
      <c r="C5849" s="5" t="s">
        <v>31855</v>
      </c>
      <c r="D5849" s="5" t="s">
        <v>31856</v>
      </c>
      <c r="E5849" s="6" t="s">
        <v>74</v>
      </c>
      <c r="F5849" s="6" t="s">
        <v>29397</v>
      </c>
      <c r="G5849" s="3" t="str">
        <f>IFERROR(__xludf.DUMMYFUNCTION("REGEXREPLACE(
D5849,
""([一-龯々]+)\[([^\]]+)\]"",
""&lt;ruby&gt;$1&lt;rt&gt;$2&lt;/rt&gt;&lt;/ruby&gt;""
)&amp;""&lt;br&gt;&lt;div class=""""audio""""&gt;[sound:""&amp;C5849&amp;"".mp3]&lt;/div&gt;"""),"&lt;ruby&gt;戸棚&lt;rt&gt;とだな&lt;/rt&gt;&lt;/ruby&gt;&lt;br&gt;&lt;div class=""audio""&gt;[sound:とだな.mp3]&lt;/div&gt;")</f>
        <v>&lt;ruby&gt;戸棚&lt;rt&gt;とだな&lt;/rt&gt;&lt;/ruby&gt;&lt;br&gt;&lt;div class="audio"&gt;[sound:とだな.mp3]&lt;/div&gt;</v>
      </c>
      <c r="H5849" s="3" t="str">
        <f t="shared" si="1"/>
        <v>(n): tủ</v>
      </c>
      <c r="I5849" s="6" t="s">
        <v>31857</v>
      </c>
      <c r="J5849" s="6" t="s">
        <v>31858</v>
      </c>
      <c r="K5849" s="7">
        <f t="shared" si="2"/>
        <v>0.2905526028</v>
      </c>
    </row>
    <row r="5850">
      <c r="A5850" s="4">
        <v>5850.0</v>
      </c>
      <c r="B5850" s="5" t="s">
        <v>31859</v>
      </c>
      <c r="C5850" s="5" t="s">
        <v>6761</v>
      </c>
      <c r="D5850" s="5" t="s">
        <v>31860</v>
      </c>
      <c r="E5850" s="6" t="s">
        <v>74</v>
      </c>
      <c r="F5850" s="6" t="s">
        <v>31861</v>
      </c>
      <c r="G5850" s="3" t="str">
        <f>IFERROR(__xludf.DUMMYFUNCTION("REGEXREPLACE(
D5850,
""([一-龯々]+)\[([^\]]+)\]"",
""&lt;ruby&gt;$1&lt;rt&gt;$2&lt;/rt&gt;&lt;/ruby&gt;""
)&amp;""&lt;br&gt;&lt;div class=""""audio""""&gt;[sound:""&amp;C5850&amp;"".mp3]&lt;/div&gt;"""),"&lt;ruby&gt;扇子&lt;rt&gt;せんす&lt;/rt&gt;&lt;/ruby&gt;&lt;br&gt;&lt;div class=""audio""&gt;[sound:せんす.mp3]&lt;/div&gt;")</f>
        <v>&lt;ruby&gt;扇子&lt;rt&gt;せんす&lt;/rt&gt;&lt;/ruby&gt;&lt;br&gt;&lt;div class="audio"&gt;[sound:せんす.mp3]&lt;/div&gt;</v>
      </c>
      <c r="H5850" s="3" t="str">
        <f t="shared" si="1"/>
        <v>(n): quạt giấy</v>
      </c>
      <c r="I5850" s="6" t="s">
        <v>31862</v>
      </c>
      <c r="J5850" s="6" t="s">
        <v>31863</v>
      </c>
      <c r="K5850" s="7">
        <f t="shared" si="2"/>
        <v>0.9126266286</v>
      </c>
    </row>
    <row r="5851">
      <c r="A5851" s="4">
        <v>5851.0</v>
      </c>
      <c r="B5851" s="5" t="s">
        <v>31864</v>
      </c>
      <c r="C5851" s="5" t="s">
        <v>199</v>
      </c>
      <c r="D5851" s="5" t="s">
        <v>31865</v>
      </c>
      <c r="E5851" s="6" t="s">
        <v>74</v>
      </c>
      <c r="F5851" s="6" t="s">
        <v>31866</v>
      </c>
      <c r="G5851" s="3" t="str">
        <f>IFERROR(__xludf.DUMMYFUNCTION("REGEXREPLACE(
D5851,
""([一-龯々]+)\[([^\]]+)\]"",
""&lt;ruby&gt;$1&lt;rt&gt;$2&lt;/rt&gt;&lt;/ruby&gt;""
)&amp;""&lt;br&gt;&lt;div class=""""audio""""&gt;[sound:""&amp;C5851&amp;"".mp3]&lt;/div&gt;"""),"&lt;ruby&gt;股&lt;rt&gt;また&lt;/rt&gt;&lt;/ruby&gt;&lt;br&gt;&lt;div class=""audio""&gt;[sound:また.mp3]&lt;/div&gt;")</f>
        <v>&lt;ruby&gt;股&lt;rt&gt;また&lt;/rt&gt;&lt;/ruby&gt;&lt;br&gt;&lt;div class="audio"&gt;[sound:また.mp3]&lt;/div&gt;</v>
      </c>
      <c r="H5851" s="3" t="str">
        <f t="shared" si="1"/>
        <v>(n): háng</v>
      </c>
      <c r="I5851" s="6" t="s">
        <v>31867</v>
      </c>
      <c r="J5851" s="6" t="s">
        <v>31868</v>
      </c>
      <c r="K5851" s="7">
        <f t="shared" si="2"/>
        <v>0.9490545528</v>
      </c>
    </row>
    <row r="5852">
      <c r="A5852" s="4">
        <v>5852.0</v>
      </c>
      <c r="B5852" s="5" t="s">
        <v>31869</v>
      </c>
      <c r="C5852" s="5" t="s">
        <v>5632</v>
      </c>
      <c r="D5852" s="5" t="s">
        <v>31870</v>
      </c>
      <c r="E5852" s="6" t="s">
        <v>24</v>
      </c>
      <c r="F5852" s="6" t="s">
        <v>1491</v>
      </c>
      <c r="G5852" s="3" t="str">
        <f>IFERROR(__xludf.DUMMYFUNCTION("REGEXREPLACE(
D5852,
""([一-龯々]+)\[([^\]]+)\]"",
""&lt;ruby&gt;$1&lt;rt&gt;$2&lt;/rt&gt;&lt;/ruby&gt;""
)&amp;""&lt;br&gt;&lt;div class=""""audio""""&gt;[sound:""&amp;C5852&amp;"".mp3]&lt;/div&gt;"""),"&lt;ruby&gt;著&lt;rt&gt;あらわ&lt;/rt&gt;&lt;/ruby&gt;す&lt;br&gt;&lt;div class=""audio""&gt;[sound:あらわす.mp3]&lt;/div&gt;")</f>
        <v>&lt;ruby&gt;著&lt;rt&gt;あらわ&lt;/rt&gt;&lt;/ruby&gt;す&lt;br&gt;&lt;div class="audio"&gt;[sound:あらわす.mp3]&lt;/div&gt;</v>
      </c>
      <c r="H5852" s="3" t="str">
        <f t="shared" si="1"/>
        <v>(v): viết</v>
      </c>
      <c r="I5852" s="6" t="s">
        <v>31871</v>
      </c>
      <c r="J5852" s="6" t="s">
        <v>29432</v>
      </c>
      <c r="K5852" s="7">
        <f t="shared" si="2"/>
        <v>0.9842025663</v>
      </c>
    </row>
    <row r="5853">
      <c r="A5853" s="4">
        <v>5853.0</v>
      </c>
      <c r="B5853" s="5" t="s">
        <v>31872</v>
      </c>
      <c r="C5853" s="5" t="s">
        <v>31873</v>
      </c>
      <c r="D5853" s="5" t="s">
        <v>31874</v>
      </c>
      <c r="E5853" s="6" t="s">
        <v>11</v>
      </c>
      <c r="F5853" s="6" t="s">
        <v>27774</v>
      </c>
      <c r="G5853" s="3" t="str">
        <f>IFERROR(__xludf.DUMMYFUNCTION("REGEXREPLACE(
D5853,
""([一-龯々]+)\[([^\]]+)\]"",
""&lt;ruby&gt;$1&lt;rt&gt;$2&lt;/rt&gt;&lt;/ruby&gt;""
)&amp;""&lt;br&gt;&lt;div class=""""audio""""&gt;[sound:""&amp;C5853&amp;"".mp3]&lt;/div&gt;"""),"&lt;ruby&gt;器用&lt;rt&gt;きよう&lt;/rt&gt;&lt;/ruby&gt;&lt;br&gt;&lt;div class=""audio""&gt;[sound:きよう.mp3]&lt;/div&gt;")</f>
        <v>&lt;ruby&gt;器用&lt;rt&gt;きよう&lt;/rt&gt;&lt;/ruby&gt;&lt;br&gt;&lt;div class="audio"&gt;[sound:きよう.mp3]&lt;/div&gt;</v>
      </c>
      <c r="H5853" s="3" t="str">
        <f t="shared" si="1"/>
        <v>(adj): khéo léo</v>
      </c>
      <c r="I5853" s="6" t="s">
        <v>31875</v>
      </c>
      <c r="J5853" s="6" t="s">
        <v>31876</v>
      </c>
      <c r="K5853" s="7">
        <f t="shared" si="2"/>
        <v>0.8763711144</v>
      </c>
    </row>
    <row r="5854">
      <c r="A5854" s="4">
        <v>5854.0</v>
      </c>
      <c r="B5854" s="5" t="s">
        <v>31877</v>
      </c>
      <c r="C5854" s="5" t="s">
        <v>31878</v>
      </c>
      <c r="D5854" s="5" t="s">
        <v>31879</v>
      </c>
      <c r="E5854" s="6" t="s">
        <v>74</v>
      </c>
      <c r="F5854" s="6" t="s">
        <v>31880</v>
      </c>
      <c r="G5854" s="3" t="str">
        <f>IFERROR(__xludf.DUMMYFUNCTION("REGEXREPLACE(
D5854,
""([一-龯々]+)\[([^\]]+)\]"",
""&lt;ruby&gt;$1&lt;rt&gt;$2&lt;/rt&gt;&lt;/ruby&gt;""
)&amp;""&lt;br&gt;&lt;div class=""""audio""""&gt;[sound:""&amp;C5854&amp;"".mp3]&lt;/div&gt;"""),"&lt;ruby&gt;小包&lt;rt&gt;こづつみ&lt;/rt&gt;&lt;/ruby&gt;&lt;br&gt;&lt;div class=""audio""&gt;[sound:こづつみ.mp3]&lt;/div&gt;")</f>
        <v>&lt;ruby&gt;小包&lt;rt&gt;こづつみ&lt;/rt&gt;&lt;/ruby&gt;&lt;br&gt;&lt;div class="audio"&gt;[sound:こづつみ.mp3]&lt;/div&gt;</v>
      </c>
      <c r="H5854" s="3" t="str">
        <f t="shared" si="1"/>
        <v>(n): bưu kiện</v>
      </c>
      <c r="I5854" s="6" t="s">
        <v>31881</v>
      </c>
      <c r="J5854" s="6" t="s">
        <v>31882</v>
      </c>
      <c r="K5854" s="7">
        <f t="shared" si="2"/>
        <v>0.9961707378</v>
      </c>
    </row>
    <row r="5855">
      <c r="A5855" s="4">
        <v>5855.0</v>
      </c>
      <c r="B5855" s="5" t="s">
        <v>31883</v>
      </c>
      <c r="C5855" s="5" t="s">
        <v>31884</v>
      </c>
      <c r="D5855" s="5" t="s">
        <v>31885</v>
      </c>
      <c r="E5855" s="6" t="s">
        <v>74</v>
      </c>
      <c r="F5855" s="6" t="s">
        <v>31886</v>
      </c>
      <c r="G5855" s="3" t="str">
        <f>IFERROR(__xludf.DUMMYFUNCTION("REGEXREPLACE(
D5855,
""([一-龯々]+)\[([^\]]+)\]"",
""&lt;ruby&gt;$1&lt;rt&gt;$2&lt;/rt&gt;&lt;/ruby&gt;""
)&amp;""&lt;br&gt;&lt;div class=""""audio""""&gt;[sound:""&amp;C5855&amp;"".mp3]&lt;/div&gt;"""),"&lt;ruby&gt;磁石&lt;rt&gt;じしゃく&lt;/rt&gt;&lt;/ruby&gt;&lt;br&gt;&lt;div class=""audio""&gt;[sound:じしゃく.mp3]&lt;/div&gt;")</f>
        <v>&lt;ruby&gt;磁石&lt;rt&gt;じしゃく&lt;/rt&gt;&lt;/ruby&gt;&lt;br&gt;&lt;div class="audio"&gt;[sound:じしゃく.mp3]&lt;/div&gt;</v>
      </c>
      <c r="H5855" s="3" t="str">
        <f t="shared" si="1"/>
        <v>(n): nam châm</v>
      </c>
      <c r="I5855" s="6" t="s">
        <v>31887</v>
      </c>
      <c r="J5855" s="6" t="s">
        <v>31888</v>
      </c>
      <c r="K5855" s="7">
        <f t="shared" si="2"/>
        <v>0.130122197</v>
      </c>
    </row>
    <row r="5856">
      <c r="A5856" s="4">
        <v>5856.0</v>
      </c>
      <c r="B5856" s="5" t="s">
        <v>31889</v>
      </c>
      <c r="C5856" s="5" t="s">
        <v>31890</v>
      </c>
      <c r="D5856" s="5" t="s">
        <v>31891</v>
      </c>
      <c r="E5856" s="6" t="s">
        <v>74</v>
      </c>
      <c r="F5856" s="6" t="s">
        <v>31892</v>
      </c>
      <c r="G5856" s="3" t="str">
        <f>IFERROR(__xludf.DUMMYFUNCTION("REGEXREPLACE(
D5856,
""([一-龯々]+)\[([^\]]+)\]"",
""&lt;ruby&gt;$1&lt;rt&gt;$2&lt;/rt&gt;&lt;/ruby&gt;""
)&amp;""&lt;br&gt;&lt;div class=""""audio""""&gt;[sound:""&amp;C5856&amp;"".mp3]&lt;/div&gt;"""),"&lt;ruby&gt;物価&lt;rt&gt;ぶっか&lt;/rt&gt;&lt;/ruby&gt;&lt;br&gt;&lt;div class=""audio""&gt;[sound:ぶっか.mp3]&lt;/div&gt;")</f>
        <v>&lt;ruby&gt;物価&lt;rt&gt;ぶっか&lt;/rt&gt;&lt;/ruby&gt;&lt;br&gt;&lt;div class="audio"&gt;[sound:ぶっか.mp3]&lt;/div&gt;</v>
      </c>
      <c r="H5856" s="3" t="str">
        <f t="shared" si="1"/>
        <v>(n): vật giá</v>
      </c>
      <c r="I5856" s="6" t="s">
        <v>31893</v>
      </c>
      <c r="J5856" s="6" t="s">
        <v>31894</v>
      </c>
      <c r="K5856" s="7">
        <f t="shared" si="2"/>
        <v>0.6038926428</v>
      </c>
    </row>
    <row r="5857">
      <c r="A5857" s="4">
        <v>5857.0</v>
      </c>
      <c r="B5857" s="5" t="s">
        <v>31895</v>
      </c>
      <c r="C5857" s="5" t="s">
        <v>31896</v>
      </c>
      <c r="D5857" s="5" t="s">
        <v>31897</v>
      </c>
      <c r="E5857" s="6" t="s">
        <v>74</v>
      </c>
      <c r="F5857" s="6" t="s">
        <v>31898</v>
      </c>
      <c r="G5857" s="3" t="str">
        <f>IFERROR(__xludf.DUMMYFUNCTION("REGEXREPLACE(
D5857,
""([一-龯々]+)\[([^\]]+)\]"",
""&lt;ruby&gt;$1&lt;rt&gt;$2&lt;/rt&gt;&lt;/ruby&gt;""
)&amp;""&lt;br&gt;&lt;div class=""""audio""""&gt;[sound:""&amp;C5857&amp;"".mp3]&lt;/div&gt;"""),"&lt;ruby&gt;蒸発&lt;rt&gt;じょうはつ&lt;/rt&gt;&lt;/ruby&gt;&lt;br&gt;&lt;div class=""audio""&gt;[sound:じょうはつ.mp3]&lt;/div&gt;")</f>
        <v>&lt;ruby&gt;蒸発&lt;rt&gt;じょうはつ&lt;/rt&gt;&lt;/ruby&gt;&lt;br&gt;&lt;div class="audio"&gt;[sound:じょうはつ.mp3]&lt;/div&gt;</v>
      </c>
      <c r="H5857" s="3" t="str">
        <f t="shared" si="1"/>
        <v>(n): bay hơi</v>
      </c>
      <c r="I5857" s="6" t="s">
        <v>31899</v>
      </c>
      <c r="J5857" s="6" t="s">
        <v>31900</v>
      </c>
      <c r="K5857" s="7">
        <f t="shared" si="2"/>
        <v>0.2714804751</v>
      </c>
    </row>
    <row r="5858">
      <c r="A5858" s="4">
        <v>5858.0</v>
      </c>
      <c r="B5858" s="5" t="s">
        <v>31901</v>
      </c>
      <c r="C5858" s="5" t="s">
        <v>29535</v>
      </c>
      <c r="D5858" s="5" t="s">
        <v>31902</v>
      </c>
      <c r="E5858" s="6" t="s">
        <v>11</v>
      </c>
      <c r="F5858" s="6" t="s">
        <v>31903</v>
      </c>
      <c r="G5858" s="3" t="str">
        <f>IFERROR(__xludf.DUMMYFUNCTION("REGEXREPLACE(
D5858,
""([一-龯々]+)\[([^\]]+)\]"",
""&lt;ruby&gt;$1&lt;rt&gt;$2&lt;/rt&gt;&lt;/ruby&gt;""
)&amp;""&lt;br&gt;&lt;div class=""""audio""""&gt;[sound:""&amp;C5858&amp;"".mp3]&lt;/div&gt;"""),"&lt;ruby&gt;粗&lt;rt&gt;あら&lt;/rt&gt;&lt;/ruby&gt;い&lt;br&gt;&lt;div class=""audio""&gt;[sound:あらい.mp3]&lt;/div&gt;")</f>
        <v>&lt;ruby&gt;粗&lt;rt&gt;あら&lt;/rt&gt;&lt;/ruby&gt;い&lt;br&gt;&lt;div class="audio"&gt;[sound:あらい.mp3]&lt;/div&gt;</v>
      </c>
      <c r="H5858" s="3" t="str">
        <f t="shared" si="1"/>
        <v>(adj): thô sơ</v>
      </c>
      <c r="I5858" s="6" t="s">
        <v>31904</v>
      </c>
      <c r="J5858" s="6" t="s">
        <v>31905</v>
      </c>
      <c r="K5858" s="7">
        <f t="shared" si="2"/>
        <v>0.1465428725</v>
      </c>
    </row>
    <row r="5859">
      <c r="A5859" s="4">
        <v>5859.0</v>
      </c>
      <c r="B5859" s="5" t="s">
        <v>31906</v>
      </c>
      <c r="C5859" s="5" t="s">
        <v>31907</v>
      </c>
      <c r="D5859" s="5" t="s">
        <v>31908</v>
      </c>
      <c r="E5859" s="6" t="s">
        <v>74</v>
      </c>
      <c r="F5859" s="6" t="s">
        <v>6586</v>
      </c>
      <c r="G5859" s="3" t="str">
        <f>IFERROR(__xludf.DUMMYFUNCTION("REGEXREPLACE(
D5859,
""([一-龯々]+)\[([^\]]+)\]"",
""&lt;ruby&gt;$1&lt;rt&gt;$2&lt;/rt&gt;&lt;/ruby&gt;""
)&amp;""&lt;br&gt;&lt;div class=""""audio""""&gt;[sound:""&amp;C5859&amp;"".mp3]&lt;/div&gt;"""),"&lt;ruby&gt;直通&lt;rt&gt;ちょくつう&lt;/rt&gt;&lt;/ruby&gt;&lt;br&gt;&lt;div class=""audio""&gt;[sound:ちょくつう.mp3]&lt;/div&gt;")</f>
        <v>&lt;ruby&gt;直通&lt;rt&gt;ちょくつう&lt;/rt&gt;&lt;/ruby&gt;&lt;br&gt;&lt;div class="audio"&gt;[sound:ちょくつう.mp3]&lt;/div&gt;</v>
      </c>
      <c r="H5859" s="3" t="str">
        <f t="shared" si="1"/>
        <v>(n): thẳng</v>
      </c>
      <c r="I5859" s="6" t="s">
        <v>31909</v>
      </c>
      <c r="J5859" s="6" t="s">
        <v>31910</v>
      </c>
      <c r="K5859" s="7">
        <f t="shared" si="2"/>
        <v>0.5593406899</v>
      </c>
    </row>
    <row r="5860">
      <c r="A5860" s="4">
        <v>5860.0</v>
      </c>
      <c r="B5860" s="5" t="s">
        <v>31911</v>
      </c>
      <c r="C5860" s="5" t="s">
        <v>31912</v>
      </c>
      <c r="D5860" s="5" t="s">
        <v>31913</v>
      </c>
      <c r="E5860" s="6" t="s">
        <v>24</v>
      </c>
      <c r="F5860" s="6" t="s">
        <v>31914</v>
      </c>
      <c r="G5860" s="3" t="str">
        <f>IFERROR(__xludf.DUMMYFUNCTION("REGEXREPLACE(
D5860,
""([一-龯々]+)\[([^\]]+)\]"",
""&lt;ruby&gt;$1&lt;rt&gt;$2&lt;/rt&gt;&lt;/ruby&gt;""
)&amp;""&lt;br&gt;&lt;div class=""""audio""""&gt;[sound:""&amp;C5860&amp;"".mp3]&lt;/div&gt;"""),"&lt;ruby&gt;刻&lt;rt&gt;きざ&lt;/rt&gt;&lt;/ruby&gt;む&lt;br&gt;&lt;div class=""audio""&gt;[sound:きざむ.mp3]&lt;/div&gt;")</f>
        <v>&lt;ruby&gt;刻&lt;rt&gt;きざ&lt;/rt&gt;&lt;/ruby&gt;む&lt;br&gt;&lt;div class="audio"&gt;[sound:きざむ.mp3]&lt;/div&gt;</v>
      </c>
      <c r="H5860" s="3" t="str">
        <f t="shared" si="1"/>
        <v>(v): thái</v>
      </c>
      <c r="I5860" s="6" t="s">
        <v>31915</v>
      </c>
      <c r="J5860" s="6" t="s">
        <v>31916</v>
      </c>
      <c r="K5860" s="7">
        <f t="shared" si="2"/>
        <v>0.3407418789</v>
      </c>
    </row>
    <row r="5861">
      <c r="A5861" s="4">
        <v>5861.0</v>
      </c>
      <c r="B5861" s="5" t="s">
        <v>31917</v>
      </c>
      <c r="C5861" s="5" t="s">
        <v>31918</v>
      </c>
      <c r="D5861" s="5" t="s">
        <v>31919</v>
      </c>
      <c r="E5861" s="6" t="s">
        <v>74</v>
      </c>
      <c r="F5861" s="6" t="s">
        <v>31920</v>
      </c>
      <c r="G5861" s="3" t="str">
        <f>IFERROR(__xludf.DUMMYFUNCTION("REGEXREPLACE(
D5861,
""([一-龯々]+)\[([^\]]+)\]"",
""&lt;ruby&gt;$1&lt;rt&gt;$2&lt;/rt&gt;&lt;/ruby&gt;""
)&amp;""&lt;br&gt;&lt;div class=""""audio""""&gt;[sound:""&amp;C5861&amp;"".mp3]&lt;/div&gt;"""),"&lt;ruby&gt;笛&lt;rt&gt;ふえ&lt;/rt&gt;&lt;/ruby&gt;&lt;br&gt;&lt;div class=""audio""&gt;[sound:ふえ.mp3]&lt;/div&gt;")</f>
        <v>&lt;ruby&gt;笛&lt;rt&gt;ふえ&lt;/rt&gt;&lt;/ruby&gt;&lt;br&gt;&lt;div class="audio"&gt;[sound:ふえ.mp3]&lt;/div&gt;</v>
      </c>
      <c r="H5861" s="3" t="str">
        <f t="shared" si="1"/>
        <v>(n): sáo</v>
      </c>
      <c r="I5861" s="6" t="s">
        <v>31921</v>
      </c>
      <c r="J5861" s="6" t="s">
        <v>31922</v>
      </c>
      <c r="K5861" s="7">
        <f t="shared" si="2"/>
        <v>0.8860710992</v>
      </c>
    </row>
    <row r="5862">
      <c r="A5862" s="4">
        <v>5862.0</v>
      </c>
      <c r="B5862" s="5" t="s">
        <v>31923</v>
      </c>
      <c r="C5862" s="5" t="s">
        <v>31924</v>
      </c>
      <c r="D5862" s="5" t="s">
        <v>31925</v>
      </c>
      <c r="E5862" s="6" t="s">
        <v>74</v>
      </c>
      <c r="F5862" s="6" t="s">
        <v>26852</v>
      </c>
      <c r="G5862" s="3" t="str">
        <f>IFERROR(__xludf.DUMMYFUNCTION("REGEXREPLACE(
D5862,
""([一-龯々]+)\[([^\]]+)\]"",
""&lt;ruby&gt;$1&lt;rt&gt;$2&lt;/rt&gt;&lt;/ruby&gt;""
)&amp;""&lt;br&gt;&lt;div class=""""audio""""&gt;[sound:""&amp;C5862&amp;"".mp3]&lt;/div&gt;"""),"&lt;ruby&gt;学歴&lt;rt&gt;がくれき&lt;/rt&gt;&lt;/ruby&gt;&lt;br&gt;&lt;div class=""audio""&gt;[sound:がくれき.mp3]&lt;/div&gt;")</f>
        <v>&lt;ruby&gt;学歴&lt;rt&gt;がくれき&lt;/rt&gt;&lt;/ruby&gt;&lt;br&gt;&lt;div class="audio"&gt;[sound:がくれき.mp3]&lt;/div&gt;</v>
      </c>
      <c r="H5862" s="3" t="str">
        <f t="shared" si="1"/>
        <v>(n): học vấn</v>
      </c>
      <c r="I5862" s="6" t="s">
        <v>31926</v>
      </c>
      <c r="J5862" s="6" t="s">
        <v>31927</v>
      </c>
      <c r="K5862" s="7">
        <f t="shared" si="2"/>
        <v>0.5092634762</v>
      </c>
    </row>
    <row r="5863">
      <c r="A5863" s="4">
        <v>5863.0</v>
      </c>
      <c r="B5863" s="5" t="s">
        <v>31928</v>
      </c>
      <c r="C5863" s="5" t="s">
        <v>2361</v>
      </c>
      <c r="D5863" s="5" t="s">
        <v>31929</v>
      </c>
      <c r="E5863" s="6" t="s">
        <v>24</v>
      </c>
      <c r="F5863" s="6" t="s">
        <v>31930</v>
      </c>
      <c r="G5863" s="3" t="str">
        <f>IFERROR(__xludf.DUMMYFUNCTION("REGEXREPLACE(
D5863,
""([一-龯々]+)\[([^\]]+)\]"",
""&lt;ruby&gt;$1&lt;rt&gt;$2&lt;/rt&gt;&lt;/ruby&gt;""
)&amp;""&lt;br&gt;&lt;div class=""""audio""""&gt;[sound:""&amp;C5863&amp;"".mp3]&lt;/div&gt;"""),"&lt;ruby&gt;織&lt;rt&gt;お&lt;/rt&gt;&lt;/ruby&gt;る&lt;br&gt;&lt;div class=""audio""&gt;[sound:おる.mp3]&lt;/div&gt;")</f>
        <v>&lt;ruby&gt;織&lt;rt&gt;お&lt;/rt&gt;&lt;/ruby&gt;る&lt;br&gt;&lt;div class="audio"&gt;[sound:おる.mp3]&lt;/div&gt;</v>
      </c>
      <c r="H5863" s="3" t="str">
        <f t="shared" si="1"/>
        <v>(v): dệt</v>
      </c>
      <c r="I5863" s="6" t="s">
        <v>31931</v>
      </c>
      <c r="J5863" s="6" t="s">
        <v>31932</v>
      </c>
      <c r="K5863" s="7">
        <f t="shared" si="2"/>
        <v>0.6556823753</v>
      </c>
    </row>
    <row r="5864">
      <c r="A5864" s="4">
        <v>5864.0</v>
      </c>
      <c r="B5864" s="5" t="s">
        <v>31933</v>
      </c>
      <c r="C5864" s="5" t="s">
        <v>1203</v>
      </c>
      <c r="D5864" s="5" t="s">
        <v>31934</v>
      </c>
      <c r="E5864" s="6" t="s">
        <v>74</v>
      </c>
      <c r="F5864" s="6" t="s">
        <v>31935</v>
      </c>
      <c r="G5864" s="3" t="str">
        <f>IFERROR(__xludf.DUMMYFUNCTION("REGEXREPLACE(
D5864,
""([一-龯々]+)\[([^\]]+)\]"",
""&lt;ruby&gt;$1&lt;rt&gt;$2&lt;/rt&gt;&lt;/ruby&gt;""
)&amp;""&lt;br&gt;&lt;div class=""""audio""""&gt;[sound:""&amp;C5864&amp;"".mp3]&lt;/div&gt;"""),"&lt;ruby&gt;芽&lt;rt&gt;め&lt;/rt&gt;&lt;/ruby&gt;&lt;br&gt;&lt;div class=""audio""&gt;[sound:め.mp3]&lt;/div&gt;")</f>
        <v>&lt;ruby&gt;芽&lt;rt&gt;め&lt;/rt&gt;&lt;/ruby&gt;&lt;br&gt;&lt;div class="audio"&gt;[sound:め.mp3]&lt;/div&gt;</v>
      </c>
      <c r="H5864" s="3" t="str">
        <f t="shared" si="1"/>
        <v>(n): mầm</v>
      </c>
      <c r="I5864" s="6" t="s">
        <v>31936</v>
      </c>
      <c r="J5864" s="6" t="s">
        <v>31937</v>
      </c>
      <c r="K5864" s="7">
        <f t="shared" si="2"/>
        <v>0.07133451154</v>
      </c>
    </row>
    <row r="5865">
      <c r="A5865" s="4">
        <v>5865.0</v>
      </c>
      <c r="B5865" s="5" t="s">
        <v>31938</v>
      </c>
      <c r="C5865" s="5" t="s">
        <v>31939</v>
      </c>
      <c r="D5865" s="5" t="s">
        <v>31940</v>
      </c>
      <c r="E5865" s="6" t="s">
        <v>74</v>
      </c>
      <c r="F5865" s="6" t="s">
        <v>31941</v>
      </c>
      <c r="G5865" s="3" t="str">
        <f>IFERROR(__xludf.DUMMYFUNCTION("REGEXREPLACE(
D5865,
""([一-龯々]+)\[([^\]]+)\]"",
""&lt;ruby&gt;$1&lt;rt&gt;$2&lt;/rt&gt;&lt;/ruby&gt;""
)&amp;""&lt;br&gt;&lt;div class=""""audio""""&gt;[sound:""&amp;C5865&amp;"".mp3]&lt;/div&gt;"""),"&lt;ruby&gt;休養&lt;rt&gt;きゅうよう&lt;/rt&gt;&lt;/ruby&gt;&lt;br&gt;&lt;div class=""audio""&gt;[sound:きゅうよう.mp3]&lt;/div&gt;")</f>
        <v>&lt;ruby&gt;休養&lt;rt&gt;きゅうよう&lt;/rt&gt;&lt;/ruby&gt;&lt;br&gt;&lt;div class="audio"&gt;[sound:きゅうよう.mp3]&lt;/div&gt;</v>
      </c>
      <c r="H5865" s="3" t="str">
        <f t="shared" si="1"/>
        <v>(n): nghỉ dưỡng</v>
      </c>
      <c r="I5865" s="6" t="s">
        <v>31942</v>
      </c>
      <c r="J5865" s="6" t="s">
        <v>31943</v>
      </c>
      <c r="K5865" s="7">
        <f t="shared" si="2"/>
        <v>0.2746597658</v>
      </c>
    </row>
    <row r="5866">
      <c r="A5866" s="4">
        <v>5866.0</v>
      </c>
      <c r="B5866" s="5" t="s">
        <v>31944</v>
      </c>
      <c r="C5866" s="5" t="s">
        <v>31945</v>
      </c>
      <c r="D5866" s="5" t="s">
        <v>31946</v>
      </c>
      <c r="E5866" s="6" t="s">
        <v>74</v>
      </c>
      <c r="F5866" s="6" t="s">
        <v>31947</v>
      </c>
      <c r="G5866" s="3" t="str">
        <f>IFERROR(__xludf.DUMMYFUNCTION("REGEXREPLACE(
D5866,
""([一-龯々]+)\[([^\]]+)\]"",
""&lt;ruby&gt;$1&lt;rt&gt;$2&lt;/rt&gt;&lt;/ruby&gt;""
)&amp;""&lt;br&gt;&lt;div class=""""audio""""&gt;[sound:""&amp;C5866&amp;"".mp3]&lt;/div&gt;"""),"&lt;ruby&gt;旗&lt;rt&gt;はた&lt;/rt&gt;&lt;/ruby&gt;&lt;br&gt;&lt;div class=""audio""&gt;[sound:はた.mp3]&lt;/div&gt;")</f>
        <v>&lt;ruby&gt;旗&lt;rt&gt;はた&lt;/rt&gt;&lt;/ruby&gt;&lt;br&gt;&lt;div class="audio"&gt;[sound:はた.mp3]&lt;/div&gt;</v>
      </c>
      <c r="H5866" s="3" t="str">
        <f t="shared" si="1"/>
        <v>(n): cờ</v>
      </c>
      <c r="I5866" s="6" t="s">
        <v>31948</v>
      </c>
      <c r="J5866" s="6" t="s">
        <v>31949</v>
      </c>
      <c r="K5866" s="7">
        <f t="shared" si="2"/>
        <v>0.9985422971</v>
      </c>
    </row>
    <row r="5867">
      <c r="A5867" s="4">
        <v>5867.0</v>
      </c>
      <c r="B5867" s="5" t="s">
        <v>31950</v>
      </c>
      <c r="C5867" s="5" t="s">
        <v>32</v>
      </c>
      <c r="D5867" s="5" t="s">
        <v>31951</v>
      </c>
      <c r="E5867" s="6" t="s">
        <v>74</v>
      </c>
      <c r="F5867" s="6" t="s">
        <v>31952</v>
      </c>
      <c r="G5867" s="3" t="str">
        <f>IFERROR(__xludf.DUMMYFUNCTION("REGEXREPLACE(
D5867,
""([一-龯々]+)\[([^\]]+)\]"",
""&lt;ruby&gt;$1&lt;rt&gt;$2&lt;/rt&gt;&lt;/ruby&gt;""
)&amp;""&lt;br&gt;&lt;div class=""""audio""""&gt;[sound:""&amp;C5867&amp;"".mp3]&lt;/div&gt;"""),"&lt;ruby&gt;肺&lt;rt&gt;はい&lt;/rt&gt;&lt;/ruby&gt;&lt;br&gt;&lt;div class=""audio""&gt;[sound:はい.mp3]&lt;/div&gt;")</f>
        <v>&lt;ruby&gt;肺&lt;rt&gt;はい&lt;/rt&gt;&lt;/ruby&gt;&lt;br&gt;&lt;div class="audio"&gt;[sound:はい.mp3]&lt;/div&gt;</v>
      </c>
      <c r="H5867" s="3" t="str">
        <f t="shared" si="1"/>
        <v>(n): phổi</v>
      </c>
      <c r="I5867" s="6" t="s">
        <v>31953</v>
      </c>
      <c r="J5867" s="6" t="s">
        <v>31954</v>
      </c>
      <c r="K5867" s="7">
        <f t="shared" si="2"/>
        <v>0.955477001</v>
      </c>
    </row>
    <row r="5868">
      <c r="A5868" s="4">
        <v>5868.0</v>
      </c>
      <c r="B5868" s="5" t="s">
        <v>31955</v>
      </c>
      <c r="C5868" s="5" t="s">
        <v>31956</v>
      </c>
      <c r="D5868" s="5" t="s">
        <v>31957</v>
      </c>
      <c r="E5868" s="6" t="s">
        <v>74</v>
      </c>
      <c r="F5868" s="6" t="s">
        <v>12122</v>
      </c>
      <c r="G5868" s="3" t="str">
        <f>IFERROR(__xludf.DUMMYFUNCTION("REGEXREPLACE(
D5868,
""([一-龯々]+)\[([^\]]+)\]"",
""&lt;ruby&gt;$1&lt;rt&gt;$2&lt;/rt&gt;&lt;/ruby&gt;""
)&amp;""&lt;br&gt;&lt;div class=""""audio""""&gt;[sound:""&amp;C5868&amp;"".mp3]&lt;/div&gt;"""),"&lt;ruby&gt;皮膚&lt;rt&gt;ひふ&lt;/rt&gt;&lt;/ruby&gt;&lt;br&gt;&lt;div class=""audio""&gt;[sound:ひふ.mp3]&lt;/div&gt;")</f>
        <v>&lt;ruby&gt;皮膚&lt;rt&gt;ひふ&lt;/rt&gt;&lt;/ruby&gt;&lt;br&gt;&lt;div class="audio"&gt;[sound:ひふ.mp3]&lt;/div&gt;</v>
      </c>
      <c r="H5868" s="3" t="str">
        <f t="shared" si="1"/>
        <v>(n): da</v>
      </c>
      <c r="I5868" s="6" t="s">
        <v>31958</v>
      </c>
      <c r="J5868" s="6" t="s">
        <v>31959</v>
      </c>
      <c r="K5868" s="7">
        <f t="shared" si="2"/>
        <v>0.2873072064</v>
      </c>
    </row>
    <row r="5869">
      <c r="A5869" s="4">
        <v>5869.0</v>
      </c>
      <c r="B5869" s="5" t="s">
        <v>31960</v>
      </c>
      <c r="C5869" s="5" t="s">
        <v>31961</v>
      </c>
      <c r="D5869" s="5" t="s">
        <v>31962</v>
      </c>
      <c r="E5869" s="6" t="s">
        <v>24</v>
      </c>
      <c r="F5869" s="6" t="s">
        <v>29583</v>
      </c>
      <c r="G5869" s="3" t="str">
        <f>IFERROR(__xludf.DUMMYFUNCTION("REGEXREPLACE(
D5869,
""([一-龯々]+)\[([^\]]+)\]"",
""&lt;ruby&gt;$1&lt;rt&gt;$2&lt;/rt&gt;&lt;/ruby&gt;""
)&amp;""&lt;br&gt;&lt;div class=""""audio""""&gt;[sound:""&amp;C5869&amp;"".mp3]&lt;/div&gt;"""),"&lt;ruby&gt;破&lt;rt&gt;やぶ&lt;/rt&gt;&lt;/ruby&gt;く&lt;br&gt;&lt;div class=""audio""&gt;[sound:やぶく.mp3]&lt;/div&gt;")</f>
        <v>&lt;ruby&gt;破&lt;rt&gt;やぶ&lt;/rt&gt;&lt;/ruby&gt;く&lt;br&gt;&lt;div class="audio"&gt;[sound:やぶく.mp3]&lt;/div&gt;</v>
      </c>
      <c r="H5869" s="3" t="str">
        <f t="shared" si="1"/>
        <v>(v): xé</v>
      </c>
      <c r="I5869" s="6" t="s">
        <v>31963</v>
      </c>
      <c r="J5869" s="6" t="s">
        <v>31964</v>
      </c>
      <c r="K5869" s="7">
        <f t="shared" si="2"/>
        <v>0.1356445479</v>
      </c>
    </row>
    <row r="5870">
      <c r="A5870" s="4">
        <v>5870.0</v>
      </c>
      <c r="B5870" s="5" t="s">
        <v>31965</v>
      </c>
      <c r="C5870" s="5" t="s">
        <v>31966</v>
      </c>
      <c r="D5870" s="5" t="s">
        <v>31967</v>
      </c>
      <c r="E5870" s="6" t="s">
        <v>74</v>
      </c>
      <c r="F5870" s="6" t="s">
        <v>31968</v>
      </c>
      <c r="G5870" s="3" t="str">
        <f>IFERROR(__xludf.DUMMYFUNCTION("REGEXREPLACE(
D5870,
""([一-龯々]+)\[([^\]]+)\]"",
""&lt;ruby&gt;$1&lt;rt&gt;$2&lt;/rt&gt;&lt;/ruby&gt;""
)&amp;""&lt;br&gt;&lt;div class=""""audio""""&gt;[sound:""&amp;C5870&amp;"".mp3]&lt;/div&gt;"""),"&lt;ruby&gt;留守&lt;rt&gt;るす&lt;/rt&gt;&lt;/ruby&gt;&lt;br&gt;&lt;div class=""audio""&gt;[sound:るす.mp3]&lt;/div&gt;")</f>
        <v>&lt;ruby&gt;留守&lt;rt&gt;るす&lt;/rt&gt;&lt;/ruby&gt;&lt;br&gt;&lt;div class="audio"&gt;[sound:るす.mp3]&lt;/div&gt;</v>
      </c>
      <c r="H5870" s="3" t="str">
        <f t="shared" si="1"/>
        <v>(n): vắng nhà</v>
      </c>
      <c r="I5870" s="6" t="s">
        <v>31969</v>
      </c>
      <c r="J5870" s="6" t="s">
        <v>31970</v>
      </c>
      <c r="K5870" s="7">
        <f t="shared" si="2"/>
        <v>0.04827528064</v>
      </c>
    </row>
    <row r="5871">
      <c r="A5871" s="4">
        <v>5871.0</v>
      </c>
      <c r="B5871" s="5" t="s">
        <v>31971</v>
      </c>
      <c r="C5871" s="5" t="s">
        <v>31972</v>
      </c>
      <c r="D5871" s="5" t="s">
        <v>31973</v>
      </c>
      <c r="E5871" s="6" t="s">
        <v>74</v>
      </c>
      <c r="F5871" s="6" t="s">
        <v>6616</v>
      </c>
      <c r="G5871" s="3" t="str">
        <f>IFERROR(__xludf.DUMMYFUNCTION("REGEXREPLACE(
D5871,
""([一-龯々]+)\[([^\]]+)\]"",
""&lt;ruby&gt;$1&lt;rt&gt;$2&lt;/rt&gt;&lt;/ruby&gt;""
)&amp;""&lt;br&gt;&lt;div class=""""audio""""&gt;[sound:""&amp;C5871&amp;"".mp3]&lt;/div&gt;"""),"&lt;ruby&gt;屑&lt;rt&gt;くず&lt;/rt&gt;&lt;/ruby&gt;&lt;br&gt;&lt;div class=""audio""&gt;[sound:くず.mp3]&lt;/div&gt;")</f>
        <v>&lt;ruby&gt;屑&lt;rt&gt;くず&lt;/rt&gt;&lt;/ruby&gt;&lt;br&gt;&lt;div class="audio"&gt;[sound:くず.mp3]&lt;/div&gt;</v>
      </c>
      <c r="H5871" s="3" t="str">
        <f t="shared" si="1"/>
        <v>(n): rác</v>
      </c>
      <c r="I5871" s="6" t="s">
        <v>31974</v>
      </c>
      <c r="J5871" s="6" t="s">
        <v>6618</v>
      </c>
      <c r="K5871" s="7">
        <f t="shared" si="2"/>
        <v>0.9568557681</v>
      </c>
    </row>
    <row r="5872">
      <c r="A5872" s="4">
        <v>5872.0</v>
      </c>
      <c r="B5872" s="5" t="s">
        <v>31975</v>
      </c>
      <c r="C5872" s="5" t="s">
        <v>31035</v>
      </c>
      <c r="D5872" s="5" t="s">
        <v>31976</v>
      </c>
      <c r="E5872" s="6" t="s">
        <v>24</v>
      </c>
      <c r="F5872" s="6" t="s">
        <v>27649</v>
      </c>
      <c r="G5872" s="3" t="str">
        <f>IFERROR(__xludf.DUMMYFUNCTION("REGEXREPLACE(
D5872,
""([一-龯々]+)\[([^\]]+)\]"",
""&lt;ruby&gt;$1&lt;rt&gt;$2&lt;/rt&gt;&lt;/ruby&gt;""
)&amp;""&lt;br&gt;&lt;div class=""""audio""""&gt;[sound:""&amp;C5872&amp;"".mp3]&lt;/div&gt;"""),"&lt;ruby&gt;生&lt;rt&gt;は&lt;/rt&gt;&lt;/ruby&gt;える&lt;br&gt;&lt;div class=""audio""&gt;[sound:はえる.mp3]&lt;/div&gt;")</f>
        <v>&lt;ruby&gt;生&lt;rt&gt;は&lt;/rt&gt;&lt;/ruby&gt;える&lt;br&gt;&lt;div class="audio"&gt;[sound:はえる.mp3]&lt;/div&gt;</v>
      </c>
      <c r="H5872" s="3" t="str">
        <f t="shared" si="1"/>
        <v>(v): mọc</v>
      </c>
      <c r="I5872" s="6" t="s">
        <v>31977</v>
      </c>
      <c r="J5872" s="6" t="s">
        <v>31978</v>
      </c>
      <c r="K5872" s="7">
        <f t="shared" si="2"/>
        <v>0.4759679277</v>
      </c>
    </row>
    <row r="5873">
      <c r="A5873" s="4">
        <v>5873.0</v>
      </c>
      <c r="B5873" s="5" t="s">
        <v>31979</v>
      </c>
      <c r="C5873" s="5" t="s">
        <v>31980</v>
      </c>
      <c r="D5873" s="5" t="s">
        <v>31981</v>
      </c>
      <c r="E5873" s="6" t="s">
        <v>74</v>
      </c>
      <c r="F5873" s="6" t="s">
        <v>31982</v>
      </c>
      <c r="G5873" s="3" t="str">
        <f>IFERROR(__xludf.DUMMYFUNCTION("REGEXREPLACE(
D5873,
""([一-龯々]+)\[([^\]]+)\]"",
""&lt;ruby&gt;$1&lt;rt&gt;$2&lt;/rt&gt;&lt;/ruby&gt;""
)&amp;""&lt;br&gt;&lt;div class=""""audio""""&gt;[sound:""&amp;C5873&amp;"".mp3]&lt;/div&gt;"""),"&lt;ruby&gt;痛感&lt;rt&gt;つうかん&lt;/rt&gt;&lt;/ruby&gt;&lt;br&gt;&lt;div class=""audio""&gt;[sound:つうかん.mp3]&lt;/div&gt;")</f>
        <v>&lt;ruby&gt;痛感&lt;rt&gt;つうかん&lt;/rt&gt;&lt;/ruby&gt;&lt;br&gt;&lt;div class="audio"&gt;[sound:つうかん.mp3]&lt;/div&gt;</v>
      </c>
      <c r="H5873" s="3" t="str">
        <f t="shared" si="1"/>
        <v>(n): sự cảm nhận sâu sắc</v>
      </c>
      <c r="I5873" s="6" t="s">
        <v>31983</v>
      </c>
      <c r="J5873" s="6" t="s">
        <v>31984</v>
      </c>
      <c r="K5873" s="7">
        <f t="shared" si="2"/>
        <v>0.0983322723</v>
      </c>
    </row>
    <row r="5874">
      <c r="A5874" s="4">
        <v>5874.0</v>
      </c>
      <c r="B5874" s="5" t="s">
        <v>31985</v>
      </c>
      <c r="C5874" s="5" t="s">
        <v>31986</v>
      </c>
      <c r="D5874" s="5" t="s">
        <v>31987</v>
      </c>
      <c r="E5874" s="6" t="s">
        <v>74</v>
      </c>
      <c r="F5874" s="6" t="s">
        <v>31988</v>
      </c>
      <c r="G5874" s="3" t="str">
        <f>IFERROR(__xludf.DUMMYFUNCTION("REGEXREPLACE(
D5874,
""([一-龯々]+)\[([^\]]+)\]"",
""&lt;ruby&gt;$1&lt;rt&gt;$2&lt;/rt&gt;&lt;/ruby&gt;""
)&amp;""&lt;br&gt;&lt;div class=""""audio""""&gt;[sound:""&amp;C5874&amp;"".mp3]&lt;/div&gt;"""),"&lt;ruby&gt;法廷&lt;rt&gt;ほうてい&lt;/rt&gt;&lt;/ruby&gt;&lt;br&gt;&lt;div class=""audio""&gt;[sound:ほうてい.mp3]&lt;/div&gt;")</f>
        <v>&lt;ruby&gt;法廷&lt;rt&gt;ほうてい&lt;/rt&gt;&lt;/ruby&gt;&lt;br&gt;&lt;div class="audio"&gt;[sound:ほうてい.mp3]&lt;/div&gt;</v>
      </c>
      <c r="H5874" s="3" t="str">
        <f t="shared" si="1"/>
        <v>(n): tòa án</v>
      </c>
      <c r="I5874" s="6" t="s">
        <v>31989</v>
      </c>
      <c r="J5874" s="6" t="s">
        <v>31990</v>
      </c>
      <c r="K5874" s="7">
        <f t="shared" si="2"/>
        <v>0.9778534318</v>
      </c>
    </row>
    <row r="5875">
      <c r="A5875" s="4">
        <v>5875.0</v>
      </c>
      <c r="B5875" s="5" t="s">
        <v>31991</v>
      </c>
      <c r="C5875" s="5" t="s">
        <v>31992</v>
      </c>
      <c r="D5875" s="5" t="s">
        <v>31993</v>
      </c>
      <c r="E5875" s="6" t="s">
        <v>74</v>
      </c>
      <c r="F5875" s="6" t="s">
        <v>31994</v>
      </c>
      <c r="G5875" s="3" t="str">
        <f>IFERROR(__xludf.DUMMYFUNCTION("REGEXREPLACE(
D5875,
""([一-龯々]+)\[([^\]]+)\]"",
""&lt;ruby&gt;$1&lt;rt&gt;$2&lt;/rt&gt;&lt;/ruby&gt;""
)&amp;""&lt;br&gt;&lt;div class=""""audio""""&gt;[sound:""&amp;C5875&amp;"".mp3]&lt;/div&gt;"""),"&lt;ruby&gt;畜産&lt;rt&gt;ちくさん&lt;/rt&gt;&lt;/ruby&gt;&lt;br&gt;&lt;div class=""audio""&gt;[sound:ちくさん.mp3]&lt;/div&gt;")</f>
        <v>&lt;ruby&gt;畜産&lt;rt&gt;ちくさん&lt;/rt&gt;&lt;/ruby&gt;&lt;br&gt;&lt;div class="audio"&gt;[sound:ちくさん.mp3]&lt;/div&gt;</v>
      </c>
      <c r="H5875" s="3" t="str">
        <f t="shared" si="1"/>
        <v>(n): ngành chăn nuôi</v>
      </c>
      <c r="I5875" s="6" t="s">
        <v>31995</v>
      </c>
      <c r="J5875" s="6" t="s">
        <v>31996</v>
      </c>
      <c r="K5875" s="7">
        <f t="shared" si="2"/>
        <v>0.4379014194</v>
      </c>
    </row>
    <row r="5876">
      <c r="A5876" s="4">
        <v>5876.0</v>
      </c>
      <c r="B5876" s="5" t="s">
        <v>31997</v>
      </c>
      <c r="C5876" s="5" t="s">
        <v>31998</v>
      </c>
      <c r="D5876" s="5" t="s">
        <v>31999</v>
      </c>
      <c r="E5876" s="6" t="s">
        <v>74</v>
      </c>
      <c r="F5876" s="6" t="s">
        <v>32000</v>
      </c>
      <c r="G5876" s="3" t="str">
        <f>IFERROR(__xludf.DUMMYFUNCTION("REGEXREPLACE(
D5876,
""([一-龯々]+)\[([^\]]+)\]"",
""&lt;ruby&gt;$1&lt;rt&gt;$2&lt;/rt&gt;&lt;/ruby&gt;""
)&amp;""&lt;br&gt;&lt;div class=""""audio""""&gt;[sound:""&amp;C5876&amp;"".mp3]&lt;/div&gt;"""),"&lt;ruby&gt;短大&lt;rt&gt;たんだい&lt;/rt&gt;&lt;/ruby&gt;&lt;br&gt;&lt;div class=""audio""&gt;[sound:たんだい.mp3]&lt;/div&gt;")</f>
        <v>&lt;ruby&gt;短大&lt;rt&gt;たんだい&lt;/rt&gt;&lt;/ruby&gt;&lt;br&gt;&lt;div class="audio"&gt;[sound:たんだい.mp3]&lt;/div&gt;</v>
      </c>
      <c r="H5876" s="3" t="str">
        <f t="shared" si="1"/>
        <v>(n): trường cao đẳng</v>
      </c>
      <c r="I5876" s="6" t="s">
        <v>32001</v>
      </c>
      <c r="J5876" s="6" t="s">
        <v>32002</v>
      </c>
      <c r="K5876" s="7">
        <f t="shared" si="2"/>
        <v>0.9280589701</v>
      </c>
    </row>
    <row r="5877">
      <c r="A5877" s="4">
        <v>5877.0</v>
      </c>
      <c r="B5877" s="5" t="s">
        <v>32003</v>
      </c>
      <c r="C5877" s="5" t="s">
        <v>32004</v>
      </c>
      <c r="D5877" s="5" t="s">
        <v>32005</v>
      </c>
      <c r="E5877" s="6" t="s">
        <v>74</v>
      </c>
      <c r="F5877" s="6" t="s">
        <v>32006</v>
      </c>
      <c r="G5877" s="3" t="str">
        <f>IFERROR(__xludf.DUMMYFUNCTION("REGEXREPLACE(
D5877,
""([一-龯々]+)\[([^\]]+)\]"",
""&lt;ruby&gt;$1&lt;rt&gt;$2&lt;/rt&gt;&lt;/ruby&gt;""
)&amp;""&lt;br&gt;&lt;div class=""""audio""""&gt;[sound:""&amp;C5877&amp;"".mp3]&lt;/div&gt;"""),"&lt;ruby&gt;検事&lt;rt&gt;けんじ&lt;/rt&gt;&lt;/ruby&gt;&lt;br&gt;&lt;div class=""audio""&gt;[sound:けんじ.mp3]&lt;/div&gt;")</f>
        <v>&lt;ruby&gt;検事&lt;rt&gt;けんじ&lt;/rt&gt;&lt;/ruby&gt;&lt;br&gt;&lt;div class="audio"&gt;[sound:けんじ.mp3]&lt;/div&gt;</v>
      </c>
      <c r="H5877" s="3" t="str">
        <f t="shared" si="1"/>
        <v>(n): kiểm sát viên</v>
      </c>
      <c r="I5877" s="6" t="s">
        <v>32007</v>
      </c>
      <c r="J5877" s="6" t="s">
        <v>32008</v>
      </c>
      <c r="K5877" s="7">
        <f t="shared" si="2"/>
        <v>0.8488608357</v>
      </c>
    </row>
    <row r="5878">
      <c r="A5878" s="4">
        <v>5878.0</v>
      </c>
      <c r="B5878" s="5" t="s">
        <v>32009</v>
      </c>
      <c r="C5878" s="5" t="s">
        <v>32009</v>
      </c>
      <c r="D5878" s="5" t="s">
        <v>32009</v>
      </c>
      <c r="E5878" s="6" t="s">
        <v>24</v>
      </c>
      <c r="F5878" s="6" t="s">
        <v>32010</v>
      </c>
      <c r="G5878" s="3" t="str">
        <f>IFERROR(__xludf.DUMMYFUNCTION("REGEXREPLACE(
D5878,
""([一-龯々]+)\[([^\]]+)\]"",
""&lt;ruby&gt;$1&lt;rt&gt;$2&lt;/rt&gt;&lt;/ruby&gt;""
)&amp;""&lt;br&gt;&lt;div class=""""audio""""&gt;[sound:""&amp;C5878&amp;"".mp3]&lt;/div&gt;"""),"やりとおす&lt;br&gt;&lt;div class=""audio""&gt;[sound:やりとおす.mp3]&lt;/div&gt;")</f>
        <v>やりとおす&lt;br&gt;&lt;div class="audio"&gt;[sound:やりとおす.mp3]&lt;/div&gt;</v>
      </c>
      <c r="H5878" s="3" t="str">
        <f t="shared" si="1"/>
        <v>(v): làm đến cùng</v>
      </c>
      <c r="I5878" s="6" t="s">
        <v>32011</v>
      </c>
      <c r="J5878" s="6" t="s">
        <v>32012</v>
      </c>
      <c r="K5878" s="7">
        <f t="shared" si="2"/>
        <v>0.512731127</v>
      </c>
    </row>
    <row r="5879">
      <c r="A5879" s="4">
        <v>5879.0</v>
      </c>
      <c r="B5879" s="5" t="s">
        <v>32013</v>
      </c>
      <c r="C5879" s="5" t="s">
        <v>32014</v>
      </c>
      <c r="D5879" s="5" t="s">
        <v>32015</v>
      </c>
      <c r="E5879" s="6" t="s">
        <v>74</v>
      </c>
      <c r="F5879" s="6" t="s">
        <v>32016</v>
      </c>
      <c r="G5879" s="3" t="str">
        <f>IFERROR(__xludf.DUMMYFUNCTION("REGEXREPLACE(
D5879,
""([一-龯々]+)\[([^\]]+)\]"",
""&lt;ruby&gt;$1&lt;rt&gt;$2&lt;/rt&gt;&lt;/ruby&gt;""
)&amp;""&lt;br&gt;&lt;div class=""""audio""""&gt;[sound:""&amp;C5879&amp;"".mp3]&lt;/div&gt;"""),"&lt;ruby&gt;三味線&lt;rt&gt;しゃみせん&lt;/rt&gt;&lt;/ruby&gt;&lt;br&gt;&lt;div class=""audio""&gt;[sound:しゃみせん.mp3]&lt;/div&gt;")</f>
        <v>&lt;ruby&gt;三味線&lt;rt&gt;しゃみせん&lt;/rt&gt;&lt;/ruby&gt;&lt;br&gt;&lt;div class="audio"&gt;[sound:しゃみせん.mp3]&lt;/div&gt;</v>
      </c>
      <c r="H5879" s="3" t="str">
        <f t="shared" si="1"/>
        <v>(n): đàn shamisen</v>
      </c>
      <c r="I5879" s="6" t="s">
        <v>32017</v>
      </c>
      <c r="J5879" s="6" t="s">
        <v>32018</v>
      </c>
      <c r="K5879" s="7">
        <f t="shared" si="2"/>
        <v>0.2086183281</v>
      </c>
    </row>
    <row r="5880">
      <c r="A5880" s="4">
        <v>5880.0</v>
      </c>
      <c r="B5880" s="5" t="s">
        <v>32019</v>
      </c>
      <c r="C5880" s="5" t="s">
        <v>32020</v>
      </c>
      <c r="D5880" s="5" t="s">
        <v>32021</v>
      </c>
      <c r="E5880" s="6" t="s">
        <v>74</v>
      </c>
      <c r="F5880" s="6" t="s">
        <v>32022</v>
      </c>
      <c r="G5880" s="3" t="str">
        <f>IFERROR(__xludf.DUMMYFUNCTION("REGEXREPLACE(
D5880,
""([一-龯々]+)\[([^\]]+)\]"",
""&lt;ruby&gt;$1&lt;rt&gt;$2&lt;/rt&gt;&lt;/ruby&gt;""
)&amp;""&lt;br&gt;&lt;div class=""""audio""""&gt;[sound:""&amp;C5880&amp;"".mp3]&lt;/div&gt;"""),"&lt;ruby&gt;不評&lt;rt&gt;ふひょう&lt;/rt&gt;&lt;/ruby&gt;&lt;br&gt;&lt;div class=""audio""&gt;[sound:ふひょう.mp3]&lt;/div&gt;")</f>
        <v>&lt;ruby&gt;不評&lt;rt&gt;ふひょう&lt;/rt&gt;&lt;/ruby&gt;&lt;br&gt;&lt;div class="audio"&gt;[sound:ふひょう.mp3]&lt;/div&gt;</v>
      </c>
      <c r="H5880" s="3" t="str">
        <f t="shared" si="1"/>
        <v>(n): đánh giá kém</v>
      </c>
      <c r="I5880" s="6" t="s">
        <v>32023</v>
      </c>
      <c r="J5880" s="6" t="s">
        <v>32024</v>
      </c>
      <c r="K5880" s="7">
        <f t="shared" si="2"/>
        <v>0.6752092832</v>
      </c>
    </row>
    <row r="5881">
      <c r="A5881" s="4">
        <v>5881.0</v>
      </c>
      <c r="B5881" s="5" t="s">
        <v>32025</v>
      </c>
      <c r="C5881" s="5" t="s">
        <v>32026</v>
      </c>
      <c r="D5881" s="5" t="s">
        <v>32027</v>
      </c>
      <c r="E5881" s="6" t="s">
        <v>74</v>
      </c>
      <c r="F5881" s="6" t="s">
        <v>32028</v>
      </c>
      <c r="G5881" s="3" t="str">
        <f>IFERROR(__xludf.DUMMYFUNCTION("REGEXREPLACE(
D5881,
""([一-龯々]+)\[([^\]]+)\]"",
""&lt;ruby&gt;$1&lt;rt&gt;$2&lt;/rt&gt;&lt;/ruby&gt;""
)&amp;""&lt;br&gt;&lt;div class=""""audio""""&gt;[sound:""&amp;C5881&amp;"".mp3]&lt;/div&gt;"""),"&lt;ruby&gt;産婦人科&lt;rt&gt;さんふじんか&lt;/rt&gt;&lt;/ruby&gt;&lt;br&gt;&lt;div class=""audio""&gt;[sound:さんふじんか.mp3]&lt;/div&gt;")</f>
        <v>&lt;ruby&gt;産婦人科&lt;rt&gt;さんふじんか&lt;/rt&gt;&lt;/ruby&gt;&lt;br&gt;&lt;div class="audio"&gt;[sound:さんふじんか.mp3]&lt;/div&gt;</v>
      </c>
      <c r="H5881" s="3" t="str">
        <f t="shared" si="1"/>
        <v>(n): khoa sản phụ</v>
      </c>
      <c r="I5881" s="6" t="s">
        <v>32029</v>
      </c>
      <c r="J5881" s="6" t="s">
        <v>32030</v>
      </c>
      <c r="K5881" s="7">
        <f t="shared" si="2"/>
        <v>0.8778838992</v>
      </c>
    </row>
    <row r="5882">
      <c r="A5882" s="4">
        <v>5882.0</v>
      </c>
      <c r="B5882" s="5" t="s">
        <v>32031</v>
      </c>
      <c r="C5882" s="5" t="s">
        <v>32032</v>
      </c>
      <c r="D5882" s="5" t="s">
        <v>32033</v>
      </c>
      <c r="E5882" s="6" t="s">
        <v>74</v>
      </c>
      <c r="F5882" s="6" t="s">
        <v>32034</v>
      </c>
      <c r="G5882" s="3" t="str">
        <f>IFERROR(__xludf.DUMMYFUNCTION("REGEXREPLACE(
D5882,
""([一-龯々]+)\[([^\]]+)\]"",
""&lt;ruby&gt;$1&lt;rt&gt;$2&lt;/rt&gt;&lt;/ruby&gt;""
)&amp;""&lt;br&gt;&lt;div class=""""audio""""&gt;[sound:""&amp;C5882&amp;"".mp3]&lt;/div&gt;"""),"&lt;ruby&gt;産後&lt;rt&gt;さんご&lt;/rt&gt;&lt;/ruby&gt;&lt;br&gt;&lt;div class=""audio""&gt;[sound:さんご.mp3]&lt;/div&gt;")</f>
        <v>&lt;ruby&gt;産後&lt;rt&gt;さんご&lt;/rt&gt;&lt;/ruby&gt;&lt;br&gt;&lt;div class="audio"&gt;[sound:さんご.mp3]&lt;/div&gt;</v>
      </c>
      <c r="H5882" s="3" t="str">
        <f t="shared" si="1"/>
        <v>(n): sau khi sinh</v>
      </c>
      <c r="I5882" s="6" t="s">
        <v>32035</v>
      </c>
      <c r="J5882" s="6" t="s">
        <v>32036</v>
      </c>
      <c r="K5882" s="7">
        <f t="shared" si="2"/>
        <v>0.3014591582</v>
      </c>
    </row>
    <row r="5883">
      <c r="A5883" s="4">
        <v>5883.0</v>
      </c>
      <c r="B5883" s="5" t="s">
        <v>32037</v>
      </c>
      <c r="C5883" s="5" t="s">
        <v>32038</v>
      </c>
      <c r="D5883" s="5" t="s">
        <v>32039</v>
      </c>
      <c r="E5883" s="6" t="s">
        <v>74</v>
      </c>
      <c r="F5883" s="6" t="s">
        <v>32040</v>
      </c>
      <c r="G5883" s="3" t="str">
        <f>IFERROR(__xludf.DUMMYFUNCTION("REGEXREPLACE(
D5883,
""([一-龯々]+)\[([^\]]+)\]"",
""&lt;ruby&gt;$1&lt;rt&gt;$2&lt;/rt&gt;&lt;/ruby&gt;""
)&amp;""&lt;br&gt;&lt;div class=""""audio""""&gt;[sound:""&amp;C5883&amp;"".mp3]&lt;/div&gt;"""),"&lt;ruby&gt;着工&lt;rt&gt;ちゃっこう&lt;/rt&gt;&lt;/ruby&gt;&lt;br&gt;&lt;div class=""audio""&gt;[sound:ちゃっこう.mp3]&lt;/div&gt;")</f>
        <v>&lt;ruby&gt;着工&lt;rt&gt;ちゃっこう&lt;/rt&gt;&lt;/ruby&gt;&lt;br&gt;&lt;div class="audio"&gt;[sound:ちゃっこう.mp3]&lt;/div&gt;</v>
      </c>
      <c r="H5883" s="3" t="str">
        <f t="shared" si="1"/>
        <v>(n): sự khởi công</v>
      </c>
      <c r="I5883" s="6" t="s">
        <v>32041</v>
      </c>
      <c r="J5883" s="6" t="s">
        <v>32042</v>
      </c>
      <c r="K5883" s="7">
        <f t="shared" si="2"/>
        <v>0.4414059723</v>
      </c>
    </row>
    <row r="5884">
      <c r="A5884" s="4">
        <v>5884.0</v>
      </c>
      <c r="B5884" s="5" t="s">
        <v>32043</v>
      </c>
      <c r="C5884" s="5" t="s">
        <v>32043</v>
      </c>
      <c r="D5884" s="5" t="s">
        <v>32043</v>
      </c>
      <c r="E5884" s="6" t="s">
        <v>11</v>
      </c>
      <c r="F5884" s="6" t="s">
        <v>12388</v>
      </c>
      <c r="G5884" s="3" t="str">
        <f>IFERROR(__xludf.DUMMYFUNCTION("REGEXREPLACE(
D5884,
""([一-龯々]+)\[([^\]]+)\]"",
""&lt;ruby&gt;$1&lt;rt&gt;$2&lt;/rt&gt;&lt;/ruby&gt;""
)&amp;""&lt;br&gt;&lt;div class=""""audio""""&gt;[sound:""&amp;C5884&amp;"".mp3]&lt;/div&gt;"""),"すみやか&lt;br&gt;&lt;div class=""audio""&gt;[sound:すみやか.mp3]&lt;/div&gt;")</f>
        <v>すみやか&lt;br&gt;&lt;div class="audio"&gt;[sound:すみやか.mp3]&lt;/div&gt;</v>
      </c>
      <c r="H5884" s="3" t="str">
        <f t="shared" si="1"/>
        <v>(adj): nhanh chóng</v>
      </c>
      <c r="I5884" s="6" t="s">
        <v>32044</v>
      </c>
      <c r="J5884" s="6" t="s">
        <v>32045</v>
      </c>
      <c r="K5884" s="7">
        <f t="shared" si="2"/>
        <v>0.1395037035</v>
      </c>
    </row>
    <row r="5885">
      <c r="A5885" s="4">
        <v>5885.0</v>
      </c>
      <c r="B5885" s="5" t="s">
        <v>32046</v>
      </c>
      <c r="C5885" s="5" t="s">
        <v>32046</v>
      </c>
      <c r="D5885" s="5" t="s">
        <v>32046</v>
      </c>
      <c r="E5885" s="6" t="s">
        <v>11</v>
      </c>
      <c r="F5885" s="6" t="s">
        <v>32047</v>
      </c>
      <c r="G5885" s="3" t="str">
        <f>IFERROR(__xludf.DUMMYFUNCTION("REGEXREPLACE(
D5885,
""([一-龯々]+)\[([^\]]+)\]"",
""&lt;ruby&gt;$1&lt;rt&gt;$2&lt;/rt&gt;&lt;/ruby&gt;""
)&amp;""&lt;br&gt;&lt;div class=""""audio""""&gt;[sound:""&amp;C5885&amp;"".mp3]&lt;/div&gt;"""),"まちまち&lt;br&gt;&lt;div class=""audio""&gt;[sound:まちまち.mp3]&lt;/div&gt;")</f>
        <v>まちまち&lt;br&gt;&lt;div class="audio"&gt;[sound:まちまち.mp3]&lt;/div&gt;</v>
      </c>
      <c r="H5885" s="3" t="str">
        <f t="shared" si="1"/>
        <v>(adj): thất thường</v>
      </c>
      <c r="I5885" s="6" t="s">
        <v>32048</v>
      </c>
      <c r="J5885" s="6" t="s">
        <v>32049</v>
      </c>
      <c r="K5885" s="7">
        <f t="shared" si="2"/>
        <v>0.0205804715</v>
      </c>
    </row>
    <row r="5886">
      <c r="A5886" s="4">
        <v>5886.0</v>
      </c>
      <c r="B5886" s="5" t="s">
        <v>32050</v>
      </c>
      <c r="C5886" s="5" t="s">
        <v>32051</v>
      </c>
      <c r="D5886" s="5" t="s">
        <v>32052</v>
      </c>
      <c r="E5886" s="6" t="s">
        <v>74</v>
      </c>
      <c r="F5886" s="6" t="s">
        <v>32053</v>
      </c>
      <c r="G5886" s="3" t="str">
        <f>IFERROR(__xludf.DUMMYFUNCTION("REGEXREPLACE(
D5886,
""([一-龯々]+)\[([^\]]+)\]"",
""&lt;ruby&gt;$1&lt;rt&gt;$2&lt;/rt&gt;&lt;/ruby&gt;""
)&amp;""&lt;br&gt;&lt;div class=""""audio""""&gt;[sound:""&amp;C5886&amp;"".mp3]&lt;/div&gt;"""),"&lt;ruby&gt;模倣&lt;rt&gt;もほう&lt;/rt&gt;&lt;/ruby&gt;&lt;br&gt;&lt;div class=""audio""&gt;[sound:もほう.mp3]&lt;/div&gt;")</f>
        <v>&lt;ruby&gt;模倣&lt;rt&gt;もほう&lt;/rt&gt;&lt;/ruby&gt;&lt;br&gt;&lt;div class="audio"&gt;[sound:もほう.mp3]&lt;/div&gt;</v>
      </c>
      <c r="H5886" s="3" t="str">
        <f t="shared" si="1"/>
        <v>(n): sự mô phỏng</v>
      </c>
      <c r="I5886" s="6" t="s">
        <v>32054</v>
      </c>
      <c r="J5886" s="6" t="s">
        <v>32055</v>
      </c>
      <c r="K5886" s="7">
        <f t="shared" si="2"/>
        <v>0.978895526</v>
      </c>
    </row>
    <row r="5887">
      <c r="A5887" s="4">
        <v>5887.0</v>
      </c>
      <c r="B5887" s="5" t="s">
        <v>32056</v>
      </c>
      <c r="C5887" s="5" t="s">
        <v>32057</v>
      </c>
      <c r="D5887" s="5" t="s">
        <v>32058</v>
      </c>
      <c r="E5887" s="6" t="s">
        <v>74</v>
      </c>
      <c r="F5887" s="6" t="s">
        <v>32059</v>
      </c>
      <c r="G5887" s="3" t="str">
        <f>IFERROR(__xludf.DUMMYFUNCTION("REGEXREPLACE(
D5887,
""([一-龯々]+)\[([^\]]+)\]"",
""&lt;ruby&gt;$1&lt;rt&gt;$2&lt;/rt&gt;&lt;/ruby&gt;""
)&amp;""&lt;br&gt;&lt;div class=""""audio""""&gt;[sound:""&amp;C5887&amp;"".mp3]&lt;/div&gt;"""),"&lt;ruby&gt;混同&lt;rt&gt;こんどう&lt;/rt&gt;&lt;/ruby&gt;&lt;br&gt;&lt;div class=""audio""&gt;[sound:こんどう.mp3]&lt;/div&gt;")</f>
        <v>&lt;ruby&gt;混同&lt;rt&gt;こんどう&lt;/rt&gt;&lt;/ruby&gt;&lt;br&gt;&lt;div class="audio"&gt;[sound:こんどう.mp3]&lt;/div&gt;</v>
      </c>
      <c r="H5887" s="3" t="str">
        <f t="shared" si="1"/>
        <v>(n): sự nhầm lẫn</v>
      </c>
      <c r="I5887" s="6" t="s">
        <v>32060</v>
      </c>
      <c r="J5887" s="6" t="s">
        <v>32061</v>
      </c>
      <c r="K5887" s="7">
        <f t="shared" si="2"/>
        <v>0.5655402736</v>
      </c>
    </row>
    <row r="5888">
      <c r="A5888" s="4">
        <v>5888.0</v>
      </c>
      <c r="B5888" s="5" t="s">
        <v>32062</v>
      </c>
      <c r="C5888" s="5" t="s">
        <v>32063</v>
      </c>
      <c r="D5888" s="5" t="s">
        <v>32064</v>
      </c>
      <c r="E5888" s="6" t="s">
        <v>74</v>
      </c>
      <c r="F5888" s="6" t="s">
        <v>32065</v>
      </c>
      <c r="G5888" s="3" t="str">
        <f>IFERROR(__xludf.DUMMYFUNCTION("REGEXREPLACE(
D5888,
""([一-龯々]+)\[([^\]]+)\]"",
""&lt;ruby&gt;$1&lt;rt&gt;$2&lt;/rt&gt;&lt;/ruby&gt;""
)&amp;""&lt;br&gt;&lt;div class=""""audio""""&gt;[sound:""&amp;C5888&amp;"".mp3]&lt;/div&gt;"""),"&lt;ruby&gt;産出&lt;rt&gt;さんしゅつ&lt;/rt&gt;&lt;/ruby&gt;&lt;br&gt;&lt;div class=""audio""&gt;[sound:さんしゅつ.mp3]&lt;/div&gt;")</f>
        <v>&lt;ruby&gt;産出&lt;rt&gt;さんしゅつ&lt;/rt&gt;&lt;/ruby&gt;&lt;br&gt;&lt;div class="audio"&gt;[sound:さんしゅつ.mp3]&lt;/div&gt;</v>
      </c>
      <c r="H5888" s="3" t="str">
        <f t="shared" si="1"/>
        <v>(n): sự sản xuất</v>
      </c>
      <c r="I5888" s="6" t="s">
        <v>32066</v>
      </c>
      <c r="J5888" s="6" t="s">
        <v>32067</v>
      </c>
      <c r="K5888" s="7">
        <f t="shared" si="2"/>
        <v>0.8637305749</v>
      </c>
    </row>
    <row r="5889">
      <c r="A5889" s="4">
        <v>5889.0</v>
      </c>
      <c r="B5889" s="5" t="s">
        <v>32068</v>
      </c>
      <c r="C5889" s="5" t="s">
        <v>32069</v>
      </c>
      <c r="D5889" s="5" t="s">
        <v>32070</v>
      </c>
      <c r="E5889" s="6" t="s">
        <v>74</v>
      </c>
      <c r="F5889" s="6" t="s">
        <v>32071</v>
      </c>
      <c r="G5889" s="3" t="str">
        <f>IFERROR(__xludf.DUMMYFUNCTION("REGEXREPLACE(
D5889,
""([一-龯々]+)\[([^\]]+)\]"",
""&lt;ruby&gt;$1&lt;rt&gt;$2&lt;/rt&gt;&lt;/ruby&gt;""
)&amp;""&lt;br&gt;&lt;div class=""""audio""""&gt;[sound:""&amp;C5889&amp;"".mp3]&lt;/div&gt;"""),"&lt;ruby&gt;類推&lt;rt&gt;るいすい&lt;/rt&gt;&lt;/ruby&gt;&lt;br&gt;&lt;div class=""audio""&gt;[sound:るいすい.mp3]&lt;/div&gt;")</f>
        <v>&lt;ruby&gt;類推&lt;rt&gt;るいすい&lt;/rt&gt;&lt;/ruby&gt;&lt;br&gt;&lt;div class="audio"&gt;[sound:るいすい.mp3]&lt;/div&gt;</v>
      </c>
      <c r="H5889" s="3" t="str">
        <f t="shared" si="1"/>
        <v>(n): sự suy luận</v>
      </c>
      <c r="I5889" s="6" t="s">
        <v>32072</v>
      </c>
      <c r="J5889" s="6" t="s">
        <v>32073</v>
      </c>
      <c r="K5889" s="7">
        <f t="shared" si="2"/>
        <v>0.003497715138</v>
      </c>
    </row>
    <row r="5890">
      <c r="A5890" s="4">
        <v>5890.0</v>
      </c>
      <c r="B5890" s="5" t="s">
        <v>32074</v>
      </c>
      <c r="C5890" s="5" t="s">
        <v>32074</v>
      </c>
      <c r="D5890" s="5" t="s">
        <v>32074</v>
      </c>
      <c r="E5890" s="6" t="s">
        <v>74</v>
      </c>
      <c r="F5890" s="6" t="s">
        <v>32075</v>
      </c>
      <c r="G5890" s="3" t="str">
        <f>IFERROR(__xludf.DUMMYFUNCTION("REGEXREPLACE(
D5890,
""([一-龯々]+)\[([^\]]+)\]"",
""&lt;ruby&gt;$1&lt;rt&gt;$2&lt;/rt&gt;&lt;/ruby&gt;""
)&amp;""&lt;br&gt;&lt;div class=""""audio""""&gt;[sound:""&amp;C5890&amp;"".mp3]&lt;/div&gt;"""),"いびき&lt;br&gt;&lt;div class=""audio""&gt;[sound:いびき.mp3]&lt;/div&gt;")</f>
        <v>いびき&lt;br&gt;&lt;div class="audio"&gt;[sound:いびき.mp3]&lt;/div&gt;</v>
      </c>
      <c r="H5890" s="3" t="str">
        <f t="shared" si="1"/>
        <v>(n): tiếng ngáy</v>
      </c>
      <c r="I5890" s="6" t="s">
        <v>32076</v>
      </c>
      <c r="J5890" s="6" t="s">
        <v>32077</v>
      </c>
      <c r="K5890" s="7">
        <f t="shared" si="2"/>
        <v>0.4395652102</v>
      </c>
    </row>
    <row r="5891">
      <c r="A5891" s="4">
        <v>5891.0</v>
      </c>
      <c r="B5891" s="5" t="s">
        <v>32078</v>
      </c>
      <c r="C5891" s="5" t="s">
        <v>32079</v>
      </c>
      <c r="D5891" s="5" t="s">
        <v>32080</v>
      </c>
      <c r="E5891" s="6" t="s">
        <v>11</v>
      </c>
      <c r="F5891" s="6" t="s">
        <v>32081</v>
      </c>
      <c r="G5891" s="3" t="str">
        <f>IFERROR(__xludf.DUMMYFUNCTION("REGEXREPLACE(
D5891,
""([一-龯々]+)\[([^\]]+)\]"",
""&lt;ruby&gt;$1&lt;rt&gt;$2&lt;/rt&gt;&lt;/ruby&gt;""
)&amp;""&lt;br&gt;&lt;div class=""""audio""""&gt;[sound:""&amp;C5891&amp;"".mp3]&lt;/div&gt;"""),"&lt;ruby&gt;一様&lt;rt&gt;いちよう&lt;/rt&gt;&lt;/ruby&gt;&lt;br&gt;&lt;div class=""audio""&gt;[sound:いちよう.mp3]&lt;/div&gt;")</f>
        <v>&lt;ruby&gt;一様&lt;rt&gt;いちよう&lt;/rt&gt;&lt;/ruby&gt;&lt;br&gt;&lt;div class="audio"&gt;[sound:いちよう.mp3]&lt;/div&gt;</v>
      </c>
      <c r="H5891" s="3" t="str">
        <f t="shared" si="1"/>
        <v>(adj): giống nhau</v>
      </c>
      <c r="I5891" s="6" t="s">
        <v>32082</v>
      </c>
      <c r="J5891" s="6" t="s">
        <v>32083</v>
      </c>
      <c r="K5891" s="7">
        <f t="shared" si="2"/>
        <v>0.2082372111</v>
      </c>
    </row>
    <row r="5892">
      <c r="A5892" s="4">
        <v>5892.0</v>
      </c>
      <c r="B5892" s="5" t="s">
        <v>32084</v>
      </c>
      <c r="C5892" s="5" t="s">
        <v>32085</v>
      </c>
      <c r="D5892" s="5" t="s">
        <v>32086</v>
      </c>
      <c r="E5892" s="6" t="s">
        <v>24</v>
      </c>
      <c r="F5892" s="6" t="s">
        <v>32087</v>
      </c>
      <c r="G5892" s="3" t="str">
        <f>IFERROR(__xludf.DUMMYFUNCTION("REGEXREPLACE(
D5892,
""([一-龯々]+)\[([^\]]+)\]"",
""&lt;ruby&gt;$1&lt;rt&gt;$2&lt;/rt&gt;&lt;/ruby&gt;""
)&amp;""&lt;br&gt;&lt;div class=""""audio""""&gt;[sound:""&amp;C5892&amp;"".mp3]&lt;/div&gt;"""),"&lt;ruby&gt;乗&lt;rt&gt;の&lt;/rt&gt;&lt;/ruby&gt;っ&lt;ruby&gt;取&lt;rt&gt;と&lt;/rt&gt;&lt;/ruby&gt;る&lt;br&gt;&lt;div class=""audio""&gt;[sound:のっとる.mp3]&lt;/div&gt;")</f>
        <v>&lt;ruby&gt;乗&lt;rt&gt;の&lt;/rt&gt;&lt;/ruby&gt;っ&lt;ruby&gt;取&lt;rt&gt;と&lt;/rt&gt;&lt;/ruby&gt;る&lt;br&gt;&lt;div class="audio"&gt;[sound:のっとる.mp3]&lt;/div&gt;</v>
      </c>
      <c r="H5892" s="3" t="str">
        <f t="shared" si="1"/>
        <v>(v): chiếm đoạt</v>
      </c>
      <c r="I5892" s="6" t="s">
        <v>32088</v>
      </c>
      <c r="J5892" s="6" t="s">
        <v>32089</v>
      </c>
      <c r="K5892" s="7">
        <f t="shared" si="2"/>
        <v>0.3832505526</v>
      </c>
    </row>
    <row r="5893">
      <c r="A5893" s="4">
        <v>5893.0</v>
      </c>
      <c r="B5893" s="5" t="s">
        <v>32090</v>
      </c>
      <c r="C5893" s="5" t="s">
        <v>32091</v>
      </c>
      <c r="D5893" s="5" t="s">
        <v>32092</v>
      </c>
      <c r="E5893" s="6" t="s">
        <v>74</v>
      </c>
      <c r="F5893" s="6" t="s">
        <v>32093</v>
      </c>
      <c r="G5893" s="3" t="str">
        <f>IFERROR(__xludf.DUMMYFUNCTION("REGEXREPLACE(
D5893,
""([一-龯々]+)\[([^\]]+)\]"",
""&lt;ruby&gt;$1&lt;rt&gt;$2&lt;/rt&gt;&lt;/ruby&gt;""
)&amp;""&lt;br&gt;&lt;div class=""""audio""""&gt;[sound:""&amp;C5893&amp;"".mp3]&lt;/div&gt;"""),"&lt;ruby&gt;休戦&lt;rt&gt;きゅうせん&lt;/rt&gt;&lt;/ruby&gt;&lt;br&gt;&lt;div class=""audio""&gt;[sound:きゅうせん.mp3]&lt;/div&gt;")</f>
        <v>&lt;ruby&gt;休戦&lt;rt&gt;きゅうせん&lt;/rt&gt;&lt;/ruby&gt;&lt;br&gt;&lt;div class="audio"&gt;[sound:きゅうせん.mp3]&lt;/div&gt;</v>
      </c>
      <c r="H5893" s="3" t="str">
        <f t="shared" si="1"/>
        <v>(n): đình chiến</v>
      </c>
      <c r="I5893" s="6" t="s">
        <v>32094</v>
      </c>
      <c r="J5893" s="6" t="s">
        <v>32095</v>
      </c>
      <c r="K5893" s="7">
        <f t="shared" si="2"/>
        <v>0.4129300011</v>
      </c>
    </row>
    <row r="5894">
      <c r="A5894" s="4">
        <v>5894.0</v>
      </c>
      <c r="B5894" s="5" t="s">
        <v>32096</v>
      </c>
      <c r="C5894" s="5" t="s">
        <v>32097</v>
      </c>
      <c r="D5894" s="5" t="s">
        <v>32098</v>
      </c>
      <c r="E5894" s="6" t="s">
        <v>74</v>
      </c>
      <c r="F5894" s="6" t="s">
        <v>32099</v>
      </c>
      <c r="G5894" s="3" t="str">
        <f>IFERROR(__xludf.DUMMYFUNCTION("REGEXREPLACE(
D5894,
""([一-龯々]+)\[([^\]]+)\]"",
""&lt;ruby&gt;$1&lt;rt&gt;$2&lt;/rt&gt;&lt;/ruby&gt;""
)&amp;""&lt;br&gt;&lt;div class=""""audio""""&gt;[sound:""&amp;C5894&amp;"".mp3]&lt;/div&gt;"""),"&lt;ruby&gt;林業&lt;rt&gt;りんぎょう&lt;/rt&gt;&lt;/ruby&gt;&lt;br&gt;&lt;div class=""audio""&gt;[sound:りんぎょう.mp3]&lt;/div&gt;")</f>
        <v>&lt;ruby&gt;林業&lt;rt&gt;りんぎょう&lt;/rt&gt;&lt;/ruby&gt;&lt;br&gt;&lt;div class="audio"&gt;[sound:りんぎょう.mp3]&lt;/div&gt;</v>
      </c>
      <c r="H5894" s="3" t="str">
        <f t="shared" si="1"/>
        <v>(n): lâm nghiệp</v>
      </c>
      <c r="I5894" s="6" t="s">
        <v>32100</v>
      </c>
      <c r="J5894" s="6" t="s">
        <v>32101</v>
      </c>
      <c r="K5894" s="7">
        <f t="shared" si="2"/>
        <v>0.5056473403</v>
      </c>
    </row>
    <row r="5895">
      <c r="A5895" s="4">
        <v>5895.0</v>
      </c>
      <c r="B5895" s="5" t="s">
        <v>32102</v>
      </c>
      <c r="C5895" s="5" t="s">
        <v>32103</v>
      </c>
      <c r="D5895" s="5" t="s">
        <v>32104</v>
      </c>
      <c r="E5895" s="6" t="s">
        <v>74</v>
      </c>
      <c r="F5895" s="6" t="s">
        <v>32105</v>
      </c>
      <c r="G5895" s="3" t="str">
        <f>IFERROR(__xludf.DUMMYFUNCTION("REGEXREPLACE(
D5895,
""([一-龯々]+)\[([^\]]+)\]"",
""&lt;ruby&gt;$1&lt;rt&gt;$2&lt;/rt&gt;&lt;/ruby&gt;""
)&amp;""&lt;br&gt;&lt;div class=""""audio""""&gt;[sound:""&amp;C5895&amp;"".mp3]&lt;/div&gt;"""),"&lt;ruby&gt;水源&lt;rt&gt;すいげん&lt;/rt&gt;&lt;/ruby&gt;&lt;br&gt;&lt;div class=""audio""&gt;[sound:すいげん.mp3]&lt;/div&gt;")</f>
        <v>&lt;ruby&gt;水源&lt;rt&gt;すいげん&lt;/rt&gt;&lt;/ruby&gt;&lt;br&gt;&lt;div class="audio"&gt;[sound:すいげん.mp3]&lt;/div&gt;</v>
      </c>
      <c r="H5895" s="3" t="str">
        <f t="shared" si="1"/>
        <v>(n): nguồn nước</v>
      </c>
      <c r="I5895" s="6" t="s">
        <v>32106</v>
      </c>
      <c r="J5895" s="6" t="s">
        <v>32107</v>
      </c>
      <c r="K5895" s="7">
        <f t="shared" si="2"/>
        <v>0.818193304</v>
      </c>
    </row>
    <row r="5896">
      <c r="A5896" s="4">
        <v>5896.0</v>
      </c>
      <c r="B5896" s="5" t="s">
        <v>32108</v>
      </c>
      <c r="C5896" s="5" t="s">
        <v>14045</v>
      </c>
      <c r="D5896" s="5" t="s">
        <v>32109</v>
      </c>
      <c r="E5896" s="6" t="s">
        <v>74</v>
      </c>
      <c r="F5896" s="6" t="s">
        <v>32110</v>
      </c>
      <c r="G5896" s="3" t="str">
        <f>IFERROR(__xludf.DUMMYFUNCTION("REGEXREPLACE(
D5896,
""([一-龯々]+)\[([^\]]+)\]"",
""&lt;ruby&gt;$1&lt;rt&gt;$2&lt;/rt&gt;&lt;/ruby&gt;""
)&amp;""&lt;br&gt;&lt;div class=""""audio""""&gt;[sound:""&amp;C5896&amp;"".mp3]&lt;/div&gt;"""),"&lt;ruby&gt;潮&lt;rt&gt;しお&lt;/rt&gt;&lt;/ruby&gt;&lt;br&gt;&lt;div class=""audio""&gt;[sound:しお.mp3]&lt;/div&gt;")</f>
        <v>&lt;ruby&gt;潮&lt;rt&gt;しお&lt;/rt&gt;&lt;/ruby&gt;&lt;br&gt;&lt;div class="audio"&gt;[sound:しお.mp3]&lt;/div&gt;</v>
      </c>
      <c r="H5896" s="3" t="str">
        <f t="shared" si="1"/>
        <v>(n): thủy triều</v>
      </c>
      <c r="I5896" s="6" t="s">
        <v>32111</v>
      </c>
      <c r="J5896" s="6" t="s">
        <v>32112</v>
      </c>
      <c r="K5896" s="7">
        <f t="shared" si="2"/>
        <v>0.8990637663</v>
      </c>
    </row>
    <row r="5897">
      <c r="A5897" s="4">
        <v>5897.0</v>
      </c>
      <c r="B5897" s="5" t="s">
        <v>32113</v>
      </c>
      <c r="C5897" s="5" t="s">
        <v>32114</v>
      </c>
      <c r="D5897" s="5" t="s">
        <v>32115</v>
      </c>
      <c r="E5897" s="6" t="s">
        <v>74</v>
      </c>
      <c r="F5897" s="6" t="s">
        <v>25458</v>
      </c>
      <c r="G5897" s="3" t="str">
        <f>IFERROR(__xludf.DUMMYFUNCTION("REGEXREPLACE(
D5897,
""([一-龯々]+)\[([^\]]+)\]"",
""&lt;ruby&gt;$1&lt;rt&gt;$2&lt;/rt&gt;&lt;/ruby&gt;""
)&amp;""&lt;br&gt;&lt;div class=""""audio""""&gt;[sound:""&amp;C5897&amp;"".mp3]&lt;/div&gt;"""),"&lt;ruby&gt;無言&lt;rt&gt;むごん&lt;/rt&gt;&lt;/ruby&gt;&lt;br&gt;&lt;div class=""audio""&gt;[sound:むごん.mp3]&lt;/div&gt;")</f>
        <v>&lt;ruby&gt;無言&lt;rt&gt;むごん&lt;/rt&gt;&lt;/ruby&gt;&lt;br&gt;&lt;div class="audio"&gt;[sound:むごん.mp3]&lt;/div&gt;</v>
      </c>
      <c r="H5897" s="3" t="str">
        <f t="shared" si="1"/>
        <v>(n): sự im lặng</v>
      </c>
      <c r="I5897" s="6" t="s">
        <v>32116</v>
      </c>
      <c r="J5897" s="6" t="s">
        <v>32117</v>
      </c>
      <c r="K5897" s="7">
        <f t="shared" si="2"/>
        <v>0.8559833297</v>
      </c>
    </row>
    <row r="5898">
      <c r="A5898" s="4">
        <v>5898.0</v>
      </c>
      <c r="B5898" s="5" t="s">
        <v>32118</v>
      </c>
      <c r="C5898" s="5" t="s">
        <v>32119</v>
      </c>
      <c r="D5898" s="5" t="s">
        <v>32120</v>
      </c>
      <c r="E5898" s="6" t="s">
        <v>74</v>
      </c>
      <c r="F5898" s="6" t="s">
        <v>32121</v>
      </c>
      <c r="G5898" s="3" t="str">
        <f>IFERROR(__xludf.DUMMYFUNCTION("REGEXREPLACE(
D5898,
""([一-龯々]+)\[([^\]]+)\]"",
""&lt;ruby&gt;$1&lt;rt&gt;$2&lt;/rt&gt;&lt;/ruby&gt;""
)&amp;""&lt;br&gt;&lt;div class=""""audio""""&gt;[sound:""&amp;C5898&amp;"".mp3]&lt;/div&gt;"""),"&lt;ruby&gt;種々&lt;rt&gt;しゅじゅ&lt;/rt&gt;&lt;/ruby&gt;&lt;br&gt;&lt;div class=""audio""&gt;[sound:しゅじゅ.mp3]&lt;/div&gt;")</f>
        <v>&lt;ruby&gt;種々&lt;rt&gt;しゅじゅ&lt;/rt&gt;&lt;/ruby&gt;&lt;br&gt;&lt;div class="audio"&gt;[sound:しゅじゅ.mp3]&lt;/div&gt;</v>
      </c>
      <c r="H5898" s="3" t="str">
        <f t="shared" si="1"/>
        <v>(n): nhiều loại</v>
      </c>
      <c r="I5898" s="6" t="s">
        <v>32122</v>
      </c>
      <c r="J5898" s="6" t="s">
        <v>32123</v>
      </c>
      <c r="K5898" s="7">
        <f t="shared" si="2"/>
        <v>0.100826675</v>
      </c>
    </row>
    <row r="5899">
      <c r="A5899" s="4">
        <v>5899.0</v>
      </c>
      <c r="B5899" s="5" t="s">
        <v>32124</v>
      </c>
      <c r="C5899" s="5" t="s">
        <v>32125</v>
      </c>
      <c r="D5899" s="5" t="s">
        <v>32126</v>
      </c>
      <c r="E5899" s="6" t="s">
        <v>11</v>
      </c>
      <c r="F5899" s="6" t="s">
        <v>32127</v>
      </c>
      <c r="G5899" s="3" t="str">
        <f>IFERROR(__xludf.DUMMYFUNCTION("REGEXREPLACE(
D5899,
""([一-龯々]+)\[([^\]]+)\]"",
""&lt;ruby&gt;$1&lt;rt&gt;$2&lt;/rt&gt;&lt;/ruby&gt;""
)&amp;""&lt;br&gt;&lt;div class=""""audio""""&gt;[sound:""&amp;C5899&amp;"".mp3]&lt;/div&gt;"""),"&lt;ruby&gt;空&lt;rt&gt;むな&lt;/rt&gt;&lt;/ruby&gt;しい&lt;br&gt;&lt;div class=""audio""&gt;[sound:むなしい.mp3]&lt;/div&gt;")</f>
        <v>&lt;ruby&gt;空&lt;rt&gt;むな&lt;/rt&gt;&lt;/ruby&gt;しい&lt;br&gt;&lt;div class="audio"&gt;[sound:むなしい.mp3]&lt;/div&gt;</v>
      </c>
      <c r="H5899" s="3" t="str">
        <f t="shared" si="1"/>
        <v>(adj): trống rỗng</v>
      </c>
      <c r="I5899" s="6" t="s">
        <v>32128</v>
      </c>
      <c r="J5899" s="6" t="s">
        <v>32129</v>
      </c>
      <c r="K5899" s="7">
        <f t="shared" si="2"/>
        <v>0.4170683129</v>
      </c>
    </row>
    <row r="5900">
      <c r="A5900" s="4">
        <v>5900.0</v>
      </c>
      <c r="B5900" s="5" t="s">
        <v>32130</v>
      </c>
      <c r="C5900" s="5" t="s">
        <v>32131</v>
      </c>
      <c r="D5900" s="5" t="s">
        <v>32132</v>
      </c>
      <c r="E5900" s="6" t="s">
        <v>11</v>
      </c>
      <c r="F5900" s="6" t="s">
        <v>32133</v>
      </c>
      <c r="G5900" s="3" t="str">
        <f>IFERROR(__xludf.DUMMYFUNCTION("REGEXREPLACE(
D5900,
""([一-龯々]+)\[([^\]]+)\]"",
""&lt;ruby&gt;$1&lt;rt&gt;$2&lt;/rt&gt;&lt;/ruby&gt;""
)&amp;""&lt;br&gt;&lt;div class=""""audio""""&gt;[sound:""&amp;C5900&amp;"".mp3]&lt;/div&gt;"""),"&lt;ruby&gt;素早&lt;rt&gt;すばや&lt;/rt&gt;&lt;/ruby&gt;い&lt;br&gt;&lt;div class=""audio""&gt;[sound:すばやい.mp3]&lt;/div&gt;")</f>
        <v>&lt;ruby&gt;素早&lt;rt&gt;すばや&lt;/rt&gt;&lt;/ruby&gt;い&lt;br&gt;&lt;div class="audio"&gt;[sound:すばやい.mp3]&lt;/div&gt;</v>
      </c>
      <c r="H5900" s="3" t="str">
        <f t="shared" si="1"/>
        <v>(adj): nhanh nhẹn</v>
      </c>
      <c r="I5900" s="6" t="s">
        <v>32134</v>
      </c>
      <c r="J5900" s="6" t="s">
        <v>32135</v>
      </c>
      <c r="K5900" s="7">
        <f t="shared" si="2"/>
        <v>0.9165339614</v>
      </c>
    </row>
    <row r="5901">
      <c r="A5901" s="4">
        <v>5901.0</v>
      </c>
      <c r="B5901" s="5" t="s">
        <v>32136</v>
      </c>
      <c r="C5901" s="5" t="s">
        <v>32136</v>
      </c>
      <c r="D5901" s="5" t="s">
        <v>32136</v>
      </c>
      <c r="E5901" s="6" t="s">
        <v>74</v>
      </c>
      <c r="F5901" s="6" t="s">
        <v>19522</v>
      </c>
      <c r="G5901" s="3" t="str">
        <f>IFERROR(__xludf.DUMMYFUNCTION("REGEXREPLACE(
D5901,
""([一-龯々]+)\[([^\]]+)\]"",
""&lt;ruby&gt;$1&lt;rt&gt;$2&lt;/rt&gt;&lt;/ruby&gt;""
)&amp;""&lt;br&gt;&lt;div class=""""audio""""&gt;[sound:""&amp;C5901&amp;"".mp3]&lt;/div&gt;"""),"しきたり&lt;br&gt;&lt;div class=""audio""&gt;[sound:しきたり.mp3]&lt;/div&gt;")</f>
        <v>しきたり&lt;br&gt;&lt;div class="audio"&gt;[sound:しきたり.mp3]&lt;/div&gt;</v>
      </c>
      <c r="H5901" s="3" t="str">
        <f t="shared" si="1"/>
        <v>(n): phong tục</v>
      </c>
      <c r="I5901" s="6" t="s">
        <v>32137</v>
      </c>
      <c r="J5901" s="6" t="s">
        <v>32138</v>
      </c>
      <c r="K5901" s="7">
        <f t="shared" si="2"/>
        <v>0.5981686158</v>
      </c>
    </row>
    <row r="5902">
      <c r="A5902" s="4">
        <v>5902.0</v>
      </c>
      <c r="B5902" s="5" t="s">
        <v>32139</v>
      </c>
      <c r="C5902" s="5" t="s">
        <v>32139</v>
      </c>
      <c r="D5902" s="5" t="s">
        <v>32139</v>
      </c>
      <c r="E5902" s="6" t="s">
        <v>85</v>
      </c>
      <c r="F5902" s="6" t="s">
        <v>4743</v>
      </c>
      <c r="G5902" s="3" t="str">
        <f>IFERROR(__xludf.DUMMYFUNCTION("REGEXREPLACE(
D5902,
""([一-龯々]+)\[([^\]]+)\]"",
""&lt;ruby&gt;$1&lt;rt&gt;$2&lt;/rt&gt;&lt;/ruby&gt;""
)&amp;""&lt;br&gt;&lt;div class=""""audio""""&gt;[sound:""&amp;C5902&amp;"".mp3]&lt;/div&gt;"""),"まるっきり&lt;br&gt;&lt;div class=""audio""&gt;[sound:まるっきり.mp3]&lt;/div&gt;")</f>
        <v>まるっきり&lt;br&gt;&lt;div class="audio"&gt;[sound:まるっきり.mp3]&lt;/div&gt;</v>
      </c>
      <c r="H5902" s="3" t="str">
        <f t="shared" si="1"/>
        <v>(adv): hoàn toàn</v>
      </c>
      <c r="I5902" s="6" t="s">
        <v>32140</v>
      </c>
      <c r="J5902" s="6" t="s">
        <v>32141</v>
      </c>
      <c r="K5902" s="7">
        <f t="shared" si="2"/>
        <v>0.3742535014</v>
      </c>
    </row>
    <row r="5903">
      <c r="A5903" s="4">
        <v>5903.0</v>
      </c>
      <c r="B5903" s="5" t="s">
        <v>32142</v>
      </c>
      <c r="C5903" s="5" t="s">
        <v>32143</v>
      </c>
      <c r="D5903" s="5" t="s">
        <v>32144</v>
      </c>
      <c r="E5903" s="6" t="s">
        <v>24</v>
      </c>
      <c r="F5903" s="6" t="s">
        <v>32145</v>
      </c>
      <c r="G5903" s="3" t="str">
        <f>IFERROR(__xludf.DUMMYFUNCTION("REGEXREPLACE(
D5903,
""([一-龯々]+)\[([^\]]+)\]"",
""&lt;ruby&gt;$1&lt;rt&gt;$2&lt;/rt&gt;&lt;/ruby&gt;""
)&amp;""&lt;br&gt;&lt;div class=""""audio""""&gt;[sound:""&amp;C5903&amp;"".mp3]&lt;/div&gt;"""),"&lt;ruby&gt;中和&lt;rt&gt;ちゅうわ&lt;/rt&gt;&lt;/ruby&gt;&lt;br&gt;&lt;div class=""audio""&gt;[sound:ちゅうわ.mp3]&lt;/div&gt;")</f>
        <v>&lt;ruby&gt;中和&lt;rt&gt;ちゅうわ&lt;/rt&gt;&lt;/ruby&gt;&lt;br&gt;&lt;div class="audio"&gt;[sound:ちゅうわ.mp3]&lt;/div&gt;</v>
      </c>
      <c r="H5903" s="3" t="str">
        <f t="shared" si="1"/>
        <v>(v): trung hòa</v>
      </c>
      <c r="I5903" s="6" t="s">
        <v>32146</v>
      </c>
      <c r="J5903" s="6" t="s">
        <v>32147</v>
      </c>
      <c r="K5903" s="7">
        <f t="shared" si="2"/>
        <v>0.3901952736</v>
      </c>
    </row>
    <row r="5904">
      <c r="A5904" s="4">
        <v>5904.0</v>
      </c>
      <c r="B5904" s="5" t="s">
        <v>32148</v>
      </c>
      <c r="C5904" s="5" t="s">
        <v>32149</v>
      </c>
      <c r="D5904" s="5" t="s">
        <v>32150</v>
      </c>
      <c r="E5904" s="6" t="s">
        <v>74</v>
      </c>
      <c r="F5904" s="6" t="s">
        <v>32151</v>
      </c>
      <c r="G5904" s="3" t="str">
        <f>IFERROR(__xludf.DUMMYFUNCTION("REGEXREPLACE(
D5904,
""([一-龯々]+)\[([^\]]+)\]"",
""&lt;ruby&gt;$1&lt;rt&gt;$2&lt;/rt&gt;&lt;/ruby&gt;""
)&amp;""&lt;br&gt;&lt;div class=""""audio""""&gt;[sound:""&amp;C5904&amp;"".mp3]&lt;/div&gt;"""),"&lt;ruby&gt;浴室&lt;rt&gt;よくしつ&lt;/rt&gt;&lt;/ruby&gt;&lt;br&gt;&lt;div class=""audio""&gt;[sound:よくしつ.mp3]&lt;/div&gt;")</f>
        <v>&lt;ruby&gt;浴室&lt;rt&gt;よくしつ&lt;/rt&gt;&lt;/ruby&gt;&lt;br&gt;&lt;div class="audio"&gt;[sound:よくしつ.mp3]&lt;/div&gt;</v>
      </c>
      <c r="H5904" s="3" t="str">
        <f t="shared" si="1"/>
        <v>(n): phòng tắm</v>
      </c>
      <c r="I5904" s="6" t="s">
        <v>32152</v>
      </c>
      <c r="J5904" s="6" t="s">
        <v>32153</v>
      </c>
      <c r="K5904" s="7">
        <f t="shared" si="2"/>
        <v>0.4253620135</v>
      </c>
    </row>
    <row r="5905">
      <c r="A5905" s="4">
        <v>5905.0</v>
      </c>
      <c r="B5905" s="5" t="s">
        <v>32154</v>
      </c>
      <c r="C5905" s="5" t="s">
        <v>32155</v>
      </c>
      <c r="D5905" s="5" t="s">
        <v>32156</v>
      </c>
      <c r="E5905" s="6" t="s">
        <v>74</v>
      </c>
      <c r="F5905" s="6" t="s">
        <v>32157</v>
      </c>
      <c r="G5905" s="3" t="str">
        <f>IFERROR(__xludf.DUMMYFUNCTION("REGEXREPLACE(
D5905,
""([一-龯々]+)\[([^\]]+)\]"",
""&lt;ruby&gt;$1&lt;rt&gt;$2&lt;/rt&gt;&lt;/ruby&gt;""
)&amp;""&lt;br&gt;&lt;div class=""""audio""""&gt;[sound:""&amp;C5905&amp;"".mp3]&lt;/div&gt;"""),"&lt;ruby&gt;爆破&lt;rt&gt;ばくは&lt;/rt&gt;&lt;/ruby&gt;&lt;br&gt;&lt;div class=""audio""&gt;[sound:ばくは.mp3]&lt;/div&gt;")</f>
        <v>&lt;ruby&gt;爆破&lt;rt&gt;ばくは&lt;/rt&gt;&lt;/ruby&gt;&lt;br&gt;&lt;div class="audio"&gt;[sound:ばくは.mp3]&lt;/div&gt;</v>
      </c>
      <c r="H5905" s="3" t="str">
        <f t="shared" si="1"/>
        <v>(n): sự làm nổ</v>
      </c>
      <c r="I5905" s="6" t="s">
        <v>32158</v>
      </c>
      <c r="J5905" s="6" t="s">
        <v>32159</v>
      </c>
      <c r="K5905" s="7">
        <f t="shared" si="2"/>
        <v>0.6303137121</v>
      </c>
    </row>
    <row r="5906">
      <c r="A5906" s="4">
        <v>5906.0</v>
      </c>
      <c r="B5906" s="5" t="s">
        <v>32160</v>
      </c>
      <c r="C5906" s="5" t="s">
        <v>32161</v>
      </c>
      <c r="D5906" s="5" t="s">
        <v>32162</v>
      </c>
      <c r="E5906" s="6" t="s">
        <v>74</v>
      </c>
      <c r="F5906" s="6" t="s">
        <v>32163</v>
      </c>
      <c r="G5906" s="3" t="str">
        <f>IFERROR(__xludf.DUMMYFUNCTION("REGEXREPLACE(
D5906,
""([一-龯々]+)\[([^\]]+)\]"",
""&lt;ruby&gt;$1&lt;rt&gt;$2&lt;/rt&gt;&lt;/ruby&gt;""
)&amp;""&lt;br&gt;&lt;div class=""""audio""""&gt;[sound:""&amp;C5906&amp;"".mp3]&lt;/div&gt;"""),"&lt;ruby&gt;特権&lt;rt&gt;とっけん&lt;/rt&gt;&lt;/ruby&gt;&lt;br&gt;&lt;div class=""audio""&gt;[sound:とっけん.mp3]&lt;/div&gt;")</f>
        <v>&lt;ruby&gt;特権&lt;rt&gt;とっけん&lt;/rt&gt;&lt;/ruby&gt;&lt;br&gt;&lt;div class="audio"&gt;[sound:とっけん.mp3]&lt;/div&gt;</v>
      </c>
      <c r="H5906" s="3" t="str">
        <f t="shared" si="1"/>
        <v>(n): đặc quyền</v>
      </c>
      <c r="I5906" s="6" t="s">
        <v>32164</v>
      </c>
      <c r="J5906" s="6" t="s">
        <v>32165</v>
      </c>
      <c r="K5906" s="7">
        <f t="shared" si="2"/>
        <v>0.958114294</v>
      </c>
    </row>
    <row r="5907">
      <c r="A5907" s="4">
        <v>5907.0</v>
      </c>
      <c r="B5907" s="5" t="s">
        <v>32166</v>
      </c>
      <c r="C5907" s="5" t="s">
        <v>32167</v>
      </c>
      <c r="D5907" s="5" t="s">
        <v>32168</v>
      </c>
      <c r="E5907" s="6" t="s">
        <v>11</v>
      </c>
      <c r="F5907" s="6" t="s">
        <v>16594</v>
      </c>
      <c r="G5907" s="3" t="str">
        <f>IFERROR(__xludf.DUMMYFUNCTION("REGEXREPLACE(
D5907,
""([一-龯々]+)\[([^\]]+)\]"",
""&lt;ruby&gt;$1&lt;rt&gt;$2&lt;/rt&gt;&lt;/ruby&gt;""
)&amp;""&lt;br&gt;&lt;div class=""""audio""""&gt;[sound:""&amp;C5907&amp;"".mp3]&lt;/div&gt;"""),"&lt;ruby&gt;猛烈&lt;rt&gt;もうれつ&lt;/rt&gt;&lt;/ruby&gt;&lt;br&gt;&lt;div class=""audio""&gt;[sound:もうれつ.mp3]&lt;/div&gt;")</f>
        <v>&lt;ruby&gt;猛烈&lt;rt&gt;もうれつ&lt;/rt&gt;&lt;/ruby&gt;&lt;br&gt;&lt;div class="audio"&gt;[sound:もうれつ.mp3]&lt;/div&gt;</v>
      </c>
      <c r="H5907" s="3" t="str">
        <f t="shared" si="1"/>
        <v>(adj): mãnh liệt</v>
      </c>
      <c r="I5907" s="6" t="s">
        <v>32169</v>
      </c>
      <c r="J5907" s="6" t="s">
        <v>32170</v>
      </c>
      <c r="K5907" s="7">
        <f t="shared" si="2"/>
        <v>0.3498739139</v>
      </c>
    </row>
    <row r="5908">
      <c r="A5908" s="4">
        <v>5908.0</v>
      </c>
      <c r="B5908" s="5" t="s">
        <v>32171</v>
      </c>
      <c r="C5908" s="5" t="s">
        <v>32171</v>
      </c>
      <c r="D5908" s="5" t="s">
        <v>32171</v>
      </c>
      <c r="E5908" s="6" t="s">
        <v>24</v>
      </c>
      <c r="F5908" s="6" t="s">
        <v>3455</v>
      </c>
      <c r="G5908" s="3" t="str">
        <f>IFERROR(__xludf.DUMMYFUNCTION("REGEXREPLACE(
D5908,
""([一-龯々]+)\[([^\]]+)\]"",
""&lt;ruby&gt;$1&lt;rt&gt;$2&lt;/rt&gt;&lt;/ruby&gt;""
)&amp;""&lt;br&gt;&lt;div class=""""audio""""&gt;[sound:""&amp;C5908&amp;"".mp3]&lt;/div&gt;"""),"ありふれる&lt;br&gt;&lt;div class=""audio""&gt;[sound:ありふれる.mp3]&lt;/div&gt;")</f>
        <v>ありふれる&lt;br&gt;&lt;div class="audio"&gt;[sound:ありふれる.mp3]&lt;/div&gt;</v>
      </c>
      <c r="H5908" s="3" t="str">
        <f t="shared" si="1"/>
        <v>(v): phổ biến</v>
      </c>
      <c r="I5908" s="6" t="s">
        <v>32172</v>
      </c>
      <c r="J5908" s="6" t="s">
        <v>32173</v>
      </c>
      <c r="K5908" s="7">
        <f t="shared" si="2"/>
        <v>0.5137836485</v>
      </c>
    </row>
    <row r="5909">
      <c r="A5909" s="4">
        <v>5909.0</v>
      </c>
      <c r="B5909" s="5" t="s">
        <v>32174</v>
      </c>
      <c r="C5909" s="5" t="s">
        <v>32174</v>
      </c>
      <c r="D5909" s="5" t="s">
        <v>32174</v>
      </c>
      <c r="E5909" s="6" t="s">
        <v>24</v>
      </c>
      <c r="F5909" s="6" t="s">
        <v>1076</v>
      </c>
      <c r="G5909" s="3" t="str">
        <f>IFERROR(__xludf.DUMMYFUNCTION("REGEXREPLACE(
D5909,
""([一-龯々]+)\[([^\]]+)\]"",
""&lt;ruby&gt;$1&lt;rt&gt;$2&lt;/rt&gt;&lt;/ruby&gt;""
)&amp;""&lt;br&gt;&lt;div class=""""audio""""&gt;[sound:""&amp;C5909&amp;"".mp3]&lt;/div&gt;"""),"かさむ&lt;br&gt;&lt;div class=""audio""&gt;[sound:かさむ.mp3]&lt;/div&gt;")</f>
        <v>かさむ&lt;br&gt;&lt;div class="audio"&gt;[sound:かさむ.mp3]&lt;/div&gt;</v>
      </c>
      <c r="H5909" s="3" t="str">
        <f t="shared" si="1"/>
        <v>(v): tăng lên</v>
      </c>
      <c r="I5909" s="6" t="s">
        <v>32175</v>
      </c>
      <c r="J5909" s="6" t="s">
        <v>32176</v>
      </c>
      <c r="K5909" s="7">
        <f t="shared" si="2"/>
        <v>0.9427780971</v>
      </c>
    </row>
    <row r="5910">
      <c r="A5910" s="4">
        <v>5910.0</v>
      </c>
      <c r="B5910" s="5" t="s">
        <v>32177</v>
      </c>
      <c r="C5910" s="5" t="s">
        <v>32177</v>
      </c>
      <c r="D5910" s="5" t="s">
        <v>32177</v>
      </c>
      <c r="E5910" s="6" t="s">
        <v>11</v>
      </c>
      <c r="F5910" s="6" t="s">
        <v>32178</v>
      </c>
      <c r="G5910" s="3" t="str">
        <f>IFERROR(__xludf.DUMMYFUNCTION("REGEXREPLACE(
D5910,
""([一-龯々]+)\[([^\]]+)\]"",
""&lt;ruby&gt;$1&lt;rt&gt;$2&lt;/rt&gt;&lt;/ruby&gt;""
)&amp;""&lt;br&gt;&lt;div class=""""audio""""&gt;[sound:""&amp;C5910&amp;"".mp3]&lt;/div&gt;"""),"のどか&lt;br&gt;&lt;div class=""audio""&gt;[sound:のどか.mp3]&lt;/div&gt;")</f>
        <v>のどか&lt;br&gt;&lt;div class="audio"&gt;[sound:のどか.mp3]&lt;/div&gt;</v>
      </c>
      <c r="H5910" s="3" t="str">
        <f t="shared" si="1"/>
        <v>(adj): bình yên</v>
      </c>
      <c r="I5910" s="6" t="s">
        <v>32179</v>
      </c>
      <c r="J5910" s="6" t="s">
        <v>32180</v>
      </c>
      <c r="K5910" s="7">
        <f t="shared" si="2"/>
        <v>0.6878230538</v>
      </c>
    </row>
    <row r="5911">
      <c r="A5911" s="4">
        <v>5911.0</v>
      </c>
      <c r="B5911" s="5" t="s">
        <v>32181</v>
      </c>
      <c r="C5911" s="5" t="s">
        <v>32182</v>
      </c>
      <c r="D5911" s="5" t="s">
        <v>32181</v>
      </c>
      <c r="E5911" s="6" t="s">
        <v>74</v>
      </c>
      <c r="F5911" s="6" t="s">
        <v>32183</v>
      </c>
      <c r="G5911" s="3" t="str">
        <f>IFERROR(__xludf.DUMMYFUNCTION("REGEXREPLACE(
D5911,
""([一-龯々]+)\[([^\]]+)\]"",
""&lt;ruby&gt;$1&lt;rt&gt;$2&lt;/rt&gt;&lt;/ruby&gt;""
)&amp;""&lt;br&gt;&lt;div class=""""audio""""&gt;[sound:""&amp;C5911&amp;"".mp3]&lt;/div&gt;"""),"ボイコット&lt;br&gt;&lt;div class=""audio""&gt;[sound:ぼいこっと.mp3]&lt;/div&gt;")</f>
        <v>ボイコット&lt;br&gt;&lt;div class="audio"&gt;[sound:ぼいこっと.mp3]&lt;/div&gt;</v>
      </c>
      <c r="H5911" s="3" t="str">
        <f t="shared" si="1"/>
        <v>(n): tẩy chay</v>
      </c>
      <c r="I5911" s="6" t="s">
        <v>32184</v>
      </c>
      <c r="J5911" s="6" t="s">
        <v>32185</v>
      </c>
      <c r="K5911" s="7">
        <f t="shared" si="2"/>
        <v>0.88292312</v>
      </c>
    </row>
    <row r="5912">
      <c r="A5912" s="4">
        <v>5912.0</v>
      </c>
      <c r="B5912" s="5" t="s">
        <v>32186</v>
      </c>
      <c r="C5912" s="5" t="s">
        <v>32186</v>
      </c>
      <c r="D5912" s="5" t="s">
        <v>32186</v>
      </c>
      <c r="E5912" s="6" t="s">
        <v>24</v>
      </c>
      <c r="F5912" s="6" t="s">
        <v>32187</v>
      </c>
      <c r="G5912" s="3" t="str">
        <f>IFERROR(__xludf.DUMMYFUNCTION("REGEXREPLACE(
D5912,
""([一-龯々]+)\[([^\]]+)\]"",
""&lt;ruby&gt;$1&lt;rt&gt;$2&lt;/rt&gt;&lt;/ruby&gt;""
)&amp;""&lt;br&gt;&lt;div class=""""audio""""&gt;[sound:""&amp;C5912&amp;"".mp3]&lt;/div&gt;"""),"ぼやく&lt;br&gt;&lt;div class=""audio""&gt;[sound:ぼやく.mp3]&lt;/div&gt;")</f>
        <v>ぼやく&lt;br&gt;&lt;div class="audio"&gt;[sound:ぼやく.mp3]&lt;/div&gt;</v>
      </c>
      <c r="H5912" s="3" t="str">
        <f t="shared" si="1"/>
        <v>(v): cằn nhằn</v>
      </c>
      <c r="I5912" s="6" t="s">
        <v>32188</v>
      </c>
      <c r="J5912" s="6" t="s">
        <v>32189</v>
      </c>
      <c r="K5912" s="7">
        <f t="shared" si="2"/>
        <v>0.5335987899</v>
      </c>
    </row>
    <row r="5913">
      <c r="A5913" s="4">
        <v>5913.0</v>
      </c>
      <c r="B5913" s="5" t="s">
        <v>32190</v>
      </c>
      <c r="C5913" s="5" t="s">
        <v>32190</v>
      </c>
      <c r="D5913" s="5" t="s">
        <v>32190</v>
      </c>
      <c r="E5913" s="6" t="s">
        <v>24</v>
      </c>
      <c r="F5913" s="6" t="s">
        <v>32191</v>
      </c>
      <c r="G5913" s="3" t="str">
        <f>IFERROR(__xludf.DUMMYFUNCTION("REGEXREPLACE(
D5913,
""([一-龯々]+)\[([^\]]+)\]"",
""&lt;ruby&gt;$1&lt;rt&gt;$2&lt;/rt&gt;&lt;/ruby&gt;""
)&amp;""&lt;br&gt;&lt;div class=""""audio""""&gt;[sound:""&amp;C5913&amp;"".mp3]&lt;/div&gt;"""),"もがく&lt;br&gt;&lt;div class=""audio""&gt;[sound:もがく.mp3]&lt;/div&gt;")</f>
        <v>もがく&lt;br&gt;&lt;div class="audio"&gt;[sound:もがく.mp3]&lt;/div&gt;</v>
      </c>
      <c r="H5913" s="3" t="str">
        <f t="shared" si="1"/>
        <v>(v): vùng vẫy</v>
      </c>
      <c r="I5913" s="6" t="s">
        <v>32192</v>
      </c>
      <c r="J5913" s="6" t="s">
        <v>32193</v>
      </c>
      <c r="K5913" s="7">
        <f t="shared" si="2"/>
        <v>0.7664009349</v>
      </c>
    </row>
    <row r="5914">
      <c r="A5914" s="4">
        <v>5914.0</v>
      </c>
      <c r="B5914" s="5" t="s">
        <v>32194</v>
      </c>
      <c r="C5914" s="5" t="s">
        <v>32195</v>
      </c>
      <c r="D5914" s="5" t="s">
        <v>32196</v>
      </c>
      <c r="E5914" s="6" t="s">
        <v>74</v>
      </c>
      <c r="F5914" s="6" t="s">
        <v>32197</v>
      </c>
      <c r="G5914" s="3" t="str">
        <f>IFERROR(__xludf.DUMMYFUNCTION("REGEXREPLACE(
D5914,
""([一-龯々]+)\[([^\]]+)\]"",
""&lt;ruby&gt;$1&lt;rt&gt;$2&lt;/rt&gt;&lt;/ruby&gt;""
)&amp;""&lt;br&gt;&lt;div class=""""audio""""&gt;[sound:""&amp;C5914&amp;"".mp3]&lt;/div&gt;"""),"&lt;ruby&gt;中腹&lt;rt&gt;ちゅうふく&lt;/rt&gt;&lt;/ruby&gt;&lt;br&gt;&lt;div class=""audio""&gt;[sound:ちゅうふく.mp3]&lt;/div&gt;")</f>
        <v>&lt;ruby&gt;中腹&lt;rt&gt;ちゅうふく&lt;/rt&gt;&lt;/ruby&gt;&lt;br&gt;&lt;div class="audio"&gt;[sound:ちゅうふく.mp3]&lt;/div&gt;</v>
      </c>
      <c r="H5914" s="3" t="str">
        <f t="shared" si="1"/>
        <v>(n): sườn núi</v>
      </c>
      <c r="I5914" s="6" t="s">
        <v>32198</v>
      </c>
      <c r="J5914" s="6" t="s">
        <v>32199</v>
      </c>
      <c r="K5914" s="7">
        <f t="shared" si="2"/>
        <v>0.6656013219</v>
      </c>
    </row>
    <row r="5915">
      <c r="A5915" s="4">
        <v>5915.0</v>
      </c>
      <c r="B5915" s="5" t="s">
        <v>32200</v>
      </c>
      <c r="C5915" s="5" t="s">
        <v>32201</v>
      </c>
      <c r="D5915" s="5" t="s">
        <v>32202</v>
      </c>
      <c r="E5915" s="6" t="s">
        <v>24</v>
      </c>
      <c r="F5915" s="6" t="s">
        <v>32203</v>
      </c>
      <c r="G5915" s="3" t="str">
        <f>IFERROR(__xludf.DUMMYFUNCTION("REGEXREPLACE(
D5915,
""([一-龯々]+)\[([^\]]+)\]"",
""&lt;ruby&gt;$1&lt;rt&gt;$2&lt;/rt&gt;&lt;/ruby&gt;""
)&amp;""&lt;br&gt;&lt;div class=""""audio""""&gt;[sound:""&amp;C5915&amp;"".mp3]&lt;/div&gt;"""),"&lt;ruby&gt;染&lt;rt&gt;し&lt;/rt&gt;&lt;/ruby&gt;みる&lt;br&gt;&lt;div class=""audio""&gt;[sound:しみる.mp3]&lt;/div&gt;")</f>
        <v>&lt;ruby&gt;染&lt;rt&gt;し&lt;/rt&gt;&lt;/ruby&gt;みる&lt;br&gt;&lt;div class="audio"&gt;[sound:しみる.mp3]&lt;/div&gt;</v>
      </c>
      <c r="H5915" s="3" t="str">
        <f t="shared" si="1"/>
        <v>(v): ngấm vào</v>
      </c>
      <c r="I5915" s="6" t="s">
        <v>32204</v>
      </c>
      <c r="J5915" s="6" t="s">
        <v>32205</v>
      </c>
      <c r="K5915" s="7">
        <f t="shared" si="2"/>
        <v>0.428739086</v>
      </c>
    </row>
    <row r="5916">
      <c r="A5916" s="4">
        <v>5916.0</v>
      </c>
      <c r="B5916" s="5" t="s">
        <v>32206</v>
      </c>
      <c r="C5916" s="5" t="s">
        <v>32207</v>
      </c>
      <c r="D5916" s="5" t="s">
        <v>32208</v>
      </c>
      <c r="E5916" s="6" t="s">
        <v>74</v>
      </c>
      <c r="F5916" s="6" t="s">
        <v>32209</v>
      </c>
      <c r="G5916" s="3" t="str">
        <f>IFERROR(__xludf.DUMMYFUNCTION("REGEXREPLACE(
D5916,
""([一-龯々]+)\[([^\]]+)\]"",
""&lt;ruby&gt;$1&lt;rt&gt;$2&lt;/rt&gt;&lt;/ruby&gt;""
)&amp;""&lt;br&gt;&lt;div class=""""audio""""&gt;[sound:""&amp;C5916&amp;"".mp3]&lt;/div&gt;"""),"&lt;ruby&gt;洋風&lt;rt&gt;ようふう&lt;/rt&gt;&lt;/ruby&gt;&lt;br&gt;&lt;div class=""audio""&gt;[sound:ようふう.mp3]&lt;/div&gt;")</f>
        <v>&lt;ruby&gt;洋風&lt;rt&gt;ようふう&lt;/rt&gt;&lt;/ruby&gt;&lt;br&gt;&lt;div class="audio"&gt;[sound:ようふう.mp3]&lt;/div&gt;</v>
      </c>
      <c r="H5916" s="3" t="str">
        <f t="shared" si="1"/>
        <v>(n): kiểu tây</v>
      </c>
      <c r="I5916" s="6" t="s">
        <v>32210</v>
      </c>
      <c r="J5916" s="6" t="s">
        <v>32211</v>
      </c>
      <c r="K5916" s="7">
        <f t="shared" si="2"/>
        <v>0.06252329881</v>
      </c>
    </row>
    <row r="5917">
      <c r="A5917" s="4">
        <v>5917.0</v>
      </c>
      <c r="B5917" s="5" t="s">
        <v>32212</v>
      </c>
      <c r="C5917" s="5" t="s">
        <v>32213</v>
      </c>
      <c r="D5917" s="5" t="s">
        <v>32214</v>
      </c>
      <c r="E5917" s="6" t="s">
        <v>74</v>
      </c>
      <c r="F5917" s="6" t="s">
        <v>32215</v>
      </c>
      <c r="G5917" s="3" t="str">
        <f>IFERROR(__xludf.DUMMYFUNCTION("REGEXREPLACE(
D5917,
""([一-龯々]+)\[([^\]]+)\]"",
""&lt;ruby&gt;$1&lt;rt&gt;$2&lt;/rt&gt;&lt;/ruby&gt;""
)&amp;""&lt;br&gt;&lt;div class=""""audio""""&gt;[sound:""&amp;C5917&amp;"".mp3]&lt;/div&gt;"""),"&lt;ruby&gt;溝&lt;rt&gt;みぞ&lt;/rt&gt;&lt;/ruby&gt;&lt;br&gt;&lt;div class=""audio""&gt;[sound:みぞ.mp3]&lt;/div&gt;")</f>
        <v>&lt;ruby&gt;溝&lt;rt&gt;みぞ&lt;/rt&gt;&lt;/ruby&gt;&lt;br&gt;&lt;div class="audio"&gt;[sound:みぞ.mp3]&lt;/div&gt;</v>
      </c>
      <c r="H5917" s="3" t="str">
        <f t="shared" si="1"/>
        <v>(n): rãnh</v>
      </c>
      <c r="I5917" s="6" t="s">
        <v>32216</v>
      </c>
      <c r="J5917" s="6" t="s">
        <v>32217</v>
      </c>
      <c r="K5917" s="7">
        <f t="shared" si="2"/>
        <v>0.677307014</v>
      </c>
    </row>
    <row r="5918">
      <c r="A5918" s="4">
        <v>5918.0</v>
      </c>
      <c r="B5918" s="5" t="s">
        <v>32218</v>
      </c>
      <c r="C5918" s="5" t="s">
        <v>32219</v>
      </c>
      <c r="D5918" s="5" t="s">
        <v>32220</v>
      </c>
      <c r="E5918" s="6" t="s">
        <v>74</v>
      </c>
      <c r="F5918" s="6" t="s">
        <v>32221</v>
      </c>
      <c r="G5918" s="3" t="str">
        <f>IFERROR(__xludf.DUMMYFUNCTION("REGEXREPLACE(
D5918,
""([一-龯々]+)\[([^\]]+)\]"",
""&lt;ruby&gt;$1&lt;rt&gt;$2&lt;/rt&gt;&lt;/ruby&gt;""
)&amp;""&lt;br&gt;&lt;div class=""""audio""""&gt;[sound:""&amp;C5918&amp;"".mp3]&lt;/div&gt;"""),"&lt;ruby&gt;眼科&lt;rt&gt;がんか&lt;/rt&gt;&lt;/ruby&gt;&lt;br&gt;&lt;div class=""audio""&gt;[sound:がんか.mp3]&lt;/div&gt;")</f>
        <v>&lt;ruby&gt;眼科&lt;rt&gt;がんか&lt;/rt&gt;&lt;/ruby&gt;&lt;br&gt;&lt;div class="audio"&gt;[sound:がんか.mp3]&lt;/div&gt;</v>
      </c>
      <c r="H5918" s="3" t="str">
        <f t="shared" si="1"/>
        <v>(n): khoa mắt</v>
      </c>
      <c r="I5918" s="6" t="s">
        <v>32222</v>
      </c>
      <c r="J5918" s="6" t="s">
        <v>32223</v>
      </c>
      <c r="K5918" s="7">
        <f t="shared" si="2"/>
        <v>0.5062223029</v>
      </c>
    </row>
    <row r="5919">
      <c r="A5919" s="4">
        <v>5919.0</v>
      </c>
      <c r="B5919" s="5" t="s">
        <v>32224</v>
      </c>
      <c r="C5919" s="5" t="s">
        <v>32225</v>
      </c>
      <c r="D5919" s="5" t="s">
        <v>32226</v>
      </c>
      <c r="E5919" s="6" t="s">
        <v>74</v>
      </c>
      <c r="F5919" s="6" t="s">
        <v>32227</v>
      </c>
      <c r="G5919" s="3" t="str">
        <f>IFERROR(__xludf.DUMMYFUNCTION("REGEXREPLACE(
D5919,
""([一-龯々]+)\[([^\]]+)\]"",
""&lt;ruby&gt;$1&lt;rt&gt;$2&lt;/rt&gt;&lt;/ruby&gt;""
)&amp;""&lt;br&gt;&lt;div class=""""audio""""&gt;[sound:""&amp;C5919&amp;"".mp3]&lt;/div&gt;"""),"&lt;ruby&gt;移住&lt;rt&gt;いじゅう&lt;/rt&gt;&lt;/ruby&gt;&lt;br&gt;&lt;div class=""audio""&gt;[sound:いじゅう.mp3]&lt;/div&gt;")</f>
        <v>&lt;ruby&gt;移住&lt;rt&gt;いじゅう&lt;/rt&gt;&lt;/ruby&gt;&lt;br&gt;&lt;div class="audio"&gt;[sound:いじゅう.mp3]&lt;/div&gt;</v>
      </c>
      <c r="H5919" s="3" t="str">
        <f t="shared" si="1"/>
        <v>(n): sự di cư</v>
      </c>
      <c r="I5919" s="6" t="s">
        <v>32228</v>
      </c>
      <c r="J5919" s="6" t="s">
        <v>32229</v>
      </c>
      <c r="K5919" s="7">
        <f t="shared" si="2"/>
        <v>0.6249256517</v>
      </c>
    </row>
    <row r="5920">
      <c r="A5920" s="4">
        <v>5920.0</v>
      </c>
      <c r="B5920" s="5" t="s">
        <v>32230</v>
      </c>
      <c r="C5920" s="5" t="s">
        <v>32231</v>
      </c>
      <c r="D5920" s="5" t="s">
        <v>32232</v>
      </c>
      <c r="E5920" s="6" t="s">
        <v>11</v>
      </c>
      <c r="F5920" s="6" t="s">
        <v>32233</v>
      </c>
      <c r="G5920" s="3" t="str">
        <f>IFERROR(__xludf.DUMMYFUNCTION("REGEXREPLACE(
D5920,
""([一-龯々]+)\[([^\]]+)\]"",
""&lt;ruby&gt;$1&lt;rt&gt;$2&lt;/rt&gt;&lt;/ruby&gt;""
)&amp;""&lt;br&gt;&lt;div class=""""audio""""&gt;[sound:""&amp;C5920&amp;"".mp3]&lt;/div&gt;"""),"&lt;ruby&gt;簡潔&lt;rt&gt;かんけつ&lt;/rt&gt;&lt;/ruby&gt;&lt;br&gt;&lt;div class=""audio""&gt;[sound:かんけつ.mp3]&lt;/div&gt;")</f>
        <v>&lt;ruby&gt;簡潔&lt;rt&gt;かんけつ&lt;/rt&gt;&lt;/ruby&gt;&lt;br&gt;&lt;div class="audio"&gt;[sound:かんけつ.mp3]&lt;/div&gt;</v>
      </c>
      <c r="H5920" s="3" t="str">
        <f t="shared" si="1"/>
        <v>(adj): ngắn gọn</v>
      </c>
      <c r="I5920" s="6" t="s">
        <v>32234</v>
      </c>
      <c r="J5920" s="6" t="s">
        <v>32235</v>
      </c>
      <c r="K5920" s="7">
        <f t="shared" si="2"/>
        <v>0.9464862879</v>
      </c>
    </row>
    <row r="5921">
      <c r="A5921" s="4">
        <v>5921.0</v>
      </c>
      <c r="B5921" s="5" t="s">
        <v>32236</v>
      </c>
      <c r="C5921" s="5" t="s">
        <v>32237</v>
      </c>
      <c r="D5921" s="5" t="s">
        <v>32238</v>
      </c>
      <c r="E5921" s="6" t="s">
        <v>24</v>
      </c>
      <c r="F5921" s="6" t="s">
        <v>32239</v>
      </c>
      <c r="G5921" s="3" t="str">
        <f>IFERROR(__xludf.DUMMYFUNCTION("REGEXREPLACE(
D5921,
""([一-龯々]+)\[([^\]]+)\]"",
""&lt;ruby&gt;$1&lt;rt&gt;$2&lt;/rt&gt;&lt;/ruby&gt;""
)&amp;""&lt;br&gt;&lt;div class=""""audio""""&gt;[sound:""&amp;C5921&amp;"".mp3]&lt;/div&gt;"""),"&lt;ruby&gt;粘&lt;rt&gt;ねば&lt;/rt&gt;&lt;/ruby&gt;る&lt;br&gt;&lt;div class=""audio""&gt;[sound:ねばる.mp3]&lt;/div&gt;")</f>
        <v>&lt;ruby&gt;粘&lt;rt&gt;ねば&lt;/rt&gt;&lt;/ruby&gt;る&lt;br&gt;&lt;div class="audio"&gt;[sound:ねばる.mp3]&lt;/div&gt;</v>
      </c>
      <c r="H5921" s="3" t="str">
        <f t="shared" si="1"/>
        <v>(v): kiên trì</v>
      </c>
      <c r="I5921" s="6" t="s">
        <v>32240</v>
      </c>
      <c r="J5921" s="6" t="s">
        <v>32241</v>
      </c>
      <c r="K5921" s="7">
        <f t="shared" si="2"/>
        <v>0.7566417319</v>
      </c>
    </row>
    <row r="5922">
      <c r="A5922" s="4">
        <v>5922.0</v>
      </c>
      <c r="B5922" s="5" t="s">
        <v>32242</v>
      </c>
      <c r="C5922" s="5" t="s">
        <v>5105</v>
      </c>
      <c r="D5922" s="5" t="s">
        <v>32243</v>
      </c>
      <c r="E5922" s="6" t="s">
        <v>74</v>
      </c>
      <c r="F5922" s="6" t="s">
        <v>28513</v>
      </c>
      <c r="G5922" s="3" t="str">
        <f>IFERROR(__xludf.DUMMYFUNCTION("REGEXREPLACE(
D5922,
""([一-龯々]+)\[([^\]]+)\]"",
""&lt;ruby&gt;$1&lt;rt&gt;$2&lt;/rt&gt;&lt;/ruby&gt;""
)&amp;""&lt;br&gt;&lt;div class=""""audio""""&gt;[sound:""&amp;C5922&amp;"".mp3]&lt;/div&gt;"""),"&lt;ruby&gt;細菌&lt;rt&gt;さいきん&lt;/rt&gt;&lt;/ruby&gt;&lt;br&gt;&lt;div class=""audio""&gt;[sound:さいきん.mp3]&lt;/div&gt;")</f>
        <v>&lt;ruby&gt;細菌&lt;rt&gt;さいきん&lt;/rt&gt;&lt;/ruby&gt;&lt;br&gt;&lt;div class="audio"&gt;[sound:さいきん.mp3]&lt;/div&gt;</v>
      </c>
      <c r="H5922" s="3" t="str">
        <f t="shared" si="1"/>
        <v>(n): vi khuẩn</v>
      </c>
      <c r="I5922" s="6" t="s">
        <v>32244</v>
      </c>
      <c r="J5922" s="6" t="s">
        <v>32245</v>
      </c>
      <c r="K5922" s="7">
        <f t="shared" si="2"/>
        <v>0.9679526449</v>
      </c>
    </row>
    <row r="5923">
      <c r="A5923" s="4">
        <v>5923.0</v>
      </c>
      <c r="B5923" s="5" t="s">
        <v>32246</v>
      </c>
      <c r="C5923" s="5" t="s">
        <v>32247</v>
      </c>
      <c r="D5923" s="5" t="s">
        <v>32248</v>
      </c>
      <c r="E5923" s="6" t="s">
        <v>74</v>
      </c>
      <c r="F5923" s="6" t="s">
        <v>28644</v>
      </c>
      <c r="G5923" s="3" t="str">
        <f>IFERROR(__xludf.DUMMYFUNCTION("REGEXREPLACE(
D5923,
""([一-龯々]+)\[([^\]]+)\]"",
""&lt;ruby&gt;$1&lt;rt&gt;$2&lt;/rt&gt;&lt;/ruby&gt;""
)&amp;""&lt;br&gt;&lt;div class=""""audio""""&gt;[sound:""&amp;C5923&amp;"".mp3]&lt;/div&gt;"""),"&lt;ruby&gt;群衆&lt;rt&gt;ぐんしゅう&lt;/rt&gt;&lt;/ruby&gt;&lt;br&gt;&lt;div class=""audio""&gt;[sound:ぐんしゅう.mp3]&lt;/div&gt;")</f>
        <v>&lt;ruby&gt;群衆&lt;rt&gt;ぐんしゅう&lt;/rt&gt;&lt;/ruby&gt;&lt;br&gt;&lt;div class="audio"&gt;[sound:ぐんしゅう.mp3]&lt;/div&gt;</v>
      </c>
      <c r="H5923" s="3" t="str">
        <f t="shared" si="1"/>
        <v>(n): đám đông</v>
      </c>
      <c r="I5923" s="6" t="s">
        <v>32249</v>
      </c>
      <c r="J5923" s="6" t="s">
        <v>32250</v>
      </c>
      <c r="K5923" s="7">
        <f t="shared" si="2"/>
        <v>0.2046337038</v>
      </c>
    </row>
    <row r="5924">
      <c r="A5924" s="4">
        <v>5924.0</v>
      </c>
      <c r="B5924" s="5" t="s">
        <v>32251</v>
      </c>
      <c r="C5924" s="5" t="s">
        <v>12723</v>
      </c>
      <c r="D5924" s="5" t="s">
        <v>32252</v>
      </c>
      <c r="E5924" s="6" t="s">
        <v>24</v>
      </c>
      <c r="F5924" s="6" t="s">
        <v>24190</v>
      </c>
      <c r="G5924" s="3" t="str">
        <f>IFERROR(__xludf.DUMMYFUNCTION("REGEXREPLACE(
D5924,
""([一-龯々]+)\[([^\]]+)\]"",
""&lt;ruby&gt;$1&lt;rt&gt;$2&lt;/rt&gt;&lt;/ruby&gt;""
)&amp;""&lt;br&gt;&lt;div class=""""audio""""&gt;[sound:""&amp;C5924&amp;"".mp3]&lt;/div&gt;"""),"&lt;ruby&gt;負&lt;rt&gt;ま&lt;/rt&gt;&lt;/ruby&gt;かす&lt;br&gt;&lt;div class=""audio""&gt;[sound:まかす.mp3]&lt;/div&gt;")</f>
        <v>&lt;ruby&gt;負&lt;rt&gt;ま&lt;/rt&gt;&lt;/ruby&gt;かす&lt;br&gt;&lt;div class="audio"&gt;[sound:まかす.mp3]&lt;/div&gt;</v>
      </c>
      <c r="H5924" s="3" t="str">
        <f t="shared" si="1"/>
        <v>(v): đánh bại</v>
      </c>
      <c r="I5924" s="6" t="s">
        <v>32253</v>
      </c>
      <c r="J5924" s="6" t="s">
        <v>24192</v>
      </c>
      <c r="K5924" s="7">
        <f t="shared" si="2"/>
        <v>0.6468789922</v>
      </c>
    </row>
    <row r="5925">
      <c r="A5925" s="4">
        <v>5925.0</v>
      </c>
      <c r="B5925" s="5" t="s">
        <v>32254</v>
      </c>
      <c r="C5925" s="5" t="s">
        <v>32254</v>
      </c>
      <c r="D5925" s="5" t="s">
        <v>32254</v>
      </c>
      <c r="E5925" s="6" t="s">
        <v>24</v>
      </c>
      <c r="F5925" s="6" t="s">
        <v>31183</v>
      </c>
      <c r="G5925" s="3" t="str">
        <f>IFERROR(__xludf.DUMMYFUNCTION("REGEXREPLACE(
D5925,
""([一-龯々]+)\[([^\]]+)\]"",
""&lt;ruby&gt;$1&lt;rt&gt;$2&lt;/rt&gt;&lt;/ruby&gt;""
)&amp;""&lt;br&gt;&lt;div class=""""audio""""&gt;[sound:""&amp;C5925&amp;"".mp3]&lt;/div&gt;"""),"ばらまく&lt;br&gt;&lt;div class=""audio""&gt;[sound:ばらまく.mp3]&lt;/div&gt;")</f>
        <v>ばらまく&lt;br&gt;&lt;div class="audio"&gt;[sound:ばらまく.mp3]&lt;/div&gt;</v>
      </c>
      <c r="H5925" s="3" t="str">
        <f t="shared" si="1"/>
        <v>(v): rải rác</v>
      </c>
      <c r="I5925" s="6" t="s">
        <v>32255</v>
      </c>
      <c r="J5925" s="6" t="s">
        <v>32256</v>
      </c>
      <c r="K5925" s="7">
        <f t="shared" si="2"/>
        <v>0.4465005896</v>
      </c>
    </row>
    <row r="5926">
      <c r="A5926" s="4">
        <v>5926.0</v>
      </c>
      <c r="B5926" s="5" t="s">
        <v>32257</v>
      </c>
      <c r="C5926" s="5" t="s">
        <v>32258</v>
      </c>
      <c r="D5926" s="5" t="s">
        <v>32259</v>
      </c>
      <c r="E5926" s="6" t="s">
        <v>74</v>
      </c>
      <c r="F5926" s="6" t="s">
        <v>32260</v>
      </c>
      <c r="G5926" s="3" t="str">
        <f>IFERROR(__xludf.DUMMYFUNCTION("REGEXREPLACE(
D5926,
""([一-龯々]+)\[([^\]]+)\]"",
""&lt;ruby&gt;$1&lt;rt&gt;$2&lt;/rt&gt;&lt;/ruby&gt;""
)&amp;""&lt;br&gt;&lt;div class=""""audio""""&gt;[sound:""&amp;C5926&amp;"".mp3]&lt;/div&gt;"""),"&lt;ruby&gt;不意&lt;rt&gt;ふい&lt;/rt&gt;&lt;/ruby&gt;&lt;br&gt;&lt;div class=""audio""&gt;[sound:ふい.mp3]&lt;/div&gt;")</f>
        <v>&lt;ruby&gt;不意&lt;rt&gt;ふい&lt;/rt&gt;&lt;/ruby&gt;&lt;br&gt;&lt;div class="audio"&gt;[sound:ふい.mp3]&lt;/div&gt;</v>
      </c>
      <c r="H5926" s="3" t="str">
        <f t="shared" si="1"/>
        <v>(n): bất ngờ</v>
      </c>
      <c r="I5926" s="6" t="s">
        <v>32261</v>
      </c>
      <c r="J5926" s="6" t="s">
        <v>32262</v>
      </c>
      <c r="K5926" s="7">
        <f t="shared" si="2"/>
        <v>0.9422330804</v>
      </c>
    </row>
    <row r="5927">
      <c r="A5927" s="4">
        <v>5927.0</v>
      </c>
      <c r="B5927" s="5" t="s">
        <v>32263</v>
      </c>
      <c r="C5927" s="5" t="s">
        <v>32264</v>
      </c>
      <c r="D5927" s="5" t="s">
        <v>32265</v>
      </c>
      <c r="E5927" s="6" t="s">
        <v>74</v>
      </c>
      <c r="F5927" s="6" t="s">
        <v>32266</v>
      </c>
      <c r="G5927" s="3" t="str">
        <f>IFERROR(__xludf.DUMMYFUNCTION("REGEXREPLACE(
D5927,
""([一-龯々]+)\[([^\]]+)\]"",
""&lt;ruby&gt;$1&lt;rt&gt;$2&lt;/rt&gt;&lt;/ruby&gt;""
)&amp;""&lt;br&gt;&lt;div class=""""audio""""&gt;[sound:""&amp;C5927&amp;"".mp3]&lt;/div&gt;"""),"&lt;ruby&gt;人質&lt;rt&gt;ひとじち&lt;/rt&gt;&lt;/ruby&gt;&lt;br&gt;&lt;div class=""audio""&gt;[sound:ひとじち.mp3]&lt;/div&gt;")</f>
        <v>&lt;ruby&gt;人質&lt;rt&gt;ひとじち&lt;/rt&gt;&lt;/ruby&gt;&lt;br&gt;&lt;div class="audio"&gt;[sound:ひとじち.mp3]&lt;/div&gt;</v>
      </c>
      <c r="H5927" s="3" t="str">
        <f t="shared" si="1"/>
        <v>(n): con tin</v>
      </c>
      <c r="I5927" s="6" t="s">
        <v>32267</v>
      </c>
      <c r="J5927" s="6" t="s">
        <v>32268</v>
      </c>
      <c r="K5927" s="7">
        <f t="shared" si="2"/>
        <v>0.9330672232</v>
      </c>
    </row>
    <row r="5928">
      <c r="A5928" s="4">
        <v>5928.0</v>
      </c>
      <c r="B5928" s="5" t="s">
        <v>32269</v>
      </c>
      <c r="C5928" s="5" t="s">
        <v>32270</v>
      </c>
      <c r="D5928" s="5" t="s">
        <v>32271</v>
      </c>
      <c r="E5928" s="6" t="s">
        <v>74</v>
      </c>
      <c r="F5928" s="6" t="s">
        <v>32272</v>
      </c>
      <c r="G5928" s="3" t="str">
        <f>IFERROR(__xludf.DUMMYFUNCTION("REGEXREPLACE(
D5928,
""([一-龯々]+)\[([^\]]+)\]"",
""&lt;ruby&gt;$1&lt;rt&gt;$2&lt;/rt&gt;&lt;/ruby&gt;""
)&amp;""&lt;br&gt;&lt;div class=""""audio""""&gt;[sound:""&amp;C5928&amp;"".mp3]&lt;/div&gt;"""),"&lt;ruby&gt;模型&lt;rt&gt;もけい&lt;/rt&gt;&lt;/ruby&gt;&lt;br&gt;&lt;div class=""audio""&gt;[sound:もけい.mp3]&lt;/div&gt;")</f>
        <v>&lt;ruby&gt;模型&lt;rt&gt;もけい&lt;/rt&gt;&lt;/ruby&gt;&lt;br&gt;&lt;div class="audio"&gt;[sound:もけい.mp3]&lt;/div&gt;</v>
      </c>
      <c r="H5928" s="3" t="str">
        <f t="shared" si="1"/>
        <v>(n): mô hình</v>
      </c>
      <c r="I5928" s="6" t="s">
        <v>32273</v>
      </c>
      <c r="J5928" s="6" t="s">
        <v>32274</v>
      </c>
      <c r="K5928" s="7">
        <f t="shared" si="2"/>
        <v>0.9663943637</v>
      </c>
    </row>
    <row r="5929">
      <c r="A5929" s="4">
        <v>5929.0</v>
      </c>
      <c r="B5929" s="5" t="s">
        <v>32275</v>
      </c>
      <c r="C5929" s="5" t="s">
        <v>32276</v>
      </c>
      <c r="D5929" s="5" t="s">
        <v>32277</v>
      </c>
      <c r="E5929" s="6" t="s">
        <v>74</v>
      </c>
      <c r="F5929" s="6" t="s">
        <v>32278</v>
      </c>
      <c r="G5929" s="3" t="str">
        <f>IFERROR(__xludf.DUMMYFUNCTION("REGEXREPLACE(
D5929,
""([一-龯々]+)\[([^\]]+)\]"",
""&lt;ruby&gt;$1&lt;rt&gt;$2&lt;/rt&gt;&lt;/ruby&gt;""
)&amp;""&lt;br&gt;&lt;div class=""""audio""""&gt;[sound:""&amp;C5929&amp;"".mp3]&lt;/div&gt;"""),"&lt;ruby&gt;樹木&lt;rt&gt;じゅもく&lt;/rt&gt;&lt;/ruby&gt;&lt;br&gt;&lt;div class=""audio""&gt;[sound:じゅもく.mp3]&lt;/div&gt;")</f>
        <v>&lt;ruby&gt;樹木&lt;rt&gt;じゅもく&lt;/rt&gt;&lt;/ruby&gt;&lt;br&gt;&lt;div class="audio"&gt;[sound:じゅもく.mp3]&lt;/div&gt;</v>
      </c>
      <c r="H5929" s="3" t="str">
        <f t="shared" si="1"/>
        <v>(n): cây cối</v>
      </c>
      <c r="I5929" s="6" t="s">
        <v>32279</v>
      </c>
      <c r="J5929" s="6" t="s">
        <v>32280</v>
      </c>
      <c r="K5929" s="7">
        <f t="shared" si="2"/>
        <v>0.3497645118</v>
      </c>
    </row>
    <row r="5930">
      <c r="A5930" s="4">
        <v>5930.0</v>
      </c>
      <c r="B5930" s="5" t="s">
        <v>32281</v>
      </c>
      <c r="C5930" s="5" t="s">
        <v>32282</v>
      </c>
      <c r="D5930" s="5" t="s">
        <v>32283</v>
      </c>
      <c r="E5930" s="6" t="s">
        <v>74</v>
      </c>
      <c r="F5930" s="6" t="s">
        <v>32284</v>
      </c>
      <c r="G5930" s="3" t="str">
        <f>IFERROR(__xludf.DUMMYFUNCTION("REGEXREPLACE(
D5930,
""([一-龯々]+)\[([^\]]+)\]"",
""&lt;ruby&gt;$1&lt;rt&gt;$2&lt;/rt&gt;&lt;/ruby&gt;""
)&amp;""&lt;br&gt;&lt;div class=""""audio""""&gt;[sound:""&amp;C5930&amp;"".mp3]&lt;/div&gt;"""),"&lt;ruby&gt;海峡&lt;rt&gt;かいきょう&lt;/rt&gt;&lt;/ruby&gt;&lt;br&gt;&lt;div class=""audio""&gt;[sound:かいきょう.mp3]&lt;/div&gt;")</f>
        <v>&lt;ruby&gt;海峡&lt;rt&gt;かいきょう&lt;/rt&gt;&lt;/ruby&gt;&lt;br&gt;&lt;div class="audio"&gt;[sound:かいきょう.mp3]&lt;/div&gt;</v>
      </c>
      <c r="H5930" s="3" t="str">
        <f t="shared" si="1"/>
        <v>(n): eo biển</v>
      </c>
      <c r="I5930" s="6" t="s">
        <v>32285</v>
      </c>
      <c r="J5930" s="6" t="s">
        <v>32286</v>
      </c>
      <c r="K5930" s="7">
        <f t="shared" si="2"/>
        <v>0.9523971187</v>
      </c>
    </row>
    <row r="5931">
      <c r="A5931" s="4">
        <v>5931.0</v>
      </c>
      <c r="B5931" s="5" t="s">
        <v>32287</v>
      </c>
      <c r="C5931" s="5" t="s">
        <v>32288</v>
      </c>
      <c r="D5931" s="5" t="s">
        <v>32289</v>
      </c>
      <c r="E5931" s="6" t="s">
        <v>74</v>
      </c>
      <c r="F5931" s="6" t="s">
        <v>883</v>
      </c>
      <c r="G5931" s="3" t="str">
        <f>IFERROR(__xludf.DUMMYFUNCTION("REGEXREPLACE(
D5931,
""([一-龯々]+)\[([^\]]+)\]"",
""&lt;ruby&gt;$1&lt;rt&gt;$2&lt;/rt&gt;&lt;/ruby&gt;""
)&amp;""&lt;br&gt;&lt;div class=""""audio""""&gt;[sound:""&amp;C5931&amp;"".mp3]&lt;/div&gt;"""),"&lt;ruby&gt;消息&lt;rt&gt;しょうそく&lt;/rt&gt;&lt;/ruby&gt;&lt;br&gt;&lt;div class=""audio""&gt;[sound:しょうそく.mp3]&lt;/div&gt;")</f>
        <v>&lt;ruby&gt;消息&lt;rt&gt;しょうそく&lt;/rt&gt;&lt;/ruby&gt;&lt;br&gt;&lt;div class="audio"&gt;[sound:しょうそく.mp3]&lt;/div&gt;</v>
      </c>
      <c r="H5931" s="3" t="str">
        <f t="shared" si="1"/>
        <v>(n): tin tức</v>
      </c>
      <c r="I5931" s="6" t="s">
        <v>32290</v>
      </c>
      <c r="J5931" s="6" t="s">
        <v>32291</v>
      </c>
      <c r="K5931" s="7">
        <f t="shared" si="2"/>
        <v>0.1301832185</v>
      </c>
    </row>
    <row r="5932">
      <c r="A5932" s="4">
        <v>5932.0</v>
      </c>
      <c r="B5932" s="5" t="s">
        <v>32292</v>
      </c>
      <c r="C5932" s="5" t="s">
        <v>32293</v>
      </c>
      <c r="D5932" s="5" t="s">
        <v>32294</v>
      </c>
      <c r="E5932" s="6" t="s">
        <v>74</v>
      </c>
      <c r="F5932" s="6" t="s">
        <v>32295</v>
      </c>
      <c r="G5932" s="3" t="str">
        <f>IFERROR(__xludf.DUMMYFUNCTION("REGEXREPLACE(
D5932,
""([一-龯々]+)\[([^\]]+)\]"",
""&lt;ruby&gt;$1&lt;rt&gt;$2&lt;/rt&gt;&lt;/ruby&gt;""
)&amp;""&lt;br&gt;&lt;div class=""""audio""""&gt;[sound:""&amp;C5932&amp;"".mp3]&lt;/div&gt;"""),"&lt;ruby&gt;火星&lt;rt&gt;かせい&lt;/rt&gt;&lt;/ruby&gt;&lt;br&gt;&lt;div class=""audio""&gt;[sound:かせい.mp3]&lt;/div&gt;")</f>
        <v>&lt;ruby&gt;火星&lt;rt&gt;かせい&lt;/rt&gt;&lt;/ruby&gt;&lt;br&gt;&lt;div class="audio"&gt;[sound:かせい.mp3]&lt;/div&gt;</v>
      </c>
      <c r="H5932" s="3" t="str">
        <f t="shared" si="1"/>
        <v>(n): sao hỏa</v>
      </c>
      <c r="I5932" s="6" t="s">
        <v>32296</v>
      </c>
      <c r="J5932" s="6" t="s">
        <v>32297</v>
      </c>
      <c r="K5932" s="7">
        <f t="shared" si="2"/>
        <v>0.9819788466</v>
      </c>
    </row>
    <row r="5933">
      <c r="A5933" s="4">
        <v>5933.0</v>
      </c>
      <c r="B5933" s="5" t="s">
        <v>32298</v>
      </c>
      <c r="C5933" s="5" t="s">
        <v>32299</v>
      </c>
      <c r="D5933" s="5" t="s">
        <v>32300</v>
      </c>
      <c r="E5933" s="6" t="s">
        <v>74</v>
      </c>
      <c r="F5933" s="6" t="s">
        <v>32301</v>
      </c>
      <c r="G5933" s="3" t="str">
        <f>IFERROR(__xludf.DUMMYFUNCTION("REGEXREPLACE(
D5933,
""([一-龯々]+)\[([^\]]+)\]"",
""&lt;ruby&gt;$1&lt;rt&gt;$2&lt;/rt&gt;&lt;/ruby&gt;""
)&amp;""&lt;br&gt;&lt;div class=""""audio""""&gt;[sound:""&amp;C5933&amp;"".mp3]&lt;/div&gt;"""),"&lt;ruby&gt;産物&lt;rt&gt;さんぶつ&lt;/rt&gt;&lt;/ruby&gt;&lt;br&gt;&lt;div class=""audio""&gt;[sound:さんぶつ.mp3]&lt;/div&gt;")</f>
        <v>&lt;ruby&gt;産物&lt;rt&gt;さんぶつ&lt;/rt&gt;&lt;/ruby&gt;&lt;br&gt;&lt;div class="audio"&gt;[sound:さんぶつ.mp3]&lt;/div&gt;</v>
      </c>
      <c r="H5933" s="3" t="str">
        <f t="shared" si="1"/>
        <v>(n): sản vật</v>
      </c>
      <c r="I5933" s="6" t="s">
        <v>32302</v>
      </c>
      <c r="J5933" s="6" t="s">
        <v>32303</v>
      </c>
      <c r="K5933" s="7">
        <f t="shared" si="2"/>
        <v>0.9842475782</v>
      </c>
    </row>
    <row r="5934">
      <c r="A5934" s="4">
        <v>5934.0</v>
      </c>
      <c r="B5934" s="5" t="s">
        <v>32304</v>
      </c>
      <c r="C5934" s="5" t="s">
        <v>27653</v>
      </c>
      <c r="D5934" s="5" t="s">
        <v>32305</v>
      </c>
      <c r="E5934" s="6" t="s">
        <v>24</v>
      </c>
      <c r="F5934" s="6" t="s">
        <v>32306</v>
      </c>
      <c r="G5934" s="3" t="str">
        <f>IFERROR(__xludf.DUMMYFUNCTION("REGEXREPLACE(
D5934,
""([一-龯々]+)\[([^\]]+)\]"",
""&lt;ruby&gt;$1&lt;rt&gt;$2&lt;/rt&gt;&lt;/ruby&gt;""
)&amp;""&lt;br&gt;&lt;div class=""""audio""""&gt;[sound:""&amp;C5934&amp;"".mp3]&lt;/div&gt;"""),"&lt;ruby&gt;病&lt;rt&gt;や&lt;/rt&gt;&lt;/ruby&gt;む&lt;br&gt;&lt;div class=""audio""&gt;[sound:やむ.mp3]&lt;/div&gt;")</f>
        <v>&lt;ruby&gt;病&lt;rt&gt;や&lt;/rt&gt;&lt;/ruby&gt;む&lt;br&gt;&lt;div class="audio"&gt;[sound:やむ.mp3]&lt;/div&gt;</v>
      </c>
      <c r="H5934" s="3" t="str">
        <f t="shared" si="1"/>
        <v>(v): bị bệnh</v>
      </c>
      <c r="I5934" s="6" t="s">
        <v>32307</v>
      </c>
      <c r="J5934" s="6" t="s">
        <v>32308</v>
      </c>
      <c r="K5934" s="7">
        <f t="shared" si="2"/>
        <v>0.8947345112</v>
      </c>
    </row>
    <row r="5935">
      <c r="A5935" s="4">
        <v>5935.0</v>
      </c>
      <c r="B5935" s="5" t="s">
        <v>32309</v>
      </c>
      <c r="C5935" s="5" t="s">
        <v>24843</v>
      </c>
      <c r="D5935" s="5" t="s">
        <v>32310</v>
      </c>
      <c r="E5935" s="6" t="s">
        <v>74</v>
      </c>
      <c r="F5935" s="6" t="s">
        <v>32311</v>
      </c>
      <c r="G5935" s="3" t="str">
        <f>IFERROR(__xludf.DUMMYFUNCTION("REGEXREPLACE(
D5935,
""([一-龯々]+)\[([^\]]+)\]"",
""&lt;ruby&gt;$1&lt;rt&gt;$2&lt;/rt&gt;&lt;/ruby&gt;""
)&amp;""&lt;br&gt;&lt;div class=""""audio""""&gt;[sound:""&amp;C5935&amp;"".mp3]&lt;/div&gt;"""),"&lt;ruby&gt;自転&lt;rt&gt;じてん&lt;/rt&gt;&lt;/ruby&gt;&lt;br&gt;&lt;div class=""audio""&gt;[sound:じてん.mp3]&lt;/div&gt;")</f>
        <v>&lt;ruby&gt;自転&lt;rt&gt;じてん&lt;/rt&gt;&lt;/ruby&gt;&lt;br&gt;&lt;div class="audio"&gt;[sound:じてん.mp3]&lt;/div&gt;</v>
      </c>
      <c r="H5935" s="3" t="str">
        <f t="shared" si="1"/>
        <v>(n): tự quay</v>
      </c>
      <c r="I5935" s="6" t="s">
        <v>32312</v>
      </c>
      <c r="J5935" s="6" t="s">
        <v>32313</v>
      </c>
      <c r="K5935" s="7">
        <f t="shared" si="2"/>
        <v>0.04243361084</v>
      </c>
    </row>
    <row r="5936">
      <c r="A5936" s="4">
        <v>5936.0</v>
      </c>
      <c r="B5936" s="5" t="s">
        <v>32314</v>
      </c>
      <c r="C5936" s="5" t="s">
        <v>32315</v>
      </c>
      <c r="D5936" s="5" t="s">
        <v>32316</v>
      </c>
      <c r="E5936" s="6" t="s">
        <v>74</v>
      </c>
      <c r="F5936" s="6" t="s">
        <v>20582</v>
      </c>
      <c r="G5936" s="3" t="str">
        <f>IFERROR(__xludf.DUMMYFUNCTION("REGEXREPLACE(
D5936,
""([一-龯々]+)\[([^\]]+)\]"",
""&lt;ruby&gt;$1&lt;rt&gt;$2&lt;/rt&gt;&lt;/ruby&gt;""
)&amp;""&lt;br&gt;&lt;div class=""""audio""""&gt;[sound:""&amp;C5936&amp;"".mp3]&lt;/div&gt;"""),"&lt;ruby&gt;首輪&lt;rt&gt;くびわ&lt;/rt&gt;&lt;/ruby&gt;&lt;br&gt;&lt;div class=""audio""&gt;[sound:くびわ.mp3]&lt;/div&gt;")</f>
        <v>&lt;ruby&gt;首輪&lt;rt&gt;くびわ&lt;/rt&gt;&lt;/ruby&gt;&lt;br&gt;&lt;div class="audio"&gt;[sound:くびわ.mp3]&lt;/div&gt;</v>
      </c>
      <c r="H5936" s="3" t="str">
        <f t="shared" si="1"/>
        <v>(n): vòng cổ</v>
      </c>
      <c r="I5936" s="6" t="s">
        <v>32317</v>
      </c>
      <c r="J5936" s="6" t="s">
        <v>32318</v>
      </c>
      <c r="K5936" s="7">
        <f t="shared" si="2"/>
        <v>0.6745511139</v>
      </c>
    </row>
    <row r="5937">
      <c r="A5937" s="4">
        <v>5937.0</v>
      </c>
      <c r="B5937" s="5" t="s">
        <v>32319</v>
      </c>
      <c r="C5937" s="5" t="s">
        <v>32320</v>
      </c>
      <c r="D5937" s="5" t="s">
        <v>32321</v>
      </c>
      <c r="E5937" s="6" t="s">
        <v>74</v>
      </c>
      <c r="F5937" s="6" t="s">
        <v>32322</v>
      </c>
      <c r="G5937" s="3" t="str">
        <f>IFERROR(__xludf.DUMMYFUNCTION("REGEXREPLACE(
D5937,
""([一-龯々]+)\[([^\]]+)\]"",
""&lt;ruby&gt;$1&lt;rt&gt;$2&lt;/rt&gt;&lt;/ruby&gt;""
)&amp;""&lt;br&gt;&lt;div class=""""audio""""&gt;[sound:""&amp;C5937&amp;"".mp3]&lt;/div&gt;"""),"お&lt;ruby&gt;手上&lt;rt&gt;てあ&lt;/rt&gt;&lt;/ruby&gt;げ&lt;br&gt;&lt;div class=""audio""&gt;[sound:おてあげ.mp3]&lt;/div&gt;")</f>
        <v>お&lt;ruby&gt;手上&lt;rt&gt;てあ&lt;/rt&gt;&lt;/ruby&gt;げ&lt;br&gt;&lt;div class="audio"&gt;[sound:おてあげ.mp3]&lt;/div&gt;</v>
      </c>
      <c r="H5937" s="3" t="str">
        <f t="shared" si="1"/>
        <v>(n): bó tay</v>
      </c>
      <c r="I5937" s="6" t="s">
        <v>32323</v>
      </c>
      <c r="J5937" s="6" t="s">
        <v>32324</v>
      </c>
      <c r="K5937" s="7">
        <f t="shared" si="2"/>
        <v>0.4205087533</v>
      </c>
    </row>
    <row r="5938">
      <c r="A5938" s="4">
        <v>5938.0</v>
      </c>
      <c r="B5938" s="5" t="s">
        <v>32325</v>
      </c>
      <c r="C5938" s="5" t="s">
        <v>32325</v>
      </c>
      <c r="D5938" s="5" t="s">
        <v>32325</v>
      </c>
      <c r="E5938" s="6" t="s">
        <v>85</v>
      </c>
      <c r="F5938" s="6" t="s">
        <v>3957</v>
      </c>
      <c r="G5938" s="3" t="str">
        <f>IFERROR(__xludf.DUMMYFUNCTION("REGEXREPLACE(
D5938,
""([一-龯々]+)\[([^\]]+)\]"",
""&lt;ruby&gt;$1&lt;rt&gt;$2&lt;/rt&gt;&lt;/ruby&gt;""
)&amp;""&lt;br&gt;&lt;div class=""""audio""""&gt;[sound:""&amp;C5938&amp;"".mp3]&lt;/div&gt;"""),"ことごとく&lt;br&gt;&lt;div class=""audio""&gt;[sound:ことごとく.mp3]&lt;/div&gt;")</f>
        <v>ことごとく&lt;br&gt;&lt;div class="audio"&gt;[sound:ことごとく.mp3]&lt;/div&gt;</v>
      </c>
      <c r="H5938" s="3" t="str">
        <f t="shared" si="1"/>
        <v>(adv): tất cả</v>
      </c>
      <c r="I5938" s="6" t="s">
        <v>32326</v>
      </c>
      <c r="J5938" s="6" t="s">
        <v>32327</v>
      </c>
      <c r="K5938" s="7">
        <f t="shared" si="2"/>
        <v>0.7444643728</v>
      </c>
    </row>
    <row r="5939">
      <c r="A5939" s="4">
        <v>5939.0</v>
      </c>
      <c r="B5939" s="5" t="s">
        <v>32328</v>
      </c>
      <c r="C5939" s="5" t="s">
        <v>32328</v>
      </c>
      <c r="D5939" s="5" t="s">
        <v>32328</v>
      </c>
      <c r="E5939" s="6" t="s">
        <v>11</v>
      </c>
      <c r="F5939" s="6" t="s">
        <v>32329</v>
      </c>
      <c r="G5939" s="3" t="str">
        <f>IFERROR(__xludf.DUMMYFUNCTION("REGEXREPLACE(
D5939,
""([一-龯々]+)\[([^\]]+)\]"",
""&lt;ruby&gt;$1&lt;rt&gt;$2&lt;/rt&gt;&lt;/ruby&gt;""
)&amp;""&lt;br&gt;&lt;div class=""""audio""""&gt;[sound:""&amp;C5939&amp;"".mp3]&lt;/div&gt;"""),"はかない&lt;br&gt;&lt;div class=""audio""&gt;[sound:はかない.mp3]&lt;/div&gt;")</f>
        <v>はかない&lt;br&gt;&lt;div class="audio"&gt;[sound:はかない.mp3]&lt;/div&gt;</v>
      </c>
      <c r="H5939" s="3" t="str">
        <f t="shared" si="1"/>
        <v>(adj): phù du</v>
      </c>
      <c r="I5939" s="6" t="s">
        <v>32330</v>
      </c>
      <c r="J5939" s="6" t="s">
        <v>32331</v>
      </c>
      <c r="K5939" s="7">
        <f t="shared" si="2"/>
        <v>0.6984674062</v>
      </c>
    </row>
    <row r="5940">
      <c r="A5940" s="4">
        <v>5940.0</v>
      </c>
      <c r="B5940" s="5" t="s">
        <v>32332</v>
      </c>
      <c r="C5940" s="5" t="s">
        <v>32333</v>
      </c>
      <c r="D5940" s="5" t="s">
        <v>32332</v>
      </c>
      <c r="E5940" s="6" t="s">
        <v>74</v>
      </c>
      <c r="F5940" s="6" t="s">
        <v>18564</v>
      </c>
      <c r="G5940" s="3" t="str">
        <f>IFERROR(__xludf.DUMMYFUNCTION("REGEXREPLACE(
D5940,
""([一-龯々]+)\[([^\]]+)\]"",
""&lt;ruby&gt;$1&lt;rt&gt;$2&lt;/rt&gt;&lt;/ruby&gt;""
)&amp;""&lt;br&gt;&lt;div class=""""audio""""&gt;[sound:""&amp;C5940&amp;"".mp3]&lt;/div&gt;"""),"ブザー&lt;br&gt;&lt;div class=""audio""&gt;[sound:ぶざー.mp3]&lt;/div&gt;")</f>
        <v>ブザー&lt;br&gt;&lt;div class="audio"&gt;[sound:ぶざー.mp3]&lt;/div&gt;</v>
      </c>
      <c r="H5940" s="3" t="str">
        <f t="shared" si="1"/>
        <v>(n): chuông</v>
      </c>
      <c r="I5940" s="6" t="s">
        <v>32334</v>
      </c>
      <c r="J5940" s="6" t="s">
        <v>32335</v>
      </c>
      <c r="K5940" s="7">
        <f t="shared" si="2"/>
        <v>0.3125249359</v>
      </c>
    </row>
    <row r="5941">
      <c r="A5941" s="4">
        <v>5941.0</v>
      </c>
      <c r="B5941" s="5" t="s">
        <v>32336</v>
      </c>
      <c r="C5941" s="5" t="s">
        <v>32337</v>
      </c>
      <c r="D5941" s="5" t="s">
        <v>32338</v>
      </c>
      <c r="E5941" s="6" t="s">
        <v>74</v>
      </c>
      <c r="F5941" s="6" t="s">
        <v>32339</v>
      </c>
      <c r="G5941" s="3" t="str">
        <f>IFERROR(__xludf.DUMMYFUNCTION("REGEXREPLACE(
D5941,
""([一-龯々]+)\[([^\]]+)\]"",
""&lt;ruby&gt;$1&lt;rt&gt;$2&lt;/rt&gt;&lt;/ruby&gt;""
)&amp;""&lt;br&gt;&lt;div class=""""audio""""&gt;[sound:""&amp;C5941&amp;"".mp3]&lt;/div&gt;"""),"&lt;ruby&gt;沸騰&lt;rt&gt;ふっとう&lt;/rt&gt;&lt;/ruby&gt;&lt;br&gt;&lt;div class=""audio""&gt;[sound:ふっとう.mp3]&lt;/div&gt;")</f>
        <v>&lt;ruby&gt;沸騰&lt;rt&gt;ふっとう&lt;/rt&gt;&lt;/ruby&gt;&lt;br&gt;&lt;div class="audio"&gt;[sound:ふっとう.mp3]&lt;/div&gt;</v>
      </c>
      <c r="H5941" s="3" t="str">
        <f t="shared" si="1"/>
        <v>(n): sự sôi</v>
      </c>
      <c r="I5941" s="6" t="s">
        <v>32340</v>
      </c>
      <c r="J5941" s="6" t="s">
        <v>32341</v>
      </c>
      <c r="K5941" s="7">
        <f t="shared" si="2"/>
        <v>0.8078750383</v>
      </c>
    </row>
    <row r="5942">
      <c r="A5942" s="4">
        <v>5942.0</v>
      </c>
      <c r="B5942" s="5" t="s">
        <v>32342</v>
      </c>
      <c r="C5942" s="5" t="s">
        <v>32343</v>
      </c>
      <c r="D5942" s="5" t="s">
        <v>32344</v>
      </c>
      <c r="E5942" s="6" t="s">
        <v>24</v>
      </c>
      <c r="F5942" s="6" t="s">
        <v>17889</v>
      </c>
      <c r="G5942" s="3" t="str">
        <f>IFERROR(__xludf.DUMMYFUNCTION("REGEXREPLACE(
D5942,
""([一-龯々]+)\[([^\]]+)\]"",
""&lt;ruby&gt;$1&lt;rt&gt;$2&lt;/rt&gt;&lt;/ruby&gt;""
)&amp;""&lt;br&gt;&lt;div class=""""audio""""&gt;[sound:""&amp;C5942&amp;"".mp3]&lt;/div&gt;"""),"&lt;ruby&gt;立&lt;rt&gt;た&lt;/rt&gt;&lt;/ruby&gt;ち&lt;ruby&gt;去&lt;rt&gt;さ&lt;/rt&gt;&lt;/ruby&gt;る&lt;br&gt;&lt;div class=""audio""&gt;[sound:たちさる.mp3]&lt;/div&gt;")</f>
        <v>&lt;ruby&gt;立&lt;rt&gt;た&lt;/rt&gt;&lt;/ruby&gt;ち&lt;ruby&gt;去&lt;rt&gt;さ&lt;/rt&gt;&lt;/ruby&gt;る&lt;br&gt;&lt;div class="audio"&gt;[sound:たちさる.mp3]&lt;/div&gt;</v>
      </c>
      <c r="H5942" s="3" t="str">
        <f t="shared" si="1"/>
        <v>(v): rời đi</v>
      </c>
      <c r="I5942" s="6" t="s">
        <v>32345</v>
      </c>
      <c r="J5942" s="6" t="s">
        <v>32346</v>
      </c>
      <c r="K5942" s="7">
        <f t="shared" si="2"/>
        <v>0.3446902275</v>
      </c>
    </row>
    <row r="5943">
      <c r="A5943" s="4">
        <v>5943.0</v>
      </c>
      <c r="B5943" s="5" t="s">
        <v>32347</v>
      </c>
      <c r="C5943" s="5" t="s">
        <v>32348</v>
      </c>
      <c r="D5943" s="5" t="s">
        <v>32349</v>
      </c>
      <c r="E5943" s="6" t="s">
        <v>24</v>
      </c>
      <c r="F5943" s="6" t="s">
        <v>32350</v>
      </c>
      <c r="G5943" s="3" t="str">
        <f>IFERROR(__xludf.DUMMYFUNCTION("REGEXREPLACE(
D5943,
""([一-龯々]+)\[([^\]]+)\]"",
""&lt;ruby&gt;$1&lt;rt&gt;$2&lt;/rt&gt;&lt;/ruby&gt;""
)&amp;""&lt;br&gt;&lt;div class=""""audio""""&gt;[sound:""&amp;C5943&amp;"".mp3]&lt;/div&gt;"""),"&lt;ruby&gt;紛&lt;rt&gt;まぎ&lt;/rt&gt;&lt;/ruby&gt;れる&lt;br&gt;&lt;div class=""audio""&gt;[sound:まぎれる.mp3]&lt;/div&gt;")</f>
        <v>&lt;ruby&gt;紛&lt;rt&gt;まぎ&lt;/rt&gt;&lt;/ruby&gt;れる&lt;br&gt;&lt;div class="audio"&gt;[sound:まぎれる.mp3]&lt;/div&gt;</v>
      </c>
      <c r="H5943" s="3" t="str">
        <f t="shared" si="1"/>
        <v>(v): bị lẫn</v>
      </c>
      <c r="I5943" s="6" t="s">
        <v>32351</v>
      </c>
      <c r="J5943" s="6" t="s">
        <v>32352</v>
      </c>
      <c r="K5943" s="7">
        <f t="shared" si="2"/>
        <v>0.9120313634</v>
      </c>
    </row>
    <row r="5944">
      <c r="A5944" s="4">
        <v>5944.0</v>
      </c>
      <c r="B5944" s="5" t="s">
        <v>32353</v>
      </c>
      <c r="C5944" s="5" t="s">
        <v>32354</v>
      </c>
      <c r="D5944" s="5" t="s">
        <v>32355</v>
      </c>
      <c r="E5944" s="6" t="s">
        <v>74</v>
      </c>
      <c r="F5944" s="6" t="s">
        <v>32356</v>
      </c>
      <c r="G5944" s="3" t="str">
        <f>IFERROR(__xludf.DUMMYFUNCTION("REGEXREPLACE(
D5944,
""([一-龯々]+)\[([^\]]+)\]"",
""&lt;ruby&gt;$1&lt;rt&gt;$2&lt;/rt&gt;&lt;/ruby&gt;""
)&amp;""&lt;br&gt;&lt;div class=""""audio""""&gt;[sound:""&amp;C5944&amp;"".mp3]&lt;/div&gt;"""),"&lt;ruby&gt;裾&lt;rt&gt;すそ&lt;/rt&gt;&lt;/ruby&gt;&lt;br&gt;&lt;div class=""audio""&gt;[sound:すそ.mp3]&lt;/div&gt;")</f>
        <v>&lt;ruby&gt;裾&lt;rt&gt;すそ&lt;/rt&gt;&lt;/ruby&gt;&lt;br&gt;&lt;div class="audio"&gt;[sound:すそ.mp3]&lt;/div&gt;</v>
      </c>
      <c r="H5944" s="3" t="str">
        <f t="shared" si="1"/>
        <v>(n): gấu áo</v>
      </c>
      <c r="I5944" s="6" t="s">
        <v>32357</v>
      </c>
      <c r="J5944" s="6" t="s">
        <v>32358</v>
      </c>
      <c r="K5944" s="7">
        <f t="shared" si="2"/>
        <v>0.1198064896</v>
      </c>
    </row>
    <row r="5945">
      <c r="A5945" s="4">
        <v>5945.0</v>
      </c>
      <c r="B5945" s="5" t="s">
        <v>32359</v>
      </c>
      <c r="C5945" s="5" t="s">
        <v>32360</v>
      </c>
      <c r="D5945" s="5" t="s">
        <v>32361</v>
      </c>
      <c r="E5945" s="6" t="s">
        <v>74</v>
      </c>
      <c r="F5945" s="6" t="s">
        <v>32362</v>
      </c>
      <c r="G5945" s="3" t="str">
        <f>IFERROR(__xludf.DUMMYFUNCTION("REGEXREPLACE(
D5945,
""([一-龯々]+)\[([^\]]+)\]"",
""&lt;ruby&gt;$1&lt;rt&gt;$2&lt;/rt&gt;&lt;/ruby&gt;""
)&amp;""&lt;br&gt;&lt;div class=""""audio""""&gt;[sound:""&amp;C5945&amp;"".mp3]&lt;/div&gt;"""),"&lt;ruby&gt;身振&lt;rt&gt;みぶ&lt;/rt&gt;&lt;/ruby&gt;り&lt;br&gt;&lt;div class=""audio""&gt;[sound:みぶり.mp3]&lt;/div&gt;")</f>
        <v>&lt;ruby&gt;身振&lt;rt&gt;みぶ&lt;/rt&gt;&lt;/ruby&gt;り&lt;br&gt;&lt;div class="audio"&gt;[sound:みぶり.mp3]&lt;/div&gt;</v>
      </c>
      <c r="H5945" s="3" t="str">
        <f t="shared" si="1"/>
        <v>(n): cử chỉ</v>
      </c>
      <c r="I5945" s="6" t="s">
        <v>32363</v>
      </c>
      <c r="J5945" s="6" t="s">
        <v>32364</v>
      </c>
      <c r="K5945" s="7">
        <f t="shared" si="2"/>
        <v>0.02466819123</v>
      </c>
    </row>
    <row r="5946">
      <c r="A5946" s="4">
        <v>5946.0</v>
      </c>
      <c r="B5946" s="5" t="s">
        <v>32365</v>
      </c>
      <c r="C5946" s="5" t="s">
        <v>32365</v>
      </c>
      <c r="D5946" s="5" t="s">
        <v>32365</v>
      </c>
      <c r="E5946" s="6" t="s">
        <v>11</v>
      </c>
      <c r="F5946" s="6" t="s">
        <v>21564</v>
      </c>
      <c r="G5946" s="3" t="str">
        <f>IFERROR(__xludf.DUMMYFUNCTION("REGEXREPLACE(
D5946,
""([一-龯々]+)\[([^\]]+)\]"",
""&lt;ruby&gt;$1&lt;rt&gt;$2&lt;/rt&gt;&lt;/ruby&gt;""
)&amp;""&lt;br&gt;&lt;div class=""""audio""""&gt;[sound:""&amp;C5946&amp;"".mp3]&lt;/div&gt;"""),"おろそか&lt;br&gt;&lt;div class=""audio""&gt;[sound:おろそか.mp3]&lt;/div&gt;")</f>
        <v>おろそか&lt;br&gt;&lt;div class="audio"&gt;[sound:おろそか.mp3]&lt;/div&gt;</v>
      </c>
      <c r="H5946" s="3" t="str">
        <f t="shared" si="1"/>
        <v>(adj): lơ là</v>
      </c>
      <c r="I5946" s="6" t="s">
        <v>32366</v>
      </c>
      <c r="J5946" s="6" t="s">
        <v>32367</v>
      </c>
      <c r="K5946" s="7">
        <f t="shared" si="2"/>
        <v>0.1981675849</v>
      </c>
    </row>
    <row r="5947">
      <c r="A5947" s="4">
        <v>5947.0</v>
      </c>
      <c r="B5947" s="5" t="s">
        <v>32368</v>
      </c>
      <c r="C5947" s="5" t="s">
        <v>32369</v>
      </c>
      <c r="D5947" s="5" t="s">
        <v>32368</v>
      </c>
      <c r="E5947" s="6" t="s">
        <v>74</v>
      </c>
      <c r="F5947" s="6" t="s">
        <v>8199</v>
      </c>
      <c r="G5947" s="3" t="str">
        <f>IFERROR(__xludf.DUMMYFUNCTION("REGEXREPLACE(
D5947,
""([一-龯々]+)\[([^\]]+)\]"",
""&lt;ruby&gt;$1&lt;rt&gt;$2&lt;/rt&gt;&lt;/ruby&gt;""
)&amp;""&lt;br&gt;&lt;div class=""""audio""""&gt;[sound:""&amp;C5947&amp;"".mp3]&lt;/div&gt;"""),"ナンセンス&lt;br&gt;&lt;div class=""audio""&gt;[sound:なんせんす.mp3]&lt;/div&gt;")</f>
        <v>ナンセンス&lt;br&gt;&lt;div class="audio"&gt;[sound:なんせんす.mp3]&lt;/div&gt;</v>
      </c>
      <c r="H5947" s="3" t="str">
        <f t="shared" si="1"/>
        <v>(n): vô lý</v>
      </c>
      <c r="I5947" s="6" t="s">
        <v>32370</v>
      </c>
      <c r="J5947" s="6" t="s">
        <v>32371</v>
      </c>
      <c r="K5947" s="7">
        <f t="shared" si="2"/>
        <v>0.779878248</v>
      </c>
    </row>
    <row r="5948">
      <c r="A5948" s="4">
        <v>5948.0</v>
      </c>
      <c r="B5948" s="5" t="s">
        <v>32372</v>
      </c>
      <c r="C5948" s="5" t="s">
        <v>32372</v>
      </c>
      <c r="D5948" s="5" t="s">
        <v>32372</v>
      </c>
      <c r="E5948" s="6" t="s">
        <v>24</v>
      </c>
      <c r="F5948" s="6" t="s">
        <v>32373</v>
      </c>
      <c r="G5948" s="3" t="str">
        <f>IFERROR(__xludf.DUMMYFUNCTION("REGEXREPLACE(
D5948,
""([一-龯々]+)\[([^\]]+)\]"",
""&lt;ruby&gt;$1&lt;rt&gt;$2&lt;/rt&gt;&lt;/ruby&gt;""
)&amp;""&lt;br&gt;&lt;div class=""""audio""""&gt;[sound:""&amp;C5948&amp;"".mp3]&lt;/div&gt;"""),"ぼやける&lt;br&gt;&lt;div class=""audio""&gt;[sound:ぼやける.mp3]&lt;/div&gt;")</f>
        <v>ぼやける&lt;br&gt;&lt;div class="audio"&gt;[sound:ぼやける.mp3]&lt;/div&gt;</v>
      </c>
      <c r="H5948" s="3" t="str">
        <f t="shared" si="1"/>
        <v>(v): mờ đi</v>
      </c>
      <c r="I5948" s="6" t="s">
        <v>32374</v>
      </c>
      <c r="J5948" s="6" t="s">
        <v>32375</v>
      </c>
      <c r="K5948" s="7">
        <f t="shared" si="2"/>
        <v>0.138818964</v>
      </c>
    </row>
    <row r="5949">
      <c r="A5949" s="4">
        <v>5949.0</v>
      </c>
      <c r="B5949" s="5" t="s">
        <v>32376</v>
      </c>
      <c r="C5949" s="5" t="s">
        <v>32376</v>
      </c>
      <c r="D5949" s="5" t="s">
        <v>32376</v>
      </c>
      <c r="E5949" s="6" t="s">
        <v>11</v>
      </c>
      <c r="F5949" s="6" t="s">
        <v>10836</v>
      </c>
      <c r="G5949" s="3" t="str">
        <f>IFERROR(__xludf.DUMMYFUNCTION("REGEXREPLACE(
D5949,
""([一-龯々]+)\[([^\]]+)\]"",
""&lt;ruby&gt;$1&lt;rt&gt;$2&lt;/rt&gt;&lt;/ruby&gt;""
)&amp;""&lt;br&gt;&lt;div class=""""audio""""&gt;[sound:""&amp;C5949&amp;"".mp3]&lt;/div&gt;"""),"ろくな&lt;br&gt;&lt;div class=""audio""&gt;[sound:ろくな.mp3]&lt;/div&gt;")</f>
        <v>ろくな&lt;br&gt;&lt;div class="audio"&gt;[sound:ろくな.mp3]&lt;/div&gt;</v>
      </c>
      <c r="H5949" s="3" t="str">
        <f t="shared" si="1"/>
        <v>(adj): tử tế</v>
      </c>
      <c r="I5949" s="6" t="s">
        <v>32377</v>
      </c>
      <c r="J5949" s="6" t="s">
        <v>32378</v>
      </c>
      <c r="K5949" s="7">
        <f t="shared" si="2"/>
        <v>0.07632285958</v>
      </c>
    </row>
    <row r="5950">
      <c r="A5950" s="4">
        <v>5950.0</v>
      </c>
      <c r="B5950" s="5" t="s">
        <v>32379</v>
      </c>
      <c r="C5950" s="5" t="s">
        <v>32380</v>
      </c>
      <c r="D5950" s="5" t="s">
        <v>32381</v>
      </c>
      <c r="E5950" s="6" t="s">
        <v>90</v>
      </c>
      <c r="F5950" s="6" t="s">
        <v>2299</v>
      </c>
      <c r="G5950" s="3" t="str">
        <f>IFERROR(__xludf.DUMMYFUNCTION("REGEXREPLACE(
D5950,
""([一-龯々]+)\[([^\]]+)\]"",
""&lt;ruby&gt;$1&lt;rt&gt;$2&lt;/rt&gt;&lt;/ruby&gt;""
)&amp;""&lt;br&gt;&lt;div class=""""audio""""&gt;[sound:""&amp;C5950&amp;"".mp3]&lt;/div&gt;"""),"&lt;ruby&gt;乃至&lt;rt&gt;ないし&lt;/rt&gt;&lt;/ruby&gt;&lt;br&gt;&lt;div class=""audio""&gt;[sound:ないし.mp3]&lt;/div&gt;")</f>
        <v>&lt;ruby&gt;乃至&lt;rt&gt;ないし&lt;/rt&gt;&lt;/ruby&gt;&lt;br&gt;&lt;div class="audio"&gt;[sound:ないし.mp3]&lt;/div&gt;</v>
      </c>
      <c r="H5950" s="3" t="str">
        <f t="shared" si="1"/>
        <v>(conj): hoặc</v>
      </c>
      <c r="I5950" s="6" t="s">
        <v>32382</v>
      </c>
      <c r="J5950" s="6" t="s">
        <v>32383</v>
      </c>
      <c r="K5950" s="7">
        <f t="shared" si="2"/>
        <v>0.389721927</v>
      </c>
    </row>
    <row r="5951">
      <c r="A5951" s="4">
        <v>5951.0</v>
      </c>
      <c r="B5951" s="5" t="s">
        <v>32384</v>
      </c>
      <c r="C5951" s="5" t="s">
        <v>32385</v>
      </c>
      <c r="D5951" s="5" t="s">
        <v>32386</v>
      </c>
      <c r="E5951" s="6" t="s">
        <v>24</v>
      </c>
      <c r="F5951" s="6" t="s">
        <v>32387</v>
      </c>
      <c r="G5951" s="3" t="str">
        <f>IFERROR(__xludf.DUMMYFUNCTION("REGEXREPLACE(
D5951,
""([一-龯々]+)\[([^\]]+)\]"",
""&lt;ruby&gt;$1&lt;rt&gt;$2&lt;/rt&gt;&lt;/ruby&gt;""
)&amp;""&lt;br&gt;&lt;div class=""""audio""""&gt;[sound:""&amp;C5951&amp;"".mp3]&lt;/div&gt;"""),"&lt;ruby&gt;籠&lt;rt&gt;こ&lt;/rt&gt;&lt;/ruby&gt;もる&lt;br&gt;&lt;div class=""audio""&gt;[sound:こもる.mp3]&lt;/div&gt;")</f>
        <v>&lt;ruby&gt;籠&lt;rt&gt;こ&lt;/rt&gt;&lt;/ruby&gt;もる&lt;br&gt;&lt;div class="audio"&gt;[sound:こもる.mp3]&lt;/div&gt;</v>
      </c>
      <c r="H5951" s="3" t="str">
        <f t="shared" si="1"/>
        <v>(v): ở ẩn</v>
      </c>
      <c r="I5951" s="6" t="s">
        <v>32388</v>
      </c>
      <c r="J5951" s="6" t="s">
        <v>32389</v>
      </c>
      <c r="K5951" s="7">
        <f t="shared" si="2"/>
        <v>0.363311845</v>
      </c>
    </row>
    <row r="5952">
      <c r="A5952" s="4">
        <v>5952.0</v>
      </c>
      <c r="B5952" s="5" t="s">
        <v>32390</v>
      </c>
      <c r="C5952" s="5" t="s">
        <v>13794</v>
      </c>
      <c r="D5952" s="5" t="s">
        <v>32391</v>
      </c>
      <c r="E5952" s="6" t="s">
        <v>24</v>
      </c>
      <c r="F5952" s="6" t="s">
        <v>32392</v>
      </c>
      <c r="G5952" s="3" t="str">
        <f>IFERROR(__xludf.DUMMYFUNCTION("REGEXREPLACE(
D5952,
""([一-龯々]+)\[([^\]]+)\]"",
""&lt;ruby&gt;$1&lt;rt&gt;$2&lt;/rt&gt;&lt;/ruby&gt;""
)&amp;""&lt;br&gt;&lt;div class=""""audio""""&gt;[sound:""&amp;C5952&amp;"".mp3]&lt;/div&gt;"""),"&lt;ruby&gt;腫&lt;rt&gt;は&lt;/rt&gt;&lt;/ruby&gt;れる&lt;br&gt;&lt;div class=""audio""&gt;[sound:はれる.mp3]&lt;/div&gt;")</f>
        <v>&lt;ruby&gt;腫&lt;rt&gt;は&lt;/rt&gt;&lt;/ruby&gt;れる&lt;br&gt;&lt;div class="audio"&gt;[sound:はれる.mp3]&lt;/div&gt;</v>
      </c>
      <c r="H5952" s="3" t="str">
        <f t="shared" si="1"/>
        <v>(v): sưng</v>
      </c>
      <c r="I5952" s="6" t="s">
        <v>32393</v>
      </c>
      <c r="J5952" s="6" t="s">
        <v>32394</v>
      </c>
      <c r="K5952" s="7">
        <f t="shared" si="2"/>
        <v>0.4852402397</v>
      </c>
    </row>
    <row r="5953">
      <c r="A5953" s="4">
        <v>5953.0</v>
      </c>
      <c r="B5953" s="5" t="s">
        <v>32395</v>
      </c>
      <c r="C5953" s="5" t="s">
        <v>12735</v>
      </c>
      <c r="D5953" s="5" t="s">
        <v>32396</v>
      </c>
      <c r="E5953" s="6" t="s">
        <v>74</v>
      </c>
      <c r="F5953" s="6" t="s">
        <v>32397</v>
      </c>
      <c r="G5953" s="3" t="str">
        <f>IFERROR(__xludf.DUMMYFUNCTION("REGEXREPLACE(
D5953,
""([一-龯々]+)\[([^\]]+)\]"",
""&lt;ruby&gt;$1&lt;rt&gt;$2&lt;/rt&gt;&lt;/ruby&gt;""
)&amp;""&lt;br&gt;&lt;div class=""""audio""""&gt;[sound:""&amp;C5953&amp;"".mp3]&lt;/div&gt;"""),"&lt;ruby&gt;蝶&lt;rt&gt;ちょう&lt;/rt&gt;&lt;/ruby&gt;&lt;br&gt;&lt;div class=""audio""&gt;[sound:ちょう.mp3]&lt;/div&gt;")</f>
        <v>&lt;ruby&gt;蝶&lt;rt&gt;ちょう&lt;/rt&gt;&lt;/ruby&gt;&lt;br&gt;&lt;div class="audio"&gt;[sound:ちょう.mp3]&lt;/div&gt;</v>
      </c>
      <c r="H5953" s="3" t="str">
        <f t="shared" si="1"/>
        <v>(n): bướm</v>
      </c>
      <c r="I5953" s="6" t="s">
        <v>32398</v>
      </c>
      <c r="J5953" s="6" t="s">
        <v>32399</v>
      </c>
      <c r="K5953" s="7">
        <f t="shared" si="2"/>
        <v>0.4090292207</v>
      </c>
    </row>
    <row r="5954">
      <c r="A5954" s="4">
        <v>5954.0</v>
      </c>
      <c r="B5954" s="5" t="s">
        <v>32400</v>
      </c>
      <c r="C5954" s="5" t="s">
        <v>32400</v>
      </c>
      <c r="D5954" s="5" t="s">
        <v>32400</v>
      </c>
      <c r="E5954" s="6" t="s">
        <v>74</v>
      </c>
      <c r="F5954" s="6" t="s">
        <v>8631</v>
      </c>
      <c r="G5954" s="3" t="str">
        <f>IFERROR(__xludf.DUMMYFUNCTION("REGEXREPLACE(
D5954,
""([一-龯々]+)\[([^\]]+)\]"",
""&lt;ruby&gt;$1&lt;rt&gt;$2&lt;/rt&gt;&lt;/ruby&gt;""
)&amp;""&lt;br&gt;&lt;div class=""""audio""""&gt;[sound:""&amp;C5954&amp;"".mp3]&lt;/div&gt;"""),"ほとり&lt;br&gt;&lt;div class=""audio""&gt;[sound:ほとり.mp3]&lt;/div&gt;")</f>
        <v>ほとり&lt;br&gt;&lt;div class="audio"&gt;[sound:ほとり.mp3]&lt;/div&gt;</v>
      </c>
      <c r="H5954" s="3" t="str">
        <f t="shared" si="1"/>
        <v>(n): bờ</v>
      </c>
      <c r="I5954" s="6" t="s">
        <v>32401</v>
      </c>
      <c r="J5954" s="6" t="s">
        <v>8633</v>
      </c>
      <c r="K5954" s="7">
        <f t="shared" si="2"/>
        <v>0.3814131812</v>
      </c>
    </row>
    <row r="5955">
      <c r="A5955" s="4">
        <v>5955.0</v>
      </c>
      <c r="B5955" s="5" t="s">
        <v>32402</v>
      </c>
      <c r="C5955" s="5" t="s">
        <v>32403</v>
      </c>
      <c r="D5955" s="5" t="s">
        <v>32404</v>
      </c>
      <c r="E5955" s="6" t="s">
        <v>24</v>
      </c>
      <c r="F5955" s="6" t="s">
        <v>32405</v>
      </c>
      <c r="G5955" s="3" t="str">
        <f>IFERROR(__xludf.DUMMYFUNCTION("REGEXREPLACE(
D5955,
""([一-龯々]+)\[([^\]]+)\]"",
""&lt;ruby&gt;$1&lt;rt&gt;$2&lt;/rt&gt;&lt;/ruby&gt;""
)&amp;""&lt;br&gt;&lt;div class=""""audio""""&gt;[sound:""&amp;C5955&amp;"".mp3]&lt;/div&gt;"""),"&lt;ruby&gt;差&lt;rt&gt;さ&lt;/rt&gt;&lt;/ruby&gt;し&lt;ruby&gt;支&lt;rt&gt;つか&lt;/rt&gt;&lt;/ruby&gt;える&lt;br&gt;&lt;div class=""audio""&gt;[sound:さしつかえる.mp3]&lt;/div&gt;")</f>
        <v>&lt;ruby&gt;差&lt;rt&gt;さ&lt;/rt&gt;&lt;/ruby&gt;し&lt;ruby&gt;支&lt;rt&gt;つか&lt;/rt&gt;&lt;/ruby&gt;える&lt;br&gt;&lt;div class="audio"&gt;[sound:さしつかえる.mp3]&lt;/div&gt;</v>
      </c>
      <c r="H5955" s="3" t="str">
        <f t="shared" si="1"/>
        <v>(v): gây trở ngại</v>
      </c>
      <c r="I5955" s="6" t="s">
        <v>32406</v>
      </c>
      <c r="J5955" s="6" t="s">
        <v>32407</v>
      </c>
      <c r="K5955" s="7">
        <f t="shared" si="2"/>
        <v>0.2390679519</v>
      </c>
    </row>
    <row r="5956">
      <c r="A5956" s="4">
        <v>5956.0</v>
      </c>
      <c r="B5956" s="5" t="s">
        <v>32408</v>
      </c>
      <c r="C5956" s="5" t="s">
        <v>32409</v>
      </c>
      <c r="D5956" s="5" t="s">
        <v>32410</v>
      </c>
      <c r="E5956" s="6" t="s">
        <v>11</v>
      </c>
      <c r="F5956" s="6" t="s">
        <v>23875</v>
      </c>
      <c r="G5956" s="3" t="str">
        <f>IFERROR(__xludf.DUMMYFUNCTION("REGEXREPLACE(
D5956,
""([一-龯々]+)\[([^\]]+)\]"",
""&lt;ruby&gt;$1&lt;rt&gt;$2&lt;/rt&gt;&lt;/ruby&gt;""
)&amp;""&lt;br&gt;&lt;div class=""""audio""""&gt;[sound:""&amp;C5956&amp;"".mp3]&lt;/div&gt;"""),"&lt;ruby&gt;平&lt;rt&gt;ひら&lt;/rt&gt;&lt;/ruby&gt;たい&lt;br&gt;&lt;div class=""audio""&gt;[sound:ひらたい.mp3]&lt;/div&gt;")</f>
        <v>&lt;ruby&gt;平&lt;rt&gt;ひら&lt;/rt&gt;&lt;/ruby&gt;たい&lt;br&gt;&lt;div class="audio"&gt;[sound:ひらたい.mp3]&lt;/div&gt;</v>
      </c>
      <c r="H5956" s="3" t="str">
        <f t="shared" si="1"/>
        <v>(adj): bằng phẳng</v>
      </c>
      <c r="I5956" s="6" t="s">
        <v>32411</v>
      </c>
      <c r="J5956" s="6" t="s">
        <v>32412</v>
      </c>
      <c r="K5956" s="7">
        <f t="shared" si="2"/>
        <v>0.383522573</v>
      </c>
    </row>
    <row r="5957">
      <c r="A5957" s="4">
        <v>5957.0</v>
      </c>
      <c r="B5957" s="5" t="s">
        <v>32413</v>
      </c>
      <c r="C5957" s="5" t="s">
        <v>32414</v>
      </c>
      <c r="D5957" s="5" t="s">
        <v>32415</v>
      </c>
      <c r="E5957" s="6" t="s">
        <v>74</v>
      </c>
      <c r="F5957" s="6" t="s">
        <v>32416</v>
      </c>
      <c r="G5957" s="3" t="str">
        <f>IFERROR(__xludf.DUMMYFUNCTION("REGEXREPLACE(
D5957,
""([一-龯々]+)\[([^\]]+)\]"",
""&lt;ruby&gt;$1&lt;rt&gt;$2&lt;/rt&gt;&lt;/ruby&gt;""
)&amp;""&lt;br&gt;&lt;div class=""""audio""""&gt;[sound:""&amp;C5957&amp;"".mp3]&lt;/div&gt;"""),"&lt;ruby&gt;弁解&lt;rt&gt;べんかい&lt;/rt&gt;&lt;/ruby&gt;&lt;br&gt;&lt;div class=""audio""&gt;[sound:べんかい.mp3]&lt;/div&gt;")</f>
        <v>&lt;ruby&gt;弁解&lt;rt&gt;べんかい&lt;/rt&gt;&lt;/ruby&gt;&lt;br&gt;&lt;div class="audio"&gt;[sound:べんかい.mp3]&lt;/div&gt;</v>
      </c>
      <c r="H5957" s="3" t="str">
        <f t="shared" si="1"/>
        <v>(n): biện minh</v>
      </c>
      <c r="I5957" s="6" t="s">
        <v>32417</v>
      </c>
      <c r="J5957" s="6" t="s">
        <v>32418</v>
      </c>
      <c r="K5957" s="7">
        <f t="shared" si="2"/>
        <v>0.006728547402</v>
      </c>
    </row>
    <row r="5958">
      <c r="A5958" s="4">
        <v>5958.0</v>
      </c>
      <c r="B5958" s="5" t="s">
        <v>32419</v>
      </c>
      <c r="C5958" s="5" t="s">
        <v>32420</v>
      </c>
      <c r="D5958" s="5" t="s">
        <v>32421</v>
      </c>
      <c r="E5958" s="6" t="s">
        <v>74</v>
      </c>
      <c r="F5958" s="6" t="s">
        <v>32422</v>
      </c>
      <c r="G5958" s="3" t="str">
        <f>IFERROR(__xludf.DUMMYFUNCTION("REGEXREPLACE(
D5958,
""([一-龯々]+)\[([^\]]+)\]"",
""&lt;ruby&gt;$1&lt;rt&gt;$2&lt;/rt&gt;&lt;/ruby&gt;""
)&amp;""&lt;br&gt;&lt;div class=""""audio""""&gt;[sound:""&amp;C5958&amp;"".mp3]&lt;/div&gt;"""),"&lt;ruby&gt;日焼&lt;rt&gt;ひや&lt;/rt&gt;&lt;/ruby&gt;け&lt;br&gt;&lt;div class=""audio""&gt;[sound:ひやけ.mp3]&lt;/div&gt;")</f>
        <v>&lt;ruby&gt;日焼&lt;rt&gt;ひや&lt;/rt&gt;&lt;/ruby&gt;け&lt;br&gt;&lt;div class="audio"&gt;[sound:ひやけ.mp3]&lt;/div&gt;</v>
      </c>
      <c r="H5958" s="3" t="str">
        <f t="shared" si="1"/>
        <v>(n): cháy nắng</v>
      </c>
      <c r="I5958" s="6" t="s">
        <v>32423</v>
      </c>
      <c r="J5958" s="6" t="s">
        <v>32424</v>
      </c>
      <c r="K5958" s="7">
        <f t="shared" si="2"/>
        <v>0.4430505456</v>
      </c>
    </row>
    <row r="5959">
      <c r="A5959" s="4">
        <v>5959.0</v>
      </c>
      <c r="B5959" s="5" t="s">
        <v>32425</v>
      </c>
      <c r="C5959" s="5" t="s">
        <v>32426</v>
      </c>
      <c r="D5959" s="5" t="s">
        <v>32427</v>
      </c>
      <c r="E5959" s="6" t="s">
        <v>74</v>
      </c>
      <c r="F5959" s="6" t="s">
        <v>32428</v>
      </c>
      <c r="G5959" s="3" t="str">
        <f>IFERROR(__xludf.DUMMYFUNCTION("REGEXREPLACE(
D5959,
""([一-龯々]+)\[([^\]]+)\]"",
""&lt;ruby&gt;$1&lt;rt&gt;$2&lt;/rt&gt;&lt;/ruby&gt;""
)&amp;""&lt;br&gt;&lt;div class=""""audio""""&gt;[sound:""&amp;C5959&amp;"".mp3]&lt;/div&gt;"""),"&lt;ruby&gt;怪獣&lt;rt&gt;かいじゅう&lt;/rt&gt;&lt;/ruby&gt;&lt;br&gt;&lt;div class=""audio""&gt;[sound:かいじゅう.mp3]&lt;/div&gt;")</f>
        <v>&lt;ruby&gt;怪獣&lt;rt&gt;かいじゅう&lt;/rt&gt;&lt;/ruby&gt;&lt;br&gt;&lt;div class="audio"&gt;[sound:かいじゅう.mp3]&lt;/div&gt;</v>
      </c>
      <c r="H5959" s="3" t="str">
        <f t="shared" si="1"/>
        <v>(n): quái thú</v>
      </c>
      <c r="I5959" s="6" t="s">
        <v>32429</v>
      </c>
      <c r="J5959" s="6" t="s">
        <v>32430</v>
      </c>
      <c r="K5959" s="7">
        <f t="shared" si="2"/>
        <v>0.2585513402</v>
      </c>
    </row>
    <row r="5960">
      <c r="A5960" s="4">
        <v>5960.0</v>
      </c>
      <c r="B5960" s="5" t="s">
        <v>32431</v>
      </c>
      <c r="C5960" s="5" t="s">
        <v>32432</v>
      </c>
      <c r="D5960" s="5" t="s">
        <v>32433</v>
      </c>
      <c r="E5960" s="6" t="s">
        <v>74</v>
      </c>
      <c r="F5960" s="6" t="s">
        <v>32434</v>
      </c>
      <c r="G5960" s="3" t="str">
        <f>IFERROR(__xludf.DUMMYFUNCTION("REGEXREPLACE(
D5960,
""([一-龯々]+)\[([^\]]+)\]"",
""&lt;ruby&gt;$1&lt;rt&gt;$2&lt;/rt&gt;&lt;/ruby&gt;""
)&amp;""&lt;br&gt;&lt;div class=""""audio""""&gt;[sound:""&amp;C5960&amp;"".mp3]&lt;/div&gt;"""),"&lt;ruby&gt;手際&lt;rt&gt;てぎわ&lt;/rt&gt;&lt;/ruby&gt;&lt;br&gt;&lt;div class=""audio""&gt;[sound:てぎわ.mp3]&lt;/div&gt;")</f>
        <v>&lt;ruby&gt;手際&lt;rt&gt;てぎわ&lt;/rt&gt;&lt;/ruby&gt;&lt;br&gt;&lt;div class="audio"&gt;[sound:てぎわ.mp3]&lt;/div&gt;</v>
      </c>
      <c r="H5960" s="3" t="str">
        <f t="shared" si="1"/>
        <v>(n): khéo tay</v>
      </c>
      <c r="I5960" s="6" t="s">
        <v>32435</v>
      </c>
      <c r="J5960" s="6" t="s">
        <v>32436</v>
      </c>
      <c r="K5960" s="7">
        <f t="shared" si="2"/>
        <v>0.4708951333</v>
      </c>
    </row>
    <row r="5961">
      <c r="A5961" s="4">
        <v>5961.0</v>
      </c>
      <c r="B5961" s="5" t="s">
        <v>32437</v>
      </c>
      <c r="C5961" s="5" t="s">
        <v>32438</v>
      </c>
      <c r="D5961" s="5" t="s">
        <v>32439</v>
      </c>
      <c r="E5961" s="6" t="s">
        <v>74</v>
      </c>
      <c r="F5961" s="6" t="s">
        <v>32440</v>
      </c>
      <c r="G5961" s="3" t="str">
        <f>IFERROR(__xludf.DUMMYFUNCTION("REGEXREPLACE(
D5961,
""([一-龯々]+)\[([^\]]+)\]"",
""&lt;ruby&gt;$1&lt;rt&gt;$2&lt;/rt&gt;&lt;/ruby&gt;""
)&amp;""&lt;br&gt;&lt;div class=""""audio""""&gt;[sound:""&amp;C5961&amp;"".mp3]&lt;/div&gt;"""),"&lt;ruby&gt;日向&lt;rt&gt;ひなた&lt;/rt&gt;&lt;/ruby&gt;&lt;br&gt;&lt;div class=""audio""&gt;[sound:ひなた.mp3]&lt;/div&gt;")</f>
        <v>&lt;ruby&gt;日向&lt;rt&gt;ひなた&lt;/rt&gt;&lt;/ruby&gt;&lt;br&gt;&lt;div class="audio"&gt;[sound:ひなた.mp3]&lt;/div&gt;</v>
      </c>
      <c r="H5961" s="3" t="str">
        <f t="shared" si="1"/>
        <v>(n): nơi nắng</v>
      </c>
      <c r="I5961" s="6" t="s">
        <v>32441</v>
      </c>
      <c r="J5961" s="6" t="s">
        <v>32442</v>
      </c>
      <c r="K5961" s="7">
        <f t="shared" si="2"/>
        <v>0.9957352193</v>
      </c>
    </row>
    <row r="5962">
      <c r="A5962" s="4">
        <v>5962.0</v>
      </c>
      <c r="B5962" s="5" t="s">
        <v>32443</v>
      </c>
      <c r="C5962" s="5" t="s">
        <v>32444</v>
      </c>
      <c r="D5962" s="5" t="s">
        <v>32445</v>
      </c>
      <c r="E5962" s="6" t="s">
        <v>11</v>
      </c>
      <c r="F5962" s="6" t="s">
        <v>32446</v>
      </c>
      <c r="G5962" s="3" t="str">
        <f>IFERROR(__xludf.DUMMYFUNCTION("REGEXREPLACE(
D5962,
""([一-龯々]+)\[([^\]]+)\]"",
""&lt;ruby&gt;$1&lt;rt&gt;$2&lt;/rt&gt;&lt;/ruby&gt;""
)&amp;""&lt;br&gt;&lt;div class=""""audio""""&gt;[sound:""&amp;C5962&amp;"".mp3]&lt;/div&gt;"""),"&lt;ruby&gt;微&lt;rt&gt;かす&lt;/rt&gt;&lt;/ruby&gt;か&lt;br&gt;&lt;div class=""audio""&gt;[sound:かすか.mp3]&lt;/div&gt;")</f>
        <v>&lt;ruby&gt;微&lt;rt&gt;かす&lt;/rt&gt;&lt;/ruby&gt;か&lt;br&gt;&lt;div class="audio"&gt;[sound:かすか.mp3]&lt;/div&gt;</v>
      </c>
      <c r="H5962" s="3" t="str">
        <f t="shared" si="1"/>
        <v>(adj): mờ nhạt</v>
      </c>
      <c r="I5962" s="6" t="s">
        <v>32447</v>
      </c>
      <c r="J5962" s="6" t="s">
        <v>32448</v>
      </c>
      <c r="K5962" s="7">
        <f t="shared" si="2"/>
        <v>0.9074188857</v>
      </c>
    </row>
    <row r="5963">
      <c r="A5963" s="4">
        <v>5963.0</v>
      </c>
      <c r="B5963" s="5" t="s">
        <v>32449</v>
      </c>
      <c r="C5963" s="5" t="s">
        <v>32450</v>
      </c>
      <c r="D5963" s="5" t="s">
        <v>32451</v>
      </c>
      <c r="E5963" s="6" t="s">
        <v>74</v>
      </c>
      <c r="F5963" s="6" t="s">
        <v>32452</v>
      </c>
      <c r="G5963" s="3" t="str">
        <f>IFERROR(__xludf.DUMMYFUNCTION("REGEXREPLACE(
D5963,
""([一-龯々]+)\[([^\]]+)\]"",
""&lt;ruby&gt;$1&lt;rt&gt;$2&lt;/rt&gt;&lt;/ruby&gt;""
)&amp;""&lt;br&gt;&lt;div class=""""audio""""&gt;[sound:""&amp;C5963&amp;"".mp3]&lt;/div&gt;"""),"&lt;ruby&gt;捕虜&lt;rt&gt;ほりょ&lt;/rt&gt;&lt;/ruby&gt;&lt;br&gt;&lt;div class=""audio""&gt;[sound:ほりょ.mp3]&lt;/div&gt;")</f>
        <v>&lt;ruby&gt;捕虜&lt;rt&gt;ほりょ&lt;/rt&gt;&lt;/ruby&gt;&lt;br&gt;&lt;div class="audio"&gt;[sound:ほりょ.mp3]&lt;/div&gt;</v>
      </c>
      <c r="H5963" s="3" t="str">
        <f t="shared" si="1"/>
        <v>(n): tù binh</v>
      </c>
      <c r="I5963" s="6" t="s">
        <v>32453</v>
      </c>
      <c r="J5963" s="6" t="s">
        <v>32454</v>
      </c>
      <c r="K5963" s="7">
        <f t="shared" si="2"/>
        <v>0.1640187125</v>
      </c>
    </row>
    <row r="5964">
      <c r="A5964" s="4">
        <v>5964.0</v>
      </c>
      <c r="B5964" s="5" t="s">
        <v>32455</v>
      </c>
      <c r="C5964" s="5" t="s">
        <v>32456</v>
      </c>
      <c r="D5964" s="5" t="s">
        <v>32457</v>
      </c>
      <c r="E5964" s="6" t="s">
        <v>74</v>
      </c>
      <c r="F5964" s="6" t="s">
        <v>32458</v>
      </c>
      <c r="G5964" s="3" t="str">
        <f>IFERROR(__xludf.DUMMYFUNCTION("REGEXREPLACE(
D5964,
""([一-龯々]+)\[([^\]]+)\]"",
""&lt;ruby&gt;$1&lt;rt&gt;$2&lt;/rt&gt;&lt;/ruby&gt;""
)&amp;""&lt;br&gt;&lt;div class=""""audio""""&gt;[sound:""&amp;C5964&amp;"".mp3]&lt;/div&gt;"""),"&lt;ruby&gt;悪者&lt;rt&gt;わるもの&lt;/rt&gt;&lt;/ruby&gt;&lt;br&gt;&lt;div class=""audio""&gt;[sound:わるもの.mp3]&lt;/div&gt;")</f>
        <v>&lt;ruby&gt;悪者&lt;rt&gt;わるもの&lt;/rt&gt;&lt;/ruby&gt;&lt;br&gt;&lt;div class="audio"&gt;[sound:わるもの.mp3]&lt;/div&gt;</v>
      </c>
      <c r="H5964" s="3" t="str">
        <f t="shared" si="1"/>
        <v>(n): kẻ xấu</v>
      </c>
      <c r="I5964" s="6" t="s">
        <v>32459</v>
      </c>
      <c r="J5964" s="6" t="s">
        <v>32460</v>
      </c>
      <c r="K5964" s="7">
        <f t="shared" si="2"/>
        <v>0.8624340999</v>
      </c>
    </row>
    <row r="5965">
      <c r="A5965" s="4">
        <v>5965.0</v>
      </c>
      <c r="B5965" s="5" t="s">
        <v>32461</v>
      </c>
      <c r="C5965" s="5" t="s">
        <v>32462</v>
      </c>
      <c r="D5965" s="5" t="s">
        <v>32463</v>
      </c>
      <c r="E5965" s="6" t="s">
        <v>74</v>
      </c>
      <c r="F5965" s="6" t="s">
        <v>32464</v>
      </c>
      <c r="G5965" s="3" t="str">
        <f>IFERROR(__xludf.DUMMYFUNCTION("REGEXREPLACE(
D5965,
""([一-龯々]+)\[([^\]]+)\]"",
""&lt;ruby&gt;$1&lt;rt&gt;$2&lt;/rt&gt;&lt;/ruby&gt;""
)&amp;""&lt;br&gt;&lt;div class=""""audio""""&gt;[sound:""&amp;C5965&amp;"".mp3]&lt;/div&gt;"""),"&lt;ruby&gt;採点&lt;rt&gt;さいてん&lt;/rt&gt;&lt;/ruby&gt;&lt;br&gt;&lt;div class=""audio""&gt;[sound:さいてん.mp3]&lt;/div&gt;")</f>
        <v>&lt;ruby&gt;採点&lt;rt&gt;さいてん&lt;/rt&gt;&lt;/ruby&gt;&lt;br&gt;&lt;div class="audio"&gt;[sound:さいてん.mp3]&lt;/div&gt;</v>
      </c>
      <c r="H5965" s="3" t="str">
        <f t="shared" si="1"/>
        <v>(n): chấm điểm</v>
      </c>
      <c r="I5965" s="6" t="s">
        <v>32465</v>
      </c>
      <c r="J5965" s="6" t="s">
        <v>32466</v>
      </c>
      <c r="K5965" s="7">
        <f t="shared" si="2"/>
        <v>0.4939542208</v>
      </c>
    </row>
    <row r="5966">
      <c r="A5966" s="4">
        <v>5966.0</v>
      </c>
      <c r="B5966" s="5" t="s">
        <v>32467</v>
      </c>
      <c r="C5966" s="5" t="s">
        <v>31266</v>
      </c>
      <c r="D5966" s="5" t="s">
        <v>32468</v>
      </c>
      <c r="E5966" s="6" t="s">
        <v>74</v>
      </c>
      <c r="F5966" s="6" t="s">
        <v>32469</v>
      </c>
      <c r="G5966" s="3" t="str">
        <f>IFERROR(__xludf.DUMMYFUNCTION("REGEXREPLACE(
D5966,
""([一-龯々]+)\[([^\]]+)\]"",
""&lt;ruby&gt;$1&lt;rt&gt;$2&lt;/rt&gt;&lt;/ruby&gt;""
)&amp;""&lt;br&gt;&lt;div class=""""audio""""&gt;[sound:""&amp;C5966&amp;"".mp3]&lt;/div&gt;"""),"&lt;ruby&gt;敬意&lt;rt&gt;けいい&lt;/rt&gt;&lt;/ruby&gt;&lt;br&gt;&lt;div class=""audio""&gt;[sound:けいい.mp3]&lt;/div&gt;")</f>
        <v>&lt;ruby&gt;敬意&lt;rt&gt;けいい&lt;/rt&gt;&lt;/ruby&gt;&lt;br&gt;&lt;div class="audio"&gt;[sound:けいい.mp3]&lt;/div&gt;</v>
      </c>
      <c r="H5966" s="3" t="str">
        <f t="shared" si="1"/>
        <v>(n): kính ý</v>
      </c>
      <c r="I5966" s="6" t="s">
        <v>32470</v>
      </c>
      <c r="J5966" s="6" t="s">
        <v>32471</v>
      </c>
      <c r="K5966" s="7">
        <f t="shared" si="2"/>
        <v>0.2725864979</v>
      </c>
    </row>
    <row r="5967">
      <c r="A5967" s="4">
        <v>5967.0</v>
      </c>
      <c r="B5967" s="5" t="s">
        <v>32472</v>
      </c>
      <c r="C5967" s="5" t="s">
        <v>32473</v>
      </c>
      <c r="D5967" s="5" t="s">
        <v>32474</v>
      </c>
      <c r="E5967" s="6" t="s">
        <v>24</v>
      </c>
      <c r="F5967" s="6" t="s">
        <v>32475</v>
      </c>
      <c r="G5967" s="3" t="str">
        <f>IFERROR(__xludf.DUMMYFUNCTION("REGEXREPLACE(
D5967,
""([一-龯々]+)\[([^\]]+)\]"",
""&lt;ruby&gt;$1&lt;rt&gt;$2&lt;/rt&gt;&lt;/ruby&gt;""
)&amp;""&lt;br&gt;&lt;div class=""""audio""""&gt;[sound:""&amp;C5967&amp;"".mp3]&lt;/div&gt;"""),"&lt;ruby&gt;暖&lt;rt&gt;あたた&lt;/rt&gt;&lt;/ruby&gt;まる&lt;br&gt;&lt;div class=""audio""&gt;[sound:あたたまる.mp3]&lt;/div&gt;")</f>
        <v>&lt;ruby&gt;暖&lt;rt&gt;あたた&lt;/rt&gt;&lt;/ruby&gt;まる&lt;br&gt;&lt;div class="audio"&gt;[sound:あたたまる.mp3]&lt;/div&gt;</v>
      </c>
      <c r="H5967" s="3" t="str">
        <f t="shared" si="1"/>
        <v>(v): trở nên ấm</v>
      </c>
      <c r="I5967" s="6" t="s">
        <v>32476</v>
      </c>
      <c r="J5967" s="6" t="s">
        <v>32477</v>
      </c>
      <c r="K5967" s="7">
        <f t="shared" si="2"/>
        <v>0.6761180883</v>
      </c>
    </row>
    <row r="5968">
      <c r="A5968" s="4">
        <v>5968.0</v>
      </c>
      <c r="B5968" s="5" t="s">
        <v>32478</v>
      </c>
      <c r="C5968" s="5" t="s">
        <v>32479</v>
      </c>
      <c r="D5968" s="5" t="s">
        <v>32480</v>
      </c>
      <c r="E5968" s="6" t="s">
        <v>74</v>
      </c>
      <c r="F5968" s="6" t="s">
        <v>22750</v>
      </c>
      <c r="G5968" s="3" t="str">
        <f>IFERROR(__xludf.DUMMYFUNCTION("REGEXREPLACE(
D5968,
""([一-龯々]+)\[([^\]]+)\]"",
""&lt;ruby&gt;$1&lt;rt&gt;$2&lt;/rt&gt;&lt;/ruby&gt;""
)&amp;""&lt;br&gt;&lt;div class=""""audio""""&gt;[sound:""&amp;C5968&amp;"".mp3]&lt;/div&gt;"""),"&lt;ruby&gt;林&lt;rt&gt;はやし&lt;/rt&gt;&lt;/ruby&gt;&lt;br&gt;&lt;div class=""audio""&gt;[sound:はやし.mp3]&lt;/div&gt;")</f>
        <v>&lt;ruby&gt;林&lt;rt&gt;はやし&lt;/rt&gt;&lt;/ruby&gt;&lt;br&gt;&lt;div class="audio"&gt;[sound:はやし.mp3]&lt;/div&gt;</v>
      </c>
      <c r="H5968" s="3" t="str">
        <f t="shared" si="1"/>
        <v>(n): rừng</v>
      </c>
      <c r="I5968" s="6" t="s">
        <v>32481</v>
      </c>
      <c r="J5968" s="6" t="s">
        <v>32482</v>
      </c>
      <c r="K5968" s="7">
        <f t="shared" si="2"/>
        <v>0.380917134</v>
      </c>
    </row>
    <row r="5969">
      <c r="A5969" s="4">
        <v>5969.0</v>
      </c>
      <c r="B5969" s="5" t="s">
        <v>32483</v>
      </c>
      <c r="C5969" s="5" t="s">
        <v>32484</v>
      </c>
      <c r="D5969" s="5" t="s">
        <v>32485</v>
      </c>
      <c r="E5969" s="6" t="s">
        <v>74</v>
      </c>
      <c r="F5969" s="6" t="s">
        <v>32486</v>
      </c>
      <c r="G5969" s="3" t="str">
        <f>IFERROR(__xludf.DUMMYFUNCTION("REGEXREPLACE(
D5969,
""([一-龯々]+)\[([^\]]+)\]"",
""&lt;ruby&gt;$1&lt;rt&gt;$2&lt;/rt&gt;&lt;/ruby&gt;""
)&amp;""&lt;br&gt;&lt;div class=""""audio""""&gt;[sound:""&amp;C5969&amp;"".mp3]&lt;/div&gt;"""),"&lt;ruby&gt;歯医者&lt;rt&gt;はいしゃ&lt;/rt&gt;&lt;/ruby&gt;&lt;br&gt;&lt;div class=""audio""&gt;[sound:はいしゃ.mp3]&lt;/div&gt;")</f>
        <v>&lt;ruby&gt;歯医者&lt;rt&gt;はいしゃ&lt;/rt&gt;&lt;/ruby&gt;&lt;br&gt;&lt;div class="audio"&gt;[sound:はいしゃ.mp3]&lt;/div&gt;</v>
      </c>
      <c r="H5969" s="3" t="str">
        <f t="shared" si="1"/>
        <v>(n): nha sĩ</v>
      </c>
      <c r="I5969" s="6" t="s">
        <v>32487</v>
      </c>
      <c r="J5969" s="6" t="s">
        <v>32488</v>
      </c>
      <c r="K5969" s="7">
        <f t="shared" si="2"/>
        <v>0.6106086391</v>
      </c>
    </row>
    <row r="5970">
      <c r="A5970" s="4">
        <v>5970.0</v>
      </c>
      <c r="B5970" s="5" t="s">
        <v>32489</v>
      </c>
      <c r="C5970" s="5" t="s">
        <v>32490</v>
      </c>
      <c r="D5970" s="5" t="s">
        <v>32491</v>
      </c>
      <c r="E5970" s="6" t="s">
        <v>74</v>
      </c>
      <c r="F5970" s="6" t="s">
        <v>32492</v>
      </c>
      <c r="G5970" s="3" t="str">
        <f>IFERROR(__xludf.DUMMYFUNCTION("REGEXREPLACE(
D5970,
""([一-龯々]+)\[([^\]]+)\]"",
""&lt;ruby&gt;$1&lt;rt&gt;$2&lt;/rt&gt;&lt;/ruby&gt;""
)&amp;""&lt;br&gt;&lt;div class=""""audio""""&gt;[sound:""&amp;C5970&amp;"".mp3]&lt;/div&gt;"""),"&lt;ruby&gt;欄&lt;rt&gt;らん&lt;/rt&gt;&lt;/ruby&gt;&lt;br&gt;&lt;div class=""audio""&gt;[sound:らん.mp3]&lt;/div&gt;")</f>
        <v>&lt;ruby&gt;欄&lt;rt&gt;らん&lt;/rt&gt;&lt;/ruby&gt;&lt;br&gt;&lt;div class="audio"&gt;[sound:らん.mp3]&lt;/div&gt;</v>
      </c>
      <c r="H5970" s="3" t="str">
        <f t="shared" si="1"/>
        <v>(n): cột</v>
      </c>
      <c r="I5970" s="6" t="s">
        <v>32493</v>
      </c>
      <c r="J5970" s="6" t="s">
        <v>32494</v>
      </c>
      <c r="K5970" s="7">
        <f t="shared" si="2"/>
        <v>0.4129212445</v>
      </c>
    </row>
    <row r="5971">
      <c r="A5971" s="4">
        <v>5971.0</v>
      </c>
      <c r="B5971" s="5" t="s">
        <v>32495</v>
      </c>
      <c r="C5971" s="5" t="s">
        <v>32496</v>
      </c>
      <c r="D5971" s="5" t="s">
        <v>32497</v>
      </c>
      <c r="E5971" s="6" t="s">
        <v>74</v>
      </c>
      <c r="F5971" s="6" t="s">
        <v>32498</v>
      </c>
      <c r="G5971" s="3" t="str">
        <f>IFERROR(__xludf.DUMMYFUNCTION("REGEXREPLACE(
D5971,
""([一-龯々]+)\[([^\]]+)\]"",
""&lt;ruby&gt;$1&lt;rt&gt;$2&lt;/rt&gt;&lt;/ruby&gt;""
)&amp;""&lt;br&gt;&lt;div class=""""audio""""&gt;[sound:""&amp;C5971&amp;"".mp3]&lt;/div&gt;"""),"&lt;ruby&gt;方程式&lt;rt&gt;ほうていしき&lt;/rt&gt;&lt;/ruby&gt;&lt;br&gt;&lt;div class=""audio""&gt;[sound:ほうていしき.mp3]&lt;/div&gt;")</f>
        <v>&lt;ruby&gt;方程式&lt;rt&gt;ほうていしき&lt;/rt&gt;&lt;/ruby&gt;&lt;br&gt;&lt;div class="audio"&gt;[sound:ほうていしき.mp3]&lt;/div&gt;</v>
      </c>
      <c r="H5971" s="3" t="str">
        <f t="shared" si="1"/>
        <v>(n): phương trình</v>
      </c>
      <c r="I5971" s="6" t="s">
        <v>32499</v>
      </c>
      <c r="J5971" s="6" t="s">
        <v>32500</v>
      </c>
      <c r="K5971" s="7">
        <f t="shared" si="2"/>
        <v>0.2892652264</v>
      </c>
    </row>
    <row r="5972">
      <c r="A5972" s="4">
        <v>5972.0</v>
      </c>
      <c r="B5972" s="5" t="s">
        <v>32501</v>
      </c>
      <c r="C5972" s="5" t="s">
        <v>32502</v>
      </c>
      <c r="D5972" s="5" t="s">
        <v>32503</v>
      </c>
      <c r="E5972" s="6" t="s">
        <v>74</v>
      </c>
      <c r="F5972" s="6" t="s">
        <v>32504</v>
      </c>
      <c r="G5972" s="3" t="str">
        <f>IFERROR(__xludf.DUMMYFUNCTION("REGEXREPLACE(
D5972,
""([一-龯々]+)\[([^\]]+)\]"",
""&lt;ruby&gt;$1&lt;rt&gt;$2&lt;/rt&gt;&lt;/ruby&gt;""
)&amp;""&lt;br&gt;&lt;div class=""""audio""""&gt;[sound:""&amp;C5972&amp;"".mp3]&lt;/div&gt;"""),"&lt;ruby&gt;欠点&lt;rt&gt;けってん&lt;/rt&gt;&lt;/ruby&gt;&lt;br&gt;&lt;div class=""audio""&gt;[sound:けってん.mp3]&lt;/div&gt;")</f>
        <v>&lt;ruby&gt;欠点&lt;rt&gt;けってん&lt;/rt&gt;&lt;/ruby&gt;&lt;br&gt;&lt;div class="audio"&gt;[sound:けってん.mp3]&lt;/div&gt;</v>
      </c>
      <c r="H5972" s="3" t="str">
        <f t="shared" si="1"/>
        <v>(n): khuyết điểm</v>
      </c>
      <c r="I5972" s="6" t="s">
        <v>32505</v>
      </c>
      <c r="J5972" s="6" t="s">
        <v>32506</v>
      </c>
      <c r="K5972" s="7">
        <f t="shared" si="2"/>
        <v>0.1725622649</v>
      </c>
    </row>
    <row r="5973">
      <c r="A5973" s="4">
        <v>5973.0</v>
      </c>
      <c r="B5973" s="5" t="s">
        <v>32507</v>
      </c>
      <c r="C5973" s="5" t="s">
        <v>32508</v>
      </c>
      <c r="D5973" s="5" t="s">
        <v>32509</v>
      </c>
      <c r="E5973" s="6" t="s">
        <v>74</v>
      </c>
      <c r="F5973" s="6" t="s">
        <v>32510</v>
      </c>
      <c r="G5973" s="3" t="str">
        <f>IFERROR(__xludf.DUMMYFUNCTION("REGEXREPLACE(
D5973,
""([一-龯々]+)\[([^\]]+)\]"",
""&lt;ruby&gt;$1&lt;rt&gt;$2&lt;/rt&gt;&lt;/ruby&gt;""
)&amp;""&lt;br&gt;&lt;div class=""""audio""""&gt;[sound:""&amp;C5973&amp;"".mp3]&lt;/div&gt;"""),"&lt;ruby&gt;来日&lt;rt&gt;らいにち&lt;/rt&gt;&lt;/ruby&gt;&lt;br&gt;&lt;div class=""audio""&gt;[sound:らいにち.mp3]&lt;/div&gt;")</f>
        <v>&lt;ruby&gt;来日&lt;rt&gt;らいにち&lt;/rt&gt;&lt;/ruby&gt;&lt;br&gt;&lt;div class="audio"&gt;[sound:らいにち.mp3]&lt;/div&gt;</v>
      </c>
      <c r="H5973" s="3" t="str">
        <f t="shared" si="1"/>
        <v>(n): đến nhật</v>
      </c>
      <c r="I5973" s="6" t="s">
        <v>32511</v>
      </c>
      <c r="J5973" s="6" t="s">
        <v>32512</v>
      </c>
      <c r="K5973" s="7">
        <f t="shared" si="2"/>
        <v>0.8275864985</v>
      </c>
    </row>
    <row r="5974">
      <c r="A5974" s="4">
        <v>5974.0</v>
      </c>
      <c r="B5974" s="5" t="s">
        <v>32513</v>
      </c>
      <c r="C5974" s="5" t="s">
        <v>32514</v>
      </c>
      <c r="D5974" s="5" t="s">
        <v>32515</v>
      </c>
      <c r="E5974" s="6" t="s">
        <v>74</v>
      </c>
      <c r="F5974" s="6" t="s">
        <v>32516</v>
      </c>
      <c r="G5974" s="3" t="str">
        <f>IFERROR(__xludf.DUMMYFUNCTION("REGEXREPLACE(
D5974,
""([一-龯々]+)\[([^\]]+)\]"",
""&lt;ruby&gt;$1&lt;rt&gt;$2&lt;/rt&gt;&lt;/ruby&gt;""
)&amp;""&lt;br&gt;&lt;div class=""""audio""""&gt;[sound:""&amp;C5974&amp;"".mp3]&lt;/div&gt;"""),"&lt;ruby&gt;摩擦&lt;rt&gt;まさつ&lt;/rt&gt;&lt;/ruby&gt;&lt;br&gt;&lt;div class=""audio""&gt;[sound:まさつ.mp3]&lt;/div&gt;")</f>
        <v>&lt;ruby&gt;摩擦&lt;rt&gt;まさつ&lt;/rt&gt;&lt;/ruby&gt;&lt;br&gt;&lt;div class="audio"&gt;[sound:まさつ.mp3]&lt;/div&gt;</v>
      </c>
      <c r="H5974" s="3" t="str">
        <f t="shared" si="1"/>
        <v>(n): ma sát</v>
      </c>
      <c r="I5974" s="6" t="s">
        <v>32517</v>
      </c>
      <c r="J5974" s="6" t="s">
        <v>32518</v>
      </c>
      <c r="K5974" s="7">
        <f t="shared" si="2"/>
        <v>0.8059499365</v>
      </c>
    </row>
    <row r="5975">
      <c r="A5975" s="4">
        <v>5975.0</v>
      </c>
      <c r="B5975" s="5" t="s">
        <v>32519</v>
      </c>
      <c r="C5975" s="5" t="s">
        <v>32520</v>
      </c>
      <c r="D5975" s="5" t="s">
        <v>32521</v>
      </c>
      <c r="E5975" s="6" t="s">
        <v>24</v>
      </c>
      <c r="F5975" s="6" t="s">
        <v>32522</v>
      </c>
      <c r="G5975" s="3" t="str">
        <f>IFERROR(__xludf.DUMMYFUNCTION("REGEXREPLACE(
D5975,
""([一-龯々]+)\[([^\]]+)\]"",
""&lt;ruby&gt;$1&lt;rt&gt;$2&lt;/rt&gt;&lt;/ruby&gt;""
)&amp;""&lt;br&gt;&lt;div class=""""audio""""&gt;[sound:""&amp;C5975&amp;"".mp3]&lt;/div&gt;"""),"&lt;ruby&gt;擦&lt;rt&gt;す&lt;/rt&gt;&lt;/ruby&gt;れる&lt;br&gt;&lt;div class=""audio""&gt;[sound:すれる.mp3]&lt;/div&gt;")</f>
        <v>&lt;ruby&gt;擦&lt;rt&gt;す&lt;/rt&gt;&lt;/ruby&gt;れる&lt;br&gt;&lt;div class="audio"&gt;[sound:すれる.mp3]&lt;/div&gt;</v>
      </c>
      <c r="H5975" s="3" t="str">
        <f t="shared" si="1"/>
        <v>(v): cọ xát</v>
      </c>
      <c r="I5975" s="6" t="s">
        <v>32523</v>
      </c>
      <c r="J5975" s="6" t="s">
        <v>32524</v>
      </c>
      <c r="K5975" s="7">
        <f t="shared" si="2"/>
        <v>0.2896581469</v>
      </c>
    </row>
    <row r="5976">
      <c r="A5976" s="4">
        <v>5976.0</v>
      </c>
      <c r="B5976" s="5" t="s">
        <v>32525</v>
      </c>
      <c r="C5976" s="5" t="s">
        <v>32526</v>
      </c>
      <c r="D5976" s="5" t="s">
        <v>32527</v>
      </c>
      <c r="E5976" s="6" t="s">
        <v>11</v>
      </c>
      <c r="F5976" s="6" t="s">
        <v>32528</v>
      </c>
      <c r="G5976" s="3" t="str">
        <f>IFERROR(__xludf.DUMMYFUNCTION("REGEXREPLACE(
D5976,
""([一-龯々]+)\[([^\]]+)\]"",
""&lt;ruby&gt;$1&lt;rt&gt;$2&lt;/rt&gt;&lt;/ruby&gt;""
)&amp;""&lt;br&gt;&lt;div class=""""audio""""&gt;[sound:""&amp;C5976&amp;"".mp3]&lt;/div&gt;"""),"&lt;ruby&gt;未熟&lt;rt&gt;みじゅく&lt;/rt&gt;&lt;/ruby&gt;&lt;br&gt;&lt;div class=""audio""&gt;[sound:みじゅく.mp3]&lt;/div&gt;")</f>
        <v>&lt;ruby&gt;未熟&lt;rt&gt;みじゅく&lt;/rt&gt;&lt;/ruby&gt;&lt;br&gt;&lt;div class="audio"&gt;[sound:みじゅく.mp3]&lt;/div&gt;</v>
      </c>
      <c r="H5976" s="3" t="str">
        <f t="shared" si="1"/>
        <v>(adj): chưa trưởng thành</v>
      </c>
      <c r="I5976" s="6" t="s">
        <v>32529</v>
      </c>
      <c r="J5976" s="6" t="s">
        <v>32530</v>
      </c>
      <c r="K5976" s="7">
        <f t="shared" si="2"/>
        <v>0.6533834375</v>
      </c>
    </row>
    <row r="5977">
      <c r="A5977" s="4">
        <v>5977.0</v>
      </c>
      <c r="B5977" s="5" t="s">
        <v>32531</v>
      </c>
      <c r="C5977" s="5" t="s">
        <v>32532</v>
      </c>
      <c r="D5977" s="5" t="s">
        <v>32533</v>
      </c>
      <c r="E5977" s="6" t="s">
        <v>74</v>
      </c>
      <c r="F5977" s="6" t="s">
        <v>32534</v>
      </c>
      <c r="G5977" s="3" t="str">
        <f>IFERROR(__xludf.DUMMYFUNCTION("REGEXREPLACE(
D5977,
""([一-龯々]+)\[([^\]]+)\]"",
""&lt;ruby&gt;$1&lt;rt&gt;$2&lt;/rt&gt;&lt;/ruby&gt;""
)&amp;""&lt;br&gt;&lt;div class=""""audio""""&gt;[sound:""&amp;C5977&amp;"".mp3]&lt;/div&gt;"""),"&lt;ruby&gt;寒気&lt;rt&gt;さむけ&lt;/rt&gt;&lt;/ruby&gt;&lt;br&gt;&lt;div class=""audio""&gt;[sound:さむけ.mp3]&lt;/div&gt;")</f>
        <v>&lt;ruby&gt;寒気&lt;rt&gt;さむけ&lt;/rt&gt;&lt;/ruby&gt;&lt;br&gt;&lt;div class="audio"&gt;[sound:さむけ.mp3]&lt;/div&gt;</v>
      </c>
      <c r="H5977" s="3" t="str">
        <f t="shared" si="1"/>
        <v>(n): cảm giác lạnh</v>
      </c>
      <c r="I5977" s="6" t="s">
        <v>32535</v>
      </c>
      <c r="J5977" s="6" t="s">
        <v>32536</v>
      </c>
      <c r="K5977" s="7">
        <f t="shared" si="2"/>
        <v>0.4749618902</v>
      </c>
    </row>
    <row r="5978">
      <c r="A5978" s="4">
        <v>5978.0</v>
      </c>
      <c r="B5978" s="5" t="s">
        <v>32537</v>
      </c>
      <c r="C5978" s="5" t="s">
        <v>32538</v>
      </c>
      <c r="D5978" s="5" t="s">
        <v>32539</v>
      </c>
      <c r="E5978" s="6" t="s">
        <v>74</v>
      </c>
      <c r="F5978" s="6" t="s">
        <v>31283</v>
      </c>
      <c r="G5978" s="3" t="str">
        <f>IFERROR(__xludf.DUMMYFUNCTION("REGEXREPLACE(
D5978,
""([一-龯々]+)\[([^\]]+)\]"",
""&lt;ruby&gt;$1&lt;rt&gt;$2&lt;/rt&gt;&lt;/ruby&gt;""
)&amp;""&lt;br&gt;&lt;div class=""""audio""""&gt;[sound:""&amp;C5978&amp;"".mp3]&lt;/div&gt;"""),"&lt;ruby&gt;晴天&lt;rt&gt;せいてん&lt;/rt&gt;&lt;/ruby&gt;&lt;br&gt;&lt;div class=""audio""&gt;[sound:せいてん.mp3]&lt;/div&gt;")</f>
        <v>&lt;ruby&gt;晴天&lt;rt&gt;せいてん&lt;/rt&gt;&lt;/ruby&gt;&lt;br&gt;&lt;div class="audio"&gt;[sound:せいてん.mp3]&lt;/div&gt;</v>
      </c>
      <c r="H5978" s="3" t="str">
        <f t="shared" si="1"/>
        <v>(n): thời tiết đẹp</v>
      </c>
      <c r="I5978" s="6" t="s">
        <v>32540</v>
      </c>
      <c r="J5978" s="6" t="s">
        <v>32541</v>
      </c>
      <c r="K5978" s="7">
        <f t="shared" si="2"/>
        <v>0.7339541304</v>
      </c>
    </row>
    <row r="5979">
      <c r="A5979" s="4">
        <v>5979.0</v>
      </c>
      <c r="B5979" s="5" t="s">
        <v>32542</v>
      </c>
      <c r="C5979" s="5" t="s">
        <v>32543</v>
      </c>
      <c r="D5979" s="5" t="s">
        <v>32544</v>
      </c>
      <c r="E5979" s="6" t="s">
        <v>74</v>
      </c>
      <c r="F5979" s="6" t="s">
        <v>25251</v>
      </c>
      <c r="G5979" s="3" t="str">
        <f>IFERROR(__xludf.DUMMYFUNCTION("REGEXREPLACE(
D5979,
""([一-龯々]+)\[([^\]]+)\]"",
""&lt;ruby&gt;$1&lt;rt&gt;$2&lt;/rt&gt;&lt;/ruby&gt;""
)&amp;""&lt;br&gt;&lt;div class=""""audio""""&gt;[sound:""&amp;C5979&amp;"".mp3]&lt;/div&gt;"""),"&lt;ruby&gt;振&lt;rt&gt;ふ&lt;/rt&gt;&lt;/ruby&gt;り&lt;ruby&gt;出&lt;rt&gt;だ&lt;/rt&gt;&lt;/ruby&gt;し&lt;br&gt;&lt;div class=""audio""&gt;[sound:ふりだし.mp3]&lt;/div&gt;")</f>
        <v>&lt;ruby&gt;振&lt;rt&gt;ふ&lt;/rt&gt;&lt;/ruby&gt;り&lt;ruby&gt;出&lt;rt&gt;だ&lt;/rt&gt;&lt;/ruby&gt;し&lt;br&gt;&lt;div class="audio"&gt;[sound:ふりだし.mp3]&lt;/div&gt;</v>
      </c>
      <c r="H5979" s="3" t="str">
        <f t="shared" si="1"/>
        <v>(n): điểm bắt đầu</v>
      </c>
      <c r="I5979" s="6" t="s">
        <v>32545</v>
      </c>
      <c r="J5979" s="6" t="s">
        <v>32546</v>
      </c>
      <c r="K5979" s="7">
        <f t="shared" si="2"/>
        <v>0.4453013278</v>
      </c>
    </row>
    <row r="5980">
      <c r="A5980" s="4">
        <v>5980.0</v>
      </c>
      <c r="B5980" s="5" t="s">
        <v>32547</v>
      </c>
      <c r="C5980" s="5" t="s">
        <v>32548</v>
      </c>
      <c r="D5980" s="5" t="s">
        <v>32549</v>
      </c>
      <c r="E5980" s="6" t="s">
        <v>74</v>
      </c>
      <c r="F5980" s="6" t="s">
        <v>32550</v>
      </c>
      <c r="G5980" s="3" t="str">
        <f>IFERROR(__xludf.DUMMYFUNCTION("REGEXREPLACE(
D5980,
""([一-龯々]+)\[([^\]]+)\]"",
""&lt;ruby&gt;$1&lt;rt&gt;$2&lt;/rt&gt;&lt;/ruby&gt;""
)&amp;""&lt;br&gt;&lt;div class=""""audio""""&gt;[sound:""&amp;C5980&amp;"".mp3]&lt;/div&gt;"""),"&lt;ruby&gt;掌&lt;rt&gt;てのひら&lt;/rt&gt;&lt;/ruby&gt;&lt;br&gt;&lt;div class=""audio""&gt;[sound:てのひら.mp3]&lt;/div&gt;")</f>
        <v>&lt;ruby&gt;掌&lt;rt&gt;てのひら&lt;/rt&gt;&lt;/ruby&gt;&lt;br&gt;&lt;div class="audio"&gt;[sound:てのひら.mp3]&lt;/div&gt;</v>
      </c>
      <c r="H5980" s="3" t="str">
        <f t="shared" si="1"/>
        <v>(n): lòng bàn tay</v>
      </c>
      <c r="I5980" s="6" t="s">
        <v>32551</v>
      </c>
      <c r="J5980" s="6" t="s">
        <v>32552</v>
      </c>
      <c r="K5980" s="7">
        <f t="shared" si="2"/>
        <v>0.3607788682</v>
      </c>
    </row>
    <row r="5981">
      <c r="A5981" s="4">
        <v>5981.0</v>
      </c>
      <c r="B5981" s="5" t="s">
        <v>32553</v>
      </c>
      <c r="C5981" s="5" t="s">
        <v>32554</v>
      </c>
      <c r="D5981" s="5" t="s">
        <v>32555</v>
      </c>
      <c r="E5981" s="6" t="s">
        <v>11</v>
      </c>
      <c r="F5981" s="6" t="s">
        <v>32556</v>
      </c>
      <c r="G5981" s="3" t="str">
        <f>IFERROR(__xludf.DUMMYFUNCTION("REGEXREPLACE(
D5981,
""([一-龯々]+)\[([^\]]+)\]"",
""&lt;ruby&gt;$1&lt;rt&gt;$2&lt;/rt&gt;&lt;/ruby&gt;""
)&amp;""&lt;br&gt;&lt;div class=""""audio""""&gt;[sound:""&amp;C5981&amp;"".mp3]&lt;/div&gt;"""),"&lt;ruby&gt;未婚&lt;rt&gt;みこん&lt;/rt&gt;&lt;/ruby&gt;&lt;br&gt;&lt;div class=""audio""&gt;[sound:みこん.mp3]&lt;/div&gt;")</f>
        <v>&lt;ruby&gt;未婚&lt;rt&gt;みこん&lt;/rt&gt;&lt;/ruby&gt;&lt;br&gt;&lt;div class="audio"&gt;[sound:みこん.mp3]&lt;/div&gt;</v>
      </c>
      <c r="H5981" s="3" t="str">
        <f t="shared" si="1"/>
        <v>(adj): chưa kết hôn</v>
      </c>
      <c r="I5981" s="6" t="s">
        <v>32557</v>
      </c>
      <c r="J5981" s="6" t="s">
        <v>32558</v>
      </c>
      <c r="K5981" s="7">
        <f t="shared" si="2"/>
        <v>0.6509409978</v>
      </c>
    </row>
    <row r="5982">
      <c r="A5982" s="4">
        <v>5982.0</v>
      </c>
      <c r="B5982" s="5" t="s">
        <v>32559</v>
      </c>
      <c r="C5982" s="5" t="s">
        <v>32560</v>
      </c>
      <c r="D5982" s="5" t="s">
        <v>32561</v>
      </c>
      <c r="E5982" s="6" t="s">
        <v>11</v>
      </c>
      <c r="F5982" s="6" t="s">
        <v>7155</v>
      </c>
      <c r="G5982" s="3" t="str">
        <f>IFERROR(__xludf.DUMMYFUNCTION("REGEXREPLACE(
D5982,
""([一-龯々]+)\[([^\]]+)\]"",
""&lt;ruby&gt;$1&lt;rt&gt;$2&lt;/rt&gt;&lt;/ruby&gt;""
)&amp;""&lt;br&gt;&lt;div class=""""audio""""&gt;[sound:""&amp;C5982&amp;"".mp3]&lt;/div&gt;"""),"&lt;ruby&gt;情無&lt;rt&gt;なさけな&lt;/rt&gt;&lt;/ruby&gt;い&lt;br&gt;&lt;div class=""audio""&gt;[sound:なさけない.mp3]&lt;/div&gt;")</f>
        <v>&lt;ruby&gt;情無&lt;rt&gt;なさけな&lt;/rt&gt;&lt;/ruby&gt;い&lt;br&gt;&lt;div class="audio"&gt;[sound:なさけない.mp3]&lt;/div&gt;</v>
      </c>
      <c r="H5982" s="3" t="str">
        <f t="shared" si="1"/>
        <v>(adj): đáng thương</v>
      </c>
      <c r="I5982" s="6" t="s">
        <v>32562</v>
      </c>
      <c r="J5982" s="6" t="s">
        <v>32563</v>
      </c>
      <c r="K5982" s="7">
        <f t="shared" si="2"/>
        <v>0.8772025505</v>
      </c>
    </row>
    <row r="5983">
      <c r="A5983" s="4">
        <v>5983.0</v>
      </c>
      <c r="B5983" s="5" t="s">
        <v>32564</v>
      </c>
      <c r="C5983" s="5" t="s">
        <v>32565</v>
      </c>
      <c r="D5983" s="5" t="s">
        <v>32566</v>
      </c>
      <c r="E5983" s="6" t="s">
        <v>74</v>
      </c>
      <c r="F5983" s="6" t="s">
        <v>32567</v>
      </c>
      <c r="G5983" s="3" t="str">
        <f>IFERROR(__xludf.DUMMYFUNCTION("REGEXREPLACE(
D5983,
""([一-龯々]+)\[([^\]]+)\]"",
""&lt;ruby&gt;$1&lt;rt&gt;$2&lt;/rt&gt;&lt;/ruby&gt;""
)&amp;""&lt;br&gt;&lt;div class=""""audio""""&gt;[sound:""&amp;C5983&amp;"".mp3]&lt;/div&gt;"""),"&lt;ruby&gt;小切手&lt;rt&gt;こぎって&lt;/rt&gt;&lt;/ruby&gt;&lt;br&gt;&lt;div class=""audio""&gt;[sound:こぎって.mp3]&lt;/div&gt;")</f>
        <v>&lt;ruby&gt;小切手&lt;rt&gt;こぎって&lt;/rt&gt;&lt;/ruby&gt;&lt;br&gt;&lt;div class="audio"&gt;[sound:こぎって.mp3]&lt;/div&gt;</v>
      </c>
      <c r="H5983" s="3" t="str">
        <f t="shared" si="1"/>
        <v>(n): ngân phiếu</v>
      </c>
      <c r="I5983" s="6" t="s">
        <v>32568</v>
      </c>
      <c r="J5983" s="6" t="s">
        <v>32569</v>
      </c>
      <c r="K5983" s="7">
        <f t="shared" si="2"/>
        <v>0.4082307053</v>
      </c>
    </row>
    <row r="5984">
      <c r="A5984" s="4">
        <v>5984.0</v>
      </c>
      <c r="B5984" s="5" t="s">
        <v>32570</v>
      </c>
      <c r="C5984" s="5" t="s">
        <v>32571</v>
      </c>
      <c r="D5984" s="5" t="s">
        <v>32572</v>
      </c>
      <c r="E5984" s="6" t="s">
        <v>74</v>
      </c>
      <c r="F5984" s="6" t="s">
        <v>20716</v>
      </c>
      <c r="G5984" s="3" t="str">
        <f>IFERROR(__xludf.DUMMYFUNCTION("REGEXREPLACE(
D5984,
""([一-龯々]+)\[([^\]]+)\]"",
""&lt;ruby&gt;$1&lt;rt&gt;$2&lt;/rt&gt;&lt;/ruby&gt;""
)&amp;""&lt;br&gt;&lt;div class=""""audio""""&gt;[sound:""&amp;C5984&amp;"".mp3]&lt;/div&gt;"""),"&lt;ruby&gt;弁償&lt;rt&gt;べんしょう&lt;/rt&gt;&lt;/ruby&gt;&lt;br&gt;&lt;div class=""audio""&gt;[sound:べんしょう.mp3]&lt;/div&gt;")</f>
        <v>&lt;ruby&gt;弁償&lt;rt&gt;べんしょう&lt;/rt&gt;&lt;/ruby&gt;&lt;br&gt;&lt;div class="audio"&gt;[sound:べんしょう.mp3]&lt;/div&gt;</v>
      </c>
      <c r="H5984" s="3" t="str">
        <f t="shared" si="1"/>
        <v>(n): bồi thường</v>
      </c>
      <c r="I5984" s="6" t="s">
        <v>32573</v>
      </c>
      <c r="J5984" s="6" t="s">
        <v>18886</v>
      </c>
      <c r="K5984" s="7">
        <f t="shared" si="2"/>
        <v>0.821099756</v>
      </c>
    </row>
    <row r="5985">
      <c r="A5985" s="4">
        <v>5985.0</v>
      </c>
      <c r="B5985" s="5" t="s">
        <v>32574</v>
      </c>
      <c r="C5985" s="5" t="s">
        <v>32575</v>
      </c>
      <c r="D5985" s="5" t="s">
        <v>32576</v>
      </c>
      <c r="E5985" s="6" t="s">
        <v>24</v>
      </c>
      <c r="F5985" s="6" t="s">
        <v>13710</v>
      </c>
      <c r="G5985" s="3" t="str">
        <f>IFERROR(__xludf.DUMMYFUNCTION("REGEXREPLACE(
D5985,
""([一-龯々]+)\[([^\]]+)\]"",
""&lt;ruby&gt;$1&lt;rt&gt;$2&lt;/rt&gt;&lt;/ruby&gt;""
)&amp;""&lt;br&gt;&lt;div class=""""audio""""&gt;[sound:""&amp;C5985&amp;"".mp3]&lt;/div&gt;"""),"&lt;ruby&gt;懐&lt;rt&gt;なつ&lt;/rt&gt;&lt;/ruby&gt;く&lt;br&gt;&lt;div class=""audio""&gt;[sound:なつく.mp3]&lt;/div&gt;")</f>
        <v>&lt;ruby&gt;懐&lt;rt&gt;なつ&lt;/rt&gt;&lt;/ruby&gt;く&lt;br&gt;&lt;div class="audio"&gt;[sound:なつく.mp3]&lt;/div&gt;</v>
      </c>
      <c r="H5985" s="3" t="str">
        <f t="shared" si="1"/>
        <v>(v): thân thiết</v>
      </c>
      <c r="I5985" s="6" t="s">
        <v>32577</v>
      </c>
      <c r="J5985" s="6" t="s">
        <v>32578</v>
      </c>
      <c r="K5985" s="7">
        <f t="shared" si="2"/>
        <v>0.7304280245</v>
      </c>
    </row>
    <row r="5986">
      <c r="A5986" s="4">
        <v>5986.0</v>
      </c>
      <c r="B5986" s="5" t="s">
        <v>32579</v>
      </c>
      <c r="C5986" s="5" t="s">
        <v>32580</v>
      </c>
      <c r="D5986" s="5" t="s">
        <v>32581</v>
      </c>
      <c r="E5986" s="6" t="s">
        <v>24</v>
      </c>
      <c r="F5986" s="6" t="s">
        <v>32582</v>
      </c>
      <c r="G5986" s="3" t="str">
        <f>IFERROR(__xludf.DUMMYFUNCTION("REGEXREPLACE(
D5986,
""([一-龯々]+)\[([^\]]+)\]"",
""&lt;ruby&gt;$1&lt;rt&gt;$2&lt;/rt&gt;&lt;/ruby&gt;""
)&amp;""&lt;br&gt;&lt;div class=""""audio""""&gt;[sound:""&amp;C5986&amp;"".mp3]&lt;/div&gt;"""),"&lt;ruby&gt;捗&lt;rt&gt;はかど&lt;/rt&gt;&lt;/ruby&gt;る&lt;br&gt;&lt;div class=""audio""&gt;[sound:はかどる.mp3]&lt;/div&gt;")</f>
        <v>&lt;ruby&gt;捗&lt;rt&gt;はかど&lt;/rt&gt;&lt;/ruby&gt;る&lt;br&gt;&lt;div class="audio"&gt;[sound:はかどる.mp3]&lt;/div&gt;</v>
      </c>
      <c r="H5986" s="3" t="str">
        <f t="shared" si="1"/>
        <v>(v): tiến triển</v>
      </c>
      <c r="I5986" s="6" t="s">
        <v>32583</v>
      </c>
      <c r="J5986" s="6" t="s">
        <v>32584</v>
      </c>
      <c r="K5986" s="7">
        <f t="shared" si="2"/>
        <v>0.5799790638</v>
      </c>
    </row>
    <row r="5987">
      <c r="A5987" s="4">
        <v>5987.0</v>
      </c>
      <c r="B5987" s="5" t="s">
        <v>32585</v>
      </c>
      <c r="C5987" s="5" t="s">
        <v>32586</v>
      </c>
      <c r="D5987" s="5" t="s">
        <v>32587</v>
      </c>
      <c r="E5987" s="6" t="s">
        <v>74</v>
      </c>
      <c r="F5987" s="6" t="s">
        <v>10447</v>
      </c>
      <c r="G5987" s="3" t="str">
        <f>IFERROR(__xludf.DUMMYFUNCTION("REGEXREPLACE(
D5987,
""([一-龯々]+)\[([^\]]+)\]"",
""&lt;ruby&gt;$1&lt;rt&gt;$2&lt;/rt&gt;&lt;/ruby&gt;""
)&amp;""&lt;br&gt;&lt;div class=""""audio""""&gt;[sound:""&amp;C5987&amp;"".mp3]&lt;/div&gt;"""),"&lt;ruby&gt;教習&lt;rt&gt;きょうしゅう&lt;/rt&gt;&lt;/ruby&gt;&lt;br&gt;&lt;div class=""audio""&gt;[sound:きょうしゅう.mp3]&lt;/div&gt;")</f>
        <v>&lt;ruby&gt;教習&lt;rt&gt;きょうしゅう&lt;/rt&gt;&lt;/ruby&gt;&lt;br&gt;&lt;div class="audio"&gt;[sound:きょうしゅう.mp3]&lt;/div&gt;</v>
      </c>
      <c r="H5987" s="3" t="str">
        <f t="shared" si="1"/>
        <v>(n): huấn luyện</v>
      </c>
      <c r="I5987" s="6" t="s">
        <v>32588</v>
      </c>
      <c r="J5987" s="6" t="s">
        <v>32589</v>
      </c>
      <c r="K5987" s="7">
        <f t="shared" si="2"/>
        <v>0.1162020086</v>
      </c>
    </row>
    <row r="5988">
      <c r="A5988" s="4">
        <v>5988.0</v>
      </c>
      <c r="B5988" s="5" t="s">
        <v>32590</v>
      </c>
      <c r="C5988" s="5" t="s">
        <v>32591</v>
      </c>
      <c r="D5988" s="5" t="s">
        <v>32592</v>
      </c>
      <c r="E5988" s="6" t="s">
        <v>74</v>
      </c>
      <c r="F5988" s="6" t="s">
        <v>8127</v>
      </c>
      <c r="G5988" s="3" t="str">
        <f>IFERROR(__xludf.DUMMYFUNCTION("REGEXREPLACE(
D5988,
""([一-龯々]+)\[([^\]]+)\]"",
""&lt;ruby&gt;$1&lt;rt&gt;$2&lt;/rt&gt;&lt;/ruby&gt;""
)&amp;""&lt;br&gt;&lt;div class=""""audio""""&gt;[sound:""&amp;C5988&amp;"".mp3]&lt;/div&gt;"""),"&lt;ruby&gt;斡旋&lt;rt&gt;あっせん&lt;/rt&gt;&lt;/ruby&gt;&lt;br&gt;&lt;div class=""audio""&gt;[sound:あっせん.mp3]&lt;/div&gt;")</f>
        <v>&lt;ruby&gt;斡旋&lt;rt&gt;あっせん&lt;/rt&gt;&lt;/ruby&gt;&lt;br&gt;&lt;div class="audio"&gt;[sound:あっせん.mp3]&lt;/div&gt;</v>
      </c>
      <c r="H5988" s="3" t="str">
        <f t="shared" si="1"/>
        <v>(n): trung gian</v>
      </c>
      <c r="I5988" s="6" t="s">
        <v>32593</v>
      </c>
      <c r="J5988" s="6" t="s">
        <v>32594</v>
      </c>
      <c r="K5988" s="7">
        <f t="shared" si="2"/>
        <v>0.9863311321</v>
      </c>
    </row>
    <row r="5989">
      <c r="A5989" s="4">
        <v>5989.0</v>
      </c>
      <c r="B5989" s="5" t="s">
        <v>32595</v>
      </c>
      <c r="C5989" s="5" t="s">
        <v>32596</v>
      </c>
      <c r="D5989" s="5" t="s">
        <v>32597</v>
      </c>
      <c r="E5989" s="6" t="s">
        <v>11</v>
      </c>
      <c r="F5989" s="6" t="s">
        <v>32598</v>
      </c>
      <c r="G5989" s="3" t="str">
        <f>IFERROR(__xludf.DUMMYFUNCTION("REGEXREPLACE(
D5989,
""([一-龯々]+)\[([^\]]+)\]"",
""&lt;ruby&gt;$1&lt;rt&gt;$2&lt;/rt&gt;&lt;/ruby&gt;""
)&amp;""&lt;br&gt;&lt;div class=""""audio""""&gt;[sound:""&amp;C5989&amp;"".mp3]&lt;/div&gt;"""),"&lt;ruby&gt;既婚&lt;rt&gt;きこん&lt;/rt&gt;&lt;/ruby&gt;&lt;br&gt;&lt;div class=""audio""&gt;[sound:きこん.mp3]&lt;/div&gt;")</f>
        <v>&lt;ruby&gt;既婚&lt;rt&gt;きこん&lt;/rt&gt;&lt;/ruby&gt;&lt;br&gt;&lt;div class="audio"&gt;[sound:きこん.mp3]&lt;/div&gt;</v>
      </c>
      <c r="H5989" s="3" t="str">
        <f t="shared" si="1"/>
        <v>(adj): đã kết hôn</v>
      </c>
      <c r="I5989" s="6" t="s">
        <v>32599</v>
      </c>
      <c r="J5989" s="6" t="s">
        <v>32600</v>
      </c>
      <c r="K5989" s="7">
        <f t="shared" si="2"/>
        <v>0.5566023369</v>
      </c>
    </row>
    <row r="5990">
      <c r="A5990" s="4">
        <v>5990.0</v>
      </c>
      <c r="B5990" s="5" t="s">
        <v>32601</v>
      </c>
      <c r="C5990" s="5" t="s">
        <v>32602</v>
      </c>
      <c r="D5990" s="5" t="s">
        <v>32603</v>
      </c>
      <c r="E5990" s="6" t="s">
        <v>74</v>
      </c>
      <c r="F5990" s="6" t="s">
        <v>5479</v>
      </c>
      <c r="G5990" s="3" t="str">
        <f>IFERROR(__xludf.DUMMYFUNCTION("REGEXREPLACE(
D5990,
""([一-龯々]+)\[([^\]]+)\]"",
""&lt;ruby&gt;$1&lt;rt&gt;$2&lt;/rt&gt;&lt;/ruby&gt;""
)&amp;""&lt;br&gt;&lt;div class=""""audio""""&gt;[sound:""&amp;C5990&amp;"".mp3]&lt;/div&gt;"""),"&lt;ruby&gt;有&lt;rt&gt;あ&lt;/rt&gt;&lt;/ruby&gt;り&lt;ruby&gt;様&lt;rt&gt;さま&lt;/rt&gt;&lt;/ruby&gt;&lt;br&gt;&lt;div class=""audio""&gt;[sound:ありさま.mp3]&lt;/div&gt;")</f>
        <v>&lt;ruby&gt;有&lt;rt&gt;あ&lt;/rt&gt;&lt;/ruby&gt;り&lt;ruby&gt;様&lt;rt&gt;さま&lt;/rt&gt;&lt;/ruby&gt;&lt;br&gt;&lt;div class="audio"&gt;[sound:ありさま.mp3]&lt;/div&gt;</v>
      </c>
      <c r="H5990" s="3" t="str">
        <f t="shared" si="1"/>
        <v>(n): trạng thái</v>
      </c>
      <c r="I5990" s="6" t="s">
        <v>32604</v>
      </c>
      <c r="J5990" s="6" t="s">
        <v>32605</v>
      </c>
      <c r="K5990" s="7">
        <f t="shared" si="2"/>
        <v>0.3410719654</v>
      </c>
    </row>
    <row r="5991">
      <c r="A5991" s="4">
        <v>5991.0</v>
      </c>
      <c r="B5991" s="5" t="s">
        <v>32606</v>
      </c>
      <c r="C5991" s="5" t="s">
        <v>32607</v>
      </c>
      <c r="D5991" s="5" t="s">
        <v>32608</v>
      </c>
      <c r="E5991" s="6" t="s">
        <v>74</v>
      </c>
      <c r="F5991" s="6" t="s">
        <v>32609</v>
      </c>
      <c r="G5991" s="3" t="str">
        <f>IFERROR(__xludf.DUMMYFUNCTION("REGEXREPLACE(
D5991,
""([一-龯々]+)\[([^\]]+)\]"",
""&lt;ruby&gt;$1&lt;rt&gt;$2&lt;/rt&gt;&lt;/ruby&gt;""
)&amp;""&lt;br&gt;&lt;div class=""""audio""""&gt;[sound:""&amp;C5991&amp;"".mp3]&lt;/div&gt;"""),"&lt;ruby&gt;未練&lt;rt&gt;みれん&lt;/rt&gt;&lt;/ruby&gt;&lt;br&gt;&lt;div class=""audio""&gt;[sound:みれん.mp3]&lt;/div&gt;")</f>
        <v>&lt;ruby&gt;未練&lt;rt&gt;みれん&lt;/rt&gt;&lt;/ruby&gt;&lt;br&gt;&lt;div class="audio"&gt;[sound:みれん.mp3]&lt;/div&gt;</v>
      </c>
      <c r="H5991" s="3" t="str">
        <f t="shared" si="1"/>
        <v>(n): luyến tiếc</v>
      </c>
      <c r="I5991" s="6" t="s">
        <v>32610</v>
      </c>
      <c r="J5991" s="6" t="s">
        <v>32611</v>
      </c>
      <c r="K5991" s="7">
        <f t="shared" si="2"/>
        <v>0.3844243677</v>
      </c>
    </row>
    <row r="5992">
      <c r="A5992" s="4">
        <v>5992.0</v>
      </c>
      <c r="B5992" s="5" t="s">
        <v>32612</v>
      </c>
      <c r="C5992" s="5" t="s">
        <v>32613</v>
      </c>
      <c r="D5992" s="5" t="s">
        <v>32614</v>
      </c>
      <c r="E5992" s="6" t="s">
        <v>74</v>
      </c>
      <c r="F5992" s="6" t="s">
        <v>32615</v>
      </c>
      <c r="G5992" s="3" t="str">
        <f>IFERROR(__xludf.DUMMYFUNCTION("REGEXREPLACE(
D5992,
""([一-龯々]+)\[([^\]]+)\]"",
""&lt;ruby&gt;$1&lt;rt&gt;$2&lt;/rt&gt;&lt;/ruby&gt;""
)&amp;""&lt;br&gt;&lt;div class=""""audio""""&gt;[sound:""&amp;C5992&amp;"".mp3]&lt;/div&gt;"""),"&lt;ruby&gt;採掘&lt;rt&gt;さいくつ&lt;/rt&gt;&lt;/ruby&gt;&lt;br&gt;&lt;div class=""audio""&gt;[sound:さいくつ.mp3]&lt;/div&gt;")</f>
        <v>&lt;ruby&gt;採掘&lt;rt&gt;さいくつ&lt;/rt&gt;&lt;/ruby&gt;&lt;br&gt;&lt;div class="audio"&gt;[sound:さいくつ.mp3]&lt;/div&gt;</v>
      </c>
      <c r="H5992" s="3" t="str">
        <f t="shared" si="1"/>
        <v>(n): khai thác</v>
      </c>
      <c r="I5992" s="6" t="s">
        <v>32616</v>
      </c>
      <c r="J5992" s="6" t="s">
        <v>32617</v>
      </c>
      <c r="K5992" s="7">
        <f t="shared" si="2"/>
        <v>0.1416481844</v>
      </c>
    </row>
    <row r="5993">
      <c r="A5993" s="4">
        <v>5993.0</v>
      </c>
      <c r="B5993" s="5" t="s">
        <v>32618</v>
      </c>
      <c r="C5993" s="5" t="s">
        <v>32619</v>
      </c>
      <c r="D5993" s="5" t="s">
        <v>32620</v>
      </c>
      <c r="E5993" s="6" t="s">
        <v>74</v>
      </c>
      <c r="F5993" s="6" t="s">
        <v>32621</v>
      </c>
      <c r="G5993" s="3" t="str">
        <f>IFERROR(__xludf.DUMMYFUNCTION("REGEXREPLACE(
D5993,
""([一-龯々]+)\[([^\]]+)\]"",
""&lt;ruby&gt;$1&lt;rt&gt;$2&lt;/rt&gt;&lt;/ruby&gt;""
)&amp;""&lt;br&gt;&lt;div class=""""audio""""&gt;[sound:""&amp;C5993&amp;"".mp3]&lt;/div&gt;"""),"&lt;ruby&gt;張&lt;rt&gt;は&lt;/rt&gt;&lt;/ruby&gt;り&lt;ruby&gt;紙&lt;rt&gt;がみ&lt;/rt&gt;&lt;/ruby&gt;&lt;br&gt;&lt;div class=""audio""&gt;[sound:はりがみ.mp3]&lt;/div&gt;")</f>
        <v>&lt;ruby&gt;張&lt;rt&gt;は&lt;/rt&gt;&lt;/ruby&gt;り&lt;ruby&gt;紙&lt;rt&gt;がみ&lt;/rt&gt;&lt;/ruby&gt;&lt;br&gt;&lt;div class="audio"&gt;[sound:はりがみ.mp3]&lt;/div&gt;</v>
      </c>
      <c r="H5993" s="3" t="str">
        <f t="shared" si="1"/>
        <v>(n): giấy dán</v>
      </c>
      <c r="I5993" s="6" t="s">
        <v>32622</v>
      </c>
      <c r="J5993" s="6" t="s">
        <v>32623</v>
      </c>
      <c r="K5993" s="7">
        <f t="shared" si="2"/>
        <v>0.51634289</v>
      </c>
    </row>
    <row r="5994">
      <c r="A5994" s="4">
        <v>5994.0</v>
      </c>
      <c r="B5994" s="5" t="s">
        <v>32624</v>
      </c>
      <c r="C5994" s="5" t="s">
        <v>32625</v>
      </c>
      <c r="D5994" s="5" t="s">
        <v>32626</v>
      </c>
      <c r="E5994" s="6" t="s">
        <v>11</v>
      </c>
      <c r="F5994" s="6" t="s">
        <v>32627</v>
      </c>
      <c r="G5994" s="3" t="str">
        <f>IFERROR(__xludf.DUMMYFUNCTION("REGEXREPLACE(
D5994,
""([一-龯々]+)\[([^\]]+)\]"",
""&lt;ruby&gt;$1&lt;rt&gt;$2&lt;/rt&gt;&lt;/ruby&gt;""
)&amp;""&lt;br&gt;&lt;div class=""""audio""""&gt;[sound:""&amp;C5994&amp;"".mp3]&lt;/div&gt;"""),"&lt;ruby&gt;悩&lt;rt&gt;なや&lt;/rt&gt;&lt;/ruby&gt;ましい&lt;br&gt;&lt;div class=""audio""&gt;[sound:なやましい.mp3]&lt;/div&gt;")</f>
        <v>&lt;ruby&gt;悩&lt;rt&gt;なや&lt;/rt&gt;&lt;/ruby&gt;ましい&lt;br&gt;&lt;div class="audio"&gt;[sound:なやましい.mp3]&lt;/div&gt;</v>
      </c>
      <c r="H5994" s="3" t="str">
        <f t="shared" si="1"/>
        <v>(adj): quyến rũ</v>
      </c>
      <c r="I5994" s="6" t="s">
        <v>32628</v>
      </c>
      <c r="J5994" s="6" t="s">
        <v>32629</v>
      </c>
      <c r="K5994" s="7">
        <f t="shared" si="2"/>
        <v>0.757149085</v>
      </c>
    </row>
    <row r="5995">
      <c r="A5995" s="4">
        <v>5995.0</v>
      </c>
      <c r="B5995" s="5" t="s">
        <v>32630</v>
      </c>
      <c r="C5995" s="5" t="s">
        <v>32631</v>
      </c>
      <c r="D5995" s="5" t="s">
        <v>32632</v>
      </c>
      <c r="E5995" s="6" t="s">
        <v>74</v>
      </c>
      <c r="F5995" s="6" t="s">
        <v>3898</v>
      </c>
      <c r="G5995" s="3" t="str">
        <f>IFERROR(__xludf.DUMMYFUNCTION("REGEXREPLACE(
D5995,
""([一-龯々]+)\[([^\]]+)\]"",
""&lt;ruby&gt;$1&lt;rt&gt;$2&lt;/rt&gt;&lt;/ruby&gt;""
)&amp;""&lt;br&gt;&lt;div class=""""audio""""&gt;[sound:""&amp;C5995&amp;"".mp3]&lt;/div&gt;"""),"&lt;ruby&gt;整列&lt;rt&gt;せいれつ&lt;/rt&gt;&lt;/ruby&gt;&lt;br&gt;&lt;div class=""audio""&gt;[sound:せいれつ.mp3]&lt;/div&gt;")</f>
        <v>&lt;ruby&gt;整列&lt;rt&gt;せいれつ&lt;/rt&gt;&lt;/ruby&gt;&lt;br&gt;&lt;div class="audio"&gt;[sound:せいれつ.mp3]&lt;/div&gt;</v>
      </c>
      <c r="H5995" s="3" t="str">
        <f t="shared" si="1"/>
        <v>(n): xếp hàng</v>
      </c>
      <c r="I5995" s="6" t="s">
        <v>32633</v>
      </c>
      <c r="J5995" s="6" t="s">
        <v>32634</v>
      </c>
      <c r="K5995" s="7">
        <f t="shared" si="2"/>
        <v>0.4374918225</v>
      </c>
    </row>
    <row r="5996">
      <c r="A5996" s="4">
        <v>5996.0</v>
      </c>
      <c r="B5996" s="5" t="s">
        <v>32635</v>
      </c>
      <c r="C5996" s="5" t="s">
        <v>32636</v>
      </c>
      <c r="D5996" s="5" t="s">
        <v>32637</v>
      </c>
      <c r="E5996" s="6" t="s">
        <v>74</v>
      </c>
      <c r="F5996" s="6" t="s">
        <v>32638</v>
      </c>
      <c r="G5996" s="3" t="str">
        <f>IFERROR(__xludf.DUMMYFUNCTION("REGEXREPLACE(
D5996,
""([一-龯々]+)\[([^\]]+)\]"",
""&lt;ruby&gt;$1&lt;rt&gt;$2&lt;/rt&gt;&lt;/ruby&gt;""
)&amp;""&lt;br&gt;&lt;div class=""""audio""""&gt;[sound:""&amp;C5996&amp;"".mp3]&lt;/div&gt;"""),"&lt;ruby&gt;新婚&lt;rt&gt;しんこん&lt;/rt&gt;&lt;/ruby&gt;&lt;br&gt;&lt;div class=""audio""&gt;[sound:しんこん.mp3]&lt;/div&gt;")</f>
        <v>&lt;ruby&gt;新婚&lt;rt&gt;しんこん&lt;/rt&gt;&lt;/ruby&gt;&lt;br&gt;&lt;div class="audio"&gt;[sound:しんこん.mp3]&lt;/div&gt;</v>
      </c>
      <c r="H5996" s="3" t="str">
        <f t="shared" si="1"/>
        <v>(n): mới cưới</v>
      </c>
      <c r="I5996" s="6" t="s">
        <v>32639</v>
      </c>
      <c r="J5996" s="6" t="s">
        <v>32640</v>
      </c>
      <c r="K5996" s="7">
        <f t="shared" si="2"/>
        <v>0.4404952246</v>
      </c>
    </row>
    <row r="5997">
      <c r="A5997" s="4">
        <v>5997.0</v>
      </c>
      <c r="B5997" s="5" t="s">
        <v>32641</v>
      </c>
      <c r="C5997" s="5" t="s">
        <v>32642</v>
      </c>
      <c r="D5997" s="5" t="s">
        <v>32643</v>
      </c>
      <c r="E5997" s="6" t="s">
        <v>74</v>
      </c>
      <c r="F5997" s="6" t="s">
        <v>8260</v>
      </c>
      <c r="G5997" s="3" t="str">
        <f>IFERROR(__xludf.DUMMYFUNCTION("REGEXREPLACE(
D5997,
""([一-龯々]+)\[([^\]]+)\]"",
""&lt;ruby&gt;$1&lt;rt&gt;$2&lt;/rt&gt;&lt;/ruby&gt;""
)&amp;""&lt;br&gt;&lt;div class=""""audio""""&gt;[sound:""&amp;C5997&amp;"".mp3]&lt;/div&gt;"""),"&lt;ruby&gt;旅券&lt;rt&gt;りょけん&lt;/rt&gt;&lt;/ruby&gt;&lt;br&gt;&lt;div class=""audio""&gt;[sound:りょけん.mp3]&lt;/div&gt;")</f>
        <v>&lt;ruby&gt;旅券&lt;rt&gt;りょけん&lt;/rt&gt;&lt;/ruby&gt;&lt;br&gt;&lt;div class="audio"&gt;[sound:りょけん.mp3]&lt;/div&gt;</v>
      </c>
      <c r="H5997" s="3" t="str">
        <f t="shared" si="1"/>
        <v>(n): hộ chiếu</v>
      </c>
      <c r="I5997" s="6" t="s">
        <v>32644</v>
      </c>
      <c r="J5997" s="6" t="s">
        <v>8262</v>
      </c>
      <c r="K5997" s="7">
        <f t="shared" si="2"/>
        <v>0.9630311199</v>
      </c>
    </row>
    <row r="5998">
      <c r="A5998" s="4">
        <v>5998.0</v>
      </c>
      <c r="B5998" s="5" t="s">
        <v>32645</v>
      </c>
      <c r="C5998" s="5" t="s">
        <v>32646</v>
      </c>
      <c r="D5998" s="5" t="s">
        <v>32647</v>
      </c>
      <c r="E5998" s="6" t="s">
        <v>74</v>
      </c>
      <c r="F5998" s="6" t="s">
        <v>9075</v>
      </c>
      <c r="G5998" s="3" t="str">
        <f>IFERROR(__xludf.DUMMYFUNCTION("REGEXREPLACE(
D5998,
""([一-龯々]+)\[([^\]]+)\]"",
""&lt;ruby&gt;$1&lt;rt&gt;$2&lt;/rt&gt;&lt;/ruby&gt;""
)&amp;""&lt;br&gt;&lt;div class=""""audio""""&gt;[sound:""&amp;C5998&amp;"".mp3]&lt;/div&gt;"""),"&lt;ruby&gt;昼飯&lt;rt&gt;ひるめし&lt;/rt&gt;&lt;/ruby&gt;&lt;br&gt;&lt;div class=""audio""&gt;[sound:ひるめし.mp3]&lt;/div&gt;")</f>
        <v>&lt;ruby&gt;昼飯&lt;rt&gt;ひるめし&lt;/rt&gt;&lt;/ruby&gt;&lt;br&gt;&lt;div class="audio"&gt;[sound:ひるめし.mp3]&lt;/div&gt;</v>
      </c>
      <c r="H5998" s="3" t="str">
        <f t="shared" si="1"/>
        <v>(n): bữa trưa</v>
      </c>
      <c r="I5998" s="6" t="s">
        <v>32648</v>
      </c>
      <c r="J5998" s="6" t="s">
        <v>9077</v>
      </c>
      <c r="K5998" s="7">
        <f t="shared" si="2"/>
        <v>0.2304501691</v>
      </c>
    </row>
    <row r="5999">
      <c r="A5999" s="4">
        <v>5999.0</v>
      </c>
      <c r="B5999" s="5" t="s">
        <v>32649</v>
      </c>
      <c r="C5999" s="5" t="s">
        <v>32650</v>
      </c>
      <c r="D5999" s="5" t="s">
        <v>32651</v>
      </c>
      <c r="E5999" s="6" t="s">
        <v>24</v>
      </c>
      <c r="F5999" s="6" t="s">
        <v>6138</v>
      </c>
      <c r="G5999" s="3" t="str">
        <f>IFERROR(__xludf.DUMMYFUNCTION("REGEXREPLACE(
D5999,
""([一-龯々]+)\[([^\]]+)\]"",
""&lt;ruby&gt;$1&lt;rt&gt;$2&lt;/rt&gt;&lt;/ruby&gt;""
)&amp;""&lt;br&gt;&lt;div class=""""audio""""&gt;[sound:""&amp;C5999&amp;"".mp3]&lt;/div&gt;"""),"&lt;ruby&gt;書&lt;rt&gt;か&lt;/rt&gt;&lt;/ruby&gt;き&lt;ruby&gt;取&lt;rt&gt;と&lt;/rt&gt;&lt;/ruby&gt;る&lt;br&gt;&lt;div class=""audio""&gt;[sound:かきとる.mp3]&lt;/div&gt;")</f>
        <v>&lt;ruby&gt;書&lt;rt&gt;か&lt;/rt&gt;&lt;/ruby&gt;き&lt;ruby&gt;取&lt;rt&gt;と&lt;/rt&gt;&lt;/ruby&gt;る&lt;br&gt;&lt;div class="audio"&gt;[sound:かきとる.mp3]&lt;/div&gt;</v>
      </c>
      <c r="H5999" s="3" t="str">
        <f t="shared" si="1"/>
        <v>(v): ghi chép</v>
      </c>
      <c r="I5999" s="6" t="s">
        <v>32652</v>
      </c>
      <c r="J5999" s="6" t="s">
        <v>32653</v>
      </c>
      <c r="K5999" s="7">
        <f t="shared" si="2"/>
        <v>0.3474857789</v>
      </c>
    </row>
    <row r="6000">
      <c r="A6000" s="4">
        <v>6000.0</v>
      </c>
      <c r="B6000" s="5" t="s">
        <v>32654</v>
      </c>
      <c r="C6000" s="5" t="s">
        <v>32655</v>
      </c>
      <c r="D6000" s="5" t="s">
        <v>32656</v>
      </c>
      <c r="E6000" s="6" t="s">
        <v>74</v>
      </c>
      <c r="F6000" s="6" t="s">
        <v>32657</v>
      </c>
      <c r="G6000" s="3" t="str">
        <f>IFERROR(__xludf.DUMMYFUNCTION("REGEXREPLACE(
D6000,
""([一-龯々]+)\[([^\]]+)\]"",
""&lt;ruby&gt;$1&lt;rt&gt;$2&lt;/rt&gt;&lt;/ruby&gt;""
)&amp;""&lt;br&gt;&lt;div class=""""audio""""&gt;[sound:""&amp;C6000&amp;"".mp3]&lt;/div&gt;"""),"&lt;ruby&gt;庶務&lt;rt&gt;しょむ&lt;/rt&gt;&lt;/ruby&gt;&lt;br&gt;&lt;div class=""audio""&gt;[sound:しょむ.mp3]&lt;/div&gt;")</f>
        <v>&lt;ruby&gt;庶務&lt;rt&gt;しょむ&lt;/rt&gt;&lt;/ruby&gt;&lt;br&gt;&lt;div class="audio"&gt;[sound:しょむ.mp3]&lt;/div&gt;</v>
      </c>
      <c r="H6000" s="3" t="str">
        <f t="shared" si="1"/>
        <v>(n): tổng vụ</v>
      </c>
      <c r="I6000" s="6" t="s">
        <v>32658</v>
      </c>
      <c r="J6000" s="6" t="s">
        <v>32659</v>
      </c>
      <c r="K6000" s="7">
        <f t="shared" si="2"/>
        <v>0.3849666525</v>
      </c>
    </row>
    <row r="6001">
      <c r="A6001" s="4">
        <v>6001.0</v>
      </c>
      <c r="B6001" s="5" t="s">
        <v>32660</v>
      </c>
      <c r="C6001" s="5" t="s">
        <v>32661</v>
      </c>
      <c r="D6001" s="5" t="s">
        <v>32662</v>
      </c>
      <c r="E6001" s="6" t="s">
        <v>74</v>
      </c>
      <c r="F6001" s="6" t="s">
        <v>2803</v>
      </c>
      <c r="G6001" s="3" t="str">
        <f>IFERROR(__xludf.DUMMYFUNCTION("REGEXREPLACE(
D6001,
""([一-龯々]+)\[([^\]]+)\]"",
""&lt;ruby&gt;$1&lt;rt&gt;$2&lt;/rt&gt;&lt;/ruby&gt;""
)&amp;""&lt;br&gt;&lt;div class=""""audio""""&gt;[sound:""&amp;C6001&amp;"".mp3]&lt;/div&gt;"""),"&lt;ruby&gt;心掛&lt;rt&gt;こころが&lt;/rt&gt;&lt;/ruby&gt;け&lt;br&gt;&lt;div class=""audio""&gt;[sound:こころがけ.mp3]&lt;/div&gt;")</f>
        <v>&lt;ruby&gt;心掛&lt;rt&gt;こころが&lt;/rt&gt;&lt;/ruby&gt;け&lt;br&gt;&lt;div class="audio"&gt;[sound:こころがけ.mp3]&lt;/div&gt;</v>
      </c>
      <c r="H6001" s="3" t="str">
        <f t="shared" si="1"/>
        <v>(n): cố gắng</v>
      </c>
      <c r="I6001" s="6" t="s">
        <v>32663</v>
      </c>
      <c r="J6001" s="6" t="s">
        <v>32664</v>
      </c>
      <c r="K6001" s="7">
        <f t="shared" si="2"/>
        <v>0.8692097562</v>
      </c>
    </row>
    <row r="6002">
      <c r="A6002" s="4">
        <v>6002.0</v>
      </c>
      <c r="B6002" s="5" t="s">
        <v>32665</v>
      </c>
      <c r="C6002" s="5" t="s">
        <v>32666</v>
      </c>
      <c r="D6002" s="5" t="s">
        <v>32667</v>
      </c>
      <c r="E6002" s="6" t="s">
        <v>24</v>
      </c>
      <c r="F6002" s="6" t="s">
        <v>10737</v>
      </c>
      <c r="G6002" s="3" t="str">
        <f>IFERROR(__xludf.DUMMYFUNCTION("REGEXREPLACE(
D6002,
""([一-龯々]+)\[([^\]]+)\]"",
""&lt;ruby&gt;$1&lt;rt&gt;$2&lt;/rt&gt;&lt;/ruby&gt;""
)&amp;""&lt;br&gt;&lt;div class=""""audio""""&gt;[sound:""&amp;C6002&amp;"".mp3]&lt;/div&gt;"""),"&lt;ruby&gt;恐&lt;rt&gt;おそ&lt;/rt&gt;&lt;/ruby&gt;れ&lt;ruby&gt;入&lt;rt&gt;い&lt;/rt&gt;&lt;/ruby&gt;る&lt;br&gt;&lt;div class=""audio""&gt;[sound:おそれいる.mp3]&lt;/div&gt;")</f>
        <v>&lt;ruby&gt;恐&lt;rt&gt;おそ&lt;/rt&gt;&lt;/ruby&gt;れ&lt;ruby&gt;入&lt;rt&gt;い&lt;/rt&gt;&lt;/ruby&gt;る&lt;br&gt;&lt;div class="audio"&gt;[sound:おそれいる.mp3]&lt;/div&gt;</v>
      </c>
      <c r="H6002" s="3" t="str">
        <f t="shared" si="1"/>
        <v>(v): xin lỗi</v>
      </c>
      <c r="I6002" s="6" t="s">
        <v>32668</v>
      </c>
      <c r="J6002" s="6" t="s">
        <v>32669</v>
      </c>
      <c r="K6002" s="7">
        <f t="shared" si="2"/>
        <v>0.2414868741</v>
      </c>
    </row>
    <row r="6003">
      <c r="A6003" s="4">
        <v>6003.0</v>
      </c>
      <c r="B6003" s="5" t="s">
        <v>32670</v>
      </c>
      <c r="C6003" s="5" t="s">
        <v>32671</v>
      </c>
      <c r="D6003" s="5" t="s">
        <v>32672</v>
      </c>
      <c r="E6003" s="6" t="s">
        <v>24</v>
      </c>
      <c r="F6003" s="6" t="s">
        <v>4016</v>
      </c>
      <c r="G6003" s="3" t="str">
        <f>IFERROR(__xludf.DUMMYFUNCTION("REGEXREPLACE(
D6003,
""([一-龯々]+)\[([^\]]+)\]"",
""&lt;ruby&gt;$1&lt;rt&gt;$2&lt;/rt&gt;&lt;/ruby&gt;""
)&amp;""&lt;br&gt;&lt;div class=""""audio""""&gt;[sound:""&amp;C6003&amp;"".mp3]&lt;/div&gt;"""),"&lt;ruby&gt;恵&lt;rt&gt;めぐ&lt;/rt&gt;&lt;/ruby&gt;む&lt;br&gt;&lt;div class=""audio""&gt;[sound:めぐむ.mp3]&lt;/div&gt;")</f>
        <v>&lt;ruby&gt;恵&lt;rt&gt;めぐ&lt;/rt&gt;&lt;/ruby&gt;む&lt;br&gt;&lt;div class="audio"&gt;[sound:めぐむ.mp3]&lt;/div&gt;</v>
      </c>
      <c r="H6003" s="3" t="str">
        <f t="shared" si="1"/>
        <v>(v): ban cho</v>
      </c>
      <c r="I6003" s="6" t="s">
        <v>32673</v>
      </c>
      <c r="J6003" s="6" t="s">
        <v>32674</v>
      </c>
      <c r="K6003" s="7">
        <f t="shared" si="2"/>
        <v>0.2162913619</v>
      </c>
    </row>
    <row r="6004">
      <c r="A6004" s="4">
        <v>6004.0</v>
      </c>
      <c r="B6004" s="5" t="s">
        <v>32675</v>
      </c>
      <c r="C6004" s="5" t="s">
        <v>32676</v>
      </c>
      <c r="D6004" s="5" t="s">
        <v>32677</v>
      </c>
      <c r="E6004" s="6" t="s">
        <v>11</v>
      </c>
      <c r="F6004" s="6" t="s">
        <v>32678</v>
      </c>
      <c r="G6004" s="3" t="str">
        <f>IFERROR(__xludf.DUMMYFUNCTION("REGEXREPLACE(
D6004,
""([一-龯々]+)\[([^\]]+)\]"",
""&lt;ruby&gt;$1&lt;rt&gt;$2&lt;/rt&gt;&lt;/ruby&gt;""
)&amp;""&lt;br&gt;&lt;div class=""""audio""""&gt;[sound:""&amp;C6004&amp;"".mp3]&lt;/div&gt;"""),"&lt;ruby&gt;手近&lt;rt&gt;てぢか&lt;/rt&gt;&lt;/ruby&gt;&lt;br&gt;&lt;div class=""audio""&gt;[sound:てぢか.mp3]&lt;/div&gt;")</f>
        <v>&lt;ruby&gt;手近&lt;rt&gt;てぢか&lt;/rt&gt;&lt;/ruby&gt;&lt;br&gt;&lt;div class="audio"&gt;[sound:てぢか.mp3]&lt;/div&gt;</v>
      </c>
      <c r="H6004" s="3" t="str">
        <f t="shared" si="1"/>
        <v>(adj): gần tay</v>
      </c>
      <c r="I6004" s="6" t="s">
        <v>32679</v>
      </c>
      <c r="J6004" s="6" t="s">
        <v>32680</v>
      </c>
      <c r="K6004" s="7">
        <f t="shared" si="2"/>
        <v>0.6366521276</v>
      </c>
    </row>
    <row r="6005">
      <c r="A6005" s="4">
        <v>6005.0</v>
      </c>
      <c r="B6005" s="5" t="s">
        <v>32681</v>
      </c>
      <c r="C6005" s="5" t="s">
        <v>32682</v>
      </c>
      <c r="D6005" s="5" t="s">
        <v>32683</v>
      </c>
      <c r="E6005" s="6" t="s">
        <v>74</v>
      </c>
      <c r="F6005" s="6" t="s">
        <v>32684</v>
      </c>
      <c r="G6005" s="3" t="str">
        <f>IFERROR(__xludf.DUMMYFUNCTION("REGEXREPLACE(
D6005,
""([一-龯々]+)\[([^\]]+)\]"",
""&lt;ruby&gt;$1&lt;rt&gt;$2&lt;/rt&gt;&lt;/ruby&gt;""
)&amp;""&lt;br&gt;&lt;div class=""""audio""""&gt;[sound:""&amp;C6005&amp;"".mp3]&lt;/div&gt;"""),"&lt;ruby&gt;折衷&lt;rt&gt;せっちゅう&lt;/rt&gt;&lt;/ruby&gt;&lt;br&gt;&lt;div class=""audio""&gt;[sound:せっちゅう.mp3]&lt;/div&gt;")</f>
        <v>&lt;ruby&gt;折衷&lt;rt&gt;せっちゅう&lt;/rt&gt;&lt;/ruby&gt;&lt;br&gt;&lt;div class="audio"&gt;[sound:せっちゅう.mp3]&lt;/div&gt;</v>
      </c>
      <c r="H6005" s="3" t="str">
        <f t="shared" si="1"/>
        <v>(n): hòa hợp</v>
      </c>
      <c r="I6005" s="6" t="s">
        <v>32685</v>
      </c>
      <c r="J6005" s="6" t="s">
        <v>32686</v>
      </c>
      <c r="K6005" s="7">
        <f t="shared" si="2"/>
        <v>0.1667689674</v>
      </c>
    </row>
    <row r="6006">
      <c r="A6006" s="4">
        <v>6006.0</v>
      </c>
      <c r="B6006" s="5" t="s">
        <v>32687</v>
      </c>
      <c r="C6006" s="5" t="s">
        <v>32688</v>
      </c>
      <c r="D6006" s="5" t="s">
        <v>32689</v>
      </c>
      <c r="E6006" s="6" t="s">
        <v>24</v>
      </c>
      <c r="F6006" s="6" t="s">
        <v>32690</v>
      </c>
      <c r="G6006" s="3" t="str">
        <f>IFERROR(__xludf.DUMMYFUNCTION("REGEXREPLACE(
D6006,
""([一-龯々]+)\[([^\]]+)\]"",
""&lt;ruby&gt;$1&lt;rt&gt;$2&lt;/rt&gt;&lt;/ruby&gt;""
)&amp;""&lt;br&gt;&lt;div class=""""audio""""&gt;[sound:""&amp;C6006&amp;"".mp3]&lt;/div&gt;"""),"&lt;ruby&gt;指差&lt;rt&gt;ゆびさ&lt;/rt&gt;&lt;/ruby&gt;す&lt;br&gt;&lt;div class=""audio""&gt;[sound:ゆびさす.mp3]&lt;/div&gt;")</f>
        <v>&lt;ruby&gt;指差&lt;rt&gt;ゆびさ&lt;/rt&gt;&lt;/ruby&gt;す&lt;br&gt;&lt;div class="audio"&gt;[sound:ゆびさす.mp3]&lt;/div&gt;</v>
      </c>
      <c r="H6006" s="3" t="str">
        <f t="shared" si="1"/>
        <v>(v): chỉ tay</v>
      </c>
      <c r="I6006" s="6" t="s">
        <v>32691</v>
      </c>
      <c r="J6006" s="6" t="s">
        <v>32692</v>
      </c>
      <c r="K6006" s="7">
        <f t="shared" si="2"/>
        <v>0.8829469727</v>
      </c>
    </row>
    <row r="6007">
      <c r="A6007" s="4">
        <v>6007.0</v>
      </c>
      <c r="B6007" s="5" t="s">
        <v>32693</v>
      </c>
      <c r="C6007" s="5" t="s">
        <v>32694</v>
      </c>
      <c r="D6007" s="5" t="s">
        <v>32695</v>
      </c>
      <c r="E6007" s="6" t="s">
        <v>24</v>
      </c>
      <c r="F6007" s="6" t="s">
        <v>32696</v>
      </c>
      <c r="G6007" s="3" t="str">
        <f>IFERROR(__xludf.DUMMYFUNCTION("REGEXREPLACE(
D6007,
""([一-龯々]+)\[([^\]]+)\]"",
""&lt;ruby&gt;$1&lt;rt&gt;$2&lt;/rt&gt;&lt;/ruby&gt;""
)&amp;""&lt;br&gt;&lt;div class=""""audio""""&gt;[sound:""&amp;C6007&amp;"".mp3]&lt;/div&gt;"""),"&lt;ruby&gt;損&lt;rt&gt;そこな&lt;/rt&gt;&lt;/ruby&gt;う&lt;br&gt;&lt;div class=""audio""&gt;[sound:そこなう.mp3]&lt;/div&gt;")</f>
        <v>&lt;ruby&gt;損&lt;rt&gt;そこな&lt;/rt&gt;&lt;/ruby&gt;う&lt;br&gt;&lt;div class="audio"&gt;[sound:そこなう.mp3]&lt;/div&gt;</v>
      </c>
      <c r="H6007" s="3" t="str">
        <f t="shared" si="1"/>
        <v>(v): làm hại</v>
      </c>
      <c r="I6007" s="6" t="s">
        <v>32697</v>
      </c>
      <c r="J6007" s="6" t="s">
        <v>32698</v>
      </c>
      <c r="K6007" s="7">
        <f t="shared" si="2"/>
        <v>0.4684915695</v>
      </c>
    </row>
    <row r="6008">
      <c r="A6008" s="4">
        <v>6008.0</v>
      </c>
      <c r="B6008" s="5" t="s">
        <v>32699</v>
      </c>
      <c r="C6008" s="5" t="s">
        <v>32700</v>
      </c>
      <c r="D6008" s="5" t="s">
        <v>32701</v>
      </c>
      <c r="E6008" s="6" t="s">
        <v>24</v>
      </c>
      <c r="F6008" s="6" t="s">
        <v>32702</v>
      </c>
      <c r="G6008" s="3" t="str">
        <f>IFERROR(__xludf.DUMMYFUNCTION("REGEXREPLACE(
D6008,
""([一-龯々]+)\[([^\]]+)\]"",
""&lt;ruby&gt;$1&lt;rt&gt;$2&lt;/rt&gt;&lt;/ruby&gt;""
)&amp;""&lt;br&gt;&lt;div class=""""audio""""&gt;[sound:""&amp;C6008&amp;"".mp3]&lt;/div&gt;"""),"&lt;ruby&gt;放&lt;rt&gt;ほう&lt;/rt&gt;&lt;/ruby&gt;り&lt;ruby&gt;込&lt;rt&gt;こ&lt;/rt&gt;&lt;/ruby&gt;む&lt;br&gt;&lt;div class=""audio""&gt;[sound:ほうりこむ.mp3]&lt;/div&gt;")</f>
        <v>&lt;ruby&gt;放&lt;rt&gt;ほう&lt;/rt&gt;&lt;/ruby&gt;り&lt;ruby&gt;込&lt;rt&gt;こ&lt;/rt&gt;&lt;/ruby&gt;む&lt;br&gt;&lt;div class="audio"&gt;[sound:ほうりこむ.mp3]&lt;/div&gt;</v>
      </c>
      <c r="H6008" s="3" t="str">
        <f t="shared" si="1"/>
        <v>(v): ném vào</v>
      </c>
      <c r="I6008" s="6" t="s">
        <v>32703</v>
      </c>
      <c r="J6008" s="6" t="s">
        <v>32704</v>
      </c>
      <c r="K6008" s="7">
        <f t="shared" si="2"/>
        <v>0.5167415294</v>
      </c>
    </row>
    <row r="6009">
      <c r="A6009" s="4">
        <v>6009.0</v>
      </c>
      <c r="B6009" s="5" t="s">
        <v>32705</v>
      </c>
      <c r="C6009" s="5" t="s">
        <v>32706</v>
      </c>
      <c r="D6009" s="5" t="s">
        <v>32707</v>
      </c>
      <c r="E6009" s="6" t="s">
        <v>11</v>
      </c>
      <c r="F6009" s="6" t="s">
        <v>32708</v>
      </c>
      <c r="G6009" s="3" t="str">
        <f>IFERROR(__xludf.DUMMYFUNCTION("REGEXREPLACE(
D6009,
""([一-龯々]+)\[([^\]]+)\]"",
""&lt;ruby&gt;$1&lt;rt&gt;$2&lt;/rt&gt;&lt;/ruby&gt;""
)&amp;""&lt;br&gt;&lt;div class=""""audio""""&gt;[sound:""&amp;C6009&amp;"".mp3]&lt;/div&gt;"""),"&lt;ruby&gt;心細&lt;rt&gt;こころぼそ&lt;/rt&gt;&lt;/ruby&gt;い&lt;br&gt;&lt;div class=""audio""&gt;[sound:こころぼそい.mp3]&lt;/div&gt;")</f>
        <v>&lt;ruby&gt;心細&lt;rt&gt;こころぼそ&lt;/rt&gt;&lt;/ruby&gt;い&lt;br&gt;&lt;div class="audio"&gt;[sound:こころぼそい.mp3]&lt;/div&gt;</v>
      </c>
      <c r="H6009" s="3" t="str">
        <f t="shared" si="1"/>
        <v>(adj): bất an</v>
      </c>
      <c r="I6009" s="6" t="s">
        <v>32709</v>
      </c>
      <c r="J6009" s="6" t="s">
        <v>32710</v>
      </c>
      <c r="K6009" s="7">
        <f t="shared" si="2"/>
        <v>0.9637777024</v>
      </c>
    </row>
    <row r="6010">
      <c r="A6010" s="4">
        <v>6010.0</v>
      </c>
      <c r="B6010" s="5" t="s">
        <v>32711</v>
      </c>
      <c r="C6010" s="5" t="s">
        <v>32712</v>
      </c>
      <c r="D6010" s="5" t="s">
        <v>32713</v>
      </c>
      <c r="E6010" s="6" t="s">
        <v>74</v>
      </c>
      <c r="F6010" s="6" t="s">
        <v>32714</v>
      </c>
      <c r="G6010" s="3" t="str">
        <f>IFERROR(__xludf.DUMMYFUNCTION("REGEXREPLACE(
D6010,
""([一-龯々]+)\[([^\]]+)\]"",
""&lt;ruby&gt;$1&lt;rt&gt;$2&lt;/rt&gt;&lt;/ruby&gt;""
)&amp;""&lt;br&gt;&lt;div class=""""audio""""&gt;[sound:""&amp;C6010&amp;"".mp3]&lt;/div&gt;"""),"&lt;ruby&gt;応急&lt;rt&gt;おうきゅう&lt;/rt&gt;&lt;/ruby&gt;&lt;br&gt;&lt;div class=""audio""&gt;[sound:おうきゅう.mp3]&lt;/div&gt;")</f>
        <v>&lt;ruby&gt;応急&lt;rt&gt;おうきゅう&lt;/rt&gt;&lt;/ruby&gt;&lt;br&gt;&lt;div class="audio"&gt;[sound:おうきゅう.mp3]&lt;/div&gt;</v>
      </c>
      <c r="H6010" s="3" t="str">
        <f t="shared" si="1"/>
        <v>(n): sơ cứu</v>
      </c>
      <c r="I6010" s="6" t="s">
        <v>32715</v>
      </c>
      <c r="J6010" s="6" t="s">
        <v>32716</v>
      </c>
      <c r="K6010" s="7">
        <f t="shared" si="2"/>
        <v>0.652759038</v>
      </c>
    </row>
    <row r="6011">
      <c r="A6011" s="4">
        <v>6011.0</v>
      </c>
      <c r="B6011" s="5" t="s">
        <v>32717</v>
      </c>
      <c r="C6011" s="5" t="s">
        <v>32718</v>
      </c>
      <c r="D6011" s="5" t="s">
        <v>32719</v>
      </c>
      <c r="E6011" s="6" t="s">
        <v>11</v>
      </c>
      <c r="F6011" s="6" t="s">
        <v>23519</v>
      </c>
      <c r="G6011" s="3" t="str">
        <f>IFERROR(__xludf.DUMMYFUNCTION("REGEXREPLACE(
D6011,
""([一-龯々]+)\[([^\]]+)\]"",
""&lt;ruby&gt;$1&lt;rt&gt;$2&lt;/rt&gt;&lt;/ruby&gt;""
)&amp;""&lt;br&gt;&lt;div class=""""audio""""&gt;[sound:""&amp;C6011&amp;"".mp3]&lt;/div&gt;"""),"&lt;ruby&gt;明朗&lt;rt&gt;めいろう&lt;/rt&gt;&lt;/ruby&gt;&lt;br&gt;&lt;div class=""audio""&gt;[sound:めいろう.mp3]&lt;/div&gt;")</f>
        <v>&lt;ruby&gt;明朗&lt;rt&gt;めいろう&lt;/rt&gt;&lt;/ruby&gt;&lt;br&gt;&lt;div class="audio"&gt;[sound:めいろう.mp3]&lt;/div&gt;</v>
      </c>
      <c r="H6011" s="3" t="str">
        <f t="shared" si="1"/>
        <v>(adj): vui vẻ</v>
      </c>
      <c r="I6011" s="6" t="s">
        <v>32720</v>
      </c>
      <c r="J6011" s="6" t="s">
        <v>32721</v>
      </c>
      <c r="K6011" s="7">
        <f t="shared" si="2"/>
        <v>0.8057726646</v>
      </c>
    </row>
    <row r="6012">
      <c r="A6012" s="4">
        <v>6012.0</v>
      </c>
      <c r="B6012" s="5" t="s">
        <v>32722</v>
      </c>
      <c r="C6012" s="5" t="s">
        <v>32723</v>
      </c>
      <c r="D6012" s="5" t="s">
        <v>32724</v>
      </c>
      <c r="E6012" s="6" t="s">
        <v>74</v>
      </c>
      <c r="F6012" s="6" t="s">
        <v>32725</v>
      </c>
      <c r="G6012" s="3" t="str">
        <f>IFERROR(__xludf.DUMMYFUNCTION("REGEXREPLACE(
D6012,
""([一-龯々]+)\[([^\]]+)\]"",
""&lt;ruby&gt;$1&lt;rt&gt;$2&lt;/rt&gt;&lt;/ruby&gt;""
)&amp;""&lt;br&gt;&lt;div class=""""audio""""&gt;[sound:""&amp;C6012&amp;"".mp3]&lt;/div&gt;"""),"&lt;ruby&gt;数詞&lt;rt&gt;すうし&lt;/rt&gt;&lt;/ruby&gt;&lt;br&gt;&lt;div class=""audio""&gt;[sound:すうし.mp3]&lt;/div&gt;")</f>
        <v>&lt;ruby&gt;数詞&lt;rt&gt;すうし&lt;/rt&gt;&lt;/ruby&gt;&lt;br&gt;&lt;div class="audio"&gt;[sound:すうし.mp3]&lt;/div&gt;</v>
      </c>
      <c r="H6012" s="3" t="str">
        <f t="shared" si="1"/>
        <v>(n): số từ</v>
      </c>
      <c r="I6012" s="6" t="s">
        <v>32726</v>
      </c>
      <c r="J6012" s="6" t="s">
        <v>32727</v>
      </c>
      <c r="K6012" s="7">
        <f t="shared" si="2"/>
        <v>0.4340671558</v>
      </c>
    </row>
    <row r="6013">
      <c r="A6013" s="4">
        <v>6013.0</v>
      </c>
      <c r="B6013" s="5" t="s">
        <v>32728</v>
      </c>
      <c r="C6013" s="5" t="s">
        <v>32729</v>
      </c>
      <c r="D6013" s="5" t="s">
        <v>32730</v>
      </c>
      <c r="E6013" s="6" t="s">
        <v>24</v>
      </c>
      <c r="F6013" s="6" t="s">
        <v>32731</v>
      </c>
      <c r="G6013" s="3" t="str">
        <f>IFERROR(__xludf.DUMMYFUNCTION("REGEXREPLACE(
D6013,
""([一-龯々]+)\[([^\]]+)\]"",
""&lt;ruby&gt;$1&lt;rt&gt;$2&lt;/rt&gt;&lt;/ruby&gt;""
)&amp;""&lt;br&gt;&lt;div class=""""audio""""&gt;[sound:""&amp;C6013&amp;"".mp3]&lt;/div&gt;"""),"&lt;ruby&gt;懲&lt;rt&gt;こ&lt;/rt&gt;&lt;/ruby&gt;りる&lt;br&gt;&lt;div class=""audio""&gt;[sound:こりる.mp3]&lt;/div&gt;")</f>
        <v>&lt;ruby&gt;懲&lt;rt&gt;こ&lt;/rt&gt;&lt;/ruby&gt;りる&lt;br&gt;&lt;div class="audio"&gt;[sound:こりる.mp3]&lt;/div&gt;</v>
      </c>
      <c r="H6013" s="3" t="str">
        <f t="shared" si="1"/>
        <v>(v): chừa</v>
      </c>
      <c r="I6013" s="6" t="s">
        <v>32732</v>
      </c>
      <c r="J6013" s="6" t="s">
        <v>32733</v>
      </c>
      <c r="K6013" s="7">
        <f t="shared" si="2"/>
        <v>0.7147729719</v>
      </c>
    </row>
    <row r="6014">
      <c r="A6014" s="4">
        <v>6014.0</v>
      </c>
      <c r="B6014" s="5" t="s">
        <v>32734</v>
      </c>
      <c r="C6014" s="5" t="s">
        <v>32735</v>
      </c>
      <c r="D6014" s="5" t="s">
        <v>32736</v>
      </c>
      <c r="E6014" s="6" t="s">
        <v>74</v>
      </c>
      <c r="F6014" s="6" t="s">
        <v>8968</v>
      </c>
      <c r="G6014" s="3" t="str">
        <f>IFERROR(__xludf.DUMMYFUNCTION("REGEXREPLACE(
D6014,
""([一-龯々]+)\[([^\]]+)\]"",
""&lt;ruby&gt;$1&lt;rt&gt;$2&lt;/rt&gt;&lt;/ruby&gt;""
)&amp;""&lt;br&gt;&lt;div class=""""audio""""&gt;[sound:""&amp;C6014&amp;"".mp3]&lt;/div&gt;"""),"&lt;ruby&gt;拝借&lt;rt&gt;はいしゃく&lt;/rt&gt;&lt;/ruby&gt;&lt;br&gt;&lt;div class=""audio""&gt;[sound:はいしゃく.mp3]&lt;/div&gt;")</f>
        <v>&lt;ruby&gt;拝借&lt;rt&gt;はいしゃく&lt;/rt&gt;&lt;/ruby&gt;&lt;br&gt;&lt;div class="audio"&gt;[sound:はいしゃく.mp3]&lt;/div&gt;</v>
      </c>
      <c r="H6014" s="3" t="str">
        <f t="shared" si="1"/>
        <v>(n): mượn</v>
      </c>
      <c r="I6014" s="6" t="s">
        <v>32737</v>
      </c>
      <c r="J6014" s="6" t="s">
        <v>32738</v>
      </c>
      <c r="K6014" s="7">
        <f t="shared" si="2"/>
        <v>0.2122799984</v>
      </c>
    </row>
    <row r="6015">
      <c r="A6015" s="4">
        <v>6015.0</v>
      </c>
      <c r="B6015" s="5" t="s">
        <v>32739</v>
      </c>
      <c r="C6015" s="5" t="s">
        <v>32740</v>
      </c>
      <c r="D6015" s="5" t="s">
        <v>32741</v>
      </c>
      <c r="E6015" s="6" t="s">
        <v>24</v>
      </c>
      <c r="F6015" s="6" t="s">
        <v>30961</v>
      </c>
      <c r="G6015" s="3" t="str">
        <f>IFERROR(__xludf.DUMMYFUNCTION("REGEXREPLACE(
D6015,
""([一-龯々]+)\[([^\]]+)\]"",
""&lt;ruby&gt;$1&lt;rt&gt;$2&lt;/rt&gt;&lt;/ruby&gt;""
)&amp;""&lt;br&gt;&lt;div class=""""audio""""&gt;[sound:""&amp;C6015&amp;"".mp3]&lt;/div&gt;"""),"&lt;ruby&gt;揺&lt;rt&gt;ゆ&lt;/rt&gt;&lt;/ruby&gt;さぶる&lt;br&gt;&lt;div class=""audio""&gt;[sound:ゆさぶる.mp3]&lt;/div&gt;")</f>
        <v>&lt;ruby&gt;揺&lt;rt&gt;ゆ&lt;/rt&gt;&lt;/ruby&gt;さぶる&lt;br&gt;&lt;div class="audio"&gt;[sound:ゆさぶる.mp3]&lt;/div&gt;</v>
      </c>
      <c r="H6015" s="3" t="str">
        <f t="shared" si="1"/>
        <v>(v): rung</v>
      </c>
      <c r="I6015" s="6" t="s">
        <v>32742</v>
      </c>
      <c r="J6015" s="6" t="s">
        <v>32743</v>
      </c>
      <c r="K6015" s="7">
        <f t="shared" si="2"/>
        <v>0.2145951942</v>
      </c>
    </row>
    <row r="6016">
      <c r="A6016" s="4">
        <v>6016.0</v>
      </c>
      <c r="B6016" s="5" t="s">
        <v>32744</v>
      </c>
      <c r="C6016" s="5" t="s">
        <v>32745</v>
      </c>
      <c r="D6016" s="5" t="s">
        <v>32746</v>
      </c>
      <c r="E6016" s="6" t="s">
        <v>74</v>
      </c>
      <c r="F6016" s="6" t="s">
        <v>456</v>
      </c>
      <c r="G6016" s="3" t="str">
        <f>IFERROR(__xludf.DUMMYFUNCTION("REGEXREPLACE(
D6016,
""([一-龯々]+)\[([^\]]+)\]"",
""&lt;ruby&gt;$1&lt;rt&gt;$2&lt;/rt&gt;&lt;/ruby&gt;""
)&amp;""&lt;br&gt;&lt;div class=""""audio""""&gt;[sound:""&amp;C6016&amp;"".mp3]&lt;/div&gt;"""),"&lt;ruby&gt;日取&lt;rt&gt;ひど&lt;/rt&gt;&lt;/ruby&gt;り&lt;br&gt;&lt;div class=""audio""&gt;[sound:ひどり.mp3]&lt;/div&gt;")</f>
        <v>&lt;ruby&gt;日取&lt;rt&gt;ひど&lt;/rt&gt;&lt;/ruby&gt;り&lt;br&gt;&lt;div class="audio"&gt;[sound:ひどり.mp3]&lt;/div&gt;</v>
      </c>
      <c r="H6016" s="3" t="str">
        <f t="shared" si="1"/>
        <v>(n): ngày</v>
      </c>
      <c r="I6016" s="6" t="s">
        <v>32747</v>
      </c>
      <c r="J6016" s="6" t="s">
        <v>32748</v>
      </c>
      <c r="K6016" s="7">
        <f t="shared" si="2"/>
        <v>0.2658943601</v>
      </c>
    </row>
    <row r="6017">
      <c r="A6017" s="4">
        <v>6017.0</v>
      </c>
      <c r="B6017" s="5" t="s">
        <v>32749</v>
      </c>
      <c r="C6017" s="5" t="s">
        <v>32750</v>
      </c>
      <c r="D6017" s="5" t="s">
        <v>32751</v>
      </c>
      <c r="E6017" s="6" t="s">
        <v>74</v>
      </c>
      <c r="F6017" s="6" t="s">
        <v>12127</v>
      </c>
      <c r="G6017" s="3" t="str">
        <f>IFERROR(__xludf.DUMMYFUNCTION("REGEXREPLACE(
D6017,
""([一-龯々]+)\[([^\]]+)\]"",
""&lt;ruby&gt;$1&lt;rt&gt;$2&lt;/rt&gt;&lt;/ruby&gt;""
)&amp;""&lt;br&gt;&lt;div class=""""audio""""&gt;[sound:""&amp;C6017&amp;"".mp3]&lt;/div&gt;"""),"&lt;ruby&gt;暦&lt;rt&gt;こよみ&lt;/rt&gt;&lt;/ruby&gt;&lt;br&gt;&lt;div class=""audio""&gt;[sound:こよみ.mp3]&lt;/div&gt;")</f>
        <v>&lt;ruby&gt;暦&lt;rt&gt;こよみ&lt;/rt&gt;&lt;/ruby&gt;&lt;br&gt;&lt;div class="audio"&gt;[sound:こよみ.mp3]&lt;/div&gt;</v>
      </c>
      <c r="H6017" s="3" t="str">
        <f t="shared" si="1"/>
        <v>(n): lịch</v>
      </c>
      <c r="I6017" s="6" t="s">
        <v>32752</v>
      </c>
      <c r="J6017" s="6" t="s">
        <v>12129</v>
      </c>
      <c r="K6017" s="7">
        <f t="shared" si="2"/>
        <v>0.4652648951</v>
      </c>
    </row>
    <row r="6018">
      <c r="A6018" s="4">
        <v>6018.0</v>
      </c>
      <c r="B6018" s="5" t="s">
        <v>32753</v>
      </c>
      <c r="C6018" s="5" t="s">
        <v>32754</v>
      </c>
      <c r="D6018" s="5" t="s">
        <v>32755</v>
      </c>
      <c r="E6018" s="6" t="s">
        <v>74</v>
      </c>
      <c r="F6018" s="6" t="s">
        <v>32756</v>
      </c>
      <c r="G6018" s="3" t="str">
        <f>IFERROR(__xludf.DUMMYFUNCTION("REGEXREPLACE(
D6018,
""([一-龯々]+)\[([^\]]+)\]"",
""&lt;ruby&gt;$1&lt;rt&gt;$2&lt;/rt&gt;&lt;/ruby&gt;""
)&amp;""&lt;br&gt;&lt;div class=""""audio""""&gt;[sound:""&amp;C6018&amp;"".mp3]&lt;/div&gt;"""),"&lt;ruby&gt;抱&lt;rt&gt;だ&lt;/rt&gt;&lt;/ruby&gt;っこ&lt;br&gt;&lt;div class=""audio""&gt;[sound:だっこ.mp3]&lt;/div&gt;")</f>
        <v>&lt;ruby&gt;抱&lt;rt&gt;だ&lt;/rt&gt;&lt;/ruby&gt;っこ&lt;br&gt;&lt;div class="audio"&gt;[sound:だっこ.mp3]&lt;/div&gt;</v>
      </c>
      <c r="H6018" s="3" t="str">
        <f t="shared" si="1"/>
        <v>(n): bế</v>
      </c>
      <c r="I6018" s="6" t="s">
        <v>32757</v>
      </c>
      <c r="J6018" s="6" t="s">
        <v>32758</v>
      </c>
      <c r="K6018" s="7">
        <f t="shared" si="2"/>
        <v>0.9298270751</v>
      </c>
    </row>
    <row r="6019">
      <c r="A6019" s="4">
        <v>6019.0</v>
      </c>
      <c r="B6019" s="5" t="s">
        <v>32759</v>
      </c>
      <c r="C6019" s="5" t="s">
        <v>21838</v>
      </c>
      <c r="D6019" s="5" t="s">
        <v>32760</v>
      </c>
      <c r="E6019" s="6" t="s">
        <v>74</v>
      </c>
      <c r="F6019" s="6" t="s">
        <v>32761</v>
      </c>
      <c r="G6019" s="3" t="str">
        <f>IFERROR(__xludf.DUMMYFUNCTION("REGEXREPLACE(
D6019,
""([一-龯々]+)\[([^\]]+)\]"",
""&lt;ruby&gt;$1&lt;rt&gt;$2&lt;/rt&gt;&lt;/ruby&gt;""
)&amp;""&lt;br&gt;&lt;div class=""""audio""""&gt;[sound:""&amp;C6019&amp;"".mp3]&lt;/div&gt;"""),"&lt;ruby&gt;有無&lt;rt&gt;うむ&lt;/rt&gt;&lt;/ruby&gt;&lt;br&gt;&lt;div class=""audio""&gt;[sound:うむ.mp3]&lt;/div&gt;")</f>
        <v>&lt;ruby&gt;有無&lt;rt&gt;うむ&lt;/rt&gt;&lt;/ruby&gt;&lt;br&gt;&lt;div class="audio"&gt;[sound:うむ.mp3]&lt;/div&gt;</v>
      </c>
      <c r="H6019" s="3" t="str">
        <f t="shared" si="1"/>
        <v>(n): có hay không</v>
      </c>
      <c r="I6019" s="6" t="s">
        <v>32762</v>
      </c>
      <c r="J6019" s="6" t="s">
        <v>32763</v>
      </c>
      <c r="K6019" s="7">
        <f t="shared" si="2"/>
        <v>0.91595504</v>
      </c>
    </row>
    <row r="6020">
      <c r="A6020" s="4">
        <v>6020.0</v>
      </c>
      <c r="B6020" s="5" t="s">
        <v>32764</v>
      </c>
      <c r="C6020" s="5" t="s">
        <v>32765</v>
      </c>
      <c r="D6020" s="5" t="s">
        <v>32766</v>
      </c>
      <c r="E6020" s="6" t="s">
        <v>74</v>
      </c>
      <c r="F6020" s="6" t="s">
        <v>32767</v>
      </c>
      <c r="G6020" s="3" t="str">
        <f>IFERROR(__xludf.DUMMYFUNCTION("REGEXREPLACE(
D6020,
""([一-龯々]+)\[([^\]]+)\]"",
""&lt;ruby&gt;$1&lt;rt&gt;$2&lt;/rt&gt;&lt;/ruby&gt;""
)&amp;""&lt;br&gt;&lt;div class=""""audio""""&gt;[sound:""&amp;C6020&amp;"".mp3]&lt;/div&gt;"""),"&lt;ruby&gt;東洋&lt;rt&gt;とうよう&lt;/rt&gt;&lt;/ruby&gt;&lt;br&gt;&lt;div class=""audio""&gt;[sound:とうよう.mp3]&lt;/div&gt;")</f>
        <v>&lt;ruby&gt;東洋&lt;rt&gt;とうよう&lt;/rt&gt;&lt;/ruby&gt;&lt;br&gt;&lt;div class="audio"&gt;[sound:とうよう.mp3]&lt;/div&gt;</v>
      </c>
      <c r="H6020" s="3" t="str">
        <f t="shared" si="1"/>
        <v>(n): phương đông</v>
      </c>
      <c r="I6020" s="6" t="s">
        <v>32768</v>
      </c>
      <c r="J6020" s="6" t="s">
        <v>32769</v>
      </c>
      <c r="K6020" s="7">
        <f t="shared" si="2"/>
        <v>0.408654179</v>
      </c>
    </row>
    <row r="6021">
      <c r="A6021" s="4">
        <v>6021.0</v>
      </c>
      <c r="B6021" s="5" t="s">
        <v>32770</v>
      </c>
      <c r="C6021" s="5" t="s">
        <v>22736</v>
      </c>
      <c r="D6021" s="5" t="s">
        <v>32771</v>
      </c>
      <c r="E6021" s="6" t="s">
        <v>74</v>
      </c>
      <c r="F6021" s="6" t="s">
        <v>9996</v>
      </c>
      <c r="G6021" s="3" t="str">
        <f>IFERROR(__xludf.DUMMYFUNCTION("REGEXREPLACE(
D6021,
""([一-龯々]+)\[([^\]]+)\]"",
""&lt;ruby&gt;$1&lt;rt&gt;$2&lt;/rt&gt;&lt;/ruby&gt;""
)&amp;""&lt;br&gt;&lt;div class=""""audio""""&gt;[sound:""&amp;C6021&amp;"".mp3]&lt;/div&gt;"""),"&lt;ruby&gt;機嫌&lt;rt&gt;きげん&lt;/rt&gt;&lt;/ruby&gt;&lt;br&gt;&lt;div class=""audio""&gt;[sound:きげん.mp3]&lt;/div&gt;")</f>
        <v>&lt;ruby&gt;機嫌&lt;rt&gt;きげん&lt;/rt&gt;&lt;/ruby&gt;&lt;br&gt;&lt;div class="audio"&gt;[sound:きげん.mp3]&lt;/div&gt;</v>
      </c>
      <c r="H6021" s="3" t="str">
        <f t="shared" si="1"/>
        <v>(n): tâm trạng</v>
      </c>
      <c r="I6021" s="6" t="s">
        <v>32772</v>
      </c>
      <c r="J6021" s="6" t="s">
        <v>9998</v>
      </c>
      <c r="K6021" s="7">
        <f t="shared" si="2"/>
        <v>0.4914109653</v>
      </c>
    </row>
    <row r="6022">
      <c r="A6022" s="4">
        <v>6022.0</v>
      </c>
      <c r="B6022" s="5" t="s">
        <v>32773</v>
      </c>
      <c r="C6022" s="5" t="s">
        <v>14272</v>
      </c>
      <c r="D6022" s="5" t="s">
        <v>32774</v>
      </c>
      <c r="E6022" s="6" t="s">
        <v>74</v>
      </c>
      <c r="F6022" s="6" t="s">
        <v>5956</v>
      </c>
      <c r="G6022" s="3" t="str">
        <f>IFERROR(__xludf.DUMMYFUNCTION("REGEXREPLACE(
D6022,
""([一-龯々]+)\[([^\]]+)\]"",
""&lt;ruby&gt;$1&lt;rt&gt;$2&lt;/rt&gt;&lt;/ruby&gt;""
)&amp;""&lt;br&gt;&lt;div class=""""audio""""&gt;[sound:""&amp;C6022&amp;"".mp3]&lt;/div&gt;"""),"&lt;ruby&gt;振興&lt;rt&gt;しんこう&lt;/rt&gt;&lt;/ruby&gt;&lt;br&gt;&lt;div class=""audio""&gt;[sound:しんこう.mp3]&lt;/div&gt;")</f>
        <v>&lt;ruby&gt;振興&lt;rt&gt;しんこう&lt;/rt&gt;&lt;/ruby&gt;&lt;br&gt;&lt;div class="audio"&gt;[sound:しんこう.mp3]&lt;/div&gt;</v>
      </c>
      <c r="H6022" s="3" t="str">
        <f t="shared" si="1"/>
        <v>(n): thúc đẩy</v>
      </c>
      <c r="I6022" s="6" t="s">
        <v>32775</v>
      </c>
      <c r="J6022" s="6" t="s">
        <v>32776</v>
      </c>
      <c r="K6022" s="7">
        <f t="shared" si="2"/>
        <v>0.5502823303</v>
      </c>
    </row>
    <row r="6023">
      <c r="A6023" s="4">
        <v>6023.0</v>
      </c>
      <c r="B6023" s="5" t="s">
        <v>32777</v>
      </c>
      <c r="C6023" s="5" t="s">
        <v>32778</v>
      </c>
      <c r="D6023" s="5" t="s">
        <v>32779</v>
      </c>
      <c r="E6023" s="6" t="s">
        <v>24</v>
      </c>
      <c r="F6023" s="6" t="s">
        <v>9210</v>
      </c>
      <c r="G6023" s="3" t="str">
        <f>IFERROR(__xludf.DUMMYFUNCTION("REGEXREPLACE(
D6023,
""([一-龯々]+)\[([^\]]+)\]"",
""&lt;ruby&gt;$1&lt;rt&gt;$2&lt;/rt&gt;&lt;/ruby&gt;""
)&amp;""&lt;br&gt;&lt;div class=""""audio""""&gt;[sound:""&amp;C6023&amp;"".mp3]&lt;/div&gt;"""),"&lt;ruby&gt;放&lt;rt&gt;ほう&lt;/rt&gt;&lt;/ruby&gt;る&lt;br&gt;&lt;div class=""audio""&gt;[sound:ほうる.mp3]&lt;/div&gt;")</f>
        <v>&lt;ruby&gt;放&lt;rt&gt;ほう&lt;/rt&gt;&lt;/ruby&gt;る&lt;br&gt;&lt;div class="audio"&gt;[sound:ほうる.mp3]&lt;/div&gt;</v>
      </c>
      <c r="H6023" s="3" t="str">
        <f t="shared" si="1"/>
        <v>(v): ném</v>
      </c>
      <c r="I6023" s="6" t="s">
        <v>32780</v>
      </c>
      <c r="J6023" s="6" t="s">
        <v>4287</v>
      </c>
      <c r="K6023" s="7">
        <f t="shared" si="2"/>
        <v>0.2993793937</v>
      </c>
    </row>
    <row r="6024">
      <c r="A6024" s="4">
        <v>6024.0</v>
      </c>
      <c r="B6024" s="5" t="s">
        <v>32781</v>
      </c>
      <c r="C6024" s="5" t="s">
        <v>5877</v>
      </c>
      <c r="D6024" s="5" t="s">
        <v>32782</v>
      </c>
      <c r="E6024" s="6" t="s">
        <v>74</v>
      </c>
      <c r="F6024" s="6" t="s">
        <v>32783</v>
      </c>
      <c r="G6024" s="3" t="str">
        <f>IFERROR(__xludf.DUMMYFUNCTION("REGEXREPLACE(
D6024,
""([一-龯々]+)\[([^\]]+)\]"",
""&lt;ruby&gt;$1&lt;rt&gt;$2&lt;/rt&gt;&lt;/ruby&gt;""
)&amp;""&lt;br&gt;&lt;div class=""""audio""""&gt;[sound:""&amp;C6024&amp;"".mp3]&lt;/div&gt;"""),"&lt;ruby&gt;盾&lt;rt&gt;たて&lt;/rt&gt;&lt;/ruby&gt;&lt;br&gt;&lt;div class=""audio""&gt;[sound:たて.mp3]&lt;/div&gt;")</f>
        <v>&lt;ruby&gt;盾&lt;rt&gt;たて&lt;/rt&gt;&lt;/ruby&gt;&lt;br&gt;&lt;div class="audio"&gt;[sound:たて.mp3]&lt;/div&gt;</v>
      </c>
      <c r="H6024" s="3" t="str">
        <f t="shared" si="1"/>
        <v>(n): khiên</v>
      </c>
      <c r="I6024" s="6" t="s">
        <v>32784</v>
      </c>
      <c r="J6024" s="6" t="s">
        <v>32785</v>
      </c>
      <c r="K6024" s="7">
        <f t="shared" si="2"/>
        <v>0.8144440583</v>
      </c>
    </row>
    <row r="6025">
      <c r="A6025" s="4">
        <v>6025.0</v>
      </c>
      <c r="B6025" s="5" t="s">
        <v>32786</v>
      </c>
      <c r="C6025" s="5" t="s">
        <v>32787</v>
      </c>
      <c r="D6025" s="5" t="s">
        <v>32788</v>
      </c>
      <c r="E6025" s="6" t="s">
        <v>74</v>
      </c>
      <c r="F6025" s="6" t="s">
        <v>32789</v>
      </c>
      <c r="G6025" s="3" t="str">
        <f>IFERROR(__xludf.DUMMYFUNCTION("REGEXREPLACE(
D6025,
""([一-龯々]+)\[([^\]]+)\]"",
""&lt;ruby&gt;$1&lt;rt&gt;$2&lt;/rt&gt;&lt;/ruby&gt;""
)&amp;""&lt;br&gt;&lt;div class=""""audio""""&gt;[sound:""&amp;C6025&amp;"".mp3]&lt;/div&gt;"""),"&lt;ruby&gt;実費&lt;rt&gt;じっぴ&lt;/rt&gt;&lt;/ruby&gt;&lt;br&gt;&lt;div class=""audio""&gt;[sound:じっぴ.mp3]&lt;/div&gt;")</f>
        <v>&lt;ruby&gt;実費&lt;rt&gt;じっぴ&lt;/rt&gt;&lt;/ruby&gt;&lt;br&gt;&lt;div class="audio"&gt;[sound:じっぴ.mp3]&lt;/div&gt;</v>
      </c>
      <c r="H6025" s="3" t="str">
        <f t="shared" si="1"/>
        <v>(n): chi phí thực</v>
      </c>
      <c r="I6025" s="6" t="s">
        <v>32790</v>
      </c>
      <c r="J6025" s="6" t="s">
        <v>32791</v>
      </c>
      <c r="K6025" s="7">
        <f t="shared" si="2"/>
        <v>0.01225839611</v>
      </c>
    </row>
    <row r="6026">
      <c r="A6026" s="4">
        <v>6026.0</v>
      </c>
      <c r="B6026" s="5" t="s">
        <v>32792</v>
      </c>
      <c r="C6026" s="5" t="s">
        <v>32793</v>
      </c>
      <c r="D6026" s="5" t="s">
        <v>32794</v>
      </c>
      <c r="E6026" s="6" t="s">
        <v>74</v>
      </c>
      <c r="F6026" s="6" t="s">
        <v>5675</v>
      </c>
      <c r="G6026" s="3" t="str">
        <f>IFERROR(__xludf.DUMMYFUNCTION("REGEXREPLACE(
D6026,
""([一-龯々]+)\[([^\]]+)\]"",
""&lt;ruby&gt;$1&lt;rt&gt;$2&lt;/rt&gt;&lt;/ruby&gt;""
)&amp;""&lt;br&gt;&lt;div class=""""audio""""&gt;[sound:""&amp;C6026&amp;"".mp3]&lt;/div&gt;"""),"&lt;ruby&gt;成育&lt;rt&gt;せいいく&lt;/rt&gt;&lt;/ruby&gt;&lt;br&gt;&lt;div class=""audio""&gt;[sound:せいいく.mp3]&lt;/div&gt;")</f>
        <v>&lt;ruby&gt;成育&lt;rt&gt;せいいく&lt;/rt&gt;&lt;/ruby&gt;&lt;br&gt;&lt;div class="audio"&gt;[sound:せいいく.mp3]&lt;/div&gt;</v>
      </c>
      <c r="H6026" s="3" t="str">
        <f t="shared" si="1"/>
        <v>(n): tăng trưởng</v>
      </c>
      <c r="I6026" s="6" t="s">
        <v>32795</v>
      </c>
      <c r="J6026" s="6" t="s">
        <v>32796</v>
      </c>
      <c r="K6026" s="7">
        <f t="shared" si="2"/>
        <v>0.258256931</v>
      </c>
    </row>
    <row r="6027">
      <c r="A6027" s="4">
        <v>6027.0</v>
      </c>
      <c r="B6027" s="5" t="s">
        <v>32797</v>
      </c>
      <c r="C6027" s="5" t="s">
        <v>32798</v>
      </c>
      <c r="D6027" s="5" t="s">
        <v>32799</v>
      </c>
      <c r="E6027" s="6" t="s">
        <v>24</v>
      </c>
      <c r="F6027" s="6" t="s">
        <v>10348</v>
      </c>
      <c r="G6027" s="3" t="str">
        <f>IFERROR(__xludf.DUMMYFUNCTION("REGEXREPLACE(
D6027,
""([一-龯々]+)\[([^\]]+)\]"",
""&lt;ruby&gt;$1&lt;rt&gt;$2&lt;/rt&gt;&lt;/ruby&gt;""
)&amp;""&lt;br&gt;&lt;div class=""""audio""""&gt;[sound:""&amp;C6027&amp;"".mp3]&lt;/div&gt;"""),"&lt;ruby&gt;押&lt;rt&gt;お&lt;/rt&gt;&lt;/ruby&gt;し&lt;ruby&gt;切&lt;rt&gt;き&lt;/rt&gt;&lt;/ruby&gt;る&lt;br&gt;&lt;div class=""audio""&gt;[sound:おしきる.mp3]&lt;/div&gt;")</f>
        <v>&lt;ruby&gt;押&lt;rt&gt;お&lt;/rt&gt;&lt;/ruby&gt;し&lt;ruby&gt;切&lt;rt&gt;き&lt;/rt&gt;&lt;/ruby&gt;る&lt;br&gt;&lt;div class="audio"&gt;[sound:おしきる.mp3]&lt;/div&gt;</v>
      </c>
      <c r="H6027" s="3" t="str">
        <f t="shared" si="1"/>
        <v>(v): thuyết phục</v>
      </c>
      <c r="I6027" s="6" t="s">
        <v>32800</v>
      </c>
      <c r="J6027" s="6" t="s">
        <v>32801</v>
      </c>
      <c r="K6027" s="7">
        <f t="shared" si="2"/>
        <v>0.6928723864</v>
      </c>
    </row>
    <row r="6028">
      <c r="A6028" s="4">
        <v>6028.0</v>
      </c>
      <c r="B6028" s="5" t="s">
        <v>32802</v>
      </c>
      <c r="C6028" s="5" t="s">
        <v>32803</v>
      </c>
      <c r="D6028" s="5" t="s">
        <v>32804</v>
      </c>
      <c r="E6028" s="6" t="s">
        <v>74</v>
      </c>
      <c r="F6028" s="6" t="s">
        <v>32805</v>
      </c>
      <c r="G6028" s="3" t="str">
        <f>IFERROR(__xludf.DUMMYFUNCTION("REGEXREPLACE(
D6028,
""([一-龯々]+)\[([^\]]+)\]"",
""&lt;ruby&gt;$1&lt;rt&gt;$2&lt;/rt&gt;&lt;/ruby&gt;""
)&amp;""&lt;br&gt;&lt;div class=""""audio""""&gt;[sound:""&amp;C6028&amp;"".mp3]&lt;/div&gt;"""),"&lt;ruby&gt;弁論&lt;rt&gt;べんろん&lt;/rt&gt;&lt;/ruby&gt;&lt;br&gt;&lt;div class=""audio""&gt;[sound:べんろん.mp3]&lt;/div&gt;")</f>
        <v>&lt;ruby&gt;弁論&lt;rt&gt;べんろん&lt;/rt&gt;&lt;/ruby&gt;&lt;br&gt;&lt;div class="audio"&gt;[sound:べんろん.mp3]&lt;/div&gt;</v>
      </c>
      <c r="H6028" s="3" t="str">
        <f t="shared" si="1"/>
        <v>(n): biện luận</v>
      </c>
      <c r="I6028" s="6" t="s">
        <v>32806</v>
      </c>
      <c r="J6028" s="6" t="s">
        <v>32807</v>
      </c>
      <c r="K6028" s="7">
        <f t="shared" si="2"/>
        <v>0.8340062911</v>
      </c>
    </row>
    <row r="6029">
      <c r="A6029" s="4">
        <v>6029.0</v>
      </c>
      <c r="B6029" s="5" t="s">
        <v>32808</v>
      </c>
      <c r="C6029" s="5" t="s">
        <v>32809</v>
      </c>
      <c r="D6029" s="5" t="s">
        <v>32810</v>
      </c>
      <c r="E6029" s="6" t="s">
        <v>74</v>
      </c>
      <c r="F6029" s="6" t="s">
        <v>32811</v>
      </c>
      <c r="G6029" s="3" t="str">
        <f>IFERROR(__xludf.DUMMYFUNCTION("REGEXREPLACE(
D6029,
""([一-龯々]+)\[([^\]]+)\]"",
""&lt;ruby&gt;$1&lt;rt&gt;$2&lt;/rt&gt;&lt;/ruby&gt;""
)&amp;""&lt;br&gt;&lt;div class=""""audio""""&gt;[sound:""&amp;C6029&amp;"".mp3]&lt;/div&gt;"""),"&lt;ruby&gt;微量&lt;rt&gt;びりょう&lt;/rt&gt;&lt;/ruby&gt;&lt;br&gt;&lt;div class=""audio""&gt;[sound:びりょう.mp3]&lt;/div&gt;")</f>
        <v>&lt;ruby&gt;微量&lt;rt&gt;びりょう&lt;/rt&gt;&lt;/ruby&gt;&lt;br&gt;&lt;div class="audio"&gt;[sound:びりょう.mp3]&lt;/div&gt;</v>
      </c>
      <c r="H6029" s="3" t="str">
        <f t="shared" si="1"/>
        <v>(n): lượng nhỏ</v>
      </c>
      <c r="I6029" s="6" t="s">
        <v>32812</v>
      </c>
      <c r="J6029" s="6" t="s">
        <v>32813</v>
      </c>
      <c r="K6029" s="7">
        <f t="shared" si="2"/>
        <v>0.1646483566</v>
      </c>
    </row>
    <row r="6030">
      <c r="A6030" s="4">
        <v>6030.0</v>
      </c>
      <c r="B6030" s="5" t="s">
        <v>32814</v>
      </c>
      <c r="C6030" s="5" t="s">
        <v>32815</v>
      </c>
      <c r="D6030" s="5" t="s">
        <v>32816</v>
      </c>
      <c r="E6030" s="6" t="s">
        <v>11</v>
      </c>
      <c r="F6030" s="6" t="s">
        <v>32817</v>
      </c>
      <c r="G6030" s="3" t="str">
        <f>IFERROR(__xludf.DUMMYFUNCTION("REGEXREPLACE(
D6030,
""([一-龯々]+)\[([^\]]+)\]"",
""&lt;ruby&gt;$1&lt;rt&gt;$2&lt;/rt&gt;&lt;/ruby&gt;""
)&amp;""&lt;br&gt;&lt;div class=""""audio""""&gt;[sound:""&amp;C6030&amp;"".mp3]&lt;/div&gt;"""),"&lt;ruby&gt;小柄&lt;rt&gt;こがら&lt;/rt&gt;&lt;/ruby&gt;&lt;br&gt;&lt;div class=""audio""&gt;[sound:こがら.mp3]&lt;/div&gt;")</f>
        <v>&lt;ruby&gt;小柄&lt;rt&gt;こがら&lt;/rt&gt;&lt;/ruby&gt;&lt;br&gt;&lt;div class="audio"&gt;[sound:こがら.mp3]&lt;/div&gt;</v>
      </c>
      <c r="H6030" s="3" t="str">
        <f t="shared" si="1"/>
        <v>(adj): nhỏ nhắn</v>
      </c>
      <c r="I6030" s="6" t="s">
        <v>32818</v>
      </c>
      <c r="J6030" s="6" t="s">
        <v>32819</v>
      </c>
      <c r="K6030" s="7">
        <f t="shared" si="2"/>
        <v>0.7353090741</v>
      </c>
    </row>
    <row r="6031">
      <c r="A6031" s="4">
        <v>6031.0</v>
      </c>
      <c r="B6031" s="5" t="s">
        <v>32820</v>
      </c>
      <c r="C6031" s="5" t="s">
        <v>32821</v>
      </c>
      <c r="D6031" s="5" t="s">
        <v>32822</v>
      </c>
      <c r="E6031" s="6" t="s">
        <v>11</v>
      </c>
      <c r="F6031" s="6" t="s">
        <v>32823</v>
      </c>
      <c r="G6031" s="3" t="str">
        <f>IFERROR(__xludf.DUMMYFUNCTION("REGEXREPLACE(
D6031,
""([一-龯々]+)\[([^\]]+)\]"",
""&lt;ruby&gt;$1&lt;rt&gt;$2&lt;/rt&gt;&lt;/ruby&gt;""
)&amp;""&lt;br&gt;&lt;div class=""""audio""""&gt;[sound:""&amp;C6031&amp;"".mp3]&lt;/div&gt;"""),"&lt;ruby&gt;整然&lt;rt&gt;せいぜん&lt;/rt&gt;&lt;/ruby&gt;&lt;br&gt;&lt;div class=""audio""&gt;[sound:せいぜん.mp3]&lt;/div&gt;")</f>
        <v>&lt;ruby&gt;整然&lt;rt&gt;せいぜん&lt;/rt&gt;&lt;/ruby&gt;&lt;br&gt;&lt;div class="audio"&gt;[sound:せいぜん.mp3]&lt;/div&gt;</v>
      </c>
      <c r="H6031" s="3" t="str">
        <f t="shared" si="1"/>
        <v>(adj): ngăn nắp</v>
      </c>
      <c r="I6031" s="6" t="s">
        <v>32824</v>
      </c>
      <c r="J6031" s="6" t="s">
        <v>32825</v>
      </c>
      <c r="K6031" s="7">
        <f t="shared" si="2"/>
        <v>0.2863462494</v>
      </c>
    </row>
    <row r="6032">
      <c r="A6032" s="4">
        <v>6032.0</v>
      </c>
      <c r="B6032" s="5" t="s">
        <v>32826</v>
      </c>
      <c r="C6032" s="5" t="s">
        <v>32827</v>
      </c>
      <c r="D6032" s="5" t="s">
        <v>32828</v>
      </c>
      <c r="E6032" s="6" t="s">
        <v>74</v>
      </c>
      <c r="F6032" s="6" t="s">
        <v>32829</v>
      </c>
      <c r="G6032" s="3" t="str">
        <f>IFERROR(__xludf.DUMMYFUNCTION("REGEXREPLACE(
D6032,
""([一-龯々]+)\[([^\]]+)\]"",
""&lt;ruby&gt;$1&lt;rt&gt;$2&lt;/rt&gt;&lt;/ruby&gt;""
)&amp;""&lt;br&gt;&lt;div class=""""audio""""&gt;[sound:""&amp;C6032&amp;"".mp3]&lt;/div&gt;"""),"&lt;ruby&gt;崖&lt;rt&gt;がけ&lt;/rt&gt;&lt;/ruby&gt;&lt;br&gt;&lt;div class=""audio""&gt;[sound:がけ.mp3]&lt;/div&gt;")</f>
        <v>&lt;ruby&gt;崖&lt;rt&gt;がけ&lt;/rt&gt;&lt;/ruby&gt;&lt;br&gt;&lt;div class="audio"&gt;[sound:がけ.mp3]&lt;/div&gt;</v>
      </c>
      <c r="H6032" s="3" t="str">
        <f t="shared" si="1"/>
        <v>(n): vách đá</v>
      </c>
      <c r="I6032" s="6" t="s">
        <v>32830</v>
      </c>
      <c r="J6032" s="6" t="s">
        <v>32831</v>
      </c>
      <c r="K6032" s="7">
        <f t="shared" si="2"/>
        <v>0.09802598553</v>
      </c>
    </row>
    <row r="6033">
      <c r="A6033" s="4">
        <v>6033.0</v>
      </c>
      <c r="B6033" s="5" t="s">
        <v>32832</v>
      </c>
      <c r="C6033" s="5" t="s">
        <v>32833</v>
      </c>
      <c r="D6033" s="5" t="s">
        <v>32834</v>
      </c>
      <c r="E6033" s="6" t="s">
        <v>24</v>
      </c>
      <c r="F6033" s="6" t="s">
        <v>32835</v>
      </c>
      <c r="G6033" s="3" t="str">
        <f>IFERROR(__xludf.DUMMYFUNCTION("REGEXREPLACE(
D6033,
""([一-龯々]+)\[([^\]]+)\]"",
""&lt;ruby&gt;$1&lt;rt&gt;$2&lt;/rt&gt;&lt;/ruby&gt;""
)&amp;""&lt;br&gt;&lt;div class=""""audio""""&gt;[sound:""&amp;C6033&amp;"".mp3]&lt;/div&gt;"""),"&lt;ruby&gt;急&lt;rt&gt;せ&lt;/rt&gt;&lt;/ruby&gt;かす&lt;br&gt;&lt;div class=""audio""&gt;[sound:せかす.mp3]&lt;/div&gt;")</f>
        <v>&lt;ruby&gt;急&lt;rt&gt;せ&lt;/rt&gt;&lt;/ruby&gt;かす&lt;br&gt;&lt;div class="audio"&gt;[sound:せかす.mp3]&lt;/div&gt;</v>
      </c>
      <c r="H6033" s="3" t="str">
        <f t="shared" si="1"/>
        <v>(v): giục</v>
      </c>
      <c r="I6033" s="6" t="s">
        <v>32836</v>
      </c>
      <c r="J6033" s="6" t="s">
        <v>32837</v>
      </c>
      <c r="K6033" s="7">
        <f t="shared" si="2"/>
        <v>0.09982130802</v>
      </c>
    </row>
    <row r="6034">
      <c r="A6034" s="4">
        <v>6034.0</v>
      </c>
      <c r="B6034" s="5" t="s">
        <v>32838</v>
      </c>
      <c r="C6034" s="5" t="s">
        <v>32839</v>
      </c>
      <c r="D6034" s="5" t="s">
        <v>32840</v>
      </c>
      <c r="E6034" s="6" t="s">
        <v>74</v>
      </c>
      <c r="F6034" s="6" t="s">
        <v>5101</v>
      </c>
      <c r="G6034" s="3" t="str">
        <f>IFERROR(__xludf.DUMMYFUNCTION("REGEXREPLACE(
D6034,
""([一-龯々]+)\[([^\]]+)\]"",
""&lt;ruby&gt;$1&lt;rt&gt;$2&lt;/rt&gt;&lt;/ruby&gt;""
)&amp;""&lt;br&gt;&lt;div class=""""audio""""&gt;[sound:""&amp;C6034&amp;"".mp3]&lt;/div&gt;"""),"&lt;ruby&gt;暴風&lt;rt&gt;ぼうふう&lt;/rt&gt;&lt;/ruby&gt;&lt;br&gt;&lt;div class=""audio""&gt;[sound:ぼうふう.mp3]&lt;/div&gt;")</f>
        <v>&lt;ruby&gt;暴風&lt;rt&gt;ぼうふう&lt;/rt&gt;&lt;/ruby&gt;&lt;br&gt;&lt;div class="audio"&gt;[sound:ぼうふう.mp3]&lt;/div&gt;</v>
      </c>
      <c r="H6034" s="3" t="str">
        <f t="shared" si="1"/>
        <v>(n): bão</v>
      </c>
      <c r="I6034" s="6" t="s">
        <v>32841</v>
      </c>
      <c r="J6034" s="6" t="s">
        <v>32842</v>
      </c>
      <c r="K6034" s="7">
        <f t="shared" si="2"/>
        <v>0.5509679893</v>
      </c>
    </row>
    <row r="6035">
      <c r="A6035" s="4">
        <v>6035.0</v>
      </c>
      <c r="B6035" s="5" t="s">
        <v>32843</v>
      </c>
      <c r="C6035" s="5" t="s">
        <v>32844</v>
      </c>
      <c r="D6035" s="5" t="s">
        <v>32845</v>
      </c>
      <c r="E6035" s="6" t="s">
        <v>74</v>
      </c>
      <c r="F6035" s="6" t="s">
        <v>8992</v>
      </c>
      <c r="G6035" s="3" t="str">
        <f>IFERROR(__xludf.DUMMYFUNCTION("REGEXREPLACE(
D6035,
""([一-龯々]+)\[([^\]]+)\]"",
""&lt;ruby&gt;$1&lt;rt&gt;$2&lt;/rt&gt;&lt;/ruby&gt;""
)&amp;""&lt;br&gt;&lt;div class=""""audio""""&gt;[sound:""&amp;C6035&amp;"".mp3]&lt;/div&gt;"""),"&lt;ruby&gt;文献&lt;rt&gt;ぶんけん&lt;/rt&gt;&lt;/ruby&gt;&lt;br&gt;&lt;div class=""audio""&gt;[sound:ぶんけん.mp3]&lt;/div&gt;")</f>
        <v>&lt;ruby&gt;文献&lt;rt&gt;ぶんけん&lt;/rt&gt;&lt;/ruby&gt;&lt;br&gt;&lt;div class="audio"&gt;[sound:ぶんけん.mp3]&lt;/div&gt;</v>
      </c>
      <c r="H6035" s="3" t="str">
        <f t="shared" si="1"/>
        <v>(n): tài liệu</v>
      </c>
      <c r="I6035" s="6" t="s">
        <v>32846</v>
      </c>
      <c r="J6035" s="6" t="s">
        <v>32847</v>
      </c>
      <c r="K6035" s="7">
        <f t="shared" si="2"/>
        <v>0.6481433764</v>
      </c>
    </row>
    <row r="6036">
      <c r="A6036" s="4">
        <v>6036.0</v>
      </c>
      <c r="B6036" s="5" t="s">
        <v>32848</v>
      </c>
      <c r="C6036" s="5" t="s">
        <v>29607</v>
      </c>
      <c r="D6036" s="5" t="s">
        <v>32849</v>
      </c>
      <c r="E6036" s="6" t="s">
        <v>24</v>
      </c>
      <c r="F6036" s="6" t="s">
        <v>29609</v>
      </c>
      <c r="G6036" s="3" t="str">
        <f>IFERROR(__xludf.DUMMYFUNCTION("REGEXREPLACE(
D6036,
""([一-龯々]+)\[([^\]]+)\]"",
""&lt;ruby&gt;$1&lt;rt&gt;$2&lt;/rt&gt;&lt;/ruby&gt;""
)&amp;""&lt;br&gt;&lt;div class=""""audio""""&gt;[sound:""&amp;C6036&amp;"".mp3]&lt;/div&gt;"""),"&lt;ruby&gt;暖&lt;rt&gt;あたた&lt;/rt&gt;&lt;/ruby&gt;める&lt;br&gt;&lt;div class=""audio""&gt;[sound:あたためる.mp3]&lt;/div&gt;")</f>
        <v>&lt;ruby&gt;暖&lt;rt&gt;あたた&lt;/rt&gt;&lt;/ruby&gt;める&lt;br&gt;&lt;div class="audio"&gt;[sound:あたためる.mp3]&lt;/div&gt;</v>
      </c>
      <c r="H6036" s="3" t="str">
        <f t="shared" si="1"/>
        <v>(v): làm ấm</v>
      </c>
      <c r="I6036" s="6" t="s">
        <v>32850</v>
      </c>
      <c r="J6036" s="6" t="s">
        <v>32851</v>
      </c>
      <c r="K6036" s="7">
        <f t="shared" si="2"/>
        <v>0.985973481</v>
      </c>
    </row>
    <row r="6037">
      <c r="A6037" s="4">
        <v>6037.0</v>
      </c>
      <c r="B6037" s="5" t="s">
        <v>32852</v>
      </c>
      <c r="C6037" s="5" t="s">
        <v>32853</v>
      </c>
      <c r="D6037" s="5" t="s">
        <v>32854</v>
      </c>
      <c r="E6037" s="6" t="s">
        <v>24</v>
      </c>
      <c r="F6037" s="6" t="s">
        <v>32855</v>
      </c>
      <c r="G6037" s="3" t="str">
        <f>IFERROR(__xludf.DUMMYFUNCTION("REGEXREPLACE(
D6037,
""([一-龯々]+)\[([^\]]+)\]"",
""&lt;ruby&gt;$1&lt;rt&gt;$2&lt;/rt&gt;&lt;/ruby&gt;""
)&amp;""&lt;br&gt;&lt;div class=""""audio""""&gt;[sound:""&amp;C6037&amp;"".mp3]&lt;/div&gt;"""),"&lt;ruby&gt;殴&lt;rt&gt;なぐ&lt;/rt&gt;&lt;/ruby&gt;る&lt;br&gt;&lt;div class=""audio""&gt;[sound:なぐる.mp3]&lt;/div&gt;")</f>
        <v>&lt;ruby&gt;殴&lt;rt&gt;なぐ&lt;/rt&gt;&lt;/ruby&gt;る&lt;br&gt;&lt;div class="audio"&gt;[sound:なぐる.mp3]&lt;/div&gt;</v>
      </c>
      <c r="H6037" s="3" t="str">
        <f t="shared" si="1"/>
        <v>(v): đấm</v>
      </c>
      <c r="I6037" s="6" t="s">
        <v>32856</v>
      </c>
      <c r="J6037" s="6" t="s">
        <v>32857</v>
      </c>
      <c r="K6037" s="7">
        <f t="shared" si="2"/>
        <v>0.8859584418</v>
      </c>
    </row>
    <row r="6038">
      <c r="A6038" s="4">
        <v>6038.0</v>
      </c>
      <c r="B6038" s="5" t="s">
        <v>32858</v>
      </c>
      <c r="C6038" s="5" t="s">
        <v>32859</v>
      </c>
      <c r="D6038" s="5" t="s">
        <v>32860</v>
      </c>
      <c r="E6038" s="6" t="s">
        <v>74</v>
      </c>
      <c r="F6038" s="6" t="s">
        <v>32861</v>
      </c>
      <c r="G6038" s="3" t="str">
        <f>IFERROR(__xludf.DUMMYFUNCTION("REGEXREPLACE(
D6038,
""([一-龯々]+)\[([^\]]+)\]"",
""&lt;ruby&gt;$1&lt;rt&gt;$2&lt;/rt&gt;&lt;/ruby&gt;""
)&amp;""&lt;br&gt;&lt;div class=""""audio""""&gt;[sound:""&amp;C6038&amp;"".mp3]&lt;/div&gt;"""),"&lt;ruby&gt;柔道&lt;rt&gt;じゅうどう&lt;/rt&gt;&lt;/ruby&gt;&lt;br&gt;&lt;div class=""audio""&gt;[sound:じゅうどう.mp3]&lt;/div&gt;")</f>
        <v>&lt;ruby&gt;柔道&lt;rt&gt;じゅうどう&lt;/rt&gt;&lt;/ruby&gt;&lt;br&gt;&lt;div class="audio"&gt;[sound:じゅうどう.mp3]&lt;/div&gt;</v>
      </c>
      <c r="H6038" s="3" t="str">
        <f t="shared" si="1"/>
        <v>(n): judo</v>
      </c>
      <c r="I6038" s="6" t="s">
        <v>32862</v>
      </c>
      <c r="J6038" s="6" t="s">
        <v>32863</v>
      </c>
      <c r="K6038" s="7">
        <f t="shared" si="2"/>
        <v>0.3728240431</v>
      </c>
    </row>
    <row r="6039">
      <c r="A6039" s="4">
        <v>6039.0</v>
      </c>
      <c r="B6039" s="5" t="s">
        <v>32864</v>
      </c>
      <c r="C6039" s="5" t="s">
        <v>32865</v>
      </c>
      <c r="D6039" s="5" t="s">
        <v>32866</v>
      </c>
      <c r="E6039" s="6" t="s">
        <v>24</v>
      </c>
      <c r="F6039" s="6" t="s">
        <v>32867</v>
      </c>
      <c r="G6039" s="3" t="str">
        <f>IFERROR(__xludf.DUMMYFUNCTION("REGEXREPLACE(
D6039,
""([一-龯々]+)\[([^\]]+)\]"",
""&lt;ruby&gt;$1&lt;rt&gt;$2&lt;/rt&gt;&lt;/ruby&gt;""
)&amp;""&lt;br&gt;&lt;div class=""""audio""""&gt;[sound:""&amp;C6039&amp;"".mp3]&lt;/div&gt;"""),"&lt;ruby&gt;擦&lt;rt&gt;こす&lt;/rt&gt;&lt;/ruby&gt;る&lt;br&gt;&lt;div class=""audio""&gt;[sound:こする.mp3]&lt;/div&gt;")</f>
        <v>&lt;ruby&gt;擦&lt;rt&gt;こす&lt;/rt&gt;&lt;/ruby&gt;る&lt;br&gt;&lt;div class="audio"&gt;[sound:こする.mp3]&lt;/div&gt;</v>
      </c>
      <c r="H6039" s="3" t="str">
        <f t="shared" si="1"/>
        <v>(v): chà xát</v>
      </c>
      <c r="I6039" s="6" t="s">
        <v>32868</v>
      </c>
      <c r="J6039" s="6" t="s">
        <v>32869</v>
      </c>
      <c r="K6039" s="7">
        <f t="shared" si="2"/>
        <v>0.05257541913</v>
      </c>
    </row>
    <row r="6040">
      <c r="A6040" s="4">
        <v>6040.0</v>
      </c>
      <c r="B6040" s="5" t="s">
        <v>32870</v>
      </c>
      <c r="C6040" s="5" t="s">
        <v>32871</v>
      </c>
      <c r="D6040" s="5" t="s">
        <v>32872</v>
      </c>
      <c r="E6040" s="6" t="s">
        <v>74</v>
      </c>
      <c r="F6040" s="6" t="s">
        <v>32873</v>
      </c>
      <c r="G6040" s="3" t="str">
        <f>IFERROR(__xludf.DUMMYFUNCTION("REGEXREPLACE(
D6040,
""([一-龯々]+)\[([^\]]+)\]"",
""&lt;ruby&gt;$1&lt;rt&gt;$2&lt;/rt&gt;&lt;/ruby&gt;""
)&amp;""&lt;br&gt;&lt;div class=""""audio""""&gt;[sound:""&amp;C6040&amp;"".mp3]&lt;/div&gt;"""),"ジェット&lt;ruby&gt;機&lt;rt&gt;き&lt;/rt&gt;&lt;/ruby&gt;&lt;br&gt;&lt;div class=""audio""&gt;[sound:じぇっとき.mp3]&lt;/div&gt;")</f>
        <v>ジェット&lt;ruby&gt;機&lt;rt&gt;き&lt;/rt&gt;&lt;/ruby&gt;&lt;br&gt;&lt;div class="audio"&gt;[sound:じぇっとき.mp3]&lt;/div&gt;</v>
      </c>
      <c r="H6040" s="3" t="str">
        <f t="shared" si="1"/>
        <v>(n): máy bay phản lực</v>
      </c>
      <c r="I6040" s="6" t="s">
        <v>32874</v>
      </c>
      <c r="J6040" s="6" t="s">
        <v>32875</v>
      </c>
      <c r="K6040" s="7">
        <f t="shared" si="2"/>
        <v>0.4553488933</v>
      </c>
    </row>
    <row r="6041">
      <c r="A6041" s="4">
        <v>6041.0</v>
      </c>
      <c r="B6041" s="5" t="s">
        <v>32876</v>
      </c>
      <c r="C6041" s="5" t="s">
        <v>32877</v>
      </c>
      <c r="D6041" s="5" t="s">
        <v>32878</v>
      </c>
      <c r="E6041" s="6" t="s">
        <v>74</v>
      </c>
      <c r="F6041" s="6" t="s">
        <v>1171</v>
      </c>
      <c r="G6041" s="3" t="str">
        <f>IFERROR(__xludf.DUMMYFUNCTION("REGEXREPLACE(
D6041,
""([一-龯々]+)\[([^\]]+)\]"",
""&lt;ruby&gt;$1&lt;rt&gt;$2&lt;/rt&gt;&lt;/ruby&gt;""
)&amp;""&lt;br&gt;&lt;div class=""""audio""""&gt;[sound:""&amp;C6041&amp;"".mp3]&lt;/div&gt;"""),"&lt;ruby&gt;盛&lt;rt&gt;さか&lt;/rt&gt;&lt;/ruby&gt;り&lt;br&gt;&lt;div class=""audio""&gt;[sound:さかり.mp3]&lt;/div&gt;")</f>
        <v>&lt;ruby&gt;盛&lt;rt&gt;さか&lt;/rt&gt;&lt;/ruby&gt;り&lt;br&gt;&lt;div class="audio"&gt;[sound:さかり.mp3]&lt;/div&gt;</v>
      </c>
      <c r="H6041" s="3" t="str">
        <f t="shared" si="1"/>
        <v>(n): đầy</v>
      </c>
      <c r="I6041" s="6" t="s">
        <v>32879</v>
      </c>
      <c r="J6041" s="6" t="s">
        <v>32880</v>
      </c>
      <c r="K6041" s="7">
        <f t="shared" si="2"/>
        <v>0.8823386674</v>
      </c>
    </row>
    <row r="6042">
      <c r="A6042" s="4">
        <v>6042.0</v>
      </c>
      <c r="B6042" s="5" t="s">
        <v>32881</v>
      </c>
      <c r="C6042" s="5" t="s">
        <v>32882</v>
      </c>
      <c r="D6042" s="5" t="s">
        <v>32883</v>
      </c>
      <c r="E6042" s="6" t="s">
        <v>74</v>
      </c>
      <c r="F6042" s="6" t="s">
        <v>32884</v>
      </c>
      <c r="G6042" s="3" t="str">
        <f>IFERROR(__xludf.DUMMYFUNCTION("REGEXREPLACE(
D6042,
""([一-龯々]+)\[([^\]]+)\]"",
""&lt;ruby&gt;$1&lt;rt&gt;$2&lt;/rt&gt;&lt;/ruby&gt;""
)&amp;""&lt;br&gt;&lt;div class=""""audio""""&gt;[sound:""&amp;C6042&amp;"".mp3]&lt;/div&gt;"""),"&lt;ruby&gt;一頃&lt;rt&gt;ひところ&lt;/rt&gt;&lt;/ruby&gt;&lt;br&gt;&lt;div class=""audio""&gt;[sound:ひところ.mp3]&lt;/div&gt;")</f>
        <v>&lt;ruby&gt;一頃&lt;rt&gt;ひところ&lt;/rt&gt;&lt;/ruby&gt;&lt;br&gt;&lt;div class="audio"&gt;[sound:ひところ.mp3]&lt;/div&gt;</v>
      </c>
      <c r="H6042" s="3" t="str">
        <f t="shared" si="1"/>
        <v>(n): đã có lúc</v>
      </c>
      <c r="I6042" s="6" t="s">
        <v>32885</v>
      </c>
      <c r="J6042" s="6" t="s">
        <v>32886</v>
      </c>
      <c r="K6042" s="7">
        <f t="shared" si="2"/>
        <v>0.03270276249</v>
      </c>
    </row>
    <row r="6043">
      <c r="A6043" s="4">
        <v>6043.0</v>
      </c>
      <c r="B6043" s="5" t="s">
        <v>32887</v>
      </c>
      <c r="C6043" s="5" t="s">
        <v>32888</v>
      </c>
      <c r="D6043" s="5" t="s">
        <v>32889</v>
      </c>
      <c r="E6043" s="6" t="s">
        <v>74</v>
      </c>
      <c r="F6043" s="6" t="s">
        <v>32890</v>
      </c>
      <c r="G6043" s="3" t="str">
        <f>IFERROR(__xludf.DUMMYFUNCTION("REGEXREPLACE(
D6043,
""([一-龯々]+)\[([^\]]+)\]"",
""&lt;ruby&gt;$1&lt;rt&gt;$2&lt;/rt&gt;&lt;/ruby&gt;""
)&amp;""&lt;br&gt;&lt;div class=""""audio""""&gt;[sound:""&amp;C6043&amp;"".mp3]&lt;/div&gt;"""),"&lt;ruby&gt;童話&lt;rt&gt;どうわ&lt;/rt&gt;&lt;/ruby&gt;&lt;br&gt;&lt;div class=""audio""&gt;[sound:どうわ.mp3]&lt;/div&gt;")</f>
        <v>&lt;ruby&gt;童話&lt;rt&gt;どうわ&lt;/rt&gt;&lt;/ruby&gt;&lt;br&gt;&lt;div class="audio"&gt;[sound:どうわ.mp3]&lt;/div&gt;</v>
      </c>
      <c r="H6043" s="3" t="str">
        <f t="shared" si="1"/>
        <v>(n): truyện đồng thoại</v>
      </c>
      <c r="I6043" s="6" t="s">
        <v>32891</v>
      </c>
      <c r="J6043" s="6" t="s">
        <v>32892</v>
      </c>
      <c r="K6043" s="7">
        <f t="shared" si="2"/>
        <v>0.2709758012</v>
      </c>
    </row>
    <row r="6044">
      <c r="A6044" s="4">
        <v>6044.0</v>
      </c>
      <c r="B6044" s="5" t="s">
        <v>32893</v>
      </c>
      <c r="C6044" s="5" t="s">
        <v>32894</v>
      </c>
      <c r="D6044" s="5" t="s">
        <v>32895</v>
      </c>
      <c r="E6044" s="6" t="s">
        <v>74</v>
      </c>
      <c r="F6044" s="6" t="s">
        <v>20633</v>
      </c>
      <c r="G6044" s="3" t="str">
        <f>IFERROR(__xludf.DUMMYFUNCTION("REGEXREPLACE(
D6044,
""([一-龯々]+)\[([^\]]+)\]"",
""&lt;ruby&gt;$1&lt;rt&gt;$2&lt;/rt&gt;&lt;/ruby&gt;""
)&amp;""&lt;br&gt;&lt;div class=""""audio""""&gt;[sound:""&amp;C6044&amp;"".mp3]&lt;/div&gt;"""),"&lt;ruby&gt;祭日&lt;rt&gt;さいじつ&lt;/rt&gt;&lt;/ruby&gt;&lt;br&gt;&lt;div class=""audio""&gt;[sound:さいじつ.mp3]&lt;/div&gt;")</f>
        <v>&lt;ruby&gt;祭日&lt;rt&gt;さいじつ&lt;/rt&gt;&lt;/ruby&gt;&lt;br&gt;&lt;div class="audio"&gt;[sound:さいじつ.mp3]&lt;/div&gt;</v>
      </c>
      <c r="H6044" s="3" t="str">
        <f t="shared" si="1"/>
        <v>(n): ngày lễ</v>
      </c>
      <c r="I6044" s="6" t="s">
        <v>32896</v>
      </c>
      <c r="J6044" s="6" t="s">
        <v>32897</v>
      </c>
      <c r="K6044" s="7">
        <f t="shared" si="2"/>
        <v>0.1340691305</v>
      </c>
    </row>
    <row r="6045">
      <c r="A6045" s="4">
        <v>6045.0</v>
      </c>
      <c r="B6045" s="5" t="s">
        <v>32898</v>
      </c>
      <c r="C6045" s="5" t="s">
        <v>8286</v>
      </c>
      <c r="D6045" s="5" t="s">
        <v>32899</v>
      </c>
      <c r="E6045" s="6" t="s">
        <v>74</v>
      </c>
      <c r="F6045" s="6" t="s">
        <v>32900</v>
      </c>
      <c r="G6045" s="3" t="str">
        <f>IFERROR(__xludf.DUMMYFUNCTION("REGEXREPLACE(
D6045,
""([一-龯々]+)\[([^\]]+)\]"",
""&lt;ruby&gt;$1&lt;rt&gt;$2&lt;/rt&gt;&lt;/ruby&gt;""
)&amp;""&lt;br&gt;&lt;div class=""""audio""""&gt;[sound:""&amp;C6045&amp;"".mp3]&lt;/div&gt;"""),"&lt;ruby&gt;陰&lt;rt&gt;かげ&lt;/rt&gt;&lt;/ruby&gt;&lt;br&gt;&lt;div class=""audio""&gt;[sound:かげ.mp3]&lt;/div&gt;")</f>
        <v>&lt;ruby&gt;陰&lt;rt&gt;かげ&lt;/rt&gt;&lt;/ruby&gt;&lt;br&gt;&lt;div class="audio"&gt;[sound:かげ.mp3]&lt;/div&gt;</v>
      </c>
      <c r="H6045" s="3" t="str">
        <f t="shared" si="1"/>
        <v>(n): bóng râm</v>
      </c>
      <c r="I6045" s="6" t="s">
        <v>32901</v>
      </c>
      <c r="J6045" s="6" t="s">
        <v>32902</v>
      </c>
      <c r="K6045" s="7">
        <f t="shared" si="2"/>
        <v>0.3884868336</v>
      </c>
    </row>
    <row r="6046">
      <c r="A6046" s="4">
        <v>6046.0</v>
      </c>
      <c r="B6046" s="5" t="s">
        <v>32903</v>
      </c>
      <c r="C6046" s="5" t="s">
        <v>32904</v>
      </c>
      <c r="D6046" s="5" t="s">
        <v>32905</v>
      </c>
      <c r="E6046" s="6" t="s">
        <v>74</v>
      </c>
      <c r="F6046" s="6" t="s">
        <v>32906</v>
      </c>
      <c r="G6046" s="3" t="str">
        <f>IFERROR(__xludf.DUMMYFUNCTION("REGEXREPLACE(
D6046,
""([一-龯々]+)\[([^\]]+)\]"",
""&lt;ruby&gt;$1&lt;rt&gt;$2&lt;/rt&gt;&lt;/ruby&gt;""
)&amp;""&lt;br&gt;&lt;div class=""""audio""""&gt;[sound:""&amp;C6046&amp;"".mp3]&lt;/div&gt;"""),"&lt;ruby&gt;頂点&lt;rt&gt;ちょうてん&lt;/rt&gt;&lt;/ruby&gt;&lt;br&gt;&lt;div class=""audio""&gt;[sound:ちょうてん.mp3]&lt;/div&gt;")</f>
        <v>&lt;ruby&gt;頂点&lt;rt&gt;ちょうてん&lt;/rt&gt;&lt;/ruby&gt;&lt;br&gt;&lt;div class="audio"&gt;[sound:ちょうてん.mp3]&lt;/div&gt;</v>
      </c>
      <c r="H6046" s="3" t="str">
        <f t="shared" si="1"/>
        <v>(n): đỉnh cao</v>
      </c>
      <c r="I6046" s="6" t="s">
        <v>32907</v>
      </c>
      <c r="J6046" s="6" t="s">
        <v>32908</v>
      </c>
      <c r="K6046" s="7">
        <f t="shared" si="2"/>
        <v>0.4439480625</v>
      </c>
    </row>
    <row r="6047">
      <c r="A6047" s="4">
        <v>6047.0</v>
      </c>
      <c r="B6047" s="5" t="s">
        <v>32909</v>
      </c>
      <c r="C6047" s="5" t="s">
        <v>32910</v>
      </c>
      <c r="D6047" s="5" t="s">
        <v>32911</v>
      </c>
      <c r="E6047" s="6" t="s">
        <v>74</v>
      </c>
      <c r="F6047" s="6" t="s">
        <v>32912</v>
      </c>
      <c r="G6047" s="3" t="str">
        <f>IFERROR(__xludf.DUMMYFUNCTION("REGEXREPLACE(
D6047,
""([一-龯々]+)\[([^\]]+)\]"",
""&lt;ruby&gt;$1&lt;rt&gt;$2&lt;/rt&gt;&lt;/ruby&gt;""
)&amp;""&lt;br&gt;&lt;div class=""""audio""""&gt;[sound:""&amp;C6047&amp;"".mp3]&lt;/div&gt;"""),"&lt;ruby&gt;鬼&lt;rt&gt;おに&lt;/rt&gt;&lt;/ruby&gt;&lt;br&gt;&lt;div class=""audio""&gt;[sound:おに.mp3]&lt;/div&gt;")</f>
        <v>&lt;ruby&gt;鬼&lt;rt&gt;おに&lt;/rt&gt;&lt;/ruby&gt;&lt;br&gt;&lt;div class="audio"&gt;[sound:おに.mp3]&lt;/div&gt;</v>
      </c>
      <c r="H6047" s="3" t="str">
        <f t="shared" si="1"/>
        <v>(n): quỷ</v>
      </c>
      <c r="I6047" s="6" t="s">
        <v>32913</v>
      </c>
      <c r="J6047" s="6" t="s">
        <v>32914</v>
      </c>
      <c r="K6047" s="7">
        <f t="shared" si="2"/>
        <v>0.5695822336</v>
      </c>
    </row>
    <row r="6048">
      <c r="A6048" s="4">
        <v>6048.0</v>
      </c>
      <c r="B6048" s="5" t="s">
        <v>32915</v>
      </c>
      <c r="C6048" s="5" t="s">
        <v>32916</v>
      </c>
      <c r="D6048" s="5" t="s">
        <v>32917</v>
      </c>
      <c r="E6048" s="6" t="s">
        <v>74</v>
      </c>
      <c r="F6048" s="6" t="s">
        <v>1420</v>
      </c>
      <c r="G6048" s="3" t="str">
        <f>IFERROR(__xludf.DUMMYFUNCTION("REGEXREPLACE(
D6048,
""([一-龯々]+)\[([^\]]+)\]"",
""&lt;ruby&gt;$1&lt;rt&gt;$2&lt;/rt&gt;&lt;/ruby&gt;""
)&amp;""&lt;br&gt;&lt;div class=""""audio""""&gt;[sound:""&amp;C6048&amp;"".mp3]&lt;/div&gt;"""),"&lt;ruby&gt;難&lt;rt&gt;なん&lt;/rt&gt;&lt;/ruby&gt;&lt;br&gt;&lt;div class=""audio""&gt;[sound:なん.mp3]&lt;/div&gt;")</f>
        <v>&lt;ruby&gt;難&lt;rt&gt;なん&lt;/rt&gt;&lt;/ruby&gt;&lt;br&gt;&lt;div class="audio"&gt;[sound:なん.mp3]&lt;/div&gt;</v>
      </c>
      <c r="H6048" s="3" t="str">
        <f t="shared" si="1"/>
        <v>(n): khó khăn</v>
      </c>
      <c r="I6048" s="6" t="s">
        <v>32918</v>
      </c>
      <c r="J6048" s="6" t="s">
        <v>32919</v>
      </c>
      <c r="K6048" s="7">
        <f t="shared" si="2"/>
        <v>0.6148710763</v>
      </c>
    </row>
    <row r="6049">
      <c r="A6049" s="4">
        <v>6049.0</v>
      </c>
      <c r="B6049" s="5" t="s">
        <v>32920</v>
      </c>
      <c r="C6049" s="5" t="s">
        <v>32921</v>
      </c>
      <c r="D6049" s="5" t="s">
        <v>32922</v>
      </c>
      <c r="E6049" s="6" t="s">
        <v>24</v>
      </c>
      <c r="F6049" s="6" t="s">
        <v>254</v>
      </c>
      <c r="G6049" s="3" t="str">
        <f>IFERROR(__xludf.DUMMYFUNCTION("REGEXREPLACE(
D6049,
""([一-龯々]+)\[([^\]]+)\]"",
""&lt;ruby&gt;$1&lt;rt&gt;$2&lt;/rt&gt;&lt;/ruby&gt;""
)&amp;""&lt;br&gt;&lt;div class=""""audio""""&gt;[sound:""&amp;C6049&amp;"".mp3]&lt;/div&gt;"""),"&lt;ruby&gt;吊&lt;rt&gt;つる&lt;/rt&gt;&lt;/ruby&gt;す&lt;br&gt;&lt;div class=""audio""&gt;[sound:つるす.mp3]&lt;/div&gt;")</f>
        <v>&lt;ruby&gt;吊&lt;rt&gt;つる&lt;/rt&gt;&lt;/ruby&gt;す&lt;br&gt;&lt;div class="audio"&gt;[sound:つるす.mp3]&lt;/div&gt;</v>
      </c>
      <c r="H6049" s="3" t="str">
        <f t="shared" si="1"/>
        <v>(v): treo</v>
      </c>
      <c r="I6049" s="6" t="s">
        <v>32923</v>
      </c>
      <c r="J6049" s="6" t="s">
        <v>32924</v>
      </c>
      <c r="K6049" s="7">
        <f t="shared" si="2"/>
        <v>0.6656334666</v>
      </c>
    </row>
    <row r="6050">
      <c r="A6050" s="4">
        <v>6050.0</v>
      </c>
      <c r="B6050" s="5" t="s">
        <v>32925</v>
      </c>
      <c r="C6050" s="5" t="s">
        <v>32926</v>
      </c>
      <c r="D6050" s="5" t="s">
        <v>32927</v>
      </c>
      <c r="E6050" s="6" t="s">
        <v>74</v>
      </c>
      <c r="F6050" s="6" t="s">
        <v>32928</v>
      </c>
      <c r="G6050" s="3" t="str">
        <f>IFERROR(__xludf.DUMMYFUNCTION("REGEXREPLACE(
D6050,
""([一-龯々]+)\[([^\]]+)\]"",
""&lt;ruby&gt;$1&lt;rt&gt;$2&lt;/rt&gt;&lt;/ruby&gt;""
)&amp;""&lt;br&gt;&lt;div class=""""audio""""&gt;[sound:""&amp;C6050&amp;"".mp3]&lt;/div&gt;"""),"&lt;ruby&gt;坊&lt;rt&gt;ぼ&lt;/rt&gt;&lt;/ruby&gt;っちゃん&lt;br&gt;&lt;div class=""audio""&gt;[sound:ぼっちゃん.mp3]&lt;/div&gt;")</f>
        <v>&lt;ruby&gt;坊&lt;rt&gt;ぼ&lt;/rt&gt;&lt;/ruby&gt;っちゃん&lt;br&gt;&lt;div class="audio"&gt;[sound:ぼっちゃん.mp3]&lt;/div&gt;</v>
      </c>
      <c r="H6050" s="3" t="str">
        <f t="shared" si="1"/>
        <v>(n): cậu ấm</v>
      </c>
      <c r="I6050" s="6" t="s">
        <v>32929</v>
      </c>
      <c r="J6050" s="6" t="s">
        <v>32930</v>
      </c>
      <c r="K6050" s="7">
        <f t="shared" si="2"/>
        <v>0.729098882</v>
      </c>
    </row>
    <row r="6051">
      <c r="A6051" s="4">
        <v>6051.0</v>
      </c>
      <c r="B6051" s="5" t="s">
        <v>32931</v>
      </c>
      <c r="C6051" s="5" t="s">
        <v>32932</v>
      </c>
      <c r="D6051" s="5" t="s">
        <v>32933</v>
      </c>
      <c r="E6051" s="6" t="s">
        <v>74</v>
      </c>
      <c r="F6051" s="6" t="s">
        <v>32934</v>
      </c>
      <c r="G6051" s="3" t="str">
        <f>IFERROR(__xludf.DUMMYFUNCTION("REGEXREPLACE(
D6051,
""([一-龯々]+)\[([^\]]+)\]"",
""&lt;ruby&gt;$1&lt;rt&gt;$2&lt;/rt&gt;&lt;/ruby&gt;""
)&amp;""&lt;br&gt;&lt;div class=""""audio""""&gt;[sound:""&amp;C6051&amp;"".mp3]&lt;/div&gt;"""),"&lt;ruby&gt;工員&lt;rt&gt;こういん&lt;/rt&gt;&lt;/ruby&gt;&lt;br&gt;&lt;div class=""audio""&gt;[sound:こういん.mp3]&lt;/div&gt;")</f>
        <v>&lt;ruby&gt;工員&lt;rt&gt;こういん&lt;/rt&gt;&lt;/ruby&gt;&lt;br&gt;&lt;div class="audio"&gt;[sound:こういん.mp3]&lt;/div&gt;</v>
      </c>
      <c r="H6051" s="3" t="str">
        <f t="shared" si="1"/>
        <v>(n): công nhân</v>
      </c>
      <c r="I6051" s="6" t="s">
        <v>32935</v>
      </c>
      <c r="J6051" s="6" t="s">
        <v>32936</v>
      </c>
      <c r="K6051" s="7">
        <f t="shared" si="2"/>
        <v>0.4046361867</v>
      </c>
    </row>
    <row r="6052">
      <c r="A6052" s="4">
        <v>6052.0</v>
      </c>
      <c r="B6052" s="5" t="s">
        <v>32937</v>
      </c>
      <c r="C6052" s="5" t="s">
        <v>32938</v>
      </c>
      <c r="D6052" s="5" t="s">
        <v>32939</v>
      </c>
      <c r="E6052" s="6" t="s">
        <v>11</v>
      </c>
      <c r="F6052" s="6" t="s">
        <v>32940</v>
      </c>
      <c r="G6052" s="3" t="str">
        <f>IFERROR(__xludf.DUMMYFUNCTION("REGEXREPLACE(
D6052,
""([一-龯々]+)\[([^\]]+)\]"",
""&lt;ruby&gt;$1&lt;rt&gt;$2&lt;/rt&gt;&lt;/ruby&gt;""
)&amp;""&lt;br&gt;&lt;div class=""""audio""""&gt;[sound:""&amp;C6052&amp;"".mp3]&lt;/div&gt;"""),"&lt;ruby&gt;険&lt;rt&gt;けわ&lt;/rt&gt;&lt;/ruby&gt;しい&lt;br&gt;&lt;div class=""audio""&gt;[sound:けわしい.mp3]&lt;/div&gt;")</f>
        <v>&lt;ruby&gt;険&lt;rt&gt;けわ&lt;/rt&gt;&lt;/ruby&gt;しい&lt;br&gt;&lt;div class="audio"&gt;[sound:けわしい.mp3]&lt;/div&gt;</v>
      </c>
      <c r="H6052" s="3" t="str">
        <f t="shared" si="1"/>
        <v>(adj): hiểm trở</v>
      </c>
      <c r="I6052" s="6" t="s">
        <v>32941</v>
      </c>
      <c r="J6052" s="6" t="s">
        <v>32942</v>
      </c>
      <c r="K6052" s="7">
        <f t="shared" si="2"/>
        <v>0.8329863332</v>
      </c>
    </row>
    <row r="6053">
      <c r="A6053" s="4">
        <v>6053.0</v>
      </c>
      <c r="B6053" s="5" t="s">
        <v>32943</v>
      </c>
      <c r="C6053" s="5" t="s">
        <v>6389</v>
      </c>
      <c r="D6053" s="5" t="s">
        <v>32944</v>
      </c>
      <c r="E6053" s="6" t="s">
        <v>11</v>
      </c>
      <c r="F6053" s="6" t="s">
        <v>32945</v>
      </c>
      <c r="G6053" s="3" t="str">
        <f>IFERROR(__xludf.DUMMYFUNCTION("REGEXREPLACE(
D6053,
""([一-龯々]+)\[([^\]]+)\]"",
""&lt;ruby&gt;$1&lt;rt&gt;$2&lt;/rt&gt;&lt;/ruby&gt;""
)&amp;""&lt;br&gt;&lt;div class=""""audio""""&gt;[sound:""&amp;C6053&amp;"".mp3]&lt;/div&gt;"""),"&lt;ruby&gt;高価&lt;rt&gt;こうか&lt;/rt&gt;&lt;/ruby&gt;&lt;br&gt;&lt;div class=""audio""&gt;[sound:こうか.mp3]&lt;/div&gt;")</f>
        <v>&lt;ruby&gt;高価&lt;rt&gt;こうか&lt;/rt&gt;&lt;/ruby&gt;&lt;br&gt;&lt;div class="audio"&gt;[sound:こうか.mp3]&lt;/div&gt;</v>
      </c>
      <c r="H6053" s="3" t="str">
        <f t="shared" si="1"/>
        <v>(adj): đắt tiền</v>
      </c>
      <c r="I6053" s="6" t="s">
        <v>32946</v>
      </c>
      <c r="J6053" s="6" t="s">
        <v>32947</v>
      </c>
      <c r="K6053" s="7">
        <f t="shared" si="2"/>
        <v>0.8780018283</v>
      </c>
    </row>
    <row r="6054">
      <c r="A6054" s="4">
        <v>6054.0</v>
      </c>
      <c r="B6054" s="5" t="s">
        <v>32948</v>
      </c>
      <c r="C6054" s="5" t="s">
        <v>32949</v>
      </c>
      <c r="D6054" s="5" t="s">
        <v>32950</v>
      </c>
      <c r="E6054" s="6" t="s">
        <v>24</v>
      </c>
      <c r="F6054" s="6" t="s">
        <v>32951</v>
      </c>
      <c r="G6054" s="3" t="str">
        <f>IFERROR(__xludf.DUMMYFUNCTION("REGEXREPLACE(
D6054,
""([一-龯々]+)\[([^\]]+)\]"",
""&lt;ruby&gt;$1&lt;rt&gt;$2&lt;/rt&gt;&lt;/ruby&gt;""
)&amp;""&lt;br&gt;&lt;div class=""""audio""""&gt;[sound:""&amp;C6054&amp;"".mp3]&lt;/div&gt;"""),"&lt;ruby&gt;罰&lt;rt&gt;ばっ&lt;/rt&gt;&lt;/ruby&gt;する&lt;br&gt;&lt;div class=""audio""&gt;[sound:ばっする.mp3]&lt;/div&gt;")</f>
        <v>&lt;ruby&gt;罰&lt;rt&gt;ばっ&lt;/rt&gt;&lt;/ruby&gt;する&lt;br&gt;&lt;div class="audio"&gt;[sound:ばっする.mp3]&lt;/div&gt;</v>
      </c>
      <c r="H6054" s="3" t="str">
        <f t="shared" si="1"/>
        <v>(v): trừng phạt</v>
      </c>
      <c r="I6054" s="6" t="s">
        <v>32952</v>
      </c>
      <c r="J6054" s="6" t="s">
        <v>32953</v>
      </c>
      <c r="K6054" s="7">
        <f t="shared" si="2"/>
        <v>0.6877496272</v>
      </c>
    </row>
    <row r="6055">
      <c r="A6055" s="4">
        <v>6055.0</v>
      </c>
      <c r="B6055" s="5" t="s">
        <v>32954</v>
      </c>
      <c r="C6055" s="5" t="s">
        <v>7503</v>
      </c>
      <c r="D6055" s="5" t="s">
        <v>32955</v>
      </c>
      <c r="E6055" s="6" t="s">
        <v>74</v>
      </c>
      <c r="F6055" s="6" t="s">
        <v>9990</v>
      </c>
      <c r="G6055" s="3" t="str">
        <f>IFERROR(__xludf.DUMMYFUNCTION("REGEXREPLACE(
D6055,
""([一-龯々]+)\[([^\]]+)\]"",
""&lt;ruby&gt;$1&lt;rt&gt;$2&lt;/rt&gt;&lt;/ruby&gt;""
)&amp;""&lt;br&gt;&lt;div class=""""audio""""&gt;[sound:""&amp;C6055&amp;"".mp3]&lt;/div&gt;"""),"&lt;ruby&gt;器械&lt;rt&gt;きかい&lt;/rt&gt;&lt;/ruby&gt;&lt;br&gt;&lt;div class=""audio""&gt;[sound:きかい.mp3]&lt;/div&gt;")</f>
        <v>&lt;ruby&gt;器械&lt;rt&gt;きかい&lt;/rt&gt;&lt;/ruby&gt;&lt;br&gt;&lt;div class="audio"&gt;[sound:きかい.mp3]&lt;/div&gt;</v>
      </c>
      <c r="H6055" s="3" t="str">
        <f t="shared" si="1"/>
        <v>(n): máy móc</v>
      </c>
      <c r="I6055" s="6" t="s">
        <v>32956</v>
      </c>
      <c r="J6055" s="6" t="s">
        <v>32957</v>
      </c>
      <c r="K6055" s="7">
        <f t="shared" si="2"/>
        <v>0.7084066508</v>
      </c>
    </row>
    <row r="6056">
      <c r="A6056" s="4">
        <v>6056.0</v>
      </c>
      <c r="B6056" s="5" t="s">
        <v>32958</v>
      </c>
      <c r="C6056" s="5" t="s">
        <v>32958</v>
      </c>
      <c r="D6056" s="5" t="s">
        <v>32958</v>
      </c>
      <c r="E6056" s="6" t="s">
        <v>11</v>
      </c>
      <c r="F6056" s="6" t="s">
        <v>2738</v>
      </c>
      <c r="G6056" s="3" t="str">
        <f>IFERROR(__xludf.DUMMYFUNCTION("REGEXREPLACE(
D6056,
""([一-龯々]+)\[([^\]]+)\]"",
""&lt;ruby&gt;$1&lt;rt&gt;$2&lt;/rt&gt;&lt;/ruby&gt;""
)&amp;""&lt;br&gt;&lt;div class=""""audio""""&gt;[sound:""&amp;C6056&amp;"".mp3]&lt;/div&gt;"""),"おおざっぱ&lt;br&gt;&lt;div class=""audio""&gt;[sound:おおざっぱ.mp3]&lt;/div&gt;")</f>
        <v>おおざっぱ&lt;br&gt;&lt;div class="audio"&gt;[sound:おおざっぱ.mp3]&lt;/div&gt;</v>
      </c>
      <c r="H6056" s="3" t="str">
        <f t="shared" si="1"/>
        <v>(adj): đại khái</v>
      </c>
      <c r="I6056" s="6" t="s">
        <v>32959</v>
      </c>
      <c r="J6056" s="6" t="s">
        <v>32960</v>
      </c>
      <c r="K6056" s="7">
        <f t="shared" si="2"/>
        <v>0.2569772108</v>
      </c>
    </row>
    <row r="6057">
      <c r="A6057" s="4">
        <v>6057.0</v>
      </c>
      <c r="B6057" s="5" t="s">
        <v>32961</v>
      </c>
      <c r="C6057" s="5" t="s">
        <v>32962</v>
      </c>
      <c r="D6057" s="5" t="s">
        <v>32963</v>
      </c>
      <c r="E6057" s="6" t="s">
        <v>11</v>
      </c>
      <c r="F6057" s="6" t="s">
        <v>32964</v>
      </c>
      <c r="G6057" s="3" t="str">
        <f>IFERROR(__xludf.DUMMYFUNCTION("REGEXREPLACE(
D6057,
""([一-龯々]+)\[([^\]]+)\]"",
""&lt;ruby&gt;$1&lt;rt&gt;$2&lt;/rt&gt;&lt;/ruby&gt;""
)&amp;""&lt;br&gt;&lt;div class=""""audio""""&gt;[sound:""&amp;C6057&amp;"".mp3]&lt;/div&gt;"""),"&lt;ruby&gt;消極的&lt;rt&gt;しょうきょくてき&lt;/rt&gt;&lt;/ruby&gt;&lt;br&gt;&lt;div class=""audio""&gt;[sound:しょうきょくてき.mp3]&lt;/div&gt;")</f>
        <v>&lt;ruby&gt;消極的&lt;rt&gt;しょうきょくてき&lt;/rt&gt;&lt;/ruby&gt;&lt;br&gt;&lt;div class="audio"&gt;[sound:しょうきょくてき.mp3]&lt;/div&gt;</v>
      </c>
      <c r="H6057" s="3" t="str">
        <f t="shared" si="1"/>
        <v>(adj): tiêu cực</v>
      </c>
      <c r="I6057" s="6" t="s">
        <v>32965</v>
      </c>
      <c r="J6057" s="6" t="s">
        <v>32966</v>
      </c>
      <c r="K6057" s="7">
        <f t="shared" si="2"/>
        <v>0.107883907</v>
      </c>
    </row>
    <row r="6058">
      <c r="A6058" s="4">
        <v>6058.0</v>
      </c>
      <c r="B6058" s="5" t="s">
        <v>32967</v>
      </c>
      <c r="C6058" s="5" t="s">
        <v>32968</v>
      </c>
      <c r="D6058" s="5" t="s">
        <v>32969</v>
      </c>
      <c r="E6058" s="6" t="s">
        <v>74</v>
      </c>
      <c r="F6058" s="6" t="s">
        <v>32970</v>
      </c>
      <c r="G6058" s="3" t="str">
        <f>IFERROR(__xludf.DUMMYFUNCTION("REGEXREPLACE(
D6058,
""([一-龯々]+)\[([^\]]+)\]"",
""&lt;ruby&gt;$1&lt;rt&gt;$2&lt;/rt&gt;&lt;/ruby&gt;""
)&amp;""&lt;br&gt;&lt;div class=""""audio""""&gt;[sound:""&amp;C6058&amp;"".mp3]&lt;/div&gt;"""),"&lt;ruby&gt;堀&lt;rt&gt;ほり&lt;/rt&gt;&lt;/ruby&gt;&lt;br&gt;&lt;div class=""audio""&gt;[sound:ほり.mp3]&lt;/div&gt;")</f>
        <v>&lt;ruby&gt;堀&lt;rt&gt;ほり&lt;/rt&gt;&lt;/ruby&gt;&lt;br&gt;&lt;div class="audio"&gt;[sound:ほり.mp3]&lt;/div&gt;</v>
      </c>
      <c r="H6058" s="3" t="str">
        <f t="shared" si="1"/>
        <v>(n): hào</v>
      </c>
      <c r="I6058" s="6" t="s">
        <v>32971</v>
      </c>
      <c r="J6058" s="6" t="s">
        <v>32972</v>
      </c>
      <c r="K6058" s="7">
        <f t="shared" si="2"/>
        <v>0.9111441657</v>
      </c>
    </row>
    <row r="6059">
      <c r="A6059" s="4">
        <v>6059.0</v>
      </c>
      <c r="B6059" s="5" t="s">
        <v>32973</v>
      </c>
      <c r="C6059" s="5" t="s">
        <v>5764</v>
      </c>
      <c r="D6059" s="5" t="s">
        <v>32974</v>
      </c>
      <c r="E6059" s="6" t="s">
        <v>11</v>
      </c>
      <c r="F6059" s="6" t="s">
        <v>32975</v>
      </c>
      <c r="G6059" s="3" t="str">
        <f>IFERROR(__xludf.DUMMYFUNCTION("REGEXREPLACE(
D6059,
""([一-龯々]+)\[([^\]]+)\]"",
""&lt;ruby&gt;$1&lt;rt&gt;$2&lt;/rt&gt;&lt;/ruby&gt;""
)&amp;""&lt;br&gt;&lt;div class=""""audio""""&gt;[sound:""&amp;C6059&amp;"".mp3]&lt;/div&gt;"""),"&lt;ruby&gt;正規&lt;rt&gt;せいき&lt;/rt&gt;&lt;/ruby&gt;&lt;br&gt;&lt;div class=""audio""&gt;[sound:せいき.mp3]&lt;/div&gt;")</f>
        <v>&lt;ruby&gt;正規&lt;rt&gt;せいき&lt;/rt&gt;&lt;/ruby&gt;&lt;br&gt;&lt;div class="audio"&gt;[sound:せいき.mp3]&lt;/div&gt;</v>
      </c>
      <c r="H6059" s="3" t="str">
        <f t="shared" si="1"/>
        <v>(adj): chính quy</v>
      </c>
      <c r="I6059" s="6" t="s">
        <v>32976</v>
      </c>
      <c r="J6059" s="6" t="s">
        <v>32977</v>
      </c>
      <c r="K6059" s="7">
        <f t="shared" si="2"/>
        <v>0.7194158477</v>
      </c>
    </row>
    <row r="6060">
      <c r="A6060" s="4">
        <v>6060.0</v>
      </c>
      <c r="B6060" s="5" t="s">
        <v>32978</v>
      </c>
      <c r="C6060" s="5" t="s">
        <v>32979</v>
      </c>
      <c r="D6060" s="5" t="s">
        <v>32980</v>
      </c>
      <c r="E6060" s="6" t="s">
        <v>74</v>
      </c>
      <c r="F6060" s="6" t="s">
        <v>32981</v>
      </c>
      <c r="G6060" s="3" t="str">
        <f>IFERROR(__xludf.DUMMYFUNCTION("REGEXREPLACE(
D6060,
""([一-龯々]+)\[([^\]]+)\]"",
""&lt;ruby&gt;$1&lt;rt&gt;$2&lt;/rt&gt;&lt;/ruby&gt;""
)&amp;""&lt;br&gt;&lt;div class=""""audio""""&gt;[sound:""&amp;C6060&amp;"".mp3]&lt;/div&gt;"""),"&lt;ruby&gt;速達&lt;rt&gt;そくたつ&lt;/rt&gt;&lt;/ruby&gt;&lt;br&gt;&lt;div class=""audio""&gt;[sound:そくたつ.mp3]&lt;/div&gt;")</f>
        <v>&lt;ruby&gt;速達&lt;rt&gt;そくたつ&lt;/rt&gt;&lt;/ruby&gt;&lt;br&gt;&lt;div class="audio"&gt;[sound:そくたつ.mp3]&lt;/div&gt;</v>
      </c>
      <c r="H6060" s="3" t="str">
        <f t="shared" si="1"/>
        <v>(n): chuyển phát nhanh</v>
      </c>
      <c r="I6060" s="6" t="s">
        <v>32982</v>
      </c>
      <c r="J6060" s="6" t="s">
        <v>32983</v>
      </c>
      <c r="K6060" s="7">
        <f t="shared" si="2"/>
        <v>0.3775052262</v>
      </c>
    </row>
    <row r="6061">
      <c r="A6061" s="4">
        <v>6061.0</v>
      </c>
      <c r="B6061" s="5" t="s">
        <v>32984</v>
      </c>
      <c r="C6061" s="5" t="s">
        <v>32985</v>
      </c>
      <c r="D6061" s="5" t="s">
        <v>32986</v>
      </c>
      <c r="E6061" s="6" t="s">
        <v>74</v>
      </c>
      <c r="F6061" s="6" t="s">
        <v>32987</v>
      </c>
      <c r="G6061" s="3" t="str">
        <f>IFERROR(__xludf.DUMMYFUNCTION("REGEXREPLACE(
D6061,
""([一-龯々]+)\[([^\]]+)\]"",
""&lt;ruby&gt;$1&lt;rt&gt;$2&lt;/rt&gt;&lt;/ruby&gt;""
)&amp;""&lt;br&gt;&lt;div class=""""audio""""&gt;[sound:""&amp;C6061&amp;"".mp3]&lt;/div&gt;"""),"&lt;ruby&gt;必需品&lt;rt&gt;ひつじゅひん&lt;/rt&gt;&lt;/ruby&gt;&lt;br&gt;&lt;div class=""audio""&gt;[sound:ひつじゅひん.mp3]&lt;/div&gt;")</f>
        <v>&lt;ruby&gt;必需品&lt;rt&gt;ひつじゅひん&lt;/rt&gt;&lt;/ruby&gt;&lt;br&gt;&lt;div class="audio"&gt;[sound:ひつじゅひん.mp3]&lt;/div&gt;</v>
      </c>
      <c r="H6061" s="3" t="str">
        <f t="shared" si="1"/>
        <v>(n): nhu yếu phẩm</v>
      </c>
      <c r="I6061" s="6" t="s">
        <v>32988</v>
      </c>
      <c r="J6061" s="6" t="s">
        <v>32989</v>
      </c>
      <c r="K6061" s="7">
        <f t="shared" si="2"/>
        <v>0.3611613232</v>
      </c>
    </row>
    <row r="6062">
      <c r="A6062" s="4">
        <v>6062.0</v>
      </c>
      <c r="B6062" s="5" t="s">
        <v>32990</v>
      </c>
      <c r="C6062" s="5" t="s">
        <v>32991</v>
      </c>
      <c r="D6062" s="5" t="s">
        <v>32992</v>
      </c>
      <c r="E6062" s="6" t="s">
        <v>24</v>
      </c>
      <c r="F6062" s="6" t="s">
        <v>32993</v>
      </c>
      <c r="G6062" s="3" t="str">
        <f>IFERROR(__xludf.DUMMYFUNCTION("REGEXREPLACE(
D6062,
""([一-龯々]+)\[([^\]]+)\]"",
""&lt;ruby&gt;$1&lt;rt&gt;$2&lt;/rt&gt;&lt;/ruby&gt;""
)&amp;""&lt;br&gt;&lt;div class=""""audio""""&gt;[sound:""&amp;C6062&amp;"".mp3]&lt;/div&gt;"""),"&lt;ruby&gt;威張&lt;rt&gt;いば&lt;/rt&gt;&lt;/ruby&gt;る&lt;br&gt;&lt;div class=""audio""&gt;[sound:いばる.mp3]&lt;/div&gt;")</f>
        <v>&lt;ruby&gt;威張&lt;rt&gt;いば&lt;/rt&gt;&lt;/ruby&gt;る&lt;br&gt;&lt;div class="audio"&gt;[sound:いばる.mp3]&lt;/div&gt;</v>
      </c>
      <c r="H6062" s="3" t="str">
        <f t="shared" si="1"/>
        <v>(v): kiêu ngạo</v>
      </c>
      <c r="I6062" s="6" t="s">
        <v>32994</v>
      </c>
      <c r="J6062" s="6" t="s">
        <v>32995</v>
      </c>
      <c r="K6062" s="7">
        <f t="shared" si="2"/>
        <v>0.4330597958</v>
      </c>
    </row>
    <row r="6063">
      <c r="A6063" s="4">
        <v>6063.0</v>
      </c>
      <c r="B6063" s="5" t="s">
        <v>32996</v>
      </c>
      <c r="C6063" s="5" t="s">
        <v>32997</v>
      </c>
      <c r="D6063" s="5" t="s">
        <v>32998</v>
      </c>
      <c r="E6063" s="6" t="s">
        <v>74</v>
      </c>
      <c r="F6063" s="6" t="s">
        <v>1233</v>
      </c>
      <c r="G6063" s="3" t="str">
        <f>IFERROR(__xludf.DUMMYFUNCTION("REGEXREPLACE(
D6063,
""([一-龯々]+)\[([^\]]+)\]"",
""&lt;ruby&gt;$1&lt;rt&gt;$2&lt;/rt&gt;&lt;/ruby&gt;""
)&amp;""&lt;br&gt;&lt;div class=""""audio""""&gt;[sound:""&amp;C6063&amp;"".mp3]&lt;/div&gt;"""),"&lt;ruby&gt;体系&lt;rt&gt;たいけい&lt;/rt&gt;&lt;/ruby&gt;&lt;br&gt;&lt;div class=""audio""&gt;[sound:たいけい.mp3]&lt;/div&gt;")</f>
        <v>&lt;ruby&gt;体系&lt;rt&gt;たいけい&lt;/rt&gt;&lt;/ruby&gt;&lt;br&gt;&lt;div class="audio"&gt;[sound:たいけい.mp3]&lt;/div&gt;</v>
      </c>
      <c r="H6063" s="3" t="str">
        <f t="shared" si="1"/>
        <v>(n): hệ thống</v>
      </c>
      <c r="I6063" s="6" t="s">
        <v>32999</v>
      </c>
      <c r="J6063" s="6" t="s">
        <v>33000</v>
      </c>
      <c r="K6063" s="7">
        <f t="shared" si="2"/>
        <v>0.02596447169</v>
      </c>
    </row>
    <row r="6064">
      <c r="A6064" s="4">
        <v>6064.0</v>
      </c>
      <c r="B6064" s="5" t="s">
        <v>33001</v>
      </c>
      <c r="C6064" s="5" t="s">
        <v>33002</v>
      </c>
      <c r="D6064" s="5" t="s">
        <v>33003</v>
      </c>
      <c r="E6064" s="6" t="s">
        <v>11</v>
      </c>
      <c r="F6064" s="6" t="s">
        <v>33004</v>
      </c>
      <c r="G6064" s="3" t="str">
        <f>IFERROR(__xludf.DUMMYFUNCTION("REGEXREPLACE(
D6064,
""([一-龯々]+)\[([^\]]+)\]"",
""&lt;ruby&gt;$1&lt;rt&gt;$2&lt;/rt&gt;&lt;/ruby&gt;""
)&amp;""&lt;br&gt;&lt;div class=""""audio""""&gt;[sound:""&amp;C6064&amp;"".mp3]&lt;/div&gt;"""),"&lt;ruby&gt;面倒臭&lt;rt&gt;めんどうくさ&lt;/rt&gt;&lt;/ruby&gt;い&lt;br&gt;&lt;div class=""audio""&gt;[sound:めんどうくさい.mp3]&lt;/div&gt;")</f>
        <v>&lt;ruby&gt;面倒臭&lt;rt&gt;めんどうくさ&lt;/rt&gt;&lt;/ruby&gt;い&lt;br&gt;&lt;div class="audio"&gt;[sound:めんどうくさい.mp3]&lt;/div&gt;</v>
      </c>
      <c r="H6064" s="3" t="str">
        <f t="shared" si="1"/>
        <v>(adj): phiền hà</v>
      </c>
      <c r="I6064" s="6" t="s">
        <v>33005</v>
      </c>
      <c r="J6064" s="6" t="s">
        <v>33006</v>
      </c>
      <c r="K6064" s="7">
        <f t="shared" si="2"/>
        <v>0.6399366846</v>
      </c>
    </row>
    <row r="6065">
      <c r="A6065" s="4">
        <v>6065.0</v>
      </c>
      <c r="B6065" s="5" t="s">
        <v>33007</v>
      </c>
      <c r="C6065" s="5" t="s">
        <v>33008</v>
      </c>
      <c r="D6065" s="5" t="s">
        <v>33007</v>
      </c>
      <c r="E6065" s="6" t="s">
        <v>74</v>
      </c>
      <c r="F6065" s="6" t="s">
        <v>33009</v>
      </c>
      <c r="G6065" s="3" t="str">
        <f>IFERROR(__xludf.DUMMYFUNCTION("REGEXREPLACE(
D6065,
""([一-龯々]+)\[([^\]]+)\]"",
""&lt;ruby&gt;$1&lt;rt&gt;$2&lt;/rt&gt;&lt;/ruby&gt;""
)&amp;""&lt;br&gt;&lt;div class=""""audio""""&gt;[sound:""&amp;C6065&amp;"".mp3]&lt;/div&gt;"""),"コック&lt;br&gt;&lt;div class=""audio""&gt;[sound:こっく.mp3]&lt;/div&gt;")</f>
        <v>コック&lt;br&gt;&lt;div class="audio"&gt;[sound:こっく.mp3]&lt;/div&gt;</v>
      </c>
      <c r="H6065" s="3" t="str">
        <f t="shared" si="1"/>
        <v>(n): đầu bếp</v>
      </c>
      <c r="I6065" s="6" t="s">
        <v>33010</v>
      </c>
      <c r="J6065" s="6" t="s">
        <v>33011</v>
      </c>
      <c r="K6065" s="7">
        <f t="shared" si="2"/>
        <v>0.3988731858</v>
      </c>
    </row>
    <row r="6066">
      <c r="A6066" s="4">
        <v>6066.0</v>
      </c>
      <c r="B6066" s="5" t="s">
        <v>33012</v>
      </c>
      <c r="C6066" s="5" t="s">
        <v>253</v>
      </c>
      <c r="D6066" s="5" t="s">
        <v>33013</v>
      </c>
      <c r="E6066" s="6" t="s">
        <v>24</v>
      </c>
      <c r="F6066" s="6" t="s">
        <v>3975</v>
      </c>
      <c r="G6066" s="3" t="str">
        <f>IFERROR(__xludf.DUMMYFUNCTION("REGEXREPLACE(
D6066,
""([一-龯々]+)\[([^\]]+)\]"",
""&lt;ruby&gt;$1&lt;rt&gt;$2&lt;/rt&gt;&lt;/ruby&gt;""
)&amp;""&lt;br&gt;&lt;div class=""""audio""""&gt;[sound:""&amp;C6066&amp;"".mp3]&lt;/div&gt;"""),"&lt;ruby&gt;駆&lt;rt&gt;か&lt;/rt&gt;&lt;/ruby&gt;ける&lt;br&gt;&lt;div class=""audio""&gt;[sound:かける.mp3]&lt;/div&gt;")</f>
        <v>&lt;ruby&gt;駆&lt;rt&gt;か&lt;/rt&gt;&lt;/ruby&gt;ける&lt;br&gt;&lt;div class="audio"&gt;[sound:かける.mp3]&lt;/div&gt;</v>
      </c>
      <c r="H6066" s="3" t="str">
        <f t="shared" si="1"/>
        <v>(v): chạy</v>
      </c>
      <c r="I6066" s="6" t="s">
        <v>33014</v>
      </c>
      <c r="J6066" s="6" t="s">
        <v>33015</v>
      </c>
      <c r="K6066" s="7">
        <f t="shared" si="2"/>
        <v>0.7957962649</v>
      </c>
    </row>
    <row r="6067">
      <c r="A6067" s="4">
        <v>6067.0</v>
      </c>
      <c r="B6067" s="5" t="s">
        <v>33016</v>
      </c>
      <c r="C6067" s="5" t="s">
        <v>33017</v>
      </c>
      <c r="D6067" s="5" t="s">
        <v>33018</v>
      </c>
      <c r="E6067" s="6" t="s">
        <v>74</v>
      </c>
      <c r="F6067" s="6" t="s">
        <v>33019</v>
      </c>
      <c r="G6067" s="3" t="str">
        <f>IFERROR(__xludf.DUMMYFUNCTION("REGEXREPLACE(
D6067,
""([一-龯々]+)\[([^\]]+)\]"",
""&lt;ruby&gt;$1&lt;rt&gt;$2&lt;/rt&gt;&lt;/ruby&gt;""
)&amp;""&lt;br&gt;&lt;div class=""""audio""""&gt;[sound:""&amp;C6067&amp;"".mp3]&lt;/div&gt;"""),"&lt;ruby&gt;自然科学&lt;rt&gt;しぜんかがく&lt;/rt&gt;&lt;/ruby&gt;&lt;br&gt;&lt;div class=""audio""&gt;[sound:しぜんかがく.mp3]&lt;/div&gt;")</f>
        <v>&lt;ruby&gt;自然科学&lt;rt&gt;しぜんかがく&lt;/rt&gt;&lt;/ruby&gt;&lt;br&gt;&lt;div class="audio"&gt;[sound:しぜんかがく.mp3]&lt;/div&gt;</v>
      </c>
      <c r="H6067" s="3" t="str">
        <f t="shared" si="1"/>
        <v>(n): khoa học tự nhiên</v>
      </c>
      <c r="I6067" s="6" t="s">
        <v>33020</v>
      </c>
      <c r="J6067" s="6" t="s">
        <v>33021</v>
      </c>
      <c r="K6067" s="7">
        <f t="shared" si="2"/>
        <v>0.8641251255</v>
      </c>
    </row>
    <row r="6068">
      <c r="A6068" s="4">
        <v>6068.0</v>
      </c>
      <c r="B6068" s="5" t="s">
        <v>33022</v>
      </c>
      <c r="C6068" s="5" t="s">
        <v>33023</v>
      </c>
      <c r="D6068" s="5" t="s">
        <v>33024</v>
      </c>
      <c r="E6068" s="6" t="s">
        <v>74</v>
      </c>
      <c r="F6068" s="6" t="s">
        <v>33025</v>
      </c>
      <c r="G6068" s="3" t="str">
        <f>IFERROR(__xludf.DUMMYFUNCTION("REGEXREPLACE(
D6068,
""([一-龯々]+)\[([^\]]+)\]"",
""&lt;ruby&gt;$1&lt;rt&gt;$2&lt;/rt&gt;&lt;/ruby&gt;""
)&amp;""&lt;br&gt;&lt;div class=""""audio""""&gt;[sound:""&amp;C6068&amp;"".mp3]&lt;/div&gt;"""),"&lt;ruby&gt;問答&lt;rt&gt;もんどう&lt;/rt&gt;&lt;/ruby&gt;&lt;br&gt;&lt;div class=""audio""&gt;[sound:もんどう.mp3]&lt;/div&gt;")</f>
        <v>&lt;ruby&gt;問答&lt;rt&gt;もんどう&lt;/rt&gt;&lt;/ruby&gt;&lt;br&gt;&lt;div class="audio"&gt;[sound:もんどう.mp3]&lt;/div&gt;</v>
      </c>
      <c r="H6068" s="3" t="str">
        <f t="shared" si="1"/>
        <v>(n): vấn đáp</v>
      </c>
      <c r="I6068" s="6" t="s">
        <v>33026</v>
      </c>
      <c r="J6068" s="6" t="s">
        <v>33027</v>
      </c>
      <c r="K6068" s="7">
        <f t="shared" si="2"/>
        <v>0.5340729192</v>
      </c>
    </row>
    <row r="6069">
      <c r="A6069" s="4">
        <v>6069.0</v>
      </c>
      <c r="B6069" s="5" t="s">
        <v>33028</v>
      </c>
      <c r="C6069" s="5" t="s">
        <v>32473</v>
      </c>
      <c r="D6069" s="5" t="s">
        <v>33029</v>
      </c>
      <c r="E6069" s="6" t="s">
        <v>24</v>
      </c>
      <c r="F6069" s="6" t="s">
        <v>33030</v>
      </c>
      <c r="G6069" s="3" t="str">
        <f>IFERROR(__xludf.DUMMYFUNCTION("REGEXREPLACE(
D6069,
""([一-龯々]+)\[([^\]]+)\]"",
""&lt;ruby&gt;$1&lt;rt&gt;$2&lt;/rt&gt;&lt;/ruby&gt;""
)&amp;""&lt;br&gt;&lt;div class=""""audio""""&gt;[sound:""&amp;C6069&amp;"".mp3]&lt;/div&gt;"""),"&lt;ruby&gt;温&lt;rt&gt;あたた&lt;/rt&gt;&lt;/ruby&gt;まる&lt;br&gt;&lt;div class=""audio""&gt;[sound:あたたまる.mp3]&lt;/div&gt;")</f>
        <v>&lt;ruby&gt;温&lt;rt&gt;あたた&lt;/rt&gt;&lt;/ruby&gt;まる&lt;br&gt;&lt;div class="audio"&gt;[sound:あたたまる.mp3]&lt;/div&gt;</v>
      </c>
      <c r="H6069" s="3" t="str">
        <f t="shared" si="1"/>
        <v>(v): ấm lên</v>
      </c>
      <c r="I6069" s="6" t="s">
        <v>33031</v>
      </c>
      <c r="J6069" s="6" t="s">
        <v>33032</v>
      </c>
      <c r="K6069" s="7">
        <f t="shared" si="2"/>
        <v>0.3056281669</v>
      </c>
    </row>
    <row r="6070">
      <c r="A6070" s="4">
        <v>6070.0</v>
      </c>
      <c r="B6070" s="5" t="s">
        <v>33033</v>
      </c>
      <c r="C6070" s="5" t="s">
        <v>33034</v>
      </c>
      <c r="D6070" s="5" t="s">
        <v>33035</v>
      </c>
      <c r="E6070" s="6" t="s">
        <v>74</v>
      </c>
      <c r="F6070" s="6" t="s">
        <v>33036</v>
      </c>
      <c r="G6070" s="3" t="str">
        <f>IFERROR(__xludf.DUMMYFUNCTION("REGEXREPLACE(
D6070,
""([一-龯々]+)\[([^\]]+)\]"",
""&lt;ruby&gt;$1&lt;rt&gt;$2&lt;/rt&gt;&lt;/ruby&gt;""
)&amp;""&lt;br&gt;&lt;div class=""""audio""""&gt;[sound:""&amp;C6070&amp;"".mp3]&lt;/div&gt;"""),"&lt;ruby&gt;落&lt;rt&gt;おと&lt;/rt&gt;&lt;/ruby&gt;し&lt;ruby&gt;物&lt;rt&gt;もの&lt;/rt&gt;&lt;/ruby&gt;&lt;br&gt;&lt;div class=""audio""&gt;[sound:おとしもの.mp3]&lt;/div&gt;")</f>
        <v>&lt;ruby&gt;落&lt;rt&gt;おと&lt;/rt&gt;&lt;/ruby&gt;し&lt;ruby&gt;物&lt;rt&gt;もの&lt;/rt&gt;&lt;/ruby&gt;&lt;br&gt;&lt;div class="audio"&gt;[sound:おとしもの.mp3]&lt;/div&gt;</v>
      </c>
      <c r="H6070" s="3" t="str">
        <f t="shared" si="1"/>
        <v>(n): đồ đánh rơi</v>
      </c>
      <c r="I6070" s="6" t="s">
        <v>33037</v>
      </c>
      <c r="J6070" s="6" t="s">
        <v>33038</v>
      </c>
      <c r="K6070" s="7">
        <f t="shared" si="2"/>
        <v>0.8055920668</v>
      </c>
    </row>
    <row r="6071">
      <c r="A6071" s="4">
        <v>6071.0</v>
      </c>
      <c r="B6071" s="5" t="s">
        <v>33039</v>
      </c>
      <c r="C6071" s="5" t="s">
        <v>33040</v>
      </c>
      <c r="D6071" s="5" t="s">
        <v>33041</v>
      </c>
      <c r="E6071" s="6" t="s">
        <v>74</v>
      </c>
      <c r="F6071" s="6" t="s">
        <v>33042</v>
      </c>
      <c r="G6071" s="3" t="str">
        <f>IFERROR(__xludf.DUMMYFUNCTION("REGEXREPLACE(
D6071,
""([一-龯々]+)\[([^\]]+)\]"",
""&lt;ruby&gt;$1&lt;rt&gt;$2&lt;/rt&gt;&lt;/ruby&gt;""
)&amp;""&lt;br&gt;&lt;div class=""""audio""""&gt;[sound:""&amp;C6071&amp;"".mp3]&lt;/div&gt;"""),"&lt;ruby&gt;在学&lt;rt&gt;ざいがく&lt;/rt&gt;&lt;/ruby&gt;&lt;br&gt;&lt;div class=""audio""&gt;[sound:ざいがく.mp3]&lt;/div&gt;")</f>
        <v>&lt;ruby&gt;在学&lt;rt&gt;ざいがく&lt;/rt&gt;&lt;/ruby&gt;&lt;br&gt;&lt;div class="audio"&gt;[sound:ざいがく.mp3]&lt;/div&gt;</v>
      </c>
      <c r="H6071" s="3" t="str">
        <f t="shared" si="1"/>
        <v>(n): đang học</v>
      </c>
      <c r="I6071" s="6" t="s">
        <v>33043</v>
      </c>
      <c r="J6071" s="6" t="s">
        <v>33044</v>
      </c>
      <c r="K6071" s="7">
        <f t="shared" si="2"/>
        <v>0.7396920326</v>
      </c>
    </row>
    <row r="6072">
      <c r="A6072" s="4">
        <v>6072.0</v>
      </c>
      <c r="B6072" s="5" t="s">
        <v>33045</v>
      </c>
      <c r="C6072" s="5" t="s">
        <v>33045</v>
      </c>
      <c r="D6072" s="5" t="s">
        <v>33045</v>
      </c>
      <c r="E6072" s="6" t="s">
        <v>85</v>
      </c>
      <c r="F6072" s="6" t="s">
        <v>2848</v>
      </c>
      <c r="G6072" s="3" t="str">
        <f>IFERROR(__xludf.DUMMYFUNCTION("REGEXREPLACE(
D6072,
""([一-龯々]+)\[([^\]]+)\]"",
""&lt;ruby&gt;$1&lt;rt&gt;$2&lt;/rt&gt;&lt;/ruby&gt;""
)&amp;""&lt;br&gt;&lt;div class=""""audio""""&gt;[sound:""&amp;C6072&amp;"".mp3]&lt;/div&gt;"""),"はきはき&lt;br&gt;&lt;div class=""audio""&gt;[sound:はきはき.mp3]&lt;/div&gt;")</f>
        <v>はきはき&lt;br&gt;&lt;div class="audio"&gt;[sound:はきはき.mp3]&lt;/div&gt;</v>
      </c>
      <c r="H6072" s="3" t="str">
        <f t="shared" si="1"/>
        <v>(adv): rõ ràng</v>
      </c>
      <c r="I6072" s="6" t="s">
        <v>33046</v>
      </c>
      <c r="J6072" s="6" t="s">
        <v>33047</v>
      </c>
      <c r="K6072" s="7">
        <f t="shared" si="2"/>
        <v>0.02792506171</v>
      </c>
    </row>
    <row r="6073">
      <c r="A6073" s="4">
        <v>6073.0</v>
      </c>
      <c r="B6073" s="5" t="s">
        <v>33048</v>
      </c>
      <c r="C6073" s="5" t="s">
        <v>33049</v>
      </c>
      <c r="D6073" s="5" t="s">
        <v>33050</v>
      </c>
      <c r="E6073" s="6" t="s">
        <v>74</v>
      </c>
      <c r="F6073" s="6" t="s">
        <v>33051</v>
      </c>
      <c r="G6073" s="3" t="str">
        <f>IFERROR(__xludf.DUMMYFUNCTION("REGEXREPLACE(
D6073,
""([一-龯々]+)\[([^\]]+)\]"",
""&lt;ruby&gt;$1&lt;rt&gt;$2&lt;/rt&gt;&lt;/ruby&gt;""
)&amp;""&lt;br&gt;&lt;div class=""""audio""""&gt;[sound:""&amp;C6073&amp;"".mp3]&lt;/div&gt;"""),"&lt;ruby&gt;詩人&lt;rt&gt;しじん&lt;/rt&gt;&lt;/ruby&gt;&lt;br&gt;&lt;div class=""audio""&gt;[sound:しじん.mp3]&lt;/div&gt;")</f>
        <v>&lt;ruby&gt;詩人&lt;rt&gt;しじん&lt;/rt&gt;&lt;/ruby&gt;&lt;br&gt;&lt;div class="audio"&gt;[sound:しじん.mp3]&lt;/div&gt;</v>
      </c>
      <c r="H6073" s="3" t="str">
        <f t="shared" si="1"/>
        <v>(n): nhà thơ</v>
      </c>
      <c r="I6073" s="6" t="s">
        <v>33052</v>
      </c>
      <c r="J6073" s="6" t="s">
        <v>33053</v>
      </c>
      <c r="K6073" s="7">
        <f t="shared" si="2"/>
        <v>0.9371029391</v>
      </c>
    </row>
    <row r="6074">
      <c r="A6074" s="4">
        <v>6074.0</v>
      </c>
      <c r="B6074" s="5" t="s">
        <v>33054</v>
      </c>
      <c r="C6074" s="5" t="s">
        <v>33055</v>
      </c>
      <c r="D6074" s="5" t="s">
        <v>33056</v>
      </c>
      <c r="E6074" s="6" t="s">
        <v>74</v>
      </c>
      <c r="F6074" s="6" t="s">
        <v>33057</v>
      </c>
      <c r="G6074" s="3" t="str">
        <f>IFERROR(__xludf.DUMMYFUNCTION("REGEXREPLACE(
D6074,
""([一-龯々]+)\[([^\]]+)\]"",
""&lt;ruby&gt;$1&lt;rt&gt;$2&lt;/rt&gt;&lt;/ruby&gt;""
)&amp;""&lt;br&gt;&lt;div class=""""audio""""&gt;[sound:""&amp;C6074&amp;"".mp3]&lt;/div&gt;"""),"&lt;ruby&gt;三日月&lt;rt&gt;みかづき&lt;/rt&gt;&lt;/ruby&gt;&lt;br&gt;&lt;div class=""audio""&gt;[sound:みかづき.mp3]&lt;/div&gt;")</f>
        <v>&lt;ruby&gt;三日月&lt;rt&gt;みかづき&lt;/rt&gt;&lt;/ruby&gt;&lt;br&gt;&lt;div class="audio"&gt;[sound:みかづき.mp3]&lt;/div&gt;</v>
      </c>
      <c r="H6074" s="3" t="str">
        <f t="shared" si="1"/>
        <v>(n): trăng lưỡi liềm</v>
      </c>
      <c r="I6074" s="6" t="s">
        <v>33058</v>
      </c>
      <c r="J6074" s="6" t="s">
        <v>33059</v>
      </c>
      <c r="K6074" s="7">
        <f t="shared" si="2"/>
        <v>0.05354833487</v>
      </c>
    </row>
    <row r="6075">
      <c r="A6075" s="4">
        <v>6075.0</v>
      </c>
      <c r="B6075" s="5" t="s">
        <v>33060</v>
      </c>
      <c r="C6075" s="5" t="s">
        <v>33061</v>
      </c>
      <c r="D6075" s="5" t="s">
        <v>33062</v>
      </c>
      <c r="E6075" s="6" t="s">
        <v>74</v>
      </c>
      <c r="F6075" s="6" t="s">
        <v>33063</v>
      </c>
      <c r="G6075" s="3" t="str">
        <f>IFERROR(__xludf.DUMMYFUNCTION("REGEXREPLACE(
D6075,
""([一-龯々]+)\[([^\]]+)\]"",
""&lt;ruby&gt;$1&lt;rt&gt;$2&lt;/rt&gt;&lt;/ruby&gt;""
)&amp;""&lt;br&gt;&lt;div class=""""audio""""&gt;[sound:""&amp;C6075&amp;"".mp3]&lt;/div&gt;"""),"&lt;ruby&gt;和服&lt;rt&gt;わふく&lt;/rt&gt;&lt;/ruby&gt;&lt;br&gt;&lt;div class=""audio""&gt;[sound:わふく.mp3]&lt;/div&gt;")</f>
        <v>&lt;ruby&gt;和服&lt;rt&gt;わふく&lt;/rt&gt;&lt;/ruby&gt;&lt;br&gt;&lt;div class="audio"&gt;[sound:わふく.mp3]&lt;/div&gt;</v>
      </c>
      <c r="H6075" s="3" t="str">
        <f t="shared" si="1"/>
        <v>(n): trang phục nhật</v>
      </c>
      <c r="I6075" s="6" t="s">
        <v>33064</v>
      </c>
      <c r="J6075" s="6" t="s">
        <v>33065</v>
      </c>
      <c r="K6075" s="7">
        <f t="shared" si="2"/>
        <v>0.1281463116</v>
      </c>
    </row>
    <row r="6076">
      <c r="A6076" s="4">
        <v>6076.0</v>
      </c>
      <c r="B6076" s="5" t="s">
        <v>33066</v>
      </c>
      <c r="C6076" s="5" t="s">
        <v>33067</v>
      </c>
      <c r="D6076" s="5" t="s">
        <v>33068</v>
      </c>
      <c r="E6076" s="6" t="s">
        <v>74</v>
      </c>
      <c r="F6076" s="6" t="s">
        <v>33069</v>
      </c>
      <c r="G6076" s="3" t="str">
        <f>IFERROR(__xludf.DUMMYFUNCTION("REGEXREPLACE(
D6076,
""([一-龯々]+)\[([^\]]+)\]"",
""&lt;ruby&gt;$1&lt;rt&gt;$2&lt;/rt&gt;&lt;/ruby&gt;""
)&amp;""&lt;br&gt;&lt;div class=""""audio""""&gt;[sound:""&amp;C6076&amp;"".mp3]&lt;/div&gt;"""),"&lt;ruby&gt;人文科学&lt;rt&gt;じんぶんかがく&lt;/rt&gt;&lt;/ruby&gt;&lt;br&gt;&lt;div class=""audio""&gt;[sound:じんぶんかがく.mp3]&lt;/div&gt;")</f>
        <v>&lt;ruby&gt;人文科学&lt;rt&gt;じんぶんかがく&lt;/rt&gt;&lt;/ruby&gt;&lt;br&gt;&lt;div class="audio"&gt;[sound:じんぶんかがく.mp3]&lt;/div&gt;</v>
      </c>
      <c r="H6076" s="3" t="str">
        <f t="shared" si="1"/>
        <v>(n): nhân văn học</v>
      </c>
      <c r="I6076" s="6" t="s">
        <v>33070</v>
      </c>
      <c r="J6076" s="6" t="s">
        <v>33071</v>
      </c>
      <c r="K6076" s="7">
        <f t="shared" si="2"/>
        <v>0.9123367107</v>
      </c>
    </row>
    <row r="6077">
      <c r="A6077" s="4">
        <v>6077.0</v>
      </c>
      <c r="B6077" s="5" t="s">
        <v>33072</v>
      </c>
      <c r="C6077" s="5" t="s">
        <v>33073</v>
      </c>
      <c r="D6077" s="5" t="s">
        <v>33074</v>
      </c>
      <c r="E6077" s="6" t="s">
        <v>74</v>
      </c>
      <c r="F6077" s="6" t="s">
        <v>33075</v>
      </c>
      <c r="G6077" s="3" t="str">
        <f>IFERROR(__xludf.DUMMYFUNCTION("REGEXREPLACE(
D6077,
""([一-龯々]+)\[([^\]]+)\]"",
""&lt;ruby&gt;$1&lt;rt&gt;$2&lt;/rt&gt;&lt;/ruby&gt;""
)&amp;""&lt;br&gt;&lt;div class=""""audio""""&gt;[sound:""&amp;C6077&amp;"".mp3]&lt;/div&gt;"""),"&lt;ruby&gt;出入口&lt;rt&gt;でいりぐち&lt;/rt&gt;&lt;/ruby&gt;&lt;br&gt;&lt;div class=""audio""&gt;[sound:でいりぐち.mp3]&lt;/div&gt;")</f>
        <v>&lt;ruby&gt;出入口&lt;rt&gt;でいりぐち&lt;/rt&gt;&lt;/ruby&gt;&lt;br&gt;&lt;div class="audio"&gt;[sound:でいりぐち.mp3]&lt;/div&gt;</v>
      </c>
      <c r="H6077" s="3" t="str">
        <f t="shared" si="1"/>
        <v>(n): lối ra vào</v>
      </c>
      <c r="I6077" s="6" t="s">
        <v>33076</v>
      </c>
      <c r="J6077" s="6" t="s">
        <v>33077</v>
      </c>
      <c r="K6077" s="7">
        <f t="shared" si="2"/>
        <v>0.7765648324</v>
      </c>
    </row>
    <row r="6078">
      <c r="A6078" s="4">
        <v>6078.0</v>
      </c>
      <c r="B6078" s="5" t="s">
        <v>33078</v>
      </c>
      <c r="C6078" s="5" t="s">
        <v>23551</v>
      </c>
      <c r="D6078" s="5" t="s">
        <v>33079</v>
      </c>
      <c r="E6078" s="6" t="s">
        <v>74</v>
      </c>
      <c r="F6078" s="6" t="s">
        <v>3651</v>
      </c>
      <c r="G6078" s="3" t="str">
        <f>IFERROR(__xludf.DUMMYFUNCTION("REGEXREPLACE(
D6078,
""([一-龯々]+)\[([^\]]+)\]"",
""&lt;ruby&gt;$1&lt;rt&gt;$2&lt;/rt&gt;&lt;/ruby&gt;""
)&amp;""&lt;br&gt;&lt;div class=""""audio""""&gt;[sound:""&amp;C6078&amp;"".mp3]&lt;/div&gt;"""),"&lt;ruby&gt;前進&lt;rt&gt;ぜんしん&lt;/rt&gt;&lt;/ruby&gt;&lt;br&gt;&lt;div class=""audio""&gt;[sound:ぜんしん.mp3]&lt;/div&gt;")</f>
        <v>&lt;ruby&gt;前進&lt;rt&gt;ぜんしん&lt;/rt&gt;&lt;/ruby&gt;&lt;br&gt;&lt;div class="audio"&gt;[sound:ぜんしん.mp3]&lt;/div&gt;</v>
      </c>
      <c r="H6078" s="3" t="str">
        <f t="shared" si="1"/>
        <v>(n): tiến lên</v>
      </c>
      <c r="I6078" s="6" t="s">
        <v>33080</v>
      </c>
      <c r="J6078" s="6" t="s">
        <v>33081</v>
      </c>
      <c r="K6078" s="7">
        <f t="shared" si="2"/>
        <v>0.4861487991</v>
      </c>
    </row>
    <row r="6079">
      <c r="A6079" s="4">
        <v>6079.0</v>
      </c>
      <c r="B6079" s="5" t="s">
        <v>33082</v>
      </c>
      <c r="C6079" s="5" t="s">
        <v>31460</v>
      </c>
      <c r="D6079" s="5" t="s">
        <v>33083</v>
      </c>
      <c r="E6079" s="6" t="s">
        <v>74</v>
      </c>
      <c r="F6079" s="6" t="s">
        <v>14431</v>
      </c>
      <c r="G6079" s="3" t="str">
        <f>IFERROR(__xludf.DUMMYFUNCTION("REGEXREPLACE(
D6079,
""([一-龯々]+)\[([^\]]+)\]"",
""&lt;ruby&gt;$1&lt;rt&gt;$2&lt;/rt&gt;&lt;/ruby&gt;""
)&amp;""&lt;br&gt;&lt;div class=""""audio""""&gt;[sound:""&amp;C6079&amp;"".mp3]&lt;/div&gt;"""),"&lt;ruby&gt;務&lt;rt&gt;つと&lt;/rt&gt;&lt;/ruby&gt;め&lt;br&gt;&lt;div class=""audio""&gt;[sound:つとめ.mp3]&lt;/div&gt;")</f>
        <v>&lt;ruby&gt;務&lt;rt&gt;つと&lt;/rt&gt;&lt;/ruby&gt;め&lt;br&gt;&lt;div class="audio"&gt;[sound:つとめ.mp3]&lt;/div&gt;</v>
      </c>
      <c r="H6079" s="3" t="str">
        <f t="shared" si="1"/>
        <v>(n): nhiệm vụ</v>
      </c>
      <c r="I6079" s="6" t="s">
        <v>33084</v>
      </c>
      <c r="J6079" s="6" t="s">
        <v>33085</v>
      </c>
      <c r="K6079" s="7">
        <f t="shared" si="2"/>
        <v>0.3475155148</v>
      </c>
    </row>
    <row r="6080">
      <c r="A6080" s="4">
        <v>6080.0</v>
      </c>
      <c r="B6080" s="5" t="s">
        <v>33086</v>
      </c>
      <c r="C6080" s="5" t="s">
        <v>33087</v>
      </c>
      <c r="D6080" s="5" t="s">
        <v>33088</v>
      </c>
      <c r="E6080" s="6" t="s">
        <v>74</v>
      </c>
      <c r="F6080" s="6" t="s">
        <v>1162</v>
      </c>
      <c r="G6080" s="3" t="str">
        <f>IFERROR(__xludf.DUMMYFUNCTION("REGEXREPLACE(
D6080,
""([一-龯々]+)\[([^\]]+)\]"",
""&lt;ruby&gt;$1&lt;rt&gt;$2&lt;/rt&gt;&lt;/ruby&gt;""
)&amp;""&lt;br&gt;&lt;div class=""""audio""""&gt;[sound:""&amp;C6080&amp;"".mp3]&lt;/div&gt;"""),"&lt;ruby&gt;店屋&lt;rt&gt;みせや&lt;/rt&gt;&lt;/ruby&gt;&lt;br&gt;&lt;div class=""audio""&gt;[sound:みせや.mp3]&lt;/div&gt;")</f>
        <v>&lt;ruby&gt;店屋&lt;rt&gt;みせや&lt;/rt&gt;&lt;/ruby&gt;&lt;br&gt;&lt;div class="audio"&gt;[sound:みせや.mp3]&lt;/div&gt;</v>
      </c>
      <c r="H6080" s="3" t="str">
        <f t="shared" si="1"/>
        <v>(n): cửa hàng</v>
      </c>
      <c r="I6080" s="6" t="s">
        <v>33089</v>
      </c>
      <c r="J6080" s="6" t="s">
        <v>33090</v>
      </c>
      <c r="K6080" s="7">
        <f t="shared" si="2"/>
        <v>0.909389766</v>
      </c>
    </row>
    <row r="6081">
      <c r="A6081" s="4">
        <v>6081.0</v>
      </c>
      <c r="B6081" s="5" t="s">
        <v>33091</v>
      </c>
      <c r="C6081" s="5" t="s">
        <v>165</v>
      </c>
      <c r="D6081" s="5" t="s">
        <v>33092</v>
      </c>
      <c r="E6081" s="6" t="s">
        <v>24</v>
      </c>
      <c r="F6081" s="6" t="s">
        <v>3928</v>
      </c>
      <c r="G6081" s="3" t="str">
        <f>IFERROR(__xludf.DUMMYFUNCTION("REGEXREPLACE(
D6081,
""([一-龯々]+)\[([^\]]+)\]"",
""&lt;ruby&gt;$1&lt;rt&gt;$2&lt;/rt&gt;&lt;/ruby&gt;""
)&amp;""&lt;br&gt;&lt;div class=""""audio""""&gt;[sound:""&amp;C6081&amp;"".mp3]&lt;/div&gt;"""),"&lt;ruby&gt;添&lt;rt&gt;そ&lt;/rt&gt;&lt;/ruby&gt;う&lt;br&gt;&lt;div class=""audio""&gt;[sound:そう.mp3]&lt;/div&gt;")</f>
        <v>&lt;ruby&gt;添&lt;rt&gt;そ&lt;/rt&gt;&lt;/ruby&gt;う&lt;br&gt;&lt;div class="audio"&gt;[sound:そう.mp3]&lt;/div&gt;</v>
      </c>
      <c r="H6081" s="3" t="str">
        <f t="shared" si="1"/>
        <v>(v): đáp ứng</v>
      </c>
      <c r="I6081" s="6" t="s">
        <v>33093</v>
      </c>
      <c r="J6081" s="6" t="s">
        <v>33094</v>
      </c>
      <c r="K6081" s="7">
        <f t="shared" si="2"/>
        <v>0.2743018745</v>
      </c>
    </row>
    <row r="6082">
      <c r="A6082" s="4">
        <v>6082.0</v>
      </c>
      <c r="B6082" s="5" t="s">
        <v>33095</v>
      </c>
      <c r="C6082" s="5" t="s">
        <v>33096</v>
      </c>
      <c r="D6082" s="5" t="s">
        <v>33095</v>
      </c>
      <c r="E6082" s="6" t="s">
        <v>74</v>
      </c>
      <c r="F6082" s="6" t="s">
        <v>1396</v>
      </c>
      <c r="G6082" s="3" t="str">
        <f>IFERROR(__xludf.DUMMYFUNCTION("REGEXREPLACE(
D6082,
""([一-龯々]+)\[([^\]]+)\]"",
""&lt;ruby&gt;$1&lt;rt&gt;$2&lt;/rt&gt;&lt;/ruby&gt;""
)&amp;""&lt;br&gt;&lt;div class=""""audio""""&gt;[sound:""&amp;C6082&amp;"".mp3]&lt;/div&gt;"""),"ウーマン&lt;br&gt;&lt;div class=""audio""&gt;[sound:うーまん.mp3]&lt;/div&gt;")</f>
        <v>ウーマン&lt;br&gt;&lt;div class="audio"&gt;[sound:うーまん.mp3]&lt;/div&gt;</v>
      </c>
      <c r="H6082" s="3" t="str">
        <f t="shared" si="1"/>
        <v>(n): phụ nữ</v>
      </c>
      <c r="I6082" s="6" t="s">
        <v>33097</v>
      </c>
      <c r="J6082" s="6" t="s">
        <v>33098</v>
      </c>
      <c r="K6082" s="7">
        <f t="shared" si="2"/>
        <v>0.923721371</v>
      </c>
    </row>
    <row r="6083">
      <c r="A6083" s="4">
        <v>6083.0</v>
      </c>
      <c r="B6083" s="5" t="s">
        <v>33099</v>
      </c>
      <c r="C6083" s="5" t="s">
        <v>33100</v>
      </c>
      <c r="D6083" s="5" t="s">
        <v>33101</v>
      </c>
      <c r="E6083" s="6" t="s">
        <v>74</v>
      </c>
      <c r="F6083" s="6" t="s">
        <v>33102</v>
      </c>
      <c r="G6083" s="3" t="str">
        <f>IFERROR(__xludf.DUMMYFUNCTION("REGEXREPLACE(
D6083,
""([一-龯々]+)\[([^\]]+)\]"",
""&lt;ruby&gt;$1&lt;rt&gt;$2&lt;/rt&gt;&lt;/ruby&gt;""
)&amp;""&lt;br&gt;&lt;div class=""""audio""""&gt;[sound:""&amp;C6083&amp;"".mp3]&lt;/div&gt;"""),"&lt;ruby&gt;籠&lt;rt&gt;かご&lt;/rt&gt;&lt;/ruby&gt;&lt;br&gt;&lt;div class=""audio""&gt;[sound:かご.mp3]&lt;/div&gt;")</f>
        <v>&lt;ruby&gt;籠&lt;rt&gt;かご&lt;/rt&gt;&lt;/ruby&gt;&lt;br&gt;&lt;div class="audio"&gt;[sound:かご.mp3]&lt;/div&gt;</v>
      </c>
      <c r="H6083" s="3" t="str">
        <f t="shared" si="1"/>
        <v>(n): giỏ</v>
      </c>
      <c r="I6083" s="6" t="s">
        <v>33103</v>
      </c>
      <c r="J6083" s="6" t="s">
        <v>33104</v>
      </c>
      <c r="K6083" s="7">
        <f t="shared" si="2"/>
        <v>0.6960772208</v>
      </c>
    </row>
    <row r="6084">
      <c r="A6084" s="4">
        <v>6084.0</v>
      </c>
      <c r="B6084" s="5" t="s">
        <v>33105</v>
      </c>
      <c r="C6084" s="5" t="s">
        <v>33106</v>
      </c>
      <c r="D6084" s="5" t="s">
        <v>33107</v>
      </c>
      <c r="E6084" s="6" t="s">
        <v>74</v>
      </c>
      <c r="F6084" s="6" t="s">
        <v>33108</v>
      </c>
      <c r="G6084" s="3" t="str">
        <f>IFERROR(__xludf.DUMMYFUNCTION("REGEXREPLACE(
D6084,
""([一-龯々]+)\[([^\]]+)\]"",
""&lt;ruby&gt;$1&lt;rt&gt;$2&lt;/rt&gt;&lt;/ruby&gt;""
)&amp;""&lt;br&gt;&lt;div class=""""audio""""&gt;[sound:""&amp;C6084&amp;"".mp3]&lt;/div&gt;"""),"&lt;ruby&gt;餌&lt;rt&gt;えさ&lt;/rt&gt;&lt;/ruby&gt;&lt;br&gt;&lt;div class=""audio""&gt;[sound:えさ.mp3]&lt;/div&gt;")</f>
        <v>&lt;ruby&gt;餌&lt;rt&gt;えさ&lt;/rt&gt;&lt;/ruby&gt;&lt;br&gt;&lt;div class="audio"&gt;[sound:えさ.mp3]&lt;/div&gt;</v>
      </c>
      <c r="H6084" s="3" t="str">
        <f t="shared" si="1"/>
        <v>(n): mồi</v>
      </c>
      <c r="I6084" s="6" t="s">
        <v>33109</v>
      </c>
      <c r="J6084" s="6" t="s">
        <v>33110</v>
      </c>
      <c r="K6084" s="7">
        <f t="shared" si="2"/>
        <v>0.5899125277</v>
      </c>
    </row>
    <row r="6085">
      <c r="A6085" s="4">
        <v>6085.0</v>
      </c>
      <c r="B6085" s="5" t="s">
        <v>33111</v>
      </c>
      <c r="C6085" s="5" t="s">
        <v>33112</v>
      </c>
      <c r="D6085" s="5" t="s">
        <v>33113</v>
      </c>
      <c r="E6085" s="6" t="s">
        <v>74</v>
      </c>
      <c r="F6085" s="6" t="s">
        <v>33114</v>
      </c>
      <c r="G6085" s="3" t="str">
        <f>IFERROR(__xludf.DUMMYFUNCTION("REGEXREPLACE(
D6085,
""([一-龯々]+)\[([^\]]+)\]"",
""&lt;ruby&gt;$1&lt;rt&gt;$2&lt;/rt&gt;&lt;/ruby&gt;""
)&amp;""&lt;br&gt;&lt;div class=""""audio""""&gt;[sound:""&amp;C6085&amp;"".mp3]&lt;/div&gt;"""),"&lt;ruby&gt;特色&lt;rt&gt;とくしょく&lt;/rt&gt;&lt;/ruby&gt;&lt;br&gt;&lt;div class=""audio""&gt;[sound:とくしょく.mp3]&lt;/div&gt;")</f>
        <v>&lt;ruby&gt;特色&lt;rt&gt;とくしょく&lt;/rt&gt;&lt;/ruby&gt;&lt;br&gt;&lt;div class="audio"&gt;[sound:とくしょく.mp3]&lt;/div&gt;</v>
      </c>
      <c r="H6085" s="3" t="str">
        <f t="shared" si="1"/>
        <v>(n): nét đặc sắc</v>
      </c>
      <c r="I6085" s="6" t="s">
        <v>33115</v>
      </c>
      <c r="J6085" s="6" t="s">
        <v>33116</v>
      </c>
      <c r="K6085" s="7">
        <f t="shared" si="2"/>
        <v>0.4440385127</v>
      </c>
    </row>
    <row r="6086">
      <c r="A6086" s="4">
        <v>6086.0</v>
      </c>
      <c r="B6086" s="5" t="s">
        <v>33117</v>
      </c>
      <c r="C6086" s="5" t="s">
        <v>33118</v>
      </c>
      <c r="D6086" s="5" t="s">
        <v>33119</v>
      </c>
      <c r="E6086" s="6" t="s">
        <v>74</v>
      </c>
      <c r="F6086" s="6" t="s">
        <v>33120</v>
      </c>
      <c r="G6086" s="3" t="str">
        <f>IFERROR(__xludf.DUMMYFUNCTION("REGEXREPLACE(
D6086,
""([一-龯々]+)\[([^\]]+)\]"",
""&lt;ruby&gt;$1&lt;rt&gt;$2&lt;/rt&gt;&lt;/ruby&gt;""
)&amp;""&lt;br&gt;&lt;div class=""""audio""""&gt;[sound:""&amp;C6086&amp;"".mp3]&lt;/div&gt;"""),"&lt;ruby&gt;長男&lt;rt&gt;ちょうなん&lt;/rt&gt;&lt;/ruby&gt;&lt;br&gt;&lt;div class=""audio""&gt;[sound:ちょうなん.mp3]&lt;/div&gt;")</f>
        <v>&lt;ruby&gt;長男&lt;rt&gt;ちょうなん&lt;/rt&gt;&lt;/ruby&gt;&lt;br&gt;&lt;div class="audio"&gt;[sound:ちょうなん.mp3]&lt;/div&gt;</v>
      </c>
      <c r="H6086" s="3" t="str">
        <f t="shared" si="1"/>
        <v>(n): trưởng nam</v>
      </c>
      <c r="I6086" s="6" t="s">
        <v>33121</v>
      </c>
      <c r="J6086" s="6" t="s">
        <v>33122</v>
      </c>
      <c r="K6086" s="7">
        <f t="shared" si="2"/>
        <v>0.4456952264</v>
      </c>
    </row>
    <row r="6087">
      <c r="A6087" s="4">
        <v>6087.0</v>
      </c>
      <c r="B6087" s="5" t="s">
        <v>33123</v>
      </c>
      <c r="C6087" s="5" t="s">
        <v>33124</v>
      </c>
      <c r="D6087" s="5" t="s">
        <v>33125</v>
      </c>
      <c r="E6087" s="6" t="s">
        <v>74</v>
      </c>
      <c r="F6087" s="6" t="s">
        <v>33126</v>
      </c>
      <c r="G6087" s="3" t="str">
        <f>IFERROR(__xludf.DUMMYFUNCTION("REGEXREPLACE(
D6087,
""([一-龯々]+)\[([^\]]+)\]"",
""&lt;ruby&gt;$1&lt;rt&gt;$2&lt;/rt&gt;&lt;/ruby&gt;""
)&amp;""&lt;br&gt;&lt;div class=""""audio""""&gt;[sound:""&amp;C6087&amp;"".mp3]&lt;/div&gt;"""),"&lt;ruby&gt;液体&lt;rt&gt;えきたい&lt;/rt&gt;&lt;/ruby&gt;&lt;br&gt;&lt;div class=""audio""&gt;[sound:えきたい.mp3]&lt;/div&gt;")</f>
        <v>&lt;ruby&gt;液体&lt;rt&gt;えきたい&lt;/rt&gt;&lt;/ruby&gt;&lt;br&gt;&lt;div class="audio"&gt;[sound:えきたい.mp3]&lt;/div&gt;</v>
      </c>
      <c r="H6087" s="3" t="str">
        <f t="shared" si="1"/>
        <v>(n): chất lỏng</v>
      </c>
      <c r="I6087" s="6" t="s">
        <v>33127</v>
      </c>
      <c r="J6087" s="6" t="s">
        <v>33128</v>
      </c>
      <c r="K6087" s="7">
        <f t="shared" si="2"/>
        <v>0.6001763185</v>
      </c>
    </row>
    <row r="6088">
      <c r="A6088" s="4">
        <v>6088.0</v>
      </c>
      <c r="B6088" s="5" t="s">
        <v>33129</v>
      </c>
      <c r="C6088" s="5" t="s">
        <v>20229</v>
      </c>
      <c r="D6088" s="5" t="s">
        <v>33130</v>
      </c>
      <c r="E6088" s="6" t="s">
        <v>74</v>
      </c>
      <c r="F6088" s="6" t="s">
        <v>33131</v>
      </c>
      <c r="G6088" s="3" t="str">
        <f>IFERROR(__xludf.DUMMYFUNCTION("REGEXREPLACE(
D6088,
""([一-龯々]+)\[([^\]]+)\]"",
""&lt;ruby&gt;$1&lt;rt&gt;$2&lt;/rt&gt;&lt;/ruby&gt;""
)&amp;""&lt;br&gt;&lt;div class=""""audio""""&gt;[sound:""&amp;C6088&amp;"".mp3]&lt;/div&gt;"""),"&lt;ruby&gt;友好&lt;rt&gt;ゆうこう&lt;/rt&gt;&lt;/ruby&gt;&lt;br&gt;&lt;div class=""audio""&gt;[sound:ゆうこう.mp3]&lt;/div&gt;")</f>
        <v>&lt;ruby&gt;友好&lt;rt&gt;ゆうこう&lt;/rt&gt;&lt;/ruby&gt;&lt;br&gt;&lt;div class="audio"&gt;[sound:ゆうこう.mp3]&lt;/div&gt;</v>
      </c>
      <c r="H6088" s="3" t="str">
        <f t="shared" si="1"/>
        <v>(n): hữu nghị</v>
      </c>
      <c r="I6088" s="6" t="s">
        <v>33132</v>
      </c>
      <c r="J6088" s="6" t="s">
        <v>33133</v>
      </c>
      <c r="K6088" s="7">
        <f t="shared" si="2"/>
        <v>0.2440412312</v>
      </c>
    </row>
    <row r="6089">
      <c r="A6089" s="4">
        <v>6089.0</v>
      </c>
      <c r="B6089" s="5" t="s">
        <v>33134</v>
      </c>
      <c r="C6089" s="5" t="s">
        <v>33135</v>
      </c>
      <c r="D6089" s="5" t="s">
        <v>33136</v>
      </c>
      <c r="E6089" s="6" t="s">
        <v>74</v>
      </c>
      <c r="F6089" s="6" t="s">
        <v>26096</v>
      </c>
      <c r="G6089" s="3" t="str">
        <f>IFERROR(__xludf.DUMMYFUNCTION("REGEXREPLACE(
D6089,
""([一-龯々]+)\[([^\]]+)\]"",
""&lt;ruby&gt;$1&lt;rt&gt;$2&lt;/rt&gt;&lt;/ruby&gt;""
)&amp;""&lt;br&gt;&lt;div class=""""audio""""&gt;[sound:""&amp;C6089&amp;"".mp3]&lt;/div&gt;"""),"&lt;ruby&gt;素質&lt;rt&gt;そしつ&lt;/rt&gt;&lt;/ruby&gt;&lt;br&gt;&lt;div class=""audio""&gt;[sound:そしつ.mp3]&lt;/div&gt;")</f>
        <v>&lt;ruby&gt;素質&lt;rt&gt;そしつ&lt;/rt&gt;&lt;/ruby&gt;&lt;br&gt;&lt;div class="audio"&gt;[sound:そしつ.mp3]&lt;/div&gt;</v>
      </c>
      <c r="H6089" s="3" t="str">
        <f t="shared" si="1"/>
        <v>(n): tố chất</v>
      </c>
      <c r="I6089" s="6" t="s">
        <v>33137</v>
      </c>
      <c r="J6089" s="6" t="s">
        <v>33138</v>
      </c>
      <c r="K6089" s="7">
        <f t="shared" si="2"/>
        <v>0.3468605615</v>
      </c>
    </row>
    <row r="6090">
      <c r="A6090" s="4">
        <v>6090.0</v>
      </c>
      <c r="B6090" s="5" t="s">
        <v>33139</v>
      </c>
      <c r="C6090" s="5" t="s">
        <v>33140</v>
      </c>
      <c r="D6090" s="5" t="s">
        <v>33141</v>
      </c>
      <c r="E6090" s="6" t="s">
        <v>74</v>
      </c>
      <c r="F6090" s="6" t="s">
        <v>33142</v>
      </c>
      <c r="G6090" s="3" t="str">
        <f>IFERROR(__xludf.DUMMYFUNCTION("REGEXREPLACE(
D6090,
""([一-龯々]+)\[([^\]]+)\]"",
""&lt;ruby&gt;$1&lt;rt&gt;$2&lt;/rt&gt;&lt;/ruby&gt;""
)&amp;""&lt;br&gt;&lt;div class=""""audio""""&gt;[sound:""&amp;C6090&amp;"".mp3]&lt;/div&gt;"""),"&lt;ruby&gt;訓&lt;rt&gt;くん&lt;/rt&gt;&lt;/ruby&gt;&lt;br&gt;&lt;div class=""audio""&gt;[sound:くん.mp3]&lt;/div&gt;")</f>
        <v>&lt;ruby&gt;訓&lt;rt&gt;くん&lt;/rt&gt;&lt;/ruby&gt;&lt;br&gt;&lt;div class="audio"&gt;[sound:くん.mp3]&lt;/div&gt;</v>
      </c>
      <c r="H6090" s="3" t="str">
        <f t="shared" si="1"/>
        <v>(n): âm kun</v>
      </c>
      <c r="I6090" s="6" t="s">
        <v>33143</v>
      </c>
      <c r="J6090" s="6" t="s">
        <v>33144</v>
      </c>
      <c r="K6090" s="7">
        <f t="shared" si="2"/>
        <v>0.9882652007</v>
      </c>
    </row>
    <row r="6091">
      <c r="A6091" s="4">
        <v>6091.0</v>
      </c>
      <c r="B6091" s="5" t="s">
        <v>33145</v>
      </c>
      <c r="C6091" s="5" t="s">
        <v>33146</v>
      </c>
      <c r="D6091" s="5" t="s">
        <v>33145</v>
      </c>
      <c r="E6091" s="6" t="s">
        <v>74</v>
      </c>
      <c r="F6091" s="6" t="s">
        <v>33147</v>
      </c>
      <c r="G6091" s="3" t="str">
        <f>IFERROR(__xludf.DUMMYFUNCTION("REGEXREPLACE(
D6091,
""([一-龯々]+)\[([^\]]+)\]"",
""&lt;ruby&gt;$1&lt;rt&gt;$2&lt;/rt&gt;&lt;/ruby&gt;""
)&amp;""&lt;br&gt;&lt;div class=""""audio""""&gt;[sound:""&amp;C6091&amp;"".mp3]&lt;/div&gt;"""),"ワープロ&lt;br&gt;&lt;div class=""audio""&gt;[sound:わーぷろ.mp3]&lt;/div&gt;")</f>
        <v>ワープロ&lt;br&gt;&lt;div class="audio"&gt;[sound:わーぷろ.mp3]&lt;/div&gt;</v>
      </c>
      <c r="H6091" s="3" t="str">
        <f t="shared" si="1"/>
        <v>(n): máy soạn thảo</v>
      </c>
      <c r="I6091" s="6" t="s">
        <v>33148</v>
      </c>
      <c r="J6091" s="6" t="s">
        <v>33149</v>
      </c>
      <c r="K6091" s="7">
        <f t="shared" si="2"/>
        <v>0.8269961151</v>
      </c>
    </row>
    <row r="6092">
      <c r="A6092" s="4">
        <v>6092.0</v>
      </c>
      <c r="B6092" s="5" t="s">
        <v>33150</v>
      </c>
      <c r="C6092" s="5" t="s">
        <v>3178</v>
      </c>
      <c r="D6092" s="5" t="s">
        <v>33151</v>
      </c>
      <c r="E6092" s="6" t="s">
        <v>74</v>
      </c>
      <c r="F6092" s="6" t="s">
        <v>33152</v>
      </c>
      <c r="G6092" s="3" t="str">
        <f>IFERROR(__xludf.DUMMYFUNCTION("REGEXREPLACE(
D6092,
""([一-龯々]+)\[([^\]]+)\]"",
""&lt;ruby&gt;$1&lt;rt&gt;$2&lt;/rt&gt;&lt;/ruby&gt;""
)&amp;""&lt;br&gt;&lt;div class=""""audio""""&gt;[sound:""&amp;C6092&amp;"".mp3]&lt;/div&gt;"""),"&lt;ruby&gt;異動&lt;rt&gt;いどう&lt;/rt&gt;&lt;/ruby&gt;&lt;br&gt;&lt;div class=""audio""&gt;[sound:いどう.mp3]&lt;/div&gt;")</f>
        <v>&lt;ruby&gt;異動&lt;rt&gt;いどう&lt;/rt&gt;&lt;/ruby&gt;&lt;br&gt;&lt;div class="audio"&gt;[sound:いどう.mp3]&lt;/div&gt;</v>
      </c>
      <c r="H6092" s="3" t="str">
        <f t="shared" si="1"/>
        <v>(n): thuyên chuyển</v>
      </c>
      <c r="I6092" s="6" t="s">
        <v>33153</v>
      </c>
      <c r="J6092" s="6" t="s">
        <v>33154</v>
      </c>
      <c r="K6092" s="7">
        <f t="shared" si="2"/>
        <v>0.8536691519</v>
      </c>
    </row>
    <row r="6093">
      <c r="A6093" s="4">
        <v>6093.0</v>
      </c>
      <c r="B6093" s="5" t="s">
        <v>33155</v>
      </c>
      <c r="C6093" s="5" t="s">
        <v>20719</v>
      </c>
      <c r="D6093" s="5" t="s">
        <v>33156</v>
      </c>
      <c r="E6093" s="6" t="s">
        <v>74</v>
      </c>
      <c r="F6093" s="6" t="s">
        <v>33157</v>
      </c>
      <c r="G6093" s="3" t="str">
        <f>IFERROR(__xludf.DUMMYFUNCTION("REGEXREPLACE(
D6093,
""([一-龯々]+)\[([^\]]+)\]"",
""&lt;ruby&gt;$1&lt;rt&gt;$2&lt;/rt&gt;&lt;/ruby&gt;""
)&amp;""&lt;br&gt;&lt;div class=""""audio""""&gt;[sound:""&amp;C6093&amp;"".mp3]&lt;/div&gt;"""),"&lt;ruby&gt;転校&lt;rt&gt;てんこう&lt;/rt&gt;&lt;/ruby&gt;&lt;br&gt;&lt;div class=""audio""&gt;[sound:てんこう.mp3]&lt;/div&gt;")</f>
        <v>&lt;ruby&gt;転校&lt;rt&gt;てんこう&lt;/rt&gt;&lt;/ruby&gt;&lt;br&gt;&lt;div class="audio"&gt;[sound:てんこう.mp3]&lt;/div&gt;</v>
      </c>
      <c r="H6093" s="3" t="str">
        <f t="shared" si="1"/>
        <v>(n): chuyển trường</v>
      </c>
      <c r="I6093" s="6" t="s">
        <v>33158</v>
      </c>
      <c r="J6093" s="6" t="s">
        <v>33159</v>
      </c>
      <c r="K6093" s="7">
        <f t="shared" si="2"/>
        <v>0.1058685499</v>
      </c>
    </row>
    <row r="6094">
      <c r="A6094" s="4">
        <v>6094.0</v>
      </c>
      <c r="B6094" s="5" t="s">
        <v>33160</v>
      </c>
      <c r="C6094" s="5" t="s">
        <v>33160</v>
      </c>
      <c r="D6094" s="5" t="s">
        <v>33160</v>
      </c>
      <c r="E6094" s="6" t="s">
        <v>11</v>
      </c>
      <c r="F6094" s="6" t="s">
        <v>7155</v>
      </c>
      <c r="G6094" s="3" t="str">
        <f>IFERROR(__xludf.DUMMYFUNCTION("REGEXREPLACE(
D6094,
""([一-龯々]+)\[([^\]]+)\]"",
""&lt;ruby&gt;$1&lt;rt&gt;$2&lt;/rt&gt;&lt;/ruby&gt;""
)&amp;""&lt;br&gt;&lt;div class=""""audio""""&gt;[sound:""&amp;C6094&amp;"".mp3]&lt;/div&gt;"""),"みじめ&lt;br&gt;&lt;div class=""audio""&gt;[sound:みじめ.mp3]&lt;/div&gt;")</f>
        <v>みじめ&lt;br&gt;&lt;div class="audio"&gt;[sound:みじめ.mp3]&lt;/div&gt;</v>
      </c>
      <c r="H6094" s="3" t="str">
        <f t="shared" si="1"/>
        <v>(adj): đáng thương</v>
      </c>
      <c r="I6094" s="6" t="s">
        <v>33161</v>
      </c>
      <c r="J6094" s="6" t="s">
        <v>33162</v>
      </c>
      <c r="K6094" s="7">
        <f t="shared" si="2"/>
        <v>0.3330823979</v>
      </c>
    </row>
    <row r="6095">
      <c r="A6095" s="4">
        <v>6095.0</v>
      </c>
      <c r="B6095" s="5" t="s">
        <v>33163</v>
      </c>
      <c r="C6095" s="5" t="s">
        <v>4890</v>
      </c>
      <c r="D6095" s="5" t="s">
        <v>33164</v>
      </c>
      <c r="E6095" s="6" t="s">
        <v>24</v>
      </c>
      <c r="F6095" s="6" t="s">
        <v>33165</v>
      </c>
      <c r="G6095" s="3" t="str">
        <f>IFERROR(__xludf.DUMMYFUNCTION("REGEXREPLACE(
D6095,
""([一-龯々]+)\[([^\]]+)\]"",
""&lt;ruby&gt;$1&lt;rt&gt;$2&lt;/rt&gt;&lt;/ruby&gt;""
)&amp;""&lt;br&gt;&lt;div class=""""audio""""&gt;[sound:""&amp;C6095&amp;"".mp3]&lt;/div&gt;"""),"&lt;ruby&gt;諮&lt;rt&gt;はか&lt;/rt&gt;&lt;/ruby&gt;る&lt;br&gt;&lt;div class=""audio""&gt;[sound:はかる.mp3]&lt;/div&gt;")</f>
        <v>&lt;ruby&gt;諮&lt;rt&gt;はか&lt;/rt&gt;&lt;/ruby&gt;る&lt;br&gt;&lt;div class="audio"&gt;[sound:はかる.mp3]&lt;/div&gt;</v>
      </c>
      <c r="H6095" s="3" t="str">
        <f t="shared" si="1"/>
        <v>(v): hỏi ý kiến</v>
      </c>
      <c r="I6095" s="6" t="s">
        <v>33166</v>
      </c>
      <c r="J6095" s="6" t="s">
        <v>33167</v>
      </c>
      <c r="K6095" s="7">
        <f t="shared" si="2"/>
        <v>0.7829435746</v>
      </c>
    </row>
    <row r="6096">
      <c r="A6096" s="4">
        <v>6096.0</v>
      </c>
      <c r="B6096" s="5" t="s">
        <v>33168</v>
      </c>
      <c r="C6096" s="5" t="s">
        <v>33169</v>
      </c>
      <c r="D6096" s="5" t="s">
        <v>33170</v>
      </c>
      <c r="E6096" s="6" t="s">
        <v>74</v>
      </c>
      <c r="F6096" s="6" t="s">
        <v>5937</v>
      </c>
      <c r="G6096" s="3" t="str">
        <f>IFERROR(__xludf.DUMMYFUNCTION("REGEXREPLACE(
D6096,
""([一-龯々]+)\[([^\]]+)\]"",
""&lt;ruby&gt;$1&lt;rt&gt;$2&lt;/rt&gt;&lt;/ruby&gt;""
)&amp;""&lt;br&gt;&lt;div class=""""audio""""&gt;[sound:""&amp;C6096&amp;"".mp3]&lt;/div&gt;"""),"&lt;ruby&gt;複写&lt;rt&gt;ふくしゃ&lt;/rt&gt;&lt;/ruby&gt;&lt;br&gt;&lt;div class=""audio""&gt;[sound:ふくしゃ.mp3]&lt;/div&gt;")</f>
        <v>&lt;ruby&gt;複写&lt;rt&gt;ふくしゃ&lt;/rt&gt;&lt;/ruby&gt;&lt;br&gt;&lt;div class="audio"&gt;[sound:ふくしゃ.mp3]&lt;/div&gt;</v>
      </c>
      <c r="H6096" s="3" t="str">
        <f t="shared" si="1"/>
        <v>(n): sao chép</v>
      </c>
      <c r="I6096" s="6" t="s">
        <v>33171</v>
      </c>
      <c r="J6096" s="6" t="s">
        <v>33172</v>
      </c>
      <c r="K6096" s="7">
        <f t="shared" si="2"/>
        <v>0.2267507566</v>
      </c>
    </row>
    <row r="6097">
      <c r="A6097" s="4">
        <v>6097.0</v>
      </c>
      <c r="B6097" s="5" t="s">
        <v>33173</v>
      </c>
      <c r="C6097" s="5" t="s">
        <v>33174</v>
      </c>
      <c r="D6097" s="5" t="s">
        <v>33175</v>
      </c>
      <c r="E6097" s="6" t="s">
        <v>74</v>
      </c>
      <c r="F6097" s="6" t="s">
        <v>33176</v>
      </c>
      <c r="G6097" s="3" t="str">
        <f>IFERROR(__xludf.DUMMYFUNCTION("REGEXREPLACE(
D6097,
""([一-龯々]+)\[([^\]]+)\]"",
""&lt;ruby&gt;$1&lt;rt&gt;$2&lt;/rt&gt;&lt;/ruby&gt;""
)&amp;""&lt;br&gt;&lt;div class=""""audio""""&gt;[sound:""&amp;C6097&amp;"".mp3]&lt;/div&gt;"""),"&lt;ruby&gt;泡&lt;rt&gt;あわ&lt;/rt&gt;&lt;/ruby&gt;&lt;br&gt;&lt;div class=""audio""&gt;[sound:あわ.mp3]&lt;/div&gt;")</f>
        <v>&lt;ruby&gt;泡&lt;rt&gt;あわ&lt;/rt&gt;&lt;/ruby&gt;&lt;br&gt;&lt;div class="audio"&gt;[sound:あわ.mp3]&lt;/div&gt;</v>
      </c>
      <c r="H6097" s="3" t="str">
        <f t="shared" si="1"/>
        <v>(n): bọt</v>
      </c>
      <c r="I6097" s="6" t="s">
        <v>33177</v>
      </c>
      <c r="J6097" s="6" t="s">
        <v>33178</v>
      </c>
      <c r="K6097" s="7">
        <f t="shared" si="2"/>
        <v>0.2637237986</v>
      </c>
    </row>
    <row r="6098">
      <c r="A6098" s="4">
        <v>6098.0</v>
      </c>
      <c r="B6098" s="5" t="s">
        <v>33179</v>
      </c>
      <c r="C6098" s="5" t="s">
        <v>33180</v>
      </c>
      <c r="D6098" s="5" t="s">
        <v>33181</v>
      </c>
      <c r="E6098" s="6" t="s">
        <v>74</v>
      </c>
      <c r="F6098" s="6" t="s">
        <v>33182</v>
      </c>
      <c r="G6098" s="3" t="str">
        <f>IFERROR(__xludf.DUMMYFUNCTION("REGEXREPLACE(
D6098,
""([一-龯々]+)\[([^\]]+)\]"",
""&lt;ruby&gt;$1&lt;rt&gt;$2&lt;/rt&gt;&lt;/ruby&gt;""
)&amp;""&lt;br&gt;&lt;div class=""""audio""""&gt;[sound:""&amp;C6098&amp;"".mp3]&lt;/div&gt;"""),"&lt;ruby&gt;謙遜&lt;rt&gt;けんそん&lt;/rt&gt;&lt;/ruby&gt;&lt;br&gt;&lt;div class=""audio""&gt;[sound:けんそん.mp3]&lt;/div&gt;")</f>
        <v>&lt;ruby&gt;謙遜&lt;rt&gt;けんそん&lt;/rt&gt;&lt;/ruby&gt;&lt;br&gt;&lt;div class="audio"&gt;[sound:けんそん.mp3]&lt;/div&gt;</v>
      </c>
      <c r="H6098" s="3" t="str">
        <f t="shared" si="1"/>
        <v>(n): khiêm nhường</v>
      </c>
      <c r="I6098" s="6" t="s">
        <v>33183</v>
      </c>
      <c r="J6098" s="6" t="s">
        <v>33184</v>
      </c>
      <c r="K6098" s="7">
        <f t="shared" si="2"/>
        <v>0.9048488391</v>
      </c>
    </row>
    <row r="6099">
      <c r="A6099" s="4">
        <v>6099.0</v>
      </c>
      <c r="B6099" s="5" t="s">
        <v>33185</v>
      </c>
      <c r="C6099" s="5" t="s">
        <v>16490</v>
      </c>
      <c r="D6099" s="5" t="s">
        <v>33186</v>
      </c>
      <c r="E6099" s="6" t="s">
        <v>74</v>
      </c>
      <c r="F6099" s="6" t="s">
        <v>33187</v>
      </c>
      <c r="G6099" s="3" t="str">
        <f>IFERROR(__xludf.DUMMYFUNCTION("REGEXREPLACE(
D6099,
""([一-龯々]+)\[([^\]]+)\]"",
""&lt;ruby&gt;$1&lt;rt&gt;$2&lt;/rt&gt;&lt;/ruby&gt;""
)&amp;""&lt;br&gt;&lt;div class=""""audio""""&gt;[sound:""&amp;C6099&amp;"".mp3]&lt;/div&gt;"""),"&lt;ruby&gt;計器&lt;rt&gt;けいき&lt;/rt&gt;&lt;/ruby&gt;&lt;br&gt;&lt;div class=""audio""&gt;[sound:けいき.mp3]&lt;/div&gt;")</f>
        <v>&lt;ruby&gt;計器&lt;rt&gt;けいき&lt;/rt&gt;&lt;/ruby&gt;&lt;br&gt;&lt;div class="audio"&gt;[sound:けいき.mp3]&lt;/div&gt;</v>
      </c>
      <c r="H6099" s="3" t="str">
        <f t="shared" si="1"/>
        <v>(n): thiết bị đo</v>
      </c>
      <c r="I6099" s="6" t="s">
        <v>33188</v>
      </c>
      <c r="J6099" s="6" t="s">
        <v>33189</v>
      </c>
      <c r="K6099" s="7">
        <f t="shared" si="2"/>
        <v>0.5403796085</v>
      </c>
    </row>
    <row r="6100">
      <c r="A6100" s="4">
        <v>6100.0</v>
      </c>
      <c r="B6100" s="5" t="s">
        <v>33190</v>
      </c>
      <c r="C6100" s="5" t="s">
        <v>15022</v>
      </c>
      <c r="D6100" s="5" t="s">
        <v>33191</v>
      </c>
      <c r="E6100" s="6" t="s">
        <v>11</v>
      </c>
      <c r="F6100" s="6" t="s">
        <v>33192</v>
      </c>
      <c r="G6100" s="3" t="str">
        <f>IFERROR(__xludf.DUMMYFUNCTION("REGEXREPLACE(
D6100,
""([一-龯々]+)\[([^\]]+)\]"",
""&lt;ruby&gt;$1&lt;rt&gt;$2&lt;/rt&gt;&lt;/ruby&gt;""
)&amp;""&lt;br&gt;&lt;div class=""""audio""""&gt;[sound:""&amp;C6100&amp;"".mp3]&lt;/div&gt;"""),"&lt;ruby&gt;公正&lt;rt&gt;こうせい&lt;/rt&gt;&lt;/ruby&gt;&lt;br&gt;&lt;div class=""audio""&gt;[sound:こうせい.mp3]&lt;/div&gt;")</f>
        <v>&lt;ruby&gt;公正&lt;rt&gt;こうせい&lt;/rt&gt;&lt;/ruby&gt;&lt;br&gt;&lt;div class="audio"&gt;[sound:こうせい.mp3]&lt;/div&gt;</v>
      </c>
      <c r="H6100" s="3" t="str">
        <f t="shared" si="1"/>
        <v>(adj): công chính</v>
      </c>
      <c r="I6100" s="6" t="s">
        <v>33193</v>
      </c>
      <c r="J6100" s="6" t="s">
        <v>33194</v>
      </c>
      <c r="K6100" s="7">
        <f t="shared" si="2"/>
        <v>0.170810042</v>
      </c>
    </row>
    <row r="6101">
      <c r="A6101" s="4">
        <v>6101.0</v>
      </c>
      <c r="B6101" s="5" t="s">
        <v>33195</v>
      </c>
      <c r="C6101" s="5" t="s">
        <v>33196</v>
      </c>
      <c r="D6101" s="5" t="s">
        <v>33197</v>
      </c>
      <c r="E6101" s="6" t="s">
        <v>74</v>
      </c>
      <c r="F6101" s="6" t="s">
        <v>33198</v>
      </c>
      <c r="G6101" s="3" t="str">
        <f>IFERROR(__xludf.DUMMYFUNCTION("REGEXREPLACE(
D6101,
""([一-龯々]+)\[([^\]]+)\]"",
""&lt;ruby&gt;$1&lt;rt&gt;$2&lt;/rt&gt;&lt;/ruby&gt;""
)&amp;""&lt;br&gt;&lt;div class=""""audio""""&gt;[sound:""&amp;C6101&amp;"".mp3]&lt;/div&gt;"""),"&lt;ruby&gt;沖&lt;rt&gt;おき&lt;/rt&gt;&lt;/ruby&gt;&lt;br&gt;&lt;div class=""audio""&gt;[sound:おき.mp3]&lt;/div&gt;")</f>
        <v>&lt;ruby&gt;沖&lt;rt&gt;おき&lt;/rt&gt;&lt;/ruby&gt;&lt;br&gt;&lt;div class="audio"&gt;[sound:おき.mp3]&lt;/div&gt;</v>
      </c>
      <c r="H6101" s="3" t="str">
        <f t="shared" si="1"/>
        <v>(n): ngoài khơi</v>
      </c>
      <c r="I6101" s="6" t="s">
        <v>33199</v>
      </c>
      <c r="J6101" s="6" t="s">
        <v>33200</v>
      </c>
      <c r="K6101" s="7">
        <f t="shared" si="2"/>
        <v>0.6204465746</v>
      </c>
    </row>
    <row r="6102">
      <c r="A6102" s="4">
        <v>6102.0</v>
      </c>
      <c r="B6102" s="5" t="s">
        <v>33201</v>
      </c>
      <c r="C6102" s="5" t="s">
        <v>33202</v>
      </c>
      <c r="D6102" s="5" t="s">
        <v>33203</v>
      </c>
      <c r="E6102" s="6" t="s">
        <v>74</v>
      </c>
      <c r="F6102" s="6" t="s">
        <v>33204</v>
      </c>
      <c r="G6102" s="3" t="str">
        <f>IFERROR(__xludf.DUMMYFUNCTION("REGEXREPLACE(
D6102,
""([一-龯々]+)\[([^\]]+)\]"",
""&lt;ruby&gt;$1&lt;rt&gt;$2&lt;/rt&gt;&lt;/ruby&gt;""
)&amp;""&lt;br&gt;&lt;div class=""""audio""""&gt;[sound:""&amp;C6102&amp;"".mp3]&lt;/div&gt;"""),"&lt;ruby&gt;輸血&lt;rt&gt;ゆけつ&lt;/rt&gt;&lt;/ruby&gt;&lt;br&gt;&lt;div class=""audio""&gt;[sound:ゆけつ.mp3]&lt;/div&gt;")</f>
        <v>&lt;ruby&gt;輸血&lt;rt&gt;ゆけつ&lt;/rt&gt;&lt;/ruby&gt;&lt;br&gt;&lt;div class="audio"&gt;[sound:ゆけつ.mp3]&lt;/div&gt;</v>
      </c>
      <c r="H6102" s="3" t="str">
        <f t="shared" si="1"/>
        <v>(n): truyền máu</v>
      </c>
      <c r="I6102" s="6" t="s">
        <v>33205</v>
      </c>
      <c r="J6102" s="6" t="s">
        <v>33206</v>
      </c>
      <c r="K6102" s="7">
        <f t="shared" si="2"/>
        <v>0.4412004005</v>
      </c>
    </row>
    <row r="6103">
      <c r="A6103" s="4">
        <v>6103.0</v>
      </c>
      <c r="B6103" s="5" t="s">
        <v>33207</v>
      </c>
      <c r="C6103" s="5" t="s">
        <v>33208</v>
      </c>
      <c r="D6103" s="5" t="s">
        <v>33209</v>
      </c>
      <c r="E6103" s="6" t="s">
        <v>74</v>
      </c>
      <c r="F6103" s="6" t="s">
        <v>4028</v>
      </c>
      <c r="G6103" s="3" t="str">
        <f>IFERROR(__xludf.DUMMYFUNCTION("REGEXREPLACE(
D6103,
""([一-龯々]+)\[([^\]]+)\]"",
""&lt;ruby&gt;$1&lt;rt&gt;$2&lt;/rt&gt;&lt;/ruby&gt;""
)&amp;""&lt;br&gt;&lt;div class=""""audio""""&gt;[sound:""&amp;C6103&amp;"".mp3]&lt;/div&gt;"""),"&lt;ruby&gt;催&lt;rt&gt;もよお&lt;/rt&gt;&lt;/ruby&gt;し&lt;br&gt;&lt;div class=""audio""&gt;[sound:もよおし.mp3]&lt;/div&gt;")</f>
        <v>&lt;ruby&gt;催&lt;rt&gt;もよお&lt;/rt&gt;&lt;/ruby&gt;し&lt;br&gt;&lt;div class="audio"&gt;[sound:もよおし.mp3]&lt;/div&gt;</v>
      </c>
      <c r="H6103" s="3" t="str">
        <f t="shared" si="1"/>
        <v>(n): sự kiện</v>
      </c>
      <c r="I6103" s="6" t="s">
        <v>33210</v>
      </c>
      <c r="J6103" s="6" t="s">
        <v>14329</v>
      </c>
      <c r="K6103" s="7">
        <f t="shared" si="2"/>
        <v>0.5137451303</v>
      </c>
    </row>
    <row r="6104">
      <c r="A6104" s="4">
        <v>6104.0</v>
      </c>
      <c r="B6104" s="5" t="s">
        <v>33211</v>
      </c>
      <c r="C6104" s="5" t="s">
        <v>33212</v>
      </c>
      <c r="D6104" s="5" t="s">
        <v>33213</v>
      </c>
      <c r="E6104" s="6" t="s">
        <v>74</v>
      </c>
      <c r="F6104" s="6" t="s">
        <v>33214</v>
      </c>
      <c r="G6104" s="3" t="str">
        <f>IFERROR(__xludf.DUMMYFUNCTION("REGEXREPLACE(
D6104,
""([一-龯々]+)\[([^\]]+)\]"",
""&lt;ruby&gt;$1&lt;rt&gt;$2&lt;/rt&gt;&lt;/ruby&gt;""
)&amp;""&lt;br&gt;&lt;div class=""""audio""""&gt;[sound:""&amp;C6104&amp;"".mp3]&lt;/div&gt;"""),"&lt;ruby&gt;家屋&lt;rt&gt;かおく&lt;/rt&gt;&lt;/ruby&gt;&lt;br&gt;&lt;div class=""audio""&gt;[sound:かおく.mp3]&lt;/div&gt;")</f>
        <v>&lt;ruby&gt;家屋&lt;rt&gt;かおく&lt;/rt&gt;&lt;/ruby&gt;&lt;br&gt;&lt;div class="audio"&gt;[sound:かおく.mp3]&lt;/div&gt;</v>
      </c>
      <c r="H6104" s="3" t="str">
        <f t="shared" si="1"/>
        <v>(n): nhà cửa</v>
      </c>
      <c r="I6104" s="6" t="s">
        <v>33215</v>
      </c>
      <c r="J6104" s="6" t="s">
        <v>33216</v>
      </c>
      <c r="K6104" s="7">
        <f t="shared" si="2"/>
        <v>0.306636475</v>
      </c>
    </row>
    <row r="6105">
      <c r="A6105" s="4">
        <v>6105.0</v>
      </c>
      <c r="B6105" s="5" t="s">
        <v>33217</v>
      </c>
      <c r="C6105" s="5" t="s">
        <v>20111</v>
      </c>
      <c r="D6105" s="5" t="s">
        <v>33218</v>
      </c>
      <c r="E6105" s="6" t="s">
        <v>74</v>
      </c>
      <c r="F6105" s="6" t="s">
        <v>21431</v>
      </c>
      <c r="G6105" s="3" t="str">
        <f>IFERROR(__xludf.DUMMYFUNCTION("REGEXREPLACE(
D6105,
""([一-龯々]+)\[([^\]]+)\]"",
""&lt;ruby&gt;$1&lt;rt&gt;$2&lt;/rt&gt;&lt;/ruby&gt;""
)&amp;""&lt;br&gt;&lt;div class=""""audio""""&gt;[sound:""&amp;C6105&amp;"".mp3]&lt;/div&gt;"""),"&lt;ruby&gt;要旨&lt;rt&gt;ようし&lt;/rt&gt;&lt;/ruby&gt;&lt;br&gt;&lt;div class=""audio""&gt;[sound:ようし.mp3]&lt;/div&gt;")</f>
        <v>&lt;ruby&gt;要旨&lt;rt&gt;ようし&lt;/rt&gt;&lt;/ruby&gt;&lt;br&gt;&lt;div class="audio"&gt;[sound:ようし.mp3]&lt;/div&gt;</v>
      </c>
      <c r="H6105" s="3" t="str">
        <f t="shared" si="1"/>
        <v>(n): tóm tắt</v>
      </c>
      <c r="I6105" s="6" t="s">
        <v>33219</v>
      </c>
      <c r="J6105" s="6" t="s">
        <v>33220</v>
      </c>
      <c r="K6105" s="7">
        <f t="shared" si="2"/>
        <v>0.1702716535</v>
      </c>
    </row>
    <row r="6106">
      <c r="A6106" s="4">
        <v>6106.0</v>
      </c>
      <c r="B6106" s="5" t="s">
        <v>33221</v>
      </c>
      <c r="C6106" s="5" t="s">
        <v>33222</v>
      </c>
      <c r="D6106" s="5" t="s">
        <v>33223</v>
      </c>
      <c r="E6106" s="6" t="s">
        <v>85</v>
      </c>
      <c r="F6106" s="6" t="s">
        <v>33224</v>
      </c>
      <c r="G6106" s="3" t="str">
        <f>IFERROR(__xludf.DUMMYFUNCTION("REGEXREPLACE(
D6106,
""([一-龯々]+)\[([^\]]+)\]"",
""&lt;ruby&gt;$1&lt;rt&gt;$2&lt;/rt&gt;&lt;/ruby&gt;""
)&amp;""&lt;br&gt;&lt;div class=""""audio""""&gt;[sound:""&amp;C6106&amp;"".mp3]&lt;/div&gt;"""),"&lt;ruby&gt;転々&lt;rt&gt;てんてん&lt;/rt&gt;&lt;/ruby&gt;&lt;br&gt;&lt;div class=""audio""&gt;[sound:てんてん.mp3]&lt;/div&gt;")</f>
        <v>&lt;ruby&gt;転々&lt;rt&gt;てんてん&lt;/rt&gt;&lt;/ruby&gt;&lt;br&gt;&lt;div class="audio"&gt;[sound:てんてん.mp3]&lt;/div&gt;</v>
      </c>
      <c r="H6106" s="3" t="str">
        <f t="shared" si="1"/>
        <v>(adv): lăn lóc</v>
      </c>
      <c r="I6106" s="6" t="s">
        <v>33225</v>
      </c>
      <c r="J6106" s="6" t="s">
        <v>33226</v>
      </c>
      <c r="K6106" s="7">
        <f t="shared" si="2"/>
        <v>0.6500217146</v>
      </c>
    </row>
    <row r="6107">
      <c r="A6107" s="4">
        <v>6107.0</v>
      </c>
      <c r="B6107" s="5" t="s">
        <v>33227</v>
      </c>
      <c r="C6107" s="5" t="s">
        <v>33228</v>
      </c>
      <c r="D6107" s="5" t="s">
        <v>33229</v>
      </c>
      <c r="E6107" s="6" t="s">
        <v>24</v>
      </c>
      <c r="F6107" s="6" t="s">
        <v>9957</v>
      </c>
      <c r="G6107" s="3" t="str">
        <f>IFERROR(__xludf.DUMMYFUNCTION("REGEXREPLACE(
D6107,
""([一-龯々]+)\[([^\]]+)\]"",
""&lt;ruby&gt;$1&lt;rt&gt;$2&lt;/rt&gt;&lt;/ruby&gt;""
)&amp;""&lt;br&gt;&lt;div class=""""audio""""&gt;[sound:""&amp;C6107&amp;"".mp3]&lt;/div&gt;"""),"&lt;ruby&gt;及&lt;rt&gt;およ&lt;/rt&gt;&lt;/ruby&gt;ぼす&lt;br&gt;&lt;div class=""audio""&gt;[sound:およぼす.mp3]&lt;/div&gt;")</f>
        <v>&lt;ruby&gt;及&lt;rt&gt;およ&lt;/rt&gt;&lt;/ruby&gt;ぼす&lt;br&gt;&lt;div class="audio"&gt;[sound:およぼす.mp3]&lt;/div&gt;</v>
      </c>
      <c r="H6107" s="3" t="str">
        <f t="shared" si="1"/>
        <v>(v): gây ra</v>
      </c>
      <c r="I6107" s="6" t="s">
        <v>33230</v>
      </c>
      <c r="J6107" s="6" t="s">
        <v>33231</v>
      </c>
      <c r="K6107" s="7">
        <f t="shared" si="2"/>
        <v>0.6407046027</v>
      </c>
    </row>
    <row r="6108">
      <c r="A6108" s="4">
        <v>6108.0</v>
      </c>
      <c r="B6108" s="5" t="s">
        <v>33232</v>
      </c>
      <c r="C6108" s="5" t="s">
        <v>33233</v>
      </c>
      <c r="D6108" s="5" t="s">
        <v>33232</v>
      </c>
      <c r="E6108" s="6" t="s">
        <v>74</v>
      </c>
      <c r="F6108" s="6" t="s">
        <v>33234</v>
      </c>
      <c r="G6108" s="3" t="str">
        <f>IFERROR(__xludf.DUMMYFUNCTION("REGEXREPLACE(
D6108,
""([一-龯々]+)\[([^\]]+)\]"",
""&lt;ruby&gt;$1&lt;rt&gt;$2&lt;/rt&gt;&lt;/ruby&gt;""
)&amp;""&lt;br&gt;&lt;div class=""""audio""""&gt;[sound:""&amp;C6108&amp;"".mp3]&lt;/div&gt;"""),"モノレール&lt;br&gt;&lt;div class=""audio""&gt;[sound:ものれーる.mp3]&lt;/div&gt;")</f>
        <v>モノレール&lt;br&gt;&lt;div class="audio"&gt;[sound:ものれーる.mp3]&lt;/div&gt;</v>
      </c>
      <c r="H6108" s="3" t="str">
        <f t="shared" si="1"/>
        <v>(n): tàu điện một ray</v>
      </c>
      <c r="I6108" s="6" t="s">
        <v>33235</v>
      </c>
      <c r="J6108" s="6" t="s">
        <v>33236</v>
      </c>
      <c r="K6108" s="7">
        <f t="shared" si="2"/>
        <v>0.7530335907</v>
      </c>
    </row>
    <row r="6109">
      <c r="A6109" s="4">
        <v>6109.0</v>
      </c>
      <c r="B6109" s="5" t="s">
        <v>33237</v>
      </c>
      <c r="C6109" s="5" t="s">
        <v>33238</v>
      </c>
      <c r="D6109" s="5" t="s">
        <v>33239</v>
      </c>
      <c r="E6109" s="6" t="s">
        <v>74</v>
      </c>
      <c r="F6109" s="6" t="s">
        <v>28016</v>
      </c>
      <c r="G6109" s="3" t="str">
        <f>IFERROR(__xludf.DUMMYFUNCTION("REGEXREPLACE(
D6109,
""([一-龯々]+)\[([^\]]+)\]"",
""&lt;ruby&gt;$1&lt;rt&gt;$2&lt;/rt&gt;&lt;/ruby&gt;""
)&amp;""&lt;br&gt;&lt;div class=""""audio""""&gt;[sound:""&amp;C6109&amp;"".mp3]&lt;/div&gt;"""),"&lt;ruby&gt;絶滅&lt;rt&gt;ぜつめつ&lt;/rt&gt;&lt;/ruby&gt;&lt;br&gt;&lt;div class=""audio""&gt;[sound:ぜつめつ.mp3]&lt;/div&gt;")</f>
        <v>&lt;ruby&gt;絶滅&lt;rt&gt;ぜつめつ&lt;/rt&gt;&lt;/ruby&gt;&lt;br&gt;&lt;div class="audio"&gt;[sound:ぜつめつ.mp3]&lt;/div&gt;</v>
      </c>
      <c r="H6109" s="3" t="str">
        <f t="shared" si="1"/>
        <v>(n): tuyệt chủng</v>
      </c>
      <c r="I6109" s="6" t="s">
        <v>33240</v>
      </c>
      <c r="J6109" s="6" t="s">
        <v>33241</v>
      </c>
      <c r="K6109" s="7">
        <f t="shared" si="2"/>
        <v>0.3940612287</v>
      </c>
    </row>
    <row r="6110">
      <c r="A6110" s="4">
        <v>6110.0</v>
      </c>
      <c r="B6110" s="5" t="s">
        <v>33242</v>
      </c>
      <c r="C6110" s="5" t="s">
        <v>33243</v>
      </c>
      <c r="D6110" s="5" t="s">
        <v>33244</v>
      </c>
      <c r="E6110" s="6" t="s">
        <v>24</v>
      </c>
      <c r="F6110" s="6" t="s">
        <v>33245</v>
      </c>
      <c r="G6110" s="3" t="str">
        <f>IFERROR(__xludf.DUMMYFUNCTION("REGEXREPLACE(
D6110,
""([一-龯々]+)\[([^\]]+)\]"",
""&lt;ruby&gt;$1&lt;rt&gt;$2&lt;/rt&gt;&lt;/ruby&gt;""
)&amp;""&lt;br&gt;&lt;div class=""""audio""""&gt;[sound:""&amp;C6110&amp;"".mp3]&lt;/div&gt;"""),"&lt;ruby&gt;凍&lt;rt&gt;こお&lt;/rt&gt;&lt;/ruby&gt;る&lt;br&gt;&lt;div class=""audio""&gt;[sound:こおる.mp3]&lt;/div&gt;")</f>
        <v>&lt;ruby&gt;凍&lt;rt&gt;こお&lt;/rt&gt;&lt;/ruby&gt;る&lt;br&gt;&lt;div class="audio"&gt;[sound:こおる.mp3]&lt;/div&gt;</v>
      </c>
      <c r="H6110" s="3" t="str">
        <f t="shared" si="1"/>
        <v>(v): đóng băng</v>
      </c>
      <c r="I6110" s="6" t="s">
        <v>33246</v>
      </c>
      <c r="J6110" s="6" t="s">
        <v>33247</v>
      </c>
      <c r="K6110" s="7">
        <f t="shared" si="2"/>
        <v>0.4273428447</v>
      </c>
    </row>
    <row r="6111">
      <c r="A6111" s="4">
        <v>6111.0</v>
      </c>
      <c r="B6111" s="5" t="s">
        <v>33248</v>
      </c>
      <c r="C6111" s="5" t="s">
        <v>33249</v>
      </c>
      <c r="D6111" s="5" t="s">
        <v>33250</v>
      </c>
      <c r="E6111" s="6" t="s">
        <v>74</v>
      </c>
      <c r="F6111" s="6" t="s">
        <v>33251</v>
      </c>
      <c r="G6111" s="3" t="str">
        <f>IFERROR(__xludf.DUMMYFUNCTION("REGEXREPLACE(
D6111,
""([一-龯々]+)\[([^\]]+)\]"",
""&lt;ruby&gt;$1&lt;rt&gt;$2&lt;/rt&gt;&lt;/ruby&gt;""
)&amp;""&lt;br&gt;&lt;div class=""""audio""""&gt;[sound:""&amp;C6111&amp;"".mp3]&lt;/div&gt;"""),"&lt;ruby&gt;乗&lt;rt&gt;の&lt;/rt&gt;&lt;/ruby&gt;り&lt;ruby&gt;越&lt;rt&gt;こ&lt;/rt&gt;&lt;/ruby&gt;し&lt;br&gt;&lt;div class=""audio""&gt;[sound:のりこし.mp3]&lt;/div&gt;")</f>
        <v>&lt;ruby&gt;乗&lt;rt&gt;の&lt;/rt&gt;&lt;/ruby&gt;り&lt;ruby&gt;越&lt;rt&gt;こ&lt;/rt&gt;&lt;/ruby&gt;し&lt;br&gt;&lt;div class="audio"&gt;[sound:のりこし.mp3]&lt;/div&gt;</v>
      </c>
      <c r="H6111" s="3" t="str">
        <f t="shared" si="1"/>
        <v>(n): quá trạm</v>
      </c>
      <c r="I6111" s="6" t="s">
        <v>33252</v>
      </c>
      <c r="J6111" s="6" t="s">
        <v>33253</v>
      </c>
      <c r="K6111" s="7">
        <f t="shared" si="2"/>
        <v>0.5147482819</v>
      </c>
    </row>
    <row r="6112">
      <c r="A6112" s="4">
        <v>6112.0</v>
      </c>
      <c r="B6112" s="5" t="s">
        <v>33254</v>
      </c>
      <c r="C6112" s="5" t="s">
        <v>33255</v>
      </c>
      <c r="D6112" s="5" t="s">
        <v>33256</v>
      </c>
      <c r="E6112" s="6" t="s">
        <v>74</v>
      </c>
      <c r="F6112" s="6" t="s">
        <v>33257</v>
      </c>
      <c r="G6112" s="3" t="str">
        <f>IFERROR(__xludf.DUMMYFUNCTION("REGEXREPLACE(
D6112,
""([一-龯々]+)\[([^\]]+)\]"",
""&lt;ruby&gt;$1&lt;rt&gt;$2&lt;/rt&gt;&lt;/ruby&gt;""
)&amp;""&lt;br&gt;&lt;div class=""""audio""""&gt;[sound:""&amp;C6112&amp;"".mp3]&lt;/div&gt;"""),"&lt;ruby&gt;伝言&lt;rt&gt;でんごん&lt;/rt&gt;&lt;/ruby&gt;&lt;br&gt;&lt;div class=""audio""&gt;[sound:でんごん.mp3]&lt;/div&gt;")</f>
        <v>&lt;ruby&gt;伝言&lt;rt&gt;でんごん&lt;/rt&gt;&lt;/ruby&gt;&lt;br&gt;&lt;div class="audio"&gt;[sound:でんごん.mp3]&lt;/div&gt;</v>
      </c>
      <c r="H6112" s="3" t="str">
        <f t="shared" si="1"/>
        <v>(n): lời nhắn</v>
      </c>
      <c r="I6112" s="6" t="s">
        <v>33258</v>
      </c>
      <c r="J6112" s="6" t="s">
        <v>8336</v>
      </c>
      <c r="K6112" s="7">
        <f t="shared" si="2"/>
        <v>0.4496184247</v>
      </c>
    </row>
    <row r="6113">
      <c r="A6113" s="4">
        <v>6113.0</v>
      </c>
      <c r="B6113" s="5" t="s">
        <v>33259</v>
      </c>
      <c r="C6113" s="5" t="s">
        <v>33260</v>
      </c>
      <c r="D6113" s="5" t="s">
        <v>33261</v>
      </c>
      <c r="E6113" s="6" t="s">
        <v>74</v>
      </c>
      <c r="F6113" s="6" t="s">
        <v>33262</v>
      </c>
      <c r="G6113" s="3" t="str">
        <f>IFERROR(__xludf.DUMMYFUNCTION("REGEXREPLACE(
D6113,
""([一-龯々]+)\[([^\]]+)\]"",
""&lt;ruby&gt;$1&lt;rt&gt;$2&lt;/rt&gt;&lt;/ruby&gt;""
)&amp;""&lt;br&gt;&lt;div class=""""audio""""&gt;[sound:""&amp;C6113&amp;"".mp3]&lt;/div&gt;"""),"&lt;ruby&gt;永久&lt;rt&gt;えいきゅう&lt;/rt&gt;&lt;/ruby&gt;&lt;br&gt;&lt;div class=""audio""&gt;[sound:えいきゅう.mp3]&lt;/div&gt;")</f>
        <v>&lt;ruby&gt;永久&lt;rt&gt;えいきゅう&lt;/rt&gt;&lt;/ruby&gt;&lt;br&gt;&lt;div class="audio"&gt;[sound:えいきゅう.mp3]&lt;/div&gt;</v>
      </c>
      <c r="H6113" s="3" t="str">
        <f t="shared" si="1"/>
        <v>(n): vĩnh cửu</v>
      </c>
      <c r="I6113" s="6" t="s">
        <v>33263</v>
      </c>
      <c r="J6113" s="6" t="s">
        <v>33264</v>
      </c>
      <c r="K6113" s="7">
        <f t="shared" si="2"/>
        <v>0.9577207224</v>
      </c>
    </row>
    <row r="6114">
      <c r="A6114" s="4">
        <v>6114.0</v>
      </c>
      <c r="B6114" s="5" t="s">
        <v>33265</v>
      </c>
      <c r="C6114" s="5" t="s">
        <v>33266</v>
      </c>
      <c r="D6114" s="5" t="s">
        <v>33267</v>
      </c>
      <c r="E6114" s="6" t="s">
        <v>74</v>
      </c>
      <c r="F6114" s="6" t="s">
        <v>8941</v>
      </c>
      <c r="G6114" s="3" t="str">
        <f>IFERROR(__xludf.DUMMYFUNCTION("REGEXREPLACE(
D6114,
""([一-龯々]+)\[([^\]]+)\]"",
""&lt;ruby&gt;$1&lt;rt&gt;$2&lt;/rt&gt;&lt;/ruby&gt;""
)&amp;""&lt;br&gt;&lt;div class=""""audio""""&gt;[sound:""&amp;C6114&amp;"".mp3]&lt;/div&gt;"""),"&lt;ruby&gt;看病&lt;rt&gt;かんびょう&lt;/rt&gt;&lt;/ruby&gt;&lt;br&gt;&lt;div class=""audio""&gt;[sound:かんびょう.mp3]&lt;/div&gt;")</f>
        <v>&lt;ruby&gt;看病&lt;rt&gt;かんびょう&lt;/rt&gt;&lt;/ruby&gt;&lt;br&gt;&lt;div class="audio"&gt;[sound:かんびょう.mp3]&lt;/div&gt;</v>
      </c>
      <c r="H6114" s="3" t="str">
        <f t="shared" si="1"/>
        <v>(n): chăm sóc</v>
      </c>
      <c r="I6114" s="6" t="s">
        <v>33268</v>
      </c>
      <c r="J6114" s="6" t="s">
        <v>33269</v>
      </c>
      <c r="K6114" s="7">
        <f t="shared" si="2"/>
        <v>0.07322686785</v>
      </c>
    </row>
    <row r="6115">
      <c r="A6115" s="4">
        <v>6115.0</v>
      </c>
      <c r="B6115" s="5" t="s">
        <v>21222</v>
      </c>
      <c r="C6115" s="5" t="s">
        <v>21222</v>
      </c>
      <c r="D6115" s="5" t="s">
        <v>21222</v>
      </c>
      <c r="E6115" s="6" t="s">
        <v>74</v>
      </c>
      <c r="F6115" s="6" t="s">
        <v>33270</v>
      </c>
      <c r="G6115" s="3" t="str">
        <f>IFERROR(__xludf.DUMMYFUNCTION("REGEXREPLACE(
D6115,
""([一-龯々]+)\[([^\]]+)\]"",
""&lt;ruby&gt;$1&lt;rt&gt;$2&lt;/rt&gt;&lt;/ruby&gt;""
)&amp;""&lt;br&gt;&lt;div class=""""audio""""&gt;[sound:""&amp;C6115&amp;"".mp3]&lt;/div&gt;"""),"やかん&lt;br&gt;&lt;div class=""audio""&gt;[sound:やかん.mp3]&lt;/div&gt;")</f>
        <v>やかん&lt;br&gt;&lt;div class="audio"&gt;[sound:やかん.mp3]&lt;/div&gt;</v>
      </c>
      <c r="H6115" s="3" t="str">
        <f t="shared" si="1"/>
        <v>(n): ấm nước</v>
      </c>
      <c r="I6115" s="6" t="s">
        <v>33271</v>
      </c>
      <c r="J6115" s="6" t="s">
        <v>33272</v>
      </c>
      <c r="K6115" s="7">
        <f t="shared" si="2"/>
        <v>0.1627655494</v>
      </c>
    </row>
    <row r="6116">
      <c r="A6116" s="4">
        <v>6116.0</v>
      </c>
      <c r="B6116" s="5" t="s">
        <v>33273</v>
      </c>
      <c r="C6116" s="5" t="s">
        <v>33274</v>
      </c>
      <c r="D6116" s="5" t="s">
        <v>33275</v>
      </c>
      <c r="E6116" s="6" t="s">
        <v>24</v>
      </c>
      <c r="F6116" s="6" t="s">
        <v>33276</v>
      </c>
      <c r="G6116" s="3" t="str">
        <f>IFERROR(__xludf.DUMMYFUNCTION("REGEXREPLACE(
D6116,
""([一-龯々]+)\[([^\]]+)\]"",
""&lt;ruby&gt;$1&lt;rt&gt;$2&lt;/rt&gt;&lt;/ruby&gt;""
)&amp;""&lt;br&gt;&lt;div class=""""audio""""&gt;[sound:""&amp;C6116&amp;"".mp3]&lt;/div&gt;"""),"&lt;ruby&gt;売&lt;rt&gt;う&lt;/rt&gt;&lt;/ruby&gt;り&lt;ruby&gt;切&lt;rt&gt;き&lt;/rt&gt;&lt;/ruby&gt;れる&lt;br&gt;&lt;div class=""audio""&gt;[sound:うりきれる.mp3]&lt;/div&gt;")</f>
        <v>&lt;ruby&gt;売&lt;rt&gt;う&lt;/rt&gt;&lt;/ruby&gt;り&lt;ruby&gt;切&lt;rt&gt;き&lt;/rt&gt;&lt;/ruby&gt;れる&lt;br&gt;&lt;div class="audio"&gt;[sound:うりきれる.mp3]&lt;/div&gt;</v>
      </c>
      <c r="H6116" s="3" t="str">
        <f t="shared" si="1"/>
        <v>(v): bán hết</v>
      </c>
      <c r="I6116" s="6" t="s">
        <v>33277</v>
      </c>
      <c r="J6116" s="6" t="s">
        <v>33278</v>
      </c>
      <c r="K6116" s="7">
        <f t="shared" si="2"/>
        <v>0.3270534244</v>
      </c>
    </row>
    <row r="6117">
      <c r="A6117" s="4">
        <v>6117.0</v>
      </c>
      <c r="B6117" s="5" t="s">
        <v>33279</v>
      </c>
      <c r="C6117" s="5" t="s">
        <v>33280</v>
      </c>
      <c r="D6117" s="5" t="s">
        <v>33281</v>
      </c>
      <c r="E6117" s="6" t="s">
        <v>11</v>
      </c>
      <c r="F6117" s="6" t="s">
        <v>33282</v>
      </c>
      <c r="G6117" s="3" t="str">
        <f>IFERROR(__xludf.DUMMYFUNCTION("REGEXREPLACE(
D6117,
""([一-龯々]+)\[([^\]]+)\]"",
""&lt;ruby&gt;$1&lt;rt&gt;$2&lt;/rt&gt;&lt;/ruby&gt;""
)&amp;""&lt;br&gt;&lt;div class=""""audio""""&gt;[sound:""&amp;C6117&amp;"".mp3]&lt;/div&gt;"""),"&lt;ruby&gt;清潔&lt;rt&gt;せいけつ&lt;/rt&gt;&lt;/ruby&gt;&lt;br&gt;&lt;div class=""audio""&gt;[sound:せいけつ.mp3]&lt;/div&gt;")</f>
        <v>&lt;ruby&gt;清潔&lt;rt&gt;せいけつ&lt;/rt&gt;&lt;/ruby&gt;&lt;br&gt;&lt;div class="audio"&gt;[sound:せいけつ.mp3]&lt;/div&gt;</v>
      </c>
      <c r="H6117" s="3" t="str">
        <f t="shared" si="1"/>
        <v>(adj): sạch sẽ</v>
      </c>
      <c r="I6117" s="6" t="s">
        <v>33283</v>
      </c>
      <c r="J6117" s="6" t="s">
        <v>33284</v>
      </c>
      <c r="K6117" s="7">
        <f t="shared" si="2"/>
        <v>0.8172586469</v>
      </c>
    </row>
    <row r="6118">
      <c r="A6118" s="4">
        <v>6118.0</v>
      </c>
      <c r="B6118" s="5" t="s">
        <v>33285</v>
      </c>
      <c r="C6118" s="5" t="s">
        <v>33286</v>
      </c>
      <c r="D6118" s="5" t="s">
        <v>33287</v>
      </c>
      <c r="E6118" s="6" t="s">
        <v>74</v>
      </c>
      <c r="F6118" s="6" t="s">
        <v>206</v>
      </c>
      <c r="G6118" s="3" t="str">
        <f>IFERROR(__xludf.DUMMYFUNCTION("REGEXREPLACE(
D6118,
""([一-龯々]+)\[([^\]]+)\]"",
""&lt;ruby&gt;$1&lt;rt&gt;$2&lt;/rt&gt;&lt;/ruby&gt;""
)&amp;""&lt;br&gt;&lt;div class=""""audio""""&gt;[sound:""&amp;C6118&amp;"".mp3]&lt;/div&gt;"""),"&lt;ruby&gt;生存&lt;rt&gt;せいぞん&lt;/rt&gt;&lt;/ruby&gt;&lt;br&gt;&lt;div class=""audio""&gt;[sound:せいぞん.mp3]&lt;/div&gt;")</f>
        <v>&lt;ruby&gt;生存&lt;rt&gt;せいぞん&lt;/rt&gt;&lt;/ruby&gt;&lt;br&gt;&lt;div class="audio"&gt;[sound:せいぞん.mp3]&lt;/div&gt;</v>
      </c>
      <c r="H6118" s="3" t="str">
        <f t="shared" si="1"/>
        <v>(n): tồn tại</v>
      </c>
      <c r="I6118" s="6" t="s">
        <v>33288</v>
      </c>
      <c r="J6118" s="6" t="s">
        <v>33289</v>
      </c>
      <c r="K6118" s="7">
        <f t="shared" si="2"/>
        <v>0.2135641401</v>
      </c>
    </row>
    <row r="6119">
      <c r="A6119" s="4">
        <v>6119.0</v>
      </c>
      <c r="B6119" s="5" t="s">
        <v>33290</v>
      </c>
      <c r="C6119" s="5" t="s">
        <v>33291</v>
      </c>
      <c r="D6119" s="5" t="s">
        <v>33292</v>
      </c>
      <c r="E6119" s="6" t="s">
        <v>24</v>
      </c>
      <c r="F6119" s="6" t="s">
        <v>33293</v>
      </c>
      <c r="G6119" s="3" t="str">
        <f>IFERROR(__xludf.DUMMYFUNCTION("REGEXREPLACE(
D6119,
""([一-龯々]+)\[([^\]]+)\]"",
""&lt;ruby&gt;$1&lt;rt&gt;$2&lt;/rt&gt;&lt;/ruby&gt;""
)&amp;""&lt;br&gt;&lt;div class=""""audio""""&gt;[sound:""&amp;C6119&amp;"".mp3]&lt;/div&gt;"""),"&lt;ruby&gt;痩&lt;rt&gt;や&lt;/rt&gt;&lt;/ruby&gt;せる&lt;br&gt;&lt;div class=""audio""&gt;[sound:やせる.mp3]&lt;/div&gt;")</f>
        <v>&lt;ruby&gt;痩&lt;rt&gt;や&lt;/rt&gt;&lt;/ruby&gt;せる&lt;br&gt;&lt;div class="audio"&gt;[sound:やせる.mp3]&lt;/div&gt;</v>
      </c>
      <c r="H6119" s="3" t="str">
        <f t="shared" si="1"/>
        <v>(v): gầy</v>
      </c>
      <c r="I6119" s="6" t="s">
        <v>33294</v>
      </c>
      <c r="J6119" s="6" t="s">
        <v>33295</v>
      </c>
      <c r="K6119" s="7">
        <f t="shared" si="2"/>
        <v>0.06442134515</v>
      </c>
    </row>
    <row r="6120">
      <c r="A6120" s="4">
        <v>6120.0</v>
      </c>
      <c r="B6120" s="5" t="s">
        <v>33296</v>
      </c>
      <c r="C6120" s="5" t="s">
        <v>3447</v>
      </c>
      <c r="D6120" s="5" t="s">
        <v>33297</v>
      </c>
      <c r="E6120" s="6" t="s">
        <v>85</v>
      </c>
      <c r="F6120" s="6" t="s">
        <v>33298</v>
      </c>
      <c r="G6120" s="3" t="str">
        <f>IFERROR(__xludf.DUMMYFUNCTION("REGEXREPLACE(
D6120,
""([一-龯々]+)\[([^\]]+)\]"",
""&lt;ruby&gt;$1&lt;rt&gt;$2&lt;/rt&gt;&lt;/ruby&gt;""
)&amp;""&lt;br&gt;&lt;div class=""""audio""""&gt;[sound:""&amp;C6120&amp;"".mp3]&lt;/div&gt;"""),"&lt;ruby&gt;依然&lt;rt&gt;いぜん&lt;/rt&gt;&lt;/ruby&gt;&lt;br&gt;&lt;div class=""audio""&gt;[sound:いぜん.mp3]&lt;/div&gt;")</f>
        <v>&lt;ruby&gt;依然&lt;rt&gt;いぜん&lt;/rt&gt;&lt;/ruby&gt;&lt;br&gt;&lt;div class="audio"&gt;[sound:いぜん.mp3]&lt;/div&gt;</v>
      </c>
      <c r="H6120" s="3" t="str">
        <f t="shared" si="1"/>
        <v>(adv): vẫn như cũ</v>
      </c>
      <c r="I6120" s="6" t="s">
        <v>33299</v>
      </c>
      <c r="J6120" s="6" t="s">
        <v>33300</v>
      </c>
      <c r="K6120" s="7">
        <f t="shared" si="2"/>
        <v>0.8827241239</v>
      </c>
    </row>
    <row r="6121">
      <c r="A6121" s="4">
        <v>6121.0</v>
      </c>
      <c r="B6121" s="5" t="s">
        <v>33301</v>
      </c>
      <c r="C6121" s="5" t="s">
        <v>33302</v>
      </c>
      <c r="D6121" s="5" t="s">
        <v>33303</v>
      </c>
      <c r="E6121" s="6" t="s">
        <v>74</v>
      </c>
      <c r="F6121" s="6" t="s">
        <v>33304</v>
      </c>
      <c r="G6121" s="3" t="str">
        <f>IFERROR(__xludf.DUMMYFUNCTION("REGEXREPLACE(
D6121,
""([一-龯々]+)\[([^\]]+)\]"",
""&lt;ruby&gt;$1&lt;rt&gt;$2&lt;/rt&gt;&lt;/ruby&gt;""
)&amp;""&lt;br&gt;&lt;div class=""""audio""""&gt;[sound:""&amp;C6121&amp;"".mp3]&lt;/div&gt;"""),"&lt;ruby&gt;分量&lt;rt&gt;ぶんりょう&lt;/rt&gt;&lt;/ruby&gt;&lt;br&gt;&lt;div class=""audio""&gt;[sound:ぶんりょう.mp3]&lt;/div&gt;")</f>
        <v>&lt;ruby&gt;分量&lt;rt&gt;ぶんりょう&lt;/rt&gt;&lt;/ruby&gt;&lt;br&gt;&lt;div class="audio"&gt;[sound:ぶんりょう.mp3]&lt;/div&gt;</v>
      </c>
      <c r="H6121" s="3" t="str">
        <f t="shared" si="1"/>
        <v>(n): liều lượng</v>
      </c>
      <c r="I6121" s="6" t="s">
        <v>33305</v>
      </c>
      <c r="J6121" s="6" t="s">
        <v>33306</v>
      </c>
      <c r="K6121" s="7">
        <f t="shared" si="2"/>
        <v>0.8375763827</v>
      </c>
    </row>
    <row r="6122">
      <c r="A6122" s="4">
        <v>6122.0</v>
      </c>
      <c r="B6122" s="5" t="s">
        <v>33307</v>
      </c>
      <c r="C6122" s="5" t="s">
        <v>33308</v>
      </c>
      <c r="D6122" s="5" t="s">
        <v>33309</v>
      </c>
      <c r="E6122" s="6" t="s">
        <v>74</v>
      </c>
      <c r="F6122" s="6" t="s">
        <v>33310</v>
      </c>
      <c r="G6122" s="3" t="str">
        <f>IFERROR(__xludf.DUMMYFUNCTION("REGEXREPLACE(
D6122,
""([一-龯々]+)\[([^\]]+)\]"",
""&lt;ruby&gt;$1&lt;rt&gt;$2&lt;/rt&gt;&lt;/ruby&gt;""
)&amp;""&lt;br&gt;&lt;div class=""""audio""""&gt;[sound:""&amp;C6122&amp;"".mp3]&lt;/div&gt;"""),"&lt;ruby&gt;俳句&lt;rt&gt;はいく&lt;/rt&gt;&lt;/ruby&gt;&lt;br&gt;&lt;div class=""audio""&gt;[sound:はいく.mp3]&lt;/div&gt;")</f>
        <v>&lt;ruby&gt;俳句&lt;rt&gt;はいく&lt;/rt&gt;&lt;/ruby&gt;&lt;br&gt;&lt;div class="audio"&gt;[sound:はいく.mp3]&lt;/div&gt;</v>
      </c>
      <c r="H6122" s="3" t="str">
        <f t="shared" si="1"/>
        <v>(n): thơ haiku</v>
      </c>
      <c r="I6122" s="6" t="s">
        <v>33311</v>
      </c>
      <c r="J6122" s="6" t="s">
        <v>33312</v>
      </c>
      <c r="K6122" s="7">
        <f t="shared" si="2"/>
        <v>0.8124475767</v>
      </c>
    </row>
    <row r="6123">
      <c r="A6123" s="4">
        <v>6123.0</v>
      </c>
      <c r="B6123" s="5" t="s">
        <v>33313</v>
      </c>
      <c r="C6123" s="5" t="s">
        <v>10513</v>
      </c>
      <c r="D6123" s="5" t="s">
        <v>33314</v>
      </c>
      <c r="E6123" s="6" t="s">
        <v>74</v>
      </c>
      <c r="F6123" s="6" t="s">
        <v>25584</v>
      </c>
      <c r="G6123" s="3" t="str">
        <f>IFERROR(__xludf.DUMMYFUNCTION("REGEXREPLACE(
D6123,
""([一-龯々]+)\[([^\]]+)\]"",
""&lt;ruby&gt;$1&lt;rt&gt;$2&lt;/rt&gt;&lt;/ruby&gt;""
)&amp;""&lt;br&gt;&lt;div class=""""audio""""&gt;[sound:""&amp;C6123&amp;"".mp3]&lt;/div&gt;"""),"&lt;ruby&gt;刑&lt;rt&gt;けい&lt;/rt&gt;&lt;/ruby&gt;&lt;br&gt;&lt;div class=""audio""&gt;[sound:けい.mp3]&lt;/div&gt;")</f>
        <v>&lt;ruby&gt;刑&lt;rt&gt;けい&lt;/rt&gt;&lt;/ruby&gt;&lt;br&gt;&lt;div class="audio"&gt;[sound:けい.mp3]&lt;/div&gt;</v>
      </c>
      <c r="H6123" s="3" t="str">
        <f t="shared" si="1"/>
        <v>(n): hình phạt</v>
      </c>
      <c r="I6123" s="6" t="s">
        <v>33315</v>
      </c>
      <c r="J6123" s="6" t="s">
        <v>33316</v>
      </c>
      <c r="K6123" s="7">
        <f t="shared" si="2"/>
        <v>0.5697383058</v>
      </c>
    </row>
    <row r="6124">
      <c r="A6124" s="4">
        <v>6124.0</v>
      </c>
      <c r="B6124" s="5" t="s">
        <v>33317</v>
      </c>
      <c r="C6124" s="5" t="s">
        <v>18589</v>
      </c>
      <c r="D6124" s="5" t="s">
        <v>33318</v>
      </c>
      <c r="E6124" s="6" t="s">
        <v>74</v>
      </c>
      <c r="F6124" s="6" t="s">
        <v>30361</v>
      </c>
      <c r="G6124" s="3" t="str">
        <f>IFERROR(__xludf.DUMMYFUNCTION("REGEXREPLACE(
D6124,
""([一-龯々]+)\[([^\]]+)\]"",
""&lt;ruby&gt;$1&lt;rt&gt;$2&lt;/rt&gt;&lt;/ruby&gt;""
)&amp;""&lt;br&gt;&lt;div class=""""audio""""&gt;[sound:""&amp;C6124&amp;"".mp3]&lt;/div&gt;"""),"&lt;ruby&gt;勘&lt;rt&gt;かん&lt;/rt&gt;&lt;/ruby&gt;&lt;br&gt;&lt;div class=""audio""&gt;[sound:かん.mp3]&lt;/div&gt;")</f>
        <v>&lt;ruby&gt;勘&lt;rt&gt;かん&lt;/rt&gt;&lt;/ruby&gt;&lt;br&gt;&lt;div class="audio"&gt;[sound:かん.mp3]&lt;/div&gt;</v>
      </c>
      <c r="H6124" s="3" t="str">
        <f t="shared" si="1"/>
        <v>(n): trực giác</v>
      </c>
      <c r="I6124" s="6" t="s">
        <v>33319</v>
      </c>
      <c r="J6124" s="6" t="s">
        <v>33320</v>
      </c>
      <c r="K6124" s="7">
        <f t="shared" si="2"/>
        <v>0.9747597267</v>
      </c>
    </row>
    <row r="6125">
      <c r="A6125" s="4">
        <v>6125.0</v>
      </c>
      <c r="B6125" s="5" t="s">
        <v>33321</v>
      </c>
      <c r="C6125" s="5" t="s">
        <v>33322</v>
      </c>
      <c r="D6125" s="5" t="s">
        <v>33323</v>
      </c>
      <c r="E6125" s="6" t="s">
        <v>74</v>
      </c>
      <c r="F6125" s="6" t="s">
        <v>33324</v>
      </c>
      <c r="G6125" s="3" t="str">
        <f>IFERROR(__xludf.DUMMYFUNCTION("REGEXREPLACE(
D6125,
""([一-龯々]+)\[([^\]]+)\]"",
""&lt;ruby&gt;$1&lt;rt&gt;$2&lt;/rt&gt;&lt;/ruby&gt;""
)&amp;""&lt;br&gt;&lt;div class=""""audio""""&gt;[sound:""&amp;C6125&amp;"".mp3]&lt;/div&gt;"""),"&lt;ruby&gt;重力&lt;rt&gt;じゅうりょく&lt;/rt&gt;&lt;/ruby&gt;&lt;br&gt;&lt;div class=""audio""&gt;[sound:じゅうりょく.mp3]&lt;/div&gt;")</f>
        <v>&lt;ruby&gt;重力&lt;rt&gt;じゅうりょく&lt;/rt&gt;&lt;/ruby&gt;&lt;br&gt;&lt;div class="audio"&gt;[sound:じゅうりょく.mp3]&lt;/div&gt;</v>
      </c>
      <c r="H6125" s="3" t="str">
        <f t="shared" si="1"/>
        <v>(n): trọng lực</v>
      </c>
      <c r="I6125" s="6" t="s">
        <v>33325</v>
      </c>
      <c r="J6125" s="6" t="s">
        <v>33326</v>
      </c>
      <c r="K6125" s="7">
        <f t="shared" si="2"/>
        <v>0.2947695785</v>
      </c>
    </row>
    <row r="6126">
      <c r="A6126" s="4">
        <v>6126.0</v>
      </c>
      <c r="B6126" s="5" t="s">
        <v>33327</v>
      </c>
      <c r="C6126" s="5" t="s">
        <v>33328</v>
      </c>
      <c r="D6126" s="5" t="s">
        <v>33327</v>
      </c>
      <c r="E6126" s="6" t="s">
        <v>74</v>
      </c>
      <c r="F6126" s="6" t="s">
        <v>33329</v>
      </c>
      <c r="G6126" s="3" t="str">
        <f>IFERROR(__xludf.DUMMYFUNCTION("REGEXREPLACE(
D6126,
""([一-龯々]+)\[([^\]]+)\]"",
""&lt;ruby&gt;$1&lt;rt&gt;$2&lt;/rt&gt;&lt;/ruby&gt;""
)&amp;""&lt;br&gt;&lt;div class=""""audio""""&gt;[sound:""&amp;C6126&amp;"".mp3]&lt;/div&gt;"""),"ミシン&lt;br&gt;&lt;div class=""audio""&gt;[sound:みしん.mp3]&lt;/div&gt;")</f>
        <v>ミシン&lt;br&gt;&lt;div class="audio"&gt;[sound:みしん.mp3]&lt;/div&gt;</v>
      </c>
      <c r="H6126" s="3" t="str">
        <f t="shared" si="1"/>
        <v>(n): máy khâu</v>
      </c>
      <c r="I6126" s="6" t="s">
        <v>33330</v>
      </c>
      <c r="J6126" s="6" t="s">
        <v>33331</v>
      </c>
      <c r="K6126" s="7">
        <f t="shared" si="2"/>
        <v>0.7428106994</v>
      </c>
    </row>
    <row r="6127">
      <c r="A6127" s="4">
        <v>6127.0</v>
      </c>
      <c r="B6127" s="5" t="s">
        <v>33332</v>
      </c>
      <c r="C6127" s="5" t="s">
        <v>33333</v>
      </c>
      <c r="D6127" s="5" t="s">
        <v>33334</v>
      </c>
      <c r="E6127" s="6" t="s">
        <v>11</v>
      </c>
      <c r="F6127" s="6" t="s">
        <v>33335</v>
      </c>
      <c r="G6127" s="3" t="str">
        <f>IFERROR(__xludf.DUMMYFUNCTION("REGEXREPLACE(
D6127,
""([一-龯々]+)\[([^\]]+)\]"",
""&lt;ruby&gt;$1&lt;rt&gt;$2&lt;/rt&gt;&lt;/ruby&gt;""
)&amp;""&lt;br&gt;&lt;div class=""""audio""""&gt;[sound:""&amp;C6127&amp;"".mp3]&lt;/div&gt;"""),"&lt;ruby&gt;不潔&lt;rt&gt;ふけつ&lt;/rt&gt;&lt;/ruby&gt;&lt;br&gt;&lt;div class=""audio""&gt;[sound:ふけつ.mp3]&lt;/div&gt;")</f>
        <v>&lt;ruby&gt;不潔&lt;rt&gt;ふけつ&lt;/rt&gt;&lt;/ruby&gt;&lt;br&gt;&lt;div class="audio"&gt;[sound:ふけつ.mp3]&lt;/div&gt;</v>
      </c>
      <c r="H6127" s="3" t="str">
        <f t="shared" si="1"/>
        <v>(adj): bẩn thỉu</v>
      </c>
      <c r="I6127" s="6" t="s">
        <v>33336</v>
      </c>
      <c r="J6127" s="6" t="s">
        <v>33337</v>
      </c>
      <c r="K6127" s="7">
        <f t="shared" si="2"/>
        <v>0.08710761411</v>
      </c>
    </row>
    <row r="6128">
      <c r="A6128" s="4">
        <v>6128.0</v>
      </c>
      <c r="B6128" s="5" t="s">
        <v>33338</v>
      </c>
      <c r="C6128" s="5" t="s">
        <v>33339</v>
      </c>
      <c r="D6128" s="5" t="s">
        <v>33340</v>
      </c>
      <c r="E6128" s="6" t="s">
        <v>24</v>
      </c>
      <c r="F6128" s="6" t="s">
        <v>33341</v>
      </c>
      <c r="G6128" s="3" t="str">
        <f>IFERROR(__xludf.DUMMYFUNCTION("REGEXREPLACE(
D6128,
""([一-龯々]+)\[([^\]]+)\]"",
""&lt;ruby&gt;$1&lt;rt&gt;$2&lt;/rt&gt;&lt;/ruby&gt;""
)&amp;""&lt;br&gt;&lt;div class=""""audio""""&gt;[sound:""&amp;C6128&amp;"".mp3]&lt;/div&gt;"""),"&lt;ruby&gt;傷&lt;rt&gt;いた&lt;/rt&gt;&lt;/ruby&gt;める&lt;br&gt;&lt;div class=""audio""&gt;[sound:いためる.mp3]&lt;/div&gt;")</f>
        <v>&lt;ruby&gt;傷&lt;rt&gt;いた&lt;/rt&gt;&lt;/ruby&gt;める&lt;br&gt;&lt;div class="audio"&gt;[sound:いためる.mp3]&lt;/div&gt;</v>
      </c>
      <c r="H6128" s="3" t="str">
        <f t="shared" si="1"/>
        <v>(v): làm hỏng</v>
      </c>
      <c r="I6128" s="6" t="s">
        <v>33342</v>
      </c>
      <c r="J6128" s="6" t="s">
        <v>33343</v>
      </c>
      <c r="K6128" s="7">
        <f t="shared" si="2"/>
        <v>0.8084260063</v>
      </c>
    </row>
    <row r="6129">
      <c r="A6129" s="4">
        <v>6129.0</v>
      </c>
      <c r="B6129" s="5" t="s">
        <v>33344</v>
      </c>
      <c r="C6129" s="5" t="s">
        <v>33345</v>
      </c>
      <c r="D6129" s="5" t="s">
        <v>33346</v>
      </c>
      <c r="E6129" s="6" t="s">
        <v>74</v>
      </c>
      <c r="F6129" s="6" t="s">
        <v>33347</v>
      </c>
      <c r="G6129" s="3" t="str">
        <f>IFERROR(__xludf.DUMMYFUNCTION("REGEXREPLACE(
D6129,
""([一-龯々]+)\[([^\]]+)\]"",
""&lt;ruby&gt;$1&lt;rt&gt;$2&lt;/rt&gt;&lt;/ruby&gt;""
)&amp;""&lt;br&gt;&lt;div class=""""audio""""&gt;[sound:""&amp;C6129&amp;"".mp3]&lt;/div&gt;"""),"&lt;ruby&gt;手品&lt;rt&gt;てじな&lt;/rt&gt;&lt;/ruby&gt;&lt;br&gt;&lt;div class=""audio""&gt;[sound:てじな.mp3]&lt;/div&gt;")</f>
        <v>&lt;ruby&gt;手品&lt;rt&gt;てじな&lt;/rt&gt;&lt;/ruby&gt;&lt;br&gt;&lt;div class="audio"&gt;[sound:てじな.mp3]&lt;/div&gt;</v>
      </c>
      <c r="H6129" s="3" t="str">
        <f t="shared" si="1"/>
        <v>(n): ảo thuật</v>
      </c>
      <c r="I6129" s="6" t="s">
        <v>33348</v>
      </c>
      <c r="J6129" s="6" t="s">
        <v>33349</v>
      </c>
      <c r="K6129" s="7">
        <f t="shared" si="2"/>
        <v>0.05066783216</v>
      </c>
    </row>
    <row r="6130">
      <c r="A6130" s="4">
        <v>6130.0</v>
      </c>
      <c r="B6130" s="5" t="s">
        <v>33350</v>
      </c>
      <c r="C6130" s="5" t="s">
        <v>33351</v>
      </c>
      <c r="D6130" s="5" t="s">
        <v>33352</v>
      </c>
      <c r="E6130" s="6" t="s">
        <v>74</v>
      </c>
      <c r="F6130" s="6" t="s">
        <v>8436</v>
      </c>
      <c r="G6130" s="3" t="str">
        <f>IFERROR(__xludf.DUMMYFUNCTION("REGEXREPLACE(
D6130,
""([一-龯々]+)\[([^\]]+)\]"",
""&lt;ruby&gt;$1&lt;rt&gt;$2&lt;/rt&gt;&lt;/ruby&gt;""
)&amp;""&lt;br&gt;&lt;div class=""""audio""""&gt;[sound:""&amp;C6130&amp;"".mp3]&lt;/div&gt;"""),"&lt;ruby&gt;目安&lt;rt&gt;めやす&lt;/rt&gt;&lt;/ruby&gt;&lt;br&gt;&lt;div class=""audio""&gt;[sound:めやす.mp3]&lt;/div&gt;")</f>
        <v>&lt;ruby&gt;目安&lt;rt&gt;めやす&lt;/rt&gt;&lt;/ruby&gt;&lt;br&gt;&lt;div class="audio"&gt;[sound:めやす.mp3]&lt;/div&gt;</v>
      </c>
      <c r="H6130" s="3" t="str">
        <f t="shared" si="1"/>
        <v>(n): mục tiêu</v>
      </c>
      <c r="I6130" s="6" t="s">
        <v>33353</v>
      </c>
      <c r="J6130" s="6" t="s">
        <v>33354</v>
      </c>
      <c r="K6130" s="7">
        <f t="shared" si="2"/>
        <v>0.8722683705</v>
      </c>
    </row>
    <row r="6131">
      <c r="A6131" s="4">
        <v>6131.0</v>
      </c>
      <c r="B6131" s="5" t="s">
        <v>33355</v>
      </c>
      <c r="C6131" s="5" t="s">
        <v>33356</v>
      </c>
      <c r="D6131" s="5" t="s">
        <v>33357</v>
      </c>
      <c r="E6131" s="6" t="s">
        <v>74</v>
      </c>
      <c r="F6131" s="6" t="s">
        <v>33358</v>
      </c>
      <c r="G6131" s="3" t="str">
        <f>IFERROR(__xludf.DUMMYFUNCTION("REGEXREPLACE(
D6131,
""([一-龯々]+)\[([^\]]+)\]"",
""&lt;ruby&gt;$1&lt;rt&gt;$2&lt;/rt&gt;&lt;/ruby&gt;""
)&amp;""&lt;br&gt;&lt;div class=""""audio""""&gt;[sound:""&amp;C6131&amp;"".mp3]&lt;/div&gt;"""),"&lt;ruby&gt;虹&lt;rt&gt;にじ&lt;/rt&gt;&lt;/ruby&gt;&lt;br&gt;&lt;div class=""audio""&gt;[sound:にじ.mp3]&lt;/div&gt;")</f>
        <v>&lt;ruby&gt;虹&lt;rt&gt;にじ&lt;/rt&gt;&lt;/ruby&gt;&lt;br&gt;&lt;div class="audio"&gt;[sound:にじ.mp3]&lt;/div&gt;</v>
      </c>
      <c r="H6131" s="3" t="str">
        <f t="shared" si="1"/>
        <v>(n): cầu vồng</v>
      </c>
      <c r="I6131" s="6" t="s">
        <v>33359</v>
      </c>
      <c r="J6131" s="6" t="s">
        <v>33360</v>
      </c>
      <c r="K6131" s="7">
        <f t="shared" si="2"/>
        <v>0.2860217803</v>
      </c>
    </row>
    <row r="6132">
      <c r="A6132" s="4">
        <v>6132.0</v>
      </c>
      <c r="B6132" s="5" t="s">
        <v>33361</v>
      </c>
      <c r="C6132" s="5" t="s">
        <v>33362</v>
      </c>
      <c r="D6132" s="5" t="s">
        <v>33363</v>
      </c>
      <c r="E6132" s="6" t="s">
        <v>74</v>
      </c>
      <c r="F6132" s="6" t="s">
        <v>33364</v>
      </c>
      <c r="G6132" s="3" t="str">
        <f>IFERROR(__xludf.DUMMYFUNCTION("REGEXREPLACE(
D6132,
""([一-龯々]+)\[([^\]]+)\]"",
""&lt;ruby&gt;$1&lt;rt&gt;$2&lt;/rt&gt;&lt;/ruby&gt;""
)&amp;""&lt;br&gt;&lt;div class=""""audio""""&gt;[sound:""&amp;C6132&amp;"".mp3]&lt;/div&gt;"""),"&lt;ruby&gt;造船&lt;rt&gt;ぞうせん&lt;/rt&gt;&lt;/ruby&gt;&lt;br&gt;&lt;div class=""audio""&gt;[sound:ぞうせん.mp3]&lt;/div&gt;")</f>
        <v>&lt;ruby&gt;造船&lt;rt&gt;ぞうせん&lt;/rt&gt;&lt;/ruby&gt;&lt;br&gt;&lt;div class="audio"&gt;[sound:ぞうせん.mp3]&lt;/div&gt;</v>
      </c>
      <c r="H6132" s="3" t="str">
        <f t="shared" si="1"/>
        <v>(n): đóng tàu</v>
      </c>
      <c r="I6132" s="6" t="s">
        <v>33365</v>
      </c>
      <c r="J6132" s="6" t="s">
        <v>33366</v>
      </c>
      <c r="K6132" s="7">
        <f t="shared" si="2"/>
        <v>0.1563028276</v>
      </c>
    </row>
    <row r="6133">
      <c r="A6133" s="4">
        <v>6133.0</v>
      </c>
      <c r="B6133" s="5" t="s">
        <v>33367</v>
      </c>
      <c r="C6133" s="5" t="s">
        <v>33368</v>
      </c>
      <c r="D6133" s="5" t="s">
        <v>33369</v>
      </c>
      <c r="E6133" s="6" t="s">
        <v>74</v>
      </c>
      <c r="F6133" s="6" t="s">
        <v>33370</v>
      </c>
      <c r="G6133" s="3" t="str">
        <f>IFERROR(__xludf.DUMMYFUNCTION("REGEXREPLACE(
D6133,
""([一-龯々]+)\[([^\]]+)\]"",
""&lt;ruby&gt;$1&lt;rt&gt;$2&lt;/rt&gt;&lt;/ruby&gt;""
)&amp;""&lt;br&gt;&lt;div class=""""audio""""&gt;[sound:""&amp;C6133&amp;"".mp3]&lt;/div&gt;"""),"&lt;ruby&gt;停車&lt;rt&gt;ていしゃ&lt;/rt&gt;&lt;/ruby&gt;&lt;br&gt;&lt;div class=""audio""&gt;[sound:ていしゃ.mp3]&lt;/div&gt;")</f>
        <v>&lt;ruby&gt;停車&lt;rt&gt;ていしゃ&lt;/rt&gt;&lt;/ruby&gt;&lt;br&gt;&lt;div class="audio"&gt;[sound:ていしゃ.mp3]&lt;/div&gt;</v>
      </c>
      <c r="H6133" s="3" t="str">
        <f t="shared" si="1"/>
        <v>(n): dừng xe</v>
      </c>
      <c r="I6133" s="6" t="s">
        <v>33371</v>
      </c>
      <c r="J6133" s="6" t="s">
        <v>33372</v>
      </c>
      <c r="K6133" s="7">
        <f t="shared" si="2"/>
        <v>0.7635348681</v>
      </c>
    </row>
    <row r="6134">
      <c r="A6134" s="4">
        <v>6134.0</v>
      </c>
      <c r="B6134" s="5" t="s">
        <v>33373</v>
      </c>
      <c r="C6134" s="5" t="s">
        <v>33374</v>
      </c>
      <c r="D6134" s="5" t="s">
        <v>33375</v>
      </c>
      <c r="E6134" s="6" t="s">
        <v>74</v>
      </c>
      <c r="F6134" s="6" t="s">
        <v>33376</v>
      </c>
      <c r="G6134" s="3" t="str">
        <f>IFERROR(__xludf.DUMMYFUNCTION("REGEXREPLACE(
D6134,
""([一-龯々]+)\[([^\]]+)\]"",
""&lt;ruby&gt;$1&lt;rt&gt;$2&lt;/rt&gt;&lt;/ruby&gt;""
)&amp;""&lt;br&gt;&lt;div class=""""audio""""&gt;[sound:""&amp;C6134&amp;"".mp3]&lt;/div&gt;"""),"&lt;ruby&gt;無限&lt;rt&gt;むげん&lt;/rt&gt;&lt;/ruby&gt;&lt;br&gt;&lt;div class=""audio""&gt;[sound:むげん.mp3]&lt;/div&gt;")</f>
        <v>&lt;ruby&gt;無限&lt;rt&gt;むげん&lt;/rt&gt;&lt;/ruby&gt;&lt;br&gt;&lt;div class="audio"&gt;[sound:むげん.mp3]&lt;/div&gt;</v>
      </c>
      <c r="H6134" s="3" t="str">
        <f t="shared" si="1"/>
        <v>(n): vô hạn</v>
      </c>
      <c r="I6134" s="6" t="s">
        <v>33377</v>
      </c>
      <c r="J6134" s="6" t="s">
        <v>33378</v>
      </c>
      <c r="K6134" s="7">
        <f t="shared" si="2"/>
        <v>0.5166072916</v>
      </c>
    </row>
    <row r="6135">
      <c r="A6135" s="4">
        <v>6135.0</v>
      </c>
      <c r="B6135" s="5" t="s">
        <v>33379</v>
      </c>
      <c r="C6135" s="5" t="s">
        <v>33380</v>
      </c>
      <c r="D6135" s="5" t="s">
        <v>33381</v>
      </c>
      <c r="E6135" s="6" t="s">
        <v>74</v>
      </c>
      <c r="F6135" s="6" t="s">
        <v>7820</v>
      </c>
      <c r="G6135" s="3" t="str">
        <f>IFERROR(__xludf.DUMMYFUNCTION("REGEXREPLACE(
D6135,
""([一-龯々]+)\[([^\]]+)\]"",
""&lt;ruby&gt;$1&lt;rt&gt;$2&lt;/rt&gt;&lt;/ruby&gt;""
)&amp;""&lt;br&gt;&lt;div class=""""audio""""&gt;[sound:""&amp;C6135&amp;"".mp3]&lt;/div&gt;"""),"&lt;ruby&gt;塀&lt;rt&gt;へい&lt;/rt&gt;&lt;/ruby&gt;&lt;br&gt;&lt;div class=""audio""&gt;[sound:へい.mp3]&lt;/div&gt;")</f>
        <v>&lt;ruby&gt;塀&lt;rt&gt;へい&lt;/rt&gt;&lt;/ruby&gt;&lt;br&gt;&lt;div class="audio"&gt;[sound:へい.mp3]&lt;/div&gt;</v>
      </c>
      <c r="H6135" s="3" t="str">
        <f t="shared" si="1"/>
        <v>(n): tường</v>
      </c>
      <c r="I6135" s="6" t="s">
        <v>33382</v>
      </c>
      <c r="J6135" s="6" t="s">
        <v>33383</v>
      </c>
      <c r="K6135" s="7">
        <f t="shared" si="2"/>
        <v>0.08714263943</v>
      </c>
    </row>
    <row r="6136">
      <c r="A6136" s="4">
        <v>6136.0</v>
      </c>
      <c r="B6136" s="5" t="s">
        <v>33384</v>
      </c>
      <c r="C6136" s="5" t="s">
        <v>14272</v>
      </c>
      <c r="D6136" s="5" t="s">
        <v>33385</v>
      </c>
      <c r="E6136" s="6" t="s">
        <v>74</v>
      </c>
      <c r="F6136" s="6" t="s">
        <v>33386</v>
      </c>
      <c r="G6136" s="3" t="str">
        <f>IFERROR(__xludf.DUMMYFUNCTION("REGEXREPLACE(
D6136,
""([一-龯々]+)\[([^\]]+)\]"",
""&lt;ruby&gt;$1&lt;rt&gt;$2&lt;/rt&gt;&lt;/ruby&gt;""
)&amp;""&lt;br&gt;&lt;div class=""""audio""""&gt;[sound:""&amp;C6136&amp;"".mp3]&lt;/div&gt;"""),"&lt;ruby&gt;信仰&lt;rt&gt;しんこう&lt;/rt&gt;&lt;/ruby&gt;&lt;br&gt;&lt;div class=""audio""&gt;[sound:しんこう.mp3]&lt;/div&gt;")</f>
        <v>&lt;ruby&gt;信仰&lt;rt&gt;しんこう&lt;/rt&gt;&lt;/ruby&gt;&lt;br&gt;&lt;div class="audio"&gt;[sound:しんこう.mp3]&lt;/div&gt;</v>
      </c>
      <c r="H6136" s="3" t="str">
        <f t="shared" si="1"/>
        <v>(n): tín ngưỡng</v>
      </c>
      <c r="I6136" s="6" t="s">
        <v>33387</v>
      </c>
      <c r="J6136" s="6" t="s">
        <v>33388</v>
      </c>
      <c r="K6136" s="7">
        <f t="shared" si="2"/>
        <v>0.8272916461</v>
      </c>
    </row>
    <row r="6137">
      <c r="A6137" s="4">
        <v>6137.0</v>
      </c>
      <c r="B6137" s="5" t="s">
        <v>33389</v>
      </c>
      <c r="C6137" s="5" t="s">
        <v>33390</v>
      </c>
      <c r="D6137" s="5" t="s">
        <v>33391</v>
      </c>
      <c r="E6137" s="6" t="s">
        <v>74</v>
      </c>
      <c r="F6137" s="6" t="s">
        <v>19368</v>
      </c>
      <c r="G6137" s="3" t="str">
        <f>IFERROR(__xludf.DUMMYFUNCTION("REGEXREPLACE(
D6137,
""([一-龯々]+)\[([^\]]+)\]"",
""&lt;ruby&gt;$1&lt;rt&gt;$2&lt;/rt&gt;&lt;/ruby&gt;""
)&amp;""&lt;br&gt;&lt;div class=""""audio""""&gt;[sound:""&amp;C6137&amp;"".mp3]&lt;/div&gt;"""),"&lt;ruby&gt;縄&lt;rt&gt;なわ&lt;/rt&gt;&lt;/ruby&gt;&lt;br&gt;&lt;div class=""audio""&gt;[sound:なわ.mp3]&lt;/div&gt;")</f>
        <v>&lt;ruby&gt;縄&lt;rt&gt;なわ&lt;/rt&gt;&lt;/ruby&gt;&lt;br&gt;&lt;div class="audio"&gt;[sound:なわ.mp3]&lt;/div&gt;</v>
      </c>
      <c r="H6137" s="3" t="str">
        <f t="shared" si="1"/>
        <v>(n): dây thừng</v>
      </c>
      <c r="I6137" s="6" t="s">
        <v>33392</v>
      </c>
      <c r="J6137" s="6" t="s">
        <v>33393</v>
      </c>
      <c r="K6137" s="7">
        <f t="shared" si="2"/>
        <v>0.2302966967</v>
      </c>
    </row>
    <row r="6138">
      <c r="A6138" s="4">
        <v>6138.0</v>
      </c>
      <c r="B6138" s="5" t="s">
        <v>33394</v>
      </c>
      <c r="C6138" s="5" t="s">
        <v>33395</v>
      </c>
      <c r="D6138" s="5" t="s">
        <v>33396</v>
      </c>
      <c r="E6138" s="6" t="s">
        <v>74</v>
      </c>
      <c r="F6138" s="6" t="s">
        <v>33397</v>
      </c>
      <c r="G6138" s="3" t="str">
        <f>IFERROR(__xludf.DUMMYFUNCTION("REGEXREPLACE(
D6138,
""([一-龯々]+)\[([^\]]+)\]"",
""&lt;ruby&gt;$1&lt;rt&gt;$2&lt;/rt&gt;&lt;/ruby&gt;""
)&amp;""&lt;br&gt;&lt;div class=""""audio""""&gt;[sound:""&amp;C6138&amp;"".mp3]&lt;/div&gt;"""),"&lt;ruby&gt;送別&lt;rt&gt;そうべつ&lt;/rt&gt;&lt;/ruby&gt;&lt;br&gt;&lt;div class=""audio""&gt;[sound:そうべつ.mp3]&lt;/div&gt;")</f>
        <v>&lt;ruby&gt;送別&lt;rt&gt;そうべつ&lt;/rt&gt;&lt;/ruby&gt;&lt;br&gt;&lt;div class="audio"&gt;[sound:そうべつ.mp3]&lt;/div&gt;</v>
      </c>
      <c r="H6138" s="3" t="str">
        <f t="shared" si="1"/>
        <v>(n): tiễn biệt</v>
      </c>
      <c r="I6138" s="6" t="s">
        <v>33398</v>
      </c>
      <c r="J6138" s="6" t="s">
        <v>33399</v>
      </c>
      <c r="K6138" s="7">
        <f t="shared" si="2"/>
        <v>0.4151320721</v>
      </c>
    </row>
    <row r="6139">
      <c r="A6139" s="4">
        <v>6139.0</v>
      </c>
      <c r="B6139" s="5" t="s">
        <v>33400</v>
      </c>
      <c r="C6139" s="5" t="s">
        <v>33401</v>
      </c>
      <c r="D6139" s="5" t="s">
        <v>33402</v>
      </c>
      <c r="E6139" s="6" t="s">
        <v>11</v>
      </c>
      <c r="F6139" s="6" t="s">
        <v>11958</v>
      </c>
      <c r="G6139" s="3" t="str">
        <f>IFERROR(__xludf.DUMMYFUNCTION("REGEXREPLACE(
D6139,
""([一-龯々]+)\[([^\]]+)\]"",
""&lt;ruby&gt;$1&lt;rt&gt;$2&lt;/rt&gt;&lt;/ruby&gt;""
)&amp;""&lt;br&gt;&lt;div class=""""audio""""&gt;[sound:""&amp;C6139&amp;"".mp3]&lt;/div&gt;"""),"&lt;ruby&gt;人造&lt;rt&gt;じんぞう&lt;/rt&gt;&lt;/ruby&gt;&lt;br&gt;&lt;div class=""audio""&gt;[sound:じんぞう.mp3]&lt;/div&gt;")</f>
        <v>&lt;ruby&gt;人造&lt;rt&gt;じんぞう&lt;/rt&gt;&lt;/ruby&gt;&lt;br&gt;&lt;div class="audio"&gt;[sound:じんぞう.mp3]&lt;/div&gt;</v>
      </c>
      <c r="H6139" s="3" t="str">
        <f t="shared" si="1"/>
        <v>(adj): nhân tạo</v>
      </c>
      <c r="I6139" s="6" t="s">
        <v>33403</v>
      </c>
      <c r="J6139" s="6" t="s">
        <v>33404</v>
      </c>
      <c r="K6139" s="7">
        <f t="shared" si="2"/>
        <v>0.3968887484</v>
      </c>
    </row>
    <row r="6140">
      <c r="A6140" s="4">
        <v>6140.0</v>
      </c>
      <c r="B6140" s="5" t="s">
        <v>33405</v>
      </c>
      <c r="C6140" s="5" t="s">
        <v>33406</v>
      </c>
      <c r="D6140" s="5" t="s">
        <v>33407</v>
      </c>
      <c r="E6140" s="6" t="s">
        <v>74</v>
      </c>
      <c r="F6140" s="6" t="s">
        <v>33408</v>
      </c>
      <c r="G6140" s="3" t="str">
        <f>IFERROR(__xludf.DUMMYFUNCTION("REGEXREPLACE(
D6140,
""([一-龯々]+)\[([^\]]+)\]"",
""&lt;ruby&gt;$1&lt;rt&gt;$2&lt;/rt&gt;&lt;/ruby&gt;""
)&amp;""&lt;br&gt;&lt;div class=""""audio""""&gt;[sound:""&amp;C6140&amp;"".mp3]&lt;/div&gt;"""),"&lt;ruby&gt;定期券&lt;rt&gt;ていきけん&lt;/rt&gt;&lt;/ruby&gt;&lt;br&gt;&lt;div class=""audio""&gt;[sound:ていきけん.mp3]&lt;/div&gt;")</f>
        <v>&lt;ruby&gt;定期券&lt;rt&gt;ていきけん&lt;/rt&gt;&lt;/ruby&gt;&lt;br&gt;&lt;div class="audio"&gt;[sound:ていきけん.mp3]&lt;/div&gt;</v>
      </c>
      <c r="H6140" s="3" t="str">
        <f t="shared" si="1"/>
        <v>(n): vé tháng</v>
      </c>
      <c r="I6140" s="6" t="s">
        <v>33409</v>
      </c>
      <c r="J6140" s="6" t="s">
        <v>33410</v>
      </c>
      <c r="K6140" s="7">
        <f t="shared" si="2"/>
        <v>0.2793806294</v>
      </c>
    </row>
    <row r="6141">
      <c r="A6141" s="4">
        <v>6141.0</v>
      </c>
      <c r="B6141" s="5" t="s">
        <v>33411</v>
      </c>
      <c r="C6141" s="5" t="s">
        <v>33412</v>
      </c>
      <c r="D6141" s="5" t="s">
        <v>33413</v>
      </c>
      <c r="E6141" s="6" t="s">
        <v>74</v>
      </c>
      <c r="F6141" s="6" t="s">
        <v>14724</v>
      </c>
      <c r="G6141" s="3" t="str">
        <f>IFERROR(__xludf.DUMMYFUNCTION("REGEXREPLACE(
D6141,
""([一-龯々]+)\[([^\]]+)\]"",
""&lt;ruby&gt;$1&lt;rt&gt;$2&lt;/rt&gt;&lt;/ruby&gt;""
)&amp;""&lt;br&gt;&lt;div class=""""audio""""&gt;[sound:""&amp;C6141&amp;"".mp3]&lt;/div&gt;"""),"&lt;ruby&gt;混雑&lt;rt&gt;こんざつ&lt;/rt&gt;&lt;/ruby&gt;&lt;br&gt;&lt;div class=""audio""&gt;[sound:こんざつ.mp3]&lt;/div&gt;")</f>
        <v>&lt;ruby&gt;混雑&lt;rt&gt;こんざつ&lt;/rt&gt;&lt;/ruby&gt;&lt;br&gt;&lt;div class="audio"&gt;[sound:こんざつ.mp3]&lt;/div&gt;</v>
      </c>
      <c r="H6141" s="3" t="str">
        <f t="shared" si="1"/>
        <v>(n): đông đúc</v>
      </c>
      <c r="I6141" s="6" t="s">
        <v>33414</v>
      </c>
      <c r="J6141" s="6" t="s">
        <v>14726</v>
      </c>
      <c r="K6141" s="7">
        <f t="shared" si="2"/>
        <v>0.8433602295</v>
      </c>
    </row>
    <row r="6142">
      <c r="A6142" s="4">
        <v>6142.0</v>
      </c>
      <c r="B6142" s="5" t="s">
        <v>33415</v>
      </c>
      <c r="C6142" s="5" t="s">
        <v>33416</v>
      </c>
      <c r="D6142" s="5" t="s">
        <v>33417</v>
      </c>
      <c r="E6142" s="6" t="s">
        <v>74</v>
      </c>
      <c r="F6142" s="6" t="s">
        <v>5746</v>
      </c>
      <c r="G6142" s="3" t="str">
        <f>IFERROR(__xludf.DUMMYFUNCTION("REGEXREPLACE(
D6142,
""([一-龯々]+)\[([^\]]+)\]"",
""&lt;ruby&gt;$1&lt;rt&gt;$2&lt;/rt&gt;&lt;/ruby&gt;""
)&amp;""&lt;br&gt;&lt;div class=""""audio""""&gt;[sound:""&amp;C6142&amp;"".mp3]&lt;/div&gt;"""),"&lt;ruby&gt;用途&lt;rt&gt;ようと&lt;/rt&gt;&lt;/ruby&gt;&lt;br&gt;&lt;div class=""audio""&gt;[sound:ようと.mp3]&lt;/div&gt;")</f>
        <v>&lt;ruby&gt;用途&lt;rt&gt;ようと&lt;/rt&gt;&lt;/ruby&gt;&lt;br&gt;&lt;div class="audio"&gt;[sound:ようと.mp3]&lt;/div&gt;</v>
      </c>
      <c r="H6142" s="3" t="str">
        <f t="shared" si="1"/>
        <v>(n): mục đích</v>
      </c>
      <c r="I6142" s="6" t="s">
        <v>33418</v>
      </c>
      <c r="J6142" s="6" t="s">
        <v>33419</v>
      </c>
      <c r="K6142" s="7">
        <f t="shared" si="2"/>
        <v>0.09007972109</v>
      </c>
    </row>
    <row r="6143">
      <c r="A6143" s="4">
        <v>6143.0</v>
      </c>
      <c r="B6143" s="5" t="s">
        <v>33420</v>
      </c>
      <c r="C6143" s="5" t="s">
        <v>33421</v>
      </c>
      <c r="D6143" s="5" t="s">
        <v>33422</v>
      </c>
      <c r="E6143" s="6" t="s">
        <v>74</v>
      </c>
      <c r="F6143" s="6" t="s">
        <v>33423</v>
      </c>
      <c r="G6143" s="3" t="str">
        <f>IFERROR(__xludf.DUMMYFUNCTION("REGEXREPLACE(
D6143,
""([一-龯々]+)\[([^\]]+)\]"",
""&lt;ruby&gt;$1&lt;rt&gt;$2&lt;/rt&gt;&lt;/ruby&gt;""
)&amp;""&lt;br&gt;&lt;div class=""""audio""""&gt;[sound:""&amp;C6143&amp;"".mp3]&lt;/div&gt;"""),"&lt;ruby&gt;運河&lt;rt&gt;うんが&lt;/rt&gt;&lt;/ruby&gt;&lt;br&gt;&lt;div class=""audio""&gt;[sound:うんが.mp3]&lt;/div&gt;")</f>
        <v>&lt;ruby&gt;運河&lt;rt&gt;うんが&lt;/rt&gt;&lt;/ruby&gt;&lt;br&gt;&lt;div class="audio"&gt;[sound:うんが.mp3]&lt;/div&gt;</v>
      </c>
      <c r="H6143" s="3" t="str">
        <f t="shared" si="1"/>
        <v>(n): kênh đào</v>
      </c>
      <c r="I6143" s="6" t="s">
        <v>33424</v>
      </c>
      <c r="J6143" s="6" t="s">
        <v>33425</v>
      </c>
      <c r="K6143" s="7">
        <f t="shared" si="2"/>
        <v>0.384546163</v>
      </c>
    </row>
    <row r="6144">
      <c r="A6144" s="4">
        <v>6144.0</v>
      </c>
      <c r="B6144" s="5" t="s">
        <v>33426</v>
      </c>
      <c r="C6144" s="5" t="s">
        <v>33427</v>
      </c>
      <c r="D6144" s="5" t="s">
        <v>33428</v>
      </c>
      <c r="E6144" s="6" t="s">
        <v>11</v>
      </c>
      <c r="F6144" s="6" t="s">
        <v>33429</v>
      </c>
      <c r="G6144" s="3" t="str">
        <f>IFERROR(__xludf.DUMMYFUNCTION("REGEXREPLACE(
D6144,
""([一-龯々]+)\[([^\]]+)\]"",
""&lt;ruby&gt;$1&lt;rt&gt;$2&lt;/rt&gt;&lt;/ruby&gt;""
)&amp;""&lt;br&gt;&lt;div class=""""audio""""&gt;[sound:""&amp;C6144&amp;"".mp3]&lt;/div&gt;"""),"&lt;ruby&gt;力強&lt;rt&gt;ちからづよ&lt;/rt&gt;&lt;/ruby&gt;い&lt;br&gt;&lt;div class=""audio""&gt;[sound:ちからづよい.mp3]&lt;/div&gt;")</f>
        <v>&lt;ruby&gt;力強&lt;rt&gt;ちからづよ&lt;/rt&gt;&lt;/ruby&gt;い&lt;br&gt;&lt;div class="audio"&gt;[sound:ちからづよい.mp3]&lt;/div&gt;</v>
      </c>
      <c r="H6144" s="3" t="str">
        <f t="shared" si="1"/>
        <v>(adj): mạnh mẽ</v>
      </c>
      <c r="I6144" s="6" t="s">
        <v>33430</v>
      </c>
      <c r="J6144" s="6" t="s">
        <v>33431</v>
      </c>
      <c r="K6144" s="7">
        <f t="shared" si="2"/>
        <v>0.05722848056</v>
      </c>
    </row>
    <row r="6145">
      <c r="A6145" s="4">
        <v>6145.0</v>
      </c>
      <c r="B6145" s="5" t="s">
        <v>33432</v>
      </c>
      <c r="C6145" s="5" t="s">
        <v>33433</v>
      </c>
      <c r="D6145" s="5" t="s">
        <v>33434</v>
      </c>
      <c r="E6145" s="6" t="s">
        <v>74</v>
      </c>
      <c r="F6145" s="6" t="s">
        <v>33435</v>
      </c>
      <c r="G6145" s="3" t="str">
        <f>IFERROR(__xludf.DUMMYFUNCTION("REGEXREPLACE(
D6145,
""([一-龯々]+)\[([^\]]+)\]"",
""&lt;ruby&gt;$1&lt;rt&gt;$2&lt;/rt&gt;&lt;/ruby&gt;""
)&amp;""&lt;br&gt;&lt;div class=""""audio""""&gt;[sound:""&amp;C6145&amp;"".mp3]&lt;/div&gt;"""),"&lt;ruby&gt;発音&lt;rt&gt;はつおん&lt;/rt&gt;&lt;/ruby&gt;&lt;br&gt;&lt;div class=""audio""&gt;[sound:はつおん.mp3]&lt;/div&gt;")</f>
        <v>&lt;ruby&gt;発音&lt;rt&gt;はつおん&lt;/rt&gt;&lt;/ruby&gt;&lt;br&gt;&lt;div class="audio"&gt;[sound:はつおん.mp3]&lt;/div&gt;</v>
      </c>
      <c r="H6145" s="3" t="str">
        <f t="shared" si="1"/>
        <v>(n): phát âm</v>
      </c>
      <c r="I6145" s="6" t="s">
        <v>33436</v>
      </c>
      <c r="J6145" s="6" t="s">
        <v>33437</v>
      </c>
      <c r="K6145" s="7">
        <f t="shared" si="2"/>
        <v>0.1890307828</v>
      </c>
    </row>
    <row r="6146">
      <c r="A6146" s="4">
        <v>6146.0</v>
      </c>
      <c r="B6146" s="5" t="s">
        <v>33438</v>
      </c>
      <c r="C6146" s="5" t="s">
        <v>33439</v>
      </c>
      <c r="D6146" s="5" t="s">
        <v>33440</v>
      </c>
      <c r="E6146" s="6" t="s">
        <v>74</v>
      </c>
      <c r="F6146" s="6" t="s">
        <v>33441</v>
      </c>
      <c r="G6146" s="3" t="str">
        <f>IFERROR(__xludf.DUMMYFUNCTION("REGEXREPLACE(
D6146,
""([一-龯々]+)\[([^\]]+)\]"",
""&lt;ruby&gt;$1&lt;rt&gt;$2&lt;/rt&gt;&lt;/ruby&gt;""
)&amp;""&lt;br&gt;&lt;div class=""""audio""""&gt;[sound:""&amp;C6146&amp;"".mp3]&lt;/div&gt;"""),"&lt;ruby&gt;街角&lt;rt&gt;まちかど&lt;/rt&gt;&lt;/ruby&gt;&lt;br&gt;&lt;div class=""audio""&gt;[sound:まちかど.mp3]&lt;/div&gt;")</f>
        <v>&lt;ruby&gt;街角&lt;rt&gt;まちかど&lt;/rt&gt;&lt;/ruby&gt;&lt;br&gt;&lt;div class="audio"&gt;[sound:まちかど.mp3]&lt;/div&gt;</v>
      </c>
      <c r="H6146" s="3" t="str">
        <f t="shared" si="1"/>
        <v>(n): góc phố</v>
      </c>
      <c r="I6146" s="6" t="s">
        <v>33442</v>
      </c>
      <c r="J6146" s="6" t="s">
        <v>33443</v>
      </c>
      <c r="K6146" s="7">
        <f t="shared" si="2"/>
        <v>0.5665735546</v>
      </c>
    </row>
    <row r="6147">
      <c r="A6147" s="4">
        <v>6147.0</v>
      </c>
      <c r="B6147" s="5" t="s">
        <v>33444</v>
      </c>
      <c r="C6147" s="5" t="s">
        <v>33445</v>
      </c>
      <c r="D6147" s="5" t="s">
        <v>33446</v>
      </c>
      <c r="E6147" s="6" t="s">
        <v>74</v>
      </c>
      <c r="F6147" s="6" t="s">
        <v>33447</v>
      </c>
      <c r="G6147" s="3" t="str">
        <f>IFERROR(__xludf.DUMMYFUNCTION("REGEXREPLACE(
D6147,
""([一-龯々]+)\[([^\]]+)\]"",
""&lt;ruby&gt;$1&lt;rt&gt;$2&lt;/rt&gt;&lt;/ruby&gt;""
)&amp;""&lt;br&gt;&lt;div class=""""audio""""&gt;[sound:""&amp;C6147&amp;"".mp3]&lt;/div&gt;"""),"&lt;ruby&gt;湾&lt;rt&gt;わん&lt;/rt&gt;&lt;/ruby&gt;&lt;br&gt;&lt;div class=""audio""&gt;[sound:わん.mp3]&lt;/div&gt;")</f>
        <v>&lt;ruby&gt;湾&lt;rt&gt;わん&lt;/rt&gt;&lt;/ruby&gt;&lt;br&gt;&lt;div class="audio"&gt;[sound:わん.mp3]&lt;/div&gt;</v>
      </c>
      <c r="H6147" s="3" t="str">
        <f t="shared" si="1"/>
        <v>(n): vịnh</v>
      </c>
      <c r="I6147" s="6" t="s">
        <v>33448</v>
      </c>
      <c r="J6147" s="6" t="s">
        <v>33449</v>
      </c>
      <c r="K6147" s="7">
        <f t="shared" si="2"/>
        <v>0.5969769239</v>
      </c>
    </row>
    <row r="6148">
      <c r="A6148" s="4">
        <v>6148.0</v>
      </c>
      <c r="B6148" s="5" t="s">
        <v>33450</v>
      </c>
      <c r="C6148" s="5" t="s">
        <v>351</v>
      </c>
      <c r="D6148" s="5" t="s">
        <v>33451</v>
      </c>
      <c r="E6148" s="6" t="s">
        <v>24</v>
      </c>
      <c r="F6148" s="6" t="s">
        <v>14047</v>
      </c>
      <c r="G6148" s="3" t="str">
        <f>IFERROR(__xludf.DUMMYFUNCTION("REGEXREPLACE(
D6148,
""([一-龯々]+)\[([^\]]+)\]"",
""&lt;ruby&gt;$1&lt;rt&gt;$2&lt;/rt&gt;&lt;/ruby&gt;""
)&amp;""&lt;br&gt;&lt;div class=""""audio""""&gt;[sound:""&amp;C6148&amp;"".mp3]&lt;/div&gt;"""),"&lt;ruby&gt;漬&lt;rt&gt;つ&lt;/rt&gt;&lt;/ruby&gt;ける&lt;br&gt;&lt;div class=""audio""&gt;[sound:つける.mp3]&lt;/div&gt;")</f>
        <v>&lt;ruby&gt;漬&lt;rt&gt;つ&lt;/rt&gt;&lt;/ruby&gt;ける&lt;br&gt;&lt;div class="audio"&gt;[sound:つける.mp3]&lt;/div&gt;</v>
      </c>
      <c r="H6148" s="3" t="str">
        <f t="shared" si="1"/>
        <v>(v): muối</v>
      </c>
      <c r="I6148" s="6" t="s">
        <v>33452</v>
      </c>
      <c r="J6148" s="6" t="s">
        <v>33453</v>
      </c>
      <c r="K6148" s="7">
        <f t="shared" si="2"/>
        <v>0.42801064</v>
      </c>
    </row>
    <row r="6149">
      <c r="A6149" s="4">
        <v>6149.0</v>
      </c>
      <c r="B6149" s="5" t="s">
        <v>33454</v>
      </c>
      <c r="C6149" s="5" t="s">
        <v>33455</v>
      </c>
      <c r="D6149" s="5" t="s">
        <v>33456</v>
      </c>
      <c r="E6149" s="6" t="s">
        <v>74</v>
      </c>
      <c r="F6149" s="6" t="s">
        <v>33457</v>
      </c>
      <c r="G6149" s="3" t="str">
        <f>IFERROR(__xludf.DUMMYFUNCTION("REGEXREPLACE(
D6149,
""([一-龯々]+)\[([^\]]+)\]"",
""&lt;ruby&gt;$1&lt;rt&gt;$2&lt;/rt&gt;&lt;/ruby&gt;""
)&amp;""&lt;br&gt;&lt;div class=""""audio""""&gt;[sound:""&amp;C6149&amp;"".mp3]&lt;/div&gt;"""),"&lt;ruby&gt;五十音&lt;rt&gt;ごじゅうおん&lt;/rt&gt;&lt;/ruby&gt;&lt;br&gt;&lt;div class=""audio""&gt;[sound:ごじゅうおん.mp3]&lt;/div&gt;")</f>
        <v>&lt;ruby&gt;五十音&lt;rt&gt;ごじゅうおん&lt;/rt&gt;&lt;/ruby&gt;&lt;br&gt;&lt;div class="audio"&gt;[sound:ごじゅうおん.mp3]&lt;/div&gt;</v>
      </c>
      <c r="H6149" s="3" t="str">
        <f t="shared" si="1"/>
        <v>(n): bảng chữ cái</v>
      </c>
      <c r="I6149" s="6" t="s">
        <v>33458</v>
      </c>
      <c r="J6149" s="6" t="s">
        <v>33459</v>
      </c>
      <c r="K6149" s="7">
        <f t="shared" si="2"/>
        <v>0.01473160703</v>
      </c>
    </row>
    <row r="6150">
      <c r="A6150" s="4">
        <v>6150.0</v>
      </c>
      <c r="B6150" s="5" t="s">
        <v>33460</v>
      </c>
      <c r="C6150" s="5" t="s">
        <v>33460</v>
      </c>
      <c r="D6150" s="5" t="s">
        <v>33460</v>
      </c>
      <c r="E6150" s="6" t="s">
        <v>74</v>
      </c>
      <c r="F6150" s="6" t="s">
        <v>33461</v>
      </c>
      <c r="G6150" s="3" t="str">
        <f>IFERROR(__xludf.DUMMYFUNCTION("REGEXREPLACE(
D6150,
""([一-龯々]+)\[([^\]]+)\]"",
""&lt;ruby&gt;$1&lt;rt&gt;$2&lt;/rt&gt;&lt;/ruby&gt;""
)&amp;""&lt;br&gt;&lt;div class=""""audio""""&gt;[sound:""&amp;C6150&amp;"".mp3]&lt;/div&gt;"""),"ぼろ&lt;br&gt;&lt;div class=""audio""&gt;[sound:ぼろ.mp3]&lt;/div&gt;")</f>
        <v>ぼろ&lt;br&gt;&lt;div class="audio"&gt;[sound:ぼろ.mp3]&lt;/div&gt;</v>
      </c>
      <c r="H6150" s="3" t="str">
        <f t="shared" si="1"/>
        <v>(n): rách rưới</v>
      </c>
      <c r="I6150" s="6" t="s">
        <v>33462</v>
      </c>
      <c r="J6150" s="6" t="s">
        <v>33463</v>
      </c>
      <c r="K6150" s="7">
        <f t="shared" si="2"/>
        <v>0.9500953572</v>
      </c>
    </row>
    <row r="6151">
      <c r="A6151" s="4">
        <v>6151.0</v>
      </c>
      <c r="B6151" s="5" t="s">
        <v>33464</v>
      </c>
      <c r="C6151" s="5" t="s">
        <v>33465</v>
      </c>
      <c r="D6151" s="5" t="s">
        <v>33466</v>
      </c>
      <c r="E6151" s="6" t="s">
        <v>74</v>
      </c>
      <c r="F6151" s="6" t="s">
        <v>24976</v>
      </c>
      <c r="G6151" s="3" t="str">
        <f>IFERROR(__xludf.DUMMYFUNCTION("REGEXREPLACE(
D6151,
""([一-龯々]+)\[([^\]]+)\]"",
""&lt;ruby&gt;$1&lt;rt&gt;$2&lt;/rt&gt;&lt;/ruby&gt;""
)&amp;""&lt;br&gt;&lt;div class=""""audio""""&gt;[sound:""&amp;C6151&amp;"".mp3]&lt;/div&gt;"""),"&lt;ruby&gt;逆様&lt;rt&gt;さかさま&lt;/rt&gt;&lt;/ruby&gt;&lt;br&gt;&lt;div class=""audio""&gt;[sound:さかさま.mp3]&lt;/div&gt;")</f>
        <v>&lt;ruby&gt;逆様&lt;rt&gt;さかさま&lt;/rt&gt;&lt;/ruby&gt;&lt;br&gt;&lt;div class="audio"&gt;[sound:さかさま.mp3]&lt;/div&gt;</v>
      </c>
      <c r="H6151" s="3" t="str">
        <f t="shared" si="1"/>
        <v>(n): đảo ngược</v>
      </c>
      <c r="I6151" s="6" t="s">
        <v>33467</v>
      </c>
      <c r="J6151" s="6" t="s">
        <v>33468</v>
      </c>
      <c r="K6151" s="7">
        <f t="shared" si="2"/>
        <v>0.3593203026</v>
      </c>
    </row>
    <row r="6152">
      <c r="A6152" s="4">
        <v>6152.0</v>
      </c>
      <c r="B6152" s="5" t="s">
        <v>33469</v>
      </c>
      <c r="C6152" s="5" t="s">
        <v>33470</v>
      </c>
      <c r="D6152" s="5" t="s">
        <v>33471</v>
      </c>
      <c r="E6152" s="6" t="s">
        <v>74</v>
      </c>
      <c r="F6152" s="6" t="s">
        <v>33472</v>
      </c>
      <c r="G6152" s="3" t="str">
        <f>IFERROR(__xludf.DUMMYFUNCTION("REGEXREPLACE(
D6152,
""([一-龯々]+)\[([^\]]+)\]"",
""&lt;ruby&gt;$1&lt;rt&gt;$2&lt;/rt&gt;&lt;/ruby&gt;""
)&amp;""&lt;br&gt;&lt;div class=""""audio""""&gt;[sound:""&amp;C6152&amp;"".mp3]&lt;/div&gt;"""),"&lt;ruby&gt;人差指&lt;rt&gt;ひとさしゆび&lt;/rt&gt;&lt;/ruby&gt;&lt;br&gt;&lt;div class=""audio""&gt;[sound:ひとさしゆび.mp3]&lt;/div&gt;")</f>
        <v>&lt;ruby&gt;人差指&lt;rt&gt;ひとさしゆび&lt;/rt&gt;&lt;/ruby&gt;&lt;br&gt;&lt;div class="audio"&gt;[sound:ひとさしゆび.mp3]&lt;/div&gt;</v>
      </c>
      <c r="H6152" s="3" t="str">
        <f t="shared" si="1"/>
        <v>(n): ngón trỏ</v>
      </c>
      <c r="I6152" s="6" t="s">
        <v>33473</v>
      </c>
      <c r="J6152" s="6" t="s">
        <v>33474</v>
      </c>
      <c r="K6152" s="7">
        <f t="shared" si="2"/>
        <v>0.1876037431</v>
      </c>
    </row>
    <row r="6153">
      <c r="A6153" s="4">
        <v>6153.0</v>
      </c>
      <c r="B6153" s="5" t="s">
        <v>33475</v>
      </c>
      <c r="C6153" s="5" t="s">
        <v>24270</v>
      </c>
      <c r="D6153" s="5" t="s">
        <v>33476</v>
      </c>
      <c r="E6153" s="6" t="s">
        <v>24</v>
      </c>
      <c r="F6153" s="6" t="s">
        <v>33477</v>
      </c>
      <c r="G6153" s="3" t="str">
        <f>IFERROR(__xludf.DUMMYFUNCTION("REGEXREPLACE(
D6153,
""([一-龯々]+)\[([^\]]+)\]"",
""&lt;ruby&gt;$1&lt;rt&gt;$2&lt;/rt&gt;&lt;/ruby&gt;""
)&amp;""&lt;br&gt;&lt;div class=""""audio""""&gt;[sound:""&amp;C6153&amp;"".mp3]&lt;/div&gt;"""),"&lt;ruby&gt;休講&lt;rt&gt;きゅうこう&lt;/rt&gt;&lt;/ruby&gt;&lt;br&gt;&lt;div class=""audio""&gt;[sound:きゅうこう.mp3]&lt;/div&gt;")</f>
        <v>&lt;ruby&gt;休講&lt;rt&gt;きゅうこう&lt;/rt&gt;&lt;/ruby&gt;&lt;br&gt;&lt;div class="audio"&gt;[sound:きゅうこう.mp3]&lt;/div&gt;</v>
      </c>
      <c r="H6153" s="3" t="str">
        <f t="shared" si="1"/>
        <v>(v): nghỉ dạy</v>
      </c>
      <c r="I6153" s="6" t="s">
        <v>33478</v>
      </c>
      <c r="J6153" s="6" t="s">
        <v>33479</v>
      </c>
      <c r="K6153" s="7">
        <f t="shared" si="2"/>
        <v>0.1486740624</v>
      </c>
    </row>
    <row r="6154">
      <c r="A6154" s="4">
        <v>6154.0</v>
      </c>
      <c r="B6154" s="5" t="s">
        <v>33480</v>
      </c>
      <c r="C6154" s="5" t="s">
        <v>33481</v>
      </c>
      <c r="D6154" s="5" t="s">
        <v>33482</v>
      </c>
      <c r="E6154" s="6" t="s">
        <v>74</v>
      </c>
      <c r="F6154" s="6" t="s">
        <v>33483</v>
      </c>
      <c r="G6154" s="3" t="str">
        <f>IFERROR(__xludf.DUMMYFUNCTION("REGEXREPLACE(
D6154,
""([一-龯々]+)\[([^\]]+)\]"",
""&lt;ruby&gt;$1&lt;rt&gt;$2&lt;/rt&gt;&lt;/ruby&gt;""
)&amp;""&lt;br&gt;&lt;div class=""""audio""""&gt;[sound:""&amp;C6154&amp;"".mp3]&lt;/div&gt;"""),"&lt;ruby&gt;作法&lt;rt&gt;さほう&lt;/rt&gt;&lt;/ruby&gt;&lt;br&gt;&lt;div class=""audio""&gt;[sound:さほう.mp3]&lt;/div&gt;")</f>
        <v>&lt;ruby&gt;作法&lt;rt&gt;さほう&lt;/rt&gt;&lt;/ruby&gt;&lt;br&gt;&lt;div class="audio"&gt;[sound:さほう.mp3]&lt;/div&gt;</v>
      </c>
      <c r="H6154" s="3" t="str">
        <f t="shared" si="1"/>
        <v>(n): phép tắc</v>
      </c>
      <c r="I6154" s="6" t="s">
        <v>33484</v>
      </c>
      <c r="J6154" s="6" t="s">
        <v>33485</v>
      </c>
      <c r="K6154" s="7">
        <f t="shared" si="2"/>
        <v>0.2852122173</v>
      </c>
    </row>
    <row r="6155">
      <c r="A6155" s="4">
        <v>6155.0</v>
      </c>
      <c r="B6155" s="5" t="s">
        <v>33486</v>
      </c>
      <c r="C6155" s="5" t="s">
        <v>33487</v>
      </c>
      <c r="D6155" s="5" t="s">
        <v>33488</v>
      </c>
      <c r="E6155" s="6" t="s">
        <v>74</v>
      </c>
      <c r="F6155" s="6" t="s">
        <v>33489</v>
      </c>
      <c r="G6155" s="3" t="str">
        <f>IFERROR(__xludf.DUMMYFUNCTION("REGEXREPLACE(
D6155,
""([一-龯々]+)\[([^\]]+)\]"",
""&lt;ruby&gt;$1&lt;rt&gt;$2&lt;/rt&gt;&lt;/ruby&gt;""
)&amp;""&lt;br&gt;&lt;div class=""""audio""""&gt;[sound:""&amp;C6155&amp;"".mp3]&lt;/div&gt;"""),"&lt;ruby&gt;濃度&lt;rt&gt;のうど&lt;/rt&gt;&lt;/ruby&gt;&lt;br&gt;&lt;div class=""audio""&gt;[sound:のうど.mp3]&lt;/div&gt;")</f>
        <v>&lt;ruby&gt;濃度&lt;rt&gt;のうど&lt;/rt&gt;&lt;/ruby&gt;&lt;br&gt;&lt;div class="audio"&gt;[sound:のうど.mp3]&lt;/div&gt;</v>
      </c>
      <c r="H6155" s="3" t="str">
        <f t="shared" si="1"/>
        <v>(n): nồng độ</v>
      </c>
      <c r="I6155" s="6" t="s">
        <v>33490</v>
      </c>
      <c r="J6155" s="6" t="s">
        <v>33491</v>
      </c>
      <c r="K6155" s="7">
        <f t="shared" si="2"/>
        <v>0.7196516568</v>
      </c>
    </row>
    <row r="6156">
      <c r="A6156" s="4">
        <v>6156.0</v>
      </c>
      <c r="B6156" s="5" t="s">
        <v>33492</v>
      </c>
      <c r="C6156" s="5" t="s">
        <v>33493</v>
      </c>
      <c r="D6156" s="5" t="s">
        <v>33494</v>
      </c>
      <c r="E6156" s="6" t="s">
        <v>74</v>
      </c>
      <c r="F6156" s="6" t="s">
        <v>27605</v>
      </c>
      <c r="G6156" s="3" t="str">
        <f>IFERROR(__xludf.DUMMYFUNCTION("REGEXREPLACE(
D6156,
""([一-龯々]+)\[([^\]]+)\]"",
""&lt;ruby&gt;$1&lt;rt&gt;$2&lt;/rt&gt;&lt;/ruby&gt;""
)&amp;""&lt;br&gt;&lt;div class=""""audio""""&gt;[sound:""&amp;C6156&amp;"".mp3]&lt;/div&gt;"""),"&lt;ruby&gt;頂上&lt;rt&gt;ちょうじょう&lt;/rt&gt;&lt;/ruby&gt;&lt;br&gt;&lt;div class=""audio""&gt;[sound:ちょうじょう.mp3]&lt;/div&gt;")</f>
        <v>&lt;ruby&gt;頂上&lt;rt&gt;ちょうじょう&lt;/rt&gt;&lt;/ruby&gt;&lt;br&gt;&lt;div class="audio"&gt;[sound:ちょうじょう.mp3]&lt;/div&gt;</v>
      </c>
      <c r="H6156" s="3" t="str">
        <f t="shared" si="1"/>
        <v>(n): đỉnh</v>
      </c>
      <c r="I6156" s="6" t="s">
        <v>33495</v>
      </c>
      <c r="J6156" s="6" t="s">
        <v>33496</v>
      </c>
      <c r="K6156" s="7">
        <f t="shared" si="2"/>
        <v>0.1140683728</v>
      </c>
    </row>
    <row r="6157">
      <c r="A6157" s="4">
        <v>6157.0</v>
      </c>
      <c r="B6157" s="5" t="s">
        <v>33497</v>
      </c>
      <c r="C6157" s="5" t="s">
        <v>33498</v>
      </c>
      <c r="D6157" s="5" t="s">
        <v>33499</v>
      </c>
      <c r="E6157" s="6" t="s">
        <v>74</v>
      </c>
      <c r="F6157" s="6" t="s">
        <v>33500</v>
      </c>
      <c r="G6157" s="3" t="str">
        <f>IFERROR(__xludf.DUMMYFUNCTION("REGEXREPLACE(
D6157,
""([一-龯々]+)\[([^\]]+)\]"",
""&lt;ruby&gt;$1&lt;rt&gt;$2&lt;/rt&gt;&lt;/ruby&gt;""
)&amp;""&lt;br&gt;&lt;div class=""""audio""""&gt;[sound:""&amp;C6157&amp;"".mp3]&lt;/div&gt;"""),"&lt;ruby&gt;操縦&lt;rt&gt;そうじゅう&lt;/rt&gt;&lt;/ruby&gt;&lt;br&gt;&lt;div class=""audio""&gt;[sound:そうじゅう.mp3]&lt;/div&gt;")</f>
        <v>&lt;ruby&gt;操縦&lt;rt&gt;そうじゅう&lt;/rt&gt;&lt;/ruby&gt;&lt;br&gt;&lt;div class="audio"&gt;[sound:そうじゅう.mp3]&lt;/div&gt;</v>
      </c>
      <c r="H6157" s="3" t="str">
        <f t="shared" si="1"/>
        <v>(n): điều khiển</v>
      </c>
      <c r="I6157" s="6" t="s">
        <v>33501</v>
      </c>
      <c r="J6157" s="6" t="s">
        <v>33502</v>
      </c>
      <c r="K6157" s="7">
        <f t="shared" si="2"/>
        <v>0.4683226616</v>
      </c>
    </row>
    <row r="6158">
      <c r="A6158" s="4">
        <v>6158.0</v>
      </c>
      <c r="B6158" s="5" t="s">
        <v>33503</v>
      </c>
      <c r="C6158" s="5" t="s">
        <v>33504</v>
      </c>
      <c r="D6158" s="5" t="s">
        <v>33505</v>
      </c>
      <c r="E6158" s="6" t="s">
        <v>74</v>
      </c>
      <c r="F6158" s="6" t="s">
        <v>33506</v>
      </c>
      <c r="G6158" s="3" t="str">
        <f>IFERROR(__xludf.DUMMYFUNCTION("REGEXREPLACE(
D6158,
""([一-龯々]+)\[([^\]]+)\]"",
""&lt;ruby&gt;$1&lt;rt&gt;$2&lt;/rt&gt;&lt;/ruby&gt;""
)&amp;""&lt;br&gt;&lt;div class=""""audio""""&gt;[sound:""&amp;C6158&amp;"".mp3]&lt;/div&gt;"""),"&lt;ruby&gt;下水&lt;rt&gt;げすい&lt;/rt&gt;&lt;/ruby&gt;&lt;br&gt;&lt;div class=""audio""&gt;[sound:げすい.mp3]&lt;/div&gt;")</f>
        <v>&lt;ruby&gt;下水&lt;rt&gt;げすい&lt;/rt&gt;&lt;/ruby&gt;&lt;br&gt;&lt;div class="audio"&gt;[sound:げすい.mp3]&lt;/div&gt;</v>
      </c>
      <c r="H6158" s="3" t="str">
        <f t="shared" si="1"/>
        <v>(n): nước thải</v>
      </c>
      <c r="I6158" s="6" t="s">
        <v>33507</v>
      </c>
      <c r="J6158" s="6" t="s">
        <v>33508</v>
      </c>
      <c r="K6158" s="7">
        <f t="shared" si="2"/>
        <v>0.4523025507</v>
      </c>
    </row>
    <row r="6159">
      <c r="A6159" s="4">
        <v>6159.0</v>
      </c>
      <c r="B6159" s="5" t="s">
        <v>33509</v>
      </c>
      <c r="C6159" s="5" t="s">
        <v>33510</v>
      </c>
      <c r="D6159" s="5" t="s">
        <v>33511</v>
      </c>
      <c r="E6159" s="6" t="s">
        <v>74</v>
      </c>
      <c r="F6159" s="6" t="s">
        <v>33512</v>
      </c>
      <c r="G6159" s="3" t="str">
        <f>IFERROR(__xludf.DUMMYFUNCTION("REGEXREPLACE(
D6159,
""([一-龯々]+)\[([^\]]+)\]"",
""&lt;ruby&gt;$1&lt;rt&gt;$2&lt;/rt&gt;&lt;/ruby&gt;""
)&amp;""&lt;br&gt;&lt;div class=""""audio""""&gt;[sound:""&amp;C6159&amp;"".mp3]&lt;/div&gt;"""),"&lt;ruby&gt;待合室&lt;rt&gt;まちあいしつ&lt;/rt&gt;&lt;/ruby&gt;&lt;br&gt;&lt;div class=""audio""&gt;[sound:まちあいしつ.mp3]&lt;/div&gt;")</f>
        <v>&lt;ruby&gt;待合室&lt;rt&gt;まちあいしつ&lt;/rt&gt;&lt;/ruby&gt;&lt;br&gt;&lt;div class="audio"&gt;[sound:まちあいしつ.mp3]&lt;/div&gt;</v>
      </c>
      <c r="H6159" s="3" t="str">
        <f t="shared" si="1"/>
        <v>(n): phòng chờ</v>
      </c>
      <c r="I6159" s="6" t="s">
        <v>33513</v>
      </c>
      <c r="J6159" s="6" t="s">
        <v>33514</v>
      </c>
      <c r="K6159" s="7">
        <f t="shared" si="2"/>
        <v>0.6613845107</v>
      </c>
    </row>
    <row r="6160">
      <c r="A6160" s="4">
        <v>6160.0</v>
      </c>
      <c r="B6160" s="5" t="s">
        <v>33515</v>
      </c>
      <c r="C6160" s="5" t="s">
        <v>33516</v>
      </c>
      <c r="D6160" s="5" t="s">
        <v>33515</v>
      </c>
      <c r="E6160" s="6" t="s">
        <v>11</v>
      </c>
      <c r="F6160" s="6" t="s">
        <v>33517</v>
      </c>
      <c r="G6160" s="3" t="str">
        <f>IFERROR(__xludf.DUMMYFUNCTION("REGEXREPLACE(
D6160,
""([一-龯々]+)\[([^\]]+)\]"",
""&lt;ruby&gt;$1&lt;rt&gt;$2&lt;/rt&gt;&lt;/ruby&gt;""
)&amp;""&lt;br&gt;&lt;div class=""""audio""""&gt;[sound:""&amp;C6160&amp;"".mp3]&lt;/div&gt;"""),"ハンサム&lt;br&gt;&lt;div class=""audio""&gt;[sound:はんさむ.mp3]&lt;/div&gt;")</f>
        <v>ハンサム&lt;br&gt;&lt;div class="audio"&gt;[sound:はんさむ.mp3]&lt;/div&gt;</v>
      </c>
      <c r="H6160" s="3" t="str">
        <f t="shared" si="1"/>
        <v>(adj): đẹp trai</v>
      </c>
      <c r="I6160" s="6" t="s">
        <v>33518</v>
      </c>
      <c r="J6160" s="6" t="s">
        <v>33519</v>
      </c>
      <c r="K6160" s="7">
        <f t="shared" si="2"/>
        <v>0.9565213226</v>
      </c>
    </row>
    <row r="6161">
      <c r="A6161" s="4">
        <v>6161.0</v>
      </c>
      <c r="B6161" s="5" t="s">
        <v>33520</v>
      </c>
      <c r="C6161" s="5" t="s">
        <v>33521</v>
      </c>
      <c r="D6161" s="5" t="s">
        <v>33522</v>
      </c>
      <c r="E6161" s="6" t="s">
        <v>74</v>
      </c>
      <c r="F6161" s="6" t="s">
        <v>33523</v>
      </c>
      <c r="G6161" s="3" t="str">
        <f>IFERROR(__xludf.DUMMYFUNCTION("REGEXREPLACE(
D6161,
""([一-龯々]+)\[([^\]]+)\]"",
""&lt;ruby&gt;$1&lt;rt&gt;$2&lt;/rt&gt;&lt;/ruby&gt;""
)&amp;""&lt;br&gt;&lt;div class=""""audio""""&gt;[sound:""&amp;C6161&amp;"".mp3]&lt;/div&gt;"""),"&lt;ruby&gt;並木&lt;rt&gt;なみき&lt;/rt&gt;&lt;/ruby&gt;&lt;br&gt;&lt;div class=""audio""&gt;[sound:なみき.mp3]&lt;/div&gt;")</f>
        <v>&lt;ruby&gt;並木&lt;rt&gt;なみき&lt;/rt&gt;&lt;/ruby&gt;&lt;br&gt;&lt;div class="audio"&gt;[sound:なみき.mp3]&lt;/div&gt;</v>
      </c>
      <c r="H6161" s="3" t="str">
        <f t="shared" si="1"/>
        <v>(n): hàng cây</v>
      </c>
      <c r="I6161" s="6" t="s">
        <v>33524</v>
      </c>
      <c r="J6161" s="6" t="s">
        <v>33525</v>
      </c>
      <c r="K6161" s="7">
        <f t="shared" si="2"/>
        <v>0.6829441316</v>
      </c>
    </row>
    <row r="6162">
      <c r="A6162" s="4">
        <v>6162.0</v>
      </c>
      <c r="B6162" s="5" t="s">
        <v>33526</v>
      </c>
      <c r="C6162" s="5" t="s">
        <v>33527</v>
      </c>
      <c r="D6162" s="5" t="s">
        <v>33528</v>
      </c>
      <c r="E6162" s="6" t="s">
        <v>11</v>
      </c>
      <c r="F6162" s="6" t="s">
        <v>33004</v>
      </c>
      <c r="G6162" s="3" t="str">
        <f>IFERROR(__xludf.DUMMYFUNCTION("REGEXREPLACE(
D6162,
""([一-龯々]+)\[([^\]]+)\]"",
""&lt;ruby&gt;$1&lt;rt&gt;$2&lt;/rt&gt;&lt;/ruby&gt;""
)&amp;""&lt;br&gt;&lt;div class=""""audio""""&gt;[sound:""&amp;C6162&amp;"".mp3]&lt;/div&gt;"""),"&lt;ruby&gt;厄介&lt;rt&gt;やっかい&lt;/rt&gt;&lt;/ruby&gt;&lt;br&gt;&lt;div class=""audio""&gt;[sound:やっかい.mp3]&lt;/div&gt;")</f>
        <v>&lt;ruby&gt;厄介&lt;rt&gt;やっかい&lt;/rt&gt;&lt;/ruby&gt;&lt;br&gt;&lt;div class="audio"&gt;[sound:やっかい.mp3]&lt;/div&gt;</v>
      </c>
      <c r="H6162" s="3" t="str">
        <f t="shared" si="1"/>
        <v>(adj): phiền hà</v>
      </c>
      <c r="I6162" s="6" t="s">
        <v>33529</v>
      </c>
      <c r="J6162" s="6" t="s">
        <v>33530</v>
      </c>
      <c r="K6162" s="7">
        <f t="shared" si="2"/>
        <v>0.5982836066</v>
      </c>
    </row>
    <row r="6163">
      <c r="A6163" s="4">
        <v>6163.0</v>
      </c>
      <c r="B6163" s="5" t="s">
        <v>33531</v>
      </c>
      <c r="C6163" s="5" t="s">
        <v>33532</v>
      </c>
      <c r="D6163" s="5" t="s">
        <v>33533</v>
      </c>
      <c r="E6163" s="6" t="s">
        <v>74</v>
      </c>
      <c r="F6163" s="6" t="s">
        <v>33534</v>
      </c>
      <c r="G6163" s="3" t="str">
        <f>IFERROR(__xludf.DUMMYFUNCTION("REGEXREPLACE(
D6163,
""([一-龯々]+)\[([^\]]+)\]"",
""&lt;ruby&gt;$1&lt;rt&gt;$2&lt;/rt&gt;&lt;/ruby&gt;""
)&amp;""&lt;br&gt;&lt;div class=""""audio""""&gt;[sound:""&amp;C6163&amp;"".mp3]&lt;/div&gt;"""),"&lt;ruby&gt;山林&lt;rt&gt;さんりん&lt;/rt&gt;&lt;/ruby&gt;&lt;br&gt;&lt;div class=""audio""&gt;[sound:さんりん.mp3]&lt;/div&gt;")</f>
        <v>&lt;ruby&gt;山林&lt;rt&gt;さんりん&lt;/rt&gt;&lt;/ruby&gt;&lt;br&gt;&lt;div class="audio"&gt;[sound:さんりん.mp3]&lt;/div&gt;</v>
      </c>
      <c r="H6163" s="3" t="str">
        <f t="shared" si="1"/>
        <v>(n): rừng núi</v>
      </c>
      <c r="I6163" s="6" t="s">
        <v>33535</v>
      </c>
      <c r="J6163" s="6" t="s">
        <v>33536</v>
      </c>
      <c r="K6163" s="7">
        <f t="shared" si="2"/>
        <v>0.4292713966</v>
      </c>
    </row>
    <row r="6164">
      <c r="A6164" s="4">
        <v>6164.0</v>
      </c>
      <c r="B6164" s="5" t="s">
        <v>33537</v>
      </c>
      <c r="C6164" s="5" t="s">
        <v>33538</v>
      </c>
      <c r="D6164" s="5" t="s">
        <v>33539</v>
      </c>
      <c r="E6164" s="6" t="s">
        <v>74</v>
      </c>
      <c r="F6164" s="6" t="s">
        <v>33540</v>
      </c>
      <c r="G6164" s="3" t="str">
        <f>IFERROR(__xludf.DUMMYFUNCTION("REGEXREPLACE(
D6164,
""([一-龯々]+)\[([^\]]+)\]"",
""&lt;ruby&gt;$1&lt;rt&gt;$2&lt;/rt&gt;&lt;/ruby&gt;""
)&amp;""&lt;br&gt;&lt;div class=""""audio""""&gt;[sound:""&amp;C6164&amp;"".mp3]&lt;/div&gt;"""),"&lt;ruby&gt;赤道&lt;rt&gt;せきどう&lt;/rt&gt;&lt;/ruby&gt;&lt;br&gt;&lt;div class=""audio""&gt;[sound:せきどう.mp3]&lt;/div&gt;")</f>
        <v>&lt;ruby&gt;赤道&lt;rt&gt;せきどう&lt;/rt&gt;&lt;/ruby&gt;&lt;br&gt;&lt;div class="audio"&gt;[sound:せきどう.mp3]&lt;/div&gt;</v>
      </c>
      <c r="H6164" s="3" t="str">
        <f t="shared" si="1"/>
        <v>(n): xích đạo</v>
      </c>
      <c r="I6164" s="6" t="s">
        <v>33541</v>
      </c>
      <c r="J6164" s="6" t="s">
        <v>33542</v>
      </c>
      <c r="K6164" s="7">
        <f t="shared" si="2"/>
        <v>0.1648729052</v>
      </c>
    </row>
    <row r="6165">
      <c r="A6165" s="4">
        <v>6165.0</v>
      </c>
      <c r="B6165" s="5" t="s">
        <v>33543</v>
      </c>
      <c r="C6165" s="5" t="s">
        <v>33544</v>
      </c>
      <c r="D6165" s="5" t="s">
        <v>33545</v>
      </c>
      <c r="E6165" s="6" t="s">
        <v>85</v>
      </c>
      <c r="F6165" s="6" t="s">
        <v>18091</v>
      </c>
      <c r="G6165" s="3" t="str">
        <f>IFERROR(__xludf.DUMMYFUNCTION("REGEXREPLACE(
D6165,
""([一-龯々]+)\[([^\]]+)\]"",
""&lt;ruby&gt;$1&lt;rt&gt;$2&lt;/rt&gt;&lt;/ruby&gt;""
)&amp;""&lt;br&gt;&lt;div class=""""audio""""&gt;[sound:""&amp;C6165&amp;"".mp3]&lt;/div&gt;"""),"&lt;ruby&gt;偶々&lt;rt&gt;たまたま&lt;/rt&gt;&lt;/ruby&gt;&lt;br&gt;&lt;div class=""audio""&gt;[sound:たまたま.mp3]&lt;/div&gt;")</f>
        <v>&lt;ruby&gt;偶々&lt;rt&gt;たまたま&lt;/rt&gt;&lt;/ruby&gt;&lt;br&gt;&lt;div class="audio"&gt;[sound:たまたま.mp3]&lt;/div&gt;</v>
      </c>
      <c r="H6165" s="3" t="str">
        <f t="shared" si="1"/>
        <v>(adv): tình cờ</v>
      </c>
      <c r="I6165" s="6" t="s">
        <v>33546</v>
      </c>
      <c r="J6165" s="6" t="s">
        <v>33547</v>
      </c>
      <c r="K6165" s="7">
        <f t="shared" si="2"/>
        <v>0.5207250869</v>
      </c>
    </row>
    <row r="6166">
      <c r="A6166" s="4">
        <v>6166.0</v>
      </c>
      <c r="B6166" s="5" t="s">
        <v>33548</v>
      </c>
      <c r="C6166" s="5" t="s">
        <v>33549</v>
      </c>
      <c r="D6166" s="5" t="s">
        <v>33550</v>
      </c>
      <c r="E6166" s="6" t="s">
        <v>74</v>
      </c>
      <c r="F6166" s="6" t="s">
        <v>33551</v>
      </c>
      <c r="G6166" s="3" t="str">
        <f>IFERROR(__xludf.DUMMYFUNCTION("REGEXREPLACE(
D6166,
""([一-龯々]+)\[([^\]]+)\]"",
""&lt;ruby&gt;$1&lt;rt&gt;$2&lt;/rt&gt;&lt;/ruby&gt;""
)&amp;""&lt;br&gt;&lt;div class=""""audio""""&gt;[sound:""&amp;C6166&amp;"".mp3]&lt;/div&gt;"""),"&lt;ruby&gt;水泳&lt;rt&gt;すいえい&lt;/rt&gt;&lt;/ruby&gt;&lt;br&gt;&lt;div class=""audio""&gt;[sound:すいえい.mp3]&lt;/div&gt;")</f>
        <v>&lt;ruby&gt;水泳&lt;rt&gt;すいえい&lt;/rt&gt;&lt;/ruby&gt;&lt;br&gt;&lt;div class="audio"&gt;[sound:すいえい.mp3]&lt;/div&gt;</v>
      </c>
      <c r="H6166" s="3" t="str">
        <f t="shared" si="1"/>
        <v>(n): bơi lội</v>
      </c>
      <c r="I6166" s="6" t="s">
        <v>33552</v>
      </c>
      <c r="J6166" s="6" t="s">
        <v>33553</v>
      </c>
      <c r="K6166" s="7">
        <f t="shared" si="2"/>
        <v>0.7428500817</v>
      </c>
    </row>
    <row r="6167">
      <c r="A6167" s="4">
        <v>6167.0</v>
      </c>
      <c r="B6167" s="5" t="s">
        <v>33554</v>
      </c>
      <c r="C6167" s="5" t="s">
        <v>33555</v>
      </c>
      <c r="D6167" s="5" t="s">
        <v>33554</v>
      </c>
      <c r="E6167" s="6" t="s">
        <v>74</v>
      </c>
      <c r="F6167" s="6" t="s">
        <v>33556</v>
      </c>
      <c r="G6167" s="3" t="str">
        <f>IFERROR(__xludf.DUMMYFUNCTION("REGEXREPLACE(
D6167,
""([一-龯々]+)\[([^\]]+)\]"",
""&lt;ruby&gt;$1&lt;rt&gt;$2&lt;/rt&gt;&lt;/ruby&gt;""
)&amp;""&lt;br&gt;&lt;div class=""""audio""""&gt;[sound:""&amp;C6167&amp;"".mp3]&lt;/div&gt;"""),"サイレン&lt;br&gt;&lt;div class=""audio""&gt;[sound:さいれん.mp3]&lt;/div&gt;")</f>
        <v>サイレン&lt;br&gt;&lt;div class="audio"&gt;[sound:さいれん.mp3]&lt;/div&gt;</v>
      </c>
      <c r="H6167" s="3" t="str">
        <f t="shared" si="1"/>
        <v>(n): còi hú</v>
      </c>
      <c r="I6167" s="6" t="s">
        <v>33557</v>
      </c>
      <c r="J6167" s="6" t="s">
        <v>33558</v>
      </c>
      <c r="K6167" s="7">
        <f t="shared" si="2"/>
        <v>0.5931794164</v>
      </c>
    </row>
    <row r="6168">
      <c r="A6168" s="4">
        <v>6168.0</v>
      </c>
      <c r="B6168" s="5" t="s">
        <v>33559</v>
      </c>
      <c r="C6168" s="5" t="s">
        <v>6418</v>
      </c>
      <c r="D6168" s="5" t="s">
        <v>33560</v>
      </c>
      <c r="E6168" s="6" t="s">
        <v>74</v>
      </c>
      <c r="F6168" s="6" t="s">
        <v>11776</v>
      </c>
      <c r="G6168" s="3" t="str">
        <f>IFERROR(__xludf.DUMMYFUNCTION("REGEXREPLACE(
D6168,
""([一-龯々]+)\[([^\]]+)\]"",
""&lt;ruby&gt;$1&lt;rt&gt;$2&lt;/rt&gt;&lt;/ruby&gt;""
)&amp;""&lt;br&gt;&lt;div class=""""audio""""&gt;[sound:""&amp;C6168&amp;"".mp3]&lt;/div&gt;"""),"&lt;ruby&gt;生地&lt;rt&gt;きじ&lt;/rt&gt;&lt;/ruby&gt;&lt;br&gt;&lt;div class=""audio""&gt;[sound:きじ.mp3]&lt;/div&gt;")</f>
        <v>&lt;ruby&gt;生地&lt;rt&gt;きじ&lt;/rt&gt;&lt;/ruby&gt;&lt;br&gt;&lt;div class="audio"&gt;[sound:きじ.mp3]&lt;/div&gt;</v>
      </c>
      <c r="H6168" s="3" t="str">
        <f t="shared" si="1"/>
        <v>(n): vải</v>
      </c>
      <c r="I6168" s="6" t="s">
        <v>33561</v>
      </c>
      <c r="J6168" s="6" t="s">
        <v>33562</v>
      </c>
      <c r="K6168" s="7">
        <f t="shared" si="2"/>
        <v>0.7895365221</v>
      </c>
    </row>
    <row r="6169">
      <c r="A6169" s="4">
        <v>6169.0</v>
      </c>
      <c r="B6169" s="5" t="s">
        <v>33563</v>
      </c>
      <c r="C6169" s="5" t="s">
        <v>33564</v>
      </c>
      <c r="D6169" s="5" t="s">
        <v>33565</v>
      </c>
      <c r="E6169" s="6" t="s">
        <v>74</v>
      </c>
      <c r="F6169" s="6" t="s">
        <v>33566</v>
      </c>
      <c r="G6169" s="3" t="str">
        <f>IFERROR(__xludf.DUMMYFUNCTION("REGEXREPLACE(
D6169,
""([一-龯々]+)\[([^\]]+)\]"",
""&lt;ruby&gt;$1&lt;rt&gt;$2&lt;/rt&gt;&lt;/ruby&gt;""
)&amp;""&lt;br&gt;&lt;div class=""""audio""""&gt;[sound:""&amp;C6169&amp;"".mp3]&lt;/div&gt;"""),"&lt;ruby&gt;仮名遣&lt;rt&gt;かなづか&lt;/rt&gt;&lt;/ruby&gt;い&lt;br&gt;&lt;div class=""audio""&gt;[sound:かなづかい.mp3]&lt;/div&gt;")</f>
        <v>&lt;ruby&gt;仮名遣&lt;rt&gt;かなづか&lt;/rt&gt;&lt;/ruby&gt;い&lt;br&gt;&lt;div class="audio"&gt;[sound:かなづかい.mp3]&lt;/div&gt;</v>
      </c>
      <c r="H6169" s="3" t="str">
        <f t="shared" si="1"/>
        <v>(n): cách viết kana</v>
      </c>
      <c r="I6169" s="6" t="s">
        <v>33567</v>
      </c>
      <c r="J6169" s="6" t="s">
        <v>33568</v>
      </c>
      <c r="K6169" s="7">
        <f t="shared" si="2"/>
        <v>0.8923885057</v>
      </c>
    </row>
    <row r="6170">
      <c r="A6170" s="4">
        <v>6170.0</v>
      </c>
      <c r="B6170" s="5" t="s">
        <v>33569</v>
      </c>
      <c r="C6170" s="5" t="s">
        <v>33570</v>
      </c>
      <c r="D6170" s="5" t="s">
        <v>33571</v>
      </c>
      <c r="E6170" s="6" t="s">
        <v>74</v>
      </c>
      <c r="F6170" s="6" t="s">
        <v>33572</v>
      </c>
      <c r="G6170" s="3" t="str">
        <f>IFERROR(__xludf.DUMMYFUNCTION("REGEXREPLACE(
D6170,
""([一-龯々]+)\[([^\]]+)\]"",
""&lt;ruby&gt;$1&lt;rt&gt;$2&lt;/rt&gt;&lt;/ruby&gt;""
)&amp;""&lt;br&gt;&lt;div class=""""audio""""&gt;[sound:""&amp;C6170&amp;"".mp3]&lt;/div&gt;"""),"&lt;ruby&gt;床屋&lt;rt&gt;とこや&lt;/rt&gt;&lt;/ruby&gt;&lt;br&gt;&lt;div class=""audio""&gt;[sound:とこや.mp3]&lt;/div&gt;")</f>
        <v>&lt;ruby&gt;床屋&lt;rt&gt;とこや&lt;/rt&gt;&lt;/ruby&gt;&lt;br&gt;&lt;div class="audio"&gt;[sound:とこや.mp3]&lt;/div&gt;</v>
      </c>
      <c r="H6170" s="3" t="str">
        <f t="shared" si="1"/>
        <v>(n): tiệm cắt tóc</v>
      </c>
      <c r="I6170" s="6" t="s">
        <v>33573</v>
      </c>
      <c r="J6170" s="6" t="s">
        <v>33574</v>
      </c>
      <c r="K6170" s="7">
        <f t="shared" si="2"/>
        <v>0.7534921489</v>
      </c>
    </row>
    <row r="6171">
      <c r="A6171" s="4">
        <v>6171.0</v>
      </c>
      <c r="B6171" s="5" t="s">
        <v>33575</v>
      </c>
      <c r="C6171" s="5" t="s">
        <v>33576</v>
      </c>
      <c r="D6171" s="5" t="s">
        <v>33577</v>
      </c>
      <c r="E6171" s="6" t="s">
        <v>85</v>
      </c>
      <c r="F6171" s="6" t="s">
        <v>10470</v>
      </c>
      <c r="G6171" s="3" t="str">
        <f>IFERROR(__xludf.DUMMYFUNCTION("REGEXREPLACE(
D6171,
""([一-龯々]+)\[([^\]]+)\]"",
""&lt;ruby&gt;$1&lt;rt&gt;$2&lt;/rt&gt;&lt;/ruby&gt;""
)&amp;""&lt;br&gt;&lt;div class=""""audio""""&gt;[sound:""&amp;C6171&amp;"".mp3]&lt;/div&gt;"""),"&lt;ruby&gt;直&lt;rt&gt;じか&lt;/rt&gt;&lt;/ruby&gt;に&lt;br&gt;&lt;div class=""audio""&gt;[sound:じかに.mp3]&lt;/div&gt;")</f>
        <v>&lt;ruby&gt;直&lt;rt&gt;じか&lt;/rt&gt;&lt;/ruby&gt;に&lt;br&gt;&lt;div class="audio"&gt;[sound:じかに.mp3]&lt;/div&gt;</v>
      </c>
      <c r="H6171" s="3" t="str">
        <f t="shared" si="1"/>
        <v>(adv): trực tiếp</v>
      </c>
      <c r="I6171" s="6" t="s">
        <v>33578</v>
      </c>
      <c r="J6171" s="6" t="s">
        <v>33579</v>
      </c>
      <c r="K6171" s="7">
        <f t="shared" si="2"/>
        <v>0.9083873142</v>
      </c>
    </row>
    <row r="6172">
      <c r="A6172" s="4">
        <v>6172.0</v>
      </c>
      <c r="B6172" s="5" t="s">
        <v>33580</v>
      </c>
      <c r="C6172" s="5" t="s">
        <v>33581</v>
      </c>
      <c r="D6172" s="5" t="s">
        <v>33582</v>
      </c>
      <c r="E6172" s="6" t="s">
        <v>74</v>
      </c>
      <c r="F6172" s="6" t="s">
        <v>33583</v>
      </c>
      <c r="G6172" s="3" t="str">
        <f>IFERROR(__xludf.DUMMYFUNCTION("REGEXREPLACE(
D6172,
""([一-龯々]+)\[([^\]]+)\]"",
""&lt;ruby&gt;$1&lt;rt&gt;$2&lt;/rt&gt;&lt;/ruby&gt;""
)&amp;""&lt;br&gt;&lt;div class=""""audio""""&gt;[sound:""&amp;C6172&amp;"".mp3]&lt;/div&gt;"""),"&lt;ruby&gt;売&lt;rt&gt;う&lt;/rt&gt;&lt;/ruby&gt;り&lt;ruby&gt;切&lt;rt&gt;き&lt;/rt&gt;&lt;/ruby&gt;れ&lt;br&gt;&lt;div class=""audio""&gt;[sound:うりきれ.mp3]&lt;/div&gt;")</f>
        <v>&lt;ruby&gt;売&lt;rt&gt;う&lt;/rt&gt;&lt;/ruby&gt;り&lt;ruby&gt;切&lt;rt&gt;き&lt;/rt&gt;&lt;/ruby&gt;れ&lt;br&gt;&lt;div class="audio"&gt;[sound:うりきれ.mp3]&lt;/div&gt;</v>
      </c>
      <c r="H6172" s="3" t="str">
        <f t="shared" si="1"/>
        <v>(n): hết hàng</v>
      </c>
      <c r="I6172" s="6" t="s">
        <v>33584</v>
      </c>
      <c r="J6172" s="6" t="s">
        <v>33585</v>
      </c>
      <c r="K6172" s="7">
        <f t="shared" si="2"/>
        <v>0.1101011678</v>
      </c>
    </row>
    <row r="6173">
      <c r="A6173" s="4">
        <v>6173.0</v>
      </c>
      <c r="B6173" s="5" t="s">
        <v>33586</v>
      </c>
      <c r="C6173" s="5" t="s">
        <v>33587</v>
      </c>
      <c r="D6173" s="5" t="s">
        <v>33588</v>
      </c>
      <c r="E6173" s="6" t="s">
        <v>74</v>
      </c>
      <c r="F6173" s="6" t="s">
        <v>33589</v>
      </c>
      <c r="G6173" s="3" t="str">
        <f>IFERROR(__xludf.DUMMYFUNCTION("REGEXREPLACE(
D6173,
""([一-龯々]+)\[([^\]]+)\]"",
""&lt;ruby&gt;$1&lt;rt&gt;$2&lt;/rt&gt;&lt;/ruby&gt;""
)&amp;""&lt;br&gt;&lt;div class=""""audio""""&gt;[sound:""&amp;C6173&amp;"".mp3]&lt;/div&gt;"""),"&lt;ruby&gt;刺身&lt;rt&gt;さしみ&lt;/rt&gt;&lt;/ruby&gt;&lt;br&gt;&lt;div class=""audio""&gt;[sound:さしみ.mp3]&lt;/div&gt;")</f>
        <v>&lt;ruby&gt;刺身&lt;rt&gt;さしみ&lt;/rt&gt;&lt;/ruby&gt;&lt;br&gt;&lt;div class="audio"&gt;[sound:さしみ.mp3]&lt;/div&gt;</v>
      </c>
      <c r="H6173" s="3" t="str">
        <f t="shared" si="1"/>
        <v>(n): sashimi</v>
      </c>
      <c r="I6173" s="6" t="s">
        <v>33590</v>
      </c>
      <c r="J6173" s="6" t="s">
        <v>33591</v>
      </c>
      <c r="K6173" s="7">
        <f t="shared" si="2"/>
        <v>0.7409336295</v>
      </c>
    </row>
    <row r="6174">
      <c r="A6174" s="4">
        <v>6174.0</v>
      </c>
      <c r="B6174" s="5" t="s">
        <v>33592</v>
      </c>
      <c r="C6174" s="5" t="s">
        <v>33593</v>
      </c>
      <c r="D6174" s="5" t="s">
        <v>33594</v>
      </c>
      <c r="E6174" s="6" t="s">
        <v>74</v>
      </c>
      <c r="F6174" s="6" t="s">
        <v>33595</v>
      </c>
      <c r="G6174" s="3" t="str">
        <f>IFERROR(__xludf.DUMMYFUNCTION("REGEXREPLACE(
D6174,
""([一-龯々]+)\[([^\]]+)\]"",
""&lt;ruby&gt;$1&lt;rt&gt;$2&lt;/rt&gt;&lt;/ruby&gt;""
)&amp;""&lt;br&gt;&lt;div class=""""audio""""&gt;[sound:""&amp;C6174&amp;"".mp3]&lt;/div&gt;"""),"&lt;ruby&gt;迷信&lt;rt&gt;めいしん&lt;/rt&gt;&lt;/ruby&gt;&lt;br&gt;&lt;div class=""audio""&gt;[sound:めいしん.mp3]&lt;/div&gt;")</f>
        <v>&lt;ruby&gt;迷信&lt;rt&gt;めいしん&lt;/rt&gt;&lt;/ruby&gt;&lt;br&gt;&lt;div class="audio"&gt;[sound:めいしん.mp3]&lt;/div&gt;</v>
      </c>
      <c r="H6174" s="3" t="str">
        <f t="shared" si="1"/>
        <v>(n): mê tín</v>
      </c>
      <c r="I6174" s="6" t="s">
        <v>33596</v>
      </c>
      <c r="J6174" s="6" t="s">
        <v>33597</v>
      </c>
      <c r="K6174" s="7">
        <f t="shared" si="2"/>
        <v>0.8405681739</v>
      </c>
    </row>
    <row r="6175">
      <c r="A6175" s="4">
        <v>6175.0</v>
      </c>
      <c r="B6175" s="5" t="s">
        <v>33598</v>
      </c>
      <c r="C6175" s="5" t="s">
        <v>33599</v>
      </c>
      <c r="D6175" s="5" t="s">
        <v>33600</v>
      </c>
      <c r="E6175" s="6" t="s">
        <v>74</v>
      </c>
      <c r="F6175" s="6" t="s">
        <v>15403</v>
      </c>
      <c r="G6175" s="3" t="str">
        <f>IFERROR(__xludf.DUMMYFUNCTION("REGEXREPLACE(
D6175,
""([一-龯々]+)\[([^\]]+)\]"",
""&lt;ruby&gt;$1&lt;rt&gt;$2&lt;/rt&gt;&lt;/ruby&gt;""
)&amp;""&lt;br&gt;&lt;div class=""""audio""""&gt;[sound:""&amp;C6175&amp;"".mp3]&lt;/div&gt;"""),"&lt;ruby&gt;太鼓&lt;rt&gt;たいこ&lt;/rt&gt;&lt;/ruby&gt;&lt;br&gt;&lt;div class=""audio""&gt;[sound:たいこ.mp3]&lt;/div&gt;")</f>
        <v>&lt;ruby&gt;太鼓&lt;rt&gt;たいこ&lt;/rt&gt;&lt;/ruby&gt;&lt;br&gt;&lt;div class="audio"&gt;[sound:たいこ.mp3]&lt;/div&gt;</v>
      </c>
      <c r="H6175" s="3" t="str">
        <f t="shared" si="1"/>
        <v>(n): trống</v>
      </c>
      <c r="I6175" s="6" t="s">
        <v>33601</v>
      </c>
      <c r="J6175" s="6" t="s">
        <v>33602</v>
      </c>
      <c r="K6175" s="7">
        <f t="shared" si="2"/>
        <v>0.1219700209</v>
      </c>
    </row>
    <row r="6176">
      <c r="A6176" s="4">
        <v>6176.0</v>
      </c>
      <c r="B6176" s="5" t="s">
        <v>33603</v>
      </c>
      <c r="C6176" s="5" t="s">
        <v>33604</v>
      </c>
      <c r="D6176" s="5" t="s">
        <v>33605</v>
      </c>
      <c r="E6176" s="6" t="s">
        <v>74</v>
      </c>
      <c r="F6176" s="6" t="s">
        <v>33606</v>
      </c>
      <c r="G6176" s="3" t="str">
        <f>IFERROR(__xludf.DUMMYFUNCTION("REGEXREPLACE(
D6176,
""([一-龯々]+)\[([^\]]+)\]"",
""&lt;ruby&gt;$1&lt;rt&gt;$2&lt;/rt&gt;&lt;/ruby&gt;""
)&amp;""&lt;br&gt;&lt;div class=""""audio""""&gt;[sound:""&amp;C6176&amp;"".mp3]&lt;/div&gt;"""),"&lt;ruby&gt;車庫&lt;rt&gt;しゃこ&lt;/rt&gt;&lt;/ruby&gt;&lt;br&gt;&lt;div class=""audio""&gt;[sound:しゃこ.mp3]&lt;/div&gt;")</f>
        <v>&lt;ruby&gt;車庫&lt;rt&gt;しゃこ&lt;/rt&gt;&lt;/ruby&gt;&lt;br&gt;&lt;div class="audio"&gt;[sound:しゃこ.mp3]&lt;/div&gt;</v>
      </c>
      <c r="H6176" s="3" t="str">
        <f t="shared" si="1"/>
        <v>(n): ga-ra</v>
      </c>
      <c r="I6176" s="6" t="s">
        <v>33607</v>
      </c>
      <c r="J6176" s="6" t="s">
        <v>33608</v>
      </c>
      <c r="K6176" s="7">
        <f t="shared" si="2"/>
        <v>0.5880901579</v>
      </c>
    </row>
    <row r="6177">
      <c r="A6177" s="4">
        <v>6177.0</v>
      </c>
      <c r="B6177" s="5" t="s">
        <v>33609</v>
      </c>
      <c r="C6177" s="5" t="s">
        <v>33610</v>
      </c>
      <c r="D6177" s="5" t="s">
        <v>33609</v>
      </c>
      <c r="E6177" s="6" t="s">
        <v>74</v>
      </c>
      <c r="F6177" s="6" t="s">
        <v>33611</v>
      </c>
      <c r="G6177" s="3" t="str">
        <f>IFERROR(__xludf.DUMMYFUNCTION("REGEXREPLACE(
D6177,
""([一-龯々]+)\[([^\]]+)\]"",
""&lt;ruby&gt;$1&lt;rt&gt;$2&lt;/rt&gt;&lt;/ruby&gt;""
)&amp;""&lt;br&gt;&lt;div class=""""audio""""&gt;[sound:""&amp;C6177&amp;"".mp3]&lt;/div&gt;"""),"チョーク&lt;br&gt;&lt;div class=""audio""&gt;[sound:ちょーく.mp3]&lt;/div&gt;")</f>
        <v>チョーク&lt;br&gt;&lt;div class="audio"&gt;[sound:ちょーく.mp3]&lt;/div&gt;</v>
      </c>
      <c r="H6177" s="3" t="str">
        <f t="shared" si="1"/>
        <v>(n): phấn</v>
      </c>
      <c r="I6177" s="6" t="s">
        <v>33612</v>
      </c>
      <c r="J6177" s="6" t="s">
        <v>33613</v>
      </c>
      <c r="K6177" s="7">
        <f t="shared" si="2"/>
        <v>0.5810708812</v>
      </c>
    </row>
    <row r="6178">
      <c r="A6178" s="4">
        <v>6178.0</v>
      </c>
      <c r="B6178" s="5" t="s">
        <v>33614</v>
      </c>
      <c r="C6178" s="5" t="s">
        <v>33615</v>
      </c>
      <c r="D6178" s="5" t="s">
        <v>33616</v>
      </c>
      <c r="E6178" s="6" t="s">
        <v>24</v>
      </c>
      <c r="F6178" s="6" t="s">
        <v>33617</v>
      </c>
      <c r="G6178" s="3" t="str">
        <f>IFERROR(__xludf.DUMMYFUNCTION("REGEXREPLACE(
D6178,
""([一-龯々]+)\[([^\]]+)\]"",
""&lt;ruby&gt;$1&lt;rt&gt;$2&lt;/rt&gt;&lt;/ruby&gt;""
)&amp;""&lt;br&gt;&lt;div class=""""audio""""&gt;[sound:""&amp;C6178&amp;"".mp3]&lt;/div&gt;"""),"&lt;ruby&gt;茹&lt;rt&gt;ゆ&lt;/rt&gt;&lt;/ruby&gt;でる&lt;br&gt;&lt;div class=""audio""&gt;[sound:ゆでる.mp3]&lt;/div&gt;")</f>
        <v>&lt;ruby&gt;茹&lt;rt&gt;ゆ&lt;/rt&gt;&lt;/ruby&gt;でる&lt;br&gt;&lt;div class="audio"&gt;[sound:ゆでる.mp3]&lt;/div&gt;</v>
      </c>
      <c r="H6178" s="3" t="str">
        <f t="shared" si="1"/>
        <v>(v): luộc</v>
      </c>
      <c r="I6178" s="6" t="s">
        <v>33618</v>
      </c>
      <c r="J6178" s="6" t="s">
        <v>33619</v>
      </c>
      <c r="K6178" s="7">
        <f t="shared" si="2"/>
        <v>0.08796574191</v>
      </c>
    </row>
    <row r="6179">
      <c r="A6179" s="4">
        <v>6179.0</v>
      </c>
      <c r="B6179" s="5" t="s">
        <v>33620</v>
      </c>
      <c r="C6179" s="5" t="s">
        <v>33621</v>
      </c>
      <c r="D6179" s="5" t="s">
        <v>33622</v>
      </c>
      <c r="E6179" s="6" t="s">
        <v>74</v>
      </c>
      <c r="F6179" s="6" t="s">
        <v>33623</v>
      </c>
      <c r="G6179" s="3" t="str">
        <f>IFERROR(__xludf.DUMMYFUNCTION("REGEXREPLACE(
D6179,
""([一-龯々]+)\[([^\]]+)\]"",
""&lt;ruby&gt;$1&lt;rt&gt;$2&lt;/rt&gt;&lt;/ruby&gt;""
)&amp;""&lt;br&gt;&lt;div class=""""audio""""&gt;[sound:""&amp;C6179&amp;"".mp3]&lt;/div&gt;"""),"&lt;ruby&gt;木材&lt;rt&gt;もくざい&lt;/rt&gt;&lt;/ruby&gt;&lt;br&gt;&lt;div class=""audio""&gt;[sound:もくざい.mp3]&lt;/div&gt;")</f>
        <v>&lt;ruby&gt;木材&lt;rt&gt;もくざい&lt;/rt&gt;&lt;/ruby&gt;&lt;br&gt;&lt;div class="audio"&gt;[sound:もくざい.mp3]&lt;/div&gt;</v>
      </c>
      <c r="H6179" s="3" t="str">
        <f t="shared" si="1"/>
        <v>(n): gỗ</v>
      </c>
      <c r="I6179" s="6" t="s">
        <v>33624</v>
      </c>
      <c r="J6179" s="6" t="s">
        <v>33625</v>
      </c>
      <c r="K6179" s="7">
        <f t="shared" si="2"/>
        <v>0.6219082717</v>
      </c>
    </row>
    <row r="6180">
      <c r="A6180" s="4">
        <v>6180.0</v>
      </c>
      <c r="B6180" s="5" t="s">
        <v>33626</v>
      </c>
      <c r="C6180" s="5" t="s">
        <v>33627</v>
      </c>
      <c r="D6180" s="5" t="s">
        <v>33628</v>
      </c>
      <c r="E6180" s="6" t="s">
        <v>74</v>
      </c>
      <c r="F6180" s="6" t="s">
        <v>33629</v>
      </c>
      <c r="G6180" s="3" t="str">
        <f>IFERROR(__xludf.DUMMYFUNCTION("REGEXREPLACE(
D6180,
""([一-龯々]+)\[([^\]]+)\]"",
""&lt;ruby&gt;$1&lt;rt&gt;$2&lt;/rt&gt;&lt;/ruby&gt;""
)&amp;""&lt;br&gt;&lt;div class=""""audio""""&gt;[sound:""&amp;C6180&amp;"".mp3]&lt;/div&gt;"""),"&lt;ruby&gt;中指&lt;rt&gt;なかゆび&lt;/rt&gt;&lt;/ruby&gt;&lt;br&gt;&lt;div class=""audio""&gt;[sound:なかゆび.mp3]&lt;/div&gt;")</f>
        <v>&lt;ruby&gt;中指&lt;rt&gt;なかゆび&lt;/rt&gt;&lt;/ruby&gt;&lt;br&gt;&lt;div class="audio"&gt;[sound:なかゆび.mp3]&lt;/div&gt;</v>
      </c>
      <c r="H6180" s="3" t="str">
        <f t="shared" si="1"/>
        <v>(n): ngón giữa</v>
      </c>
      <c r="I6180" s="6" t="s">
        <v>33630</v>
      </c>
      <c r="J6180" s="6" t="s">
        <v>33631</v>
      </c>
      <c r="K6180" s="7">
        <f t="shared" si="2"/>
        <v>0.6813120788</v>
      </c>
    </row>
    <row r="6181">
      <c r="A6181" s="4">
        <v>6181.0</v>
      </c>
      <c r="B6181" s="5" t="s">
        <v>33632</v>
      </c>
      <c r="C6181" s="5" t="s">
        <v>33633</v>
      </c>
      <c r="D6181" s="5" t="s">
        <v>33634</v>
      </c>
      <c r="E6181" s="6" t="s">
        <v>74</v>
      </c>
      <c r="F6181" s="6" t="s">
        <v>33635</v>
      </c>
      <c r="G6181" s="3" t="str">
        <f>IFERROR(__xludf.DUMMYFUNCTION("REGEXREPLACE(
D6181,
""([一-龯々]+)\[([^\]]+)\]"",
""&lt;ruby&gt;$1&lt;rt&gt;$2&lt;/rt&gt;&lt;/ruby&gt;""
)&amp;""&lt;br&gt;&lt;div class=""""audio""""&gt;[sound:""&amp;C6181&amp;"".mp3]&lt;/div&gt;"""),"&lt;ruby&gt;酒場&lt;rt&gt;さかば&lt;/rt&gt;&lt;/ruby&gt;&lt;br&gt;&lt;div class=""audio""&gt;[sound:さかば.mp3]&lt;/div&gt;")</f>
        <v>&lt;ruby&gt;酒場&lt;rt&gt;さかば&lt;/rt&gt;&lt;/ruby&gt;&lt;br&gt;&lt;div class="audio"&gt;[sound:さかば.mp3]&lt;/div&gt;</v>
      </c>
      <c r="H6181" s="3" t="str">
        <f t="shared" si="1"/>
        <v>(n): quán rượu</v>
      </c>
      <c r="I6181" s="6" t="s">
        <v>33636</v>
      </c>
      <c r="J6181" s="6" t="s">
        <v>33637</v>
      </c>
      <c r="K6181" s="7">
        <f t="shared" si="2"/>
        <v>0.1821164495</v>
      </c>
    </row>
    <row r="6182">
      <c r="A6182" s="4">
        <v>6182.0</v>
      </c>
      <c r="B6182" s="5" t="s">
        <v>33638</v>
      </c>
      <c r="C6182" s="5" t="s">
        <v>33639</v>
      </c>
      <c r="D6182" s="5" t="s">
        <v>33640</v>
      </c>
      <c r="E6182" s="6" t="s">
        <v>74</v>
      </c>
      <c r="F6182" s="6" t="s">
        <v>4987</v>
      </c>
      <c r="G6182" s="3" t="str">
        <f>IFERROR(__xludf.DUMMYFUNCTION("REGEXREPLACE(
D6182,
""([一-龯々]+)\[([^\]]+)\]"",
""&lt;ruby&gt;$1&lt;rt&gt;$2&lt;/rt&gt;&lt;/ruby&gt;""
)&amp;""&lt;br&gt;&lt;div class=""""audio""""&gt;[sound:""&amp;C6182&amp;"".mp3]&lt;/div&gt;"""),"&lt;ruby&gt;清掃&lt;rt&gt;せいそう&lt;/rt&gt;&lt;/ruby&gt;&lt;br&gt;&lt;div class=""audio""&gt;[sound:せいそう.mp3]&lt;/div&gt;")</f>
        <v>&lt;ruby&gt;清掃&lt;rt&gt;せいそう&lt;/rt&gt;&lt;/ruby&gt;&lt;br&gt;&lt;div class="audio"&gt;[sound:せいそう.mp3]&lt;/div&gt;</v>
      </c>
      <c r="H6182" s="3" t="str">
        <f t="shared" si="1"/>
        <v>(n): dọn dẹp</v>
      </c>
      <c r="I6182" s="6" t="s">
        <v>33641</v>
      </c>
      <c r="J6182" s="6" t="s">
        <v>642</v>
      </c>
      <c r="K6182" s="7">
        <f t="shared" si="2"/>
        <v>0.3053921981</v>
      </c>
    </row>
    <row r="6183">
      <c r="A6183" s="4">
        <v>6183.0</v>
      </c>
      <c r="B6183" s="5" t="s">
        <v>33642</v>
      </c>
      <c r="C6183" s="5" t="s">
        <v>33643</v>
      </c>
      <c r="D6183" s="5" t="s">
        <v>33644</v>
      </c>
      <c r="E6183" s="6" t="s">
        <v>11</v>
      </c>
      <c r="F6183" s="6" t="s">
        <v>33645</v>
      </c>
      <c r="G6183" s="3" t="str">
        <f>IFERROR(__xludf.DUMMYFUNCTION("REGEXREPLACE(
D6183,
""([一-龯々]+)\[([^\]]+)\]"",
""&lt;ruby&gt;$1&lt;rt&gt;$2&lt;/rt&gt;&lt;/ruby&gt;""
)&amp;""&lt;br&gt;&lt;div class=""""audio""""&gt;[sound:""&amp;C6183&amp;"".mp3]&lt;/div&gt;"""),"&lt;ruby&gt;真&lt;rt&gt;ま&lt;/rt&gt;&lt;/ruby&gt;っ&lt;ruby&gt;暗&lt;rt&gt;くら&lt;/rt&gt;&lt;/ruby&gt;&lt;br&gt;&lt;div class=""audio""&gt;[sound:まっくら.mp3]&lt;/div&gt;")</f>
        <v>&lt;ruby&gt;真&lt;rt&gt;ま&lt;/rt&gt;&lt;/ruby&gt;っ&lt;ruby&gt;暗&lt;rt&gt;くら&lt;/rt&gt;&lt;/ruby&gt;&lt;br&gt;&lt;div class="audio"&gt;[sound:まっくら.mp3]&lt;/div&gt;</v>
      </c>
      <c r="H6183" s="3" t="str">
        <f t="shared" si="1"/>
        <v>(adj): tối đen</v>
      </c>
      <c r="I6183" s="6" t="s">
        <v>33646</v>
      </c>
      <c r="J6183" s="6" t="s">
        <v>33647</v>
      </c>
      <c r="K6183" s="7">
        <f t="shared" si="2"/>
        <v>0.2288801104</v>
      </c>
    </row>
    <row r="6184">
      <c r="A6184" s="4">
        <v>6184.0</v>
      </c>
      <c r="B6184" s="5" t="s">
        <v>33648</v>
      </c>
      <c r="C6184" s="5" t="s">
        <v>33649</v>
      </c>
      <c r="D6184" s="5" t="s">
        <v>33650</v>
      </c>
      <c r="E6184" s="6" t="s">
        <v>74</v>
      </c>
      <c r="F6184" s="6" t="s">
        <v>33651</v>
      </c>
      <c r="G6184" s="3" t="str">
        <f>IFERROR(__xludf.DUMMYFUNCTION("REGEXREPLACE(
D6184,
""([一-龯々]+)\[([^\]]+)\]"",
""&lt;ruby&gt;$1&lt;rt&gt;$2&lt;/rt&gt;&lt;/ruby&gt;""
)&amp;""&lt;br&gt;&lt;div class=""""audio""""&gt;[sound:""&amp;C6184&amp;"".mp3]&lt;/div&gt;"""),"&lt;ruby&gt;動物園&lt;rt&gt;どうぶつえん&lt;/rt&gt;&lt;/ruby&gt;&lt;br&gt;&lt;div class=""audio""&gt;[sound:どうぶつえん.mp3]&lt;/div&gt;")</f>
        <v>&lt;ruby&gt;動物園&lt;rt&gt;どうぶつえん&lt;/rt&gt;&lt;/ruby&gt;&lt;br&gt;&lt;div class="audio"&gt;[sound:どうぶつえん.mp3]&lt;/div&gt;</v>
      </c>
      <c r="H6184" s="3" t="str">
        <f t="shared" si="1"/>
        <v>(n): sở thú</v>
      </c>
      <c r="I6184" s="6" t="s">
        <v>33652</v>
      </c>
      <c r="J6184" s="6" t="s">
        <v>33653</v>
      </c>
      <c r="K6184" s="7">
        <f t="shared" si="2"/>
        <v>0.905942993</v>
      </c>
    </row>
    <row r="6185">
      <c r="A6185" s="4">
        <v>6185.0</v>
      </c>
      <c r="B6185" s="5" t="s">
        <v>33654</v>
      </c>
      <c r="C6185" s="5" t="s">
        <v>33655</v>
      </c>
      <c r="D6185" s="5" t="s">
        <v>33656</v>
      </c>
      <c r="E6185" s="6" t="s">
        <v>74</v>
      </c>
      <c r="F6185" s="6" t="s">
        <v>33657</v>
      </c>
      <c r="G6185" s="3" t="str">
        <f>IFERROR(__xludf.DUMMYFUNCTION("REGEXREPLACE(
D6185,
""([一-龯々]+)\[([^\]]+)\]"",
""&lt;ruby&gt;$1&lt;rt&gt;$2&lt;/rt&gt;&lt;/ruby&gt;""
)&amp;""&lt;br&gt;&lt;div class=""""audio""""&gt;[sound:""&amp;C6185&amp;"".mp3]&lt;/div&gt;"""),"&lt;ruby&gt;父母&lt;rt&gt;ふぼ&lt;/rt&gt;&lt;/ruby&gt;&lt;br&gt;&lt;div class=""audio""&gt;[sound:ふぼ.mp3]&lt;/div&gt;")</f>
        <v>&lt;ruby&gt;父母&lt;rt&gt;ふぼ&lt;/rt&gt;&lt;/ruby&gt;&lt;br&gt;&lt;div class="audio"&gt;[sound:ふぼ.mp3]&lt;/div&gt;</v>
      </c>
      <c r="H6185" s="3" t="str">
        <f t="shared" si="1"/>
        <v>(n): cha mẹ</v>
      </c>
      <c r="I6185" s="6" t="s">
        <v>33658</v>
      </c>
      <c r="J6185" s="6" t="s">
        <v>33659</v>
      </c>
      <c r="K6185" s="7">
        <f t="shared" si="2"/>
        <v>0.454558764</v>
      </c>
    </row>
    <row r="6186">
      <c r="A6186" s="4">
        <v>6186.0</v>
      </c>
      <c r="B6186" s="5" t="s">
        <v>33660</v>
      </c>
      <c r="C6186" s="5" t="s">
        <v>33661</v>
      </c>
      <c r="D6186" s="5" t="s">
        <v>33662</v>
      </c>
      <c r="E6186" s="6" t="s">
        <v>85</v>
      </c>
      <c r="F6186" s="6" t="s">
        <v>13008</v>
      </c>
      <c r="G6186" s="3" t="str">
        <f>IFERROR(__xludf.DUMMYFUNCTION("REGEXREPLACE(
D6186,
""([一-龯々]+)\[([^\]]+)\]"",
""&lt;ruby&gt;$1&lt;rt&gt;$2&lt;/rt&gt;&lt;/ruby&gt;""
)&amp;""&lt;br&gt;&lt;div class=""""audio""""&gt;[sound:""&amp;C6186&amp;"".mp3]&lt;/div&gt;"""),"&lt;ruby&gt;前&lt;rt&gt;まえ&lt;/rt&gt;&lt;/ruby&gt;もって&lt;br&gt;&lt;div class=""audio""&gt;[sound:まえもって.mp3]&lt;/div&gt;")</f>
        <v>&lt;ruby&gt;前&lt;rt&gt;まえ&lt;/rt&gt;&lt;/ruby&gt;もって&lt;br&gt;&lt;div class="audio"&gt;[sound:まえもって.mp3]&lt;/div&gt;</v>
      </c>
      <c r="H6186" s="3" t="str">
        <f t="shared" si="1"/>
        <v>(adv): trước</v>
      </c>
      <c r="I6186" s="6" t="s">
        <v>33663</v>
      </c>
      <c r="J6186" s="6" t="s">
        <v>33664</v>
      </c>
      <c r="K6186" s="7">
        <f t="shared" si="2"/>
        <v>0.665093762</v>
      </c>
    </row>
    <row r="6187">
      <c r="A6187" s="4">
        <v>6187.0</v>
      </c>
      <c r="B6187" s="5" t="s">
        <v>33665</v>
      </c>
      <c r="C6187" s="5" t="s">
        <v>33666</v>
      </c>
      <c r="D6187" s="5" t="s">
        <v>33667</v>
      </c>
      <c r="E6187" s="6" t="s">
        <v>74</v>
      </c>
      <c r="F6187" s="6" t="s">
        <v>33668</v>
      </c>
      <c r="G6187" s="3" t="str">
        <f>IFERROR(__xludf.DUMMYFUNCTION("REGEXREPLACE(
D6187,
""([一-龯々]+)\[([^\]]+)\]"",
""&lt;ruby&gt;$1&lt;rt&gt;$2&lt;/rt&gt;&lt;/ruby&gt;""
)&amp;""&lt;br&gt;&lt;div class=""""audio""""&gt;[sound:""&amp;C6187&amp;"".mp3]&lt;/div&gt;"""),"&lt;ruby&gt;綱&lt;rt&gt;つな&lt;/rt&gt;&lt;/ruby&gt;&lt;br&gt;&lt;div class=""audio""&gt;[sound:つな.mp3]&lt;/div&gt;")</f>
        <v>&lt;ruby&gt;綱&lt;rt&gt;つな&lt;/rt&gt;&lt;/ruby&gt;&lt;br&gt;&lt;div class="audio"&gt;[sound:つな.mp3]&lt;/div&gt;</v>
      </c>
      <c r="H6187" s="3" t="str">
        <f t="shared" si="1"/>
        <v>(n): thừng</v>
      </c>
      <c r="I6187" s="6" t="s">
        <v>33669</v>
      </c>
      <c r="J6187" s="6" t="s">
        <v>33670</v>
      </c>
      <c r="K6187" s="7">
        <f t="shared" si="2"/>
        <v>0.490262246</v>
      </c>
    </row>
    <row r="6188">
      <c r="A6188" s="4">
        <v>6188.0</v>
      </c>
      <c r="B6188" s="5" t="s">
        <v>33671</v>
      </c>
      <c r="C6188" s="5" t="s">
        <v>22146</v>
      </c>
      <c r="D6188" s="5" t="s">
        <v>33672</v>
      </c>
      <c r="E6188" s="6" t="s">
        <v>74</v>
      </c>
      <c r="F6188" s="6" t="s">
        <v>33673</v>
      </c>
      <c r="G6188" s="3" t="str">
        <f>IFERROR(__xludf.DUMMYFUNCTION("REGEXREPLACE(
D6188,
""([一-龯々]+)\[([^\]]+)\]"",
""&lt;ruby&gt;$1&lt;rt&gt;$2&lt;/rt&gt;&lt;/ruby&gt;""
)&amp;""&lt;br&gt;&lt;div class=""""audio""""&gt;[sound:""&amp;C6188&amp;"".mp3]&lt;/div&gt;"""),"&lt;ruby&gt;下線&lt;rt&gt;かせん&lt;/rt&gt;&lt;/ruby&gt;&lt;br&gt;&lt;div class=""audio""&gt;[sound:かせん.mp3]&lt;/div&gt;")</f>
        <v>&lt;ruby&gt;下線&lt;rt&gt;かせん&lt;/rt&gt;&lt;/ruby&gt;&lt;br&gt;&lt;div class="audio"&gt;[sound:かせん.mp3]&lt;/div&gt;</v>
      </c>
      <c r="H6188" s="3" t="str">
        <f t="shared" si="1"/>
        <v>(n): gạch chân</v>
      </c>
      <c r="I6188" s="6" t="s">
        <v>33674</v>
      </c>
      <c r="J6188" s="6" t="s">
        <v>33675</v>
      </c>
      <c r="K6188" s="7">
        <f t="shared" si="2"/>
        <v>0.2873616547</v>
      </c>
    </row>
    <row r="6189">
      <c r="A6189" s="4">
        <v>6189.0</v>
      </c>
      <c r="B6189" s="5" t="s">
        <v>33676</v>
      </c>
      <c r="C6189" s="5" t="s">
        <v>33677</v>
      </c>
      <c r="D6189" s="5" t="s">
        <v>33676</v>
      </c>
      <c r="E6189" s="6" t="s">
        <v>74</v>
      </c>
      <c r="F6189" s="6" t="s">
        <v>33678</v>
      </c>
      <c r="G6189" s="3" t="str">
        <f>IFERROR(__xludf.DUMMYFUNCTION("REGEXREPLACE(
D6189,
""([一-龯々]+)\[([^\]]+)\]"",
""&lt;ruby&gt;$1&lt;rt&gt;$2&lt;/rt&gt;&lt;/ruby&gt;""
)&amp;""&lt;br&gt;&lt;div class=""""audio""""&gt;[sound:""&amp;C6189&amp;"".mp3]&lt;/div&gt;"""),"ピストル&lt;br&gt;&lt;div class=""audio""&gt;[sound:ぴすとる.mp3]&lt;/div&gt;")</f>
        <v>ピストル&lt;br&gt;&lt;div class="audio"&gt;[sound:ぴすとる.mp3]&lt;/div&gt;</v>
      </c>
      <c r="H6189" s="3" t="str">
        <f t="shared" si="1"/>
        <v>(n): súng lục</v>
      </c>
      <c r="I6189" s="6" t="s">
        <v>33679</v>
      </c>
      <c r="J6189" s="6" t="s">
        <v>33680</v>
      </c>
      <c r="K6189" s="7">
        <f t="shared" si="2"/>
        <v>0.363202659</v>
      </c>
    </row>
    <row r="6190">
      <c r="A6190" s="4">
        <v>6190.0</v>
      </c>
      <c r="B6190" s="5" t="s">
        <v>33681</v>
      </c>
      <c r="C6190" s="5" t="s">
        <v>33682</v>
      </c>
      <c r="D6190" s="5" t="s">
        <v>33683</v>
      </c>
      <c r="E6190" s="6" t="s">
        <v>74</v>
      </c>
      <c r="F6190" s="6" t="s">
        <v>33684</v>
      </c>
      <c r="G6190" s="3" t="str">
        <f>IFERROR(__xludf.DUMMYFUNCTION("REGEXREPLACE(
D6190,
""([一-龯々]+)\[([^\]]+)\]"",
""&lt;ruby&gt;$1&lt;rt&gt;$2&lt;/rt&gt;&lt;/ruby&gt;""
)&amp;""&lt;br&gt;&lt;div class=""""audio""""&gt;[sound:""&amp;C6190&amp;"".mp3]&lt;/div&gt;"""),"&lt;ruby&gt;引算&lt;rt&gt;ひきざん&lt;/rt&gt;&lt;/ruby&gt;&lt;br&gt;&lt;div class=""audio""&gt;[sound:ひきざん.mp3]&lt;/div&gt;")</f>
        <v>&lt;ruby&gt;引算&lt;rt&gt;ひきざん&lt;/rt&gt;&lt;/ruby&gt;&lt;br&gt;&lt;div class="audio"&gt;[sound:ひきざん.mp3]&lt;/div&gt;</v>
      </c>
      <c r="H6190" s="3" t="str">
        <f t="shared" si="1"/>
        <v>(n): phép trừ</v>
      </c>
      <c r="I6190" s="6" t="s">
        <v>33685</v>
      </c>
      <c r="J6190" s="6" t="s">
        <v>33686</v>
      </c>
      <c r="K6190" s="7">
        <f t="shared" si="2"/>
        <v>0.1688101596</v>
      </c>
    </row>
    <row r="6191">
      <c r="A6191" s="4">
        <v>6191.0</v>
      </c>
      <c r="B6191" s="5" t="s">
        <v>33687</v>
      </c>
      <c r="C6191" s="5" t="s">
        <v>33688</v>
      </c>
      <c r="D6191" s="5" t="s">
        <v>33689</v>
      </c>
      <c r="E6191" s="6" t="s">
        <v>74</v>
      </c>
      <c r="F6191" s="6" t="s">
        <v>33690</v>
      </c>
      <c r="G6191" s="3" t="str">
        <f>IFERROR(__xludf.DUMMYFUNCTION("REGEXREPLACE(
D6191,
""([一-龯々]+)\[([^\]]+)\]"",
""&lt;ruby&gt;$1&lt;rt&gt;$2&lt;/rt&gt;&lt;/ruby&gt;""
)&amp;""&lt;br&gt;&lt;div class=""""audio""""&gt;[sound:""&amp;C6191&amp;"".mp3]&lt;/div&gt;"""),"&lt;ruby&gt;王子&lt;rt&gt;おうじ&lt;/rt&gt;&lt;/ruby&gt;&lt;br&gt;&lt;div class=""audio""&gt;[sound:おうじ.mp3]&lt;/div&gt;")</f>
        <v>&lt;ruby&gt;王子&lt;rt&gt;おうじ&lt;/rt&gt;&lt;/ruby&gt;&lt;br&gt;&lt;div class="audio"&gt;[sound:おうじ.mp3]&lt;/div&gt;</v>
      </c>
      <c r="H6191" s="3" t="str">
        <f t="shared" si="1"/>
        <v>(n): hoàng tử</v>
      </c>
      <c r="I6191" s="6" t="s">
        <v>33691</v>
      </c>
      <c r="J6191" s="6" t="s">
        <v>33692</v>
      </c>
      <c r="K6191" s="7">
        <f t="shared" si="2"/>
        <v>0.5516887381</v>
      </c>
    </row>
    <row r="6192">
      <c r="A6192" s="4">
        <v>6192.0</v>
      </c>
      <c r="B6192" s="5" t="s">
        <v>33693</v>
      </c>
      <c r="C6192" s="5" t="s">
        <v>28</v>
      </c>
      <c r="D6192" s="5" t="s">
        <v>33694</v>
      </c>
      <c r="E6192" s="6" t="s">
        <v>24</v>
      </c>
      <c r="F6192" s="6" t="s">
        <v>33695</v>
      </c>
      <c r="G6192" s="3" t="str">
        <f>IFERROR(__xludf.DUMMYFUNCTION("REGEXREPLACE(
D6192,
""([一-龯々]+)\[([^\]]+)\]"",
""&lt;ruby&gt;$1&lt;rt&gt;$2&lt;/rt&gt;&lt;/ruby&gt;""
)&amp;""&lt;br&gt;&lt;div class=""""audio""""&gt;[sound:""&amp;C6192&amp;"".mp3]&lt;/div&gt;"""),"&lt;ruby&gt;生&lt;rt&gt;な&lt;/rt&gt;&lt;/ruby&gt;る&lt;br&gt;&lt;div class=""audio""&gt;[sound:なる.mp3]&lt;/div&gt;")</f>
        <v>&lt;ruby&gt;生&lt;rt&gt;な&lt;/rt&gt;&lt;/ruby&gt;る&lt;br&gt;&lt;div class="audio"&gt;[sound:なる.mp3]&lt;/div&gt;</v>
      </c>
      <c r="H6192" s="3" t="str">
        <f t="shared" si="1"/>
        <v>(v): kết trái</v>
      </c>
      <c r="I6192" s="6" t="s">
        <v>33696</v>
      </c>
      <c r="J6192" s="6" t="s">
        <v>33697</v>
      </c>
      <c r="K6192" s="7">
        <f t="shared" si="2"/>
        <v>0.001892058381</v>
      </c>
    </row>
    <row r="6193">
      <c r="A6193" s="4">
        <v>6193.0</v>
      </c>
      <c r="B6193" s="5" t="s">
        <v>33698</v>
      </c>
      <c r="C6193" s="5" t="s">
        <v>33699</v>
      </c>
      <c r="D6193" s="5" t="s">
        <v>33700</v>
      </c>
      <c r="E6193" s="6" t="s">
        <v>74</v>
      </c>
      <c r="F6193" s="6" t="s">
        <v>33701</v>
      </c>
      <c r="G6193" s="3" t="str">
        <f>IFERROR(__xludf.DUMMYFUNCTION("REGEXREPLACE(
D6193,
""([一-龯々]+)\[([^\]]+)\]"",
""&lt;ruby&gt;$1&lt;rt&gt;$2&lt;/rt&gt;&lt;/ruby&gt;""
)&amp;""&lt;br&gt;&lt;div class=""""audio""""&gt;[sound:""&amp;C6193&amp;"".mp3]&lt;/div&gt;"""),"&lt;ruby&gt;破片&lt;rt&gt;はへん&lt;/rt&gt;&lt;/ruby&gt;&lt;br&gt;&lt;div class=""audio""&gt;[sound:はへん.mp3]&lt;/div&gt;")</f>
        <v>&lt;ruby&gt;破片&lt;rt&gt;はへん&lt;/rt&gt;&lt;/ruby&gt;&lt;br&gt;&lt;div class="audio"&gt;[sound:はへん.mp3]&lt;/div&gt;</v>
      </c>
      <c r="H6193" s="3" t="str">
        <f t="shared" si="1"/>
        <v>(n): mảnh vỡ</v>
      </c>
      <c r="I6193" s="6" t="s">
        <v>33702</v>
      </c>
      <c r="J6193" s="6" t="s">
        <v>33703</v>
      </c>
      <c r="K6193" s="7">
        <f t="shared" si="2"/>
        <v>0.6087434527</v>
      </c>
    </row>
    <row r="6194">
      <c r="A6194" s="4">
        <v>6194.0</v>
      </c>
      <c r="B6194" s="5" t="s">
        <v>33704</v>
      </c>
      <c r="C6194" s="5" t="s">
        <v>5271</v>
      </c>
      <c r="D6194" s="5" t="s">
        <v>33705</v>
      </c>
      <c r="E6194" s="6" t="s">
        <v>74</v>
      </c>
      <c r="F6194" s="6" t="s">
        <v>33706</v>
      </c>
      <c r="G6194" s="3" t="str">
        <f>IFERROR(__xludf.DUMMYFUNCTION("REGEXREPLACE(
D6194,
""([一-龯々]+)\[([^\]]+)\]"",
""&lt;ruby&gt;$1&lt;rt&gt;$2&lt;/rt&gt;&lt;/ruby&gt;""
)&amp;""&lt;br&gt;&lt;div class=""""audio""""&gt;[sound:""&amp;C6194&amp;"".mp3]&lt;/div&gt;"""),"&lt;ruby&gt;近視&lt;rt&gt;きんし&lt;/rt&gt;&lt;/ruby&gt;&lt;br&gt;&lt;div class=""audio""&gt;[sound:きんし.mp3]&lt;/div&gt;")</f>
        <v>&lt;ruby&gt;近視&lt;rt&gt;きんし&lt;/rt&gt;&lt;/ruby&gt;&lt;br&gt;&lt;div class="audio"&gt;[sound:きんし.mp3]&lt;/div&gt;</v>
      </c>
      <c r="H6194" s="3" t="str">
        <f t="shared" si="1"/>
        <v>(n): cận thị</v>
      </c>
      <c r="I6194" s="6" t="s">
        <v>33707</v>
      </c>
      <c r="J6194" s="6" t="s">
        <v>33708</v>
      </c>
      <c r="K6194" s="7">
        <f t="shared" si="2"/>
        <v>0.9800294937</v>
      </c>
    </row>
    <row r="6195">
      <c r="A6195" s="4">
        <v>6195.0</v>
      </c>
      <c r="B6195" s="5" t="s">
        <v>33709</v>
      </c>
      <c r="C6195" s="5" t="s">
        <v>33710</v>
      </c>
      <c r="D6195" s="5" t="s">
        <v>33711</v>
      </c>
      <c r="E6195" s="6" t="s">
        <v>74</v>
      </c>
      <c r="F6195" s="6" t="s">
        <v>33712</v>
      </c>
      <c r="G6195" s="3" t="str">
        <f>IFERROR(__xludf.DUMMYFUNCTION("REGEXREPLACE(
D6195,
""([一-龯々]+)\[([^\]]+)\]"",
""&lt;ruby&gt;$1&lt;rt&gt;$2&lt;/rt&gt;&lt;/ruby&gt;""
)&amp;""&lt;br&gt;&lt;div class=""""audio""""&gt;[sound:""&amp;C6195&amp;"".mp3]&lt;/div&gt;"""),"&lt;ruby&gt;爪&lt;rt&gt;つめ&lt;/rt&gt;&lt;/ruby&gt;&lt;br&gt;&lt;div class=""audio""&gt;[sound:つめ.mp3]&lt;/div&gt;")</f>
        <v>&lt;ruby&gt;爪&lt;rt&gt;つめ&lt;/rt&gt;&lt;/ruby&gt;&lt;br&gt;&lt;div class="audio"&gt;[sound:つめ.mp3]&lt;/div&gt;</v>
      </c>
      <c r="H6195" s="3" t="str">
        <f t="shared" si="1"/>
        <v>(n): móng</v>
      </c>
      <c r="I6195" s="6" t="s">
        <v>33713</v>
      </c>
      <c r="J6195" s="6" t="s">
        <v>33714</v>
      </c>
      <c r="K6195" s="7">
        <f t="shared" si="2"/>
        <v>0.0535857136</v>
      </c>
    </row>
    <row r="6196">
      <c r="A6196" s="4">
        <v>6196.0</v>
      </c>
      <c r="B6196" s="5" t="s">
        <v>33715</v>
      </c>
      <c r="C6196" s="5" t="s">
        <v>20563</v>
      </c>
      <c r="D6196" s="5" t="s">
        <v>33716</v>
      </c>
      <c r="E6196" s="6" t="s">
        <v>74</v>
      </c>
      <c r="F6196" s="6" t="s">
        <v>33717</v>
      </c>
      <c r="G6196" s="3" t="str">
        <f>IFERROR(__xludf.DUMMYFUNCTION("REGEXREPLACE(
D6196,
""([一-龯々]+)\[([^\]]+)\]"",
""&lt;ruby&gt;$1&lt;rt&gt;$2&lt;/rt&gt;&lt;/ruby&gt;""
)&amp;""&lt;br&gt;&lt;div class=""""audio""""&gt;[sound:""&amp;C6196&amp;"".mp3]&lt;/div&gt;"""),"&lt;ruby&gt;埃&lt;rt&gt;ほこり&lt;/rt&gt;&lt;/ruby&gt;&lt;br&gt;&lt;div class=""audio""&gt;[sound:ほこり.mp3]&lt;/div&gt;")</f>
        <v>&lt;ruby&gt;埃&lt;rt&gt;ほこり&lt;/rt&gt;&lt;/ruby&gt;&lt;br&gt;&lt;div class="audio"&gt;[sound:ほこり.mp3]&lt;/div&gt;</v>
      </c>
      <c r="H6196" s="3" t="str">
        <f t="shared" si="1"/>
        <v>(n): bụi</v>
      </c>
      <c r="I6196" s="6" t="s">
        <v>33718</v>
      </c>
      <c r="J6196" s="6" t="s">
        <v>33719</v>
      </c>
      <c r="K6196" s="7">
        <f t="shared" si="2"/>
        <v>0.5789908301</v>
      </c>
    </row>
    <row r="6197">
      <c r="A6197" s="4">
        <v>6197.0</v>
      </c>
      <c r="B6197" s="5" t="s">
        <v>33720</v>
      </c>
      <c r="C6197" s="5" t="s">
        <v>33721</v>
      </c>
      <c r="D6197" s="5" t="s">
        <v>33722</v>
      </c>
      <c r="E6197" s="6" t="s">
        <v>74</v>
      </c>
      <c r="F6197" s="6" t="s">
        <v>33723</v>
      </c>
      <c r="G6197" s="3" t="str">
        <f>IFERROR(__xludf.DUMMYFUNCTION("REGEXREPLACE(
D6197,
""([一-龯々]+)\[([^\]]+)\]"",
""&lt;ruby&gt;$1&lt;rt&gt;$2&lt;/rt&gt;&lt;/ruby&gt;""
)&amp;""&lt;br&gt;&lt;div class=""""audio""""&gt;[sound:""&amp;C6197&amp;"".mp3]&lt;/div&gt;"""),"&lt;ruby&gt;短編&lt;rt&gt;たんぺん&lt;/rt&gt;&lt;/ruby&gt;&lt;br&gt;&lt;div class=""audio""&gt;[sound:たんぺん.mp3]&lt;/div&gt;")</f>
        <v>&lt;ruby&gt;短編&lt;rt&gt;たんぺん&lt;/rt&gt;&lt;/ruby&gt;&lt;br&gt;&lt;div class="audio"&gt;[sound:たんぺん.mp3]&lt;/div&gt;</v>
      </c>
      <c r="H6197" s="3" t="str">
        <f t="shared" si="1"/>
        <v>(n): truyện ngắn</v>
      </c>
      <c r="I6197" s="6" t="s">
        <v>33724</v>
      </c>
      <c r="J6197" s="6" t="s">
        <v>33725</v>
      </c>
      <c r="K6197" s="7">
        <f t="shared" si="2"/>
        <v>0.8948177886</v>
      </c>
    </row>
    <row r="6198">
      <c r="A6198" s="4">
        <v>6198.0</v>
      </c>
      <c r="B6198" s="5" t="s">
        <v>33726</v>
      </c>
      <c r="C6198" s="5" t="s">
        <v>33727</v>
      </c>
      <c r="D6198" s="5" t="s">
        <v>33728</v>
      </c>
      <c r="E6198" s="6" t="s">
        <v>74</v>
      </c>
      <c r="F6198" s="6" t="s">
        <v>15393</v>
      </c>
      <c r="G6198" s="3" t="str">
        <f>IFERROR(__xludf.DUMMYFUNCTION("REGEXREPLACE(
D6198,
""([一-龯々]+)\[([^\]]+)\]"",
""&lt;ruby&gt;$1&lt;rt&gt;$2&lt;/rt&gt;&lt;/ruby&gt;""
)&amp;""&lt;br&gt;&lt;div class=""""audio""""&gt;[sound:""&amp;C6198&amp;"".mp3]&lt;/div&gt;"""),"&lt;ruby&gt;速力&lt;rt&gt;そくりょく&lt;/rt&gt;&lt;/ruby&gt;&lt;br&gt;&lt;div class=""audio""&gt;[sound:そくりょく.mp3]&lt;/div&gt;")</f>
        <v>&lt;ruby&gt;速力&lt;rt&gt;そくりょく&lt;/rt&gt;&lt;/ruby&gt;&lt;br&gt;&lt;div class="audio"&gt;[sound:そくりょく.mp3]&lt;/div&gt;</v>
      </c>
      <c r="H6198" s="3" t="str">
        <f t="shared" si="1"/>
        <v>(n): tốc độ</v>
      </c>
      <c r="I6198" s="6" t="s">
        <v>33729</v>
      </c>
      <c r="J6198" s="6" t="s">
        <v>33730</v>
      </c>
      <c r="K6198" s="7">
        <f t="shared" si="2"/>
        <v>0.05211557757</v>
      </c>
    </row>
    <row r="6199">
      <c r="A6199" s="4">
        <v>6199.0</v>
      </c>
      <c r="B6199" s="5" t="s">
        <v>33731</v>
      </c>
      <c r="C6199" s="5" t="s">
        <v>33732</v>
      </c>
      <c r="D6199" s="5" t="s">
        <v>33733</v>
      </c>
      <c r="E6199" s="6" t="s">
        <v>74</v>
      </c>
      <c r="F6199" s="6" t="s">
        <v>21741</v>
      </c>
      <c r="G6199" s="3" t="str">
        <f>IFERROR(__xludf.DUMMYFUNCTION("REGEXREPLACE(
D6199,
""([一-龯々]+)\[([^\]]+)\]"",
""&lt;ruby&gt;$1&lt;rt&gt;$2&lt;/rt&gt;&lt;/ruby&gt;""
)&amp;""&lt;br&gt;&lt;div class=""""audio""""&gt;[sound:""&amp;C6199&amp;"".mp3]&lt;/div&gt;"""),"&lt;ruby&gt;演劇&lt;rt&gt;えんげき&lt;/rt&gt;&lt;/ruby&gt;&lt;br&gt;&lt;div class=""audio""&gt;[sound:えんげき.mp3]&lt;/div&gt;")</f>
        <v>&lt;ruby&gt;演劇&lt;rt&gt;えんげき&lt;/rt&gt;&lt;/ruby&gt;&lt;br&gt;&lt;div class="audio"&gt;[sound:えんげき.mp3]&lt;/div&gt;</v>
      </c>
      <c r="H6199" s="3" t="str">
        <f t="shared" si="1"/>
        <v>(n): kịch</v>
      </c>
      <c r="I6199" s="6" t="s">
        <v>33734</v>
      </c>
      <c r="J6199" s="6" t="s">
        <v>33735</v>
      </c>
      <c r="K6199" s="7">
        <f t="shared" si="2"/>
        <v>0.5284201822</v>
      </c>
    </row>
    <row r="6200">
      <c r="A6200" s="4">
        <v>6200.0</v>
      </c>
      <c r="B6200" s="5" t="s">
        <v>33736</v>
      </c>
      <c r="C6200" s="5" t="s">
        <v>4262</v>
      </c>
      <c r="D6200" s="5" t="s">
        <v>33737</v>
      </c>
      <c r="E6200" s="6" t="s">
        <v>24</v>
      </c>
      <c r="F6200" s="6" t="s">
        <v>4264</v>
      </c>
      <c r="G6200" s="3" t="str">
        <f>IFERROR(__xludf.DUMMYFUNCTION("REGEXREPLACE(
D6200,
""([一-龯々]+)\[([^\]]+)\]"",
""&lt;ruby&gt;$1&lt;rt&gt;$2&lt;/rt&gt;&lt;/ruby&gt;""
)&amp;""&lt;br&gt;&lt;div class=""""audio""""&gt;[sound:""&amp;C6200&amp;"".mp3]&lt;/div&gt;"""),"&lt;ruby&gt;討&lt;rt&gt;う&lt;/rt&gt;&lt;/ruby&gt;つ&lt;br&gt;&lt;div class=""audio""&gt;[sound:うつ.mp3]&lt;/div&gt;")</f>
        <v>&lt;ruby&gt;討&lt;rt&gt;う&lt;/rt&gt;&lt;/ruby&gt;つ&lt;br&gt;&lt;div class="audio"&gt;[sound:うつ.mp3]&lt;/div&gt;</v>
      </c>
      <c r="H6200" s="3" t="str">
        <f t="shared" si="1"/>
        <v>(v): đánh</v>
      </c>
      <c r="I6200" s="6" t="s">
        <v>33738</v>
      </c>
      <c r="J6200" s="6" t="s">
        <v>33739</v>
      </c>
      <c r="K6200" s="7">
        <f t="shared" si="2"/>
        <v>0.5070498059</v>
      </c>
    </row>
    <row r="6201">
      <c r="A6201" s="4">
        <v>6201.0</v>
      </c>
      <c r="B6201" s="5" t="s">
        <v>33740</v>
      </c>
      <c r="C6201" s="5" t="s">
        <v>33741</v>
      </c>
      <c r="D6201" s="5" t="s">
        <v>33742</v>
      </c>
      <c r="E6201" s="6" t="s">
        <v>74</v>
      </c>
      <c r="F6201" s="6" t="s">
        <v>24562</v>
      </c>
      <c r="G6201" s="3" t="str">
        <f>IFERROR(__xludf.DUMMYFUNCTION("REGEXREPLACE(
D6201,
""([一-龯々]+)\[([^\]]+)\]"",
""&lt;ruby&gt;$1&lt;rt&gt;$2&lt;/rt&gt;&lt;/ruby&gt;""
)&amp;""&lt;br&gt;&lt;div class=""""audio""""&gt;[sound:""&amp;C6201&amp;"".mp3]&lt;/div&gt;"""),"&lt;ruby&gt;編&lt;rt&gt;あ&lt;/rt&gt;&lt;/ruby&gt;み&lt;ruby&gt;物&lt;rt&gt;もの&lt;/rt&gt;&lt;/ruby&gt;&lt;br&gt;&lt;div class=""audio""&gt;[sound:あみもの.mp3]&lt;/div&gt;")</f>
        <v>&lt;ruby&gt;編&lt;rt&gt;あ&lt;/rt&gt;&lt;/ruby&gt;み&lt;ruby&gt;物&lt;rt&gt;もの&lt;/rt&gt;&lt;/ruby&gt;&lt;br&gt;&lt;div class="audio"&gt;[sound:あみもの.mp3]&lt;/div&gt;</v>
      </c>
      <c r="H6201" s="3" t="str">
        <f t="shared" si="1"/>
        <v>(n): đan</v>
      </c>
      <c r="I6201" s="6" t="s">
        <v>33743</v>
      </c>
      <c r="J6201" s="6" t="s">
        <v>33744</v>
      </c>
      <c r="K6201" s="7">
        <f t="shared" si="2"/>
        <v>0.8290239032</v>
      </c>
    </row>
    <row r="6202">
      <c r="A6202" s="4">
        <v>6202.0</v>
      </c>
      <c r="B6202" s="5" t="s">
        <v>33745</v>
      </c>
      <c r="C6202" s="5" t="s">
        <v>33746</v>
      </c>
      <c r="D6202" s="5" t="s">
        <v>33747</v>
      </c>
      <c r="E6202" s="6" t="s">
        <v>24</v>
      </c>
      <c r="F6202" s="6" t="s">
        <v>33748</v>
      </c>
      <c r="G6202" s="3" t="str">
        <f>IFERROR(__xludf.DUMMYFUNCTION("REGEXREPLACE(
D6202,
""([一-龯々]+)\[([^\]]+)\]"",
""&lt;ruby&gt;$1&lt;rt&gt;$2&lt;/rt&gt;&lt;/ruby&gt;""
)&amp;""&lt;br&gt;&lt;div class=""""audio""""&gt;[sound:""&amp;C6202&amp;"".mp3]&lt;/div&gt;"""),"&lt;ruby&gt;蒸&lt;rt&gt;む&lt;/rt&gt;&lt;/ruby&gt;す&lt;br&gt;&lt;div class=""audio""&gt;[sound:むす.mp3]&lt;/div&gt;")</f>
        <v>&lt;ruby&gt;蒸&lt;rt&gt;む&lt;/rt&gt;&lt;/ruby&gt;す&lt;br&gt;&lt;div class="audio"&gt;[sound:むす.mp3]&lt;/div&gt;</v>
      </c>
      <c r="H6202" s="3" t="str">
        <f t="shared" si="1"/>
        <v>(v): hấp</v>
      </c>
      <c r="I6202" s="6" t="s">
        <v>33749</v>
      </c>
      <c r="J6202" s="6" t="s">
        <v>33750</v>
      </c>
      <c r="K6202" s="7">
        <f t="shared" si="2"/>
        <v>0.2846385473</v>
      </c>
    </row>
    <row r="6203">
      <c r="A6203" s="4">
        <v>6203.0</v>
      </c>
      <c r="B6203" s="5" t="s">
        <v>33751</v>
      </c>
      <c r="C6203" s="5" t="s">
        <v>33752</v>
      </c>
      <c r="D6203" s="5" t="s">
        <v>33751</v>
      </c>
      <c r="E6203" s="6" t="s">
        <v>74</v>
      </c>
      <c r="F6203" s="6" t="s">
        <v>33753</v>
      </c>
      <c r="G6203" s="3" t="str">
        <f>IFERROR(__xludf.DUMMYFUNCTION("REGEXREPLACE(
D6203,
""([一-龯々]+)\[([^\]]+)\]"",
""&lt;ruby&gt;$1&lt;rt&gt;$2&lt;/rt&gt;&lt;/ruby&gt;""
)&amp;""&lt;br&gt;&lt;div class=""""audio""""&gt;[sound:""&amp;C6203&amp;"".mp3]&lt;/div&gt;"""),"ウール&lt;br&gt;&lt;div class=""audio""&gt;[sound:うーる.mp3]&lt;/div&gt;")</f>
        <v>ウール&lt;br&gt;&lt;div class="audio"&gt;[sound:うーる.mp3]&lt;/div&gt;</v>
      </c>
      <c r="H6203" s="3" t="str">
        <f t="shared" si="1"/>
        <v>(n): len</v>
      </c>
      <c r="I6203" s="6" t="s">
        <v>33754</v>
      </c>
      <c r="J6203" s="6" t="s">
        <v>24932</v>
      </c>
      <c r="K6203" s="7">
        <f t="shared" si="2"/>
        <v>0.4589721091</v>
      </c>
    </row>
    <row r="6204">
      <c r="A6204" s="4">
        <v>6204.0</v>
      </c>
      <c r="B6204" s="5" t="s">
        <v>33755</v>
      </c>
      <c r="C6204" s="5" t="s">
        <v>33755</v>
      </c>
      <c r="D6204" s="5" t="s">
        <v>33755</v>
      </c>
      <c r="E6204" s="6" t="s">
        <v>24</v>
      </c>
      <c r="F6204" s="6" t="s">
        <v>33756</v>
      </c>
      <c r="G6204" s="3" t="str">
        <f>IFERROR(__xludf.DUMMYFUNCTION("REGEXREPLACE(
D6204,
""([一-龯々]+)\[([^\]]+)\]"",
""&lt;ruby&gt;$1&lt;rt&gt;$2&lt;/rt&gt;&lt;/ruby&gt;""
)&amp;""&lt;br&gt;&lt;div class=""""audio""""&gt;[sound:""&amp;C6204&amp;"".mp3]&lt;/div&gt;"""),"しぼむ&lt;br&gt;&lt;div class=""audio""&gt;[sound:しぼむ.mp3]&lt;/div&gt;")</f>
        <v>しぼむ&lt;br&gt;&lt;div class="audio"&gt;[sound:しぼむ.mp3]&lt;/div&gt;</v>
      </c>
      <c r="H6204" s="3" t="str">
        <f t="shared" si="1"/>
        <v>(v): héo</v>
      </c>
      <c r="I6204" s="6" t="s">
        <v>33757</v>
      </c>
      <c r="J6204" s="6" t="s">
        <v>33758</v>
      </c>
      <c r="K6204" s="7">
        <f t="shared" si="2"/>
        <v>0.4658663957</v>
      </c>
    </row>
    <row r="6205">
      <c r="A6205" s="4">
        <v>6205.0</v>
      </c>
      <c r="B6205" s="5" t="s">
        <v>33759</v>
      </c>
      <c r="C6205" s="5" t="s">
        <v>33760</v>
      </c>
      <c r="D6205" s="5" t="s">
        <v>33761</v>
      </c>
      <c r="E6205" s="6" t="s">
        <v>74</v>
      </c>
      <c r="F6205" s="6" t="s">
        <v>21789</v>
      </c>
      <c r="G6205" s="3" t="str">
        <f>IFERROR(__xludf.DUMMYFUNCTION("REGEXREPLACE(
D6205,
""([一-龯々]+)\[([^\]]+)\]"",
""&lt;ruby&gt;$1&lt;rt&gt;$2&lt;/rt&gt;&lt;/ruby&gt;""
)&amp;""&lt;br&gt;&lt;div class=""""audio""""&gt;[sound:""&amp;C6205&amp;"".mp3]&lt;/div&gt;"""),"&lt;ruby&gt;包&lt;rt&gt;つつ&lt;/rt&gt;&lt;/ruby&gt;み&lt;br&gt;&lt;div class=""audio""&gt;[sound:つつみ.mp3]&lt;/div&gt;")</f>
        <v>&lt;ruby&gt;包&lt;rt&gt;つつ&lt;/rt&gt;&lt;/ruby&gt;み&lt;br&gt;&lt;div class="audio"&gt;[sound:つつみ.mp3]&lt;/div&gt;</v>
      </c>
      <c r="H6205" s="3" t="str">
        <f t="shared" si="1"/>
        <v>(n): gói</v>
      </c>
      <c r="I6205" s="6" t="s">
        <v>33762</v>
      </c>
      <c r="J6205" s="6" t="s">
        <v>33763</v>
      </c>
      <c r="K6205" s="7">
        <f t="shared" si="2"/>
        <v>0.8940988142</v>
      </c>
    </row>
    <row r="6206">
      <c r="A6206" s="4">
        <v>6206.0</v>
      </c>
      <c r="B6206" s="5" t="s">
        <v>33764</v>
      </c>
      <c r="C6206" s="5" t="s">
        <v>33765</v>
      </c>
      <c r="D6206" s="5" t="s">
        <v>33766</v>
      </c>
      <c r="E6206" s="6" t="s">
        <v>74</v>
      </c>
      <c r="F6206" s="6" t="s">
        <v>26297</v>
      </c>
      <c r="G6206" s="3" t="str">
        <f>IFERROR(__xludf.DUMMYFUNCTION("REGEXREPLACE(
D6206,
""([一-龯々]+)\[([^\]]+)\]"",
""&lt;ruby&gt;$1&lt;rt&gt;$2&lt;/rt&gt;&lt;/ruby&gt;""
)&amp;""&lt;br&gt;&lt;div class=""""audio""""&gt;[sound:""&amp;C6206&amp;"".mp3]&lt;/div&gt;"""),"&lt;ruby&gt;頬&lt;rt&gt;ほお&lt;/rt&gt;&lt;/ruby&gt;&lt;br&gt;&lt;div class=""audio""&gt;[sound:ほお.mp3]&lt;/div&gt;")</f>
        <v>&lt;ruby&gt;頬&lt;rt&gt;ほお&lt;/rt&gt;&lt;/ruby&gt;&lt;br&gt;&lt;div class="audio"&gt;[sound:ほお.mp3]&lt;/div&gt;</v>
      </c>
      <c r="H6206" s="3" t="str">
        <f t="shared" si="1"/>
        <v>(n): má</v>
      </c>
      <c r="I6206" s="6" t="s">
        <v>33767</v>
      </c>
      <c r="J6206" s="6" t="s">
        <v>33768</v>
      </c>
      <c r="K6206" s="7">
        <f t="shared" si="2"/>
        <v>0.6482465001</v>
      </c>
    </row>
    <row r="6207">
      <c r="A6207" s="4">
        <v>6207.0</v>
      </c>
      <c r="B6207" s="5" t="s">
        <v>33769</v>
      </c>
      <c r="C6207" s="5" t="s">
        <v>33770</v>
      </c>
      <c r="D6207" s="5" t="s">
        <v>33771</v>
      </c>
      <c r="E6207" s="6" t="s">
        <v>74</v>
      </c>
      <c r="F6207" s="6" t="s">
        <v>33772</v>
      </c>
      <c r="G6207" s="3" t="str">
        <f>IFERROR(__xludf.DUMMYFUNCTION("REGEXREPLACE(
D6207,
""([一-龯々]+)\[([^\]]+)\]"",
""&lt;ruby&gt;$1&lt;rt&gt;$2&lt;/rt&gt;&lt;/ruby&gt;""
)&amp;""&lt;br&gt;&lt;div class=""""audio""""&gt;[sound:""&amp;C6207&amp;"".mp3]&lt;/div&gt;"""),"&lt;ruby&gt;釣&lt;rt&gt;つり&lt;/rt&gt;&lt;/ruby&gt;&lt;br&gt;&lt;div class=""audio""&gt;[sound:つり.mp3]&lt;/div&gt;")</f>
        <v>&lt;ruby&gt;釣&lt;rt&gt;つり&lt;/rt&gt;&lt;/ruby&gt;&lt;br&gt;&lt;div class="audio"&gt;[sound:つり.mp3]&lt;/div&gt;</v>
      </c>
      <c r="H6207" s="3" t="str">
        <f t="shared" si="1"/>
        <v>(n): câu cá</v>
      </c>
      <c r="I6207" s="6" t="s">
        <v>33773</v>
      </c>
      <c r="J6207" s="6" t="s">
        <v>33774</v>
      </c>
      <c r="K6207" s="7">
        <f t="shared" si="2"/>
        <v>0.4987586726</v>
      </c>
    </row>
    <row r="6208">
      <c r="A6208" s="4">
        <v>6208.0</v>
      </c>
      <c r="B6208" s="5" t="s">
        <v>33775</v>
      </c>
      <c r="C6208" s="5" t="s">
        <v>33775</v>
      </c>
      <c r="D6208" s="5" t="s">
        <v>33775</v>
      </c>
      <c r="E6208" s="6" t="s">
        <v>74</v>
      </c>
      <c r="F6208" s="6" t="s">
        <v>33776</v>
      </c>
      <c r="G6208" s="3" t="str">
        <f>IFERROR(__xludf.DUMMYFUNCTION("REGEXREPLACE(
D6208,
""([一-龯々]+)\[([^\]]+)\]"",
""&lt;ruby&gt;$1&lt;rt&gt;$2&lt;/rt&gt;&lt;/ruby&gt;""
)&amp;""&lt;br&gt;&lt;div class=""""audio""""&gt;[sound:""&amp;C6208&amp;"".mp3]&lt;/div&gt;"""),"へそ&lt;br&gt;&lt;div class=""audio""&gt;[sound:へそ.mp3]&lt;/div&gt;")</f>
        <v>へそ&lt;br&gt;&lt;div class="audio"&gt;[sound:へそ.mp3]&lt;/div&gt;</v>
      </c>
      <c r="H6208" s="3" t="str">
        <f t="shared" si="1"/>
        <v>(n): rốn</v>
      </c>
      <c r="I6208" s="6" t="s">
        <v>33777</v>
      </c>
      <c r="J6208" s="6" t="s">
        <v>33778</v>
      </c>
      <c r="K6208" s="7">
        <f t="shared" si="2"/>
        <v>0.6949677246</v>
      </c>
    </row>
    <row r="6209">
      <c r="A6209" s="4">
        <v>6209.0</v>
      </c>
      <c r="B6209" s="5" t="s">
        <v>33779</v>
      </c>
      <c r="C6209" s="5" t="s">
        <v>33779</v>
      </c>
      <c r="D6209" s="5" t="s">
        <v>33779</v>
      </c>
      <c r="E6209" s="6" t="s">
        <v>24</v>
      </c>
      <c r="F6209" s="6" t="s">
        <v>28794</v>
      </c>
      <c r="G6209" s="3" t="str">
        <f>IFERROR(__xludf.DUMMYFUNCTION("REGEXREPLACE(
D6209,
""([一-龯々]+)\[([^\]]+)\]"",
""&lt;ruby&gt;$1&lt;rt&gt;$2&lt;/rt&gt;&lt;/ruby&gt;""
)&amp;""&lt;br&gt;&lt;div class=""""audio""""&gt;[sound:""&amp;C6209&amp;"".mp3]&lt;/div&gt;"""),"しゃぶる&lt;br&gt;&lt;div class=""audio""&gt;[sound:しゃぶる.mp3]&lt;/div&gt;")</f>
        <v>しゃぶる&lt;br&gt;&lt;div class="audio"&gt;[sound:しゃぶる.mp3]&lt;/div&gt;</v>
      </c>
      <c r="H6209" s="3" t="str">
        <f t="shared" si="1"/>
        <v>(v): ngậm</v>
      </c>
      <c r="I6209" s="6" t="s">
        <v>33780</v>
      </c>
      <c r="J6209" s="6" t="s">
        <v>33781</v>
      </c>
      <c r="K6209" s="7">
        <f t="shared" si="2"/>
        <v>0.4693856797</v>
      </c>
    </row>
    <row r="6210">
      <c r="A6210" s="4">
        <v>6210.0</v>
      </c>
      <c r="B6210" s="5" t="s">
        <v>33782</v>
      </c>
      <c r="C6210" s="5" t="s">
        <v>33783</v>
      </c>
      <c r="D6210" s="5" t="s">
        <v>33784</v>
      </c>
      <c r="E6210" s="6" t="s">
        <v>74</v>
      </c>
      <c r="F6210" s="6" t="s">
        <v>8111</v>
      </c>
      <c r="G6210" s="3" t="str">
        <f>IFERROR(__xludf.DUMMYFUNCTION("REGEXREPLACE(
D6210,
""([一-龯々]+)\[([^\]]+)\]"",
""&lt;ruby&gt;$1&lt;rt&gt;$2&lt;/rt&gt;&lt;/ruby&gt;""
)&amp;""&lt;br&gt;&lt;div class=""""audio""""&gt;[sound:""&amp;C6210&amp;"".mp3]&lt;/div&gt;"""),"&lt;ruby&gt;切&lt;rt&gt;き&lt;/rt&gt;&lt;/ruby&gt;れ&lt;br&gt;&lt;div class=""audio""&gt;[sound:きれ.mp3]&lt;/div&gt;")</f>
        <v>&lt;ruby&gt;切&lt;rt&gt;き&lt;/rt&gt;&lt;/ruby&gt;れ&lt;br&gt;&lt;div class="audio"&gt;[sound:きれ.mp3]&lt;/div&gt;</v>
      </c>
      <c r="H6210" s="3" t="str">
        <f t="shared" si="1"/>
        <v>(n): mảnh</v>
      </c>
      <c r="I6210" s="6" t="s">
        <v>33785</v>
      </c>
      <c r="J6210" s="6" t="s">
        <v>33786</v>
      </c>
      <c r="K6210" s="7">
        <f t="shared" si="2"/>
        <v>0.3326741591</v>
      </c>
    </row>
    <row r="6211">
      <c r="A6211" s="4">
        <v>6211.0</v>
      </c>
      <c r="B6211" s="5" t="s">
        <v>33787</v>
      </c>
      <c r="C6211" s="5" t="s">
        <v>17738</v>
      </c>
      <c r="D6211" s="5" t="s">
        <v>33788</v>
      </c>
      <c r="E6211" s="6" t="s">
        <v>24</v>
      </c>
      <c r="F6211" s="6" t="s">
        <v>33789</v>
      </c>
      <c r="G6211" s="3" t="str">
        <f>IFERROR(__xludf.DUMMYFUNCTION("REGEXREPLACE(
D6211,
""([一-龯々]+)\[([^\]]+)\]"",
""&lt;ruby&gt;$1&lt;rt&gt;$2&lt;/rt&gt;&lt;/ruby&gt;""
)&amp;""&lt;br&gt;&lt;div class=""""audio""""&gt;[sound:""&amp;C6211&amp;"".mp3]&lt;/div&gt;"""),"&lt;ruby&gt;煮&lt;rt&gt;に&lt;/rt&gt;&lt;/ruby&gt;る&lt;br&gt;&lt;div class=""audio""&gt;[sound:にる.mp3]&lt;/div&gt;")</f>
        <v>&lt;ruby&gt;煮&lt;rt&gt;に&lt;/rt&gt;&lt;/ruby&gt;る&lt;br&gt;&lt;div class="audio"&gt;[sound:にる.mp3]&lt;/div&gt;</v>
      </c>
      <c r="H6211" s="3" t="str">
        <f t="shared" si="1"/>
        <v>(v): ninh</v>
      </c>
      <c r="I6211" s="6" t="s">
        <v>33790</v>
      </c>
      <c r="J6211" s="6" t="s">
        <v>33791</v>
      </c>
      <c r="K6211" s="7">
        <f t="shared" si="2"/>
        <v>0.3528104429</v>
      </c>
    </row>
    <row r="6212">
      <c r="A6212" s="4">
        <v>6212.0</v>
      </c>
      <c r="B6212" s="5" t="s">
        <v>33792</v>
      </c>
      <c r="C6212" s="5" t="s">
        <v>3920</v>
      </c>
      <c r="D6212" s="5" t="s">
        <v>33793</v>
      </c>
      <c r="E6212" s="6" t="s">
        <v>74</v>
      </c>
      <c r="F6212" s="6" t="s">
        <v>33794</v>
      </c>
      <c r="G6212" s="3" t="str">
        <f>IFERROR(__xludf.DUMMYFUNCTION("REGEXREPLACE(
D6212,
""([一-龯々]+)\[([^\]]+)\]"",
""&lt;ruby&gt;$1&lt;rt&gt;$2&lt;/rt&gt;&lt;/ruby&gt;""
)&amp;""&lt;br&gt;&lt;div class=""""audio""""&gt;[sound:""&amp;C6212&amp;"".mp3]&lt;/div&gt;"""),"&lt;ruby&gt;銃&lt;rt&gt;じゅう&lt;/rt&gt;&lt;/ruby&gt;&lt;br&gt;&lt;div class=""audio""&gt;[sound:じゅう.mp3]&lt;/div&gt;")</f>
        <v>&lt;ruby&gt;銃&lt;rt&gt;じゅう&lt;/rt&gt;&lt;/ruby&gt;&lt;br&gt;&lt;div class="audio"&gt;[sound:じゅう.mp3]&lt;/div&gt;</v>
      </c>
      <c r="H6212" s="3" t="str">
        <f t="shared" si="1"/>
        <v>(n): súng</v>
      </c>
      <c r="I6212" s="6" t="s">
        <v>33795</v>
      </c>
      <c r="J6212" s="6" t="s">
        <v>33796</v>
      </c>
      <c r="K6212" s="7">
        <f t="shared" si="2"/>
        <v>0.1993572858</v>
      </c>
    </row>
    <row r="6213">
      <c r="A6213" s="4">
        <v>6213.0</v>
      </c>
      <c r="B6213" s="5" t="s">
        <v>33797</v>
      </c>
      <c r="C6213" s="5" t="s">
        <v>33797</v>
      </c>
      <c r="D6213" s="5" t="s">
        <v>33797</v>
      </c>
      <c r="E6213" s="6" t="s">
        <v>74</v>
      </c>
      <c r="F6213" s="6" t="s">
        <v>11781</v>
      </c>
      <c r="G6213" s="3" t="str">
        <f>IFERROR(__xludf.DUMMYFUNCTION("REGEXREPLACE(
D6213,
""([一-龯々]+)\[([^\]]+)\]"",
""&lt;ruby&gt;$1&lt;rt&gt;$2&lt;/rt&gt;&lt;/ruby&gt;""
)&amp;""&lt;br&gt;&lt;div class=""""audio""""&gt;[sound:""&amp;C6213&amp;"".mp3]&lt;/div&gt;"""),"かるた&lt;br&gt;&lt;div class=""audio""&gt;[sound:かるた.mp3]&lt;/div&gt;")</f>
        <v>かるた&lt;br&gt;&lt;div class="audio"&gt;[sound:かるた.mp3]&lt;/div&gt;</v>
      </c>
      <c r="H6213" s="3" t="str">
        <f t="shared" si="1"/>
        <v>(n): bài</v>
      </c>
      <c r="I6213" s="6" t="s">
        <v>33798</v>
      </c>
      <c r="J6213" s="6" t="s">
        <v>25005</v>
      </c>
      <c r="K6213" s="7">
        <f t="shared" si="2"/>
        <v>0.5829196838</v>
      </c>
    </row>
    <row r="6214">
      <c r="A6214" s="4">
        <v>6214.0</v>
      </c>
      <c r="B6214" s="5" t="s">
        <v>33799</v>
      </c>
      <c r="C6214" s="5" t="s">
        <v>454</v>
      </c>
      <c r="D6214" s="5" t="s">
        <v>33800</v>
      </c>
      <c r="E6214" s="6" t="s">
        <v>74</v>
      </c>
      <c r="F6214" s="6" t="s">
        <v>33801</v>
      </c>
      <c r="G6214" s="3" t="str">
        <f>IFERROR(__xludf.DUMMYFUNCTION("REGEXREPLACE(
D6214,
""([一-龯々]+)\[([^\]]+)\]"",
""&lt;ruby&gt;$1&lt;rt&gt;$2&lt;/rt&gt;&lt;/ruby&gt;""
)&amp;""&lt;br&gt;&lt;div class=""""audio""""&gt;[sound:""&amp;C6214&amp;"".mp3]&lt;/div&gt;"""),"&lt;ruby&gt;灯&lt;rt&gt;ひ&lt;/rt&gt;&lt;/ruby&gt;&lt;br&gt;&lt;div class=""audio""&gt;[sound:ひ.mp3]&lt;/div&gt;")</f>
        <v>&lt;ruby&gt;灯&lt;rt&gt;ひ&lt;/rt&gt;&lt;/ruby&gt;&lt;br&gt;&lt;div class="audio"&gt;[sound:ひ.mp3]&lt;/div&gt;</v>
      </c>
      <c r="H6214" s="3" t="str">
        <f t="shared" si="1"/>
        <v>(n): ánh đèn</v>
      </c>
      <c r="I6214" s="6" t="s">
        <v>33802</v>
      </c>
      <c r="J6214" s="6" t="s">
        <v>33803</v>
      </c>
      <c r="K6214" s="7">
        <f t="shared" si="2"/>
        <v>0.9929925087</v>
      </c>
    </row>
    <row r="6215">
      <c r="A6215" s="4">
        <v>6215.0</v>
      </c>
      <c r="B6215" s="5" t="s">
        <v>33804</v>
      </c>
      <c r="C6215" s="5" t="s">
        <v>33445</v>
      </c>
      <c r="D6215" s="5" t="s">
        <v>33805</v>
      </c>
      <c r="E6215" s="6" t="s">
        <v>74</v>
      </c>
      <c r="F6215" s="6" t="s">
        <v>33806</v>
      </c>
      <c r="G6215" s="3" t="str">
        <f>IFERROR(__xludf.DUMMYFUNCTION("REGEXREPLACE(
D6215,
""([一-龯々]+)\[([^\]]+)\]"",
""&lt;ruby&gt;$1&lt;rt&gt;$2&lt;/rt&gt;&lt;/ruby&gt;""
)&amp;""&lt;br&gt;&lt;div class=""""audio""""&gt;[sound:""&amp;C6215&amp;"".mp3]&lt;/div&gt;"""),"&lt;ruby&gt;碗&lt;rt&gt;わん&lt;/rt&gt;&lt;/ruby&gt;&lt;br&gt;&lt;div class=""audio""&gt;[sound:わん.mp3]&lt;/div&gt;")</f>
        <v>&lt;ruby&gt;碗&lt;rt&gt;わん&lt;/rt&gt;&lt;/ruby&gt;&lt;br&gt;&lt;div class="audio"&gt;[sound:わん.mp3]&lt;/div&gt;</v>
      </c>
      <c r="H6215" s="3" t="str">
        <f t="shared" si="1"/>
        <v>(n): cái bát</v>
      </c>
      <c r="I6215" s="6" t="s">
        <v>33807</v>
      </c>
      <c r="J6215" s="6" t="s">
        <v>29533</v>
      </c>
      <c r="K6215" s="7">
        <f t="shared" si="2"/>
        <v>0.4703189434</v>
      </c>
    </row>
    <row r="6216">
      <c r="A6216" s="4">
        <v>6216.0</v>
      </c>
      <c r="B6216" s="5" t="s">
        <v>33808</v>
      </c>
      <c r="C6216" s="5" t="s">
        <v>33809</v>
      </c>
      <c r="D6216" s="5" t="s">
        <v>33810</v>
      </c>
      <c r="E6216" s="6" t="s">
        <v>24</v>
      </c>
      <c r="F6216" s="6" t="s">
        <v>33811</v>
      </c>
      <c r="G6216" s="3" t="str">
        <f>IFERROR(__xludf.DUMMYFUNCTION("REGEXREPLACE(
D6216,
""([一-龯々]+)\[([^\]]+)\]"",
""&lt;ruby&gt;$1&lt;rt&gt;$2&lt;/rt&gt;&lt;/ruby&gt;""
)&amp;""&lt;br&gt;&lt;div class=""""audio""""&gt;[sound:""&amp;C6216&amp;"".mp3]&lt;/div&gt;"""),"&lt;ruby&gt;盛&lt;rt&gt;も&lt;/rt&gt;&lt;/ruby&gt;る&lt;br&gt;&lt;div class=""audio""&gt;[sound:もる.mp3]&lt;/div&gt;")</f>
        <v>&lt;ruby&gt;盛&lt;rt&gt;も&lt;/rt&gt;&lt;/ruby&gt;る&lt;br&gt;&lt;div class="audio"&gt;[sound:もる.mp3]&lt;/div&gt;</v>
      </c>
      <c r="H6216" s="3" t="str">
        <f t="shared" si="1"/>
        <v>(v): xới</v>
      </c>
      <c r="I6216" s="6" t="s">
        <v>33812</v>
      </c>
      <c r="J6216" s="6" t="s">
        <v>33813</v>
      </c>
      <c r="K6216" s="7">
        <f t="shared" si="2"/>
        <v>0.5928851948</v>
      </c>
    </row>
    <row r="6217">
      <c r="A6217" s="4">
        <v>6217.0</v>
      </c>
      <c r="B6217" s="5" t="s">
        <v>33814</v>
      </c>
      <c r="C6217" s="5" t="s">
        <v>19217</v>
      </c>
      <c r="D6217" s="5" t="s">
        <v>33815</v>
      </c>
      <c r="E6217" s="6" t="s">
        <v>74</v>
      </c>
      <c r="F6217" s="6" t="s">
        <v>33816</v>
      </c>
      <c r="G6217" s="3" t="str">
        <f>IFERROR(__xludf.DUMMYFUNCTION("REGEXREPLACE(
D6217,
""([一-龯々]+)\[([^\]]+)\]"",
""&lt;ruby&gt;$1&lt;rt&gt;$2&lt;/rt&gt;&lt;/ruby&gt;""
)&amp;""&lt;br&gt;&lt;div class=""""audio""""&gt;[sound:""&amp;C6217&amp;"".mp3]&lt;/div&gt;"""),"&lt;ruby&gt;生死&lt;rt&gt;せいし&lt;/rt&gt;&lt;/ruby&gt;&lt;br&gt;&lt;div class=""audio""&gt;[sound:せいし.mp3]&lt;/div&gt;")</f>
        <v>&lt;ruby&gt;生死&lt;rt&gt;せいし&lt;/rt&gt;&lt;/ruby&gt;&lt;br&gt;&lt;div class="audio"&gt;[sound:せいし.mp3]&lt;/div&gt;</v>
      </c>
      <c r="H6217" s="3" t="str">
        <f t="shared" si="1"/>
        <v>(n): sự sống và cái chết</v>
      </c>
      <c r="I6217" s="6" t="s">
        <v>33817</v>
      </c>
      <c r="J6217" s="6" t="s">
        <v>33818</v>
      </c>
      <c r="K6217" s="7">
        <f t="shared" si="2"/>
        <v>0.9309059588</v>
      </c>
    </row>
    <row r="6218">
      <c r="A6218" s="4">
        <v>6218.0</v>
      </c>
      <c r="B6218" s="5" t="s">
        <v>33819</v>
      </c>
      <c r="C6218" s="5" t="s">
        <v>33820</v>
      </c>
      <c r="D6218" s="5" t="s">
        <v>33821</v>
      </c>
      <c r="E6218" s="6" t="s">
        <v>74</v>
      </c>
      <c r="F6218" s="6" t="s">
        <v>33822</v>
      </c>
      <c r="G6218" s="3" t="str">
        <f>IFERROR(__xludf.DUMMYFUNCTION("REGEXREPLACE(
D6218,
""([一-龯々]+)\[([^\]]+)\]"",
""&lt;ruby&gt;$1&lt;rt&gt;$2&lt;/rt&gt;&lt;/ruby&gt;""
)&amp;""&lt;br&gt;&lt;div class=""""audio""""&gt;[sound:""&amp;C6218&amp;"".mp3]&lt;/div&gt;"""),"&lt;ruby&gt;転任&lt;rt&gt;てんにん&lt;/rt&gt;&lt;/ruby&gt;&lt;br&gt;&lt;div class=""audio""&gt;[sound:てんにん.mp3]&lt;/div&gt;")</f>
        <v>&lt;ruby&gt;転任&lt;rt&gt;てんにん&lt;/rt&gt;&lt;/ruby&gt;&lt;br&gt;&lt;div class="audio"&gt;[sound:てんにん.mp3]&lt;/div&gt;</v>
      </c>
      <c r="H6218" s="3" t="str">
        <f t="shared" si="1"/>
        <v>(n): sự chuyển công tác</v>
      </c>
      <c r="I6218" s="6" t="s">
        <v>33823</v>
      </c>
      <c r="J6218" s="6" t="s">
        <v>33824</v>
      </c>
      <c r="K6218" s="7">
        <f t="shared" si="2"/>
        <v>0.595960827</v>
      </c>
    </row>
    <row r="6219">
      <c r="A6219" s="4">
        <v>6219.0</v>
      </c>
      <c r="B6219" s="5" t="s">
        <v>33825</v>
      </c>
      <c r="C6219" s="5" t="s">
        <v>33826</v>
      </c>
      <c r="D6219" s="5" t="s">
        <v>33827</v>
      </c>
      <c r="E6219" s="6" t="s">
        <v>74</v>
      </c>
      <c r="F6219" s="6" t="s">
        <v>33828</v>
      </c>
      <c r="G6219" s="3" t="str">
        <f>IFERROR(__xludf.DUMMYFUNCTION("REGEXREPLACE(
D6219,
""([一-龯々]+)\[([^\]]+)\]"",
""&lt;ruby&gt;$1&lt;rt&gt;$2&lt;/rt&gt;&lt;/ruby&gt;""
)&amp;""&lt;br&gt;&lt;div class=""""audio""""&gt;[sound:""&amp;C6219&amp;"".mp3]&lt;/div&gt;"""),"&lt;ruby&gt;不順&lt;rt&gt;ふじゅん&lt;/rt&gt;&lt;/ruby&gt;&lt;br&gt;&lt;div class=""audio""&gt;[sound:ふじゅん.mp3]&lt;/div&gt;")</f>
        <v>&lt;ruby&gt;不順&lt;rt&gt;ふじゅん&lt;/rt&gt;&lt;/ruby&gt;&lt;br&gt;&lt;div class="audio"&gt;[sound:ふじゅん.mp3]&lt;/div&gt;</v>
      </c>
      <c r="H6219" s="3" t="str">
        <f t="shared" si="1"/>
        <v>(n): không bình thường</v>
      </c>
      <c r="I6219" s="6" t="s">
        <v>33829</v>
      </c>
      <c r="J6219" s="6" t="s">
        <v>33830</v>
      </c>
      <c r="K6219" s="7">
        <f t="shared" si="2"/>
        <v>0.01024583674</v>
      </c>
    </row>
    <row r="6220">
      <c r="A6220" s="4">
        <v>6220.0</v>
      </c>
      <c r="B6220" s="5" t="s">
        <v>33831</v>
      </c>
      <c r="C6220" s="5" t="s">
        <v>33831</v>
      </c>
      <c r="D6220" s="5" t="s">
        <v>33831</v>
      </c>
      <c r="E6220" s="6" t="s">
        <v>11</v>
      </c>
      <c r="F6220" s="6" t="s">
        <v>33832</v>
      </c>
      <c r="G6220" s="3" t="str">
        <f>IFERROR(__xludf.DUMMYFUNCTION("REGEXREPLACE(
D6220,
""([一-龯々]+)\[([^\]]+)\]"",
""&lt;ruby&gt;$1&lt;rt&gt;$2&lt;/rt&gt;&lt;/ruby&gt;""
)&amp;""&lt;br&gt;&lt;div class=""""audio""""&gt;[sound:""&amp;C6220&amp;"".mp3]&lt;/div&gt;"""),"とんだ&lt;br&gt;&lt;div class=""audio""&gt;[sound:とんだ.mp3]&lt;/div&gt;")</f>
        <v>とんだ&lt;br&gt;&lt;div class="audio"&gt;[sound:とんだ.mp3]&lt;/div&gt;</v>
      </c>
      <c r="H6220" s="3" t="str">
        <f t="shared" si="1"/>
        <v>(adj): thật khủng khiếp</v>
      </c>
      <c r="I6220" s="6" t="s">
        <v>33833</v>
      </c>
      <c r="J6220" s="6" t="s">
        <v>33834</v>
      </c>
      <c r="K6220" s="7">
        <f t="shared" si="2"/>
        <v>0.3843266327</v>
      </c>
    </row>
    <row r="6221">
      <c r="A6221" s="4">
        <v>6221.0</v>
      </c>
      <c r="B6221" s="5" t="s">
        <v>33835</v>
      </c>
      <c r="C6221" s="5" t="s">
        <v>33836</v>
      </c>
      <c r="D6221" s="5" t="s">
        <v>33837</v>
      </c>
      <c r="E6221" s="6" t="s">
        <v>74</v>
      </c>
      <c r="F6221" s="6" t="s">
        <v>33838</v>
      </c>
      <c r="G6221" s="3" t="str">
        <f>IFERROR(__xludf.DUMMYFUNCTION("REGEXREPLACE(
D6221,
""([一-龯々]+)\[([^\]]+)\]"",
""&lt;ruby&gt;$1&lt;rt&gt;$2&lt;/rt&gt;&lt;/ruby&gt;""
)&amp;""&lt;br&gt;&lt;div class=""""audio""""&gt;[sound:""&amp;C6221&amp;"".mp3]&lt;/div&gt;"""),"&lt;ruby&gt;共学&lt;rt&gt;きょうがく&lt;/rt&gt;&lt;/ruby&gt;&lt;br&gt;&lt;div class=""audio""&gt;[sound:きょうがく.mp3]&lt;/div&gt;")</f>
        <v>&lt;ruby&gt;共学&lt;rt&gt;きょうがく&lt;/rt&gt;&lt;/ruby&gt;&lt;br&gt;&lt;div class="audio"&gt;[sound:きょうがく.mp3]&lt;/div&gt;</v>
      </c>
      <c r="H6221" s="3" t="str">
        <f t="shared" si="1"/>
        <v>(n): trường đồng giáo</v>
      </c>
      <c r="I6221" s="6" t="s">
        <v>33839</v>
      </c>
      <c r="J6221" s="6" t="s">
        <v>33840</v>
      </c>
      <c r="K6221" s="7">
        <f t="shared" si="2"/>
        <v>0.7140588194</v>
      </c>
    </row>
    <row r="6222">
      <c r="A6222" s="4">
        <v>6222.0</v>
      </c>
      <c r="B6222" s="5" t="s">
        <v>33841</v>
      </c>
      <c r="C6222" s="5" t="s">
        <v>33842</v>
      </c>
      <c r="D6222" s="5" t="s">
        <v>33843</v>
      </c>
      <c r="E6222" s="6" t="s">
        <v>74</v>
      </c>
      <c r="F6222" s="6" t="s">
        <v>33844</v>
      </c>
      <c r="G6222" s="3" t="str">
        <f>IFERROR(__xludf.DUMMYFUNCTION("REGEXREPLACE(
D6222,
""([一-龯々]+)\[([^\]]+)\]"",
""&lt;ruby&gt;$1&lt;rt&gt;$2&lt;/rt&gt;&lt;/ruby&gt;""
)&amp;""&lt;br&gt;&lt;div class=""""audio""""&gt;[sound:""&amp;C6222&amp;"".mp3]&lt;/div&gt;"""),"&lt;ruby&gt;特技&lt;rt&gt;とくぎ&lt;/rt&gt;&lt;/ruby&gt;&lt;br&gt;&lt;div class=""audio""&gt;[sound:とくぎ.mp3]&lt;/div&gt;")</f>
        <v>&lt;ruby&gt;特技&lt;rt&gt;とくぎ&lt;/rt&gt;&lt;/ruby&gt;&lt;br&gt;&lt;div class="audio"&gt;[sound:とくぎ.mp3]&lt;/div&gt;</v>
      </c>
      <c r="H6222" s="3" t="str">
        <f t="shared" si="1"/>
        <v>(n): kỹ năng đặc biệt</v>
      </c>
      <c r="I6222" s="6" t="s">
        <v>33845</v>
      </c>
      <c r="J6222" s="6" t="s">
        <v>33846</v>
      </c>
      <c r="K6222" s="7">
        <f t="shared" si="2"/>
        <v>0.20135045</v>
      </c>
    </row>
    <row r="6223">
      <c r="A6223" s="4">
        <v>6223.0</v>
      </c>
      <c r="B6223" s="5" t="s">
        <v>33847</v>
      </c>
      <c r="C6223" s="5" t="s">
        <v>33847</v>
      </c>
      <c r="D6223" s="5" t="s">
        <v>33847</v>
      </c>
      <c r="E6223" s="6" t="s">
        <v>24</v>
      </c>
      <c r="F6223" s="6" t="s">
        <v>33848</v>
      </c>
      <c r="G6223" s="3" t="str">
        <f>IFERROR(__xludf.DUMMYFUNCTION("REGEXREPLACE(
D6223,
""([一-龯々]+)\[([^\]]+)\]"",
""&lt;ruby&gt;$1&lt;rt&gt;$2&lt;/rt&gt;&lt;/ruby&gt;""
)&amp;""&lt;br&gt;&lt;div class=""""audio""""&gt;[sound:""&amp;C6223&amp;"".mp3]&lt;/div&gt;"""),"とぼける&lt;br&gt;&lt;div class=""audio""&gt;[sound:とぼける.mp3]&lt;/div&gt;")</f>
        <v>とぼける&lt;br&gt;&lt;div class="audio"&gt;[sound:とぼける.mp3]&lt;/div&gt;</v>
      </c>
      <c r="H6223" s="3" t="str">
        <f t="shared" si="1"/>
        <v>(v): giả vờ ngây thơ</v>
      </c>
      <c r="I6223" s="6" t="s">
        <v>33849</v>
      </c>
      <c r="J6223" s="6" t="s">
        <v>33850</v>
      </c>
      <c r="K6223" s="7">
        <f t="shared" si="2"/>
        <v>0.5068041935</v>
      </c>
    </row>
    <row r="6224">
      <c r="A6224" s="4">
        <v>6224.0</v>
      </c>
      <c r="B6224" s="5" t="s">
        <v>33851</v>
      </c>
      <c r="C6224" s="5" t="s">
        <v>33852</v>
      </c>
      <c r="D6224" s="5" t="s">
        <v>33853</v>
      </c>
      <c r="E6224" s="6" t="s">
        <v>74</v>
      </c>
      <c r="F6224" s="6" t="s">
        <v>33854</v>
      </c>
      <c r="G6224" s="3" t="str">
        <f>IFERROR(__xludf.DUMMYFUNCTION("REGEXREPLACE(
D6224,
""([一-龯々]+)\[([^\]]+)\]"",
""&lt;ruby&gt;$1&lt;rt&gt;$2&lt;/rt&gt;&lt;/ruby&gt;""
)&amp;""&lt;br&gt;&lt;div class=""""audio""""&gt;[sound:""&amp;C6224&amp;"".mp3]&lt;/div&gt;"""),"&lt;ruby&gt;民宿&lt;rt&gt;みんしゅく&lt;/rt&gt;&lt;/ruby&gt;&lt;br&gt;&lt;div class=""audio""&gt;[sound:みんしゅく.mp3]&lt;/div&gt;")</f>
        <v>&lt;ruby&gt;民宿&lt;rt&gt;みんしゅく&lt;/rt&gt;&lt;/ruby&gt;&lt;br&gt;&lt;div class="audio"&gt;[sound:みんしゅく.mp3]&lt;/div&gt;</v>
      </c>
      <c r="H6224" s="3" t="str">
        <f t="shared" si="1"/>
        <v>(n): nhà trọ tư nhân</v>
      </c>
      <c r="I6224" s="6" t="s">
        <v>33855</v>
      </c>
      <c r="J6224" s="6" t="s">
        <v>33856</v>
      </c>
      <c r="K6224" s="7">
        <f t="shared" si="2"/>
        <v>0.4223852352</v>
      </c>
    </row>
    <row r="6225">
      <c r="A6225" s="4">
        <v>6225.0</v>
      </c>
      <c r="B6225" s="5" t="s">
        <v>33857</v>
      </c>
      <c r="C6225" s="5" t="s">
        <v>33858</v>
      </c>
      <c r="D6225" s="5" t="s">
        <v>33859</v>
      </c>
      <c r="E6225" s="6" t="s">
        <v>74</v>
      </c>
      <c r="F6225" s="6" t="s">
        <v>33860</v>
      </c>
      <c r="G6225" s="3" t="str">
        <f>IFERROR(__xludf.DUMMYFUNCTION("REGEXREPLACE(
D6225,
""([一-龯々]+)\[([^\]]+)\]"",
""&lt;ruby&gt;$1&lt;rt&gt;$2&lt;/rt&gt;&lt;/ruby&gt;""
)&amp;""&lt;br&gt;&lt;div class=""""audio""""&gt;[sound:""&amp;C6225&amp;"".mp3]&lt;/div&gt;"""),"&lt;ruby&gt;着席&lt;rt&gt;ちゃくせき&lt;/rt&gt;&lt;/ruby&gt;&lt;br&gt;&lt;div class=""audio""&gt;[sound:ちゃくせき.mp3]&lt;/div&gt;")</f>
        <v>&lt;ruby&gt;着席&lt;rt&gt;ちゃくせき&lt;/rt&gt;&lt;/ruby&gt;&lt;br&gt;&lt;div class="audio"&gt;[sound:ちゃくせき.mp3]&lt;/div&gt;</v>
      </c>
      <c r="H6225" s="3" t="str">
        <f t="shared" si="1"/>
        <v>(n): sự ngồi vào chỗ</v>
      </c>
      <c r="I6225" s="6" t="s">
        <v>33861</v>
      </c>
      <c r="J6225" s="6" t="s">
        <v>33862</v>
      </c>
      <c r="K6225" s="7">
        <f t="shared" si="2"/>
        <v>0.009216306875</v>
      </c>
    </row>
    <row r="6226">
      <c r="A6226" s="4">
        <v>6226.0</v>
      </c>
      <c r="B6226" s="5" t="s">
        <v>33863</v>
      </c>
      <c r="C6226" s="5" t="s">
        <v>33864</v>
      </c>
      <c r="D6226" s="5" t="s">
        <v>33865</v>
      </c>
      <c r="E6226" s="6" t="s">
        <v>74</v>
      </c>
      <c r="F6226" s="6" t="s">
        <v>33866</v>
      </c>
      <c r="G6226" s="3" t="str">
        <f>IFERROR(__xludf.DUMMYFUNCTION("REGEXREPLACE(
D6226,
""([一-龯々]+)\[([^\]]+)\]"",
""&lt;ruby&gt;$1&lt;rt&gt;$2&lt;/rt&gt;&lt;/ruby&gt;""
)&amp;""&lt;br&gt;&lt;div class=""""audio""""&gt;[sound:""&amp;C6226&amp;"".mp3]&lt;/div&gt;"""),"&lt;ruby&gt;下調&lt;rt&gt;したしら&lt;/rt&gt;&lt;/ruby&gt;べ&lt;br&gt;&lt;div class=""audio""&gt;[sound:したしらべ.mp3]&lt;/div&gt;")</f>
        <v>&lt;ruby&gt;下調&lt;rt&gt;したしら&lt;/rt&gt;&lt;/ruby&gt;べ&lt;br&gt;&lt;div class="audio"&gt;[sound:したしらべ.mp3]&lt;/div&gt;</v>
      </c>
      <c r="H6226" s="3" t="str">
        <f t="shared" si="1"/>
        <v>(n): tìm hiểu trước</v>
      </c>
      <c r="I6226" s="6" t="s">
        <v>33867</v>
      </c>
      <c r="J6226" s="6" t="s">
        <v>33868</v>
      </c>
      <c r="K6226" s="7">
        <f t="shared" si="2"/>
        <v>0.2523676029</v>
      </c>
    </row>
    <row r="6227">
      <c r="A6227" s="4">
        <v>6227.0</v>
      </c>
      <c r="B6227" s="5" t="s">
        <v>33869</v>
      </c>
      <c r="C6227" s="5" t="s">
        <v>33870</v>
      </c>
      <c r="D6227" s="5" t="s">
        <v>33871</v>
      </c>
      <c r="E6227" s="6" t="s">
        <v>11</v>
      </c>
      <c r="F6227" s="6" t="s">
        <v>33872</v>
      </c>
      <c r="G6227" s="3" t="str">
        <f>IFERROR(__xludf.DUMMYFUNCTION("REGEXREPLACE(
D6227,
""([一-龯々]+)\[([^\]]+)\]"",
""&lt;ruby&gt;$1&lt;rt&gt;$2&lt;/rt&gt;&lt;/ruby&gt;""
)&amp;""&lt;br&gt;&lt;div class=""""audio""""&gt;[sound:""&amp;C6227&amp;"".mp3]&lt;/div&gt;"""),"&lt;ruby&gt;物足&lt;rt&gt;ものた&lt;/rt&gt;&lt;/ruby&gt;りない&lt;br&gt;&lt;div class=""audio""&gt;[sound:ものたりない.mp3]&lt;/div&gt;")</f>
        <v>&lt;ruby&gt;物足&lt;rt&gt;ものた&lt;/rt&gt;&lt;/ruby&gt;りない&lt;br&gt;&lt;div class="audio"&gt;[sound:ものたりない.mp3]&lt;/div&gt;</v>
      </c>
      <c r="H6227" s="3" t="str">
        <f t="shared" si="1"/>
        <v>(adj): không thỏa mãn</v>
      </c>
      <c r="I6227" s="6" t="s">
        <v>33873</v>
      </c>
      <c r="J6227" s="6" t="s">
        <v>33874</v>
      </c>
      <c r="K6227" s="7">
        <f t="shared" si="2"/>
        <v>0.2837924894</v>
      </c>
    </row>
    <row r="6228">
      <c r="A6228" s="4">
        <v>6228.0</v>
      </c>
      <c r="B6228" s="5" t="s">
        <v>33875</v>
      </c>
      <c r="C6228" s="5" t="s">
        <v>33876</v>
      </c>
      <c r="D6228" s="5" t="s">
        <v>33877</v>
      </c>
      <c r="E6228" s="6" t="s">
        <v>74</v>
      </c>
      <c r="F6228" s="6" t="s">
        <v>33878</v>
      </c>
      <c r="G6228" s="3" t="str">
        <f>IFERROR(__xludf.DUMMYFUNCTION("REGEXREPLACE(
D6228,
""([一-龯々]+)\[([^\]]+)\]"",
""&lt;ruby&gt;$1&lt;rt&gt;$2&lt;/rt&gt;&lt;/ruby&gt;""
)&amp;""&lt;br&gt;&lt;div class=""""audio""""&gt;[sound:""&amp;C6228&amp;"".mp3]&lt;/div&gt;"""),"&lt;ruby&gt;脚色&lt;rt&gt;きゃくしょく&lt;/rt&gt;&lt;/ruby&gt;&lt;br&gt;&lt;div class=""audio""&gt;[sound:きゃくしょく.mp3]&lt;/div&gt;")</f>
        <v>&lt;ruby&gt;脚色&lt;rt&gt;きゃくしょく&lt;/rt&gt;&lt;/ruby&gt;&lt;br&gt;&lt;div class="audio"&gt;[sound:きゃくしょく.mp3]&lt;/div&gt;</v>
      </c>
      <c r="H6228" s="3" t="str">
        <f t="shared" si="1"/>
        <v>(n): sự chuyển thể</v>
      </c>
      <c r="I6228" s="6" t="s">
        <v>33879</v>
      </c>
      <c r="J6228" s="6" t="s">
        <v>33880</v>
      </c>
      <c r="K6228" s="7">
        <f t="shared" si="2"/>
        <v>0.03322140859</v>
      </c>
    </row>
    <row r="6229">
      <c r="A6229" s="4">
        <v>6229.0</v>
      </c>
      <c r="B6229" s="5" t="s">
        <v>33881</v>
      </c>
      <c r="C6229" s="5" t="s">
        <v>33882</v>
      </c>
      <c r="D6229" s="5" t="s">
        <v>33881</v>
      </c>
      <c r="E6229" s="6" t="s">
        <v>74</v>
      </c>
      <c r="F6229" s="6" t="s">
        <v>33883</v>
      </c>
      <c r="G6229" s="3" t="str">
        <f>IFERROR(__xludf.DUMMYFUNCTION("REGEXREPLACE(
D6229,
""([一-龯々]+)\[([^\]]+)\]"",
""&lt;ruby&gt;$1&lt;rt&gt;$2&lt;/rt&gt;&lt;/ruby&gt;""
)&amp;""&lt;br&gt;&lt;div class=""""audio""""&gt;[sound:""&amp;C6229&amp;"".mp3]&lt;/div&gt;"""),"ナイター&lt;br&gt;&lt;div class=""audio""&gt;[sound:ないたー.mp3]&lt;/div&gt;")</f>
        <v>ナイター&lt;br&gt;&lt;div class="audio"&gt;[sound:ないたー.mp3]&lt;/div&gt;</v>
      </c>
      <c r="H6229" s="3" t="str">
        <f t="shared" si="1"/>
        <v>(n): trận đấu đêm</v>
      </c>
      <c r="I6229" s="6" t="s">
        <v>33884</v>
      </c>
      <c r="J6229" s="6" t="s">
        <v>33885</v>
      </c>
      <c r="K6229" s="7">
        <f t="shared" si="2"/>
        <v>0.7198398377</v>
      </c>
    </row>
    <row r="6230">
      <c r="A6230" s="4">
        <v>6230.0</v>
      </c>
      <c r="B6230" s="5" t="s">
        <v>33886</v>
      </c>
      <c r="C6230" s="5" t="s">
        <v>33887</v>
      </c>
      <c r="D6230" s="5" t="s">
        <v>33888</v>
      </c>
      <c r="E6230" s="6" t="s">
        <v>74</v>
      </c>
      <c r="F6230" s="6" t="s">
        <v>33889</v>
      </c>
      <c r="G6230" s="3" t="str">
        <f>IFERROR(__xludf.DUMMYFUNCTION("REGEXREPLACE(
D6230,
""([一-龯々]+)\[([^\]]+)\]"",
""&lt;ruby&gt;$1&lt;rt&gt;$2&lt;/rt&gt;&lt;/ruby&gt;""
)&amp;""&lt;br&gt;&lt;div class=""""audio""""&gt;[sound:""&amp;C6230&amp;"".mp3]&lt;/div&gt;"""),"&lt;ruby&gt;全快&lt;rt&gt;ぜんかい&lt;/rt&gt;&lt;/ruby&gt;&lt;br&gt;&lt;div class=""audio""&gt;[sound:ぜんかい.mp3]&lt;/div&gt;")</f>
        <v>&lt;ruby&gt;全快&lt;rt&gt;ぜんかい&lt;/rt&gt;&lt;/ruby&gt;&lt;br&gt;&lt;div class="audio"&gt;[sound:ぜんかい.mp3]&lt;/div&gt;</v>
      </c>
      <c r="H6230" s="3" t="str">
        <f t="shared" si="1"/>
        <v>(n): sự bình phục</v>
      </c>
      <c r="I6230" s="6" t="s">
        <v>33890</v>
      </c>
      <c r="J6230" s="6" t="s">
        <v>33891</v>
      </c>
      <c r="K6230" s="7">
        <f t="shared" si="2"/>
        <v>0.5948103366</v>
      </c>
    </row>
    <row r="6231">
      <c r="A6231" s="4">
        <v>6231.0</v>
      </c>
      <c r="B6231" s="5" t="s">
        <v>33892</v>
      </c>
      <c r="C6231" s="5" t="s">
        <v>33893</v>
      </c>
      <c r="D6231" s="5" t="s">
        <v>33894</v>
      </c>
      <c r="E6231" s="6" t="s">
        <v>74</v>
      </c>
      <c r="F6231" s="6" t="s">
        <v>33895</v>
      </c>
      <c r="G6231" s="3" t="str">
        <f>IFERROR(__xludf.DUMMYFUNCTION("REGEXREPLACE(
D6231,
""([一-龯々]+)\[([^\]]+)\]"",
""&lt;ruby&gt;$1&lt;rt&gt;$2&lt;/rt&gt;&lt;/ruby&gt;""
)&amp;""&lt;br&gt;&lt;div class=""""audio""""&gt;[sound:""&amp;C6231&amp;"".mp3]&lt;/div&gt;"""),"&lt;ruby&gt;海運&lt;rt&gt;かいうん&lt;/rt&gt;&lt;/ruby&gt;&lt;br&gt;&lt;div class=""audio""&gt;[sound:かいうん.mp3]&lt;/div&gt;")</f>
        <v>&lt;ruby&gt;海運&lt;rt&gt;かいうん&lt;/rt&gt;&lt;/ruby&gt;&lt;br&gt;&lt;div class="audio"&gt;[sound:かいうん.mp3]&lt;/div&gt;</v>
      </c>
      <c r="H6231" s="3" t="str">
        <f t="shared" si="1"/>
        <v>(n): vận tải biển</v>
      </c>
      <c r="I6231" s="6" t="s">
        <v>33896</v>
      </c>
      <c r="J6231" s="6" t="s">
        <v>33897</v>
      </c>
      <c r="K6231" s="7">
        <f t="shared" si="2"/>
        <v>0.945082267</v>
      </c>
    </row>
    <row r="6232">
      <c r="A6232" s="4">
        <v>6232.0</v>
      </c>
      <c r="B6232" s="5" t="s">
        <v>33898</v>
      </c>
      <c r="C6232" s="5" t="s">
        <v>33899</v>
      </c>
      <c r="D6232" s="5" t="s">
        <v>33900</v>
      </c>
      <c r="E6232" s="6" t="s">
        <v>74</v>
      </c>
      <c r="F6232" s="6" t="s">
        <v>33901</v>
      </c>
      <c r="G6232" s="3" t="str">
        <f>IFERROR(__xludf.DUMMYFUNCTION("REGEXREPLACE(
D6232,
""([一-龯々]+)\[([^\]]+)\]"",
""&lt;ruby&gt;$1&lt;rt&gt;$2&lt;/rt&gt;&lt;/ruby&gt;""
)&amp;""&lt;br&gt;&lt;div class=""""audio""""&gt;[sound:""&amp;C6232&amp;"".mp3]&lt;/div&gt;"""),"&lt;ruby&gt;溜&lt;rt&gt;た&lt;/rt&gt;&lt;/ruby&gt;まり&lt;br&gt;&lt;div class=""audio""&gt;[sound:たまり.mp3]&lt;/div&gt;")</f>
        <v>&lt;ruby&gt;溜&lt;rt&gt;た&lt;/rt&gt;&lt;/ruby&gt;まり&lt;br&gt;&lt;div class="audio"&gt;[sound:たまり.mp3]&lt;/div&gt;</v>
      </c>
      <c r="H6232" s="3" t="str">
        <f t="shared" si="1"/>
        <v>(n): chỗ đọng lại</v>
      </c>
      <c r="I6232" s="6" t="s">
        <v>33902</v>
      </c>
      <c r="J6232" s="6" t="s">
        <v>33903</v>
      </c>
      <c r="K6232" s="7">
        <f t="shared" si="2"/>
        <v>0.1077382357</v>
      </c>
    </row>
    <row r="6233">
      <c r="A6233" s="4">
        <v>6233.0</v>
      </c>
      <c r="B6233" s="5" t="s">
        <v>33904</v>
      </c>
      <c r="C6233" s="5" t="s">
        <v>33905</v>
      </c>
      <c r="D6233" s="5" t="s">
        <v>33906</v>
      </c>
      <c r="E6233" s="6" t="s">
        <v>74</v>
      </c>
      <c r="F6233" s="6" t="s">
        <v>33907</v>
      </c>
      <c r="G6233" s="3" t="str">
        <f>IFERROR(__xludf.DUMMYFUNCTION("REGEXREPLACE(
D6233,
""([一-龯々]+)\[([^\]]+)\]"",
""&lt;ruby&gt;$1&lt;rt&gt;$2&lt;/rt&gt;&lt;/ruby&gt;""
)&amp;""&lt;br&gt;&lt;div class=""""audio""""&gt;[sound:""&amp;C6233&amp;"".mp3]&lt;/div&gt;"""),"&lt;ruby&gt;発掘&lt;rt&gt;はっくつ&lt;/rt&gt;&lt;/ruby&gt;&lt;br&gt;&lt;div class=""audio""&gt;[sound:はっくつ.mp3]&lt;/div&gt;")</f>
        <v>&lt;ruby&gt;発掘&lt;rt&gt;はっくつ&lt;/rt&gt;&lt;/ruby&gt;&lt;br&gt;&lt;div class="audio"&gt;[sound:はっくつ.mp3]&lt;/div&gt;</v>
      </c>
      <c r="H6233" s="3" t="str">
        <f t="shared" si="1"/>
        <v>(n): khai quật</v>
      </c>
      <c r="I6233" s="6" t="s">
        <v>33908</v>
      </c>
      <c r="J6233" s="6" t="s">
        <v>33909</v>
      </c>
      <c r="K6233" s="7">
        <f t="shared" si="2"/>
        <v>0.6304539808</v>
      </c>
    </row>
    <row r="6234">
      <c r="A6234" s="4">
        <v>6234.0</v>
      </c>
      <c r="B6234" s="5" t="s">
        <v>33910</v>
      </c>
      <c r="C6234" s="5" t="s">
        <v>33911</v>
      </c>
      <c r="D6234" s="5" t="s">
        <v>33912</v>
      </c>
      <c r="E6234" s="6" t="s">
        <v>74</v>
      </c>
      <c r="F6234" s="6" t="s">
        <v>33913</v>
      </c>
      <c r="G6234" s="3" t="str">
        <f>IFERROR(__xludf.DUMMYFUNCTION("REGEXREPLACE(
D6234,
""([一-龯々]+)\[([^\]]+)\]"",
""&lt;ruby&gt;$1&lt;rt&gt;$2&lt;/rt&gt;&lt;/ruby&gt;""
)&amp;""&lt;br&gt;&lt;div class=""""audio""""&gt;[sound:""&amp;C6234&amp;"".mp3]&lt;/div&gt;"""),"&lt;ruby&gt;祝賀&lt;rt&gt;しゅくが&lt;/rt&gt;&lt;/ruby&gt;&lt;br&gt;&lt;div class=""audio""&gt;[sound:しゅくが.mp3]&lt;/div&gt;")</f>
        <v>&lt;ruby&gt;祝賀&lt;rt&gt;しゅくが&lt;/rt&gt;&lt;/ruby&gt;&lt;br&gt;&lt;div class="audio"&gt;[sound:しゅくが.mp3]&lt;/div&gt;</v>
      </c>
      <c r="H6234" s="3" t="str">
        <f t="shared" si="1"/>
        <v>(n): sự chúc mừng</v>
      </c>
      <c r="I6234" s="6" t="s">
        <v>33914</v>
      </c>
      <c r="J6234" s="6" t="s">
        <v>33915</v>
      </c>
      <c r="K6234" s="7">
        <f t="shared" si="2"/>
        <v>0.4963520388</v>
      </c>
    </row>
    <row r="6235">
      <c r="A6235" s="4">
        <v>6235.0</v>
      </c>
      <c r="B6235" s="5" t="s">
        <v>33916</v>
      </c>
      <c r="C6235" s="5" t="s">
        <v>33917</v>
      </c>
      <c r="D6235" s="5" t="s">
        <v>33918</v>
      </c>
      <c r="E6235" s="6" t="s">
        <v>74</v>
      </c>
      <c r="F6235" s="6" t="s">
        <v>33919</v>
      </c>
      <c r="G6235" s="3" t="str">
        <f>IFERROR(__xludf.DUMMYFUNCTION("REGEXREPLACE(
D6235,
""([一-龯々]+)\[([^\]]+)\]"",
""&lt;ruby&gt;$1&lt;rt&gt;$2&lt;/rt&gt;&lt;/ruby&gt;""
)&amp;""&lt;br&gt;&lt;div class=""""audio""""&gt;[sound:""&amp;C6235&amp;"".mp3]&lt;/div&gt;"""),"&lt;ruby&gt;税務署&lt;rt&gt;ぜいむしょ&lt;/rt&gt;&lt;/ruby&gt;&lt;br&gt;&lt;div class=""audio""&gt;[sound:ぜいむしょ.mp3]&lt;/div&gt;")</f>
        <v>&lt;ruby&gt;税務署&lt;rt&gt;ぜいむしょ&lt;/rt&gt;&lt;/ruby&gt;&lt;br&gt;&lt;div class="audio"&gt;[sound:ぜいむしょ.mp3]&lt;/div&gt;</v>
      </c>
      <c r="H6235" s="3" t="str">
        <f t="shared" si="1"/>
        <v>(n): cơ quan thuế</v>
      </c>
      <c r="I6235" s="6" t="s">
        <v>33920</v>
      </c>
      <c r="J6235" s="6" t="s">
        <v>33921</v>
      </c>
      <c r="K6235" s="7">
        <f t="shared" si="2"/>
        <v>0.2031310625</v>
      </c>
    </row>
    <row r="6236">
      <c r="A6236" s="4">
        <v>6236.0</v>
      </c>
      <c r="B6236" s="5" t="s">
        <v>33922</v>
      </c>
      <c r="C6236" s="5" t="s">
        <v>33923</v>
      </c>
      <c r="D6236" s="5" t="s">
        <v>33924</v>
      </c>
      <c r="E6236" s="6" t="s">
        <v>24</v>
      </c>
      <c r="F6236" s="6" t="s">
        <v>33925</v>
      </c>
      <c r="G6236" s="3" t="str">
        <f>IFERROR(__xludf.DUMMYFUNCTION("REGEXREPLACE(
D6236,
""([一-龯々]+)\[([^\]]+)\]"",
""&lt;ruby&gt;$1&lt;rt&gt;$2&lt;/rt&gt;&lt;/ruby&gt;""
)&amp;""&lt;br&gt;&lt;div class=""""audio""""&gt;[sound:""&amp;C6236&amp;"".mp3]&lt;/div&gt;"""),"&lt;ruby&gt;見習&lt;rt&gt;みなら&lt;/rt&gt;&lt;/ruby&gt;う&lt;br&gt;&lt;div class=""audio""&gt;[sound:みならう.mp3]&lt;/div&gt;")</f>
        <v>&lt;ruby&gt;見習&lt;rt&gt;みなら&lt;/rt&gt;&lt;/ruby&gt;う&lt;br&gt;&lt;div class="audio"&gt;[sound:みならう.mp3]&lt;/div&gt;</v>
      </c>
      <c r="H6236" s="3" t="str">
        <f t="shared" si="1"/>
        <v>(v): học tập theo</v>
      </c>
      <c r="I6236" s="6" t="s">
        <v>33926</v>
      </c>
      <c r="J6236" s="6" t="s">
        <v>33927</v>
      </c>
      <c r="K6236" s="7">
        <f t="shared" si="2"/>
        <v>0.02574048261</v>
      </c>
    </row>
    <row r="6237">
      <c r="A6237" s="4">
        <v>6237.0</v>
      </c>
      <c r="B6237" s="5" t="s">
        <v>33928</v>
      </c>
      <c r="C6237" s="5" t="s">
        <v>33928</v>
      </c>
      <c r="D6237" s="5" t="s">
        <v>33928</v>
      </c>
      <c r="E6237" s="6" t="s">
        <v>11</v>
      </c>
      <c r="F6237" s="6" t="s">
        <v>33929</v>
      </c>
      <c r="G6237" s="3" t="str">
        <f>IFERROR(__xludf.DUMMYFUNCTION("REGEXREPLACE(
D6237,
""([一-龯々]+)\[([^\]]+)\]"",
""&lt;ruby&gt;$1&lt;rt&gt;$2&lt;/rt&gt;&lt;/ruby&gt;""
)&amp;""&lt;br&gt;&lt;div class=""""audio""""&gt;[sound:""&amp;C6237&amp;"".mp3]&lt;/div&gt;"""),"しぶとい&lt;br&gt;&lt;div class=""audio""&gt;[sound:しぶとい.mp3]&lt;/div&gt;")</f>
        <v>しぶとい&lt;br&gt;&lt;div class="audio"&gt;[sound:しぶとい.mp3]&lt;/div&gt;</v>
      </c>
      <c r="H6237" s="3" t="str">
        <f t="shared" si="1"/>
        <v>(adj): ngoan cường</v>
      </c>
      <c r="I6237" s="6" t="s">
        <v>33930</v>
      </c>
      <c r="J6237" s="6" t="s">
        <v>33931</v>
      </c>
      <c r="K6237" s="7">
        <f t="shared" si="2"/>
        <v>0.7277763933</v>
      </c>
    </row>
    <row r="6238">
      <c r="A6238" s="4">
        <v>6238.0</v>
      </c>
      <c r="B6238" s="5" t="s">
        <v>33932</v>
      </c>
      <c r="C6238" s="5" t="s">
        <v>33932</v>
      </c>
      <c r="D6238" s="5" t="s">
        <v>33932</v>
      </c>
      <c r="E6238" s="6" t="s">
        <v>85</v>
      </c>
      <c r="F6238" s="6" t="s">
        <v>33933</v>
      </c>
      <c r="G6238" s="3" t="str">
        <f>IFERROR(__xludf.DUMMYFUNCTION("REGEXREPLACE(
D6238,
""([一-龯々]+)\[([^\]]+)\]"",
""&lt;ruby&gt;$1&lt;rt&gt;$2&lt;/rt&gt;&lt;/ruby&gt;""
)&amp;""&lt;br&gt;&lt;div class=""""audio""""&gt;[sound:""&amp;C6238&amp;"".mp3]&lt;/div&gt;"""),"なるたけ&lt;br&gt;&lt;div class=""audio""&gt;[sound:なるたけ.mp3]&lt;/div&gt;")</f>
        <v>なるたけ&lt;br&gt;&lt;div class="audio"&gt;[sound:なるたけ.mp3]&lt;/div&gt;</v>
      </c>
      <c r="H6238" s="3" t="str">
        <f t="shared" si="1"/>
        <v>(adv): càng...càng</v>
      </c>
      <c r="I6238" s="6" t="s">
        <v>33934</v>
      </c>
      <c r="J6238" s="6" t="s">
        <v>33935</v>
      </c>
      <c r="K6238" s="7">
        <f t="shared" si="2"/>
        <v>0.395352789</v>
      </c>
    </row>
    <row r="6239">
      <c r="A6239" s="4">
        <v>6239.0</v>
      </c>
      <c r="B6239" s="5" t="s">
        <v>33936</v>
      </c>
      <c r="C6239" s="5" t="s">
        <v>33937</v>
      </c>
      <c r="D6239" s="5" t="s">
        <v>33938</v>
      </c>
      <c r="E6239" s="6" t="s">
        <v>74</v>
      </c>
      <c r="F6239" s="6" t="s">
        <v>33939</v>
      </c>
      <c r="G6239" s="3" t="str">
        <f>IFERROR(__xludf.DUMMYFUNCTION("REGEXREPLACE(
D6239,
""([一-龯々]+)\[([^\]]+)\]"",
""&lt;ruby&gt;$1&lt;rt&gt;$2&lt;/rt&gt;&lt;/ruby&gt;""
)&amp;""&lt;br&gt;&lt;div class=""""audio""""&gt;[sound:""&amp;C6239&amp;"".mp3]&lt;/div&gt;"""),"&lt;ruby&gt;下取&lt;rt&gt;したど&lt;/rt&gt;&lt;/ruby&gt;り&lt;br&gt;&lt;div class=""audio""&gt;[sound:したどり.mp3]&lt;/div&gt;")</f>
        <v>&lt;ruby&gt;下取&lt;rt&gt;したど&lt;/rt&gt;&lt;/ruby&gt;り&lt;br&gt;&lt;div class="audio"&gt;[sound:したどり.mp3]&lt;/div&gt;</v>
      </c>
      <c r="H6239" s="3" t="str">
        <f t="shared" si="1"/>
        <v>(n): thu mua lại</v>
      </c>
      <c r="I6239" s="6" t="s">
        <v>33940</v>
      </c>
      <c r="J6239" s="6" t="s">
        <v>33941</v>
      </c>
      <c r="K6239" s="7">
        <f t="shared" si="2"/>
        <v>0.898211792</v>
      </c>
    </row>
    <row r="6240">
      <c r="A6240" s="4">
        <v>6240.0</v>
      </c>
      <c r="B6240" s="5" t="s">
        <v>33942</v>
      </c>
      <c r="C6240" s="5" t="s">
        <v>33943</v>
      </c>
      <c r="D6240" s="5" t="s">
        <v>33944</v>
      </c>
      <c r="E6240" s="6" t="s">
        <v>74</v>
      </c>
      <c r="F6240" s="6" t="s">
        <v>33945</v>
      </c>
      <c r="G6240" s="3" t="str">
        <f>IFERROR(__xludf.DUMMYFUNCTION("REGEXREPLACE(
D6240,
""([一-龯々]+)\[([^\]]+)\]"",
""&lt;ruby&gt;$1&lt;rt&gt;$2&lt;/rt&gt;&lt;/ruby&gt;""
)&amp;""&lt;br&gt;&lt;div class=""""audio""""&gt;[sound:""&amp;C6240&amp;"".mp3]&lt;/div&gt;"""),"&lt;ruby&gt;保養&lt;rt&gt;ほよう&lt;/rt&gt;&lt;/ruby&gt;&lt;br&gt;&lt;div class=""audio""&gt;[sound:ほよう.mp3]&lt;/div&gt;")</f>
        <v>&lt;ruby&gt;保養&lt;rt&gt;ほよう&lt;/rt&gt;&lt;/ruby&gt;&lt;br&gt;&lt;div class="audio"&gt;[sound:ほよう.mp3]&lt;/div&gt;</v>
      </c>
      <c r="H6240" s="3" t="str">
        <f t="shared" si="1"/>
        <v>(n): sự an dưỡng</v>
      </c>
      <c r="I6240" s="6" t="s">
        <v>33946</v>
      </c>
      <c r="J6240" s="6" t="s">
        <v>33947</v>
      </c>
      <c r="K6240" s="7">
        <f t="shared" si="2"/>
        <v>0.8402148324</v>
      </c>
    </row>
    <row r="6241">
      <c r="A6241" s="4">
        <v>6241.0</v>
      </c>
      <c r="B6241" s="5" t="s">
        <v>33948</v>
      </c>
      <c r="C6241" s="5" t="s">
        <v>33949</v>
      </c>
      <c r="D6241" s="5" t="s">
        <v>33950</v>
      </c>
      <c r="E6241" s="6" t="s">
        <v>74</v>
      </c>
      <c r="F6241" s="6" t="s">
        <v>33951</v>
      </c>
      <c r="G6241" s="3" t="str">
        <f>IFERROR(__xludf.DUMMYFUNCTION("REGEXREPLACE(
D6241,
""([一-龯々]+)\[([^\]]+)\]"",
""&lt;ruby&gt;$1&lt;rt&gt;$2&lt;/rt&gt;&lt;/ruby&gt;""
)&amp;""&lt;br&gt;&lt;div class=""""audio""""&gt;[sound:""&amp;C6241&amp;"".mp3]&lt;/div&gt;"""),"&lt;ruby&gt;冬眠&lt;rt&gt;とうみん&lt;/rt&gt;&lt;/ruby&gt;&lt;br&gt;&lt;div class=""audio""&gt;[sound:とうみん.mp3]&lt;/div&gt;")</f>
        <v>&lt;ruby&gt;冬眠&lt;rt&gt;とうみん&lt;/rt&gt;&lt;/ruby&gt;&lt;br&gt;&lt;div class="audio"&gt;[sound:とうみん.mp3]&lt;/div&gt;</v>
      </c>
      <c r="H6241" s="3" t="str">
        <f t="shared" si="1"/>
        <v>(n): sự ngủ đông</v>
      </c>
      <c r="I6241" s="6" t="s">
        <v>33952</v>
      </c>
      <c r="J6241" s="6" t="s">
        <v>33953</v>
      </c>
      <c r="K6241" s="7">
        <f t="shared" si="2"/>
        <v>0.7452334791</v>
      </c>
    </row>
    <row r="6242">
      <c r="A6242" s="4">
        <v>6242.0</v>
      </c>
      <c r="B6242" s="5" t="s">
        <v>33954</v>
      </c>
      <c r="C6242" s="5" t="s">
        <v>33955</v>
      </c>
      <c r="D6242" s="5" t="s">
        <v>33956</v>
      </c>
      <c r="E6242" s="6" t="s">
        <v>74</v>
      </c>
      <c r="F6242" s="6" t="s">
        <v>33957</v>
      </c>
      <c r="G6242" s="3" t="str">
        <f>IFERROR(__xludf.DUMMYFUNCTION("REGEXREPLACE(
D6242,
""([一-龯々]+)\[([^\]]+)\]"",
""&lt;ruby&gt;$1&lt;rt&gt;$2&lt;/rt&gt;&lt;/ruby&gt;""
)&amp;""&lt;br&gt;&lt;div class=""""audio""""&gt;[sound:""&amp;C6242&amp;"".mp3]&lt;/div&gt;"""),"&lt;ruby&gt;参上&lt;rt&gt;さんじょう&lt;/rt&gt;&lt;/ruby&gt;&lt;br&gt;&lt;div class=""audio""&gt;[sound:さんじょう.mp3]&lt;/div&gt;")</f>
        <v>&lt;ruby&gt;参上&lt;rt&gt;さんじょう&lt;/rt&gt;&lt;/ruby&gt;&lt;br&gt;&lt;div class="audio"&gt;[sound:さんじょう.mp3]&lt;/div&gt;</v>
      </c>
      <c r="H6242" s="3" t="str">
        <f t="shared" si="1"/>
        <v>(n): sự thăm hỏi</v>
      </c>
      <c r="I6242" s="6" t="s">
        <v>33958</v>
      </c>
      <c r="J6242" s="6" t="s">
        <v>33959</v>
      </c>
      <c r="K6242" s="7">
        <f t="shared" si="2"/>
        <v>0.9728562784</v>
      </c>
    </row>
    <row r="6243">
      <c r="A6243" s="4">
        <v>6243.0</v>
      </c>
      <c r="B6243" s="5" t="s">
        <v>33960</v>
      </c>
      <c r="C6243" s="5" t="s">
        <v>33961</v>
      </c>
      <c r="D6243" s="5" t="s">
        <v>33962</v>
      </c>
      <c r="E6243" s="6" t="s">
        <v>74</v>
      </c>
      <c r="F6243" s="6" t="s">
        <v>33963</v>
      </c>
      <c r="G6243" s="3" t="str">
        <f>IFERROR(__xludf.DUMMYFUNCTION("REGEXREPLACE(
D6243,
""([一-龯々]+)\[([^\]]+)\]"",
""&lt;ruby&gt;$1&lt;rt&gt;$2&lt;/rt&gt;&lt;/ruby&gt;""
)&amp;""&lt;br&gt;&lt;div class=""""audio""""&gt;[sound:""&amp;C6243&amp;"".mp3]&lt;/div&gt;"""),"&lt;ruby&gt;宙返&lt;rt&gt;ちゅうがえ&lt;/rt&gt;&lt;/ruby&gt;り&lt;br&gt;&lt;div class=""audio""&gt;[sound:ちゅうがえり.mp3]&lt;/div&gt;")</f>
        <v>&lt;ruby&gt;宙返&lt;rt&gt;ちゅうがえ&lt;/rt&gt;&lt;/ruby&gt;り&lt;br&gt;&lt;div class="audio"&gt;[sound:ちゅうがえり.mp3]&lt;/div&gt;</v>
      </c>
      <c r="H6243" s="3" t="str">
        <f t="shared" si="1"/>
        <v>(n): sự lộn nhào</v>
      </c>
      <c r="I6243" s="6" t="s">
        <v>33964</v>
      </c>
      <c r="J6243" s="6" t="s">
        <v>33965</v>
      </c>
      <c r="K6243" s="7">
        <f t="shared" si="2"/>
        <v>0.3081211988</v>
      </c>
    </row>
    <row r="6244">
      <c r="A6244" s="4">
        <v>6244.0</v>
      </c>
      <c r="B6244" s="5" t="s">
        <v>33966</v>
      </c>
      <c r="C6244" s="5" t="s">
        <v>33967</v>
      </c>
      <c r="D6244" s="5" t="s">
        <v>33968</v>
      </c>
      <c r="E6244" s="6" t="s">
        <v>74</v>
      </c>
      <c r="F6244" s="6" t="s">
        <v>33969</v>
      </c>
      <c r="G6244" s="3" t="str">
        <f>IFERROR(__xludf.DUMMYFUNCTION("REGEXREPLACE(
D6244,
""([一-龯々]+)\[([^\]]+)\]"",
""&lt;ruby&gt;$1&lt;rt&gt;$2&lt;/rt&gt;&lt;/ruby&gt;""
)&amp;""&lt;br&gt;&lt;div class=""""audio""""&gt;[sound:""&amp;C6244&amp;"".mp3]&lt;/div&gt;"""),"&lt;ruby&gt;沈没&lt;rt&gt;ちんぼつ&lt;/rt&gt;&lt;/ruby&gt;&lt;br&gt;&lt;div class=""audio""&gt;[sound:ちんぼつ.mp3]&lt;/div&gt;")</f>
        <v>&lt;ruby&gt;沈没&lt;rt&gt;ちんぼつ&lt;/rt&gt;&lt;/ruby&gt;&lt;br&gt;&lt;div class="audio"&gt;[sound:ちんぼつ.mp3]&lt;/div&gt;</v>
      </c>
      <c r="H6244" s="3" t="str">
        <f t="shared" si="1"/>
        <v>(n): sự chìm đắm</v>
      </c>
      <c r="I6244" s="6" t="s">
        <v>33970</v>
      </c>
      <c r="J6244" s="6" t="s">
        <v>21583</v>
      </c>
      <c r="K6244" s="7">
        <f t="shared" si="2"/>
        <v>0.5873626978</v>
      </c>
    </row>
    <row r="6245">
      <c r="A6245" s="4">
        <v>6245.0</v>
      </c>
      <c r="B6245" s="5" t="s">
        <v>33971</v>
      </c>
      <c r="C6245" s="5" t="s">
        <v>33972</v>
      </c>
      <c r="D6245" s="5" t="s">
        <v>33973</v>
      </c>
      <c r="E6245" s="6" t="s">
        <v>74</v>
      </c>
      <c r="F6245" s="6" t="s">
        <v>33974</v>
      </c>
      <c r="G6245" s="3" t="str">
        <f>IFERROR(__xludf.DUMMYFUNCTION("REGEXREPLACE(
D6245,
""([一-龯々]+)\[([^\]]+)\]"",
""&lt;ruby&gt;$1&lt;rt&gt;$2&lt;/rt&gt;&lt;/ruby&gt;""
)&amp;""&lt;br&gt;&lt;div class=""""audio""""&gt;[sound:""&amp;C6245&amp;"".mp3]&lt;/div&gt;"""),"&lt;ruby&gt;潜入&lt;rt&gt;せんにゅう&lt;/rt&gt;&lt;/ruby&gt;&lt;br&gt;&lt;div class=""audio""&gt;[sound:せんにゅう.mp3]&lt;/div&gt;")</f>
        <v>&lt;ruby&gt;潜入&lt;rt&gt;せんにゅう&lt;/rt&gt;&lt;/ruby&gt;&lt;br&gt;&lt;div class="audio"&gt;[sound:せんにゅう.mp3]&lt;/div&gt;</v>
      </c>
      <c r="H6245" s="3" t="str">
        <f t="shared" si="1"/>
        <v>(n): sự xâm nhập</v>
      </c>
      <c r="I6245" s="6" t="s">
        <v>33975</v>
      </c>
      <c r="J6245" s="6" t="s">
        <v>33976</v>
      </c>
      <c r="K6245" s="7">
        <f t="shared" si="2"/>
        <v>0.8377530192</v>
      </c>
    </row>
    <row r="6246">
      <c r="A6246" s="4">
        <v>6246.0</v>
      </c>
      <c r="B6246" s="5" t="s">
        <v>33977</v>
      </c>
      <c r="C6246" s="5" t="s">
        <v>33978</v>
      </c>
      <c r="D6246" s="5" t="s">
        <v>33979</v>
      </c>
      <c r="E6246" s="6" t="s">
        <v>74</v>
      </c>
      <c r="F6246" s="6" t="s">
        <v>19156</v>
      </c>
      <c r="G6246" s="3" t="str">
        <f>IFERROR(__xludf.DUMMYFUNCTION("REGEXREPLACE(
D6246,
""([一-龯々]+)\[([^\]]+)\]"",
""&lt;ruby&gt;$1&lt;rt&gt;$2&lt;/rt&gt;&lt;/ruby&gt;""
)&amp;""&lt;br&gt;&lt;div class=""""audio""""&gt;[sound:""&amp;C6246&amp;"".mp3]&lt;/div&gt;"""),"&lt;ruby&gt;激励&lt;rt&gt;げきれい&lt;/rt&gt;&lt;/ruby&gt;&lt;br&gt;&lt;div class=""audio""&gt;[sound:げきれい.mp3]&lt;/div&gt;")</f>
        <v>&lt;ruby&gt;激励&lt;rt&gt;げきれい&lt;/rt&gt;&lt;/ruby&gt;&lt;br&gt;&lt;div class="audio"&gt;[sound:げきれい.mp3]&lt;/div&gt;</v>
      </c>
      <c r="H6246" s="3" t="str">
        <f t="shared" si="1"/>
        <v>(n): sự khích lệ</v>
      </c>
      <c r="I6246" s="6" t="s">
        <v>33980</v>
      </c>
      <c r="J6246" s="6" t="s">
        <v>33981</v>
      </c>
      <c r="K6246" s="7">
        <f t="shared" si="2"/>
        <v>0.4119391264</v>
      </c>
    </row>
    <row r="6247">
      <c r="A6247" s="4">
        <v>6247.0</v>
      </c>
      <c r="B6247" s="5" t="s">
        <v>33982</v>
      </c>
      <c r="C6247" s="5" t="s">
        <v>33983</v>
      </c>
      <c r="D6247" s="5" t="s">
        <v>33984</v>
      </c>
      <c r="E6247" s="6" t="s">
        <v>74</v>
      </c>
      <c r="F6247" s="6" t="s">
        <v>33985</v>
      </c>
      <c r="G6247" s="3" t="str">
        <f>IFERROR(__xludf.DUMMYFUNCTION("REGEXREPLACE(
D6247,
""([一-龯々]+)\[([^\]]+)\]"",
""&lt;ruby&gt;$1&lt;rt&gt;$2&lt;/rt&gt;&lt;/ruby&gt;""
)&amp;""&lt;br&gt;&lt;div class=""""audio""""&gt;[sound:""&amp;C6247&amp;"".mp3]&lt;/div&gt;"""),"&lt;ruby&gt;無駄遣&lt;rt&gt;むだづか&lt;/rt&gt;&lt;/ruby&gt;い&lt;br&gt;&lt;div class=""audio""&gt;[sound:むだづかい.mp3]&lt;/div&gt;")</f>
        <v>&lt;ruby&gt;無駄遣&lt;rt&gt;むだづか&lt;/rt&gt;&lt;/ruby&gt;い&lt;br&gt;&lt;div class="audio"&gt;[sound:むだづかい.mp3]&lt;/div&gt;</v>
      </c>
      <c r="H6247" s="3" t="str">
        <f t="shared" si="1"/>
        <v>(n): sự lãng phí</v>
      </c>
      <c r="I6247" s="6" t="s">
        <v>33986</v>
      </c>
      <c r="J6247" s="6" t="s">
        <v>33987</v>
      </c>
      <c r="K6247" s="7">
        <f t="shared" si="2"/>
        <v>0.7514489783</v>
      </c>
    </row>
    <row r="6248">
      <c r="A6248" s="4">
        <v>6248.0</v>
      </c>
      <c r="B6248" s="5" t="s">
        <v>33988</v>
      </c>
      <c r="C6248" s="5" t="s">
        <v>33989</v>
      </c>
      <c r="D6248" s="5" t="s">
        <v>33990</v>
      </c>
      <c r="E6248" s="6" t="s">
        <v>74</v>
      </c>
      <c r="F6248" s="6" t="s">
        <v>33991</v>
      </c>
      <c r="G6248" s="3" t="str">
        <f>IFERROR(__xludf.DUMMYFUNCTION("REGEXREPLACE(
D6248,
""([一-龯々]+)\[([^\]]+)\]"",
""&lt;ruby&gt;$1&lt;rt&gt;$2&lt;/rt&gt;&lt;/ruby&gt;""
)&amp;""&lt;br&gt;&lt;div class=""""audio""""&gt;[sound:""&amp;C6248&amp;"".mp3]&lt;/div&gt;"""),"&lt;ruby&gt;細工&lt;rt&gt;さいく&lt;/rt&gt;&lt;/ruby&gt;&lt;br&gt;&lt;div class=""audio""&gt;[sound:さいく.mp3]&lt;/div&gt;")</f>
        <v>&lt;ruby&gt;細工&lt;rt&gt;さいく&lt;/rt&gt;&lt;/ruby&gt;&lt;br&gt;&lt;div class="audio"&gt;[sound:さいく.mp3]&lt;/div&gt;</v>
      </c>
      <c r="H6248" s="3" t="str">
        <f t="shared" si="1"/>
        <v>(n): đồ thủ công</v>
      </c>
      <c r="I6248" s="6" t="s">
        <v>33992</v>
      </c>
      <c r="J6248" s="6" t="s">
        <v>33993</v>
      </c>
      <c r="K6248" s="7">
        <f t="shared" si="2"/>
        <v>0.9366493396</v>
      </c>
    </row>
    <row r="6249">
      <c r="A6249" s="4">
        <v>6249.0</v>
      </c>
      <c r="B6249" s="5" t="s">
        <v>33994</v>
      </c>
      <c r="C6249" s="5" t="s">
        <v>33995</v>
      </c>
      <c r="D6249" s="5" t="s">
        <v>33996</v>
      </c>
      <c r="E6249" s="6" t="s">
        <v>74</v>
      </c>
      <c r="F6249" s="6" t="s">
        <v>19129</v>
      </c>
      <c r="G6249" s="3" t="str">
        <f>IFERROR(__xludf.DUMMYFUNCTION("REGEXREPLACE(
D6249,
""([一-龯々]+)\[([^\]]+)\]"",
""&lt;ruby&gt;$1&lt;rt&gt;$2&lt;/rt&gt;&lt;/ruby&gt;""
)&amp;""&lt;br&gt;&lt;div class=""""audio""""&gt;[sound:""&amp;C6249&amp;"".mp3]&lt;/div&gt;"""),"&lt;ruby&gt;結束&lt;rt&gt;けっそく&lt;/rt&gt;&lt;/ruby&gt;&lt;br&gt;&lt;div class=""audio""&gt;[sound:けっそく.mp3]&lt;/div&gt;")</f>
        <v>&lt;ruby&gt;結束&lt;rt&gt;けっそく&lt;/rt&gt;&lt;/ruby&gt;&lt;br&gt;&lt;div class="audio"&gt;[sound:けっそく.mp3]&lt;/div&gt;</v>
      </c>
      <c r="H6249" s="3" t="str">
        <f t="shared" si="1"/>
        <v>(n): sự đoàn kết</v>
      </c>
      <c r="I6249" s="6" t="s">
        <v>33997</v>
      </c>
      <c r="J6249" s="6" t="s">
        <v>33998</v>
      </c>
      <c r="K6249" s="7">
        <f t="shared" si="2"/>
        <v>0.400169237</v>
      </c>
    </row>
    <row r="6250">
      <c r="A6250" s="4">
        <v>6250.0</v>
      </c>
      <c r="B6250" s="5" t="s">
        <v>33999</v>
      </c>
      <c r="C6250" s="5" t="s">
        <v>34000</v>
      </c>
      <c r="D6250" s="5" t="s">
        <v>34001</v>
      </c>
      <c r="E6250" s="6" t="s">
        <v>74</v>
      </c>
      <c r="F6250" s="6" t="s">
        <v>29043</v>
      </c>
      <c r="G6250" s="3" t="str">
        <f>IFERROR(__xludf.DUMMYFUNCTION("REGEXREPLACE(
D6250,
""([一-龯々]+)\[([^\]]+)\]"",
""&lt;ruby&gt;$1&lt;rt&gt;$2&lt;/rt&gt;&lt;/ruby&gt;""
)&amp;""&lt;br&gt;&lt;div class=""""audio""""&gt;[sound:""&amp;C6250&amp;"".mp3]&lt;/div&gt;"""),"&lt;ruby&gt;褒美&lt;rt&gt;ほうび&lt;/rt&gt;&lt;/ruby&gt;&lt;br&gt;&lt;div class=""audio""&gt;[sound:ほうび.mp3]&lt;/div&gt;")</f>
        <v>&lt;ruby&gt;褒美&lt;rt&gt;ほうび&lt;/rt&gt;&lt;/ruby&gt;&lt;br&gt;&lt;div class="audio"&gt;[sound:ほうび.mp3]&lt;/div&gt;</v>
      </c>
      <c r="H6250" s="3" t="str">
        <f t="shared" si="1"/>
        <v>(n): phần thưởng</v>
      </c>
      <c r="I6250" s="6" t="s">
        <v>34002</v>
      </c>
      <c r="J6250" s="6" t="s">
        <v>34003</v>
      </c>
      <c r="K6250" s="7">
        <f t="shared" si="2"/>
        <v>0.3853364054</v>
      </c>
    </row>
    <row r="6251">
      <c r="A6251" s="4">
        <v>6251.0</v>
      </c>
      <c r="B6251" s="5" t="s">
        <v>34004</v>
      </c>
      <c r="C6251" s="5" t="s">
        <v>34005</v>
      </c>
      <c r="D6251" s="5" t="s">
        <v>34006</v>
      </c>
      <c r="E6251" s="6" t="s">
        <v>74</v>
      </c>
      <c r="F6251" s="6" t="s">
        <v>34007</v>
      </c>
      <c r="G6251" s="3" t="str">
        <f>IFERROR(__xludf.DUMMYFUNCTION("REGEXREPLACE(
D6251,
""([一-龯々]+)\[([^\]]+)\]"",
""&lt;ruby&gt;$1&lt;rt&gt;$2&lt;/rt&gt;&lt;/ruby&gt;""
)&amp;""&lt;br&gt;&lt;div class=""""audio""""&gt;[sound:""&amp;C6251&amp;"".mp3]&lt;/div&gt;"""),"&lt;ruby&gt;農耕&lt;rt&gt;のうこう&lt;/rt&gt;&lt;/ruby&gt;&lt;br&gt;&lt;div class=""audio""&gt;[sound:のうこう.mp3]&lt;/div&gt;")</f>
        <v>&lt;ruby&gt;農耕&lt;rt&gt;のうこう&lt;/rt&gt;&lt;/ruby&gt;&lt;br&gt;&lt;div class="audio"&gt;[sound:のうこう.mp3]&lt;/div&gt;</v>
      </c>
      <c r="H6251" s="3" t="str">
        <f t="shared" si="1"/>
        <v>(n): sự canh tác</v>
      </c>
      <c r="I6251" s="6" t="s">
        <v>34008</v>
      </c>
      <c r="J6251" s="6" t="s">
        <v>34009</v>
      </c>
      <c r="K6251" s="7">
        <f t="shared" si="2"/>
        <v>0.04706071044</v>
      </c>
    </row>
    <row r="6252">
      <c r="A6252" s="4">
        <v>6252.0</v>
      </c>
      <c r="B6252" s="5" t="s">
        <v>34010</v>
      </c>
      <c r="C6252" s="5" t="s">
        <v>34011</v>
      </c>
      <c r="D6252" s="5" t="s">
        <v>34012</v>
      </c>
      <c r="E6252" s="6" t="s">
        <v>74</v>
      </c>
      <c r="F6252" s="6" t="s">
        <v>34013</v>
      </c>
      <c r="G6252" s="3" t="str">
        <f>IFERROR(__xludf.DUMMYFUNCTION("REGEXREPLACE(
D6252,
""([一-龯々]+)\[([^\]]+)\]"",
""&lt;ruby&gt;$1&lt;rt&gt;$2&lt;/rt&gt;&lt;/ruby&gt;""
)&amp;""&lt;br&gt;&lt;div class=""""audio""""&gt;[sound:""&amp;C6252&amp;"".mp3]&lt;/div&gt;"""),"&lt;ruby&gt;重宝&lt;rt&gt;ちょうほう&lt;/rt&gt;&lt;/ruby&gt;&lt;br&gt;&lt;div class=""audio""&gt;[sound:ちょうほう.mp3]&lt;/div&gt;")</f>
        <v>&lt;ruby&gt;重宝&lt;rt&gt;ちょうほう&lt;/rt&gt;&lt;/ruby&gt;&lt;br&gt;&lt;div class="audio"&gt;[sound:ちょうほう.mp3]&lt;/div&gt;</v>
      </c>
      <c r="H6252" s="3" t="str">
        <f t="shared" si="1"/>
        <v>(n): sự tiện lợi</v>
      </c>
      <c r="I6252" s="6" t="s">
        <v>34014</v>
      </c>
      <c r="J6252" s="6" t="s">
        <v>34015</v>
      </c>
      <c r="K6252" s="7">
        <f t="shared" si="2"/>
        <v>0.6500160408</v>
      </c>
    </row>
    <row r="6253">
      <c r="A6253" s="4">
        <v>6253.0</v>
      </c>
      <c r="B6253" s="5" t="s">
        <v>34016</v>
      </c>
      <c r="C6253" s="5" t="s">
        <v>34017</v>
      </c>
      <c r="D6253" s="5" t="s">
        <v>34018</v>
      </c>
      <c r="E6253" s="6" t="s">
        <v>74</v>
      </c>
      <c r="F6253" s="6" t="s">
        <v>6784</v>
      </c>
      <c r="G6253" s="3" t="str">
        <f>IFERROR(__xludf.DUMMYFUNCTION("REGEXREPLACE(
D6253,
""([一-龯々]+)\[([^\]]+)\]"",
""&lt;ruby&gt;$1&lt;rt&gt;$2&lt;/rt&gt;&lt;/ruby&gt;""
)&amp;""&lt;br&gt;&lt;div class=""""audio""""&gt;[sound:""&amp;C6253&amp;"".mp3]&lt;/div&gt;"""),"&lt;ruby&gt;下火&lt;rt&gt;したび&lt;/rt&gt;&lt;/ruby&gt;&lt;br&gt;&lt;div class=""audio""&gt;[sound:したび.mp3]&lt;/div&gt;")</f>
        <v>&lt;ruby&gt;下火&lt;rt&gt;したび&lt;/rt&gt;&lt;/ruby&gt;&lt;br&gt;&lt;div class="audio"&gt;[sound:したび.mp3]&lt;/div&gt;</v>
      </c>
      <c r="H6253" s="3" t="str">
        <f t="shared" si="1"/>
        <v>(n): lắng xuống</v>
      </c>
      <c r="I6253" s="6" t="s">
        <v>34019</v>
      </c>
      <c r="J6253" s="6" t="s">
        <v>34020</v>
      </c>
      <c r="K6253" s="7">
        <f t="shared" si="2"/>
        <v>0.3052726388</v>
      </c>
    </row>
    <row r="6254">
      <c r="A6254" s="4">
        <v>6254.0</v>
      </c>
      <c r="B6254" s="5" t="s">
        <v>34021</v>
      </c>
      <c r="C6254" s="5" t="s">
        <v>34022</v>
      </c>
      <c r="D6254" s="5" t="s">
        <v>34023</v>
      </c>
      <c r="E6254" s="6" t="s">
        <v>74</v>
      </c>
      <c r="F6254" s="6" t="s">
        <v>34024</v>
      </c>
      <c r="G6254" s="3" t="str">
        <f>IFERROR(__xludf.DUMMYFUNCTION("REGEXREPLACE(
D6254,
""([一-龯々]+)\[([^\]]+)\]"",
""&lt;ruby&gt;$1&lt;rt&gt;$2&lt;/rt&gt;&lt;/ruby&gt;""
)&amp;""&lt;br&gt;&lt;div class=""""audio""""&gt;[sound:""&amp;C6254&amp;"".mp3]&lt;/div&gt;"""),"&lt;ruby&gt;伝来&lt;rt&gt;でんらい&lt;/rt&gt;&lt;/ruby&gt;&lt;br&gt;&lt;div class=""audio""&gt;[sound:でんらい.mp3]&lt;/div&gt;")</f>
        <v>&lt;ruby&gt;伝来&lt;rt&gt;でんらい&lt;/rt&gt;&lt;/ruby&gt;&lt;br&gt;&lt;div class="audio"&gt;[sound:でんらい.mp3]&lt;/div&gt;</v>
      </c>
      <c r="H6254" s="3" t="str">
        <f t="shared" si="1"/>
        <v>(n): truyền đời</v>
      </c>
      <c r="I6254" s="6" t="s">
        <v>34025</v>
      </c>
      <c r="J6254" s="6" t="s">
        <v>34026</v>
      </c>
      <c r="K6254" s="7">
        <f t="shared" si="2"/>
        <v>0.3952752756</v>
      </c>
    </row>
    <row r="6255">
      <c r="A6255" s="4">
        <v>6255.0</v>
      </c>
      <c r="B6255" s="5" t="s">
        <v>34027</v>
      </c>
      <c r="C6255" s="5" t="s">
        <v>34028</v>
      </c>
      <c r="D6255" s="5" t="s">
        <v>34029</v>
      </c>
      <c r="E6255" s="6" t="s">
        <v>74</v>
      </c>
      <c r="F6255" s="6" t="s">
        <v>34030</v>
      </c>
      <c r="G6255" s="3" t="str">
        <f>IFERROR(__xludf.DUMMYFUNCTION("REGEXREPLACE(
D6255,
""([一-龯々]+)\[([^\]]+)\]"",
""&lt;ruby&gt;$1&lt;rt&gt;$2&lt;/rt&gt;&lt;/ruby&gt;""
)&amp;""&lt;br&gt;&lt;div class=""""audio""""&gt;[sound:""&amp;C6255&amp;"".mp3]&lt;/div&gt;"""),"&lt;ruby&gt;元首&lt;rt&gt;げんしゅ&lt;/rt&gt;&lt;/ruby&gt;&lt;br&gt;&lt;div class=""audio""&gt;[sound:げんしゅ.mp3]&lt;/div&gt;")</f>
        <v>&lt;ruby&gt;元首&lt;rt&gt;げんしゅ&lt;/rt&gt;&lt;/ruby&gt;&lt;br&gt;&lt;div class="audio"&gt;[sound:げんしゅ.mp3]&lt;/div&gt;</v>
      </c>
      <c r="H6255" s="3" t="str">
        <f t="shared" si="1"/>
        <v>(n): nguyên thủ</v>
      </c>
      <c r="I6255" s="6" t="s">
        <v>34031</v>
      </c>
      <c r="J6255" s="6" t="s">
        <v>34032</v>
      </c>
      <c r="K6255" s="7">
        <f t="shared" si="2"/>
        <v>0.6082669979</v>
      </c>
    </row>
    <row r="6256">
      <c r="A6256" s="4">
        <v>6256.0</v>
      </c>
      <c r="B6256" s="5" t="s">
        <v>34033</v>
      </c>
      <c r="C6256" s="5" t="s">
        <v>34034</v>
      </c>
      <c r="D6256" s="5" t="s">
        <v>34035</v>
      </c>
      <c r="E6256" s="6" t="s">
        <v>74</v>
      </c>
      <c r="F6256" s="6" t="s">
        <v>34036</v>
      </c>
      <c r="G6256" s="3" t="str">
        <f>IFERROR(__xludf.DUMMYFUNCTION("REGEXREPLACE(
D6256,
""([一-龯々]+)\[([^\]]+)\]"",
""&lt;ruby&gt;$1&lt;rt&gt;$2&lt;/rt&gt;&lt;/ruby&gt;""
)&amp;""&lt;br&gt;&lt;div class=""""audio""""&gt;[sound:""&amp;C6256&amp;"".mp3]&lt;/div&gt;"""),"&lt;ruby&gt;化合&lt;rt&gt;かごう&lt;/rt&gt;&lt;/ruby&gt;&lt;br&gt;&lt;div class=""audio""&gt;[sound:かごう.mp3]&lt;/div&gt;")</f>
        <v>&lt;ruby&gt;化合&lt;rt&gt;かごう&lt;/rt&gt;&lt;/ruby&gt;&lt;br&gt;&lt;div class="audio"&gt;[sound:かごう.mp3]&lt;/div&gt;</v>
      </c>
      <c r="H6256" s="3" t="str">
        <f t="shared" si="1"/>
        <v>(n): sự hóa hợp</v>
      </c>
      <c r="I6256" s="6" t="s">
        <v>34037</v>
      </c>
      <c r="J6256" s="6" t="s">
        <v>34038</v>
      </c>
      <c r="K6256" s="7">
        <f t="shared" si="2"/>
        <v>0.48053499</v>
      </c>
    </row>
    <row r="6257">
      <c r="A6257" s="4">
        <v>6257.0</v>
      </c>
      <c r="B6257" s="5" t="s">
        <v>34039</v>
      </c>
      <c r="C6257" s="5" t="s">
        <v>34040</v>
      </c>
      <c r="D6257" s="5" t="s">
        <v>34041</v>
      </c>
      <c r="E6257" s="6" t="s">
        <v>74</v>
      </c>
      <c r="F6257" s="6" t="s">
        <v>34042</v>
      </c>
      <c r="G6257" s="3" t="str">
        <f>IFERROR(__xludf.DUMMYFUNCTION("REGEXREPLACE(
D6257,
""([一-龯々]+)\[([^\]]+)\]"",
""&lt;ruby&gt;$1&lt;rt&gt;$2&lt;/rt&gt;&lt;/ruby&gt;""
)&amp;""&lt;br&gt;&lt;div class=""""audio""""&gt;[sound:""&amp;C6257&amp;"".mp3]&lt;/div&gt;"""),"&lt;ruby&gt;破裂&lt;rt&gt;はれつ&lt;/rt&gt;&lt;/ruby&gt;&lt;br&gt;&lt;div class=""audio""&gt;[sound:はれつ.mp3]&lt;/div&gt;")</f>
        <v>&lt;ruby&gt;破裂&lt;rt&gt;はれつ&lt;/rt&gt;&lt;/ruby&gt;&lt;br&gt;&lt;div class="audio"&gt;[sound:はれつ.mp3]&lt;/div&gt;</v>
      </c>
      <c r="H6257" s="3" t="str">
        <f t="shared" si="1"/>
        <v>(n): sự nổ tung</v>
      </c>
      <c r="I6257" s="6" t="s">
        <v>34043</v>
      </c>
      <c r="J6257" s="6" t="s">
        <v>34044</v>
      </c>
      <c r="K6257" s="7">
        <f t="shared" si="2"/>
        <v>0.2564807653</v>
      </c>
    </row>
    <row r="6258">
      <c r="A6258" s="4">
        <v>6258.0</v>
      </c>
      <c r="B6258" s="5" t="s">
        <v>34045</v>
      </c>
      <c r="C6258" s="5" t="s">
        <v>34046</v>
      </c>
      <c r="D6258" s="5" t="s">
        <v>34047</v>
      </c>
      <c r="E6258" s="6" t="s">
        <v>74</v>
      </c>
      <c r="F6258" s="6" t="s">
        <v>34048</v>
      </c>
      <c r="G6258" s="3" t="str">
        <f>IFERROR(__xludf.DUMMYFUNCTION("REGEXREPLACE(
D6258,
""([一-龯々]+)\[([^\]]+)\]"",
""&lt;ruby&gt;$1&lt;rt&gt;$2&lt;/rt&gt;&lt;/ruby&gt;""
)&amp;""&lt;br&gt;&lt;div class=""""audio""""&gt;[sound:""&amp;C6258&amp;"".mp3]&lt;/div&gt;"""),"&lt;ruby&gt;紛失&lt;rt&gt;ふんしつ&lt;/rt&gt;&lt;/ruby&gt;&lt;br&gt;&lt;div class=""audio""&gt;[sound:ふんしつ.mp3]&lt;/div&gt;")</f>
        <v>&lt;ruby&gt;紛失&lt;rt&gt;ふんしつ&lt;/rt&gt;&lt;/ruby&gt;&lt;br&gt;&lt;div class="audio"&gt;[sound:ふんしつ.mp3]&lt;/div&gt;</v>
      </c>
      <c r="H6258" s="3" t="str">
        <f t="shared" si="1"/>
        <v>(n): sự mất mát</v>
      </c>
      <c r="I6258" s="6" t="s">
        <v>34049</v>
      </c>
      <c r="J6258" s="6" t="s">
        <v>34050</v>
      </c>
      <c r="K6258" s="7">
        <f t="shared" si="2"/>
        <v>0.5787064268</v>
      </c>
    </row>
    <row r="6259">
      <c r="A6259" s="4">
        <v>6259.0</v>
      </c>
      <c r="B6259" s="5" t="s">
        <v>34051</v>
      </c>
      <c r="C6259" s="5" t="s">
        <v>34052</v>
      </c>
      <c r="D6259" s="5" t="s">
        <v>34053</v>
      </c>
      <c r="E6259" s="6" t="s">
        <v>74</v>
      </c>
      <c r="F6259" s="6" t="s">
        <v>34054</v>
      </c>
      <c r="G6259" s="3" t="str">
        <f>IFERROR(__xludf.DUMMYFUNCTION("REGEXREPLACE(
D6259,
""([一-龯々]+)\[([^\]]+)\]"",
""&lt;ruby&gt;$1&lt;rt&gt;$2&lt;/rt&gt;&lt;/ruby&gt;""
)&amp;""&lt;br&gt;&lt;div class=""""audio""""&gt;[sound:""&amp;C6259&amp;"".mp3]&lt;/div&gt;"""),"&lt;ruby&gt;覆面&lt;rt&gt;ふくめん&lt;/rt&gt;&lt;/ruby&gt;&lt;br&gt;&lt;div class=""audio""&gt;[sound:ふくめん.mp3]&lt;/div&gt;")</f>
        <v>&lt;ruby&gt;覆面&lt;rt&gt;ふくめん&lt;/rt&gt;&lt;/ruby&gt;&lt;br&gt;&lt;div class="audio"&gt;[sound:ふくめん.mp3]&lt;/div&gt;</v>
      </c>
      <c r="H6259" s="3" t="str">
        <f t="shared" si="1"/>
        <v>(n): sự che mặt</v>
      </c>
      <c r="I6259" s="6" t="s">
        <v>34055</v>
      </c>
      <c r="J6259" s="6" t="s">
        <v>34056</v>
      </c>
      <c r="K6259" s="7">
        <f t="shared" si="2"/>
        <v>0.8222225874</v>
      </c>
    </row>
    <row r="6260">
      <c r="A6260" s="4">
        <v>6260.0</v>
      </c>
      <c r="B6260" s="5" t="s">
        <v>34057</v>
      </c>
      <c r="C6260" s="5" t="s">
        <v>34058</v>
      </c>
      <c r="D6260" s="5" t="s">
        <v>34059</v>
      </c>
      <c r="E6260" s="6" t="s">
        <v>74</v>
      </c>
      <c r="F6260" s="6" t="s">
        <v>34060</v>
      </c>
      <c r="G6260" s="3" t="str">
        <f>IFERROR(__xludf.DUMMYFUNCTION("REGEXREPLACE(
D6260,
""([一-龯々]+)\[([^\]]+)\]"",
""&lt;ruby&gt;$1&lt;rt&gt;$2&lt;/rt&gt;&lt;/ruby&gt;""
)&amp;""&lt;br&gt;&lt;div class=""""audio""""&gt;[sound:""&amp;C6260&amp;"".mp3]&lt;/div&gt;"""),"&lt;ruby&gt;課外&lt;rt&gt;かがい&lt;/rt&gt;&lt;/ruby&gt;&lt;br&gt;&lt;div class=""audio""&gt;[sound:かがい.mp3]&lt;/div&gt;")</f>
        <v>&lt;ruby&gt;課外&lt;rt&gt;かがい&lt;/rt&gt;&lt;/ruby&gt;&lt;br&gt;&lt;div class="audio"&gt;[sound:かがい.mp3]&lt;/div&gt;</v>
      </c>
      <c r="H6260" s="3" t="str">
        <f t="shared" si="1"/>
        <v>(n): ngoại khóa</v>
      </c>
      <c r="I6260" s="6" t="s">
        <v>34061</v>
      </c>
      <c r="J6260" s="6" t="s">
        <v>3203</v>
      </c>
      <c r="K6260" s="7">
        <f t="shared" si="2"/>
        <v>0.2081690851</v>
      </c>
    </row>
    <row r="6261">
      <c r="A6261" s="4">
        <v>6261.0</v>
      </c>
      <c r="B6261" s="5" t="s">
        <v>34062</v>
      </c>
      <c r="C6261" s="5" t="s">
        <v>34063</v>
      </c>
      <c r="D6261" s="5" t="s">
        <v>34064</v>
      </c>
      <c r="E6261" s="6" t="s">
        <v>74</v>
      </c>
      <c r="F6261" s="6" t="s">
        <v>34065</v>
      </c>
      <c r="G6261" s="3" t="str">
        <f>IFERROR(__xludf.DUMMYFUNCTION("REGEXREPLACE(
D6261,
""([一-龯々]+)\[([^\]]+)\]"",
""&lt;ruby&gt;$1&lt;rt&gt;$2&lt;/rt&gt;&lt;/ruby&gt;""
)&amp;""&lt;br&gt;&lt;div class=""""audio""""&gt;[sound:""&amp;C6261&amp;"".mp3]&lt;/div&gt;"""),"&lt;ruby&gt;賛美&lt;rt&gt;さんび&lt;/rt&gt;&lt;/ruby&gt;&lt;br&gt;&lt;div class=""audio""&gt;[sound:さんび.mp3]&lt;/div&gt;")</f>
        <v>&lt;ruby&gt;賛美&lt;rt&gt;さんび&lt;/rt&gt;&lt;/ruby&gt;&lt;br&gt;&lt;div class="audio"&gt;[sound:さんび.mp3]&lt;/div&gt;</v>
      </c>
      <c r="H6261" s="3" t="str">
        <f t="shared" si="1"/>
        <v>(n): sự ca tụng</v>
      </c>
      <c r="I6261" s="6" t="s">
        <v>34066</v>
      </c>
      <c r="J6261" s="6" t="s">
        <v>34067</v>
      </c>
      <c r="K6261" s="7">
        <f t="shared" si="2"/>
        <v>0.5253022742</v>
      </c>
    </row>
    <row r="6262">
      <c r="A6262" s="4">
        <v>6262.0</v>
      </c>
      <c r="B6262" s="5" t="s">
        <v>34068</v>
      </c>
      <c r="C6262" s="5" t="s">
        <v>34068</v>
      </c>
      <c r="D6262" s="5" t="s">
        <v>34068</v>
      </c>
      <c r="E6262" s="6" t="s">
        <v>24</v>
      </c>
      <c r="F6262" s="6" t="s">
        <v>34069</v>
      </c>
      <c r="G6262" s="3" t="str">
        <f>IFERROR(__xludf.DUMMYFUNCTION("REGEXREPLACE(
D6262,
""([一-龯々]+)\[([^\]]+)\]"",
""&lt;ruby&gt;$1&lt;rt&gt;$2&lt;/rt&gt;&lt;/ruby&gt;""
)&amp;""&lt;br&gt;&lt;div class=""""audio""""&gt;[sound:""&amp;C6262&amp;"".mp3]&lt;/div&gt;"""),"かぶれる&lt;br&gt;&lt;div class=""audio""&gt;[sound:かぶれる.mp3]&lt;/div&gt;")</f>
        <v>かぶれる&lt;br&gt;&lt;div class="audio"&gt;[sound:かぶれる.mp3]&lt;/div&gt;</v>
      </c>
      <c r="H6262" s="3" t="str">
        <f t="shared" si="1"/>
        <v>(v): bị dị ứng</v>
      </c>
      <c r="I6262" s="6" t="s">
        <v>34070</v>
      </c>
      <c r="J6262" s="6" t="s">
        <v>34071</v>
      </c>
      <c r="K6262" s="7">
        <f t="shared" si="2"/>
        <v>0.9866309558</v>
      </c>
    </row>
    <row r="6263">
      <c r="A6263" s="4">
        <v>6263.0</v>
      </c>
      <c r="B6263" s="5" t="s">
        <v>34072</v>
      </c>
      <c r="C6263" s="5" t="s">
        <v>34073</v>
      </c>
      <c r="D6263" s="5" t="s">
        <v>34074</v>
      </c>
      <c r="E6263" s="6" t="s">
        <v>11</v>
      </c>
      <c r="F6263" s="6" t="s">
        <v>34075</v>
      </c>
      <c r="G6263" s="3" t="str">
        <f>IFERROR(__xludf.DUMMYFUNCTION("REGEXREPLACE(
D6263,
""([一-龯々]+)\[([^\]]+)\]"",
""&lt;ruby&gt;$1&lt;rt&gt;$2&lt;/rt&gt;&lt;/ruby&gt;""
)&amp;""&lt;br&gt;&lt;div class=""""audio""""&gt;[sound:""&amp;C6263&amp;"".mp3]&lt;/div&gt;"""),"&lt;ruby&gt;優美&lt;rt&gt;ゆうび&lt;/rt&gt;&lt;/ruby&gt;&lt;br&gt;&lt;div class=""audio""&gt;[sound:ゆうび.mp3]&lt;/div&gt;")</f>
        <v>&lt;ruby&gt;優美&lt;rt&gt;ゆうび&lt;/rt&gt;&lt;/ruby&gt;&lt;br&gt;&lt;div class="audio"&gt;[sound:ゆうび.mp3]&lt;/div&gt;</v>
      </c>
      <c r="H6263" s="3" t="str">
        <f t="shared" si="1"/>
        <v>(adj): thanh nhã</v>
      </c>
      <c r="I6263" s="6" t="s">
        <v>34076</v>
      </c>
      <c r="J6263" s="6" t="s">
        <v>34077</v>
      </c>
      <c r="K6263" s="7">
        <f t="shared" si="2"/>
        <v>0.8934184186</v>
      </c>
    </row>
    <row r="6264">
      <c r="A6264" s="4">
        <v>6264.0</v>
      </c>
      <c r="B6264" s="5" t="s">
        <v>34078</v>
      </c>
      <c r="C6264" s="5" t="s">
        <v>34079</v>
      </c>
      <c r="D6264" s="5" t="s">
        <v>34080</v>
      </c>
      <c r="E6264" s="6" t="s">
        <v>24</v>
      </c>
      <c r="F6264" s="6" t="s">
        <v>25170</v>
      </c>
      <c r="G6264" s="3" t="str">
        <f>IFERROR(__xludf.DUMMYFUNCTION("REGEXREPLACE(
D6264,
""([一-龯々]+)\[([^\]]+)\]"",
""&lt;ruby&gt;$1&lt;rt&gt;$2&lt;/rt&gt;&lt;/ruby&gt;""
)&amp;""&lt;br&gt;&lt;div class=""""audio""""&gt;[sound:""&amp;C6264&amp;"".mp3]&lt;/div&gt;"""),"&lt;ruby&gt;滅&lt;rt&gt;ほろ&lt;/rt&gt;&lt;/ruby&gt;ぼす&lt;br&gt;&lt;div class=""audio""&gt;[sound:ほろぼす.mp3]&lt;/div&gt;")</f>
        <v>&lt;ruby&gt;滅&lt;rt&gt;ほろ&lt;/rt&gt;&lt;/ruby&gt;ぼす&lt;br&gt;&lt;div class="audio"&gt;[sound:ほろぼす.mp3]&lt;/div&gt;</v>
      </c>
      <c r="H6264" s="3" t="str">
        <f t="shared" si="1"/>
        <v>(v): tiêu diệt</v>
      </c>
      <c r="I6264" s="6" t="s">
        <v>34081</v>
      </c>
      <c r="J6264" s="6" t="s">
        <v>34082</v>
      </c>
      <c r="K6264" s="7">
        <f t="shared" si="2"/>
        <v>0.4839319582</v>
      </c>
    </row>
    <row r="6265">
      <c r="A6265" s="4">
        <v>6265.0</v>
      </c>
      <c r="B6265" s="5" t="s">
        <v>34083</v>
      </c>
      <c r="C6265" s="5" t="s">
        <v>21885</v>
      </c>
      <c r="D6265" s="5" t="s">
        <v>34084</v>
      </c>
      <c r="E6265" s="6" t="s">
        <v>24</v>
      </c>
      <c r="F6265" s="6" t="s">
        <v>34085</v>
      </c>
      <c r="G6265" s="3" t="str">
        <f>IFERROR(__xludf.DUMMYFUNCTION("REGEXREPLACE(
D6265,
""([一-龯々]+)\[([^\]]+)\]"",
""&lt;ruby&gt;$1&lt;rt&gt;$2&lt;/rt&gt;&lt;/ruby&gt;""
)&amp;""&lt;br&gt;&lt;div class=""""audio""""&gt;[sound:""&amp;C6265&amp;"".mp3]&lt;/div&gt;"""),"&lt;ruby&gt;澄&lt;rt&gt;す&lt;/rt&gt;&lt;/ruby&gt;ます&lt;br&gt;&lt;div class=""audio""&gt;[sound:すます.mp3]&lt;/div&gt;")</f>
        <v>&lt;ruby&gt;澄&lt;rt&gt;す&lt;/rt&gt;&lt;/ruby&gt;ます&lt;br&gt;&lt;div class="audio"&gt;[sound:すます.mp3]&lt;/div&gt;</v>
      </c>
      <c r="H6265" s="3" t="str">
        <f t="shared" si="1"/>
        <v>(v): làm trong</v>
      </c>
      <c r="I6265" s="6" t="s">
        <v>34086</v>
      </c>
      <c r="J6265" s="6" t="s">
        <v>34087</v>
      </c>
      <c r="K6265" s="7">
        <f t="shared" si="2"/>
        <v>0.07521176168</v>
      </c>
    </row>
    <row r="6266">
      <c r="A6266" s="4">
        <v>6266.0</v>
      </c>
      <c r="B6266" s="5" t="s">
        <v>34088</v>
      </c>
      <c r="C6266" s="5" t="s">
        <v>34089</v>
      </c>
      <c r="D6266" s="5" t="s">
        <v>34090</v>
      </c>
      <c r="E6266" s="6" t="s">
        <v>24</v>
      </c>
      <c r="F6266" s="6" t="s">
        <v>34091</v>
      </c>
      <c r="G6266" s="3" t="str">
        <f>IFERROR(__xludf.DUMMYFUNCTION("REGEXREPLACE(
D6266,
""([一-龯々]+)\[([^\]]+)\]"",
""&lt;ruby&gt;$1&lt;rt&gt;$2&lt;/rt&gt;&lt;/ruby&gt;""
)&amp;""&lt;br&gt;&lt;div class=""""audio""""&gt;[sound:""&amp;C6266&amp;"".mp3]&lt;/div&gt;"""),"&lt;ruby&gt;罵&lt;rt&gt;ののし&lt;/rt&gt;&lt;/ruby&gt;る&lt;br&gt;&lt;div class=""audio""&gt;[sound:ののしる.mp3]&lt;/div&gt;")</f>
        <v>&lt;ruby&gt;罵&lt;rt&gt;ののし&lt;/rt&gt;&lt;/ruby&gt;る&lt;br&gt;&lt;div class="audio"&gt;[sound:ののしる.mp3]&lt;/div&gt;</v>
      </c>
      <c r="H6266" s="3" t="str">
        <f t="shared" si="1"/>
        <v>(v): chửi mắng</v>
      </c>
      <c r="I6266" s="6" t="s">
        <v>34092</v>
      </c>
      <c r="J6266" s="6" t="s">
        <v>34093</v>
      </c>
      <c r="K6266" s="7">
        <f t="shared" si="2"/>
        <v>0.6479778457</v>
      </c>
    </row>
    <row r="6267">
      <c r="A6267" s="4">
        <v>6267.0</v>
      </c>
      <c r="B6267" s="5" t="s">
        <v>34094</v>
      </c>
      <c r="C6267" s="5" t="s">
        <v>34095</v>
      </c>
      <c r="D6267" s="5" t="s">
        <v>34096</v>
      </c>
      <c r="E6267" s="6" t="s">
        <v>11</v>
      </c>
      <c r="F6267" s="6" t="s">
        <v>34097</v>
      </c>
      <c r="G6267" s="3" t="str">
        <f>IFERROR(__xludf.DUMMYFUNCTION("REGEXREPLACE(
D6267,
""([一-龯々]+)\[([^\]]+)\]"",
""&lt;ruby&gt;$1&lt;rt&gt;$2&lt;/rt&gt;&lt;/ruby&gt;""
)&amp;""&lt;br&gt;&lt;div class=""""audio""""&gt;[sound:""&amp;C6267&amp;"".mp3]&lt;/div&gt;"""),"&lt;ruby&gt;臆病&lt;rt&gt;おくびょう&lt;/rt&gt;&lt;/ruby&gt;&lt;br&gt;&lt;div class=""audio""&gt;[sound:おくびょう.mp3]&lt;/div&gt;")</f>
        <v>&lt;ruby&gt;臆病&lt;rt&gt;おくびょう&lt;/rt&gt;&lt;/ruby&gt;&lt;br&gt;&lt;div class="audio"&gt;[sound:おくびょう.mp3]&lt;/div&gt;</v>
      </c>
      <c r="H6267" s="3" t="str">
        <f t="shared" si="1"/>
        <v>(adj): nhút nhát</v>
      </c>
      <c r="I6267" s="6" t="s">
        <v>34098</v>
      </c>
      <c r="J6267" s="6" t="s">
        <v>34099</v>
      </c>
      <c r="K6267" s="7">
        <f t="shared" si="2"/>
        <v>0.5147009836</v>
      </c>
    </row>
    <row r="6268">
      <c r="A6268" s="4">
        <v>6268.0</v>
      </c>
      <c r="B6268" s="5" t="s">
        <v>34100</v>
      </c>
      <c r="C6268" s="5" t="s">
        <v>34101</v>
      </c>
      <c r="D6268" s="5" t="s">
        <v>34102</v>
      </c>
      <c r="E6268" s="6" t="s">
        <v>74</v>
      </c>
      <c r="F6268" s="6" t="s">
        <v>34103</v>
      </c>
      <c r="G6268" s="3" t="str">
        <f>IFERROR(__xludf.DUMMYFUNCTION("REGEXREPLACE(
D6268,
""([一-龯々]+)\[([^\]]+)\]"",
""&lt;ruby&gt;$1&lt;rt&gt;$2&lt;/rt&gt;&lt;/ruby&gt;""
)&amp;""&lt;br&gt;&lt;div class=""""audio""""&gt;[sound:""&amp;C6268&amp;"".mp3]&lt;/div&gt;"""),"&lt;ruby&gt;良識&lt;rt&gt;りょうしき&lt;/rt&gt;&lt;/ruby&gt;&lt;br&gt;&lt;div class=""audio""&gt;[sound:りょうしき.mp3]&lt;/div&gt;")</f>
        <v>&lt;ruby&gt;良識&lt;rt&gt;りょうしき&lt;/rt&gt;&lt;/ruby&gt;&lt;br&gt;&lt;div class="audio"&gt;[sound:りょうしき.mp3]&lt;/div&gt;</v>
      </c>
      <c r="H6268" s="3" t="str">
        <f t="shared" si="1"/>
        <v>(n): lương tri</v>
      </c>
      <c r="I6268" s="6" t="s">
        <v>34104</v>
      </c>
      <c r="J6268" s="6" t="s">
        <v>34105</v>
      </c>
      <c r="K6268" s="7">
        <f t="shared" si="2"/>
        <v>0.0336260858</v>
      </c>
    </row>
    <row r="6269">
      <c r="A6269" s="4">
        <v>6269.0</v>
      </c>
      <c r="B6269" s="5" t="s">
        <v>34106</v>
      </c>
      <c r="C6269" s="5" t="s">
        <v>34107</v>
      </c>
      <c r="D6269" s="5" t="s">
        <v>34108</v>
      </c>
      <c r="E6269" s="6" t="s">
        <v>24</v>
      </c>
      <c r="F6269" s="6" t="s">
        <v>34109</v>
      </c>
      <c r="G6269" s="3" t="str">
        <f>IFERROR(__xludf.DUMMYFUNCTION("REGEXREPLACE(
D6269,
""([一-龯々]+)\[([^\]]+)\]"",
""&lt;ruby&gt;$1&lt;rt&gt;$2&lt;/rt&gt;&lt;/ruby&gt;""
)&amp;""&lt;br&gt;&lt;div class=""""audio""""&gt;[sound:""&amp;C6269&amp;"".mp3]&lt;/div&gt;"""),"&lt;ruby&gt;謹&lt;rt&gt;つつし&lt;/rt&gt;&lt;/ruby&gt;む&lt;br&gt;&lt;div class=""audio""&gt;[sound:つつしむ.mp3]&lt;/div&gt;")</f>
        <v>&lt;ruby&gt;謹&lt;rt&gt;つつし&lt;/rt&gt;&lt;/ruby&gt;む&lt;br&gt;&lt;div class="audio"&gt;[sound:つつしむ.mp3]&lt;/div&gt;</v>
      </c>
      <c r="H6269" s="3" t="str">
        <f t="shared" si="1"/>
        <v>(v): cẩn trọng</v>
      </c>
      <c r="I6269" s="6" t="s">
        <v>34110</v>
      </c>
      <c r="J6269" s="6" t="s">
        <v>34111</v>
      </c>
      <c r="K6269" s="7">
        <f t="shared" si="2"/>
        <v>0.9612480923</v>
      </c>
    </row>
    <row r="6270">
      <c r="A6270" s="4">
        <v>6270.0</v>
      </c>
      <c r="B6270" s="5" t="s">
        <v>34112</v>
      </c>
      <c r="C6270" s="5" t="s">
        <v>34113</v>
      </c>
      <c r="D6270" s="5" t="s">
        <v>34114</v>
      </c>
      <c r="E6270" s="6" t="s">
        <v>74</v>
      </c>
      <c r="F6270" s="6" t="s">
        <v>34115</v>
      </c>
      <c r="G6270" s="3" t="str">
        <f>IFERROR(__xludf.DUMMYFUNCTION("REGEXREPLACE(
D6270,
""([一-龯々]+)\[([^\]]+)\]"",
""&lt;ruby&gt;$1&lt;rt&gt;$2&lt;/rt&gt;&lt;/ruby&gt;""
)&amp;""&lt;br&gt;&lt;div class=""""audio""""&gt;[sound:""&amp;C6270&amp;"".mp3]&lt;/div&gt;"""),"&lt;ruby&gt;足&lt;rt&gt;た&lt;/rt&gt;&lt;/ruby&gt;し&lt;ruby&gt;算&lt;rt&gt;ざん&lt;/rt&gt;&lt;/ruby&gt;&lt;br&gt;&lt;div class=""audio""&gt;[sound:たしざん.mp3]&lt;/div&gt;")</f>
        <v>&lt;ruby&gt;足&lt;rt&gt;た&lt;/rt&gt;&lt;/ruby&gt;し&lt;ruby&gt;算&lt;rt&gt;ざん&lt;/rt&gt;&lt;/ruby&gt;&lt;br&gt;&lt;div class="audio"&gt;[sound:たしざん.mp3]&lt;/div&gt;</v>
      </c>
      <c r="H6270" s="3" t="str">
        <f t="shared" si="1"/>
        <v>(n): phép cộng</v>
      </c>
      <c r="I6270" s="6" t="s">
        <v>34116</v>
      </c>
      <c r="J6270" s="6" t="s">
        <v>34117</v>
      </c>
      <c r="K6270" s="7">
        <f t="shared" si="2"/>
        <v>0.4364952874</v>
      </c>
    </row>
    <row r="6271">
      <c r="A6271" s="4">
        <v>6271.0</v>
      </c>
      <c r="B6271" s="5" t="s">
        <v>34118</v>
      </c>
      <c r="C6271" s="5" t="s">
        <v>34119</v>
      </c>
      <c r="D6271" s="5" t="s">
        <v>34120</v>
      </c>
      <c r="E6271" s="6" t="s">
        <v>74</v>
      </c>
      <c r="F6271" s="6" t="s">
        <v>34121</v>
      </c>
      <c r="G6271" s="3" t="str">
        <f>IFERROR(__xludf.DUMMYFUNCTION("REGEXREPLACE(
D6271,
""([一-龯々]+)\[([^\]]+)\]"",
""&lt;ruby&gt;$1&lt;rt&gt;$2&lt;/rt&gt;&lt;/ruby&gt;""
)&amp;""&lt;br&gt;&lt;div class=""""audio""""&gt;[sound:""&amp;C6271&amp;"".mp3]&lt;/div&gt;"""),"&lt;ruby&gt;軍服&lt;rt&gt;ぐんぷく&lt;/rt&gt;&lt;/ruby&gt;&lt;br&gt;&lt;div class=""audio""&gt;[sound:ぐんぷく.mp3]&lt;/div&gt;")</f>
        <v>&lt;ruby&gt;軍服&lt;rt&gt;ぐんぷく&lt;/rt&gt;&lt;/ruby&gt;&lt;br&gt;&lt;div class="audio"&gt;[sound:ぐんぷく.mp3]&lt;/div&gt;</v>
      </c>
      <c r="H6271" s="3" t="str">
        <f t="shared" si="1"/>
        <v>(n): quân phục</v>
      </c>
      <c r="I6271" s="6" t="s">
        <v>34122</v>
      </c>
      <c r="J6271" s="6" t="s">
        <v>34123</v>
      </c>
      <c r="K6271" s="7">
        <f t="shared" si="2"/>
        <v>0.5700726517</v>
      </c>
    </row>
    <row r="6272">
      <c r="A6272" s="4">
        <v>6272.0</v>
      </c>
      <c r="B6272" s="5" t="s">
        <v>34124</v>
      </c>
      <c r="C6272" s="5" t="s">
        <v>34125</v>
      </c>
      <c r="D6272" s="5" t="s">
        <v>34126</v>
      </c>
      <c r="E6272" s="6" t="s">
        <v>74</v>
      </c>
      <c r="F6272" s="6" t="s">
        <v>34127</v>
      </c>
      <c r="G6272" s="3" t="str">
        <f>IFERROR(__xludf.DUMMYFUNCTION("REGEXREPLACE(
D6272,
""([一-龯々]+)\[([^\]]+)\]"",
""&lt;ruby&gt;$1&lt;rt&gt;$2&lt;/rt&gt;&lt;/ruby&gt;""
)&amp;""&lt;br&gt;&lt;div class=""""audio""""&gt;[sound:""&amp;C6272&amp;"".mp3]&lt;/div&gt;"""),"&lt;ruby&gt;軍艦&lt;rt&gt;ぐんかん&lt;/rt&gt;&lt;/ruby&gt;&lt;br&gt;&lt;div class=""audio""&gt;[sound:ぐんかん.mp3]&lt;/div&gt;")</f>
        <v>&lt;ruby&gt;軍艦&lt;rt&gt;ぐんかん&lt;/rt&gt;&lt;/ruby&gt;&lt;br&gt;&lt;div class="audio"&gt;[sound:ぐんかん.mp3]&lt;/div&gt;</v>
      </c>
      <c r="H6272" s="3" t="str">
        <f t="shared" si="1"/>
        <v>(n): tàu chiến</v>
      </c>
      <c r="I6272" s="6" t="s">
        <v>34128</v>
      </c>
      <c r="J6272" s="6" t="s">
        <v>34129</v>
      </c>
      <c r="K6272" s="7">
        <f t="shared" si="2"/>
        <v>0.5584698465</v>
      </c>
    </row>
    <row r="6273">
      <c r="A6273" s="4">
        <v>6273.0</v>
      </c>
      <c r="B6273" s="5" t="s">
        <v>34130</v>
      </c>
      <c r="C6273" s="5" t="s">
        <v>8487</v>
      </c>
      <c r="D6273" s="5" t="s">
        <v>34131</v>
      </c>
      <c r="E6273" s="6" t="s">
        <v>24</v>
      </c>
      <c r="F6273" s="6" t="s">
        <v>2008</v>
      </c>
      <c r="G6273" s="3" t="str">
        <f>IFERROR(__xludf.DUMMYFUNCTION("REGEXREPLACE(
D6273,
""([一-龯々]+)\[([^\]]+)\]"",
""&lt;ruby&gt;$1&lt;rt&gt;$2&lt;/rt&gt;&lt;/ruby&gt;""
)&amp;""&lt;br&gt;&lt;div class=""""audio""""&gt;[sound:""&amp;C6273&amp;"".mp3]&lt;/div&gt;"""),"&lt;ruby&gt;障&lt;rt&gt;さわ&lt;/rt&gt;&lt;/ruby&gt;る&lt;br&gt;&lt;div class=""audio""&gt;[sound:さわる.mp3]&lt;/div&gt;")</f>
        <v>&lt;ruby&gt;障&lt;rt&gt;さわ&lt;/rt&gt;&lt;/ruby&gt;る&lt;br&gt;&lt;div class="audio"&gt;[sound:さわる.mp3]&lt;/div&gt;</v>
      </c>
      <c r="H6273" s="3" t="str">
        <f t="shared" si="1"/>
        <v>(v): ảnh hưởng</v>
      </c>
      <c r="I6273" s="6" t="s">
        <v>34132</v>
      </c>
      <c r="J6273" s="6" t="s">
        <v>34133</v>
      </c>
      <c r="K6273" s="7">
        <f t="shared" si="2"/>
        <v>0.9385940988</v>
      </c>
    </row>
    <row r="6274">
      <c r="A6274" s="4">
        <v>6274.0</v>
      </c>
      <c r="B6274" s="5" t="s">
        <v>34134</v>
      </c>
      <c r="C6274" s="5" t="s">
        <v>34135</v>
      </c>
      <c r="D6274" s="5" t="s">
        <v>34136</v>
      </c>
      <c r="E6274" s="6" t="s">
        <v>74</v>
      </c>
      <c r="F6274" s="6" t="s">
        <v>34137</v>
      </c>
      <c r="G6274" s="3" t="str">
        <f>IFERROR(__xludf.DUMMYFUNCTION("REGEXREPLACE(
D6274,
""([一-龯々]+)\[([^\]]+)\]"",
""&lt;ruby&gt;$1&lt;rt&gt;$2&lt;/rt&gt;&lt;/ruby&gt;""
)&amp;""&lt;br&gt;&lt;div class=""""audio""""&gt;[sound:""&amp;C6274&amp;"".mp3]&lt;/div&gt;"""),"つかの&lt;ruby&gt;間&lt;rt&gt;ま&lt;/rt&gt;&lt;/ruby&gt;&lt;br&gt;&lt;div class=""audio""&gt;[sound:つかのま.mp3]&lt;/div&gt;")</f>
        <v>つかの&lt;ruby&gt;間&lt;rt&gt;ま&lt;/rt&gt;&lt;/ruby&gt;&lt;br&gt;&lt;div class="audio"&gt;[sound:つかのま.mp3]&lt;/div&gt;</v>
      </c>
      <c r="H6274" s="3" t="str">
        <f t="shared" si="1"/>
        <v>(n): chốc lát</v>
      </c>
      <c r="I6274" s="6" t="s">
        <v>34138</v>
      </c>
      <c r="J6274" s="6" t="s">
        <v>34139</v>
      </c>
      <c r="K6274" s="7">
        <f t="shared" si="2"/>
        <v>0.8733766279</v>
      </c>
    </row>
    <row r="6275">
      <c r="A6275" s="4">
        <v>6275.0</v>
      </c>
      <c r="B6275" s="5" t="s">
        <v>34140</v>
      </c>
      <c r="C6275" s="5" t="s">
        <v>34140</v>
      </c>
      <c r="D6275" s="5" t="s">
        <v>34140</v>
      </c>
      <c r="E6275" s="6" t="s">
        <v>74</v>
      </c>
      <c r="F6275" s="6" t="s">
        <v>34141</v>
      </c>
      <c r="G6275" s="3" t="str">
        <f>IFERROR(__xludf.DUMMYFUNCTION("REGEXREPLACE(
D6275,
""([一-龯々]+)\[([^\]]+)\]"",
""&lt;ruby&gt;$1&lt;rt&gt;$2&lt;/rt&gt;&lt;/ruby&gt;""
)&amp;""&lt;br&gt;&lt;div class=""""audio""""&gt;[sound:""&amp;C6275&amp;"".mp3]&lt;/div&gt;"""),"できもの&lt;br&gt;&lt;div class=""audio""&gt;[sound:できもの.mp3]&lt;/div&gt;")</f>
        <v>できもの&lt;br&gt;&lt;div class="audio"&gt;[sound:できもの.mp3]&lt;/div&gt;</v>
      </c>
      <c r="H6275" s="3" t="str">
        <f t="shared" si="1"/>
        <v>(n): mụn nhọt</v>
      </c>
      <c r="I6275" s="6" t="s">
        <v>34142</v>
      </c>
      <c r="J6275" s="6" t="s">
        <v>34143</v>
      </c>
      <c r="K6275" s="7">
        <f t="shared" si="2"/>
        <v>0.5705977867</v>
      </c>
    </row>
    <row r="6276">
      <c r="A6276" s="4">
        <v>6276.0</v>
      </c>
      <c r="B6276" s="5" t="s">
        <v>34144</v>
      </c>
      <c r="C6276" s="5" t="s">
        <v>34144</v>
      </c>
      <c r="D6276" s="5" t="s">
        <v>34144</v>
      </c>
      <c r="E6276" s="6" t="s">
        <v>24</v>
      </c>
      <c r="F6276" s="6" t="s">
        <v>34145</v>
      </c>
      <c r="G6276" s="3" t="str">
        <f>IFERROR(__xludf.DUMMYFUNCTION("REGEXREPLACE(
D6276,
""([一-龯々]+)\[([^\]]+)\]"",
""&lt;ruby&gt;$1&lt;rt&gt;$2&lt;/rt&gt;&lt;/ruby&gt;""
)&amp;""&lt;br&gt;&lt;div class=""""audio""""&gt;[sound:""&amp;C6276&amp;"".mp3]&lt;/div&gt;"""),"とろける&lt;br&gt;&lt;div class=""audio""&gt;[sound:とろける.mp3]&lt;/div&gt;")</f>
        <v>とろける&lt;br&gt;&lt;div class="audio"&gt;[sound:とろける.mp3]&lt;/div&gt;</v>
      </c>
      <c r="H6276" s="3" t="str">
        <f t="shared" si="1"/>
        <v>(v): tan chảy</v>
      </c>
      <c r="I6276" s="6" t="s">
        <v>34146</v>
      </c>
      <c r="J6276" s="6" t="s">
        <v>34147</v>
      </c>
      <c r="K6276" s="7">
        <f t="shared" si="2"/>
        <v>0.3623070478</v>
      </c>
    </row>
    <row r="6277">
      <c r="A6277" s="4">
        <v>6277.0</v>
      </c>
      <c r="B6277" s="5" t="s">
        <v>34148</v>
      </c>
      <c r="C6277" s="5" t="s">
        <v>34148</v>
      </c>
      <c r="D6277" s="5" t="s">
        <v>34148</v>
      </c>
      <c r="E6277" s="6" t="s">
        <v>24</v>
      </c>
      <c r="F6277" s="6" t="s">
        <v>34149</v>
      </c>
      <c r="G6277" s="3" t="str">
        <f>IFERROR(__xludf.DUMMYFUNCTION("REGEXREPLACE(
D6277,
""([一-龯々]+)\[([^\]]+)\]"",
""&lt;ruby&gt;$1&lt;rt&gt;$2&lt;/rt&gt;&lt;/ruby&gt;""
)&amp;""&lt;br&gt;&lt;div class=""""audio""""&gt;[sound:""&amp;C6277&amp;"".mp3]&lt;/div&gt;"""),"ばてる&lt;br&gt;&lt;div class=""audio""&gt;[sound:ばてる.mp3]&lt;/div&gt;")</f>
        <v>ばてる&lt;br&gt;&lt;div class="audio"&gt;[sound:ばてる.mp3]&lt;/div&gt;</v>
      </c>
      <c r="H6277" s="3" t="str">
        <f t="shared" si="1"/>
        <v>(v): phờ phạc</v>
      </c>
      <c r="I6277" s="6" t="s">
        <v>34150</v>
      </c>
      <c r="J6277" s="6" t="s">
        <v>34151</v>
      </c>
      <c r="K6277" s="7">
        <f t="shared" si="2"/>
        <v>0.4135912789</v>
      </c>
    </row>
    <row r="6278">
      <c r="A6278" s="4">
        <v>6278.0</v>
      </c>
      <c r="B6278" s="5" t="s">
        <v>34152</v>
      </c>
      <c r="C6278" s="5" t="s">
        <v>20575</v>
      </c>
      <c r="D6278" s="5" t="s">
        <v>34153</v>
      </c>
      <c r="E6278" s="6" t="s">
        <v>74</v>
      </c>
      <c r="F6278" s="6" t="s">
        <v>8941</v>
      </c>
      <c r="G6278" s="3" t="str">
        <f>IFERROR(__xludf.DUMMYFUNCTION("REGEXREPLACE(
D6278,
""([一-龯々]+)\[([^\]]+)\]"",
""&lt;ruby&gt;$1&lt;rt&gt;$2&lt;/rt&gt;&lt;/ruby&gt;""
)&amp;""&lt;br&gt;&lt;div class=""""audio""""&gt;[sound:""&amp;C6278&amp;"".mp3]&lt;/div&gt;"""),"&lt;ruby&gt;介抱&lt;rt&gt;かいほう&lt;/rt&gt;&lt;/ruby&gt;&lt;br&gt;&lt;div class=""audio""&gt;[sound:かいほう.mp3]&lt;/div&gt;")</f>
        <v>&lt;ruby&gt;介抱&lt;rt&gt;かいほう&lt;/rt&gt;&lt;/ruby&gt;&lt;br&gt;&lt;div class="audio"&gt;[sound:かいほう.mp3]&lt;/div&gt;</v>
      </c>
      <c r="H6278" s="3" t="str">
        <f t="shared" si="1"/>
        <v>(n): chăm sóc</v>
      </c>
      <c r="I6278" s="6" t="s">
        <v>34154</v>
      </c>
      <c r="J6278" s="6" t="s">
        <v>33269</v>
      </c>
      <c r="K6278" s="7">
        <f t="shared" si="2"/>
        <v>0.518850052</v>
      </c>
    </row>
    <row r="6279">
      <c r="A6279" s="4">
        <v>6279.0</v>
      </c>
      <c r="B6279" s="5" t="s">
        <v>34155</v>
      </c>
      <c r="C6279" s="5" t="s">
        <v>34156</v>
      </c>
      <c r="D6279" s="5" t="s">
        <v>34157</v>
      </c>
      <c r="E6279" s="6" t="s">
        <v>11</v>
      </c>
      <c r="F6279" s="6" t="s">
        <v>32823</v>
      </c>
      <c r="G6279" s="3" t="str">
        <f>IFERROR(__xludf.DUMMYFUNCTION("REGEXREPLACE(
D6279,
""([一-龯々]+)\[([^\]]+)\]"",
""&lt;ruby&gt;$1&lt;rt&gt;$2&lt;/rt&gt;&lt;/ruby&gt;""
)&amp;""&lt;br&gt;&lt;div class=""""audio""""&gt;[sound:""&amp;C6279&amp;"".mp3]&lt;/div&gt;"""),"&lt;ruby&gt;几帳面&lt;rt&gt;きちょうめん&lt;/rt&gt;&lt;/ruby&gt;&lt;br&gt;&lt;div class=""audio""&gt;[sound:きちょうめん.mp3]&lt;/div&gt;")</f>
        <v>&lt;ruby&gt;几帳面&lt;rt&gt;きちょうめん&lt;/rt&gt;&lt;/ruby&gt;&lt;br&gt;&lt;div class="audio"&gt;[sound:きちょうめん.mp3]&lt;/div&gt;</v>
      </c>
      <c r="H6279" s="3" t="str">
        <f t="shared" si="1"/>
        <v>(adj): ngăn nắp</v>
      </c>
      <c r="I6279" s="6" t="s">
        <v>34158</v>
      </c>
      <c r="J6279" s="6" t="s">
        <v>34159</v>
      </c>
      <c r="K6279" s="7">
        <f t="shared" si="2"/>
        <v>0.6780592632</v>
      </c>
    </row>
    <row r="6280">
      <c r="A6280" s="4">
        <v>6280.0</v>
      </c>
      <c r="B6280" s="5" t="s">
        <v>34160</v>
      </c>
      <c r="C6280" s="5" t="s">
        <v>34161</v>
      </c>
      <c r="D6280" s="5" t="s">
        <v>34162</v>
      </c>
      <c r="E6280" s="6" t="s">
        <v>11</v>
      </c>
      <c r="F6280" s="6" t="s">
        <v>27774</v>
      </c>
      <c r="G6280" s="3" t="str">
        <f>IFERROR(__xludf.DUMMYFUNCTION("REGEXREPLACE(
D6280,
""([一-龯々]+)\[([^\]]+)\]"",
""&lt;ruby&gt;$1&lt;rt&gt;$2&lt;/rt&gt;&lt;/ruby&gt;""
)&amp;""&lt;br&gt;&lt;div class=""""audio""""&gt;[sound:""&amp;C6280&amp;"".mp3]&lt;/div&gt;"""),"&lt;ruby&gt;婉曲&lt;rt&gt;えんきょく&lt;/rt&gt;&lt;/ruby&gt;&lt;br&gt;&lt;div class=""audio""&gt;[sound:えんきょく.mp3]&lt;/div&gt;")</f>
        <v>&lt;ruby&gt;婉曲&lt;rt&gt;えんきょく&lt;/rt&gt;&lt;/ruby&gt;&lt;br&gt;&lt;div class="audio"&gt;[sound:えんきょく.mp3]&lt;/div&gt;</v>
      </c>
      <c r="H6280" s="3" t="str">
        <f t="shared" si="1"/>
        <v>(adj): khéo léo</v>
      </c>
      <c r="I6280" s="6" t="s">
        <v>34163</v>
      </c>
      <c r="J6280" s="6" t="s">
        <v>34164</v>
      </c>
      <c r="K6280" s="7">
        <f t="shared" si="2"/>
        <v>0.3337255223</v>
      </c>
    </row>
    <row r="6281">
      <c r="A6281" s="4">
        <v>6281.0</v>
      </c>
      <c r="B6281" s="5" t="s">
        <v>34165</v>
      </c>
      <c r="C6281" s="5" t="s">
        <v>34166</v>
      </c>
      <c r="D6281" s="5" t="s">
        <v>34167</v>
      </c>
      <c r="E6281" s="6" t="s">
        <v>74</v>
      </c>
      <c r="F6281" s="6" t="s">
        <v>1314</v>
      </c>
      <c r="G6281" s="3" t="str">
        <f>IFERROR(__xludf.DUMMYFUNCTION("REGEXREPLACE(
D6281,
""([一-龯々]+)\[([^\]]+)\]"",
""&lt;ruby&gt;$1&lt;rt&gt;$2&lt;/rt&gt;&lt;/ruby&gt;""
)&amp;""&lt;br&gt;&lt;div class=""""audio""""&gt;[sound:""&amp;C6281&amp;"".mp3]&lt;/div&gt;"""),"&lt;ruby&gt;果&lt;rt&gt;は&lt;/rt&gt;&lt;/ruby&gt;て&lt;br&gt;&lt;div class=""audio""&gt;[sound:はて.mp3]&lt;/div&gt;")</f>
        <v>&lt;ruby&gt;果&lt;rt&gt;は&lt;/rt&gt;&lt;/ruby&gt;て&lt;br&gt;&lt;div class="audio"&gt;[sound:はて.mp3]&lt;/div&gt;</v>
      </c>
      <c r="H6281" s="3" t="str">
        <f t="shared" si="1"/>
        <v>(n): kết thúc</v>
      </c>
      <c r="I6281" s="6" t="s">
        <v>34168</v>
      </c>
      <c r="J6281" s="6" t="s">
        <v>34169</v>
      </c>
      <c r="K6281" s="7">
        <f t="shared" si="2"/>
        <v>0.2270880764</v>
      </c>
    </row>
    <row r="6282">
      <c r="A6282" s="4">
        <v>6282.0</v>
      </c>
      <c r="B6282" s="5" t="s">
        <v>34170</v>
      </c>
      <c r="C6282" s="5" t="s">
        <v>34171</v>
      </c>
      <c r="D6282" s="5" t="s">
        <v>34172</v>
      </c>
      <c r="E6282" s="6" t="s">
        <v>74</v>
      </c>
      <c r="F6282" s="6" t="s">
        <v>34173</v>
      </c>
      <c r="G6282" s="3" t="str">
        <f>IFERROR(__xludf.DUMMYFUNCTION("REGEXREPLACE(
D6282,
""([一-龯々]+)\[([^\]]+)\]"",
""&lt;ruby&gt;$1&lt;rt&gt;$2&lt;/rt&gt;&lt;/ruby&gt;""
)&amp;""&lt;br&gt;&lt;div class=""""audio""""&gt;[sound:""&amp;C6282&amp;"".mp3]&lt;/div&gt;"""),"&lt;ruby&gt;梅干&lt;rt&gt;うめぼ&lt;/rt&gt;&lt;/ruby&gt;し&lt;br&gt;&lt;div class=""audio""&gt;[sound:うめぼし.mp3]&lt;/div&gt;")</f>
        <v>&lt;ruby&gt;梅干&lt;rt&gt;うめぼ&lt;/rt&gt;&lt;/ruby&gt;し&lt;br&gt;&lt;div class="audio"&gt;[sound:うめぼし.mp3]&lt;/div&gt;</v>
      </c>
      <c r="H6282" s="3" t="str">
        <f t="shared" si="1"/>
        <v>(n): ô mai mơ</v>
      </c>
      <c r="I6282" s="6" t="s">
        <v>34174</v>
      </c>
      <c r="J6282" s="6" t="s">
        <v>34175</v>
      </c>
      <c r="K6282" s="7">
        <f t="shared" si="2"/>
        <v>0.5327181063</v>
      </c>
    </row>
    <row r="6283">
      <c r="A6283" s="4">
        <v>6283.0</v>
      </c>
      <c r="B6283" s="5" t="s">
        <v>34176</v>
      </c>
      <c r="C6283" s="5" t="s">
        <v>34177</v>
      </c>
      <c r="D6283" s="5" t="s">
        <v>34178</v>
      </c>
      <c r="E6283" s="6" t="s">
        <v>74</v>
      </c>
      <c r="F6283" s="6" t="s">
        <v>34179</v>
      </c>
      <c r="G6283" s="3" t="str">
        <f>IFERROR(__xludf.DUMMYFUNCTION("REGEXREPLACE(
D6283,
""([一-龯々]+)\[([^\]]+)\]"",
""&lt;ruby&gt;$1&lt;rt&gt;$2&lt;/rt&gt;&lt;/ruby&gt;""
)&amp;""&lt;br&gt;&lt;div class=""""audio""""&gt;[sound:""&amp;C6283&amp;"".mp3]&lt;/div&gt;"""),"&lt;ruby&gt;気質&lt;rt&gt;きしつ&lt;/rt&gt;&lt;/ruby&gt;&lt;br&gt;&lt;div class=""audio""&gt;[sound:きしつ.mp3]&lt;/div&gt;")</f>
        <v>&lt;ruby&gt;気質&lt;rt&gt;きしつ&lt;/rt&gt;&lt;/ruby&gt;&lt;br&gt;&lt;div class="audio"&gt;[sound:きしつ.mp3]&lt;/div&gt;</v>
      </c>
      <c r="H6283" s="3" t="str">
        <f t="shared" si="1"/>
        <v>(n): tính khí</v>
      </c>
      <c r="I6283" s="6" t="s">
        <v>34180</v>
      </c>
      <c r="J6283" s="6" t="s">
        <v>34181</v>
      </c>
      <c r="K6283" s="7">
        <f t="shared" si="2"/>
        <v>0.9805804588</v>
      </c>
    </row>
    <row r="6284">
      <c r="A6284" s="4">
        <v>6284.0</v>
      </c>
      <c r="B6284" s="5" t="s">
        <v>34182</v>
      </c>
      <c r="C6284" s="5" t="s">
        <v>34183</v>
      </c>
      <c r="D6284" s="5" t="s">
        <v>34184</v>
      </c>
      <c r="E6284" s="6" t="s">
        <v>74</v>
      </c>
      <c r="F6284" s="6" t="s">
        <v>34185</v>
      </c>
      <c r="G6284" s="3" t="str">
        <f>IFERROR(__xludf.DUMMYFUNCTION("REGEXREPLACE(
D6284,
""([一-龯々]+)\[([^\]]+)\]"",
""&lt;ruby&gt;$1&lt;rt&gt;$2&lt;/rt&gt;&lt;/ruby&gt;""
)&amp;""&lt;br&gt;&lt;div class=""""audio""""&gt;[sound:""&amp;C6284&amp;"".mp3]&lt;/div&gt;"""),"&lt;ruby&gt;法学&lt;rt&gt;ほうがく&lt;/rt&gt;&lt;/ruby&gt;&lt;br&gt;&lt;div class=""audio""&gt;[sound:ほうがく.mp3]&lt;/div&gt;")</f>
        <v>&lt;ruby&gt;法学&lt;rt&gt;ほうがく&lt;/rt&gt;&lt;/ruby&gt;&lt;br&gt;&lt;div class="audio"&gt;[sound:ほうがく.mp3]&lt;/div&gt;</v>
      </c>
      <c r="H6284" s="3" t="str">
        <f t="shared" si="1"/>
        <v>(n): pháp học</v>
      </c>
      <c r="I6284" s="6" t="s">
        <v>34186</v>
      </c>
      <c r="J6284" s="6" t="s">
        <v>34187</v>
      </c>
      <c r="K6284" s="7">
        <f t="shared" si="2"/>
        <v>0.4162937368</v>
      </c>
    </row>
    <row r="6285">
      <c r="A6285" s="4">
        <v>6285.0</v>
      </c>
      <c r="B6285" s="5" t="s">
        <v>34188</v>
      </c>
      <c r="C6285" s="5" t="s">
        <v>34189</v>
      </c>
      <c r="D6285" s="5" t="s">
        <v>34190</v>
      </c>
      <c r="E6285" s="6" t="s">
        <v>85</v>
      </c>
      <c r="F6285" s="6" t="s">
        <v>23140</v>
      </c>
      <c r="G6285" s="3" t="str">
        <f>IFERROR(__xludf.DUMMYFUNCTION("REGEXREPLACE(
D6285,
""([一-龯々]+)\[([^\]]+)\]"",
""&lt;ruby&gt;$1&lt;rt&gt;$2&lt;/rt&gt;&lt;/ruby&gt;""
)&amp;""&lt;br&gt;&lt;div class=""""audio""""&gt;[sound:""&amp;C6285&amp;"".mp3]&lt;/div&gt;"""),"&lt;ruby&gt;生&lt;rt&gt;う&lt;/rt&gt;&lt;/ruby&gt;まれつき&lt;br&gt;&lt;div class=""audio""&gt;[sound:うまれつき.mp3]&lt;/div&gt;")</f>
        <v>&lt;ruby&gt;生&lt;rt&gt;う&lt;/rt&gt;&lt;/ruby&gt;まれつき&lt;br&gt;&lt;div class="audio"&gt;[sound:うまれつき.mp3]&lt;/div&gt;</v>
      </c>
      <c r="H6285" s="3" t="str">
        <f t="shared" si="1"/>
        <v>(adv): bẩm sinh</v>
      </c>
      <c r="I6285" s="6" t="s">
        <v>34191</v>
      </c>
      <c r="J6285" s="6" t="s">
        <v>34192</v>
      </c>
      <c r="K6285" s="7">
        <f t="shared" si="2"/>
        <v>0.2727155755</v>
      </c>
    </row>
    <row r="6286">
      <c r="A6286" s="4">
        <v>6286.0</v>
      </c>
      <c r="B6286" s="5" t="s">
        <v>34193</v>
      </c>
      <c r="C6286" s="5" t="s">
        <v>34194</v>
      </c>
      <c r="D6286" s="5" t="s">
        <v>34195</v>
      </c>
      <c r="E6286" s="6" t="s">
        <v>74</v>
      </c>
      <c r="F6286" s="6" t="s">
        <v>34196</v>
      </c>
      <c r="G6286" s="3" t="str">
        <f>IFERROR(__xludf.DUMMYFUNCTION("REGEXREPLACE(
D6286,
""([一-龯々]+)\[([^\]]+)\]"",
""&lt;ruby&gt;$1&lt;rt&gt;$2&lt;/rt&gt;&lt;/ruby&gt;""
)&amp;""&lt;br&gt;&lt;div class=""""audio""""&gt;[sound:""&amp;C6286&amp;"".mp3]&lt;/div&gt;"""),"&lt;ruby&gt;田園&lt;rt&gt;でんえん&lt;/rt&gt;&lt;/ruby&gt;&lt;br&gt;&lt;div class=""audio""&gt;[sound:でんえん.mp3]&lt;/div&gt;")</f>
        <v>&lt;ruby&gt;田園&lt;rt&gt;でんえん&lt;/rt&gt;&lt;/ruby&gt;&lt;br&gt;&lt;div class="audio"&gt;[sound:でんえん.mp3]&lt;/div&gt;</v>
      </c>
      <c r="H6286" s="3" t="str">
        <f t="shared" si="1"/>
        <v>(n): vùng quê</v>
      </c>
      <c r="I6286" s="6" t="s">
        <v>34197</v>
      </c>
      <c r="J6286" s="6" t="s">
        <v>34198</v>
      </c>
      <c r="K6286" s="7">
        <f t="shared" si="2"/>
        <v>0.3168418311</v>
      </c>
    </row>
    <row r="6287">
      <c r="A6287" s="4">
        <v>6287.0</v>
      </c>
      <c r="B6287" s="5" t="s">
        <v>34199</v>
      </c>
      <c r="C6287" s="5" t="s">
        <v>34200</v>
      </c>
      <c r="D6287" s="5" t="s">
        <v>34201</v>
      </c>
      <c r="E6287" s="6" t="s">
        <v>74</v>
      </c>
      <c r="F6287" s="6" t="s">
        <v>34202</v>
      </c>
      <c r="G6287" s="3" t="str">
        <f>IFERROR(__xludf.DUMMYFUNCTION("REGEXREPLACE(
D6287,
""([一-龯々]+)\[([^\]]+)\]"",
""&lt;ruby&gt;$1&lt;rt&gt;$2&lt;/rt&gt;&lt;/ruby&gt;""
)&amp;""&lt;br&gt;&lt;div class=""""audio""""&gt;[sound:""&amp;C6287&amp;"".mp3]&lt;/div&gt;"""),"&lt;ruby&gt;縁側&lt;rt&gt;えんがわ&lt;/rt&gt;&lt;/ruby&gt;&lt;br&gt;&lt;div class=""audio""&gt;[sound:えんがわ.mp3]&lt;/div&gt;")</f>
        <v>&lt;ruby&gt;縁側&lt;rt&gt;えんがわ&lt;/rt&gt;&lt;/ruby&gt;&lt;br&gt;&lt;div class="audio"&gt;[sound:えんがわ.mp3]&lt;/div&gt;</v>
      </c>
      <c r="H6287" s="3" t="str">
        <f t="shared" si="1"/>
        <v>(n): hiên nhà</v>
      </c>
      <c r="I6287" s="6" t="s">
        <v>34203</v>
      </c>
      <c r="J6287" s="6" t="s">
        <v>34204</v>
      </c>
      <c r="K6287" s="7">
        <f t="shared" si="2"/>
        <v>0.1502483442</v>
      </c>
    </row>
    <row r="6288">
      <c r="A6288" s="4">
        <v>6288.0</v>
      </c>
      <c r="B6288" s="5" t="s">
        <v>34205</v>
      </c>
      <c r="C6288" s="5" t="s">
        <v>32247</v>
      </c>
      <c r="D6288" s="5" t="s">
        <v>34206</v>
      </c>
      <c r="E6288" s="6" t="s">
        <v>74</v>
      </c>
      <c r="F6288" s="6" t="s">
        <v>34207</v>
      </c>
      <c r="G6288" s="3" t="str">
        <f>IFERROR(__xludf.DUMMYFUNCTION("REGEXREPLACE(
D6288,
""([一-龯々]+)\[([^\]]+)\]"",
""&lt;ruby&gt;$1&lt;rt&gt;$2&lt;/rt&gt;&lt;/ruby&gt;""
)&amp;""&lt;br&gt;&lt;div class=""""audio""""&gt;[sound:""&amp;C6288&amp;"".mp3]&lt;/div&gt;"""),"&lt;ruby&gt;群集&lt;rt&gt;ぐんしゅう&lt;/rt&gt;&lt;/ruby&gt;&lt;br&gt;&lt;div class=""audio""&gt;[sound:ぐんしゅう.mp3]&lt;/div&gt;")</f>
        <v>&lt;ruby&gt;群集&lt;rt&gt;ぐんしゅう&lt;/rt&gt;&lt;/ruby&gt;&lt;br&gt;&lt;div class="audio"&gt;[sound:ぐんしゅう.mp3]&lt;/div&gt;</v>
      </c>
      <c r="H6288" s="3" t="str">
        <f t="shared" si="1"/>
        <v>(n): quần thể</v>
      </c>
      <c r="I6288" s="6" t="s">
        <v>34208</v>
      </c>
      <c r="J6288" s="6" t="s">
        <v>34209</v>
      </c>
      <c r="K6288" s="7">
        <f t="shared" si="2"/>
        <v>0.111257742</v>
      </c>
    </row>
    <row r="6289">
      <c r="A6289" s="4">
        <v>6289.0</v>
      </c>
      <c r="B6289" s="5" t="s">
        <v>34210</v>
      </c>
      <c r="C6289" s="5" t="s">
        <v>34211</v>
      </c>
      <c r="D6289" s="5" t="s">
        <v>34212</v>
      </c>
      <c r="E6289" s="6" t="s">
        <v>74</v>
      </c>
      <c r="F6289" s="6" t="s">
        <v>34213</v>
      </c>
      <c r="G6289" s="3" t="str">
        <f>IFERROR(__xludf.DUMMYFUNCTION("REGEXREPLACE(
D6289,
""([一-龯々]+)\[([^\]]+)\]"",
""&lt;ruby&gt;$1&lt;rt&gt;$2&lt;/rt&gt;&lt;/ruby&gt;""
)&amp;""&lt;br&gt;&lt;div class=""""audio""""&gt;[sound:""&amp;C6289&amp;"".mp3]&lt;/div&gt;"""),"&lt;ruby&gt;裏返&lt;rt&gt;うらがえ&lt;/rt&gt;&lt;/ruby&gt;し&lt;br&gt;&lt;div class=""audio""&gt;[sound:うらがえし.mp3]&lt;/div&gt;")</f>
        <v>&lt;ruby&gt;裏返&lt;rt&gt;うらがえ&lt;/rt&gt;&lt;/ruby&gt;し&lt;br&gt;&lt;div class="audio"&gt;[sound:うらがえし.mp3]&lt;/div&gt;</v>
      </c>
      <c r="H6289" s="3" t="str">
        <f t="shared" si="1"/>
        <v>(n): mặt trái</v>
      </c>
      <c r="I6289" s="6" t="s">
        <v>34214</v>
      </c>
      <c r="J6289" s="6" t="s">
        <v>34215</v>
      </c>
      <c r="K6289" s="7">
        <f t="shared" si="2"/>
        <v>0.6216302663</v>
      </c>
    </row>
    <row r="6290">
      <c r="A6290" s="4">
        <v>6290.0</v>
      </c>
      <c r="B6290" s="5" t="s">
        <v>34216</v>
      </c>
      <c r="C6290" s="5" t="s">
        <v>34217</v>
      </c>
      <c r="D6290" s="5" t="s">
        <v>34218</v>
      </c>
      <c r="E6290" s="6" t="s">
        <v>74</v>
      </c>
      <c r="F6290" s="6" t="s">
        <v>9660</v>
      </c>
      <c r="G6290" s="3" t="str">
        <f>IFERROR(__xludf.DUMMYFUNCTION("REGEXREPLACE(
D6290,
""([一-龯々]+)\[([^\]]+)\]"",
""&lt;ruby&gt;$1&lt;rt&gt;$2&lt;/rt&gt;&lt;/ruby&gt;""
)&amp;""&lt;br&gt;&lt;div class=""""audio""""&gt;[sound:""&amp;C6290&amp;"".mp3]&lt;/div&gt;"""),"&lt;ruby&gt;見晴&lt;rt&gt;みは&lt;/rt&gt;&lt;/ruby&gt;らし&lt;br&gt;&lt;div class=""audio""&gt;[sound:みはらし.mp3]&lt;/div&gt;")</f>
        <v>&lt;ruby&gt;見晴&lt;rt&gt;みは&lt;/rt&gt;&lt;/ruby&gt;らし&lt;br&gt;&lt;div class="audio"&gt;[sound:みはらし.mp3]&lt;/div&gt;</v>
      </c>
      <c r="H6290" s="3" t="str">
        <f t="shared" si="1"/>
        <v>(n): tầm nhìn</v>
      </c>
      <c r="I6290" s="6" t="s">
        <v>34219</v>
      </c>
      <c r="J6290" s="6" t="s">
        <v>34220</v>
      </c>
      <c r="K6290" s="7">
        <f t="shared" si="2"/>
        <v>0.8918216192</v>
      </c>
    </row>
    <row r="6291">
      <c r="A6291" s="4">
        <v>6291.0</v>
      </c>
      <c r="B6291" s="5" t="s">
        <v>34221</v>
      </c>
      <c r="C6291" s="5" t="s">
        <v>34222</v>
      </c>
      <c r="D6291" s="5" t="s">
        <v>34223</v>
      </c>
      <c r="E6291" s="6" t="s">
        <v>74</v>
      </c>
      <c r="F6291" s="6" t="s">
        <v>19676</v>
      </c>
      <c r="G6291" s="3" t="str">
        <f>IFERROR(__xludf.DUMMYFUNCTION("REGEXREPLACE(
D6291,
""([一-龯々]+)\[([^\]]+)\]"",
""&lt;ruby&gt;$1&lt;rt&gt;$2&lt;/rt&gt;&lt;/ruby&gt;""
)&amp;""&lt;br&gt;&lt;div class=""""audio""""&gt;[sound:""&amp;C6291&amp;"".mp3]&lt;/div&gt;"""),"&lt;ruby&gt;身&lt;rt&gt;み&lt;/rt&gt;&lt;/ruby&gt;なり&lt;br&gt;&lt;div class=""audio""&gt;[sound:みなり.mp3]&lt;/div&gt;")</f>
        <v>&lt;ruby&gt;身&lt;rt&gt;み&lt;/rt&gt;&lt;/ruby&gt;なり&lt;br&gt;&lt;div class="audio"&gt;[sound:みなり.mp3]&lt;/div&gt;</v>
      </c>
      <c r="H6291" s="3" t="str">
        <f t="shared" si="1"/>
        <v>(n): diện mạo</v>
      </c>
      <c r="I6291" s="6" t="s">
        <v>34224</v>
      </c>
      <c r="J6291" s="6" t="s">
        <v>34225</v>
      </c>
      <c r="K6291" s="7">
        <f t="shared" si="2"/>
        <v>0.7348429253</v>
      </c>
    </row>
    <row r="6292">
      <c r="A6292" s="4">
        <v>6292.0</v>
      </c>
      <c r="B6292" s="5" t="s">
        <v>34226</v>
      </c>
      <c r="C6292" s="5" t="s">
        <v>34227</v>
      </c>
      <c r="D6292" s="5" t="s">
        <v>34228</v>
      </c>
      <c r="E6292" s="6" t="s">
        <v>74</v>
      </c>
      <c r="F6292" s="6" t="s">
        <v>31156</v>
      </c>
      <c r="G6292" s="3" t="str">
        <f>IFERROR(__xludf.DUMMYFUNCTION("REGEXREPLACE(
D6292,
""([一-龯々]+)\[([^\]]+)\]"",
""&lt;ruby&gt;$1&lt;rt&gt;$2&lt;/rt&gt;&lt;/ruby&gt;""
)&amp;""&lt;br&gt;&lt;div class=""""audio""""&gt;[sound:""&amp;C6292&amp;"".mp3]&lt;/div&gt;"""),"&lt;ruby&gt;邸宅&lt;rt&gt;ていたく&lt;/rt&gt;&lt;/ruby&gt;&lt;br&gt;&lt;div class=""audio""&gt;[sound:ていたく.mp3]&lt;/div&gt;")</f>
        <v>&lt;ruby&gt;邸宅&lt;rt&gt;ていたく&lt;/rt&gt;&lt;/ruby&gt;&lt;br&gt;&lt;div class="audio"&gt;[sound:ていたく.mp3]&lt;/div&gt;</v>
      </c>
      <c r="H6292" s="3" t="str">
        <f t="shared" si="1"/>
        <v>(n): dinh thự</v>
      </c>
      <c r="I6292" s="6" t="s">
        <v>34229</v>
      </c>
      <c r="J6292" s="6" t="s">
        <v>31158</v>
      </c>
      <c r="K6292" s="7">
        <f t="shared" si="2"/>
        <v>0.8744231403</v>
      </c>
    </row>
    <row r="6293">
      <c r="A6293" s="4">
        <v>6293.0</v>
      </c>
      <c r="B6293" s="5" t="s">
        <v>34230</v>
      </c>
      <c r="C6293" s="5" t="s">
        <v>34231</v>
      </c>
      <c r="D6293" s="5" t="s">
        <v>34232</v>
      </c>
      <c r="E6293" s="6" t="s">
        <v>74</v>
      </c>
      <c r="F6293" s="6" t="s">
        <v>17935</v>
      </c>
      <c r="G6293" s="3" t="str">
        <f>IFERROR(__xludf.DUMMYFUNCTION("REGEXREPLACE(
D6293,
""([一-龯々]+)\[([^\]]+)\]"",
""&lt;ruby&gt;$1&lt;rt&gt;$2&lt;/rt&gt;&lt;/ruby&gt;""
)&amp;""&lt;br&gt;&lt;div class=""""audio""""&gt;[sound:""&amp;C6293&amp;"".mp3]&lt;/div&gt;"""),"&lt;ruby&gt;郷里&lt;rt&gt;きょうり&lt;/rt&gt;&lt;/ruby&gt;&lt;br&gt;&lt;div class=""audio""&gt;[sound:きょうり.mp3]&lt;/div&gt;")</f>
        <v>&lt;ruby&gt;郷里&lt;rt&gt;きょうり&lt;/rt&gt;&lt;/ruby&gt;&lt;br&gt;&lt;div class="audio"&gt;[sound:きょうり.mp3]&lt;/div&gt;</v>
      </c>
      <c r="H6293" s="3" t="str">
        <f t="shared" si="1"/>
        <v>(n): quê quán</v>
      </c>
      <c r="I6293" s="6" t="s">
        <v>34233</v>
      </c>
      <c r="J6293" s="6" t="s">
        <v>34234</v>
      </c>
      <c r="K6293" s="7">
        <f t="shared" si="2"/>
        <v>0.6504581246</v>
      </c>
    </row>
    <row r="6294">
      <c r="A6294" s="4">
        <v>6294.0</v>
      </c>
      <c r="B6294" s="5" t="s">
        <v>34235</v>
      </c>
      <c r="C6294" s="5" t="s">
        <v>34236</v>
      </c>
      <c r="D6294" s="5" t="s">
        <v>34237</v>
      </c>
      <c r="E6294" s="6" t="s">
        <v>85</v>
      </c>
      <c r="F6294" s="6" t="s">
        <v>28432</v>
      </c>
      <c r="G6294" s="3" t="str">
        <f>IFERROR(__xludf.DUMMYFUNCTION("REGEXREPLACE(
D6294,
""([一-龯々]+)\[([^\]]+)\]"",
""&lt;ruby&gt;$1&lt;rt&gt;$2&lt;/rt&gt;&lt;/ruby&gt;""
)&amp;""&lt;br&gt;&lt;div class=""""audio""""&gt;[sound:""&amp;C6294&amp;"".mp3]&lt;/div&gt;"""),"&lt;ruby&gt;長々&lt;rt&gt;ながなが&lt;/rt&gt;&lt;/ruby&gt;&lt;br&gt;&lt;div class=""audio""&gt;[sound:ながなが.mp3]&lt;/div&gt;")</f>
        <v>&lt;ruby&gt;長々&lt;rt&gt;ながなが&lt;/rt&gt;&lt;/ruby&gt;&lt;br&gt;&lt;div class="audio"&gt;[sound:ながなが.mp3]&lt;/div&gt;</v>
      </c>
      <c r="H6294" s="3" t="str">
        <f t="shared" si="1"/>
        <v>(adv): dài dòng</v>
      </c>
      <c r="I6294" s="6" t="s">
        <v>34238</v>
      </c>
      <c r="J6294" s="6" t="s">
        <v>34239</v>
      </c>
      <c r="K6294" s="7">
        <f t="shared" si="2"/>
        <v>0.8056344542</v>
      </c>
    </row>
    <row r="6295">
      <c r="A6295" s="4">
        <v>6295.0</v>
      </c>
      <c r="B6295" s="5" t="s">
        <v>34240</v>
      </c>
      <c r="C6295" s="5" t="s">
        <v>34241</v>
      </c>
      <c r="D6295" s="5" t="s">
        <v>34242</v>
      </c>
      <c r="E6295" s="6" t="s">
        <v>74</v>
      </c>
      <c r="F6295" s="6" t="s">
        <v>34243</v>
      </c>
      <c r="G6295" s="3" t="str">
        <f>IFERROR(__xludf.DUMMYFUNCTION("REGEXREPLACE(
D6295,
""([一-龯々]+)\[([^\]]+)\]"",
""&lt;ruby&gt;$1&lt;rt&gt;$2&lt;/rt&gt;&lt;/ruby&gt;""
)&amp;""&lt;br&gt;&lt;div class=""""audio""""&gt;[sound:""&amp;C6295&amp;"".mp3]&lt;/div&gt;"""),"&lt;ruby&gt;雨天&lt;rt&gt;うてん&lt;/rt&gt;&lt;/ruby&gt;&lt;br&gt;&lt;div class=""audio""&gt;[sound:うてん.mp3]&lt;/div&gt;")</f>
        <v>&lt;ruby&gt;雨天&lt;rt&gt;うてん&lt;/rt&gt;&lt;/ruby&gt;&lt;br&gt;&lt;div class="audio"&gt;[sound:うてん.mp3]&lt;/div&gt;</v>
      </c>
      <c r="H6295" s="3" t="str">
        <f t="shared" si="1"/>
        <v>(n): ngày mưa</v>
      </c>
      <c r="I6295" s="6" t="s">
        <v>34244</v>
      </c>
      <c r="J6295" s="6" t="s">
        <v>34245</v>
      </c>
      <c r="K6295" s="7">
        <f t="shared" si="2"/>
        <v>0.1140996148</v>
      </c>
    </row>
    <row r="6296">
      <c r="A6296" s="4">
        <v>6296.0</v>
      </c>
      <c r="B6296" s="5" t="s">
        <v>34246</v>
      </c>
      <c r="C6296" s="5" t="s">
        <v>34247</v>
      </c>
      <c r="D6296" s="5" t="s">
        <v>34248</v>
      </c>
      <c r="E6296" s="6" t="s">
        <v>74</v>
      </c>
      <c r="F6296" s="6" t="s">
        <v>34249</v>
      </c>
      <c r="G6296" s="3" t="str">
        <f>IFERROR(__xludf.DUMMYFUNCTION("REGEXREPLACE(
D6296,
""([一-龯々]+)\[([^\]]+)\]"",
""&lt;ruby&gt;$1&lt;rt&gt;$2&lt;/rt&gt;&lt;/ruby&gt;""
)&amp;""&lt;br&gt;&lt;div class=""""audio""""&gt;[sound:""&amp;C6296&amp;"".mp3]&lt;/div&gt;"""),"&lt;ruby&gt;雪崩&lt;rt&gt;なだれ&lt;/rt&gt;&lt;/ruby&gt;&lt;br&gt;&lt;div class=""audio""&gt;[sound:なだれ.mp3]&lt;/div&gt;")</f>
        <v>&lt;ruby&gt;雪崩&lt;rt&gt;なだれ&lt;/rt&gt;&lt;/ruby&gt;&lt;br&gt;&lt;div class="audio"&gt;[sound:なだれ.mp3]&lt;/div&gt;</v>
      </c>
      <c r="H6296" s="3" t="str">
        <f t="shared" si="1"/>
        <v>(n): tuyết lở</v>
      </c>
      <c r="I6296" s="6" t="s">
        <v>34250</v>
      </c>
      <c r="J6296" s="6" t="s">
        <v>34251</v>
      </c>
      <c r="K6296" s="7">
        <f t="shared" si="2"/>
        <v>0.492579757</v>
      </c>
    </row>
    <row r="6297">
      <c r="A6297" s="4">
        <v>6297.0</v>
      </c>
      <c r="B6297" s="5" t="s">
        <v>34252</v>
      </c>
      <c r="C6297" s="5" t="s">
        <v>34252</v>
      </c>
      <c r="D6297" s="5" t="s">
        <v>34252</v>
      </c>
      <c r="E6297" s="6" t="s">
        <v>11</v>
      </c>
      <c r="F6297" s="6" t="s">
        <v>11664</v>
      </c>
      <c r="G6297" s="3" t="str">
        <f>IFERROR(__xludf.DUMMYFUNCTION("REGEXREPLACE(
D6297,
""([一-龯々]+)\[([^\]]+)\]"",
""&lt;ruby&gt;$1&lt;rt&gt;$2&lt;/rt&gt;&lt;/ruby&gt;""
)&amp;""&lt;br&gt;&lt;div class=""""audio""""&gt;[sound:""&amp;C6297&amp;"".mp3]&lt;/div&gt;"""),"おっかない&lt;br&gt;&lt;div class=""audio""&gt;[sound:おっかない.mp3]&lt;/div&gt;")</f>
        <v>おっかない&lt;br&gt;&lt;div class="audio"&gt;[sound:おっかない.mp3]&lt;/div&gt;</v>
      </c>
      <c r="H6297" s="3" t="str">
        <f t="shared" si="1"/>
        <v>(adj): đáng sợ</v>
      </c>
      <c r="I6297" s="6" t="s">
        <v>34253</v>
      </c>
      <c r="J6297" s="6" t="s">
        <v>34254</v>
      </c>
      <c r="K6297" s="7">
        <f t="shared" si="2"/>
        <v>0.6506201366</v>
      </c>
    </row>
    <row r="6298">
      <c r="A6298" s="4">
        <v>6298.0</v>
      </c>
      <c r="B6298" s="5" t="s">
        <v>34255</v>
      </c>
      <c r="C6298" s="5" t="s">
        <v>34255</v>
      </c>
      <c r="D6298" s="5" t="s">
        <v>34255</v>
      </c>
      <c r="E6298" s="6" t="s">
        <v>85</v>
      </c>
      <c r="F6298" s="6" t="s">
        <v>2119</v>
      </c>
      <c r="G6298" s="3" t="str">
        <f>IFERROR(__xludf.DUMMYFUNCTION("REGEXREPLACE(
D6298,
""([一-龯々]+)\[([^\]]+)\]"",
""&lt;ruby&gt;$1&lt;rt&gt;$2&lt;/rt&gt;&lt;/ruby&gt;""
)&amp;""&lt;br&gt;&lt;div class=""""audio""""&gt;[sound:""&amp;C6298&amp;"".mp3]&lt;/div&gt;"""),"おどおど&lt;br&gt;&lt;div class=""audio""&gt;[sound:おどおど.mp3]&lt;/div&gt;")</f>
        <v>おどおど&lt;br&gt;&lt;div class="audio"&gt;[sound:おどおど.mp3]&lt;/div&gt;</v>
      </c>
      <c r="H6298" s="3" t="str">
        <f t="shared" si="1"/>
        <v>(adv): lo lắng</v>
      </c>
      <c r="I6298" s="6" t="s">
        <v>34256</v>
      </c>
      <c r="J6298" s="6" t="s">
        <v>34257</v>
      </c>
      <c r="K6298" s="7">
        <f t="shared" si="2"/>
        <v>0.9237460467</v>
      </c>
    </row>
    <row r="6299">
      <c r="A6299" s="4">
        <v>6299.0</v>
      </c>
      <c r="B6299" s="5" t="s">
        <v>34258</v>
      </c>
      <c r="C6299" s="5" t="s">
        <v>34258</v>
      </c>
      <c r="D6299" s="5" t="s">
        <v>34258</v>
      </c>
      <c r="E6299" s="6" t="s">
        <v>24</v>
      </c>
      <c r="F6299" s="6" t="s">
        <v>34259</v>
      </c>
      <c r="G6299" s="3" t="str">
        <f>IFERROR(__xludf.DUMMYFUNCTION("REGEXREPLACE(
D6299,
""([一-龯々]+)\[([^\]]+)\]"",
""&lt;ruby&gt;$1&lt;rt&gt;$2&lt;/rt&gt;&lt;/ruby&gt;""
)&amp;""&lt;br&gt;&lt;div class=""""audio""""&gt;[sound:""&amp;C6299&amp;"".mp3]&lt;/div&gt;"""),"きしむ&lt;br&gt;&lt;div class=""audio""&gt;[sound:きしむ.mp3]&lt;/div&gt;")</f>
        <v>きしむ&lt;br&gt;&lt;div class="audio"&gt;[sound:きしむ.mp3]&lt;/div&gt;</v>
      </c>
      <c r="H6299" s="3" t="str">
        <f t="shared" si="1"/>
        <v>(v): cọt kẹt</v>
      </c>
      <c r="I6299" s="6" t="s">
        <v>34260</v>
      </c>
      <c r="J6299" s="6" t="s">
        <v>34261</v>
      </c>
      <c r="K6299" s="7">
        <f t="shared" si="2"/>
        <v>0.5855004753</v>
      </c>
    </row>
    <row r="6300">
      <c r="A6300" s="4">
        <v>6300.0</v>
      </c>
      <c r="B6300" s="5" t="s">
        <v>34262</v>
      </c>
      <c r="C6300" s="5" t="s">
        <v>34262</v>
      </c>
      <c r="D6300" s="5" t="s">
        <v>34262</v>
      </c>
      <c r="E6300" s="6" t="s">
        <v>11</v>
      </c>
      <c r="F6300" s="6" t="s">
        <v>3467</v>
      </c>
      <c r="G6300" s="3" t="str">
        <f>IFERROR(__xludf.DUMMYFUNCTION("REGEXREPLACE(
D6300,
""([一-龯々]+)\[([^\]]+)\]"",
""&lt;ruby&gt;$1&lt;rt&gt;$2&lt;/rt&gt;&lt;/ruby&gt;""
)&amp;""&lt;br&gt;&lt;div class=""""audio""""&gt;[sound:""&amp;C6300&amp;"".mp3]&lt;/div&gt;"""),"たやすい&lt;br&gt;&lt;div class=""audio""&gt;[sound:たやすい.mp3]&lt;/div&gt;")</f>
        <v>たやすい&lt;br&gt;&lt;div class="audio"&gt;[sound:たやすい.mp3]&lt;/div&gt;</v>
      </c>
      <c r="H6300" s="3" t="str">
        <f t="shared" si="1"/>
        <v>(adj): dễ dàng</v>
      </c>
      <c r="I6300" s="6" t="s">
        <v>34263</v>
      </c>
      <c r="J6300" s="6" t="s">
        <v>34264</v>
      </c>
      <c r="K6300" s="7">
        <f t="shared" si="2"/>
        <v>0.6547095637</v>
      </c>
    </row>
    <row r="6301">
      <c r="A6301" s="4">
        <v>6301.0</v>
      </c>
      <c r="B6301" s="5" t="s">
        <v>34265</v>
      </c>
      <c r="C6301" s="5" t="s">
        <v>34266</v>
      </c>
      <c r="D6301" s="5" t="s">
        <v>34267</v>
      </c>
      <c r="E6301" s="6" t="s">
        <v>74</v>
      </c>
      <c r="F6301" s="6" t="s">
        <v>34268</v>
      </c>
      <c r="G6301" s="3" t="str">
        <f>IFERROR(__xludf.DUMMYFUNCTION("REGEXREPLACE(
D6301,
""([一-龯々]+)\[([^\]]+)\]"",
""&lt;ruby&gt;$1&lt;rt&gt;$2&lt;/rt&gt;&lt;/ruby&gt;""
)&amp;""&lt;br&gt;&lt;div class=""""audio""""&gt;[sound:""&amp;C6301&amp;"".mp3]&lt;/div&gt;"""),"&lt;ruby&gt;両極&lt;rt&gt;りょうきょく&lt;/rt&gt;&lt;/ruby&gt;&lt;br&gt;&lt;div class=""audio""&gt;[sound:りょうきょく.mp3]&lt;/div&gt;")</f>
        <v>&lt;ruby&gt;両極&lt;rt&gt;りょうきょく&lt;/rt&gt;&lt;/ruby&gt;&lt;br&gt;&lt;div class="audio"&gt;[sound:りょうきょく.mp3]&lt;/div&gt;</v>
      </c>
      <c r="H6301" s="3" t="str">
        <f t="shared" si="1"/>
        <v>(n): hai cực</v>
      </c>
      <c r="I6301" s="6" t="s">
        <v>34269</v>
      </c>
      <c r="J6301" s="6" t="s">
        <v>34270</v>
      </c>
      <c r="K6301" s="7">
        <f t="shared" si="2"/>
        <v>0.5349146171</v>
      </c>
    </row>
    <row r="6302">
      <c r="A6302" s="4">
        <v>6302.0</v>
      </c>
      <c r="B6302" s="5" t="s">
        <v>34271</v>
      </c>
      <c r="C6302" s="5" t="s">
        <v>6284</v>
      </c>
      <c r="D6302" s="5" t="s">
        <v>34272</v>
      </c>
      <c r="E6302" s="6" t="s">
        <v>74</v>
      </c>
      <c r="F6302" s="6" t="s">
        <v>34273</v>
      </c>
      <c r="G6302" s="3" t="str">
        <f>IFERROR(__xludf.DUMMYFUNCTION("REGEXREPLACE(
D6302,
""([一-龯々]+)\[([^\]]+)\]"",
""&lt;ruby&gt;$1&lt;rt&gt;$2&lt;/rt&gt;&lt;/ruby&gt;""
)&amp;""&lt;br&gt;&lt;div class=""""audio""""&gt;[sound:""&amp;C6302&amp;"".mp3]&lt;/div&gt;"""),"&lt;ruby&gt;垢&lt;rt&gt;あか&lt;/rt&gt;&lt;/ruby&gt;&lt;br&gt;&lt;div class=""audio""&gt;[sound:あか.mp3]&lt;/div&gt;")</f>
        <v>&lt;ruby&gt;垢&lt;rt&gt;あか&lt;/rt&gt;&lt;/ruby&gt;&lt;br&gt;&lt;div class="audio"&gt;[sound:あか.mp3]&lt;/div&gt;</v>
      </c>
      <c r="H6302" s="3" t="str">
        <f t="shared" si="1"/>
        <v>(n): cặn bẩn</v>
      </c>
      <c r="I6302" s="6" t="s">
        <v>34274</v>
      </c>
      <c r="J6302" s="6" t="s">
        <v>34275</v>
      </c>
      <c r="K6302" s="7">
        <f t="shared" si="2"/>
        <v>0.4082227082</v>
      </c>
    </row>
    <row r="6303">
      <c r="A6303" s="4">
        <v>6303.0</v>
      </c>
      <c r="B6303" s="5" t="s">
        <v>34276</v>
      </c>
      <c r="C6303" s="5" t="s">
        <v>34277</v>
      </c>
      <c r="D6303" s="5" t="s">
        <v>34278</v>
      </c>
      <c r="E6303" s="6" t="s">
        <v>24</v>
      </c>
      <c r="F6303" s="6" t="s">
        <v>2119</v>
      </c>
      <c r="G6303" s="3" t="str">
        <f>IFERROR(__xludf.DUMMYFUNCTION("REGEXREPLACE(
D6303,
""([一-龯々]+)\[([^\]]+)\]"",
""&lt;ruby&gt;$1&lt;rt&gt;$2&lt;/rt&gt;&lt;/ruby&gt;""
)&amp;""&lt;br&gt;&lt;div class=""""audio""""&gt;[sound:""&amp;C6303&amp;"".mp3]&lt;/div&gt;"""),"&lt;ruby&gt;案&lt;rt&gt;あん&lt;/rt&gt;&lt;/ruby&gt;じる&lt;br&gt;&lt;div class=""audio""&gt;[sound:あんじる.mp3]&lt;/div&gt;")</f>
        <v>&lt;ruby&gt;案&lt;rt&gt;あん&lt;/rt&gt;&lt;/ruby&gt;じる&lt;br&gt;&lt;div class="audio"&gt;[sound:あんじる.mp3]&lt;/div&gt;</v>
      </c>
      <c r="H6303" s="3" t="str">
        <f t="shared" si="1"/>
        <v>(v): lo lắng</v>
      </c>
      <c r="I6303" s="6" t="s">
        <v>34279</v>
      </c>
      <c r="J6303" s="6" t="s">
        <v>2121</v>
      </c>
      <c r="K6303" s="7">
        <f t="shared" si="2"/>
        <v>0.135411048</v>
      </c>
    </row>
    <row r="6304">
      <c r="A6304" s="4">
        <v>6304.0</v>
      </c>
      <c r="B6304" s="5" t="s">
        <v>34280</v>
      </c>
      <c r="C6304" s="5" t="s">
        <v>34281</v>
      </c>
      <c r="D6304" s="5" t="s">
        <v>34282</v>
      </c>
      <c r="E6304" s="6" t="s">
        <v>74</v>
      </c>
      <c r="F6304" s="6" t="s">
        <v>34283</v>
      </c>
      <c r="G6304" s="3" t="str">
        <f>IFERROR(__xludf.DUMMYFUNCTION("REGEXREPLACE(
D6304,
""([一-龯々]+)\[([^\]]+)\]"",
""&lt;ruby&gt;$1&lt;rt&gt;$2&lt;/rt&gt;&lt;/ruby&gt;""
)&amp;""&lt;br&gt;&lt;div class=""""audio""""&gt;[sound:""&amp;C6304&amp;"".mp3]&lt;/div&gt;"""),"&lt;ruby&gt;概略&lt;rt&gt;がいりゃく&lt;/rt&gt;&lt;/ruby&gt;&lt;br&gt;&lt;div class=""audio""&gt;[sound:がいりゃく.mp3]&lt;/div&gt;")</f>
        <v>&lt;ruby&gt;概略&lt;rt&gt;がいりゃく&lt;/rt&gt;&lt;/ruby&gt;&lt;br&gt;&lt;div class="audio"&gt;[sound:がいりゃく.mp3]&lt;/div&gt;</v>
      </c>
      <c r="H6304" s="3" t="str">
        <f t="shared" si="1"/>
        <v>(n): sơ lược</v>
      </c>
      <c r="I6304" s="6" t="s">
        <v>34284</v>
      </c>
      <c r="J6304" s="6" t="s">
        <v>34285</v>
      </c>
      <c r="K6304" s="7">
        <f t="shared" si="2"/>
        <v>0.969351134</v>
      </c>
    </row>
    <row r="6305">
      <c r="A6305" s="4">
        <v>6305.0</v>
      </c>
      <c r="B6305" s="5" t="s">
        <v>34286</v>
      </c>
      <c r="C6305" s="5" t="s">
        <v>34287</v>
      </c>
      <c r="D6305" s="5" t="s">
        <v>34288</v>
      </c>
      <c r="E6305" s="6" t="s">
        <v>74</v>
      </c>
      <c r="F6305" s="6" t="s">
        <v>21420</v>
      </c>
      <c r="G6305" s="3" t="str">
        <f>IFERROR(__xludf.DUMMYFUNCTION("REGEXREPLACE(
D6305,
""([一-龯々]+)\[([^\]]+)\]"",
""&lt;ruby&gt;$1&lt;rt&gt;$2&lt;/rt&gt;&lt;/ruby&gt;""
)&amp;""&lt;br&gt;&lt;div class=""""audio""""&gt;[sound:""&amp;C6305&amp;"".mp3]&lt;/div&gt;"""),"&lt;ruby&gt;浜辺&lt;rt&gt;はまべ&lt;/rt&gt;&lt;/ruby&gt;&lt;br&gt;&lt;div class=""audio""&gt;[sound:はまべ.mp3]&lt;/div&gt;")</f>
        <v>&lt;ruby&gt;浜辺&lt;rt&gt;はまべ&lt;/rt&gt;&lt;/ruby&gt;&lt;br&gt;&lt;div class="audio"&gt;[sound:はまべ.mp3]&lt;/div&gt;</v>
      </c>
      <c r="H6305" s="3" t="str">
        <f t="shared" si="1"/>
        <v>(n): bờ biển</v>
      </c>
      <c r="I6305" s="6" t="s">
        <v>34289</v>
      </c>
      <c r="J6305" s="6" t="s">
        <v>34290</v>
      </c>
      <c r="K6305" s="7">
        <f t="shared" si="2"/>
        <v>0.5511765525</v>
      </c>
    </row>
    <row r="6306">
      <c r="A6306" s="4">
        <v>6306.0</v>
      </c>
      <c r="B6306" s="5" t="s">
        <v>34291</v>
      </c>
      <c r="C6306" s="5" t="s">
        <v>34292</v>
      </c>
      <c r="D6306" s="5" t="s">
        <v>34293</v>
      </c>
      <c r="E6306" s="6" t="s">
        <v>74</v>
      </c>
      <c r="F6306" s="6" t="s">
        <v>23304</v>
      </c>
      <c r="G6306" s="3" t="str">
        <f>IFERROR(__xludf.DUMMYFUNCTION("REGEXREPLACE(
D6306,
""([一-龯々]+)\[([^\]]+)\]"",
""&lt;ruby&gt;$1&lt;rt&gt;$2&lt;/rt&gt;&lt;/ruby&gt;""
)&amp;""&lt;br&gt;&lt;div class=""""audio""""&gt;[sound:""&amp;C6306&amp;"".mp3]&lt;/div&gt;"""),"&lt;ruby&gt;特産&lt;rt&gt;とくさん&lt;/rt&gt;&lt;/ruby&gt;&lt;br&gt;&lt;div class=""audio""&gt;[sound:とくさん.mp3]&lt;/div&gt;")</f>
        <v>&lt;ruby&gt;特産&lt;rt&gt;とくさん&lt;/rt&gt;&lt;/ruby&gt;&lt;br&gt;&lt;div class="audio"&gt;[sound:とくさん.mp3]&lt;/div&gt;</v>
      </c>
      <c r="H6306" s="3" t="str">
        <f t="shared" si="1"/>
        <v>(n): đặc sản</v>
      </c>
      <c r="I6306" s="6" t="s">
        <v>34294</v>
      </c>
      <c r="J6306" s="6" t="s">
        <v>34295</v>
      </c>
      <c r="K6306" s="7">
        <f t="shared" si="2"/>
        <v>0.5576271676</v>
      </c>
    </row>
    <row r="6307">
      <c r="A6307" s="4">
        <v>6307.0</v>
      </c>
      <c r="B6307" s="5" t="s">
        <v>34296</v>
      </c>
      <c r="C6307" s="5" t="s">
        <v>34297</v>
      </c>
      <c r="D6307" s="5" t="s">
        <v>34298</v>
      </c>
      <c r="E6307" s="6" t="s">
        <v>74</v>
      </c>
      <c r="F6307" s="6" t="s">
        <v>34299</v>
      </c>
      <c r="G6307" s="3" t="str">
        <f>IFERROR(__xludf.DUMMYFUNCTION("REGEXREPLACE(
D6307,
""([一-龯々]+)\[([^\]]+)\]"",
""&lt;ruby&gt;$1&lt;rt&gt;$2&lt;/rt&gt;&lt;/ruby&gt;""
)&amp;""&lt;br&gt;&lt;div class=""""audio""""&gt;[sound:""&amp;C6307&amp;"".mp3]&lt;/div&gt;"""),"&lt;ruby&gt;独裁&lt;rt&gt;どくさい&lt;/rt&gt;&lt;/ruby&gt;&lt;br&gt;&lt;div class=""audio""&gt;[sound:どくさい.mp3]&lt;/div&gt;")</f>
        <v>&lt;ruby&gt;独裁&lt;rt&gt;どくさい&lt;/rt&gt;&lt;/ruby&gt;&lt;br&gt;&lt;div class="audio"&gt;[sound:どくさい.mp3]&lt;/div&gt;</v>
      </c>
      <c r="H6307" s="3" t="str">
        <f t="shared" si="1"/>
        <v>(n): độc tài</v>
      </c>
      <c r="I6307" s="6" t="s">
        <v>34300</v>
      </c>
      <c r="J6307" s="6" t="s">
        <v>34301</v>
      </c>
      <c r="K6307" s="7">
        <f t="shared" si="2"/>
        <v>0.1984499959</v>
      </c>
    </row>
    <row r="6308">
      <c r="A6308" s="4">
        <v>6308.0</v>
      </c>
      <c r="B6308" s="5" t="s">
        <v>34302</v>
      </c>
      <c r="C6308" s="5" t="s">
        <v>34303</v>
      </c>
      <c r="D6308" s="5" t="s">
        <v>34304</v>
      </c>
      <c r="E6308" s="6" t="s">
        <v>74</v>
      </c>
      <c r="F6308" s="6" t="s">
        <v>34305</v>
      </c>
      <c r="G6308" s="3" t="str">
        <f>IFERROR(__xludf.DUMMYFUNCTION("REGEXREPLACE(
D6308,
""([一-龯々]+)\[([^\]]+)\]"",
""&lt;ruby&gt;$1&lt;rt&gt;$2&lt;/rt&gt;&lt;/ruby&gt;""
)&amp;""&lt;br&gt;&lt;div class=""""audio""""&gt;[sound:""&amp;C6308&amp;"".mp3]&lt;/div&gt;"""),"&lt;ruby&gt;獲物&lt;rt&gt;えもの&lt;/rt&gt;&lt;/ruby&gt;&lt;br&gt;&lt;div class=""audio""&gt;[sound:えもの.mp3]&lt;/div&gt;")</f>
        <v>&lt;ruby&gt;獲物&lt;rt&gt;えもの&lt;/rt&gt;&lt;/ruby&gt;&lt;br&gt;&lt;div class="audio"&gt;[sound:えもの.mp3]&lt;/div&gt;</v>
      </c>
      <c r="H6308" s="3" t="str">
        <f t="shared" si="1"/>
        <v>(n): con mồi</v>
      </c>
      <c r="I6308" s="6" t="s">
        <v>34306</v>
      </c>
      <c r="J6308" s="6" t="s">
        <v>34307</v>
      </c>
      <c r="K6308" s="7">
        <f t="shared" si="2"/>
        <v>0.6218765648</v>
      </c>
    </row>
    <row r="6309">
      <c r="A6309" s="4">
        <v>6309.0</v>
      </c>
      <c r="B6309" s="5" t="s">
        <v>34308</v>
      </c>
      <c r="C6309" s="5" t="s">
        <v>34309</v>
      </c>
      <c r="D6309" s="5" t="s">
        <v>34310</v>
      </c>
      <c r="E6309" s="6" t="s">
        <v>74</v>
      </c>
      <c r="F6309" s="6" t="s">
        <v>34311</v>
      </c>
      <c r="G6309" s="3" t="str">
        <f>IFERROR(__xludf.DUMMYFUNCTION("REGEXREPLACE(
D6309,
""([一-龯々]+)\[([^\]]+)\]"",
""&lt;ruby&gt;$1&lt;rt&gt;$2&lt;/rt&gt;&lt;/ruby&gt;""
)&amp;""&lt;br&gt;&lt;div class=""""audio""""&gt;[sound:""&amp;C6309&amp;"".mp3]&lt;/div&gt;"""),"&lt;ruby&gt;社交&lt;rt&gt;しゃこう&lt;/rt&gt;&lt;/ruby&gt;&lt;br&gt;&lt;div class=""audio""&gt;[sound:しゃこう.mp3]&lt;/div&gt;")</f>
        <v>&lt;ruby&gt;社交&lt;rt&gt;しゃこう&lt;/rt&gt;&lt;/ruby&gt;&lt;br&gt;&lt;div class="audio"&gt;[sound:しゃこう.mp3]&lt;/div&gt;</v>
      </c>
      <c r="H6309" s="3" t="str">
        <f t="shared" si="1"/>
        <v>(n): xã giao</v>
      </c>
      <c r="I6309" s="6" t="s">
        <v>34312</v>
      </c>
      <c r="J6309" s="6" t="s">
        <v>34313</v>
      </c>
      <c r="K6309" s="7">
        <f t="shared" si="2"/>
        <v>0.3630301544</v>
      </c>
    </row>
    <row r="6310">
      <c r="A6310" s="4">
        <v>6310.0</v>
      </c>
      <c r="B6310" s="5" t="s">
        <v>34314</v>
      </c>
      <c r="C6310" s="5" t="s">
        <v>34315</v>
      </c>
      <c r="D6310" s="5" t="s">
        <v>34316</v>
      </c>
      <c r="E6310" s="6" t="s">
        <v>74</v>
      </c>
      <c r="F6310" s="6" t="s">
        <v>34317</v>
      </c>
      <c r="G6310" s="3" t="str">
        <f>IFERROR(__xludf.DUMMYFUNCTION("REGEXREPLACE(
D6310,
""([一-龯々]+)\[([^\]]+)\]"",
""&lt;ruby&gt;$1&lt;rt&gt;$2&lt;/rt&gt;&lt;/ruby&gt;""
)&amp;""&lt;br&gt;&lt;div class=""""audio""""&gt;[sound:""&amp;C6310&amp;"".mp3]&lt;/div&gt;"""),"&lt;ruby&gt;等級&lt;rt&gt;とうきゅう&lt;/rt&gt;&lt;/ruby&gt;&lt;br&gt;&lt;div class=""audio""&gt;[sound:とうきゅう.mp3]&lt;/div&gt;")</f>
        <v>&lt;ruby&gt;等級&lt;rt&gt;とうきゅう&lt;/rt&gt;&lt;/ruby&gt;&lt;br&gt;&lt;div class="audio"&gt;[sound:とうきゅう.mp3]&lt;/div&gt;</v>
      </c>
      <c r="H6310" s="3" t="str">
        <f t="shared" si="1"/>
        <v>(n): cấp bậc</v>
      </c>
      <c r="I6310" s="6" t="s">
        <v>34318</v>
      </c>
      <c r="J6310" s="6" t="s">
        <v>34319</v>
      </c>
      <c r="K6310" s="7">
        <f t="shared" si="2"/>
        <v>0.9499888485</v>
      </c>
    </row>
    <row r="6311">
      <c r="A6311" s="4">
        <v>6311.0</v>
      </c>
      <c r="B6311" s="5" t="s">
        <v>34320</v>
      </c>
      <c r="C6311" s="5" t="s">
        <v>34321</v>
      </c>
      <c r="D6311" s="5" t="s">
        <v>34322</v>
      </c>
      <c r="E6311" s="6" t="s">
        <v>11</v>
      </c>
      <c r="F6311" s="6" t="s">
        <v>34323</v>
      </c>
      <c r="G6311" s="3" t="str">
        <f>IFERROR(__xludf.DUMMYFUNCTION("REGEXREPLACE(
D6311,
""([一-龯々]+)\[([^\]]+)\]"",
""&lt;ruby&gt;$1&lt;rt&gt;$2&lt;/rt&gt;&lt;/ruby&gt;""
)&amp;""&lt;br&gt;&lt;div class=""""audio""""&gt;[sound:""&amp;C6311&amp;"".mp3]&lt;/div&gt;"""),"&lt;ruby&gt;素朴&lt;rt&gt;そぼく&lt;/rt&gt;&lt;/ruby&gt;&lt;br&gt;&lt;div class=""audio""&gt;[sound:そぼく.mp3]&lt;/div&gt;")</f>
        <v>&lt;ruby&gt;素朴&lt;rt&gt;そぼく&lt;/rt&gt;&lt;/ruby&gt;&lt;br&gt;&lt;div class="audio"&gt;[sound:そぼく.mp3]&lt;/div&gt;</v>
      </c>
      <c r="H6311" s="3" t="str">
        <f t="shared" si="1"/>
        <v>(adj): mộc mạc</v>
      </c>
      <c r="I6311" s="6" t="s">
        <v>34324</v>
      </c>
      <c r="J6311" s="6" t="s">
        <v>34325</v>
      </c>
      <c r="K6311" s="7">
        <f t="shared" si="2"/>
        <v>0.1112984128</v>
      </c>
    </row>
    <row r="6312">
      <c r="A6312" s="4">
        <v>6312.0</v>
      </c>
      <c r="B6312" s="5" t="s">
        <v>34326</v>
      </c>
      <c r="C6312" s="5" t="s">
        <v>34327</v>
      </c>
      <c r="D6312" s="5" t="s">
        <v>34328</v>
      </c>
      <c r="E6312" s="6" t="s">
        <v>74</v>
      </c>
      <c r="F6312" s="6" t="s">
        <v>34329</v>
      </c>
      <c r="G6312" s="3" t="str">
        <f>IFERROR(__xludf.DUMMYFUNCTION("REGEXREPLACE(
D6312,
""([一-龯々]+)\[([^\]]+)\]"",
""&lt;ruby&gt;$1&lt;rt&gt;$2&lt;/rt&gt;&lt;/ruby&gt;""
)&amp;""&lt;br&gt;&lt;div class=""""audio""""&gt;[sound:""&amp;C6312&amp;"".mp3]&lt;/div&gt;"""),"&lt;ruby&gt;終日&lt;rt&gt;しゅうじつ&lt;/rt&gt;&lt;/ruby&gt;&lt;br&gt;&lt;div class=""audio""&gt;[sound:しゅうじつ.mp3]&lt;/div&gt;")</f>
        <v>&lt;ruby&gt;終日&lt;rt&gt;しゅうじつ&lt;/rt&gt;&lt;/ruby&gt;&lt;br&gt;&lt;div class="audio"&gt;[sound:しゅうじつ.mp3]&lt;/div&gt;</v>
      </c>
      <c r="H6312" s="3" t="str">
        <f t="shared" si="1"/>
        <v>(n): cả ngày</v>
      </c>
      <c r="I6312" s="6" t="s">
        <v>34330</v>
      </c>
      <c r="J6312" s="6" t="s">
        <v>34331</v>
      </c>
      <c r="K6312" s="7">
        <f t="shared" si="2"/>
        <v>0.7140700971</v>
      </c>
    </row>
    <row r="6313">
      <c r="A6313" s="4">
        <v>6313.0</v>
      </c>
      <c r="B6313" s="5" t="s">
        <v>34332</v>
      </c>
      <c r="C6313" s="5" t="s">
        <v>34333</v>
      </c>
      <c r="D6313" s="5" t="s">
        <v>34334</v>
      </c>
      <c r="E6313" s="6" t="s">
        <v>11</v>
      </c>
      <c r="F6313" s="6" t="s">
        <v>17713</v>
      </c>
      <c r="G6313" s="3" t="str">
        <f>IFERROR(__xludf.DUMMYFUNCTION("REGEXREPLACE(
D6313,
""([一-龯々]+)\[([^\]]+)\]"",
""&lt;ruby&gt;$1&lt;rt&gt;$2&lt;/rt&gt;&lt;/ruby&gt;""
)&amp;""&lt;br&gt;&lt;div class=""""audio""""&gt;[sound:""&amp;C6313&amp;"".mp3]&lt;/div&gt;"""),"&lt;ruby&gt;荒&lt;rt&gt;あら&lt;/rt&gt;&lt;/ruby&gt;っぽい&lt;br&gt;&lt;div class=""audio""&gt;[sound:あらっぽい.mp3]&lt;/div&gt;")</f>
        <v>&lt;ruby&gt;荒&lt;rt&gt;あら&lt;/rt&gt;&lt;/ruby&gt;っぽい&lt;br&gt;&lt;div class="audio"&gt;[sound:あらっぽい.mp3]&lt;/div&gt;</v>
      </c>
      <c r="H6313" s="3" t="str">
        <f t="shared" si="1"/>
        <v>(adj): thô bạo</v>
      </c>
      <c r="I6313" s="6" t="s">
        <v>34335</v>
      </c>
      <c r="J6313" s="6" t="s">
        <v>34336</v>
      </c>
      <c r="K6313" s="7">
        <f t="shared" si="2"/>
        <v>0.4641956905</v>
      </c>
    </row>
    <row r="6314">
      <c r="A6314" s="4">
        <v>6314.0</v>
      </c>
      <c r="B6314" s="5" t="s">
        <v>34337</v>
      </c>
      <c r="C6314" s="5" t="s">
        <v>34338</v>
      </c>
      <c r="D6314" s="5" t="s">
        <v>34339</v>
      </c>
      <c r="E6314" s="6" t="s">
        <v>74</v>
      </c>
      <c r="F6314" s="6" t="s">
        <v>34340</v>
      </c>
      <c r="G6314" s="3" t="str">
        <f>IFERROR(__xludf.DUMMYFUNCTION("REGEXREPLACE(
D6314,
""([一-龯々]+)\[([^\]]+)\]"",
""&lt;ruby&gt;$1&lt;rt&gt;$2&lt;/rt&gt;&lt;/ruby&gt;""
)&amp;""&lt;br&gt;&lt;div class=""""audio""""&gt;[sound:""&amp;C6314&amp;"".mp3]&lt;/div&gt;"""),"&lt;ruby&gt;蜂蜜&lt;rt&gt;はちみつ&lt;/rt&gt;&lt;/ruby&gt;&lt;br&gt;&lt;div class=""audio""&gt;[sound:はちみつ.mp3]&lt;/div&gt;")</f>
        <v>&lt;ruby&gt;蜂蜜&lt;rt&gt;はちみつ&lt;/rt&gt;&lt;/ruby&gt;&lt;br&gt;&lt;div class="audio"&gt;[sound:はちみつ.mp3]&lt;/div&gt;</v>
      </c>
      <c r="H6314" s="3" t="str">
        <f t="shared" si="1"/>
        <v>(n): mật ong</v>
      </c>
      <c r="I6314" s="6" t="s">
        <v>34341</v>
      </c>
      <c r="J6314" s="6" t="s">
        <v>34342</v>
      </c>
      <c r="K6314" s="7">
        <f t="shared" si="2"/>
        <v>0.5078984422</v>
      </c>
    </row>
    <row r="6315">
      <c r="A6315" s="4">
        <v>6315.0</v>
      </c>
      <c r="B6315" s="5" t="s">
        <v>34343</v>
      </c>
      <c r="C6315" s="5" t="s">
        <v>34344</v>
      </c>
      <c r="D6315" s="5" t="s">
        <v>34345</v>
      </c>
      <c r="E6315" s="6" t="s">
        <v>44</v>
      </c>
      <c r="F6315" s="6" t="s">
        <v>34346</v>
      </c>
      <c r="G6315" s="3" t="str">
        <f>IFERROR(__xludf.DUMMYFUNCTION("REGEXREPLACE(
D6315,
""([一-龯々]+)\[([^\]]+)\]"",
""&lt;ruby&gt;$1&lt;rt&gt;$2&lt;/rt&gt;&lt;/ruby&gt;""
)&amp;""&lt;br&gt;&lt;div class=""""audio""""&gt;[sound:""&amp;C6315&amp;"".mp3]&lt;/div&gt;"""),"&lt;ruby&gt;諸君&lt;rt&gt;しょくん&lt;/rt&gt;&lt;/ruby&gt;&lt;br&gt;&lt;div class=""audio""&gt;[sound:しょくん.mp3]&lt;/div&gt;")</f>
        <v>&lt;ruby&gt;諸君&lt;rt&gt;しょくん&lt;/rt&gt;&lt;/ruby&gt;&lt;br&gt;&lt;div class="audio"&gt;[sound:しょくん.mp3]&lt;/div&gt;</v>
      </c>
      <c r="H6315" s="3" t="str">
        <f t="shared" si="1"/>
        <v>(pron): các bạn</v>
      </c>
      <c r="I6315" s="6" t="s">
        <v>34347</v>
      </c>
      <c r="J6315" s="6" t="s">
        <v>34348</v>
      </c>
      <c r="K6315" s="7">
        <f t="shared" si="2"/>
        <v>0.02672679446</v>
      </c>
    </row>
    <row r="6316">
      <c r="A6316" s="4">
        <v>6316.0</v>
      </c>
      <c r="B6316" s="5" t="s">
        <v>34349</v>
      </c>
      <c r="C6316" s="5" t="s">
        <v>34350</v>
      </c>
      <c r="D6316" s="5" t="s">
        <v>34351</v>
      </c>
      <c r="E6316" s="6" t="s">
        <v>11</v>
      </c>
      <c r="F6316" s="6" t="s">
        <v>34352</v>
      </c>
      <c r="G6316" s="3" t="str">
        <f>IFERROR(__xludf.DUMMYFUNCTION("REGEXREPLACE(
D6316,
""([一-龯々]+)\[([^\]]+)\]"",
""&lt;ruby&gt;$1&lt;rt&gt;$2&lt;/rt&gt;&lt;/ruby&gt;""
)&amp;""&lt;br&gt;&lt;div class=""""audio""""&gt;[sound:""&amp;C6316&amp;"".mp3]&lt;/div&gt;"""),"&lt;ruby&gt;貧弱&lt;rt&gt;ひんじゃく&lt;/rt&gt;&lt;/ruby&gt;&lt;br&gt;&lt;div class=""audio""&gt;[sound:ひんじゃく.mp3]&lt;/div&gt;")</f>
        <v>&lt;ruby&gt;貧弱&lt;rt&gt;ひんじゃく&lt;/rt&gt;&lt;/ruby&gt;&lt;br&gt;&lt;div class="audio"&gt;[sound:ひんじゃく.mp3]&lt;/div&gt;</v>
      </c>
      <c r="H6316" s="3" t="str">
        <f t="shared" si="1"/>
        <v>(adj): yếu kém</v>
      </c>
      <c r="I6316" s="6" t="s">
        <v>34353</v>
      </c>
      <c r="J6316" s="6" t="s">
        <v>34354</v>
      </c>
      <c r="K6316" s="7">
        <f t="shared" si="2"/>
        <v>0.08327991764</v>
      </c>
    </row>
    <row r="6317">
      <c r="A6317" s="4">
        <v>6317.0</v>
      </c>
      <c r="B6317" s="5" t="s">
        <v>34355</v>
      </c>
      <c r="C6317" s="5" t="s">
        <v>4524</v>
      </c>
      <c r="D6317" s="5" t="s">
        <v>34356</v>
      </c>
      <c r="E6317" s="6" t="s">
        <v>11</v>
      </c>
      <c r="F6317" s="6" t="s">
        <v>34357</v>
      </c>
      <c r="G6317" s="3" t="str">
        <f>IFERROR(__xludf.DUMMYFUNCTION("REGEXREPLACE(
D6317,
""([一-龯々]+)\[([^\]]+)\]"",
""&lt;ruby&gt;$1&lt;rt&gt;$2&lt;/rt&gt;&lt;/ruby&gt;""
)&amp;""&lt;br&gt;&lt;div class=""""audio""""&gt;[sound:""&amp;C6317&amp;"".mp3]&lt;/div&gt;"""),"&lt;ruby&gt;高尚&lt;rt&gt;こうしょう&lt;/rt&gt;&lt;/ruby&gt;&lt;br&gt;&lt;div class=""audio""&gt;[sound:こうしょう.mp3]&lt;/div&gt;")</f>
        <v>&lt;ruby&gt;高尚&lt;rt&gt;こうしょう&lt;/rt&gt;&lt;/ruby&gt;&lt;br&gt;&lt;div class="audio"&gt;[sound:こうしょう.mp3]&lt;/div&gt;</v>
      </c>
      <c r="H6317" s="3" t="str">
        <f t="shared" si="1"/>
        <v>(adj): cao quý</v>
      </c>
      <c r="I6317" s="6" t="s">
        <v>34358</v>
      </c>
      <c r="J6317" s="6" t="s">
        <v>34359</v>
      </c>
      <c r="K6317" s="7">
        <f t="shared" si="2"/>
        <v>0.6555069606</v>
      </c>
    </row>
    <row r="6318">
      <c r="A6318" s="4">
        <v>6318.0</v>
      </c>
      <c r="B6318" s="5" t="s">
        <v>34360</v>
      </c>
      <c r="C6318" s="5" t="s">
        <v>34360</v>
      </c>
      <c r="D6318" s="5" t="s">
        <v>34360</v>
      </c>
      <c r="E6318" s="6" t="s">
        <v>85</v>
      </c>
      <c r="F6318" s="6" t="s">
        <v>34361</v>
      </c>
      <c r="G6318" s="3" t="str">
        <f>IFERROR(__xludf.DUMMYFUNCTION("REGEXREPLACE(
D6318,
""([一-龯々]+)\[([^\]]+)\]"",
""&lt;ruby&gt;$1&lt;rt&gt;$2&lt;/rt&gt;&lt;/ruby&gt;""
)&amp;""&lt;br&gt;&lt;div class=""""audio""""&gt;[sound:""&amp;C6318&amp;"".mp3]&lt;/div&gt;"""),"さも&lt;br&gt;&lt;div class=""audio""&gt;[sound:さも.mp3]&lt;/div&gt;")</f>
        <v>さも&lt;br&gt;&lt;div class="audio"&gt;[sound:さも.mp3]&lt;/div&gt;</v>
      </c>
      <c r="H6318" s="3" t="str">
        <f t="shared" si="1"/>
        <v>(adv): như là</v>
      </c>
      <c r="I6318" s="6" t="s">
        <v>34362</v>
      </c>
      <c r="J6318" s="6" t="s">
        <v>34363</v>
      </c>
      <c r="K6318" s="7">
        <f t="shared" si="2"/>
        <v>0.6877829626</v>
      </c>
    </row>
    <row r="6319">
      <c r="A6319" s="4">
        <v>6319.0</v>
      </c>
      <c r="B6319" s="5" t="s">
        <v>34364</v>
      </c>
      <c r="C6319" s="5" t="s">
        <v>34364</v>
      </c>
      <c r="D6319" s="5" t="s">
        <v>34364</v>
      </c>
      <c r="E6319" s="6" t="s">
        <v>74</v>
      </c>
      <c r="F6319" s="6" t="s">
        <v>34365</v>
      </c>
      <c r="G6319" s="3" t="str">
        <f>IFERROR(__xludf.DUMMYFUNCTION("REGEXREPLACE(
D6319,
""([一-龯々]+)\[([^\]]+)\]"",
""&lt;ruby&gt;$1&lt;rt&gt;$2&lt;/rt&gt;&lt;/ruby&gt;""
)&amp;""&lt;br&gt;&lt;div class=""""audio""""&gt;[sound:""&amp;C6319&amp;"".mp3]&lt;/div&gt;"""),"びら&lt;br&gt;&lt;div class=""audio""&gt;[sound:びら.mp3]&lt;/div&gt;")</f>
        <v>びら&lt;br&gt;&lt;div class="audio"&gt;[sound:びら.mp3]&lt;/div&gt;</v>
      </c>
      <c r="H6319" s="3" t="str">
        <f t="shared" si="1"/>
        <v>(n): tờ rơi</v>
      </c>
      <c r="I6319" s="6" t="s">
        <v>34366</v>
      </c>
      <c r="J6319" s="6" t="s">
        <v>9072</v>
      </c>
      <c r="K6319" s="7">
        <f t="shared" si="2"/>
        <v>0.7694372152</v>
      </c>
    </row>
    <row r="6320">
      <c r="A6320" s="4">
        <v>6320.0</v>
      </c>
      <c r="B6320" s="5" t="s">
        <v>34367</v>
      </c>
      <c r="C6320" s="5" t="s">
        <v>34368</v>
      </c>
      <c r="D6320" s="5" t="s">
        <v>34369</v>
      </c>
      <c r="E6320" s="6" t="s">
        <v>74</v>
      </c>
      <c r="F6320" s="6" t="s">
        <v>34370</v>
      </c>
      <c r="G6320" s="3" t="str">
        <f>IFERROR(__xludf.DUMMYFUNCTION("REGEXREPLACE(
D6320,
""([一-龯々]+)\[([^\]]+)\]"",
""&lt;ruby&gt;$1&lt;rt&gt;$2&lt;/rt&gt;&lt;/ruby&gt;""
)&amp;""&lt;br&gt;&lt;div class=""""audio""""&gt;[sound:""&amp;C6320&amp;"".mp3]&lt;/div&gt;"""),"&lt;ruby&gt;中程&lt;rt&gt;なかほど&lt;/rt&gt;&lt;/ruby&gt;&lt;br&gt;&lt;div class=""audio""&gt;[sound:なかほど.mp3]&lt;/div&gt;")</f>
        <v>&lt;ruby&gt;中程&lt;rt&gt;なかほど&lt;/rt&gt;&lt;/ruby&gt;&lt;br&gt;&lt;div class="audio"&gt;[sound:なかほど.mp3]&lt;/div&gt;</v>
      </c>
      <c r="H6320" s="3" t="str">
        <f t="shared" si="1"/>
        <v>(n): ở giữa</v>
      </c>
      <c r="I6320" s="6" t="s">
        <v>34371</v>
      </c>
      <c r="J6320" s="6" t="s">
        <v>34372</v>
      </c>
      <c r="K6320" s="7">
        <f t="shared" si="2"/>
        <v>0.05954763272</v>
      </c>
    </row>
    <row r="6321">
      <c r="A6321" s="4">
        <v>6321.0</v>
      </c>
      <c r="B6321" s="5" t="s">
        <v>34373</v>
      </c>
      <c r="C6321" s="5" t="s">
        <v>34374</v>
      </c>
      <c r="D6321" s="5" t="s">
        <v>34375</v>
      </c>
      <c r="E6321" s="6" t="s">
        <v>74</v>
      </c>
      <c r="F6321" s="6" t="s">
        <v>2201</v>
      </c>
      <c r="G6321" s="3" t="str">
        <f>IFERROR(__xludf.DUMMYFUNCTION("REGEXREPLACE(
D6321,
""([一-龯々]+)\[([^\]]+)\]"",
""&lt;ruby&gt;$1&lt;rt&gt;$2&lt;/rt&gt;&lt;/ruby&gt;""
)&amp;""&lt;br&gt;&lt;div class=""""audio""""&gt;[sound:""&amp;C6321&amp;"".mp3]&lt;/div&gt;"""),"&lt;ruby&gt;体付&lt;rt&gt;からだつ&lt;/rt&gt;&lt;/ruby&gt;き&lt;br&gt;&lt;div class=""audio""&gt;[sound:からだつき.mp3]&lt;/div&gt;")</f>
        <v>&lt;ruby&gt;体付&lt;rt&gt;からだつ&lt;/rt&gt;&lt;/ruby&gt;き&lt;br&gt;&lt;div class="audio"&gt;[sound:からだつき.mp3]&lt;/div&gt;</v>
      </c>
      <c r="H6321" s="3" t="str">
        <f t="shared" si="1"/>
        <v>(n): cơ thể</v>
      </c>
      <c r="I6321" s="6" t="s">
        <v>34376</v>
      </c>
      <c r="J6321" s="6" t="s">
        <v>34377</v>
      </c>
      <c r="K6321" s="7">
        <f t="shared" si="2"/>
        <v>0.2327414715</v>
      </c>
    </row>
    <row r="6322">
      <c r="A6322" s="4">
        <v>6322.0</v>
      </c>
      <c r="B6322" s="5" t="s">
        <v>34378</v>
      </c>
      <c r="C6322" s="5" t="s">
        <v>34379</v>
      </c>
      <c r="D6322" s="5" t="s">
        <v>34380</v>
      </c>
      <c r="E6322" s="6" t="s">
        <v>74</v>
      </c>
      <c r="F6322" s="6" t="s">
        <v>27576</v>
      </c>
      <c r="G6322" s="3" t="str">
        <f>IFERROR(__xludf.DUMMYFUNCTION("REGEXREPLACE(
D6322,
""([一-龯々]+)\[([^\]]+)\]"",
""&lt;ruby&gt;$1&lt;rt&gt;$2&lt;/rt&gt;&lt;/ruby&gt;""
)&amp;""&lt;br&gt;&lt;div class=""""audio""""&gt;[sound:""&amp;C6322&amp;"".mp3]&lt;/div&gt;"""),"&lt;ruby&gt;大水&lt;rt&gt;おおみず&lt;/rt&gt;&lt;/ruby&gt;&lt;br&gt;&lt;div class=""audio""&gt;[sound:おおみず.mp3]&lt;/div&gt;")</f>
        <v>&lt;ruby&gt;大水&lt;rt&gt;おおみず&lt;/rt&gt;&lt;/ruby&gt;&lt;br&gt;&lt;div class="audio"&gt;[sound:おおみず.mp3]&lt;/div&gt;</v>
      </c>
      <c r="H6322" s="3" t="str">
        <f t="shared" si="1"/>
        <v>(n): lũ lụt</v>
      </c>
      <c r="I6322" s="6" t="s">
        <v>34381</v>
      </c>
      <c r="J6322" s="6" t="s">
        <v>34382</v>
      </c>
      <c r="K6322" s="7">
        <f t="shared" si="2"/>
        <v>0.9846764333</v>
      </c>
    </row>
    <row r="6323">
      <c r="A6323" s="4">
        <v>6323.0</v>
      </c>
      <c r="B6323" s="5" t="s">
        <v>34383</v>
      </c>
      <c r="C6323" s="5" t="s">
        <v>34384</v>
      </c>
      <c r="D6323" s="5" t="s">
        <v>34385</v>
      </c>
      <c r="E6323" s="6" t="s">
        <v>11</v>
      </c>
      <c r="F6323" s="6" t="s">
        <v>34386</v>
      </c>
      <c r="G6323" s="3" t="str">
        <f>IFERROR(__xludf.DUMMYFUNCTION("REGEXREPLACE(
D6323,
""([一-龯々]+)\[([^\]]+)\]"",
""&lt;ruby&gt;$1&lt;rt&gt;$2&lt;/rt&gt;&lt;/ruby&gt;""
)&amp;""&lt;br&gt;&lt;div class=""""audio""""&gt;[sound:""&amp;C6323&amp;"".mp3]&lt;/div&gt;"""),"&lt;ruby&gt;鈍感&lt;rt&gt;どんかん&lt;/rt&gt;&lt;/ruby&gt;&lt;br&gt;&lt;div class=""audio""&gt;[sound:どんかん.mp3]&lt;/div&gt;")</f>
        <v>&lt;ruby&gt;鈍感&lt;rt&gt;どんかん&lt;/rt&gt;&lt;/ruby&gt;&lt;br&gt;&lt;div class="audio"&gt;[sound:どんかん.mp3]&lt;/div&gt;</v>
      </c>
      <c r="H6323" s="3" t="str">
        <f t="shared" si="1"/>
        <v>(adj): vô tâm</v>
      </c>
      <c r="I6323" s="6" t="s">
        <v>34387</v>
      </c>
      <c r="J6323" s="6" t="s">
        <v>34388</v>
      </c>
      <c r="K6323" s="7">
        <f t="shared" si="2"/>
        <v>0.4873892646</v>
      </c>
    </row>
    <row r="6324">
      <c r="A6324" s="4">
        <v>6324.0</v>
      </c>
      <c r="B6324" s="5" t="s">
        <v>34389</v>
      </c>
      <c r="C6324" s="5" t="s">
        <v>34390</v>
      </c>
      <c r="D6324" s="5" t="s">
        <v>34391</v>
      </c>
      <c r="E6324" s="6" t="s">
        <v>74</v>
      </c>
      <c r="F6324" s="6" t="s">
        <v>34392</v>
      </c>
      <c r="G6324" s="3" t="str">
        <f>IFERROR(__xludf.DUMMYFUNCTION("REGEXREPLACE(
D6324,
""([一-龯々]+)\[([^\]]+)\]"",
""&lt;ruby&gt;$1&lt;rt&gt;$2&lt;/rt&gt;&lt;/ruby&gt;""
)&amp;""&lt;br&gt;&lt;div class=""""audio""""&gt;[sound:""&amp;C6324&amp;"".mp3]&lt;/div&gt;"""),"&lt;ruby&gt;鉄棒&lt;rt&gt;てつぼう&lt;/rt&gt;&lt;/ruby&gt;&lt;br&gt;&lt;div class=""audio""&gt;[sound:てつぼう.mp3]&lt;/div&gt;")</f>
        <v>&lt;ruby&gt;鉄棒&lt;rt&gt;てつぼう&lt;/rt&gt;&lt;/ruby&gt;&lt;br&gt;&lt;div class="audio"&gt;[sound:てつぼう.mp3]&lt;/div&gt;</v>
      </c>
      <c r="H6324" s="3" t="str">
        <f t="shared" si="1"/>
        <v>(n): xà đơn</v>
      </c>
      <c r="I6324" s="6" t="s">
        <v>34393</v>
      </c>
      <c r="J6324" s="6" t="s">
        <v>34394</v>
      </c>
      <c r="K6324" s="7">
        <f t="shared" si="2"/>
        <v>0.1865031005</v>
      </c>
    </row>
    <row r="6325">
      <c r="A6325" s="4">
        <v>6325.0</v>
      </c>
      <c r="B6325" s="5" t="s">
        <v>34395</v>
      </c>
      <c r="C6325" s="5" t="s">
        <v>34396</v>
      </c>
      <c r="D6325" s="5" t="s">
        <v>34397</v>
      </c>
      <c r="E6325" s="6" t="s">
        <v>74</v>
      </c>
      <c r="F6325" s="6" t="s">
        <v>34398</v>
      </c>
      <c r="G6325" s="3" t="str">
        <f>IFERROR(__xludf.DUMMYFUNCTION("REGEXREPLACE(
D6325,
""([一-龯々]+)\[([^\]]+)\]"",
""&lt;ruby&gt;$1&lt;rt&gt;$2&lt;/rt&gt;&lt;/ruby&gt;""
)&amp;""&lt;br&gt;&lt;div class=""""audio""""&gt;[sound:""&amp;C6325&amp;"".mp3]&lt;/div&gt;"""),"&lt;ruby&gt;雛&lt;rt&gt;ひな&lt;/rt&gt;&lt;/ruby&gt;&lt;br&gt;&lt;div class=""audio""&gt;[sound:ひな.mp3]&lt;/div&gt;")</f>
        <v>&lt;ruby&gt;雛&lt;rt&gt;ひな&lt;/rt&gt;&lt;/ruby&gt;&lt;br&gt;&lt;div class="audio"&gt;[sound:ひな.mp3]&lt;/div&gt;</v>
      </c>
      <c r="H6325" s="3" t="str">
        <f t="shared" si="1"/>
        <v>(n): gà con</v>
      </c>
      <c r="I6325" s="6" t="s">
        <v>34399</v>
      </c>
      <c r="J6325" s="6" t="s">
        <v>34400</v>
      </c>
      <c r="K6325" s="7">
        <f t="shared" si="2"/>
        <v>0.6085602179</v>
      </c>
    </row>
    <row r="6326">
      <c r="A6326" s="4">
        <v>6326.0</v>
      </c>
      <c r="B6326" s="5" t="s">
        <v>34401</v>
      </c>
      <c r="C6326" s="5" t="s">
        <v>34402</v>
      </c>
      <c r="D6326" s="5" t="s">
        <v>34403</v>
      </c>
      <c r="E6326" s="6" t="s">
        <v>74</v>
      </c>
      <c r="F6326" s="6" t="s">
        <v>34404</v>
      </c>
      <c r="G6326" s="3" t="str">
        <f>IFERROR(__xludf.DUMMYFUNCTION("REGEXREPLACE(
D6326,
""([一-龯々]+)\[([^\]]+)\]"",
""&lt;ruby&gt;$1&lt;rt&gt;$2&lt;/rt&gt;&lt;/ruby&gt;""
)&amp;""&lt;br&gt;&lt;div class=""""audio""""&gt;[sound:""&amp;C6326&amp;"".mp3]&lt;/div&gt;"""),"&lt;ruby&gt;乙&lt;rt&gt;おつ&lt;/rt&gt;&lt;/ruby&gt;&lt;br&gt;&lt;div class=""audio""&gt;[sound:おつ.mp3]&lt;/div&gt;")</f>
        <v>&lt;ruby&gt;乙&lt;rt&gt;おつ&lt;/rt&gt;&lt;/ruby&gt;&lt;br&gt;&lt;div class="audio"&gt;[sound:おつ.mp3]&lt;/div&gt;</v>
      </c>
      <c r="H6326" s="3" t="str">
        <f t="shared" si="1"/>
        <v>(n): tuyệt</v>
      </c>
      <c r="I6326" s="6" t="s">
        <v>34405</v>
      </c>
      <c r="J6326" s="6" t="s">
        <v>34406</v>
      </c>
      <c r="K6326" s="7">
        <f t="shared" si="2"/>
        <v>0.3393085695</v>
      </c>
    </row>
    <row r="6327">
      <c r="A6327" s="4">
        <v>6327.0</v>
      </c>
      <c r="B6327" s="5" t="s">
        <v>34407</v>
      </c>
      <c r="C6327" s="5" t="s">
        <v>34408</v>
      </c>
      <c r="D6327" s="5" t="s">
        <v>34409</v>
      </c>
      <c r="E6327" s="6" t="s">
        <v>74</v>
      </c>
      <c r="F6327" s="6" t="s">
        <v>29632</v>
      </c>
      <c r="G6327" s="3" t="str">
        <f>IFERROR(__xludf.DUMMYFUNCTION("REGEXREPLACE(
D6327,
""([一-龯々]+)\[([^\]]+)\]"",
""&lt;ruby&gt;$1&lt;rt&gt;$2&lt;/rt&gt;&lt;/ruby&gt;""
)&amp;""&lt;br&gt;&lt;div class=""""audio""""&gt;[sound:""&amp;C6327&amp;"".mp3]&lt;/div&gt;"""),"&lt;ruby&gt;貝殻&lt;rt&gt;かいがら&lt;/rt&gt;&lt;/ruby&gt;&lt;br&gt;&lt;div class=""audio""&gt;[sound:かいがら.mp3]&lt;/div&gt;")</f>
        <v>&lt;ruby&gt;貝殻&lt;rt&gt;かいがら&lt;/rt&gt;&lt;/ruby&gt;&lt;br&gt;&lt;div class="audio"&gt;[sound:かいがら.mp3]&lt;/div&gt;</v>
      </c>
      <c r="H6327" s="3" t="str">
        <f t="shared" si="1"/>
        <v>(n): vỏ sò</v>
      </c>
      <c r="I6327" s="6" t="s">
        <v>34410</v>
      </c>
      <c r="J6327" s="6" t="s">
        <v>29634</v>
      </c>
      <c r="K6327" s="7">
        <f t="shared" si="2"/>
        <v>0.9805979233</v>
      </c>
    </row>
    <row r="6328">
      <c r="A6328" s="4">
        <v>6328.0</v>
      </c>
      <c r="B6328" s="5" t="s">
        <v>34411</v>
      </c>
      <c r="C6328" s="5" t="s">
        <v>34412</v>
      </c>
      <c r="D6328" s="5" t="s">
        <v>34411</v>
      </c>
      <c r="E6328" s="6" t="s">
        <v>74</v>
      </c>
      <c r="F6328" s="6" t="s">
        <v>34413</v>
      </c>
      <c r="G6328" s="3" t="str">
        <f>IFERROR(__xludf.DUMMYFUNCTION("REGEXREPLACE(
D6328,
""([一-龯々]+)\[([^\]]+)\]"",
""&lt;ruby&gt;$1&lt;rt&gt;$2&lt;/rt&gt;&lt;/ruby&gt;""
)&amp;""&lt;br&gt;&lt;div class=""""audio""""&gt;[sound:""&amp;C6328&amp;"".mp3]&lt;/div&gt;"""),"アルカリ&lt;br&gt;&lt;div class=""audio""&gt;[sound:あるかり.mp3]&lt;/div&gt;")</f>
        <v>アルカリ&lt;br&gt;&lt;div class="audio"&gt;[sound:あるかり.mp3]&lt;/div&gt;</v>
      </c>
      <c r="H6328" s="3" t="str">
        <f t="shared" si="1"/>
        <v>(n): kiềm</v>
      </c>
      <c r="I6328" s="6" t="s">
        <v>34414</v>
      </c>
      <c r="J6328" s="6" t="s">
        <v>34415</v>
      </c>
      <c r="K6328" s="7">
        <f t="shared" si="2"/>
        <v>0.4054444476</v>
      </c>
    </row>
    <row r="6329">
      <c r="A6329" s="4">
        <v>6329.0</v>
      </c>
      <c r="B6329" s="5" t="s">
        <v>34416</v>
      </c>
      <c r="C6329" s="5" t="s">
        <v>34416</v>
      </c>
      <c r="D6329" s="5" t="s">
        <v>34416</v>
      </c>
      <c r="E6329" s="6" t="s">
        <v>24</v>
      </c>
      <c r="F6329" s="6" t="s">
        <v>34417</v>
      </c>
      <c r="G6329" s="3" t="str">
        <f>IFERROR(__xludf.DUMMYFUNCTION("REGEXREPLACE(
D6329,
""([一-龯々]+)\[([^\]]+)\]"",
""&lt;ruby&gt;$1&lt;rt&gt;$2&lt;/rt&gt;&lt;/ruby&gt;""
)&amp;""&lt;br&gt;&lt;div class=""""audio""""&gt;[sound:""&amp;C6329&amp;"".mp3]&lt;/div&gt;"""),"つねる&lt;br&gt;&lt;div class=""audio""&gt;[sound:つねる.mp3]&lt;/div&gt;")</f>
        <v>つねる&lt;br&gt;&lt;div class="audio"&gt;[sound:つねる.mp3]&lt;/div&gt;</v>
      </c>
      <c r="H6329" s="3" t="str">
        <f t="shared" si="1"/>
        <v>(v): nhéo</v>
      </c>
      <c r="I6329" s="6" t="s">
        <v>34418</v>
      </c>
      <c r="J6329" s="6" t="s">
        <v>34419</v>
      </c>
      <c r="K6329" s="7">
        <f t="shared" si="2"/>
        <v>0.3232996385</v>
      </c>
    </row>
    <row r="6330">
      <c r="A6330" s="4">
        <v>6330.0</v>
      </c>
      <c r="B6330" s="5" t="s">
        <v>34420</v>
      </c>
      <c r="C6330" s="5" t="s">
        <v>34421</v>
      </c>
      <c r="D6330" s="5" t="s">
        <v>34422</v>
      </c>
      <c r="E6330" s="6" t="s">
        <v>74</v>
      </c>
      <c r="F6330" s="6" t="s">
        <v>31580</v>
      </c>
      <c r="G6330" s="3" t="str">
        <f>IFERROR(__xludf.DUMMYFUNCTION("REGEXREPLACE(
D6330,
""([一-龯々]+)\[([^\]]+)\]"",
""&lt;ruby&gt;$1&lt;rt&gt;$2&lt;/rt&gt;&lt;/ruby&gt;""
)&amp;""&lt;br&gt;&lt;div class=""""audio""""&gt;[sound:""&amp;C6330&amp;"".mp3]&lt;/div&gt;"""),"&lt;ruby&gt;団扇&lt;rt&gt;うちわ&lt;/rt&gt;&lt;/ruby&gt;&lt;br&gt;&lt;div class=""audio""&gt;[sound:うちわ.mp3]&lt;/div&gt;")</f>
        <v>&lt;ruby&gt;団扇&lt;rt&gt;うちわ&lt;/rt&gt;&lt;/ruby&gt;&lt;br&gt;&lt;div class="audio"&gt;[sound:うちわ.mp3]&lt;/div&gt;</v>
      </c>
      <c r="H6330" s="3" t="str">
        <f t="shared" si="1"/>
        <v>(n): quạt</v>
      </c>
      <c r="I6330" s="6" t="s">
        <v>34423</v>
      </c>
      <c r="J6330" s="6" t="s">
        <v>34424</v>
      </c>
      <c r="K6330" s="7">
        <f t="shared" si="2"/>
        <v>0.8360917618</v>
      </c>
    </row>
    <row r="6331">
      <c r="A6331" s="4">
        <v>6331.0</v>
      </c>
      <c r="B6331" s="5" t="s">
        <v>34425</v>
      </c>
      <c r="C6331" s="5" t="s">
        <v>34426</v>
      </c>
      <c r="D6331" s="5" t="s">
        <v>34427</v>
      </c>
      <c r="E6331" s="6" t="s">
        <v>74</v>
      </c>
      <c r="F6331" s="6" t="s">
        <v>34428</v>
      </c>
      <c r="G6331" s="3" t="str">
        <f>IFERROR(__xludf.DUMMYFUNCTION("REGEXREPLACE(
D6331,
""([一-龯々]+)\[([^\]]+)\]"",
""&lt;ruby&gt;$1&lt;rt&gt;$2&lt;/rt&gt;&lt;/ruby&gt;""
)&amp;""&lt;br&gt;&lt;div class=""""audio""""&gt;[sound:""&amp;C6331&amp;"".mp3]&lt;/div&gt;"""),"お&lt;ruby&gt;宮&lt;rt&gt;みや&lt;/rt&gt;&lt;/ruby&gt;&lt;br&gt;&lt;div class=""audio""&gt;[sound:おみや.mp3]&lt;/div&gt;")</f>
        <v>お&lt;ruby&gt;宮&lt;rt&gt;みや&lt;/rt&gt;&lt;/ruby&gt;&lt;br&gt;&lt;div class="audio"&gt;[sound:おみや.mp3]&lt;/div&gt;</v>
      </c>
      <c r="H6331" s="3" t="str">
        <f t="shared" si="1"/>
        <v>(n): đền</v>
      </c>
      <c r="I6331" s="6" t="s">
        <v>34429</v>
      </c>
      <c r="J6331" s="6" t="s">
        <v>10326</v>
      </c>
      <c r="K6331" s="7">
        <f t="shared" si="2"/>
        <v>0.2739625674</v>
      </c>
    </row>
    <row r="6332">
      <c r="A6332" s="4">
        <v>6332.0</v>
      </c>
      <c r="B6332" s="5" t="s">
        <v>34430</v>
      </c>
      <c r="C6332" s="5" t="s">
        <v>34431</v>
      </c>
      <c r="D6332" s="5" t="s">
        <v>34432</v>
      </c>
      <c r="E6332" s="6" t="s">
        <v>74</v>
      </c>
      <c r="F6332" s="6" t="s">
        <v>34433</v>
      </c>
      <c r="G6332" s="3" t="str">
        <f>IFERROR(__xludf.DUMMYFUNCTION("REGEXREPLACE(
D6332,
""([一-龯々]+)\[([^\]]+)\]"",
""&lt;ruby&gt;$1&lt;rt&gt;$2&lt;/rt&gt;&lt;/ruby&gt;""
)&amp;""&lt;br&gt;&lt;div class=""""audio""""&gt;[sound:""&amp;C6332&amp;"".mp3]&lt;/div&gt;"""),"&lt;ruby&gt;空腹&lt;rt&gt;くうふく&lt;/rt&gt;&lt;/ruby&gt;&lt;br&gt;&lt;div class=""audio""&gt;[sound:くうふく.mp3]&lt;/div&gt;")</f>
        <v>&lt;ruby&gt;空腹&lt;rt&gt;くうふく&lt;/rt&gt;&lt;/ruby&gt;&lt;br&gt;&lt;div class="audio"&gt;[sound:くうふく.mp3]&lt;/div&gt;</v>
      </c>
      <c r="H6332" s="3" t="str">
        <f t="shared" si="1"/>
        <v>(n): đói</v>
      </c>
      <c r="I6332" s="6" t="s">
        <v>34434</v>
      </c>
      <c r="J6332" s="6" t="s">
        <v>34435</v>
      </c>
      <c r="K6332" s="7">
        <f t="shared" si="2"/>
        <v>0.5819063271</v>
      </c>
    </row>
    <row r="6333">
      <c r="A6333" s="4">
        <v>6333.0</v>
      </c>
      <c r="B6333" s="5" t="s">
        <v>34436</v>
      </c>
      <c r="C6333" s="5" t="s">
        <v>34437</v>
      </c>
      <c r="D6333" s="5" t="s">
        <v>34438</v>
      </c>
      <c r="E6333" s="6" t="s">
        <v>74</v>
      </c>
      <c r="F6333" s="6" t="s">
        <v>18260</v>
      </c>
      <c r="G6333" s="3" t="str">
        <f>IFERROR(__xludf.DUMMYFUNCTION("REGEXREPLACE(
D6333,
""([一-龯々]+)\[([^\]]+)\]"",
""&lt;ruby&gt;$1&lt;rt&gt;$2&lt;/rt&gt;&lt;/ruby&gt;""
)&amp;""&lt;br&gt;&lt;div class=""""audio""""&gt;[sound:""&amp;C6333&amp;"".mp3]&lt;/div&gt;"""),"&lt;ruby&gt;粉末&lt;rt&gt;ふんまつ&lt;/rt&gt;&lt;/ruby&gt;&lt;br&gt;&lt;div class=""audio""&gt;[sound:ふんまつ.mp3]&lt;/div&gt;")</f>
        <v>&lt;ruby&gt;粉末&lt;rt&gt;ふんまつ&lt;/rt&gt;&lt;/ruby&gt;&lt;br&gt;&lt;div class="audio"&gt;[sound:ふんまつ.mp3]&lt;/div&gt;</v>
      </c>
      <c r="H6333" s="3" t="str">
        <f t="shared" si="1"/>
        <v>(n): bột</v>
      </c>
      <c r="I6333" s="6" t="s">
        <v>34439</v>
      </c>
      <c r="J6333" s="6" t="s">
        <v>34440</v>
      </c>
      <c r="K6333" s="7">
        <f t="shared" si="2"/>
        <v>0.7870533734</v>
      </c>
    </row>
    <row r="6334">
      <c r="A6334" s="4">
        <v>6334.0</v>
      </c>
      <c r="B6334" s="5" t="s">
        <v>34441</v>
      </c>
      <c r="C6334" s="5" t="s">
        <v>34442</v>
      </c>
      <c r="D6334" s="5" t="s">
        <v>34443</v>
      </c>
      <c r="E6334" s="6" t="s">
        <v>74</v>
      </c>
      <c r="F6334" s="6" t="s">
        <v>34444</v>
      </c>
      <c r="G6334" s="3" t="str">
        <f>IFERROR(__xludf.DUMMYFUNCTION("REGEXREPLACE(
D6334,
""([一-龯々]+)\[([^\]]+)\]"",
""&lt;ruby&gt;$1&lt;rt&gt;$2&lt;/rt&gt;&lt;/ruby&gt;""
)&amp;""&lt;br&gt;&lt;div class=""""audio""""&gt;[sound:""&amp;C6334&amp;"".mp3]&lt;/div&gt;"""),"&lt;ruby&gt;腿&lt;rt&gt;もも&lt;/rt&gt;&lt;/ruby&gt;&lt;br&gt;&lt;div class=""audio""&gt;[sound:もも.mp3]&lt;/div&gt;")</f>
        <v>&lt;ruby&gt;腿&lt;rt&gt;もも&lt;/rt&gt;&lt;/ruby&gt;&lt;br&gt;&lt;div class="audio"&gt;[sound:もも.mp3]&lt;/div&gt;</v>
      </c>
      <c r="H6334" s="3" t="str">
        <f t="shared" si="1"/>
        <v>(n): đùi</v>
      </c>
      <c r="I6334" s="6" t="s">
        <v>34445</v>
      </c>
      <c r="J6334" s="6" t="s">
        <v>34446</v>
      </c>
      <c r="K6334" s="7">
        <f t="shared" si="2"/>
        <v>0.2885945722</v>
      </c>
    </row>
    <row r="6335">
      <c r="A6335" s="4">
        <v>6335.0</v>
      </c>
      <c r="B6335" s="5" t="s">
        <v>34447</v>
      </c>
      <c r="C6335" s="5" t="s">
        <v>34448</v>
      </c>
      <c r="D6335" s="5" t="s">
        <v>34449</v>
      </c>
      <c r="E6335" s="6" t="s">
        <v>74</v>
      </c>
      <c r="F6335" s="6" t="s">
        <v>34450</v>
      </c>
      <c r="G6335" s="3" t="str">
        <f>IFERROR(__xludf.DUMMYFUNCTION("REGEXREPLACE(
D6335,
""([一-龯々]+)\[([^\]]+)\]"",
""&lt;ruby&gt;$1&lt;rt&gt;$2&lt;/rt&gt;&lt;/ruby&gt;""
)&amp;""&lt;br&gt;&lt;div class=""""audio""""&gt;[sound:""&amp;C6335&amp;"".mp3]&lt;/div&gt;"""),"&lt;ruby&gt;暮&lt;rt&gt;く&lt;/rt&gt;&lt;/ruby&gt;れ&lt;br&gt;&lt;div class=""audio""&gt;[sound:くれ.mp3]&lt;/div&gt;")</f>
        <v>&lt;ruby&gt;暮&lt;rt&gt;く&lt;/rt&gt;&lt;/ruby&gt;れ&lt;br&gt;&lt;div class="audio"&gt;[sound:くれ.mp3]&lt;/div&gt;</v>
      </c>
      <c r="H6335" s="3" t="str">
        <f t="shared" si="1"/>
        <v>(n): cuối năm</v>
      </c>
      <c r="I6335" s="6" t="s">
        <v>34451</v>
      </c>
      <c r="J6335" s="6" t="s">
        <v>34452</v>
      </c>
      <c r="K6335" s="7">
        <f t="shared" si="2"/>
        <v>0.3415059315</v>
      </c>
    </row>
    <row r="6336">
      <c r="A6336" s="4">
        <v>6336.0</v>
      </c>
      <c r="B6336" s="5" t="s">
        <v>34453</v>
      </c>
      <c r="C6336" s="5" t="s">
        <v>34454</v>
      </c>
      <c r="D6336" s="5" t="s">
        <v>34455</v>
      </c>
      <c r="E6336" s="6" t="s">
        <v>74</v>
      </c>
      <c r="F6336" s="6" t="s">
        <v>34456</v>
      </c>
      <c r="G6336" s="3" t="str">
        <f>IFERROR(__xludf.DUMMYFUNCTION("REGEXREPLACE(
D6336,
""([一-龯々]+)\[([^\]]+)\]"",
""&lt;ruby&gt;$1&lt;rt&gt;$2&lt;/rt&gt;&lt;/ruby&gt;""
)&amp;""&lt;br&gt;&lt;div class=""""audio""""&gt;[sound:""&amp;C6336&amp;"".mp3]&lt;/div&gt;"""),"&lt;ruby&gt;敷地&lt;rt&gt;しきち&lt;/rt&gt;&lt;/ruby&gt;&lt;br&gt;&lt;div class=""audio""&gt;[sound:しきち.mp3]&lt;/div&gt;")</f>
        <v>&lt;ruby&gt;敷地&lt;rt&gt;しきち&lt;/rt&gt;&lt;/ruby&gt;&lt;br&gt;&lt;div class="audio"&gt;[sound:しきち.mp3]&lt;/div&gt;</v>
      </c>
      <c r="H6336" s="3" t="str">
        <f t="shared" si="1"/>
        <v>(n): khu đất</v>
      </c>
      <c r="I6336" s="6" t="s">
        <v>34457</v>
      </c>
      <c r="J6336" s="6" t="s">
        <v>34458</v>
      </c>
      <c r="K6336" s="7">
        <f t="shared" si="2"/>
        <v>0.5401524006</v>
      </c>
    </row>
    <row r="6337">
      <c r="A6337" s="4">
        <v>6337.0</v>
      </c>
      <c r="B6337" s="5" t="s">
        <v>34459</v>
      </c>
      <c r="C6337" s="5" t="s">
        <v>34460</v>
      </c>
      <c r="D6337" s="5" t="s">
        <v>34461</v>
      </c>
      <c r="E6337" s="6" t="s">
        <v>74</v>
      </c>
      <c r="F6337" s="6" t="s">
        <v>34462</v>
      </c>
      <c r="G6337" s="3" t="str">
        <f>IFERROR(__xludf.DUMMYFUNCTION("REGEXREPLACE(
D6337,
""([一-龯々]+)\[([^\]]+)\]"",
""&lt;ruby&gt;$1&lt;rt&gt;$2&lt;/rt&gt;&lt;/ruby&gt;""
)&amp;""&lt;br&gt;&lt;div class=""""audio""""&gt;[sound:""&amp;C6337&amp;"".mp3]&lt;/div&gt;"""),"&lt;ruby&gt;歯車&lt;rt&gt;はぐるま&lt;/rt&gt;&lt;/ruby&gt;&lt;br&gt;&lt;div class=""audio""&gt;[sound:はぐるま.mp3]&lt;/div&gt;")</f>
        <v>&lt;ruby&gt;歯車&lt;rt&gt;はぐるま&lt;/rt&gt;&lt;/ruby&gt;&lt;br&gt;&lt;div class="audio"&gt;[sound:はぐるま.mp3]&lt;/div&gt;</v>
      </c>
      <c r="H6337" s="3" t="str">
        <f t="shared" si="1"/>
        <v>(n): bánh răng</v>
      </c>
      <c r="I6337" s="6" t="s">
        <v>34463</v>
      </c>
      <c r="J6337" s="6" t="s">
        <v>34464</v>
      </c>
      <c r="K6337" s="7">
        <f t="shared" si="2"/>
        <v>0.6394269956</v>
      </c>
    </row>
    <row r="6338">
      <c r="A6338" s="4">
        <v>6338.0</v>
      </c>
      <c r="B6338" s="5" t="s">
        <v>34465</v>
      </c>
      <c r="C6338" s="5" t="s">
        <v>34466</v>
      </c>
      <c r="D6338" s="5" t="s">
        <v>34467</v>
      </c>
      <c r="E6338" s="6" t="s">
        <v>74</v>
      </c>
      <c r="F6338" s="6" t="s">
        <v>34468</v>
      </c>
      <c r="G6338" s="3" t="str">
        <f>IFERROR(__xludf.DUMMYFUNCTION("REGEXREPLACE(
D6338,
""([一-龯々]+)\[([^\]]+)\]"",
""&lt;ruby&gt;$1&lt;rt&gt;$2&lt;/rt&gt;&lt;/ruby&gt;""
)&amp;""&lt;br&gt;&lt;div class=""""audio""""&gt;[sound:""&amp;C6338&amp;"".mp3]&lt;/div&gt;"""),"&lt;ruby&gt;標識&lt;rt&gt;ひょうしき&lt;/rt&gt;&lt;/ruby&gt;&lt;br&gt;&lt;div class=""audio""&gt;[sound:ひょうしき.mp3]&lt;/div&gt;")</f>
        <v>&lt;ruby&gt;標識&lt;rt&gt;ひょうしき&lt;/rt&gt;&lt;/ruby&gt;&lt;br&gt;&lt;div class="audio"&gt;[sound:ひょうしき.mp3]&lt;/div&gt;</v>
      </c>
      <c r="H6338" s="3" t="str">
        <f t="shared" si="1"/>
        <v>(n): biển báo</v>
      </c>
      <c r="I6338" s="6" t="s">
        <v>34469</v>
      </c>
      <c r="J6338" s="6" t="s">
        <v>34470</v>
      </c>
      <c r="K6338" s="7">
        <f t="shared" si="2"/>
        <v>0.9233474459</v>
      </c>
    </row>
    <row r="6339">
      <c r="A6339" s="4">
        <v>6339.0</v>
      </c>
      <c r="B6339" s="5" t="s">
        <v>34471</v>
      </c>
      <c r="C6339" s="5" t="s">
        <v>34472</v>
      </c>
      <c r="D6339" s="5" t="s">
        <v>34473</v>
      </c>
      <c r="E6339" s="6" t="s">
        <v>74</v>
      </c>
      <c r="F6339" s="6" t="s">
        <v>34474</v>
      </c>
      <c r="G6339" s="3" t="str">
        <f>IFERROR(__xludf.DUMMYFUNCTION("REGEXREPLACE(
D6339,
""([一-龯々]+)\[([^\]]+)\]"",
""&lt;ruby&gt;$1&lt;rt&gt;$2&lt;/rt&gt;&lt;/ruby&gt;""
)&amp;""&lt;br&gt;&lt;div class=""""audio""""&gt;[sound:""&amp;C6339&amp;"".mp3]&lt;/div&gt;"""),"&lt;ruby&gt;枚数&lt;rt&gt;まいすう&lt;/rt&gt;&lt;/ruby&gt;&lt;br&gt;&lt;div class=""audio""&gt;[sound:まいすう.mp3]&lt;/div&gt;")</f>
        <v>&lt;ruby&gt;枚数&lt;rt&gt;まいすう&lt;/rt&gt;&lt;/ruby&gt;&lt;br&gt;&lt;div class="audio"&gt;[sound:まいすう.mp3]&lt;/div&gt;</v>
      </c>
      <c r="H6339" s="3" t="str">
        <f t="shared" si="1"/>
        <v>(n): số tờ</v>
      </c>
      <c r="I6339" s="6" t="s">
        <v>34475</v>
      </c>
      <c r="J6339" s="6" t="s">
        <v>34476</v>
      </c>
      <c r="K6339" s="7">
        <f t="shared" si="2"/>
        <v>0.8864727397</v>
      </c>
    </row>
    <row r="6340">
      <c r="A6340" s="4">
        <v>6340.0</v>
      </c>
      <c r="B6340" s="5" t="s">
        <v>34477</v>
      </c>
      <c r="C6340" s="5" t="s">
        <v>34478</v>
      </c>
      <c r="D6340" s="5" t="s">
        <v>34479</v>
      </c>
      <c r="E6340" s="6" t="s">
        <v>24</v>
      </c>
      <c r="F6340" s="6" t="s">
        <v>34480</v>
      </c>
      <c r="G6340" s="3" t="str">
        <f>IFERROR(__xludf.DUMMYFUNCTION("REGEXREPLACE(
D6340,
""([一-龯々]+)\[([^\]]+)\]"",
""&lt;ruby&gt;$1&lt;rt&gt;$2&lt;/rt&gt;&lt;/ruby&gt;""
)&amp;""&lt;br&gt;&lt;div class=""""audio""""&gt;[sound:""&amp;C6340&amp;"".mp3]&lt;/div&gt;"""),"&lt;ruby&gt;捲&lt;rt&gt;めく&lt;/rt&gt;&lt;/ruby&gt;る&lt;br&gt;&lt;div class=""audio""&gt;[sound:めくる.mp3]&lt;/div&gt;")</f>
        <v>&lt;ruby&gt;捲&lt;rt&gt;めく&lt;/rt&gt;&lt;/ruby&gt;る&lt;br&gt;&lt;div class="audio"&gt;[sound:めくる.mp3]&lt;/div&gt;</v>
      </c>
      <c r="H6340" s="3" t="str">
        <f t="shared" si="1"/>
        <v>(v): lật</v>
      </c>
      <c r="I6340" s="6" t="s">
        <v>34481</v>
      </c>
      <c r="J6340" s="6" t="s">
        <v>34482</v>
      </c>
      <c r="K6340" s="7">
        <f t="shared" si="2"/>
        <v>0.9634103404</v>
      </c>
    </row>
    <row r="6341">
      <c r="A6341" s="4">
        <v>6341.0</v>
      </c>
      <c r="B6341" s="5" t="s">
        <v>34483</v>
      </c>
      <c r="C6341" s="5" t="s">
        <v>34484</v>
      </c>
      <c r="D6341" s="5" t="s">
        <v>34485</v>
      </c>
      <c r="E6341" s="6" t="s">
        <v>74</v>
      </c>
      <c r="F6341" s="6" t="s">
        <v>13868</v>
      </c>
      <c r="G6341" s="3" t="str">
        <f>IFERROR(__xludf.DUMMYFUNCTION("REGEXREPLACE(
D6341,
""([一-龯々]+)\[([^\]]+)\]"",
""&lt;ruby&gt;$1&lt;rt&gt;$2&lt;/rt&gt;&lt;/ruby&gt;""
)&amp;""&lt;br&gt;&lt;div class=""""audio""""&gt;[sound:""&amp;C6341&amp;"".mp3]&lt;/div&gt;"""),"&lt;ruby&gt;封&lt;rt&gt;ふう&lt;/rt&gt;&lt;/ruby&gt;&lt;br&gt;&lt;div class=""audio""&gt;[sound:ふう.mp3]&lt;/div&gt;")</f>
        <v>&lt;ruby&gt;封&lt;rt&gt;ふう&lt;/rt&gt;&lt;/ruby&gt;&lt;br&gt;&lt;div class="audio"&gt;[sound:ふう.mp3]&lt;/div&gt;</v>
      </c>
      <c r="H6341" s="3" t="str">
        <f t="shared" si="1"/>
        <v>(n): phong bì</v>
      </c>
      <c r="I6341" s="6" t="s">
        <v>34486</v>
      </c>
      <c r="J6341" s="6" t="s">
        <v>34487</v>
      </c>
      <c r="K6341" s="7">
        <f t="shared" si="2"/>
        <v>0.3135440222</v>
      </c>
    </row>
    <row r="6342">
      <c r="A6342" s="4">
        <v>6342.0</v>
      </c>
      <c r="B6342" s="5" t="s">
        <v>34488</v>
      </c>
      <c r="C6342" s="5" t="s">
        <v>34489</v>
      </c>
      <c r="D6342" s="5" t="s">
        <v>34490</v>
      </c>
      <c r="E6342" s="6" t="s">
        <v>74</v>
      </c>
      <c r="F6342" s="6" t="s">
        <v>34491</v>
      </c>
      <c r="G6342" s="3" t="str">
        <f>IFERROR(__xludf.DUMMYFUNCTION("REGEXREPLACE(
D6342,
""([一-龯々]+)\[([^\]]+)\]"",
""&lt;ruby&gt;$1&lt;rt&gt;$2&lt;/rt&gt;&lt;/ruby&gt;""
)&amp;""&lt;br&gt;&lt;div class=""""audio""""&gt;[sound:""&amp;C6342&amp;"".mp3]&lt;/div&gt;"""),"&lt;ruby&gt;文脈&lt;rt&gt;ぶんみゃく&lt;/rt&gt;&lt;/ruby&gt;&lt;br&gt;&lt;div class=""audio""&gt;[sound:ぶんみゃく.mp3]&lt;/div&gt;")</f>
        <v>&lt;ruby&gt;文脈&lt;rt&gt;ぶんみゃく&lt;/rt&gt;&lt;/ruby&gt;&lt;br&gt;&lt;div class="audio"&gt;[sound:ぶんみゃく.mp3]&lt;/div&gt;</v>
      </c>
      <c r="H6342" s="3" t="str">
        <f t="shared" si="1"/>
        <v>(n): ngữ cảnh</v>
      </c>
      <c r="I6342" s="6" t="s">
        <v>34492</v>
      </c>
      <c r="J6342" s="6" t="s">
        <v>34493</v>
      </c>
      <c r="K6342" s="7">
        <f t="shared" si="2"/>
        <v>0.3933349547</v>
      </c>
    </row>
    <row r="6343">
      <c r="A6343" s="4">
        <v>6343.0</v>
      </c>
      <c r="B6343" s="5" t="s">
        <v>34494</v>
      </c>
      <c r="C6343" s="5" t="s">
        <v>34495</v>
      </c>
      <c r="D6343" s="5" t="s">
        <v>34496</v>
      </c>
      <c r="E6343" s="6" t="s">
        <v>74</v>
      </c>
      <c r="F6343" s="6" t="s">
        <v>34497</v>
      </c>
      <c r="G6343" s="3" t="str">
        <f>IFERROR(__xludf.DUMMYFUNCTION("REGEXREPLACE(
D6343,
""([一-龯々]+)\[([^\]]+)\]"",
""&lt;ruby&gt;$1&lt;rt&gt;$2&lt;/rt&gt;&lt;/ruby&gt;""
)&amp;""&lt;br&gt;&lt;div class=""""audio""""&gt;[sound:""&amp;C6343&amp;"".mp3]&lt;/div&gt;"""),"&lt;ruby&gt;日帰&lt;rt&gt;ひがえ&lt;/rt&gt;&lt;/ruby&gt;り&lt;br&gt;&lt;div class=""audio""&gt;[sound:ひがえり.mp3]&lt;/div&gt;")</f>
        <v>&lt;ruby&gt;日帰&lt;rt&gt;ひがえ&lt;/rt&gt;&lt;/ruby&gt;り&lt;br&gt;&lt;div class="audio"&gt;[sound:ひがえり.mp3]&lt;/div&gt;</v>
      </c>
      <c r="H6343" s="3" t="str">
        <f t="shared" si="1"/>
        <v>(n): đi về trong ngày</v>
      </c>
      <c r="I6343" s="6" t="s">
        <v>34498</v>
      </c>
      <c r="J6343" s="6" t="s">
        <v>34499</v>
      </c>
      <c r="K6343" s="7">
        <f t="shared" si="2"/>
        <v>0.7350576045</v>
      </c>
    </row>
    <row r="6344">
      <c r="A6344" s="4">
        <v>6344.0</v>
      </c>
      <c r="B6344" s="5" t="s">
        <v>34500</v>
      </c>
      <c r="C6344" s="5" t="s">
        <v>34501</v>
      </c>
      <c r="D6344" s="5" t="s">
        <v>34502</v>
      </c>
      <c r="E6344" s="6" t="s">
        <v>74</v>
      </c>
      <c r="F6344" s="6" t="s">
        <v>34503</v>
      </c>
      <c r="G6344" s="3" t="str">
        <f>IFERROR(__xludf.DUMMYFUNCTION("REGEXREPLACE(
D6344,
""([一-龯々]+)\[([^\]]+)\]"",
""&lt;ruby&gt;$1&lt;rt&gt;$2&lt;/rt&gt;&lt;/ruby&gt;""
)&amp;""&lt;br&gt;&lt;div class=""""audio""""&gt;[sound:""&amp;C6344&amp;"".mp3]&lt;/div&gt;"""),"&lt;ruby&gt;死体&lt;rt&gt;したい&lt;/rt&gt;&lt;/ruby&gt;&lt;br&gt;&lt;div class=""audio""&gt;[sound:したい.mp3]&lt;/div&gt;")</f>
        <v>&lt;ruby&gt;死体&lt;rt&gt;したい&lt;/rt&gt;&lt;/ruby&gt;&lt;br&gt;&lt;div class="audio"&gt;[sound:したい.mp3]&lt;/div&gt;</v>
      </c>
      <c r="H6344" s="3" t="str">
        <f t="shared" si="1"/>
        <v>(n): thi thể</v>
      </c>
      <c r="I6344" s="6" t="s">
        <v>34504</v>
      </c>
      <c r="J6344" s="6" t="s">
        <v>34505</v>
      </c>
      <c r="K6344" s="7">
        <f t="shared" si="2"/>
        <v>0.6163011347</v>
      </c>
    </row>
    <row r="6345">
      <c r="A6345" s="4">
        <v>6345.0</v>
      </c>
      <c r="B6345" s="5" t="s">
        <v>34506</v>
      </c>
      <c r="C6345" s="5" t="s">
        <v>755</v>
      </c>
      <c r="D6345" s="5" t="s">
        <v>34507</v>
      </c>
      <c r="E6345" s="6" t="s">
        <v>74</v>
      </c>
      <c r="F6345" s="6" t="s">
        <v>34508</v>
      </c>
      <c r="G6345" s="3" t="str">
        <f>IFERROR(__xludf.DUMMYFUNCTION("REGEXREPLACE(
D6345,
""([一-龯々]+)\[([^\]]+)\]"",
""&lt;ruby&gt;$1&lt;rt&gt;$2&lt;/rt&gt;&lt;/ruby&gt;""
)&amp;""&lt;br&gt;&lt;div class=""""audio""""&gt;[sound:""&amp;C6345&amp;"".mp3]&lt;/div&gt;"""),"&lt;ruby&gt;松&lt;rt&gt;まつ&lt;/rt&gt;&lt;/ruby&gt;&lt;br&gt;&lt;div class=""audio""&gt;[sound:まつ.mp3]&lt;/div&gt;")</f>
        <v>&lt;ruby&gt;松&lt;rt&gt;まつ&lt;/rt&gt;&lt;/ruby&gt;&lt;br&gt;&lt;div class="audio"&gt;[sound:まつ.mp3]&lt;/div&gt;</v>
      </c>
      <c r="H6345" s="3" t="str">
        <f t="shared" si="1"/>
        <v>(n): cây thông</v>
      </c>
      <c r="I6345" s="6" t="s">
        <v>34509</v>
      </c>
      <c r="J6345" s="6" t="s">
        <v>34510</v>
      </c>
      <c r="K6345" s="7">
        <f t="shared" si="2"/>
        <v>0.2473268652</v>
      </c>
    </row>
    <row r="6346">
      <c r="A6346" s="4">
        <v>6346.0</v>
      </c>
      <c r="B6346" s="5" t="s">
        <v>34511</v>
      </c>
      <c r="C6346" s="5" t="s">
        <v>7901</v>
      </c>
      <c r="D6346" s="5" t="s">
        <v>34512</v>
      </c>
      <c r="E6346" s="6" t="s">
        <v>24</v>
      </c>
      <c r="F6346" s="6" t="s">
        <v>34513</v>
      </c>
      <c r="G6346" s="3" t="str">
        <f>IFERROR(__xludf.DUMMYFUNCTION("REGEXREPLACE(
D6346,
""([一-龯々]+)\[([^\]]+)\]"",
""&lt;ruby&gt;$1&lt;rt&gt;$2&lt;/rt&gt;&lt;/ruby&gt;""
)&amp;""&lt;br&gt;&lt;div class=""""audio""""&gt;[sound:""&amp;C6346&amp;"".mp3]&lt;/div&gt;"""),"&lt;ruby&gt;摘&lt;rt&gt;つ&lt;/rt&gt;&lt;/ruby&gt;む&lt;br&gt;&lt;div class=""audio""&gt;[sound:つむ.mp3]&lt;/div&gt;")</f>
        <v>&lt;ruby&gt;摘&lt;rt&gt;つ&lt;/rt&gt;&lt;/ruby&gt;む&lt;br&gt;&lt;div class="audio"&gt;[sound:つむ.mp3]&lt;/div&gt;</v>
      </c>
      <c r="H6346" s="3" t="str">
        <f t="shared" si="1"/>
        <v>(v): hái</v>
      </c>
      <c r="I6346" s="6" t="s">
        <v>34514</v>
      </c>
      <c r="J6346" s="6" t="s">
        <v>34515</v>
      </c>
      <c r="K6346" s="7">
        <f t="shared" si="2"/>
        <v>0.7792852849</v>
      </c>
    </row>
    <row r="6347">
      <c r="A6347" s="4">
        <v>6347.0</v>
      </c>
      <c r="B6347" s="5" t="s">
        <v>34516</v>
      </c>
      <c r="C6347" s="5" t="s">
        <v>34517</v>
      </c>
      <c r="D6347" s="5" t="s">
        <v>34518</v>
      </c>
      <c r="E6347" s="6" t="s">
        <v>24</v>
      </c>
      <c r="F6347" s="6" t="s">
        <v>34519</v>
      </c>
      <c r="G6347" s="3" t="str">
        <f>IFERROR(__xludf.DUMMYFUNCTION("REGEXREPLACE(
D6347,
""([一-龯々]+)\[([^\]]+)\]"",
""&lt;ruby&gt;$1&lt;rt&gt;$2&lt;/rt&gt;&lt;/ruby&gt;""
)&amp;""&lt;br&gt;&lt;div class=""""audio""""&gt;[sound:""&amp;C6347&amp;"".mp3]&lt;/div&gt;"""),"&lt;ruby&gt;恥&lt;rt&gt;は&lt;/rt&gt;&lt;/ruby&gt;じる&lt;br&gt;&lt;div class=""audio""&gt;[sound:はじる.mp3]&lt;/div&gt;")</f>
        <v>&lt;ruby&gt;恥&lt;rt&gt;は&lt;/rt&gt;&lt;/ruby&gt;じる&lt;br&gt;&lt;div class="audio"&gt;[sound:はじる.mp3]&lt;/div&gt;</v>
      </c>
      <c r="H6347" s="3" t="str">
        <f t="shared" si="1"/>
        <v>(v): cảm thấy nhục</v>
      </c>
      <c r="I6347" s="6" t="s">
        <v>34520</v>
      </c>
      <c r="J6347" s="6" t="s">
        <v>34521</v>
      </c>
      <c r="K6347" s="7">
        <f t="shared" si="2"/>
        <v>0.7111023802</v>
      </c>
    </row>
    <row r="6348">
      <c r="A6348" s="4">
        <v>6348.0</v>
      </c>
      <c r="B6348" s="5" t="s">
        <v>34522</v>
      </c>
      <c r="C6348" s="5" t="s">
        <v>34523</v>
      </c>
      <c r="D6348" s="5" t="s">
        <v>34524</v>
      </c>
      <c r="E6348" s="6" t="s">
        <v>11</v>
      </c>
      <c r="F6348" s="6" t="s">
        <v>23250</v>
      </c>
      <c r="G6348" s="3" t="str">
        <f>IFERROR(__xludf.DUMMYFUNCTION("REGEXREPLACE(
D6348,
""([一-龯々]+)\[([^\]]+)\]"",
""&lt;ruby&gt;$1&lt;rt&gt;$2&lt;/rt&gt;&lt;/ruby&gt;""
)&amp;""&lt;br&gt;&lt;div class=""""audio""""&gt;[sound:""&amp;C6348&amp;"".mp3]&lt;/div&gt;"""),"&lt;ruby&gt;怠慢&lt;rt&gt;たいまん&lt;/rt&gt;&lt;/ruby&gt;&lt;br&gt;&lt;div class=""audio""&gt;[sound:たいまん.mp3]&lt;/div&gt;")</f>
        <v>&lt;ruby&gt;怠慢&lt;rt&gt;たいまん&lt;/rt&gt;&lt;/ruby&gt;&lt;br&gt;&lt;div class="audio"&gt;[sound:たいまん.mp3]&lt;/div&gt;</v>
      </c>
      <c r="H6348" s="3" t="str">
        <f t="shared" si="1"/>
        <v>(adj): lười biếng</v>
      </c>
      <c r="I6348" s="6" t="s">
        <v>34525</v>
      </c>
      <c r="J6348" s="6" t="s">
        <v>23252</v>
      </c>
      <c r="K6348" s="7">
        <f t="shared" si="2"/>
        <v>0.3507964872</v>
      </c>
    </row>
    <row r="6349">
      <c r="A6349" s="4">
        <v>6349.0</v>
      </c>
      <c r="B6349" s="5" t="s">
        <v>34526</v>
      </c>
      <c r="C6349" s="5" t="s">
        <v>34527</v>
      </c>
      <c r="D6349" s="5" t="s">
        <v>34528</v>
      </c>
      <c r="E6349" s="6" t="s">
        <v>11</v>
      </c>
      <c r="F6349" s="6" t="s">
        <v>34529</v>
      </c>
      <c r="G6349" s="3" t="str">
        <f>IFERROR(__xludf.DUMMYFUNCTION("REGEXREPLACE(
D6349,
""([一-龯々]+)\[([^\]]+)\]"",
""&lt;ruby&gt;$1&lt;rt&gt;$2&lt;/rt&gt;&lt;/ruby&gt;""
)&amp;""&lt;br&gt;&lt;div class=""""audio""""&gt;[sound:""&amp;C6349&amp;"".mp3]&lt;/div&gt;"""),"&lt;ruby&gt;待&lt;rt&gt;ま&lt;/rt&gt;&lt;/ruby&gt;ち&lt;ruby&gt;遠&lt;rt&gt;どお&lt;/rt&gt;&lt;/ruby&gt;しい&lt;br&gt;&lt;div class=""audio""&gt;[sound:まちどおしい.mp3]&lt;/div&gt;")</f>
        <v>&lt;ruby&gt;待&lt;rt&gt;ま&lt;/rt&gt;&lt;/ruby&gt;ち&lt;ruby&gt;遠&lt;rt&gt;どお&lt;/rt&gt;&lt;/ruby&gt;しい&lt;br&gt;&lt;div class="audio"&gt;[sound:まちどおしい.mp3]&lt;/div&gt;</v>
      </c>
      <c r="H6349" s="3" t="str">
        <f t="shared" si="1"/>
        <v>(adj): nôn nóng</v>
      </c>
      <c r="I6349" s="6" t="s">
        <v>34530</v>
      </c>
      <c r="J6349" s="6" t="s">
        <v>34531</v>
      </c>
      <c r="K6349" s="7">
        <f t="shared" si="2"/>
        <v>0.1977717353</v>
      </c>
    </row>
    <row r="6350">
      <c r="A6350" s="4">
        <v>6350.0</v>
      </c>
      <c r="B6350" s="5" t="s">
        <v>34532</v>
      </c>
      <c r="C6350" s="5" t="s">
        <v>34533</v>
      </c>
      <c r="D6350" s="5" t="s">
        <v>34534</v>
      </c>
      <c r="E6350" s="6" t="s">
        <v>24</v>
      </c>
      <c r="F6350" s="6" t="s">
        <v>24634</v>
      </c>
      <c r="G6350" s="3" t="str">
        <f>IFERROR(__xludf.DUMMYFUNCTION("REGEXREPLACE(
D6350,
""([一-龯々]+)\[([^\]]+)\]"",
""&lt;ruby&gt;$1&lt;rt&gt;$2&lt;/rt&gt;&lt;/ruby&gt;""
)&amp;""&lt;br&gt;&lt;div class=""""audio""""&gt;[sound:""&amp;C6350&amp;"".mp3]&lt;/div&gt;"""),"&lt;ruby&gt;寄&lt;rt&gt;よ&lt;/rt&gt;&lt;/ruby&gt;り&lt;ruby&gt;掛&lt;rt&gt;か&lt;/rt&gt;&lt;/ruby&gt;かる&lt;br&gt;&lt;div class=""audio""&gt;[sound:よりかかる.mp3]&lt;/div&gt;")</f>
        <v>&lt;ruby&gt;寄&lt;rt&gt;よ&lt;/rt&gt;&lt;/ruby&gt;り&lt;ruby&gt;掛&lt;rt&gt;か&lt;/rt&gt;&lt;/ruby&gt;かる&lt;br&gt;&lt;div class="audio"&gt;[sound:よりかかる.mp3]&lt;/div&gt;</v>
      </c>
      <c r="H6350" s="3" t="str">
        <f t="shared" si="1"/>
        <v>(v): dựa vào</v>
      </c>
      <c r="I6350" s="6" t="s">
        <v>34535</v>
      </c>
      <c r="J6350" s="6" t="s">
        <v>24636</v>
      </c>
      <c r="K6350" s="7">
        <f t="shared" si="2"/>
        <v>0.06987737781</v>
      </c>
    </row>
    <row r="6351">
      <c r="A6351" s="4">
        <v>6351.0</v>
      </c>
      <c r="B6351" s="5" t="s">
        <v>34536</v>
      </c>
      <c r="C6351" s="5" t="s">
        <v>34537</v>
      </c>
      <c r="D6351" s="5" t="s">
        <v>34538</v>
      </c>
      <c r="E6351" s="6" t="s">
        <v>24</v>
      </c>
      <c r="F6351" s="6" t="s">
        <v>34539</v>
      </c>
      <c r="G6351" s="3" t="str">
        <f>IFERROR(__xludf.DUMMYFUNCTION("REGEXREPLACE(
D6351,
""([一-龯々]+)\[([^\]]+)\]"",
""&lt;ruby&gt;$1&lt;rt&gt;$2&lt;/rt&gt;&lt;/ruby&gt;""
)&amp;""&lt;br&gt;&lt;div class=""""audio""""&gt;[sound:""&amp;C6351&amp;"".mp3]&lt;/div&gt;"""),"&lt;ruby&gt;掻&lt;rt&gt;か&lt;/rt&gt;&lt;/ruby&gt;き&lt;ruby&gt;回&lt;rt&gt;まわ&lt;/rt&gt;&lt;/ruby&gt;す&lt;br&gt;&lt;div class=""audio""&gt;[sound:かきまわす.mp3]&lt;/div&gt;")</f>
        <v>&lt;ruby&gt;掻&lt;rt&gt;か&lt;/rt&gt;&lt;/ruby&gt;き&lt;ruby&gt;回&lt;rt&gt;まわ&lt;/rt&gt;&lt;/ruby&gt;す&lt;br&gt;&lt;div class="audio"&gt;[sound:かきまわす.mp3]&lt;/div&gt;</v>
      </c>
      <c r="H6351" s="3" t="str">
        <f t="shared" si="1"/>
        <v>(v): quấy</v>
      </c>
      <c r="I6351" s="6" t="s">
        <v>34540</v>
      </c>
      <c r="J6351" s="6" t="s">
        <v>34541</v>
      </c>
      <c r="K6351" s="7">
        <f t="shared" si="2"/>
        <v>0.824923344</v>
      </c>
    </row>
    <row r="6352">
      <c r="A6352" s="4">
        <v>6352.0</v>
      </c>
      <c r="B6352" s="5" t="s">
        <v>34542</v>
      </c>
      <c r="C6352" s="5" t="s">
        <v>34543</v>
      </c>
      <c r="D6352" s="5" t="s">
        <v>34544</v>
      </c>
      <c r="E6352" s="6" t="s">
        <v>24</v>
      </c>
      <c r="F6352" s="6" t="s">
        <v>34545</v>
      </c>
      <c r="G6352" s="3" t="str">
        <f>IFERROR(__xludf.DUMMYFUNCTION("REGEXREPLACE(
D6352,
""([一-龯々]+)\[([^\]]+)\]"",
""&lt;ruby&gt;$1&lt;rt&gt;$2&lt;/rt&gt;&lt;/ruby&gt;""
)&amp;""&lt;br&gt;&lt;div class=""""audio""""&gt;[sound:""&amp;C6352&amp;"".mp3]&lt;/div&gt;"""),"&lt;ruby&gt;引&lt;rt&gt;ひ&lt;/rt&gt;&lt;/ruby&gt;っ&lt;ruby&gt;掻&lt;rt&gt;か&lt;/rt&gt;&lt;/ruby&gt;く&lt;br&gt;&lt;div class=""audio""&gt;[sound:ひっかく.mp3]&lt;/div&gt;")</f>
        <v>&lt;ruby&gt;引&lt;rt&gt;ひ&lt;/rt&gt;&lt;/ruby&gt;っ&lt;ruby&gt;掻&lt;rt&gt;か&lt;/rt&gt;&lt;/ruby&gt;く&lt;br&gt;&lt;div class="audio"&gt;[sound:ひっかく.mp3]&lt;/div&gt;</v>
      </c>
      <c r="H6352" s="3" t="str">
        <f t="shared" si="1"/>
        <v>(v): cào</v>
      </c>
      <c r="I6352" s="6" t="s">
        <v>34546</v>
      </c>
      <c r="J6352" s="6" t="s">
        <v>34547</v>
      </c>
      <c r="K6352" s="7">
        <f t="shared" si="2"/>
        <v>0.2681717301</v>
      </c>
    </row>
    <row r="6353">
      <c r="A6353" s="4">
        <v>6353.0</v>
      </c>
      <c r="B6353" s="5" t="s">
        <v>34548</v>
      </c>
      <c r="C6353" s="5" t="s">
        <v>26825</v>
      </c>
      <c r="D6353" s="5" t="s">
        <v>34549</v>
      </c>
      <c r="E6353" s="6" t="s">
        <v>74</v>
      </c>
      <c r="F6353" s="6" t="s">
        <v>34550</v>
      </c>
      <c r="G6353" s="3" t="str">
        <f>IFERROR(__xludf.DUMMYFUNCTION("REGEXREPLACE(
D6353,
""([一-龯々]+)\[([^\]]+)\]"",
""&lt;ruby&gt;$1&lt;rt&gt;$2&lt;/rt&gt;&lt;/ruby&gt;""
)&amp;""&lt;br&gt;&lt;div class=""""audio""""&gt;[sound:""&amp;C6353&amp;"".mp3]&lt;/div&gt;"""),"&lt;ruby&gt;校庭&lt;rt&gt;こうてい&lt;/rt&gt;&lt;/ruby&gt;&lt;br&gt;&lt;div class=""audio""&gt;[sound:こうてい.mp3]&lt;/div&gt;")</f>
        <v>&lt;ruby&gt;校庭&lt;rt&gt;こうてい&lt;/rt&gt;&lt;/ruby&gt;&lt;br&gt;&lt;div class="audio"&gt;[sound:こうてい.mp3]&lt;/div&gt;</v>
      </c>
      <c r="H6353" s="3" t="str">
        <f t="shared" si="1"/>
        <v>(n): sân trường</v>
      </c>
      <c r="I6353" s="6" t="s">
        <v>34551</v>
      </c>
      <c r="J6353" s="6" t="s">
        <v>34552</v>
      </c>
      <c r="K6353" s="7">
        <f t="shared" si="2"/>
        <v>0.2828819466</v>
      </c>
    </row>
    <row r="6354">
      <c r="A6354" s="4">
        <v>6354.0</v>
      </c>
      <c r="B6354" s="5" t="s">
        <v>34553</v>
      </c>
      <c r="C6354" s="5" t="s">
        <v>34554</v>
      </c>
      <c r="D6354" s="5" t="s">
        <v>34555</v>
      </c>
      <c r="E6354" s="6" t="s">
        <v>74</v>
      </c>
      <c r="F6354" s="6" t="s">
        <v>5572</v>
      </c>
      <c r="G6354" s="3" t="str">
        <f>IFERROR(__xludf.DUMMYFUNCTION("REGEXREPLACE(
D6354,
""([一-龯々]+)\[([^\]]+)\]"",
""&lt;ruby&gt;$1&lt;rt&gt;$2&lt;/rt&gt;&lt;/ruby&gt;""
)&amp;""&lt;br&gt;&lt;div class=""""audio""""&gt;[sound:""&amp;C6354&amp;"".mp3]&lt;/div&gt;"""),"&lt;ruby&gt;支度&lt;rt&gt;したく&lt;/rt&gt;&lt;/ruby&gt;&lt;br&gt;&lt;div class=""audio""&gt;[sound:したく.mp3]&lt;/div&gt;")</f>
        <v>&lt;ruby&gt;支度&lt;rt&gt;したく&lt;/rt&gt;&lt;/ruby&gt;&lt;br&gt;&lt;div class="audio"&gt;[sound:したく.mp3]&lt;/div&gt;</v>
      </c>
      <c r="H6354" s="3" t="str">
        <f t="shared" si="1"/>
        <v>(n): chuẩn bị</v>
      </c>
      <c r="I6354" s="6" t="s">
        <v>34556</v>
      </c>
      <c r="J6354" s="6" t="s">
        <v>34557</v>
      </c>
      <c r="K6354" s="7">
        <f t="shared" si="2"/>
        <v>0.8512419091</v>
      </c>
    </row>
    <row r="6355">
      <c r="A6355" s="4">
        <v>6355.0</v>
      </c>
      <c r="B6355" s="5" t="s">
        <v>34558</v>
      </c>
      <c r="C6355" s="5" t="s">
        <v>11649</v>
      </c>
      <c r="D6355" s="5" t="s">
        <v>34559</v>
      </c>
      <c r="E6355" s="6" t="s">
        <v>74</v>
      </c>
      <c r="F6355" s="6" t="s">
        <v>34560</v>
      </c>
      <c r="G6355" s="3" t="str">
        <f>IFERROR(__xludf.DUMMYFUNCTION("REGEXREPLACE(
D6355,
""([一-龯々]+)\[([^\]]+)\]"",
""&lt;ruby&gt;$1&lt;rt&gt;$2&lt;/rt&gt;&lt;/ruby&gt;""
)&amp;""&lt;br&gt;&lt;div class=""""audio""""&gt;[sound:""&amp;C6355&amp;"".mp3]&lt;/div&gt;"""),"&lt;ruby&gt;欠陥&lt;rt&gt;けっかん&lt;/rt&gt;&lt;/ruby&gt;&lt;br&gt;&lt;div class=""audio""&gt;[sound:けっかん.mp3]&lt;/div&gt;")</f>
        <v>&lt;ruby&gt;欠陥&lt;rt&gt;けっかん&lt;/rt&gt;&lt;/ruby&gt;&lt;br&gt;&lt;div class="audio"&gt;[sound:けっかん.mp3]&lt;/div&gt;</v>
      </c>
      <c r="H6355" s="3" t="str">
        <f t="shared" si="1"/>
        <v>(n): khiếm khuyết</v>
      </c>
      <c r="I6355" s="6" t="s">
        <v>34561</v>
      </c>
      <c r="J6355" s="6" t="s">
        <v>34562</v>
      </c>
      <c r="K6355" s="7">
        <f t="shared" si="2"/>
        <v>0.2314989737</v>
      </c>
    </row>
    <row r="6356">
      <c r="A6356" s="4">
        <v>6356.0</v>
      </c>
      <c r="B6356" s="5" t="s">
        <v>34563</v>
      </c>
      <c r="C6356" s="5" t="s">
        <v>34564</v>
      </c>
      <c r="D6356" s="5" t="s">
        <v>34565</v>
      </c>
      <c r="E6356" s="6" t="s">
        <v>74</v>
      </c>
      <c r="F6356" s="6" t="s">
        <v>34566</v>
      </c>
      <c r="G6356" s="3" t="str">
        <f>IFERROR(__xludf.DUMMYFUNCTION("REGEXREPLACE(
D6356,
""([一-龯々]+)\[([^\]]+)\]"",
""&lt;ruby&gt;$1&lt;rt&gt;$2&lt;/rt&gt;&lt;/ruby&gt;""
)&amp;""&lt;br&gt;&lt;div class=""""audio""""&gt;[sound:""&amp;C6356&amp;"".mp3]&lt;/div&gt;"""),"&lt;ruby&gt;時速&lt;rt&gt;じそく&lt;/rt&gt;&lt;/ruby&gt;&lt;br&gt;&lt;div class=""audio""&gt;[sound:じそく.mp3]&lt;/div&gt;")</f>
        <v>&lt;ruby&gt;時速&lt;rt&gt;じそく&lt;/rt&gt;&lt;/ruby&gt;&lt;br&gt;&lt;div class="audio"&gt;[sound:じそく.mp3]&lt;/div&gt;</v>
      </c>
      <c r="H6356" s="3" t="str">
        <f t="shared" si="1"/>
        <v>(n): tốc độ giờ</v>
      </c>
      <c r="I6356" s="6" t="s">
        <v>34567</v>
      </c>
      <c r="J6356" s="6" t="s">
        <v>34568</v>
      </c>
      <c r="K6356" s="7">
        <f t="shared" si="2"/>
        <v>0.2268040177</v>
      </c>
    </row>
    <row r="6357">
      <c r="A6357" s="4">
        <v>6357.0</v>
      </c>
      <c r="B6357" s="5" t="s">
        <v>34569</v>
      </c>
      <c r="C6357" s="5" t="s">
        <v>34570</v>
      </c>
      <c r="D6357" s="5" t="s">
        <v>34571</v>
      </c>
      <c r="E6357" s="6" t="s">
        <v>74</v>
      </c>
      <c r="F6357" s="6" t="s">
        <v>8294</v>
      </c>
      <c r="G6357" s="3" t="str">
        <f>IFERROR(__xludf.DUMMYFUNCTION("REGEXREPLACE(
D6357,
""([一-龯々]+)\[([^\]]+)\]"",
""&lt;ruby&gt;$1&lt;rt&gt;$2&lt;/rt&gt;&lt;/ruby&gt;""
)&amp;""&lt;br&gt;&lt;div class=""""audio""""&gt;[sound:""&amp;C6357&amp;"".mp3]&lt;/div&gt;"""),"&lt;ruby&gt;断定&lt;rt&gt;だんてい&lt;/rt&gt;&lt;/ruby&gt;&lt;br&gt;&lt;div class=""audio""&gt;[sound:だんてい.mp3]&lt;/div&gt;")</f>
        <v>&lt;ruby&gt;断定&lt;rt&gt;だんてい&lt;/rt&gt;&lt;/ruby&gt;&lt;br&gt;&lt;div class="audio"&gt;[sound:だんてい.mp3]&lt;/div&gt;</v>
      </c>
      <c r="H6357" s="3" t="str">
        <f t="shared" si="1"/>
        <v>(n): kết luận</v>
      </c>
      <c r="I6357" s="6" t="s">
        <v>34572</v>
      </c>
      <c r="J6357" s="6" t="s">
        <v>8296</v>
      </c>
      <c r="K6357" s="7">
        <f t="shared" si="2"/>
        <v>0.701118945</v>
      </c>
    </row>
    <row r="6358">
      <c r="A6358" s="4">
        <v>6358.0</v>
      </c>
      <c r="B6358" s="5" t="s">
        <v>34573</v>
      </c>
      <c r="C6358" s="5" t="s">
        <v>11851</v>
      </c>
      <c r="D6358" s="5" t="s">
        <v>34574</v>
      </c>
      <c r="E6358" s="6" t="s">
        <v>24</v>
      </c>
      <c r="F6358" s="6" t="s">
        <v>34575</v>
      </c>
      <c r="G6358" s="3" t="str">
        <f>IFERROR(__xludf.DUMMYFUNCTION("REGEXREPLACE(
D6358,
""([一-龯々]+)\[([^\]]+)\]"",
""&lt;ruby&gt;$1&lt;rt&gt;$2&lt;/rt&gt;&lt;/ruby&gt;""
)&amp;""&lt;br&gt;&lt;div class=""""audio""""&gt;[sound:""&amp;C6358&amp;"".mp3]&lt;/div&gt;"""),"&lt;ruby&gt;撒&lt;rt&gt;ま&lt;/rt&gt;&lt;/ruby&gt;く&lt;br&gt;&lt;div class=""audio""&gt;[sound:まく.mp3]&lt;/div&gt;")</f>
        <v>&lt;ruby&gt;撒&lt;rt&gt;ま&lt;/rt&gt;&lt;/ruby&gt;く&lt;br&gt;&lt;div class="audio"&gt;[sound:まく.mp3]&lt;/div&gt;</v>
      </c>
      <c r="H6358" s="3" t="str">
        <f t="shared" si="1"/>
        <v>(v): gieo rắc</v>
      </c>
      <c r="I6358" s="6" t="s">
        <v>34576</v>
      </c>
      <c r="J6358" s="6" t="s">
        <v>34577</v>
      </c>
      <c r="K6358" s="7">
        <f t="shared" si="2"/>
        <v>0.5816419538</v>
      </c>
    </row>
    <row r="6359">
      <c r="A6359" s="4">
        <v>6359.0</v>
      </c>
      <c r="B6359" s="5" t="s">
        <v>34578</v>
      </c>
      <c r="C6359" s="5" t="s">
        <v>34579</v>
      </c>
      <c r="D6359" s="5" t="s">
        <v>34580</v>
      </c>
      <c r="E6359" s="6" t="s">
        <v>74</v>
      </c>
      <c r="F6359" s="6" t="s">
        <v>34581</v>
      </c>
      <c r="G6359" s="3" t="str">
        <f>IFERROR(__xludf.DUMMYFUNCTION("REGEXREPLACE(
D6359,
""([一-龯々]+)\[([^\]]+)\]"",
""&lt;ruby&gt;$1&lt;rt&gt;$2&lt;/rt&gt;&lt;/ruby&gt;""
)&amp;""&lt;br&gt;&lt;div class=""""audio""""&gt;[sound:""&amp;C6359&amp;"".mp3]&lt;/div&gt;"""),"&lt;ruby&gt;本棚&lt;rt&gt;ほんだな&lt;/rt&gt;&lt;/ruby&gt;&lt;br&gt;&lt;div class=""audio""&gt;[sound:ほんだな.mp3]&lt;/div&gt;")</f>
        <v>&lt;ruby&gt;本棚&lt;rt&gt;ほんだな&lt;/rt&gt;&lt;/ruby&gt;&lt;br&gt;&lt;div class="audio"&gt;[sound:ほんだな.mp3]&lt;/div&gt;</v>
      </c>
      <c r="H6359" s="3" t="str">
        <f t="shared" si="1"/>
        <v>(n): giá sách</v>
      </c>
      <c r="I6359" s="6" t="s">
        <v>34582</v>
      </c>
      <c r="J6359" s="6" t="s">
        <v>34583</v>
      </c>
      <c r="K6359" s="7">
        <f t="shared" si="2"/>
        <v>0.6915692472</v>
      </c>
    </row>
    <row r="6360">
      <c r="A6360" s="4">
        <v>6360.0</v>
      </c>
      <c r="B6360" s="5" t="s">
        <v>34584</v>
      </c>
      <c r="C6360" s="5" t="s">
        <v>34585</v>
      </c>
      <c r="D6360" s="5" t="s">
        <v>34586</v>
      </c>
      <c r="E6360" s="6" t="s">
        <v>74</v>
      </c>
      <c r="F6360" s="6" t="s">
        <v>34587</v>
      </c>
      <c r="G6360" s="3" t="str">
        <f>IFERROR(__xludf.DUMMYFUNCTION("REGEXREPLACE(
D6360,
""([一-龯々]+)\[([^\]]+)\]"",
""&lt;ruby&gt;$1&lt;rt&gt;$2&lt;/rt&gt;&lt;/ruby&gt;""
)&amp;""&lt;br&gt;&lt;div class=""""audio""""&gt;[sound:""&amp;C6360&amp;"".mp3]&lt;/div&gt;"""),"&lt;ruby&gt;歯磨&lt;rt&gt;はみが&lt;/rt&gt;&lt;/ruby&gt;き&lt;br&gt;&lt;div class=""audio""&gt;[sound:はみがき.mp3]&lt;/div&gt;")</f>
        <v>&lt;ruby&gt;歯磨&lt;rt&gt;はみが&lt;/rt&gt;&lt;/ruby&gt;き&lt;br&gt;&lt;div class="audio"&gt;[sound:はみがき.mp3]&lt;/div&gt;</v>
      </c>
      <c r="H6360" s="3" t="str">
        <f t="shared" si="1"/>
        <v>(n): đánh răng</v>
      </c>
      <c r="I6360" s="6" t="s">
        <v>34588</v>
      </c>
      <c r="J6360" s="6" t="s">
        <v>34589</v>
      </c>
      <c r="K6360" s="7">
        <f t="shared" si="2"/>
        <v>0.6092981426</v>
      </c>
    </row>
    <row r="6361">
      <c r="A6361" s="4">
        <v>6361.0</v>
      </c>
      <c r="B6361" s="5" t="s">
        <v>34590</v>
      </c>
      <c r="C6361" s="5" t="s">
        <v>34591</v>
      </c>
      <c r="D6361" s="5" t="s">
        <v>34592</v>
      </c>
      <c r="E6361" s="6" t="s">
        <v>74</v>
      </c>
      <c r="F6361" s="6" t="s">
        <v>34593</v>
      </c>
      <c r="G6361" s="3" t="str">
        <f>IFERROR(__xludf.DUMMYFUNCTION("REGEXREPLACE(
D6361,
""([一-龯々]+)\[([^\]]+)\]"",
""&lt;ruby&gt;$1&lt;rt&gt;$2&lt;/rt&gt;&lt;/ruby&gt;""
)&amp;""&lt;br&gt;&lt;div class=""""audio""""&gt;[sound:""&amp;C6361&amp;"".mp3]&lt;/div&gt;"""),"&lt;ruby&gt;助手&lt;rt&gt;じょしゅ&lt;/rt&gt;&lt;/ruby&gt;&lt;br&gt;&lt;div class=""audio""&gt;[sound:じょしゅ.mp3]&lt;/div&gt;")</f>
        <v>&lt;ruby&gt;助手&lt;rt&gt;じょしゅ&lt;/rt&gt;&lt;/ruby&gt;&lt;br&gt;&lt;div class="audio"&gt;[sound:じょしゅ.mp3]&lt;/div&gt;</v>
      </c>
      <c r="H6361" s="3" t="str">
        <f t="shared" si="1"/>
        <v>(n): trợ lý</v>
      </c>
      <c r="I6361" s="6" t="s">
        <v>34594</v>
      </c>
      <c r="J6361" s="6" t="s">
        <v>34595</v>
      </c>
      <c r="K6361" s="7">
        <f t="shared" si="2"/>
        <v>0.5596762063</v>
      </c>
    </row>
    <row r="6362">
      <c r="A6362" s="4">
        <v>6362.0</v>
      </c>
      <c r="B6362" s="5" t="s">
        <v>34596</v>
      </c>
      <c r="C6362" s="5" t="s">
        <v>34597</v>
      </c>
      <c r="D6362" s="5" t="s">
        <v>34598</v>
      </c>
      <c r="E6362" s="6" t="s">
        <v>74</v>
      </c>
      <c r="F6362" s="6" t="s">
        <v>34599</v>
      </c>
      <c r="G6362" s="3" t="str">
        <f>IFERROR(__xludf.DUMMYFUNCTION("REGEXREPLACE(
D6362,
""([一-龯々]+)\[([^\]]+)\]"",
""&lt;ruby&gt;$1&lt;rt&gt;$2&lt;/rt&gt;&lt;/ruby&gt;""
)&amp;""&lt;br&gt;&lt;div class=""""audio""""&gt;[sound:""&amp;C6362&amp;"".mp3]&lt;/div&gt;"""),"&lt;ruby&gt;漁業&lt;rt&gt;ぎょぎょう&lt;/rt&gt;&lt;/ruby&gt;&lt;br&gt;&lt;div class=""audio""&gt;[sound:ぎょぎょう.mp3]&lt;/div&gt;")</f>
        <v>&lt;ruby&gt;漁業&lt;rt&gt;ぎょぎょう&lt;/rt&gt;&lt;/ruby&gt;&lt;br&gt;&lt;div class="audio"&gt;[sound:ぎょぎょう.mp3]&lt;/div&gt;</v>
      </c>
      <c r="H6362" s="3" t="str">
        <f t="shared" si="1"/>
        <v>(n): ngư nghiệp</v>
      </c>
      <c r="I6362" s="6" t="s">
        <v>34600</v>
      </c>
      <c r="J6362" s="6" t="s">
        <v>34601</v>
      </c>
      <c r="K6362" s="7">
        <f t="shared" si="2"/>
        <v>0.8789755951</v>
      </c>
    </row>
    <row r="6363">
      <c r="A6363" s="4">
        <v>6363.0</v>
      </c>
      <c r="B6363" s="5" t="s">
        <v>34602</v>
      </c>
      <c r="C6363" s="5" t="s">
        <v>34603</v>
      </c>
      <c r="D6363" s="5" t="s">
        <v>34604</v>
      </c>
      <c r="E6363" s="6" t="s">
        <v>74</v>
      </c>
      <c r="F6363" s="6" t="s">
        <v>34605</v>
      </c>
      <c r="G6363" s="3" t="str">
        <f>IFERROR(__xludf.DUMMYFUNCTION("REGEXREPLACE(
D6363,
""([一-龯々]+)\[([^\]]+)\]"",
""&lt;ruby&gt;$1&lt;rt&gt;$2&lt;/rt&gt;&lt;/ruby&gt;""
)&amp;""&lt;br&gt;&lt;div class=""""audio""""&gt;[sound:""&amp;C6363&amp;"".mp3]&lt;/div&gt;"""),"&lt;ruby&gt;同格&lt;rt&gt;どうかく&lt;/rt&gt;&lt;/ruby&gt;&lt;br&gt;&lt;div class=""audio""&gt;[sound:どうかく.mp3]&lt;/div&gt;")</f>
        <v>&lt;ruby&gt;同格&lt;rt&gt;どうかく&lt;/rt&gt;&lt;/ruby&gt;&lt;br&gt;&lt;div class="audio"&gt;[sound:どうかく.mp3]&lt;/div&gt;</v>
      </c>
      <c r="H6363" s="3" t="str">
        <f t="shared" si="1"/>
        <v>(n): đồng hạng</v>
      </c>
      <c r="I6363" s="6" t="s">
        <v>34606</v>
      </c>
      <c r="J6363" s="6" t="s">
        <v>34607</v>
      </c>
      <c r="K6363" s="7">
        <f t="shared" si="2"/>
        <v>0.2037677116</v>
      </c>
    </row>
    <row r="6364">
      <c r="A6364" s="4">
        <v>6364.0</v>
      </c>
      <c r="B6364" s="5" t="s">
        <v>34608</v>
      </c>
      <c r="C6364" s="5" t="s">
        <v>34609</v>
      </c>
      <c r="D6364" s="5" t="s">
        <v>34610</v>
      </c>
      <c r="E6364" s="6" t="s">
        <v>74</v>
      </c>
      <c r="F6364" s="6" t="s">
        <v>34611</v>
      </c>
      <c r="G6364" s="3" t="str">
        <f>IFERROR(__xludf.DUMMYFUNCTION("REGEXREPLACE(
D6364,
""([一-龯々]+)\[([^\]]+)\]"",
""&lt;ruby&gt;$1&lt;rt&gt;$2&lt;/rt&gt;&lt;/ruby&gt;""
)&amp;""&lt;br&gt;&lt;div class=""""audio""""&gt;[sound:""&amp;C6364&amp;"".mp3]&lt;/div&gt;"""),"&lt;ruby&gt;定休日&lt;rt&gt;ていきゅうび&lt;/rt&gt;&lt;/ruby&gt;&lt;br&gt;&lt;div class=""audio""&gt;[sound:ていきゅうび.mp3]&lt;/div&gt;")</f>
        <v>&lt;ruby&gt;定休日&lt;rt&gt;ていきゅうび&lt;/rt&gt;&lt;/ruby&gt;&lt;br&gt;&lt;div class="audio"&gt;[sound:ていきゅうび.mp3]&lt;/div&gt;</v>
      </c>
      <c r="H6364" s="3" t="str">
        <f t="shared" si="1"/>
        <v>(n): ngày nghỉ định kỳ</v>
      </c>
      <c r="I6364" s="6" t="s">
        <v>34612</v>
      </c>
      <c r="J6364" s="6" t="s">
        <v>34613</v>
      </c>
      <c r="K6364" s="7">
        <f t="shared" si="2"/>
        <v>0.892306105</v>
      </c>
    </row>
    <row r="6365">
      <c r="A6365" s="4">
        <v>6365.0</v>
      </c>
      <c r="B6365" s="5" t="s">
        <v>34614</v>
      </c>
      <c r="C6365" s="5" t="s">
        <v>1676</v>
      </c>
      <c r="D6365" s="5" t="s">
        <v>34615</v>
      </c>
      <c r="E6365" s="6" t="s">
        <v>74</v>
      </c>
      <c r="F6365" s="6" t="s">
        <v>34616</v>
      </c>
      <c r="G6365" s="3" t="str">
        <f>IFERROR(__xludf.DUMMYFUNCTION("REGEXREPLACE(
D6365,
""([一-龯々]+)\[([^\]]+)\]"",
""&lt;ruby&gt;$1&lt;rt&gt;$2&lt;/rt&gt;&lt;/ruby&gt;""
)&amp;""&lt;br&gt;&lt;div class=""""audio""""&gt;[sound:""&amp;C6365&amp;"".mp3]&lt;/div&gt;"""),"&lt;ruby&gt;専制&lt;rt&gt;せんせい&lt;/rt&gt;&lt;/ruby&gt;&lt;br&gt;&lt;div class=""audio""&gt;[sound:せんせい.mp3]&lt;/div&gt;")</f>
        <v>&lt;ruby&gt;専制&lt;rt&gt;せんせい&lt;/rt&gt;&lt;/ruby&gt;&lt;br&gt;&lt;div class="audio"&gt;[sound:せんせい.mp3]&lt;/div&gt;</v>
      </c>
      <c r="H6365" s="3" t="str">
        <f t="shared" si="1"/>
        <v>(n): chuyên chế</v>
      </c>
      <c r="I6365" s="6" t="s">
        <v>34617</v>
      </c>
      <c r="J6365" s="6" t="s">
        <v>34618</v>
      </c>
      <c r="K6365" s="7">
        <f t="shared" si="2"/>
        <v>0.8805763247</v>
      </c>
    </row>
    <row r="6366">
      <c r="A6366" s="4">
        <v>6366.0</v>
      </c>
      <c r="B6366" s="5" t="s">
        <v>34619</v>
      </c>
      <c r="C6366" s="5" t="s">
        <v>34620</v>
      </c>
      <c r="D6366" s="5" t="s">
        <v>34621</v>
      </c>
      <c r="E6366" s="6" t="s">
        <v>74</v>
      </c>
      <c r="F6366" s="6" t="s">
        <v>34622</v>
      </c>
      <c r="G6366" s="3" t="str">
        <f>IFERROR(__xludf.DUMMYFUNCTION("REGEXREPLACE(
D6366,
""([一-龯々]+)\[([^\]]+)\]"",
""&lt;ruby&gt;$1&lt;rt&gt;$2&lt;/rt&gt;&lt;/ruby&gt;""
)&amp;""&lt;br&gt;&lt;div class=""""audio""""&gt;[sound:""&amp;C6366&amp;"".mp3]&lt;/div&gt;"""),"&lt;ruby&gt;頭痛&lt;rt&gt;ずつう&lt;/rt&gt;&lt;/ruby&gt;&lt;br&gt;&lt;div class=""audio""&gt;[sound:ずつう.mp3]&lt;/div&gt;")</f>
        <v>&lt;ruby&gt;頭痛&lt;rt&gt;ずつう&lt;/rt&gt;&lt;/ruby&gt;&lt;br&gt;&lt;div class="audio"&gt;[sound:ずつう.mp3]&lt;/div&gt;</v>
      </c>
      <c r="H6366" s="3" t="str">
        <f t="shared" si="1"/>
        <v>(n): đau đầu</v>
      </c>
      <c r="I6366" s="6" t="s">
        <v>34623</v>
      </c>
      <c r="J6366" s="6" t="s">
        <v>34624</v>
      </c>
      <c r="K6366" s="7">
        <f t="shared" si="2"/>
        <v>0.7067513905</v>
      </c>
    </row>
    <row r="6367">
      <c r="A6367" s="4">
        <v>6367.0</v>
      </c>
      <c r="B6367" s="5" t="s">
        <v>34625</v>
      </c>
      <c r="C6367" s="5" t="s">
        <v>626</v>
      </c>
      <c r="D6367" s="5" t="s">
        <v>34626</v>
      </c>
      <c r="E6367" s="6" t="s">
        <v>74</v>
      </c>
      <c r="F6367" s="6" t="s">
        <v>31489</v>
      </c>
      <c r="G6367" s="3" t="str">
        <f>IFERROR(__xludf.DUMMYFUNCTION("REGEXREPLACE(
D6367,
""([一-龯々]+)\[([^\]]+)\]"",
""&lt;ruby&gt;$1&lt;rt&gt;$2&lt;/rt&gt;&lt;/ruby&gt;""
)&amp;""&lt;br&gt;&lt;div class=""""audio""""&gt;[sound:""&amp;C6367&amp;"".mp3]&lt;/div&gt;"""),"&lt;ruby&gt;隙&lt;rt&gt;すき&lt;/rt&gt;&lt;/ruby&gt;&lt;br&gt;&lt;div class=""audio""&gt;[sound:すき.mp3]&lt;/div&gt;")</f>
        <v>&lt;ruby&gt;隙&lt;rt&gt;すき&lt;/rt&gt;&lt;/ruby&gt;&lt;br&gt;&lt;div class="audio"&gt;[sound:すき.mp3]&lt;/div&gt;</v>
      </c>
      <c r="H6367" s="3" t="str">
        <f t="shared" si="1"/>
        <v>(n): khe hở</v>
      </c>
      <c r="I6367" s="6" t="s">
        <v>34627</v>
      </c>
      <c r="J6367" s="6" t="s">
        <v>34628</v>
      </c>
      <c r="K6367" s="7">
        <f t="shared" si="2"/>
        <v>0.06672839843</v>
      </c>
    </row>
    <row r="6368">
      <c r="A6368" s="4">
        <v>6368.0</v>
      </c>
      <c r="B6368" s="5" t="s">
        <v>34629</v>
      </c>
      <c r="C6368" s="5" t="s">
        <v>34630</v>
      </c>
      <c r="D6368" s="5" t="s">
        <v>34631</v>
      </c>
      <c r="E6368" s="6" t="s">
        <v>74</v>
      </c>
      <c r="F6368" s="6" t="s">
        <v>34632</v>
      </c>
      <c r="G6368" s="3" t="str">
        <f>IFERROR(__xludf.DUMMYFUNCTION("REGEXREPLACE(
D6368,
""([一-龯々]+)\[([^\]]+)\]"",
""&lt;ruby&gt;$1&lt;rt&gt;$2&lt;/rt&gt;&lt;/ruby&gt;""
)&amp;""&lt;br&gt;&lt;div class=""""audio""""&gt;[sound:""&amp;C6368&amp;"".mp3]&lt;/div&gt;"""),"&lt;ruby&gt;突&lt;rt&gt;つ&lt;/rt&gt;&lt;/ruby&gt;き&lt;ruby&gt;当&lt;rt&gt;あ&lt;/rt&gt;&lt;/ruby&gt;たり&lt;br&gt;&lt;div class=""audio""&gt;[sound:つきあたり.mp3]&lt;/div&gt;")</f>
        <v>&lt;ruby&gt;突&lt;rt&gt;つ&lt;/rt&gt;&lt;/ruby&gt;き&lt;ruby&gt;当&lt;rt&gt;あ&lt;/rt&gt;&lt;/ruby&gt;たり&lt;br&gt;&lt;div class="audio"&gt;[sound:つきあたり.mp3]&lt;/div&gt;</v>
      </c>
      <c r="H6368" s="3" t="str">
        <f t="shared" si="1"/>
        <v>(n): cuối đường</v>
      </c>
      <c r="I6368" s="6" t="s">
        <v>34633</v>
      </c>
      <c r="J6368" s="6" t="s">
        <v>34634</v>
      </c>
      <c r="K6368" s="7">
        <f t="shared" si="2"/>
        <v>0.0985379568</v>
      </c>
    </row>
    <row r="6369">
      <c r="A6369" s="4">
        <v>6369.0</v>
      </c>
      <c r="B6369" s="5" t="s">
        <v>34635</v>
      </c>
      <c r="C6369" s="5" t="s">
        <v>34636</v>
      </c>
      <c r="D6369" s="5" t="s">
        <v>34637</v>
      </c>
      <c r="E6369" s="6" t="s">
        <v>74</v>
      </c>
      <c r="F6369" s="6" t="s">
        <v>34638</v>
      </c>
      <c r="G6369" s="3" t="str">
        <f>IFERROR(__xludf.DUMMYFUNCTION("REGEXREPLACE(
D6369,
""([一-龯々]+)\[([^\]]+)\]"",
""&lt;ruby&gt;$1&lt;rt&gt;$2&lt;/rt&gt;&lt;/ruby&gt;""
)&amp;""&lt;br&gt;&lt;div class=""""audio""""&gt;[sound:""&amp;C6369&amp;"".mp3]&lt;/div&gt;"""),"&lt;ruby&gt;海洋&lt;rt&gt;かいよう&lt;/rt&gt;&lt;/ruby&gt;&lt;br&gt;&lt;div class=""audio""&gt;[sound:かいよう.mp3]&lt;/div&gt;")</f>
        <v>&lt;ruby&gt;海洋&lt;rt&gt;かいよう&lt;/rt&gt;&lt;/ruby&gt;&lt;br&gt;&lt;div class="audio"&gt;[sound:かいよう.mp3]&lt;/div&gt;</v>
      </c>
      <c r="H6369" s="3" t="str">
        <f t="shared" si="1"/>
        <v>(n): đại dương</v>
      </c>
      <c r="I6369" s="6" t="s">
        <v>34639</v>
      </c>
      <c r="J6369" s="6" t="s">
        <v>34640</v>
      </c>
      <c r="K6369" s="7">
        <f t="shared" si="2"/>
        <v>0.6475365266</v>
      </c>
    </row>
    <row r="6370">
      <c r="A6370" s="4">
        <v>6370.0</v>
      </c>
      <c r="B6370" s="5" t="s">
        <v>34641</v>
      </c>
      <c r="C6370" s="5" t="s">
        <v>17231</v>
      </c>
      <c r="D6370" s="5" t="s">
        <v>34642</v>
      </c>
      <c r="E6370" s="6" t="s">
        <v>74</v>
      </c>
      <c r="F6370" s="6" t="s">
        <v>34643</v>
      </c>
      <c r="G6370" s="3" t="str">
        <f>IFERROR(__xludf.DUMMYFUNCTION("REGEXREPLACE(
D6370,
""([一-龯々]+)\[([^\]]+)\]"",
""&lt;ruby&gt;$1&lt;rt&gt;$2&lt;/rt&gt;&lt;/ruby&gt;""
)&amp;""&lt;br&gt;&lt;div class=""""audio""""&gt;[sound:""&amp;C6370&amp;"".mp3]&lt;/div&gt;"""),"&lt;ruby&gt;焦点&lt;rt&gt;しょうてん&lt;/rt&gt;&lt;/ruby&gt;&lt;br&gt;&lt;div class=""audio""&gt;[sound:しょうてん.mp3]&lt;/div&gt;")</f>
        <v>&lt;ruby&gt;焦点&lt;rt&gt;しょうてん&lt;/rt&gt;&lt;/ruby&gt;&lt;br&gt;&lt;div class="audio"&gt;[sound:しょうてん.mp3]&lt;/div&gt;</v>
      </c>
      <c r="H6370" s="3" t="str">
        <f t="shared" si="1"/>
        <v>(n): tiêu điểm</v>
      </c>
      <c r="I6370" s="6" t="s">
        <v>34644</v>
      </c>
      <c r="J6370" s="6" t="s">
        <v>34645</v>
      </c>
      <c r="K6370" s="7">
        <f t="shared" si="2"/>
        <v>0.2084451172</v>
      </c>
    </row>
    <row r="6371">
      <c r="A6371" s="4">
        <v>6371.0</v>
      </c>
      <c r="B6371" s="5" t="s">
        <v>34646</v>
      </c>
      <c r="C6371" s="5" t="s">
        <v>34647</v>
      </c>
      <c r="D6371" s="5" t="s">
        <v>34648</v>
      </c>
      <c r="E6371" s="6" t="s">
        <v>74</v>
      </c>
      <c r="F6371" s="6" t="s">
        <v>34649</v>
      </c>
      <c r="G6371" s="3" t="str">
        <f>IFERROR(__xludf.DUMMYFUNCTION("REGEXREPLACE(
D6371,
""([一-龯々]+)\[([^\]]+)\]"",
""&lt;ruby&gt;$1&lt;rt&gt;$2&lt;/rt&gt;&lt;/ruby&gt;""
)&amp;""&lt;br&gt;&lt;div class=""""audio""""&gt;[sound:""&amp;C6371&amp;"".mp3]&lt;/div&gt;"""),"&lt;ruby&gt;失恋&lt;rt&gt;しつれん&lt;/rt&gt;&lt;/ruby&gt;&lt;br&gt;&lt;div class=""audio""&gt;[sound:しつれん.mp3]&lt;/div&gt;")</f>
        <v>&lt;ruby&gt;失恋&lt;rt&gt;しつれん&lt;/rt&gt;&lt;/ruby&gt;&lt;br&gt;&lt;div class="audio"&gt;[sound:しつれん.mp3]&lt;/div&gt;</v>
      </c>
      <c r="H6371" s="3" t="str">
        <f t="shared" si="1"/>
        <v>(n): thất tình</v>
      </c>
      <c r="I6371" s="6" t="s">
        <v>34650</v>
      </c>
      <c r="J6371" s="6" t="s">
        <v>34651</v>
      </c>
      <c r="K6371" s="7">
        <f t="shared" si="2"/>
        <v>0.877179074</v>
      </c>
    </row>
    <row r="6372">
      <c r="A6372" s="4">
        <v>6372.0</v>
      </c>
      <c r="B6372" s="5" t="s">
        <v>34652</v>
      </c>
      <c r="C6372" s="5" t="s">
        <v>34653</v>
      </c>
      <c r="D6372" s="5" t="s">
        <v>34654</v>
      </c>
      <c r="E6372" s="6" t="s">
        <v>74</v>
      </c>
      <c r="F6372" s="6" t="s">
        <v>34655</v>
      </c>
      <c r="G6372" s="3" t="str">
        <f>IFERROR(__xludf.DUMMYFUNCTION("REGEXREPLACE(
D6372,
""([一-龯々]+)\[([^\]]+)\]"",
""&lt;ruby&gt;$1&lt;rt&gt;$2&lt;/rt&gt;&lt;/ruby&gt;""
)&amp;""&lt;br&gt;&lt;div class=""""audio""""&gt;[sound:""&amp;C6372&amp;"".mp3]&lt;/div&gt;"""),"&lt;ruby&gt;換気&lt;rt&gt;かんき&lt;/rt&gt;&lt;/ruby&gt;&lt;br&gt;&lt;div class=""audio""&gt;[sound:かんき.mp3]&lt;/div&gt;")</f>
        <v>&lt;ruby&gt;換気&lt;rt&gt;かんき&lt;/rt&gt;&lt;/ruby&gt;&lt;br&gt;&lt;div class="audio"&gt;[sound:かんき.mp3]&lt;/div&gt;</v>
      </c>
      <c r="H6372" s="3" t="str">
        <f t="shared" si="1"/>
        <v>(n): thông gió</v>
      </c>
      <c r="I6372" s="6" t="s">
        <v>34656</v>
      </c>
      <c r="J6372" s="6" t="s">
        <v>34657</v>
      </c>
      <c r="K6372" s="7">
        <f t="shared" si="2"/>
        <v>0.6528456852</v>
      </c>
    </row>
    <row r="6373">
      <c r="A6373" s="4">
        <v>6373.0</v>
      </c>
      <c r="B6373" s="5" t="s">
        <v>34658</v>
      </c>
      <c r="C6373" s="5" t="s">
        <v>34659</v>
      </c>
      <c r="D6373" s="5" t="s">
        <v>34660</v>
      </c>
      <c r="E6373" s="6" t="s">
        <v>74</v>
      </c>
      <c r="F6373" s="6" t="s">
        <v>34661</v>
      </c>
      <c r="G6373" s="3" t="str">
        <f>IFERROR(__xludf.DUMMYFUNCTION("REGEXREPLACE(
D6373,
""([一-龯々]+)\[([^\]]+)\]"",
""&lt;ruby&gt;$1&lt;rt&gt;$2&lt;/rt&gt;&lt;/ruby&gt;""
)&amp;""&lt;br&gt;&lt;div class=""""audio""""&gt;[sound:""&amp;C6373&amp;"".mp3]&lt;/div&gt;"""),"&lt;ruby&gt;骨折&lt;rt&gt;こっせつ&lt;/rt&gt;&lt;/ruby&gt;&lt;br&gt;&lt;div class=""audio""&gt;[sound:こっせつ.mp3]&lt;/div&gt;")</f>
        <v>&lt;ruby&gt;骨折&lt;rt&gt;こっせつ&lt;/rt&gt;&lt;/ruby&gt;&lt;br&gt;&lt;div class="audio"&gt;[sound:こっせつ.mp3]&lt;/div&gt;</v>
      </c>
      <c r="H6373" s="3" t="str">
        <f t="shared" si="1"/>
        <v>(n): gãy xương</v>
      </c>
      <c r="I6373" s="6" t="s">
        <v>34662</v>
      </c>
      <c r="J6373" s="6" t="s">
        <v>34663</v>
      </c>
      <c r="K6373" s="7">
        <f t="shared" si="2"/>
        <v>0.7067437956</v>
      </c>
    </row>
    <row r="6374">
      <c r="A6374" s="4">
        <v>6374.0</v>
      </c>
      <c r="B6374" s="5" t="s">
        <v>34664</v>
      </c>
      <c r="C6374" s="5" t="s">
        <v>34665</v>
      </c>
      <c r="D6374" s="5" t="s">
        <v>34666</v>
      </c>
      <c r="E6374" s="6" t="s">
        <v>74</v>
      </c>
      <c r="F6374" s="6" t="s">
        <v>34667</v>
      </c>
      <c r="G6374" s="3" t="str">
        <f>IFERROR(__xludf.DUMMYFUNCTION("REGEXREPLACE(
D6374,
""([一-龯々]+)\[([^\]]+)\]"",
""&lt;ruby&gt;$1&lt;rt&gt;$2&lt;/rt&gt;&lt;/ruby&gt;""
)&amp;""&lt;br&gt;&lt;div class=""""audio""""&gt;[sound:""&amp;C6374&amp;"".mp3]&lt;/div&gt;"""),"&lt;ruby&gt;頭脳&lt;rt&gt;ずのう&lt;/rt&gt;&lt;/ruby&gt;&lt;br&gt;&lt;div class=""audio""&gt;[sound:ずのう.mp3]&lt;/div&gt;")</f>
        <v>&lt;ruby&gt;頭脳&lt;rt&gt;ずのう&lt;/rt&gt;&lt;/ruby&gt;&lt;br&gt;&lt;div class="audio"&gt;[sound:ずのう.mp3]&lt;/div&gt;</v>
      </c>
      <c r="H6374" s="3" t="str">
        <f t="shared" si="1"/>
        <v>(n): trí óc</v>
      </c>
      <c r="I6374" s="6" t="s">
        <v>34668</v>
      </c>
      <c r="J6374" s="6" t="s">
        <v>34669</v>
      </c>
      <c r="K6374" s="7">
        <f t="shared" si="2"/>
        <v>0.2106539274</v>
      </c>
    </row>
    <row r="6375">
      <c r="A6375" s="4">
        <v>6375.0</v>
      </c>
      <c r="B6375" s="5" t="s">
        <v>34670</v>
      </c>
      <c r="C6375" s="5" t="s">
        <v>34671</v>
      </c>
      <c r="D6375" s="5" t="s">
        <v>34672</v>
      </c>
      <c r="E6375" s="6" t="s">
        <v>74</v>
      </c>
      <c r="F6375" s="6" t="s">
        <v>34673</v>
      </c>
      <c r="G6375" s="3" t="str">
        <f>IFERROR(__xludf.DUMMYFUNCTION("REGEXREPLACE(
D6375,
""([一-龯々]+)\[([^\]]+)\]"",
""&lt;ruby&gt;$1&lt;rt&gt;$2&lt;/rt&gt;&lt;/ruby&gt;""
)&amp;""&lt;br&gt;&lt;div class=""""audio""""&gt;[sound:""&amp;C6375&amp;"".mp3]&lt;/div&gt;"""),"&lt;ruby&gt;電流&lt;rt&gt;でんりゅう&lt;/rt&gt;&lt;/ruby&gt;&lt;br&gt;&lt;div class=""audio""&gt;[sound:でんりゅう.mp3]&lt;/div&gt;")</f>
        <v>&lt;ruby&gt;電流&lt;rt&gt;でんりゅう&lt;/rt&gt;&lt;/ruby&gt;&lt;br&gt;&lt;div class="audio"&gt;[sound:でんりゅう.mp3]&lt;/div&gt;</v>
      </c>
      <c r="H6375" s="3" t="str">
        <f t="shared" si="1"/>
        <v>(n): dòng điện</v>
      </c>
      <c r="I6375" s="6" t="s">
        <v>34674</v>
      </c>
      <c r="J6375" s="6" t="s">
        <v>34675</v>
      </c>
      <c r="K6375" s="7">
        <f t="shared" si="2"/>
        <v>0.8733532213</v>
      </c>
    </row>
    <row r="6376">
      <c r="A6376" s="4">
        <v>6376.0</v>
      </c>
      <c r="B6376" s="5" t="s">
        <v>34676</v>
      </c>
      <c r="C6376" s="5" t="s">
        <v>27021</v>
      </c>
      <c r="D6376" s="5" t="s">
        <v>34677</v>
      </c>
      <c r="E6376" s="6" t="s">
        <v>11</v>
      </c>
      <c r="F6376" s="6" t="s">
        <v>23519</v>
      </c>
      <c r="G6376" s="3" t="str">
        <f>IFERROR(__xludf.DUMMYFUNCTION("REGEXREPLACE(
D6376,
""([一-龯々]+)\[([^\]]+)\]"",
""&lt;ruby&gt;$1&lt;rt&gt;$2&lt;/rt&gt;&lt;/ruby&gt;""
)&amp;""&lt;br&gt;&lt;div class=""""audio""""&gt;[sound:""&amp;C6376&amp;"".mp3]&lt;/div&gt;"""),"&lt;ruby&gt;陽気&lt;rt&gt;ようき&lt;/rt&gt;&lt;/ruby&gt;&lt;br&gt;&lt;div class=""audio""&gt;[sound:ようき.mp3]&lt;/div&gt;")</f>
        <v>&lt;ruby&gt;陽気&lt;rt&gt;ようき&lt;/rt&gt;&lt;/ruby&gt;&lt;br&gt;&lt;div class="audio"&gt;[sound:ようき.mp3]&lt;/div&gt;</v>
      </c>
      <c r="H6376" s="3" t="str">
        <f t="shared" si="1"/>
        <v>(adj): vui vẻ</v>
      </c>
      <c r="I6376" s="6" t="s">
        <v>34678</v>
      </c>
      <c r="J6376" s="6" t="s">
        <v>34679</v>
      </c>
      <c r="K6376" s="7">
        <f t="shared" si="2"/>
        <v>0.5128936443</v>
      </c>
    </row>
    <row r="6377">
      <c r="A6377" s="4">
        <v>6377.0</v>
      </c>
      <c r="B6377" s="5" t="s">
        <v>34680</v>
      </c>
      <c r="C6377" s="5" t="s">
        <v>34681</v>
      </c>
      <c r="D6377" s="5" t="s">
        <v>34682</v>
      </c>
      <c r="E6377" s="6" t="s">
        <v>74</v>
      </c>
      <c r="F6377" s="6" t="s">
        <v>34683</v>
      </c>
      <c r="G6377" s="3" t="str">
        <f>IFERROR(__xludf.DUMMYFUNCTION("REGEXREPLACE(
D6377,
""([一-龯々]+)\[([^\]]+)\]"",
""&lt;ruby&gt;$1&lt;rt&gt;$2&lt;/rt&gt;&lt;/ruby&gt;""
)&amp;""&lt;br&gt;&lt;div class=""""audio""""&gt;[sound:""&amp;C6377&amp;"".mp3]&lt;/div&gt;"""),"&lt;ruby&gt;床&lt;rt&gt;とこ&lt;/rt&gt;&lt;/ruby&gt;の&lt;ruby&gt;間&lt;rt&gt;ま&lt;/rt&gt;&lt;/ruby&gt;&lt;br&gt;&lt;div class=""audio""&gt;[sound:とこのま.mp3]&lt;/div&gt;")</f>
        <v>&lt;ruby&gt;床&lt;rt&gt;とこ&lt;/rt&gt;&lt;/ruby&gt;の&lt;ruby&gt;間&lt;rt&gt;ま&lt;/rt&gt;&lt;/ruby&gt;&lt;br&gt;&lt;div class="audio"&gt;[sound:とこのま.mp3]&lt;/div&gt;</v>
      </c>
      <c r="H6377" s="3" t="str">
        <f t="shared" si="1"/>
        <v>(n): hốc tường</v>
      </c>
      <c r="I6377" s="6" t="s">
        <v>34684</v>
      </c>
      <c r="J6377" s="6" t="s">
        <v>34685</v>
      </c>
      <c r="K6377" s="7">
        <f t="shared" si="2"/>
        <v>0.4411257089</v>
      </c>
    </row>
    <row r="6378">
      <c r="A6378" s="4">
        <v>6378.0</v>
      </c>
      <c r="B6378" s="5" t="s">
        <v>34686</v>
      </c>
      <c r="C6378" s="5" t="s">
        <v>34687</v>
      </c>
      <c r="D6378" s="5" t="s">
        <v>34688</v>
      </c>
      <c r="E6378" s="6" t="s">
        <v>74</v>
      </c>
      <c r="F6378" s="6" t="s">
        <v>6138</v>
      </c>
      <c r="G6378" s="3" t="str">
        <f>IFERROR(__xludf.DUMMYFUNCTION("REGEXREPLACE(
D6378,
""([一-龯々]+)\[([^\]]+)\]"",
""&lt;ruby&gt;$1&lt;rt&gt;$2&lt;/rt&gt;&lt;/ruby&gt;""
)&amp;""&lt;br&gt;&lt;div class=""""audio""""&gt;[sound:""&amp;C6378&amp;"".mp3]&lt;/div&gt;"""),"&lt;ruby&gt;筆記&lt;rt&gt;ひっき&lt;/rt&gt;&lt;/ruby&gt;&lt;br&gt;&lt;div class=""audio""&gt;[sound:ひっき.mp3]&lt;/div&gt;")</f>
        <v>&lt;ruby&gt;筆記&lt;rt&gt;ひっき&lt;/rt&gt;&lt;/ruby&gt;&lt;br&gt;&lt;div class="audio"&gt;[sound:ひっき.mp3]&lt;/div&gt;</v>
      </c>
      <c r="H6378" s="3" t="str">
        <f t="shared" si="1"/>
        <v>(n): ghi chép</v>
      </c>
      <c r="I6378" s="6" t="s">
        <v>34689</v>
      </c>
      <c r="J6378" s="6" t="s">
        <v>34690</v>
      </c>
      <c r="K6378" s="7">
        <f t="shared" si="2"/>
        <v>0.09222204095</v>
      </c>
    </row>
    <row r="6379">
      <c r="A6379" s="4">
        <v>6379.0</v>
      </c>
      <c r="B6379" s="5" t="s">
        <v>34691</v>
      </c>
      <c r="C6379" s="5" t="s">
        <v>34692</v>
      </c>
      <c r="D6379" s="5" t="s">
        <v>34693</v>
      </c>
      <c r="E6379" s="6" t="s">
        <v>74</v>
      </c>
      <c r="F6379" s="6" t="s">
        <v>34694</v>
      </c>
      <c r="G6379" s="3" t="str">
        <f>IFERROR(__xludf.DUMMYFUNCTION("REGEXREPLACE(
D6379,
""([一-龯々]+)\[([^\]]+)\]"",
""&lt;ruby&gt;$1&lt;rt&gt;$2&lt;/rt&gt;&lt;/ruby&gt;""
)&amp;""&lt;br&gt;&lt;div class=""""audio""""&gt;[sound:""&amp;C6379&amp;"".mp3]&lt;/div&gt;"""),"&lt;ruby&gt;生年月日&lt;rt&gt;せいねんがっぴ&lt;/rt&gt;&lt;/ruby&gt;&lt;br&gt;&lt;div class=""audio""&gt;[sound:せいねんがっぴ.mp3]&lt;/div&gt;")</f>
        <v>&lt;ruby&gt;生年月日&lt;rt&gt;せいねんがっぴ&lt;/rt&gt;&lt;/ruby&gt;&lt;br&gt;&lt;div class="audio"&gt;[sound:せいねんがっぴ.mp3]&lt;/div&gt;</v>
      </c>
      <c r="H6379" s="3" t="str">
        <f t="shared" si="1"/>
        <v>(n): ngày tháng năm sinh</v>
      </c>
      <c r="I6379" s="6" t="s">
        <v>34695</v>
      </c>
      <c r="J6379" s="6" t="s">
        <v>34696</v>
      </c>
      <c r="K6379" s="7">
        <f t="shared" si="2"/>
        <v>0.5926235874</v>
      </c>
    </row>
    <row r="6380">
      <c r="A6380" s="4">
        <v>6380.0</v>
      </c>
      <c r="B6380" s="5" t="s">
        <v>34697</v>
      </c>
      <c r="C6380" s="5" t="s">
        <v>34698</v>
      </c>
      <c r="D6380" s="5" t="s">
        <v>34699</v>
      </c>
      <c r="E6380" s="6" t="s">
        <v>74</v>
      </c>
      <c r="F6380" s="6" t="s">
        <v>34700</v>
      </c>
      <c r="G6380" s="3" t="str">
        <f>IFERROR(__xludf.DUMMYFUNCTION("REGEXREPLACE(
D6380,
""([一-龯々]+)\[([^\]]+)\]"",
""&lt;ruby&gt;$1&lt;rt&gt;$2&lt;/rt&gt;&lt;/ruby&gt;""
)&amp;""&lt;br&gt;&lt;div class=""""audio""""&gt;[sound:""&amp;C6380&amp;"".mp3]&lt;/div&gt;"""),"&lt;ruby&gt;勝敗&lt;rt&gt;しょうはい&lt;/rt&gt;&lt;/ruby&gt;&lt;br&gt;&lt;div class=""audio""&gt;[sound:しょうはい.mp3]&lt;/div&gt;")</f>
        <v>&lt;ruby&gt;勝敗&lt;rt&gt;しょうはい&lt;/rt&gt;&lt;/ruby&gt;&lt;br&gt;&lt;div class="audio"&gt;[sound:しょうはい.mp3]&lt;/div&gt;</v>
      </c>
      <c r="H6380" s="3" t="str">
        <f t="shared" si="1"/>
        <v>(n): thắng bại</v>
      </c>
      <c r="I6380" s="6" t="s">
        <v>34701</v>
      </c>
      <c r="J6380" s="6" t="s">
        <v>34702</v>
      </c>
      <c r="K6380" s="7">
        <f t="shared" si="2"/>
        <v>0.6998123539</v>
      </c>
    </row>
    <row r="6381">
      <c r="A6381" s="4">
        <v>6381.0</v>
      </c>
      <c r="B6381" s="5" t="s">
        <v>34703</v>
      </c>
      <c r="C6381" s="5" t="s">
        <v>34704</v>
      </c>
      <c r="D6381" s="5" t="s">
        <v>34705</v>
      </c>
      <c r="E6381" s="6" t="s">
        <v>74</v>
      </c>
      <c r="F6381" s="6" t="s">
        <v>34706</v>
      </c>
      <c r="G6381" s="3" t="str">
        <f>IFERROR(__xludf.DUMMYFUNCTION("REGEXREPLACE(
D6381,
""([一-龯々]+)\[([^\]]+)\]"",
""&lt;ruby&gt;$1&lt;rt&gt;$2&lt;/rt&gt;&lt;/ruby&gt;""
)&amp;""&lt;br&gt;&lt;div class=""""audio""""&gt;[sound:""&amp;C6381&amp;"".mp3]&lt;/div&gt;"""),"&lt;ruby&gt;孝行&lt;rt&gt;こうこう&lt;/rt&gt;&lt;/ruby&gt;&lt;br&gt;&lt;div class=""audio""&gt;[sound:こうこう.mp3]&lt;/div&gt;")</f>
        <v>&lt;ruby&gt;孝行&lt;rt&gt;こうこう&lt;/rt&gt;&lt;/ruby&gt;&lt;br&gt;&lt;div class="audio"&gt;[sound:こうこう.mp3]&lt;/div&gt;</v>
      </c>
      <c r="H6381" s="3" t="str">
        <f t="shared" si="1"/>
        <v>(n): hiếu thảo</v>
      </c>
      <c r="I6381" s="6" t="s">
        <v>34707</v>
      </c>
      <c r="J6381" s="6" t="s">
        <v>34708</v>
      </c>
      <c r="K6381" s="7">
        <f t="shared" si="2"/>
        <v>0.4003983542</v>
      </c>
    </row>
    <row r="6382">
      <c r="A6382" s="4">
        <v>6382.0</v>
      </c>
      <c r="B6382" s="5" t="s">
        <v>34709</v>
      </c>
      <c r="C6382" s="5" t="s">
        <v>34710</v>
      </c>
      <c r="D6382" s="5" t="s">
        <v>34711</v>
      </c>
      <c r="E6382" s="6" t="s">
        <v>74</v>
      </c>
      <c r="F6382" s="6" t="s">
        <v>7956</v>
      </c>
      <c r="G6382" s="3" t="str">
        <f>IFERROR(__xludf.DUMMYFUNCTION("REGEXREPLACE(
D6382,
""([一-龯々]+)\[([^\]]+)\]"",
""&lt;ruby&gt;$1&lt;rt&gt;$2&lt;/rt&gt;&lt;/ruby&gt;""
)&amp;""&lt;br&gt;&lt;div class=""""audio""""&gt;[sound:""&amp;C6382&amp;"".mp3]&lt;/div&gt;"""),"&lt;ruby&gt;巡査&lt;rt&gt;じゅんさ&lt;/rt&gt;&lt;/ruby&gt;&lt;br&gt;&lt;div class=""audio""&gt;[sound:じゅんさ.mp3]&lt;/div&gt;")</f>
        <v>&lt;ruby&gt;巡査&lt;rt&gt;じゅんさ&lt;/rt&gt;&lt;/ruby&gt;&lt;br&gt;&lt;div class="audio"&gt;[sound:じゅんさ.mp3]&lt;/div&gt;</v>
      </c>
      <c r="H6382" s="3" t="str">
        <f t="shared" si="1"/>
        <v>(n): cảnh sát</v>
      </c>
      <c r="I6382" s="6" t="s">
        <v>34712</v>
      </c>
      <c r="J6382" s="6" t="s">
        <v>34713</v>
      </c>
      <c r="K6382" s="7">
        <f t="shared" si="2"/>
        <v>0.799520068</v>
      </c>
    </row>
    <row r="6383">
      <c r="A6383" s="4">
        <v>6383.0</v>
      </c>
      <c r="B6383" s="5" t="s">
        <v>34714</v>
      </c>
      <c r="C6383" s="5" t="s">
        <v>34715</v>
      </c>
      <c r="D6383" s="5" t="s">
        <v>34716</v>
      </c>
      <c r="E6383" s="6" t="s">
        <v>74</v>
      </c>
      <c r="F6383" s="6" t="s">
        <v>34717</v>
      </c>
      <c r="G6383" s="3" t="str">
        <f>IFERROR(__xludf.DUMMYFUNCTION("REGEXREPLACE(
D6383,
""([一-龯々]+)\[([^\]]+)\]"",
""&lt;ruby&gt;$1&lt;rt&gt;$2&lt;/rt&gt;&lt;/ruby&gt;""
)&amp;""&lt;br&gt;&lt;div class=""""audio""""&gt;[sound:""&amp;C6383&amp;"".mp3]&lt;/div&gt;"""),"&lt;ruby&gt;為替&lt;rt&gt;かわせ&lt;/rt&gt;&lt;/ruby&gt;&lt;br&gt;&lt;div class=""audio""&gt;[sound:かわせ.mp3]&lt;/div&gt;")</f>
        <v>&lt;ruby&gt;為替&lt;rt&gt;かわせ&lt;/rt&gt;&lt;/ruby&gt;&lt;br&gt;&lt;div class="audio"&gt;[sound:かわせ.mp3]&lt;/div&gt;</v>
      </c>
      <c r="H6383" s="3" t="str">
        <f t="shared" si="1"/>
        <v>(n): hối đoái</v>
      </c>
      <c r="I6383" s="6" t="s">
        <v>34718</v>
      </c>
      <c r="J6383" s="6" t="s">
        <v>34719</v>
      </c>
      <c r="K6383" s="7">
        <f t="shared" si="2"/>
        <v>0.02807986461</v>
      </c>
    </row>
    <row r="6384">
      <c r="A6384" s="4">
        <v>6384.0</v>
      </c>
      <c r="B6384" s="5" t="s">
        <v>34720</v>
      </c>
      <c r="C6384" s="5" t="s">
        <v>10703</v>
      </c>
      <c r="D6384" s="5" t="s">
        <v>34721</v>
      </c>
      <c r="E6384" s="6" t="s">
        <v>74</v>
      </c>
      <c r="F6384" s="6" t="s">
        <v>34722</v>
      </c>
      <c r="G6384" s="3" t="str">
        <f>IFERROR(__xludf.DUMMYFUNCTION("REGEXREPLACE(
D6384,
""([一-龯々]+)\[([^\]]+)\]"",
""&lt;ruby&gt;$1&lt;rt&gt;$2&lt;/rt&gt;&lt;/ruby&gt;""
)&amp;""&lt;br&gt;&lt;div class=""""audio""""&gt;[sound:""&amp;C6384&amp;"".mp3]&lt;/div&gt;"""),"&lt;ruby&gt;特長&lt;rt&gt;とくちょう&lt;/rt&gt;&lt;/ruby&gt;&lt;br&gt;&lt;div class=""audio""&gt;[sound:とくちょう.mp3]&lt;/div&gt;")</f>
        <v>&lt;ruby&gt;特長&lt;rt&gt;とくちょう&lt;/rt&gt;&lt;/ruby&gt;&lt;br&gt;&lt;div class="audio"&gt;[sound:とくちょう.mp3]&lt;/div&gt;</v>
      </c>
      <c r="H6384" s="3" t="str">
        <f t="shared" si="1"/>
        <v>(n): ưu điểm</v>
      </c>
      <c r="I6384" s="6" t="s">
        <v>34723</v>
      </c>
      <c r="J6384" s="6" t="s">
        <v>34724</v>
      </c>
      <c r="K6384" s="7">
        <f t="shared" si="2"/>
        <v>0.5153654755</v>
      </c>
    </row>
    <row r="6385">
      <c r="A6385" s="4">
        <v>6385.0</v>
      </c>
      <c r="B6385" s="5" t="s">
        <v>34725</v>
      </c>
      <c r="C6385" s="5" t="s">
        <v>34726</v>
      </c>
      <c r="D6385" s="5" t="s">
        <v>34727</v>
      </c>
      <c r="E6385" s="6" t="s">
        <v>24</v>
      </c>
      <c r="F6385" s="6" t="s">
        <v>26025</v>
      </c>
      <c r="G6385" s="3" t="str">
        <f>IFERROR(__xludf.DUMMYFUNCTION("REGEXREPLACE(
D6385,
""([一-龯々]+)\[([^\]]+)\]"",
""&lt;ruby&gt;$1&lt;rt&gt;$2&lt;/rt&gt;&lt;/ruby&gt;""
)&amp;""&lt;br&gt;&lt;div class=""""audio""""&gt;[sound:""&amp;C6385&amp;"".mp3]&lt;/div&gt;"""),"&lt;ruby&gt;羨&lt;rt&gt;うらや&lt;/rt&gt;&lt;/ruby&gt;む&lt;br&gt;&lt;div class=""audio""&gt;[sound:うらやむ.mp3]&lt;/div&gt;")</f>
        <v>&lt;ruby&gt;羨&lt;rt&gt;うらや&lt;/rt&gt;&lt;/ruby&gt;む&lt;br&gt;&lt;div class="audio"&gt;[sound:うらやむ.mp3]&lt;/div&gt;</v>
      </c>
      <c r="H6385" s="3" t="str">
        <f t="shared" si="1"/>
        <v>(v): ghen tị</v>
      </c>
      <c r="I6385" s="6" t="s">
        <v>34728</v>
      </c>
      <c r="J6385" s="6" t="s">
        <v>34729</v>
      </c>
      <c r="K6385" s="7">
        <f t="shared" si="2"/>
        <v>0.4881181744</v>
      </c>
    </row>
    <row r="6386">
      <c r="A6386" s="4">
        <v>6386.0</v>
      </c>
      <c r="B6386" s="5" t="s">
        <v>34730</v>
      </c>
      <c r="C6386" s="5" t="s">
        <v>34731</v>
      </c>
      <c r="D6386" s="5" t="s">
        <v>34732</v>
      </c>
      <c r="E6386" s="6" t="s">
        <v>74</v>
      </c>
      <c r="F6386" s="6" t="s">
        <v>34733</v>
      </c>
      <c r="G6386" s="3" t="str">
        <f>IFERROR(__xludf.DUMMYFUNCTION("REGEXREPLACE(
D6386,
""([一-龯々]+)\[([^\]]+)\]"",
""&lt;ruby&gt;$1&lt;rt&gt;$2&lt;/rt&gt;&lt;/ruby&gt;""
)&amp;""&lt;br&gt;&lt;div class=""""audio""""&gt;[sound:""&amp;C6386&amp;"".mp3]&lt;/div&gt;"""),"&lt;ruby&gt;子孫&lt;rt&gt;しそん&lt;/rt&gt;&lt;/ruby&gt;&lt;br&gt;&lt;div class=""audio""&gt;[sound:しそん.mp3]&lt;/div&gt;")</f>
        <v>&lt;ruby&gt;子孫&lt;rt&gt;しそん&lt;/rt&gt;&lt;/ruby&gt;&lt;br&gt;&lt;div class="audio"&gt;[sound:しそん.mp3]&lt;/div&gt;</v>
      </c>
      <c r="H6386" s="3" t="str">
        <f t="shared" si="1"/>
        <v>(n): con cháu</v>
      </c>
      <c r="I6386" s="6" t="s">
        <v>34734</v>
      </c>
      <c r="J6386" s="6" t="s">
        <v>34735</v>
      </c>
      <c r="K6386" s="7">
        <f t="shared" si="2"/>
        <v>0.2773172893</v>
      </c>
    </row>
    <row r="6387">
      <c r="A6387" s="4">
        <v>6387.0</v>
      </c>
      <c r="B6387" s="5" t="s">
        <v>34736</v>
      </c>
      <c r="C6387" s="5" t="s">
        <v>34737</v>
      </c>
      <c r="D6387" s="5" t="s">
        <v>34738</v>
      </c>
      <c r="E6387" s="6" t="s">
        <v>11</v>
      </c>
      <c r="F6387" s="6" t="s">
        <v>3315</v>
      </c>
      <c r="G6387" s="3" t="str">
        <f>IFERROR(__xludf.DUMMYFUNCTION("REGEXREPLACE(
D6387,
""([一-龯々]+)\[([^\]]+)\]"",
""&lt;ruby&gt;$1&lt;rt&gt;$2&lt;/rt&gt;&lt;/ruby&gt;""
)&amp;""&lt;br&gt;&lt;div class=""""audio""""&gt;[sound:""&amp;C6387&amp;"".mp3]&lt;/div&gt;"""),"&lt;ruby&gt;格別&lt;rt&gt;かくべつ&lt;/rt&gt;&lt;/ruby&gt;&lt;br&gt;&lt;div class=""audio""&gt;[sound:かくべつ.mp3]&lt;/div&gt;")</f>
        <v>&lt;ruby&gt;格別&lt;rt&gt;かくべつ&lt;/rt&gt;&lt;/ruby&gt;&lt;br&gt;&lt;div class="audio"&gt;[sound:かくべつ.mp3]&lt;/div&gt;</v>
      </c>
      <c r="H6387" s="3" t="str">
        <f t="shared" si="1"/>
        <v>(adj): đặc biệt</v>
      </c>
      <c r="I6387" s="6" t="s">
        <v>34739</v>
      </c>
      <c r="J6387" s="6" t="s">
        <v>34740</v>
      </c>
      <c r="K6387" s="7">
        <f t="shared" si="2"/>
        <v>0.3408439583</v>
      </c>
    </row>
    <row r="6388">
      <c r="A6388" s="4">
        <v>6388.0</v>
      </c>
      <c r="B6388" s="5" t="s">
        <v>34741</v>
      </c>
      <c r="C6388" s="5" t="s">
        <v>34742</v>
      </c>
      <c r="D6388" s="5" t="s">
        <v>34743</v>
      </c>
      <c r="E6388" s="6" t="s">
        <v>74</v>
      </c>
      <c r="F6388" s="6" t="s">
        <v>34744</v>
      </c>
      <c r="G6388" s="3" t="str">
        <f>IFERROR(__xludf.DUMMYFUNCTION("REGEXREPLACE(
D6388,
""([一-龯々]+)\[([^\]]+)\]"",
""&lt;ruby&gt;$1&lt;rt&gt;$2&lt;/rt&gt;&lt;/ruby&gt;""
)&amp;""&lt;br&gt;&lt;div class=""""audio""""&gt;[sound:""&amp;C6388&amp;"".mp3]&lt;/div&gt;"""),"&lt;ruby&gt;祖先&lt;rt&gt;そせん&lt;/rt&gt;&lt;/ruby&gt;&lt;br&gt;&lt;div class=""audio""&gt;[sound:そせん.mp3]&lt;/div&gt;")</f>
        <v>&lt;ruby&gt;祖先&lt;rt&gt;そせん&lt;/rt&gt;&lt;/ruby&gt;&lt;br&gt;&lt;div class="audio"&gt;[sound:そせん.mp3]&lt;/div&gt;</v>
      </c>
      <c r="H6388" s="3" t="str">
        <f t="shared" si="1"/>
        <v>(n): tổ tiên</v>
      </c>
      <c r="I6388" s="6" t="s">
        <v>34745</v>
      </c>
      <c r="J6388" s="6" t="s">
        <v>34746</v>
      </c>
      <c r="K6388" s="7">
        <f t="shared" si="2"/>
        <v>0.7995417228</v>
      </c>
    </row>
    <row r="6389">
      <c r="A6389" s="4">
        <v>6389.0</v>
      </c>
      <c r="B6389" s="5" t="s">
        <v>34747</v>
      </c>
      <c r="C6389" s="5" t="s">
        <v>34748</v>
      </c>
      <c r="D6389" s="5" t="s">
        <v>34749</v>
      </c>
      <c r="E6389" s="6" t="s">
        <v>11</v>
      </c>
      <c r="F6389" s="6" t="s">
        <v>34750</v>
      </c>
      <c r="G6389" s="3" t="str">
        <f>IFERROR(__xludf.DUMMYFUNCTION("REGEXREPLACE(
D6389,
""([一-龯々]+)\[([^\]]+)\]"",
""&lt;ruby&gt;$1&lt;rt&gt;$2&lt;/rt&gt;&lt;/ruby&gt;""
)&amp;""&lt;br&gt;&lt;div class=""""audio""""&gt;[sound:""&amp;C6389&amp;"".mp3]&lt;/div&gt;"""),"&lt;ruby&gt;粗末&lt;rt&gt;そまつ&lt;/rt&gt;&lt;/ruby&gt;&lt;br&gt;&lt;div class=""audio""&gt;[sound:そまつ.mp3]&lt;/div&gt;")</f>
        <v>&lt;ruby&gt;粗末&lt;rt&gt;そまつ&lt;/rt&gt;&lt;/ruby&gt;&lt;br&gt;&lt;div class="audio"&gt;[sound:そまつ.mp3]&lt;/div&gt;</v>
      </c>
      <c r="H6389" s="3" t="str">
        <f t="shared" si="1"/>
        <v>(adj): đạm bạc</v>
      </c>
      <c r="I6389" s="6" t="s">
        <v>34751</v>
      </c>
      <c r="J6389" s="6" t="s">
        <v>34752</v>
      </c>
      <c r="K6389" s="7">
        <f t="shared" si="2"/>
        <v>0.8821601418</v>
      </c>
    </row>
    <row r="6390">
      <c r="A6390" s="4">
        <v>6390.0</v>
      </c>
      <c r="B6390" s="5" t="s">
        <v>34753</v>
      </c>
      <c r="C6390" s="5" t="s">
        <v>34754</v>
      </c>
      <c r="D6390" s="5" t="s">
        <v>34755</v>
      </c>
      <c r="E6390" s="6" t="s">
        <v>11</v>
      </c>
      <c r="F6390" s="6" t="s">
        <v>34756</v>
      </c>
      <c r="G6390" s="3" t="str">
        <f>IFERROR(__xludf.DUMMYFUNCTION("REGEXREPLACE(
D6390,
""([一-龯々]+)\[([^\]]+)\]"",
""&lt;ruby&gt;$1&lt;rt&gt;$2&lt;/rt&gt;&lt;/ruby&gt;""
)&amp;""&lt;br&gt;&lt;div class=""""audio""""&gt;[sound:""&amp;C6390&amp;"".mp3]&lt;/div&gt;"""),"&lt;ruby&gt;呑気&lt;rt&gt;のんき&lt;/rt&gt;&lt;/ruby&gt;&lt;br&gt;&lt;div class=""audio""&gt;[sound:のんき.mp3]&lt;/div&gt;")</f>
        <v>&lt;ruby&gt;呑気&lt;rt&gt;のんき&lt;/rt&gt;&lt;/ruby&gt;&lt;br&gt;&lt;div class="audio"&gt;[sound:のんき.mp3]&lt;/div&gt;</v>
      </c>
      <c r="H6390" s="3" t="str">
        <f t="shared" si="1"/>
        <v>(adj): vô tư</v>
      </c>
      <c r="I6390" s="6" t="s">
        <v>34757</v>
      </c>
      <c r="J6390" s="6" t="s">
        <v>34758</v>
      </c>
      <c r="K6390" s="7">
        <f t="shared" si="2"/>
        <v>0.4801946713</v>
      </c>
    </row>
    <row r="6391">
      <c r="A6391" s="4">
        <v>6391.0</v>
      </c>
      <c r="B6391" s="5" t="s">
        <v>34759</v>
      </c>
      <c r="C6391" s="5" t="s">
        <v>34760</v>
      </c>
      <c r="D6391" s="5" t="s">
        <v>34761</v>
      </c>
      <c r="E6391" s="6" t="s">
        <v>74</v>
      </c>
      <c r="F6391" s="6" t="s">
        <v>34762</v>
      </c>
      <c r="G6391" s="3" t="str">
        <f>IFERROR(__xludf.DUMMYFUNCTION("REGEXREPLACE(
D6391,
""([一-龯々]+)\[([^\]]+)\]"",
""&lt;ruby&gt;$1&lt;rt&gt;$2&lt;/rt&gt;&lt;/ruby&gt;""
)&amp;""&lt;br&gt;&lt;div class=""""audio""""&gt;[sound:""&amp;C6391&amp;"".mp3]&lt;/div&gt;"""),"&lt;ruby&gt;船便&lt;rt&gt;ふなびん&lt;/rt&gt;&lt;/ruby&gt;&lt;br&gt;&lt;div class=""audio""&gt;[sound:ふなびん.mp3]&lt;/div&gt;")</f>
        <v>&lt;ruby&gt;船便&lt;rt&gt;ふなびん&lt;/rt&gt;&lt;/ruby&gt;&lt;br&gt;&lt;div class="audio"&gt;[sound:ふなびん.mp3]&lt;/div&gt;</v>
      </c>
      <c r="H6391" s="3" t="str">
        <f t="shared" si="1"/>
        <v>(n): gửi bằng tàu</v>
      </c>
      <c r="I6391" s="6" t="s">
        <v>34763</v>
      </c>
      <c r="J6391" s="6" t="s">
        <v>34764</v>
      </c>
      <c r="K6391" s="7">
        <f t="shared" si="2"/>
        <v>0.7132361926</v>
      </c>
    </row>
    <row r="6392">
      <c r="A6392" s="4">
        <v>6392.0</v>
      </c>
      <c r="B6392" s="5" t="s">
        <v>34765</v>
      </c>
      <c r="C6392" s="5" t="s">
        <v>34766</v>
      </c>
      <c r="D6392" s="5" t="s">
        <v>34767</v>
      </c>
      <c r="E6392" s="6" t="s">
        <v>74</v>
      </c>
      <c r="F6392" s="6" t="s">
        <v>34768</v>
      </c>
      <c r="G6392" s="3" t="str">
        <f>IFERROR(__xludf.DUMMYFUNCTION("REGEXREPLACE(
D6392,
""([一-龯々]+)\[([^\]]+)\]"",
""&lt;ruby&gt;$1&lt;rt&gt;$2&lt;/rt&gt;&lt;/ruby&gt;""
)&amp;""&lt;br&gt;&lt;div class=""""audio""""&gt;[sound:""&amp;C6392&amp;"".mp3]&lt;/div&gt;"""),"&lt;ruby&gt;加熱&lt;rt&gt;かねつ&lt;/rt&gt;&lt;/ruby&gt;&lt;br&gt;&lt;div class=""audio""&gt;[sound:かねつ.mp3]&lt;/div&gt;")</f>
        <v>&lt;ruby&gt;加熱&lt;rt&gt;かねつ&lt;/rt&gt;&lt;/ruby&gt;&lt;br&gt;&lt;div class="audio"&gt;[sound:かねつ.mp3]&lt;/div&gt;</v>
      </c>
      <c r="H6392" s="3" t="str">
        <f t="shared" si="1"/>
        <v>(n): gia nhiệt</v>
      </c>
      <c r="I6392" s="6" t="s">
        <v>34769</v>
      </c>
      <c r="J6392" s="6" t="s">
        <v>34770</v>
      </c>
      <c r="K6392" s="7">
        <f t="shared" si="2"/>
        <v>0.5561175804</v>
      </c>
    </row>
    <row r="6393">
      <c r="A6393" s="4">
        <v>6393.0</v>
      </c>
      <c r="B6393" s="5" t="s">
        <v>34771</v>
      </c>
      <c r="C6393" s="5" t="s">
        <v>34772</v>
      </c>
      <c r="D6393" s="5" t="s">
        <v>34773</v>
      </c>
      <c r="E6393" s="6" t="s">
        <v>74</v>
      </c>
      <c r="F6393" s="6" t="s">
        <v>34774</v>
      </c>
      <c r="G6393" s="3" t="str">
        <f>IFERROR(__xludf.DUMMYFUNCTION("REGEXREPLACE(
D6393,
""([一-龯々]+)\[([^\]]+)\]"",
""&lt;ruby&gt;$1&lt;rt&gt;$2&lt;/rt&gt;&lt;/ruby&gt;""
)&amp;""&lt;br&gt;&lt;div class=""""audio""""&gt;[sound:""&amp;C6393&amp;"".mp3]&lt;/div&gt;"""),"&lt;ruby&gt;領収&lt;rt&gt;りょうしゅう&lt;/rt&gt;&lt;/ruby&gt;&lt;br&gt;&lt;div class=""audio""&gt;[sound:りょうしゅう.mp3]&lt;/div&gt;")</f>
        <v>&lt;ruby&gt;領収&lt;rt&gt;りょうしゅう&lt;/rt&gt;&lt;/ruby&gt;&lt;br&gt;&lt;div class="audio"&gt;[sound:りょうしゅう.mp3]&lt;/div&gt;</v>
      </c>
      <c r="H6393" s="3" t="str">
        <f t="shared" si="1"/>
        <v>(n): thu nhận</v>
      </c>
      <c r="I6393" s="6" t="s">
        <v>34775</v>
      </c>
      <c r="J6393" s="6" t="s">
        <v>34776</v>
      </c>
      <c r="K6393" s="7">
        <f t="shared" si="2"/>
        <v>0.5964891165</v>
      </c>
    </row>
    <row r="6394">
      <c r="A6394" s="4">
        <v>6394.0</v>
      </c>
      <c r="B6394" s="5" t="s">
        <v>34777</v>
      </c>
      <c r="C6394" s="5" t="s">
        <v>34778</v>
      </c>
      <c r="D6394" s="5" t="s">
        <v>34779</v>
      </c>
      <c r="E6394" s="6" t="s">
        <v>85</v>
      </c>
      <c r="F6394" s="6" t="s">
        <v>32239</v>
      </c>
      <c r="G6394" s="3" t="str">
        <f>IFERROR(__xludf.DUMMYFUNCTION("REGEXREPLACE(
D6394,
""([一-龯々]+)\[([^\]]+)\]"",
""&lt;ruby&gt;$1&lt;rt&gt;$2&lt;/rt&gt;&lt;/ruby&gt;""
)&amp;""&lt;br&gt;&lt;div class=""""audio""""&gt;[sound:""&amp;C6394&amp;"".mp3]&lt;/div&gt;"""),"&lt;ruby&gt;飽&lt;rt&gt;あ&lt;/rt&gt;&lt;/ruby&gt;くまで&lt;br&gt;&lt;div class=""audio""&gt;[sound:あくまで.mp3]&lt;/div&gt;")</f>
        <v>&lt;ruby&gt;飽&lt;rt&gt;あ&lt;/rt&gt;&lt;/ruby&gt;くまで&lt;br&gt;&lt;div class="audio"&gt;[sound:あくまで.mp3]&lt;/div&gt;</v>
      </c>
      <c r="H6394" s="3" t="str">
        <f t="shared" si="1"/>
        <v>(adv): kiên trì</v>
      </c>
      <c r="I6394" s="6" t="s">
        <v>34780</v>
      </c>
      <c r="J6394" s="6" t="s">
        <v>34781</v>
      </c>
      <c r="K6394" s="7">
        <f t="shared" si="2"/>
        <v>0.4312038268</v>
      </c>
    </row>
    <row r="6395">
      <c r="A6395" s="4">
        <v>6395.0</v>
      </c>
      <c r="B6395" s="5" t="s">
        <v>34782</v>
      </c>
      <c r="C6395" s="5" t="s">
        <v>34783</v>
      </c>
      <c r="D6395" s="5" t="s">
        <v>34784</v>
      </c>
      <c r="E6395" s="6" t="s">
        <v>74</v>
      </c>
      <c r="F6395" s="6" t="s">
        <v>30705</v>
      </c>
      <c r="G6395" s="3" t="str">
        <f>IFERROR(__xludf.DUMMYFUNCTION("REGEXREPLACE(
D6395,
""([一-龯々]+)\[([^\]]+)\]"",
""&lt;ruby&gt;$1&lt;rt&gt;$2&lt;/rt&gt;&lt;/ruby&gt;""
)&amp;""&lt;br&gt;&lt;div class=""""audio""""&gt;[sound:""&amp;C6395&amp;"".mp3]&lt;/div&gt;"""),"&lt;ruby&gt;公務&lt;rt&gt;こうむ&lt;/rt&gt;&lt;/ruby&gt;&lt;br&gt;&lt;div class=""audio""&gt;[sound:こうむ.mp3]&lt;/div&gt;")</f>
        <v>&lt;ruby&gt;公務&lt;rt&gt;こうむ&lt;/rt&gt;&lt;/ruby&gt;&lt;br&gt;&lt;div class="audio"&gt;[sound:こうむ.mp3]&lt;/div&gt;</v>
      </c>
      <c r="H6395" s="3" t="str">
        <f t="shared" si="1"/>
        <v>(n): công vụ</v>
      </c>
      <c r="I6395" s="6" t="s">
        <v>34785</v>
      </c>
      <c r="J6395" s="6" t="s">
        <v>34786</v>
      </c>
      <c r="K6395" s="7">
        <f t="shared" si="2"/>
        <v>0.1124764828</v>
      </c>
    </row>
    <row r="6396">
      <c r="A6396" s="4">
        <v>6396.0</v>
      </c>
      <c r="B6396" s="5" t="s">
        <v>34787</v>
      </c>
      <c r="C6396" s="5" t="s">
        <v>34788</v>
      </c>
      <c r="D6396" s="5" t="s">
        <v>34789</v>
      </c>
      <c r="E6396" s="6" t="s">
        <v>74</v>
      </c>
      <c r="F6396" s="6" t="s">
        <v>34790</v>
      </c>
      <c r="G6396" s="3" t="str">
        <f>IFERROR(__xludf.DUMMYFUNCTION("REGEXREPLACE(
D6396,
""([一-龯々]+)\[([^\]]+)\]"",
""&lt;ruby&gt;$1&lt;rt&gt;$2&lt;/rt&gt;&lt;/ruby&gt;""
)&amp;""&lt;br&gt;&lt;div class=""""audio""""&gt;[sound:""&amp;C6396&amp;"".mp3]&lt;/div&gt;"""),"&lt;ruby&gt;句読点&lt;rt&gt;くとうてん&lt;/rt&gt;&lt;/ruby&gt;&lt;br&gt;&lt;div class=""audio""&gt;[sound:くとうてん.mp3]&lt;/div&gt;")</f>
        <v>&lt;ruby&gt;句読点&lt;rt&gt;くとうてん&lt;/rt&gt;&lt;/ruby&gt;&lt;br&gt;&lt;div class="audio"&gt;[sound:くとうてん.mp3]&lt;/div&gt;</v>
      </c>
      <c r="H6396" s="3" t="str">
        <f t="shared" si="1"/>
        <v>(n): dấu câu</v>
      </c>
      <c r="I6396" s="6" t="s">
        <v>34791</v>
      </c>
      <c r="J6396" s="6" t="s">
        <v>34792</v>
      </c>
      <c r="K6396" s="7">
        <f t="shared" si="2"/>
        <v>0.1536183029</v>
      </c>
    </row>
    <row r="6397">
      <c r="A6397" s="4">
        <v>6397.0</v>
      </c>
      <c r="B6397" s="5" t="s">
        <v>34793</v>
      </c>
      <c r="C6397" s="5" t="s">
        <v>34794</v>
      </c>
      <c r="D6397" s="5" t="s">
        <v>34795</v>
      </c>
      <c r="E6397" s="6" t="s">
        <v>74</v>
      </c>
      <c r="F6397" s="6" t="s">
        <v>34796</v>
      </c>
      <c r="G6397" s="3" t="str">
        <f>IFERROR(__xludf.DUMMYFUNCTION("REGEXREPLACE(
D6397,
""([一-龯々]+)\[([^\]]+)\]"",
""&lt;ruby&gt;$1&lt;rt&gt;$2&lt;/rt&gt;&lt;/ruby&gt;""
)&amp;""&lt;br&gt;&lt;div class=""""audio""""&gt;[sound:""&amp;C6397&amp;"".mp3]&lt;/div&gt;"""),"&lt;ruby&gt;産地&lt;rt&gt;さんち&lt;/rt&gt;&lt;/ruby&gt;&lt;br&gt;&lt;div class=""audio""&gt;[sound:さんち.mp3]&lt;/div&gt;")</f>
        <v>&lt;ruby&gt;産地&lt;rt&gt;さんち&lt;/rt&gt;&lt;/ruby&gt;&lt;br&gt;&lt;div class="audio"&gt;[sound:さんち.mp3]&lt;/div&gt;</v>
      </c>
      <c r="H6397" s="3" t="str">
        <f t="shared" si="1"/>
        <v>(n): nơi sản xuất</v>
      </c>
      <c r="I6397" s="6" t="s">
        <v>34797</v>
      </c>
      <c r="J6397" s="6" t="s">
        <v>34798</v>
      </c>
      <c r="K6397" s="7">
        <f t="shared" si="2"/>
        <v>0.4797878082</v>
      </c>
    </row>
    <row r="6398">
      <c r="A6398" s="4">
        <v>6398.0</v>
      </c>
      <c r="B6398" s="5" t="s">
        <v>34799</v>
      </c>
      <c r="C6398" s="5" t="s">
        <v>2609</v>
      </c>
      <c r="D6398" s="5" t="s">
        <v>34800</v>
      </c>
      <c r="E6398" s="6" t="s">
        <v>74</v>
      </c>
      <c r="F6398" s="6" t="s">
        <v>34801</v>
      </c>
      <c r="G6398" s="3" t="str">
        <f>IFERROR(__xludf.DUMMYFUNCTION("REGEXREPLACE(
D6398,
""([一-龯々]+)\[([^\]]+)\]"",
""&lt;ruby&gt;$1&lt;rt&gt;$2&lt;/rt&gt;&lt;/ruby&gt;""
)&amp;""&lt;br&gt;&lt;div class=""""audio""""&gt;[sound:""&amp;C6398&amp;"".mp3]&lt;/div&gt;"""),"&lt;ruby&gt;動揺&lt;rt&gt;どうよう&lt;/rt&gt;&lt;/ruby&gt;&lt;br&gt;&lt;div class=""audio""&gt;[sound:どうよう.mp3]&lt;/div&gt;")</f>
        <v>&lt;ruby&gt;動揺&lt;rt&gt;どうよう&lt;/rt&gt;&lt;/ruby&gt;&lt;br&gt;&lt;div class="audio"&gt;[sound:どうよう.mp3]&lt;/div&gt;</v>
      </c>
      <c r="H6398" s="3" t="str">
        <f t="shared" si="1"/>
        <v>(n): dao động</v>
      </c>
      <c r="I6398" s="6" t="s">
        <v>34802</v>
      </c>
      <c r="J6398" s="6" t="s">
        <v>34803</v>
      </c>
      <c r="K6398" s="7">
        <f t="shared" si="2"/>
        <v>0.502485163</v>
      </c>
    </row>
    <row r="6399">
      <c r="A6399" s="4">
        <v>6399.0</v>
      </c>
      <c r="B6399" s="5" t="s">
        <v>34804</v>
      </c>
      <c r="C6399" s="5" t="s">
        <v>34805</v>
      </c>
      <c r="D6399" s="5" t="s">
        <v>34806</v>
      </c>
      <c r="E6399" s="6" t="s">
        <v>24</v>
      </c>
      <c r="F6399" s="6" t="s">
        <v>34807</v>
      </c>
      <c r="G6399" s="3" t="str">
        <f>IFERROR(__xludf.DUMMYFUNCTION("REGEXREPLACE(
D6399,
""([一-龯々]+)\[([^\]]+)\]"",
""&lt;ruby&gt;$1&lt;rt&gt;$2&lt;/rt&gt;&lt;/ruby&gt;""
)&amp;""&lt;br&gt;&lt;div class=""""audio""""&gt;[sound:""&amp;C6399&amp;"".mp3]&lt;/div&gt;"""),"&lt;ruby&gt;占&lt;rt&gt;うらな&lt;/rt&gt;&lt;/ruby&gt;う&lt;br&gt;&lt;div class=""audio""&gt;[sound:うらなう.mp3]&lt;/div&gt;")</f>
        <v>&lt;ruby&gt;占&lt;rt&gt;うらな&lt;/rt&gt;&lt;/ruby&gt;う&lt;br&gt;&lt;div class="audio"&gt;[sound:うらなう.mp3]&lt;/div&gt;</v>
      </c>
      <c r="H6399" s="3" t="str">
        <f t="shared" si="1"/>
        <v>(v): bói toán</v>
      </c>
      <c r="I6399" s="6" t="s">
        <v>34808</v>
      </c>
      <c r="J6399" s="6" t="s">
        <v>34809</v>
      </c>
      <c r="K6399" s="7">
        <f t="shared" si="2"/>
        <v>0.5754244184</v>
      </c>
    </row>
    <row r="6400">
      <c r="A6400" s="4">
        <v>6400.0</v>
      </c>
      <c r="B6400" s="5" t="s">
        <v>34810</v>
      </c>
      <c r="C6400" s="5" t="s">
        <v>34811</v>
      </c>
      <c r="D6400" s="5" t="s">
        <v>34812</v>
      </c>
      <c r="E6400" s="6" t="s">
        <v>74</v>
      </c>
      <c r="F6400" s="6" t="s">
        <v>3074</v>
      </c>
      <c r="G6400" s="3" t="str">
        <f>IFERROR(__xludf.DUMMYFUNCTION("REGEXREPLACE(
D6400,
""([一-龯々]+)\[([^\]]+)\]"",
""&lt;ruby&gt;$1&lt;rt&gt;$2&lt;/rt&gt;&lt;/ruby&gt;""
)&amp;""&lt;br&gt;&lt;div class=""""audio""""&gt;[sound:""&amp;C6400&amp;"".mp3]&lt;/div&gt;"""),"&lt;ruby&gt;出来上&lt;rt&gt;できあ&lt;/rt&gt;&lt;/ruby&gt;がり&lt;br&gt;&lt;div class=""audio""&gt;[sound:できあがり.mp3]&lt;/div&gt;")</f>
        <v>&lt;ruby&gt;出来上&lt;rt&gt;できあ&lt;/rt&gt;&lt;/ruby&gt;がり&lt;br&gt;&lt;div class="audio"&gt;[sound:できあがり.mp3]&lt;/div&gt;</v>
      </c>
      <c r="H6400" s="3" t="str">
        <f t="shared" si="1"/>
        <v>(n): hoàn thành</v>
      </c>
      <c r="I6400" s="6" t="s">
        <v>34813</v>
      </c>
      <c r="J6400" s="6" t="s">
        <v>34814</v>
      </c>
      <c r="K6400" s="7">
        <f t="shared" si="2"/>
        <v>0.09523810683</v>
      </c>
    </row>
    <row r="6401">
      <c r="A6401" s="4">
        <v>6401.0</v>
      </c>
      <c r="B6401" s="5" t="s">
        <v>34815</v>
      </c>
      <c r="C6401" s="5" t="s">
        <v>34816</v>
      </c>
      <c r="D6401" s="5" t="s">
        <v>34817</v>
      </c>
      <c r="E6401" s="6" t="s">
        <v>85</v>
      </c>
      <c r="F6401" s="6" t="s">
        <v>34818</v>
      </c>
      <c r="G6401" s="3" t="str">
        <f>IFERROR(__xludf.DUMMYFUNCTION("REGEXREPLACE(
D6401,
""([一-龯々]+)\[([^\]]+)\]"",
""&lt;ruby&gt;$1&lt;rt&gt;$2&lt;/rt&gt;&lt;/ruby&gt;""
)&amp;""&lt;br&gt;&lt;div class=""""audio""""&gt;[sound:""&amp;C6401&amp;"".mp3]&lt;/div&gt;"""),"&lt;ruby&gt;生&lt;rt&gt;い&lt;/rt&gt;&lt;/ruby&gt;き&lt;ruby&gt;生&lt;rt&gt;い&lt;/rt&gt;&lt;/ruby&gt;き&lt;br&gt;&lt;div class=""audio""&gt;[sound:いきいき.mp3]&lt;/div&gt;")</f>
        <v>&lt;ruby&gt;生&lt;rt&gt;い&lt;/rt&gt;&lt;/ruby&gt;き&lt;ruby&gt;生&lt;rt&gt;い&lt;/rt&gt;&lt;/ruby&gt;き&lt;br&gt;&lt;div class="audio"&gt;[sound:いきいき.mp3]&lt;/div&gt;</v>
      </c>
      <c r="H6401" s="3" t="str">
        <f t="shared" si="1"/>
        <v>(adv): sống động</v>
      </c>
      <c r="I6401" s="6" t="s">
        <v>34819</v>
      </c>
      <c r="J6401" s="6" t="s">
        <v>34820</v>
      </c>
      <c r="K6401" s="7">
        <f t="shared" si="2"/>
        <v>0.4904488598</v>
      </c>
    </row>
    <row r="6402">
      <c r="A6402" s="4">
        <v>6402.0</v>
      </c>
      <c r="B6402" s="5" t="s">
        <v>34821</v>
      </c>
      <c r="C6402" s="5" t="s">
        <v>28575</v>
      </c>
      <c r="D6402" s="5" t="s">
        <v>34822</v>
      </c>
      <c r="E6402" s="6" t="s">
        <v>11</v>
      </c>
      <c r="F6402" s="6" t="s">
        <v>8923</v>
      </c>
      <c r="G6402" s="3" t="str">
        <f>IFERROR(__xludf.DUMMYFUNCTION("REGEXREPLACE(
D6402,
""([一-龯々]+)\[([^\]]+)\]"",
""&lt;ruby&gt;$1&lt;rt&gt;$2&lt;/rt&gt;&lt;/ruby&gt;""
)&amp;""&lt;br&gt;&lt;div class=""""audio""""&gt;[sound:""&amp;C6402&amp;"".mp3]&lt;/div&gt;"""),"&lt;ruby&gt;的確&lt;rt&gt;てきかく&lt;/rt&gt;&lt;/ruby&gt;&lt;br&gt;&lt;div class=""audio""&gt;[sound:てきかく.mp3]&lt;/div&gt;")</f>
        <v>&lt;ruby&gt;的確&lt;rt&gt;てきかく&lt;/rt&gt;&lt;/ruby&gt;&lt;br&gt;&lt;div class="audio"&gt;[sound:てきかく.mp3]&lt;/div&gt;</v>
      </c>
      <c r="H6402" s="3" t="str">
        <f t="shared" si="1"/>
        <v>(adj): chính xác</v>
      </c>
      <c r="I6402" s="6" t="s">
        <v>34823</v>
      </c>
      <c r="J6402" s="6" t="s">
        <v>34824</v>
      </c>
      <c r="K6402" s="7">
        <f t="shared" si="2"/>
        <v>0.206816076</v>
      </c>
    </row>
    <row r="6403">
      <c r="A6403" s="4">
        <v>6403.0</v>
      </c>
      <c r="B6403" s="5" t="s">
        <v>34825</v>
      </c>
      <c r="C6403" s="5" t="s">
        <v>34826</v>
      </c>
      <c r="D6403" s="5" t="s">
        <v>34827</v>
      </c>
      <c r="E6403" s="6" t="s">
        <v>74</v>
      </c>
      <c r="F6403" s="6" t="s">
        <v>34828</v>
      </c>
      <c r="G6403" s="3" t="str">
        <f>IFERROR(__xludf.DUMMYFUNCTION("REGEXREPLACE(
D6403,
""([一-龯々]+)\[([^\]]+)\]"",
""&lt;ruby&gt;$1&lt;rt&gt;$2&lt;/rt&gt;&lt;/ruby&gt;""
)&amp;""&lt;br&gt;&lt;div class=""""audio""""&gt;[sound:""&amp;C6403&amp;"".mp3]&lt;/div&gt;"""),"&lt;ruby&gt;長女&lt;rt&gt;ちょうじょ&lt;/rt&gt;&lt;/ruby&gt;&lt;br&gt;&lt;div class=""audio""&gt;[sound:ちょうじょ.mp3]&lt;/div&gt;")</f>
        <v>&lt;ruby&gt;長女&lt;rt&gt;ちょうじょ&lt;/rt&gt;&lt;/ruby&gt;&lt;br&gt;&lt;div class="audio"&gt;[sound:ちょうじょ.mp3]&lt;/div&gt;</v>
      </c>
      <c r="H6403" s="3" t="str">
        <f t="shared" si="1"/>
        <v>(n): trưởng nữ</v>
      </c>
      <c r="I6403" s="6" t="s">
        <v>34829</v>
      </c>
      <c r="J6403" s="6" t="s">
        <v>34830</v>
      </c>
      <c r="K6403" s="7">
        <f t="shared" si="2"/>
        <v>0.1219328768</v>
      </c>
    </row>
    <row r="6404">
      <c r="A6404" s="4">
        <v>6404.0</v>
      </c>
      <c r="B6404" s="5" t="s">
        <v>34831</v>
      </c>
      <c r="C6404" s="5" t="s">
        <v>34832</v>
      </c>
      <c r="D6404" s="5" t="s">
        <v>34833</v>
      </c>
      <c r="E6404" s="6" t="s">
        <v>74</v>
      </c>
      <c r="F6404" s="6" t="s">
        <v>34834</v>
      </c>
      <c r="G6404" s="3" t="str">
        <f>IFERROR(__xludf.DUMMYFUNCTION("REGEXREPLACE(
D6404,
""([一-龯々]+)\[([^\]]+)\]"",
""&lt;ruby&gt;$1&lt;rt&gt;$2&lt;/rt&gt;&lt;/ruby&gt;""
)&amp;""&lt;br&gt;&lt;div class=""""audio""""&gt;[sound:""&amp;C6404&amp;"".mp3]&lt;/div&gt;"""),"&lt;ruby&gt;相違&lt;rt&gt;そうい&lt;/rt&gt;&lt;/ruby&gt;&lt;br&gt;&lt;div class=""audio""&gt;[sound:そうい.mp3]&lt;/div&gt;")</f>
        <v>&lt;ruby&gt;相違&lt;rt&gt;そうい&lt;/rt&gt;&lt;/ruby&gt;&lt;br&gt;&lt;div class="audio"&gt;[sound:そうい.mp3]&lt;/div&gt;</v>
      </c>
      <c r="H6404" s="3" t="str">
        <f t="shared" si="1"/>
        <v>(n): sai biệt</v>
      </c>
      <c r="I6404" s="6" t="s">
        <v>34835</v>
      </c>
      <c r="J6404" s="6" t="s">
        <v>34836</v>
      </c>
      <c r="K6404" s="7">
        <f t="shared" si="2"/>
        <v>0.04366335425</v>
      </c>
    </row>
    <row r="6405">
      <c r="A6405" s="4">
        <v>6405.0</v>
      </c>
      <c r="B6405" s="5" t="s">
        <v>34837</v>
      </c>
      <c r="C6405" s="5" t="s">
        <v>34838</v>
      </c>
      <c r="D6405" s="5" t="s">
        <v>34839</v>
      </c>
      <c r="E6405" s="6" t="s">
        <v>74</v>
      </c>
      <c r="F6405" s="6" t="s">
        <v>34840</v>
      </c>
      <c r="G6405" s="3" t="str">
        <f>IFERROR(__xludf.DUMMYFUNCTION("REGEXREPLACE(
D6405,
""([一-龯々]+)\[([^\]]+)\]"",
""&lt;ruby&gt;$1&lt;rt&gt;$2&lt;/rt&gt;&lt;/ruby&gt;""
)&amp;""&lt;br&gt;&lt;div class=""""audio""""&gt;[sound:""&amp;C6405&amp;"".mp3]&lt;/div&gt;"""),"&lt;ruby&gt;花瓶&lt;rt&gt;かびん&lt;/rt&gt;&lt;/ruby&gt;&lt;br&gt;&lt;div class=""audio""&gt;[sound:かびん.mp3]&lt;/div&gt;")</f>
        <v>&lt;ruby&gt;花瓶&lt;rt&gt;かびん&lt;/rt&gt;&lt;/ruby&gt;&lt;br&gt;&lt;div class="audio"&gt;[sound:かびん.mp3]&lt;/div&gt;</v>
      </c>
      <c r="H6405" s="3" t="str">
        <f t="shared" si="1"/>
        <v>(n): bình hoa</v>
      </c>
      <c r="I6405" s="6" t="s">
        <v>34841</v>
      </c>
      <c r="J6405" s="6" t="s">
        <v>34842</v>
      </c>
      <c r="K6405" s="7">
        <f t="shared" si="2"/>
        <v>0.2876346447</v>
      </c>
    </row>
    <row r="6406">
      <c r="A6406" s="4">
        <v>6406.0</v>
      </c>
      <c r="B6406" s="5" t="s">
        <v>34843</v>
      </c>
      <c r="C6406" s="5" t="s">
        <v>34844</v>
      </c>
      <c r="D6406" s="5" t="s">
        <v>34845</v>
      </c>
      <c r="E6406" s="6" t="s">
        <v>74</v>
      </c>
      <c r="F6406" s="6" t="s">
        <v>16129</v>
      </c>
      <c r="G6406" s="3" t="str">
        <f>IFERROR(__xludf.DUMMYFUNCTION("REGEXREPLACE(
D6406,
""([一-龯々]+)\[([^\]]+)\]"",
""&lt;ruby&gt;$1&lt;rt&gt;$2&lt;/rt&gt;&lt;/ruby&gt;""
)&amp;""&lt;br&gt;&lt;div class=""""audio""""&gt;[sound:""&amp;C6406&amp;"".mp3]&lt;/div&gt;"""),"&lt;ruby&gt;入&lt;rt&gt;い&lt;/rt&gt;&lt;/ruby&gt;れ&lt;ruby&gt;物&lt;rt&gt;もの&lt;/rt&gt;&lt;/ruby&gt;&lt;br&gt;&lt;div class=""audio""&gt;[sound:いれもの.mp3]&lt;/div&gt;")</f>
        <v>&lt;ruby&gt;入&lt;rt&gt;い&lt;/rt&gt;&lt;/ruby&gt;れ&lt;ruby&gt;物&lt;rt&gt;もの&lt;/rt&gt;&lt;/ruby&gt;&lt;br&gt;&lt;div class="audio"&gt;[sound:いれもの.mp3]&lt;/div&gt;</v>
      </c>
      <c r="H6406" s="3" t="str">
        <f t="shared" si="1"/>
        <v>(n): đồ đựng</v>
      </c>
      <c r="I6406" s="6" t="s">
        <v>34846</v>
      </c>
      <c r="J6406" s="6" t="s">
        <v>34847</v>
      </c>
      <c r="K6406" s="7">
        <f t="shared" si="2"/>
        <v>0.3095678224</v>
      </c>
    </row>
    <row r="6407">
      <c r="A6407" s="4">
        <v>6407.0</v>
      </c>
      <c r="B6407" s="5" t="s">
        <v>34848</v>
      </c>
      <c r="C6407" s="5" t="s">
        <v>34849</v>
      </c>
      <c r="D6407" s="5" t="s">
        <v>34850</v>
      </c>
      <c r="E6407" s="6" t="s">
        <v>74</v>
      </c>
      <c r="F6407" s="6" t="s">
        <v>34851</v>
      </c>
      <c r="G6407" s="3" t="str">
        <f>IFERROR(__xludf.DUMMYFUNCTION("REGEXREPLACE(
D6407,
""([一-龯々]+)\[([^\]]+)\]"",
""&lt;ruby&gt;$1&lt;rt&gt;$2&lt;/rt&gt;&lt;/ruby&gt;""
)&amp;""&lt;br&gt;&lt;div class=""""audio""""&gt;[sound:""&amp;C6407&amp;"".mp3]&lt;/div&gt;"""),"&lt;ruby&gt;南北&lt;rt&gt;なんぼく&lt;/rt&gt;&lt;/ruby&gt;&lt;br&gt;&lt;div class=""audio""&gt;[sound:なんぼく.mp3]&lt;/div&gt;")</f>
        <v>&lt;ruby&gt;南北&lt;rt&gt;なんぼく&lt;/rt&gt;&lt;/ruby&gt;&lt;br&gt;&lt;div class="audio"&gt;[sound:なんぼく.mp3]&lt;/div&gt;</v>
      </c>
      <c r="H6407" s="3" t="str">
        <f t="shared" si="1"/>
        <v>(n): nam bắc</v>
      </c>
      <c r="I6407" s="6" t="s">
        <v>34852</v>
      </c>
      <c r="J6407" s="6" t="s">
        <v>34853</v>
      </c>
      <c r="K6407" s="7">
        <f t="shared" si="2"/>
        <v>0.5577097806</v>
      </c>
    </row>
    <row r="6408">
      <c r="A6408" s="4">
        <v>6408.0</v>
      </c>
      <c r="B6408" s="5" t="s">
        <v>34854</v>
      </c>
      <c r="C6408" s="5" t="s">
        <v>34855</v>
      </c>
      <c r="D6408" s="5" t="s">
        <v>34856</v>
      </c>
      <c r="E6408" s="6" t="s">
        <v>74</v>
      </c>
      <c r="F6408" s="6" t="s">
        <v>34857</v>
      </c>
      <c r="G6408" s="3" t="str">
        <f>IFERROR(__xludf.DUMMYFUNCTION("REGEXREPLACE(
D6408,
""([一-龯々]+)\[([^\]]+)\]"",
""&lt;ruby&gt;$1&lt;rt&gt;$2&lt;/rt&gt;&lt;/ruby&gt;""
)&amp;""&lt;br&gt;&lt;div class=""""audio""""&gt;[sound:""&amp;C6408&amp;"".mp3]&lt;/div&gt;"""),"&lt;ruby&gt;登山&lt;rt&gt;とざん&lt;/rt&gt;&lt;/ruby&gt;&lt;br&gt;&lt;div class=""audio""&gt;[sound:とざん.mp3]&lt;/div&gt;")</f>
        <v>&lt;ruby&gt;登山&lt;rt&gt;とざん&lt;/rt&gt;&lt;/ruby&gt;&lt;br&gt;&lt;div class="audio"&gt;[sound:とざん.mp3]&lt;/div&gt;</v>
      </c>
      <c r="H6408" s="3" t="str">
        <f t="shared" si="1"/>
        <v>(n): leo núi</v>
      </c>
      <c r="I6408" s="6" t="s">
        <v>34858</v>
      </c>
      <c r="J6408" s="6" t="s">
        <v>34859</v>
      </c>
      <c r="K6408" s="7">
        <f t="shared" si="2"/>
        <v>0.3853748593</v>
      </c>
    </row>
    <row r="6409">
      <c r="A6409" s="4">
        <v>6409.0</v>
      </c>
      <c r="B6409" s="5" t="s">
        <v>34860</v>
      </c>
      <c r="C6409" s="5" t="s">
        <v>34861</v>
      </c>
      <c r="D6409" s="5" t="s">
        <v>34862</v>
      </c>
      <c r="E6409" s="6" t="s">
        <v>74</v>
      </c>
      <c r="F6409" s="6" t="s">
        <v>34863</v>
      </c>
      <c r="G6409" s="3" t="str">
        <f>IFERROR(__xludf.DUMMYFUNCTION("REGEXREPLACE(
D6409,
""([一-龯々]+)\[([^\]]+)\]"",
""&lt;ruby&gt;$1&lt;rt&gt;$2&lt;/rt&gt;&lt;/ruby&gt;""
)&amp;""&lt;br&gt;&lt;div class=""""audio""""&gt;[sound:""&amp;C6409&amp;"".mp3]&lt;/div&gt;"""),"&lt;ruby&gt;泉&lt;rt&gt;いずみ&lt;/rt&gt;&lt;/ruby&gt;&lt;br&gt;&lt;div class=""audio""&gt;[sound:いずみ.mp3]&lt;/div&gt;")</f>
        <v>&lt;ruby&gt;泉&lt;rt&gt;いずみ&lt;/rt&gt;&lt;/ruby&gt;&lt;br&gt;&lt;div class="audio"&gt;[sound:いずみ.mp3]&lt;/div&gt;</v>
      </c>
      <c r="H6409" s="3" t="str">
        <f t="shared" si="1"/>
        <v>(n): suối</v>
      </c>
      <c r="I6409" s="6" t="s">
        <v>34864</v>
      </c>
      <c r="J6409" s="6" t="s">
        <v>34865</v>
      </c>
      <c r="K6409" s="7">
        <f t="shared" si="2"/>
        <v>0.5345535569</v>
      </c>
    </row>
    <row r="6410">
      <c r="A6410" s="4">
        <v>6410.0</v>
      </c>
      <c r="B6410" s="5" t="s">
        <v>34866</v>
      </c>
      <c r="C6410" s="5" t="s">
        <v>22860</v>
      </c>
      <c r="D6410" s="5" t="s">
        <v>34867</v>
      </c>
      <c r="E6410" s="6" t="s">
        <v>74</v>
      </c>
      <c r="F6410" s="6" t="s">
        <v>34868</v>
      </c>
      <c r="G6410" s="3" t="str">
        <f>IFERROR(__xludf.DUMMYFUNCTION("REGEXREPLACE(
D6410,
""([一-龯々]+)\[([^\]]+)\]"",
""&lt;ruby&gt;$1&lt;rt&gt;$2&lt;/rt&gt;&lt;/ruby&gt;""
)&amp;""&lt;br&gt;&lt;div class=""""audio""""&gt;[sound:""&amp;C6410&amp;"".mp3]&lt;/div&gt;"""),"&lt;ruby&gt;苦&lt;rt&gt;く&lt;/rt&gt;&lt;/ruby&gt;&lt;br&gt;&lt;div class=""audio""&gt;[sound:く.mp3]&lt;/div&gt;")</f>
        <v>&lt;ruby&gt;苦&lt;rt&gt;く&lt;/rt&gt;&lt;/ruby&gt;&lt;br&gt;&lt;div class="audio"&gt;[sound:く.mp3]&lt;/div&gt;</v>
      </c>
      <c r="H6410" s="3" t="str">
        <f t="shared" si="1"/>
        <v>(n): khổ</v>
      </c>
      <c r="I6410" s="6" t="s">
        <v>34869</v>
      </c>
      <c r="J6410" s="6" t="s">
        <v>34870</v>
      </c>
      <c r="K6410" s="7">
        <f t="shared" si="2"/>
        <v>0.9973079657</v>
      </c>
    </row>
    <row r="6411">
      <c r="A6411" s="4">
        <v>6411.0</v>
      </c>
      <c r="B6411" s="5" t="s">
        <v>34871</v>
      </c>
      <c r="C6411" s="5" t="s">
        <v>34872</v>
      </c>
      <c r="D6411" s="5" t="s">
        <v>34873</v>
      </c>
      <c r="E6411" s="6" t="s">
        <v>74</v>
      </c>
      <c r="F6411" s="6" t="s">
        <v>34874</v>
      </c>
      <c r="G6411" s="3" t="str">
        <f>IFERROR(__xludf.DUMMYFUNCTION("REGEXREPLACE(
D6411,
""([一-龯々]+)\[([^\]]+)\]"",
""&lt;ruby&gt;$1&lt;rt&gt;$2&lt;/rt&gt;&lt;/ruby&gt;""
)&amp;""&lt;br&gt;&lt;div class=""""audio""""&gt;[sound:""&amp;C6411&amp;"".mp3]&lt;/div&gt;"""),"&lt;ruby&gt;余所&lt;rt&gt;よそ&lt;/rt&gt;&lt;/ruby&gt;&lt;br&gt;&lt;div class=""audio""&gt;[sound:よそ.mp3]&lt;/div&gt;")</f>
        <v>&lt;ruby&gt;余所&lt;rt&gt;よそ&lt;/rt&gt;&lt;/ruby&gt;&lt;br&gt;&lt;div class="audio"&gt;[sound:よそ.mp3]&lt;/div&gt;</v>
      </c>
      <c r="H6411" s="3" t="str">
        <f t="shared" si="1"/>
        <v>(n): nơi khác</v>
      </c>
      <c r="I6411" s="6" t="s">
        <v>34875</v>
      </c>
      <c r="J6411" s="6" t="s">
        <v>34876</v>
      </c>
      <c r="K6411" s="7">
        <f t="shared" si="2"/>
        <v>0.2371534224</v>
      </c>
    </row>
    <row r="6412">
      <c r="A6412" s="4">
        <v>6412.0</v>
      </c>
      <c r="B6412" s="5" t="s">
        <v>34877</v>
      </c>
      <c r="C6412" s="5" t="s">
        <v>34878</v>
      </c>
      <c r="D6412" s="5" t="s">
        <v>34879</v>
      </c>
      <c r="E6412" s="6" t="s">
        <v>74</v>
      </c>
      <c r="F6412" s="6" t="s">
        <v>34880</v>
      </c>
      <c r="G6412" s="3" t="str">
        <f>IFERROR(__xludf.DUMMYFUNCTION("REGEXREPLACE(
D6412,
""([一-龯々]+)\[([^\]]+)\]"",
""&lt;ruby&gt;$1&lt;rt&gt;$2&lt;/rt&gt;&lt;/ruby&gt;""
)&amp;""&lt;br&gt;&lt;div class=""""audio""""&gt;[sound:""&amp;C6412&amp;"".mp3]&lt;/div&gt;"""),"&lt;ruby&gt;明後日&lt;rt&gt;あさって&lt;/rt&gt;&lt;/ruby&gt;&lt;br&gt;&lt;div class=""audio""&gt;[sound:あさって.mp3]&lt;/div&gt;")</f>
        <v>&lt;ruby&gt;明後日&lt;rt&gt;あさって&lt;/rt&gt;&lt;/ruby&gt;&lt;br&gt;&lt;div class="audio"&gt;[sound:あさって.mp3]&lt;/div&gt;</v>
      </c>
      <c r="H6412" s="3" t="str">
        <f t="shared" si="1"/>
        <v>(n): ngày kia</v>
      </c>
      <c r="I6412" s="6" t="s">
        <v>34881</v>
      </c>
      <c r="J6412" s="6" t="s">
        <v>34882</v>
      </c>
      <c r="K6412" s="7">
        <f t="shared" si="2"/>
        <v>0.1238887462</v>
      </c>
    </row>
    <row r="6413">
      <c r="A6413" s="4">
        <v>6413.0</v>
      </c>
      <c r="B6413" s="5" t="s">
        <v>34883</v>
      </c>
      <c r="C6413" s="5" t="s">
        <v>34884</v>
      </c>
      <c r="D6413" s="5" t="s">
        <v>34885</v>
      </c>
      <c r="E6413" s="6" t="s">
        <v>74</v>
      </c>
      <c r="F6413" s="6" t="s">
        <v>26982</v>
      </c>
      <c r="G6413" s="3" t="str">
        <f>IFERROR(__xludf.DUMMYFUNCTION("REGEXREPLACE(
D6413,
""([一-龯々]+)\[([^\]]+)\]"",
""&lt;ruby&gt;$1&lt;rt&gt;$2&lt;/rt&gt;&lt;/ruby&gt;""
)&amp;""&lt;br&gt;&lt;div class=""""audio""""&gt;[sound:""&amp;C6413&amp;"".mp3]&lt;/div&gt;"""),"&lt;ruby&gt;火災&lt;rt&gt;かさい&lt;/rt&gt;&lt;/ruby&gt;&lt;br&gt;&lt;div class=""audio""&gt;[sound:かさい.mp3]&lt;/div&gt;")</f>
        <v>&lt;ruby&gt;火災&lt;rt&gt;かさい&lt;/rt&gt;&lt;/ruby&gt;&lt;br&gt;&lt;div class="audio"&gt;[sound:かさい.mp3]&lt;/div&gt;</v>
      </c>
      <c r="H6413" s="3" t="str">
        <f t="shared" si="1"/>
        <v>(n): hỏa hoạn</v>
      </c>
      <c r="I6413" s="6" t="s">
        <v>34886</v>
      </c>
      <c r="J6413" s="6" t="s">
        <v>34887</v>
      </c>
      <c r="K6413" s="7">
        <f t="shared" si="2"/>
        <v>0.8227964849</v>
      </c>
    </row>
    <row r="6414">
      <c r="A6414" s="4">
        <v>6414.0</v>
      </c>
      <c r="B6414" s="5" t="s">
        <v>34888</v>
      </c>
      <c r="C6414" s="5" t="s">
        <v>34889</v>
      </c>
      <c r="D6414" s="5" t="s">
        <v>34890</v>
      </c>
      <c r="E6414" s="6" t="s">
        <v>24</v>
      </c>
      <c r="F6414" s="6" t="s">
        <v>34891</v>
      </c>
      <c r="G6414" s="3" t="str">
        <f>IFERROR(__xludf.DUMMYFUNCTION("REGEXREPLACE(
D6414,
""([一-龯々]+)\[([^\]]+)\]"",
""&lt;ruby&gt;$1&lt;rt&gt;$2&lt;/rt&gt;&lt;/ruby&gt;""
)&amp;""&lt;br&gt;&lt;div class=""""audio""""&gt;[sound:""&amp;C6414&amp;"".mp3]&lt;/div&gt;"""),"&lt;ruby&gt;見慣&lt;rt&gt;みな&lt;/rt&gt;&lt;/ruby&gt;れる&lt;br&gt;&lt;div class=""audio""&gt;[sound:みなれる.mp3]&lt;/div&gt;")</f>
        <v>&lt;ruby&gt;見慣&lt;rt&gt;みな&lt;/rt&gt;&lt;/ruby&gt;れる&lt;br&gt;&lt;div class="audio"&gt;[sound:みなれる.mp3]&lt;/div&gt;</v>
      </c>
      <c r="H6414" s="3" t="str">
        <f t="shared" si="1"/>
        <v>(v): quen mắt</v>
      </c>
      <c r="I6414" s="6" t="s">
        <v>34892</v>
      </c>
      <c r="J6414" s="6" t="s">
        <v>34893</v>
      </c>
      <c r="K6414" s="7">
        <f t="shared" si="2"/>
        <v>0.1722925853</v>
      </c>
    </row>
    <row r="6415">
      <c r="A6415" s="4">
        <v>6415.0</v>
      </c>
      <c r="B6415" s="5" t="s">
        <v>34894</v>
      </c>
      <c r="C6415" s="5" t="s">
        <v>34895</v>
      </c>
      <c r="D6415" s="5" t="s">
        <v>34896</v>
      </c>
      <c r="E6415" s="6" t="s">
        <v>74</v>
      </c>
      <c r="F6415" s="6" t="s">
        <v>34897</v>
      </c>
      <c r="G6415" s="3" t="str">
        <f>IFERROR(__xludf.DUMMYFUNCTION("REGEXREPLACE(
D6415,
""([一-龯々]+)\[([^\]]+)\]"",
""&lt;ruby&gt;$1&lt;rt&gt;$2&lt;/rt&gt;&lt;/ruby&gt;""
)&amp;""&lt;br&gt;&lt;div class=""""audio""""&gt;[sound:""&amp;C6415&amp;"".mp3]&lt;/div&gt;"""),"&lt;ruby&gt;開会&lt;rt&gt;かいかい&lt;/rt&gt;&lt;/ruby&gt;&lt;br&gt;&lt;div class=""audio""&gt;[sound:かいかい.mp3]&lt;/div&gt;")</f>
        <v>&lt;ruby&gt;開会&lt;rt&gt;かいかい&lt;/rt&gt;&lt;/ruby&gt;&lt;br&gt;&lt;div class="audio"&gt;[sound:かいかい.mp3]&lt;/div&gt;</v>
      </c>
      <c r="H6415" s="3" t="str">
        <f t="shared" si="1"/>
        <v>(n): khai mạc</v>
      </c>
      <c r="I6415" s="6" t="s">
        <v>34898</v>
      </c>
      <c r="J6415" s="6" t="s">
        <v>34899</v>
      </c>
      <c r="K6415" s="7">
        <f t="shared" si="2"/>
        <v>0.3224462499</v>
      </c>
    </row>
    <row r="6416">
      <c r="A6416" s="4">
        <v>6416.0</v>
      </c>
      <c r="B6416" s="5" t="s">
        <v>34900</v>
      </c>
      <c r="C6416" s="5" t="s">
        <v>34901</v>
      </c>
      <c r="D6416" s="5" t="s">
        <v>34902</v>
      </c>
      <c r="E6416" s="6" t="s">
        <v>74</v>
      </c>
      <c r="F6416" s="6" t="s">
        <v>34903</v>
      </c>
      <c r="G6416" s="3" t="str">
        <f>IFERROR(__xludf.DUMMYFUNCTION("REGEXREPLACE(
D6416,
""([一-龯々]+)\[([^\]]+)\]"",
""&lt;ruby&gt;$1&lt;rt&gt;$2&lt;/rt&gt;&lt;/ruby&gt;""
)&amp;""&lt;br&gt;&lt;div class=""""audio""""&gt;[sound:""&amp;C6416&amp;"".mp3]&lt;/div&gt;"""),"&lt;ruby&gt;坊&lt;rt&gt;ぼう&lt;/rt&gt;&lt;/ruby&gt;や&lt;br&gt;&lt;div class=""audio""&gt;[sound:ぼうや.mp3]&lt;/div&gt;")</f>
        <v>&lt;ruby&gt;坊&lt;rt&gt;ぼう&lt;/rt&gt;&lt;/ruby&gt;や&lt;br&gt;&lt;div class="audio"&gt;[sound:ぼうや.mp3]&lt;/div&gt;</v>
      </c>
      <c r="H6416" s="3" t="str">
        <f t="shared" si="1"/>
        <v>(n): cậu bé</v>
      </c>
      <c r="I6416" s="6" t="s">
        <v>34904</v>
      </c>
      <c r="J6416" s="6" t="s">
        <v>34905</v>
      </c>
      <c r="K6416" s="7">
        <f t="shared" si="2"/>
        <v>0.3025278059</v>
      </c>
    </row>
    <row r="6417">
      <c r="A6417" s="4">
        <v>6417.0</v>
      </c>
      <c r="B6417" s="5" t="s">
        <v>34906</v>
      </c>
      <c r="C6417" s="5" t="s">
        <v>34907</v>
      </c>
      <c r="D6417" s="5" t="s">
        <v>34908</v>
      </c>
      <c r="E6417" s="6" t="s">
        <v>11</v>
      </c>
      <c r="F6417" s="6" t="s">
        <v>8233</v>
      </c>
      <c r="G6417" s="3" t="str">
        <f>IFERROR(__xludf.DUMMYFUNCTION("REGEXREPLACE(
D6417,
""([一-龯々]+)\[([^\]]+)\]"",
""&lt;ruby&gt;$1&lt;rt&gt;$2&lt;/rt&gt;&lt;/ruby&gt;""
)&amp;""&lt;br&gt;&lt;div class=""""audio""""&gt;[sound:""&amp;C6417&amp;"".mp3]&lt;/div&gt;"""),"&lt;ruby&gt;危&lt;rt&gt;あや&lt;/rt&gt;&lt;/ruby&gt;うい&lt;br&gt;&lt;div class=""audio""&gt;[sound:あやうい.mp3]&lt;/div&gt;")</f>
        <v>&lt;ruby&gt;危&lt;rt&gt;あや&lt;/rt&gt;&lt;/ruby&gt;うい&lt;br&gt;&lt;div class="audio"&gt;[sound:あやうい.mp3]&lt;/div&gt;</v>
      </c>
      <c r="H6417" s="3" t="str">
        <f t="shared" si="1"/>
        <v>(adj): nguy hiểm</v>
      </c>
      <c r="I6417" s="6" t="s">
        <v>34909</v>
      </c>
      <c r="J6417" s="6" t="s">
        <v>34910</v>
      </c>
      <c r="K6417" s="7">
        <f t="shared" si="2"/>
        <v>0.7955231977</v>
      </c>
    </row>
    <row r="6418">
      <c r="A6418" s="4">
        <v>6418.0</v>
      </c>
      <c r="B6418" s="5" t="s">
        <v>34911</v>
      </c>
      <c r="C6418" s="5" t="s">
        <v>34912</v>
      </c>
      <c r="D6418" s="5" t="s">
        <v>34913</v>
      </c>
      <c r="E6418" s="6" t="s">
        <v>11</v>
      </c>
      <c r="F6418" s="6" t="s">
        <v>34914</v>
      </c>
      <c r="G6418" s="3" t="str">
        <f>IFERROR(__xludf.DUMMYFUNCTION("REGEXREPLACE(
D6418,
""([一-龯々]+)\[([^\]]+)\]"",
""&lt;ruby&gt;$1&lt;rt&gt;$2&lt;/rt&gt;&lt;/ruby&gt;""
)&amp;""&lt;br&gt;&lt;div class=""""audio""""&gt;[sound:""&amp;C6418&amp;"".mp3]&lt;/div&gt;"""),"&lt;ruby&gt;真&lt;rt&gt;ま&lt;/rt&gt;&lt;/ruby&gt;っ&lt;ruby&gt;青&lt;rt&gt;さお&lt;/rt&gt;&lt;/ruby&gt;&lt;br&gt;&lt;div class=""audio""&gt;[sound:まっさお.mp3]&lt;/div&gt;")</f>
        <v>&lt;ruby&gt;真&lt;rt&gt;ま&lt;/rt&gt;&lt;/ruby&gt;っ&lt;ruby&gt;青&lt;rt&gt;さお&lt;/rt&gt;&lt;/ruby&gt;&lt;br&gt;&lt;div class="audio"&gt;[sound:まっさお.mp3]&lt;/div&gt;</v>
      </c>
      <c r="H6418" s="3" t="str">
        <f t="shared" si="1"/>
        <v>(adj): xanh ngắt</v>
      </c>
      <c r="I6418" s="6" t="s">
        <v>34915</v>
      </c>
      <c r="J6418" s="6" t="s">
        <v>34916</v>
      </c>
      <c r="K6418" s="7">
        <f t="shared" si="2"/>
        <v>0.6813502742</v>
      </c>
    </row>
    <row r="6419">
      <c r="A6419" s="4">
        <v>6419.0</v>
      </c>
      <c r="B6419" s="5" t="s">
        <v>34917</v>
      </c>
      <c r="C6419" s="5" t="s">
        <v>34918</v>
      </c>
      <c r="D6419" s="5" t="s">
        <v>34919</v>
      </c>
      <c r="E6419" s="6" t="s">
        <v>11</v>
      </c>
      <c r="F6419" s="6" t="s">
        <v>34920</v>
      </c>
      <c r="G6419" s="3" t="str">
        <f>IFERROR(__xludf.DUMMYFUNCTION("REGEXREPLACE(
D6419,
""([一-龯々]+)\[([^\]]+)\]"",
""&lt;ruby&gt;$1&lt;rt&gt;$2&lt;/rt&gt;&lt;/ruby&gt;""
)&amp;""&lt;br&gt;&lt;div class=""""audio""""&gt;[sound:""&amp;C6419&amp;"".mp3]&lt;/div&gt;"""),"&lt;ruby&gt;若々&lt;rt&gt;わかわか&lt;/rt&gt;&lt;/ruby&gt;しい&lt;br&gt;&lt;div class=""audio""&gt;[sound:わかわかしい.mp3]&lt;/div&gt;")</f>
        <v>&lt;ruby&gt;若々&lt;rt&gt;わかわか&lt;/rt&gt;&lt;/ruby&gt;しい&lt;br&gt;&lt;div class="audio"&gt;[sound:わかわかしい.mp3]&lt;/div&gt;</v>
      </c>
      <c r="H6419" s="3" t="str">
        <f t="shared" si="1"/>
        <v>(adj): trẻ trung</v>
      </c>
      <c r="I6419" s="6" t="s">
        <v>34921</v>
      </c>
      <c r="J6419" s="6" t="s">
        <v>34922</v>
      </c>
      <c r="K6419" s="7">
        <f t="shared" si="2"/>
        <v>0.1972632541</v>
      </c>
    </row>
    <row r="6420">
      <c r="A6420" s="4">
        <v>6420.0</v>
      </c>
      <c r="B6420" s="5" t="s">
        <v>34923</v>
      </c>
      <c r="C6420" s="5" t="s">
        <v>34924</v>
      </c>
      <c r="D6420" s="5" t="s">
        <v>34925</v>
      </c>
      <c r="E6420" s="6" t="s">
        <v>74</v>
      </c>
      <c r="F6420" s="6" t="s">
        <v>34926</v>
      </c>
      <c r="G6420" s="3" t="str">
        <f>IFERROR(__xludf.DUMMYFUNCTION("REGEXREPLACE(
D6420,
""([一-龯々]+)\[([^\]]+)\]"",
""&lt;ruby&gt;$1&lt;rt&gt;$2&lt;/rt&gt;&lt;/ruby&gt;""
)&amp;""&lt;br&gt;&lt;div class=""""audio""""&gt;[sound:""&amp;C6420&amp;"".mp3]&lt;/div&gt;"""),"&lt;ruby&gt;園芸&lt;rt&gt;えんげい&lt;/rt&gt;&lt;/ruby&gt;&lt;br&gt;&lt;div class=""audio""&gt;[sound:えんげい.mp3]&lt;/div&gt;")</f>
        <v>&lt;ruby&gt;園芸&lt;rt&gt;えんげい&lt;/rt&gt;&lt;/ruby&gt;&lt;br&gt;&lt;div class="audio"&gt;[sound:えんげい.mp3]&lt;/div&gt;</v>
      </c>
      <c r="H6420" s="3" t="str">
        <f t="shared" si="1"/>
        <v>(n): làm vườn</v>
      </c>
      <c r="I6420" s="6" t="s">
        <v>34927</v>
      </c>
      <c r="J6420" s="6" t="s">
        <v>34928</v>
      </c>
      <c r="K6420" s="7">
        <f t="shared" si="2"/>
        <v>0.4746982319</v>
      </c>
    </row>
    <row r="6421">
      <c r="A6421" s="4">
        <v>6421.0</v>
      </c>
      <c r="B6421" s="5" t="s">
        <v>34929</v>
      </c>
      <c r="C6421" s="5" t="s">
        <v>34930</v>
      </c>
      <c r="D6421" s="5" t="s">
        <v>34931</v>
      </c>
      <c r="E6421" s="6" t="s">
        <v>24</v>
      </c>
      <c r="F6421" s="6" t="s">
        <v>34932</v>
      </c>
      <c r="G6421" s="3" t="str">
        <f>IFERROR(__xludf.DUMMYFUNCTION("REGEXREPLACE(
D6421,
""([一-龯々]+)\[([^\]]+)\]"",
""&lt;ruby&gt;$1&lt;rt&gt;$2&lt;/rt&gt;&lt;/ruby&gt;""
)&amp;""&lt;br&gt;&lt;div class=""""audio""""&gt;[sound:""&amp;C6421&amp;"".mp3]&lt;/div&gt;"""),"&lt;ruby&gt;片付&lt;rt&gt;かたづ&lt;/rt&gt;&lt;/ruby&gt;く&lt;br&gt;&lt;div class=""audio""&gt;[sound:かたづく.mp3]&lt;/div&gt;")</f>
        <v>&lt;ruby&gt;片付&lt;rt&gt;かたづ&lt;/rt&gt;&lt;/ruby&gt;く&lt;br&gt;&lt;div class="audio"&gt;[sound:かたづく.mp3]&lt;/div&gt;</v>
      </c>
      <c r="H6421" s="3" t="str">
        <f t="shared" si="1"/>
        <v>(v): được dọn</v>
      </c>
      <c r="I6421" s="6" t="s">
        <v>34933</v>
      </c>
      <c r="J6421" s="6" t="s">
        <v>34934</v>
      </c>
      <c r="K6421" s="7">
        <f t="shared" si="2"/>
        <v>0.8724828256</v>
      </c>
    </row>
    <row r="6422">
      <c r="A6422" s="4">
        <v>6422.0</v>
      </c>
      <c r="B6422" s="5" t="s">
        <v>34935</v>
      </c>
      <c r="C6422" s="5" t="s">
        <v>34936</v>
      </c>
      <c r="D6422" s="5" t="s">
        <v>34937</v>
      </c>
      <c r="E6422" s="6" t="s">
        <v>24</v>
      </c>
      <c r="F6422" s="6" t="s">
        <v>34938</v>
      </c>
      <c r="G6422" s="3" t="str">
        <f>IFERROR(__xludf.DUMMYFUNCTION("REGEXREPLACE(
D6422,
""([一-龯々]+)\[([^\]]+)\]"",
""&lt;ruby&gt;$1&lt;rt&gt;$2&lt;/rt&gt;&lt;/ruby&gt;""
)&amp;""&lt;br&gt;&lt;div class=""""audio""""&gt;[sound:""&amp;C6422&amp;"".mp3]&lt;/div&gt;"""),"&lt;ruby&gt;潜&lt;rt&gt;もぐ&lt;/rt&gt;&lt;/ruby&gt;る&lt;br&gt;&lt;div class=""audio""&gt;[sound:もぐる.mp3]&lt;/div&gt;")</f>
        <v>&lt;ruby&gt;潜&lt;rt&gt;もぐ&lt;/rt&gt;&lt;/ruby&gt;る&lt;br&gt;&lt;div class="audio"&gt;[sound:もぐる.mp3]&lt;/div&gt;</v>
      </c>
      <c r="H6422" s="3" t="str">
        <f t="shared" si="1"/>
        <v>(v): lặn</v>
      </c>
      <c r="I6422" s="6" t="s">
        <v>34939</v>
      </c>
      <c r="J6422" s="6" t="s">
        <v>34940</v>
      </c>
      <c r="K6422" s="7">
        <f t="shared" si="2"/>
        <v>0.4331683574</v>
      </c>
    </row>
    <row r="6423">
      <c r="A6423" s="4">
        <v>6423.0</v>
      </c>
      <c r="B6423" s="5" t="s">
        <v>34941</v>
      </c>
      <c r="C6423" s="5" t="s">
        <v>34942</v>
      </c>
      <c r="D6423" s="5" t="s">
        <v>34943</v>
      </c>
      <c r="E6423" s="6" t="s">
        <v>74</v>
      </c>
      <c r="F6423" s="6" t="s">
        <v>34944</v>
      </c>
      <c r="G6423" s="3" t="str">
        <f>IFERROR(__xludf.DUMMYFUNCTION("REGEXREPLACE(
D6423,
""([一-龯々]+)\[([^\]]+)\]"",
""&lt;ruby&gt;$1&lt;rt&gt;$2&lt;/rt&gt;&lt;/ruby&gt;""
)&amp;""&lt;br&gt;&lt;div class=""""audio""""&gt;[sound:""&amp;C6423&amp;"".mp3]&lt;/div&gt;"""),"&lt;ruby&gt;片付&lt;rt&gt;かたづ&lt;/rt&gt;&lt;/ruby&gt;け&lt;br&gt;&lt;div class=""audio""&gt;[sound:かたづけ.mp3]&lt;/div&gt;")</f>
        <v>&lt;ruby&gt;片付&lt;rt&gt;かたづ&lt;/rt&gt;&lt;/ruby&gt;け&lt;br&gt;&lt;div class="audio"&gt;[sound:かたづけ.mp3]&lt;/div&gt;</v>
      </c>
      <c r="H6423" s="3" t="str">
        <f t="shared" si="1"/>
        <v>(n): sự dọn dẹp</v>
      </c>
      <c r="I6423" s="6" t="s">
        <v>34945</v>
      </c>
      <c r="J6423" s="6" t="s">
        <v>34946</v>
      </c>
      <c r="K6423" s="7">
        <f t="shared" si="2"/>
        <v>0.471770851</v>
      </c>
    </row>
    <row r="6424">
      <c r="A6424" s="4">
        <v>6424.0</v>
      </c>
      <c r="B6424" s="5" t="s">
        <v>34947</v>
      </c>
      <c r="C6424" s="5" t="s">
        <v>34948</v>
      </c>
      <c r="D6424" s="5" t="s">
        <v>34949</v>
      </c>
      <c r="E6424" s="6" t="s">
        <v>74</v>
      </c>
      <c r="F6424" s="6" t="s">
        <v>34950</v>
      </c>
      <c r="G6424" s="3" t="str">
        <f>IFERROR(__xludf.DUMMYFUNCTION("REGEXREPLACE(
D6424,
""([一-龯々]+)\[([^\]]+)\]"",
""&lt;ruby&gt;$1&lt;rt&gt;$2&lt;/rt&gt;&lt;/ruby&gt;""
)&amp;""&lt;br&gt;&lt;div class=""""audio""""&gt;[sound:""&amp;C6424&amp;"".mp3]&lt;/div&gt;"""),"&lt;ruby&gt;食欲&lt;rt&gt;しょくよく&lt;/rt&gt;&lt;/ruby&gt;&lt;br&gt;&lt;div class=""audio""&gt;[sound:しょくよく.mp3]&lt;/div&gt;")</f>
        <v>&lt;ruby&gt;食欲&lt;rt&gt;しょくよく&lt;/rt&gt;&lt;/ruby&gt;&lt;br&gt;&lt;div class="audio"&gt;[sound:しょくよく.mp3]&lt;/div&gt;</v>
      </c>
      <c r="H6424" s="3" t="str">
        <f t="shared" si="1"/>
        <v>(n): sự thèm ăn</v>
      </c>
      <c r="I6424" s="6" t="s">
        <v>34951</v>
      </c>
      <c r="J6424" s="6" t="s">
        <v>34952</v>
      </c>
      <c r="K6424" s="7">
        <f t="shared" si="2"/>
        <v>0.9632794123</v>
      </c>
    </row>
    <row r="6425">
      <c r="A6425" s="4">
        <v>6425.0</v>
      </c>
      <c r="B6425" s="5" t="s">
        <v>34953</v>
      </c>
      <c r="C6425" s="5" t="s">
        <v>34954</v>
      </c>
      <c r="D6425" s="5" t="s">
        <v>34955</v>
      </c>
      <c r="E6425" s="6" t="s">
        <v>74</v>
      </c>
      <c r="F6425" s="6" t="s">
        <v>34956</v>
      </c>
      <c r="G6425" s="3" t="str">
        <f>IFERROR(__xludf.DUMMYFUNCTION("REGEXREPLACE(
D6425,
""([一-龯々]+)\[([^\]]+)\]"",
""&lt;ruby&gt;$1&lt;rt&gt;$2&lt;/rt&gt;&lt;/ruby&gt;""
)&amp;""&lt;br&gt;&lt;div class=""""audio""""&gt;[sound:""&amp;C6425&amp;"".mp3]&lt;/div&gt;"""),"&lt;ruby&gt;停留所&lt;rt&gt;ていりゅうじょ&lt;/rt&gt;&lt;/ruby&gt;&lt;br&gt;&lt;div class=""audio""&gt;[sound:ていりゅうじょ.mp3]&lt;/div&gt;")</f>
        <v>&lt;ruby&gt;停留所&lt;rt&gt;ていりゅうじょ&lt;/rt&gt;&lt;/ruby&gt;&lt;br&gt;&lt;div class="audio"&gt;[sound:ていりゅうじょ.mp3]&lt;/div&gt;</v>
      </c>
      <c r="H6425" s="3" t="str">
        <f t="shared" si="1"/>
        <v>(n): trạm dừng</v>
      </c>
      <c r="I6425" s="6" t="s">
        <v>34957</v>
      </c>
      <c r="J6425" s="6" t="s">
        <v>34958</v>
      </c>
      <c r="K6425" s="7">
        <f t="shared" si="2"/>
        <v>0.9612986353</v>
      </c>
    </row>
    <row r="6426">
      <c r="A6426" s="4">
        <v>6426.0</v>
      </c>
      <c r="B6426" s="5" t="s">
        <v>34959</v>
      </c>
      <c r="C6426" s="5" t="s">
        <v>18296</v>
      </c>
      <c r="D6426" s="5" t="s">
        <v>34960</v>
      </c>
      <c r="E6426" s="6" t="s">
        <v>24</v>
      </c>
      <c r="F6426" s="6" t="s">
        <v>34961</v>
      </c>
      <c r="G6426" s="3" t="str">
        <f>IFERROR(__xludf.DUMMYFUNCTION("REGEXREPLACE(
D6426,
""([一-龯々]+)\[([^\]]+)\]"",
""&lt;ruby&gt;$1&lt;rt&gt;$2&lt;/rt&gt;&lt;/ruby&gt;""
)&amp;""&lt;br&gt;&lt;div class=""""audio""""&gt;[sound:""&amp;C6426&amp;"".mp3]&lt;/div&gt;"""),"&lt;ruby&gt;冷&lt;rt&gt;さ&lt;/rt&gt;&lt;/ruby&gt;ます&lt;br&gt;&lt;div class=""audio""&gt;[sound:さます.mp3]&lt;/div&gt;")</f>
        <v>&lt;ruby&gt;冷&lt;rt&gt;さ&lt;/rt&gt;&lt;/ruby&gt;ます&lt;br&gt;&lt;div class="audio"&gt;[sound:さます.mp3]&lt;/div&gt;</v>
      </c>
      <c r="H6426" s="3" t="str">
        <f t="shared" si="1"/>
        <v>(v): làm nguội</v>
      </c>
      <c r="I6426" s="6" t="s">
        <v>34962</v>
      </c>
      <c r="J6426" s="6" t="s">
        <v>34963</v>
      </c>
      <c r="K6426" s="7">
        <f t="shared" si="2"/>
        <v>0.9097488188</v>
      </c>
    </row>
    <row r="6427">
      <c r="A6427" s="4">
        <v>6427.0</v>
      </c>
      <c r="B6427" s="5" t="s">
        <v>34964</v>
      </c>
      <c r="C6427" s="5" t="s">
        <v>19476</v>
      </c>
      <c r="D6427" s="5" t="s">
        <v>34965</v>
      </c>
      <c r="E6427" s="6" t="s">
        <v>74</v>
      </c>
      <c r="F6427" s="6" t="s">
        <v>34966</v>
      </c>
      <c r="G6427" s="3" t="str">
        <f>IFERROR(__xludf.DUMMYFUNCTION("REGEXREPLACE(
D6427,
""([一-龯々]+)\[([^\]]+)\]"",
""&lt;ruby&gt;$1&lt;rt&gt;$2&lt;/rt&gt;&lt;/ruby&gt;""
)&amp;""&lt;br&gt;&lt;div class=""""audio""""&gt;[sound:""&amp;C6427&amp;"".mp3]&lt;/div&gt;"""),"&lt;ruby&gt;原稿&lt;rt&gt;げんこう&lt;/rt&gt;&lt;/ruby&gt;&lt;br&gt;&lt;div class=""audio""&gt;[sound:げんこう.mp3]&lt;/div&gt;")</f>
        <v>&lt;ruby&gt;原稿&lt;rt&gt;げんこう&lt;/rt&gt;&lt;/ruby&gt;&lt;br&gt;&lt;div class="audio"&gt;[sound:げんこう.mp3]&lt;/div&gt;</v>
      </c>
      <c r="H6427" s="3" t="str">
        <f t="shared" si="1"/>
        <v>(n): bản thảo</v>
      </c>
      <c r="I6427" s="6" t="s">
        <v>34967</v>
      </c>
      <c r="J6427" s="6" t="s">
        <v>34968</v>
      </c>
      <c r="K6427" s="7">
        <f t="shared" si="2"/>
        <v>0.450162447</v>
      </c>
    </row>
    <row r="6428">
      <c r="A6428" s="4">
        <v>6428.0</v>
      </c>
      <c r="B6428" s="5" t="s">
        <v>34969</v>
      </c>
      <c r="C6428" s="5" t="s">
        <v>34970</v>
      </c>
      <c r="D6428" s="5" t="s">
        <v>34971</v>
      </c>
      <c r="E6428" s="6" t="s">
        <v>24</v>
      </c>
      <c r="F6428" s="6" t="s">
        <v>34972</v>
      </c>
      <c r="G6428" s="3" t="str">
        <f>IFERROR(__xludf.DUMMYFUNCTION("REGEXREPLACE(
D6428,
""([一-龯々]+)\[([^\]]+)\]"",
""&lt;ruby&gt;$1&lt;rt&gt;$2&lt;/rt&gt;&lt;/ruby&gt;""
)&amp;""&lt;br&gt;&lt;div class=""""audio""""&gt;[sound:""&amp;C6428&amp;"".mp3]&lt;/div&gt;"""),"&lt;ruby&gt;劣&lt;rt&gt;おと&lt;/rt&gt;&lt;/ruby&gt;る&lt;br&gt;&lt;div class=""audio""&gt;[sound:おとる.mp3]&lt;/div&gt;")</f>
        <v>&lt;ruby&gt;劣&lt;rt&gt;おと&lt;/rt&gt;&lt;/ruby&gt;る&lt;br&gt;&lt;div class="audio"&gt;[sound:おとる.mp3]&lt;/div&gt;</v>
      </c>
      <c r="H6428" s="3" t="str">
        <f t="shared" si="1"/>
        <v>(v): kém hơn</v>
      </c>
      <c r="I6428" s="6" t="s">
        <v>34973</v>
      </c>
      <c r="J6428" s="6" t="s">
        <v>34974</v>
      </c>
      <c r="K6428" s="7">
        <f t="shared" si="2"/>
        <v>0.7806172911</v>
      </c>
    </row>
    <row r="6429">
      <c r="A6429" s="4">
        <v>6429.0</v>
      </c>
      <c r="B6429" s="5" t="s">
        <v>34975</v>
      </c>
      <c r="C6429" s="5" t="s">
        <v>34976</v>
      </c>
      <c r="D6429" s="5" t="s">
        <v>34977</v>
      </c>
      <c r="E6429" s="6" t="s">
        <v>24</v>
      </c>
      <c r="F6429" s="6" t="s">
        <v>34978</v>
      </c>
      <c r="G6429" s="3" t="str">
        <f>IFERROR(__xludf.DUMMYFUNCTION("REGEXREPLACE(
D6429,
""([一-龯々]+)\[([^\]]+)\]"",
""&lt;ruby&gt;$1&lt;rt&gt;$2&lt;/rt&gt;&lt;/ruby&gt;""
)&amp;""&lt;br&gt;&lt;div class=""""audio""""&gt;[sound:""&amp;C6429&amp;"".mp3]&lt;/div&gt;"""),"&lt;ruby&gt;匂&lt;rt&gt;にお&lt;/rt&gt;&lt;/ruby&gt;う&lt;br&gt;&lt;div class=""audio""&gt;[sound:におう.mp3]&lt;/div&gt;")</f>
        <v>&lt;ruby&gt;匂&lt;rt&gt;にお&lt;/rt&gt;&lt;/ruby&gt;う&lt;br&gt;&lt;div class="audio"&gt;[sound:におう.mp3]&lt;/div&gt;</v>
      </c>
      <c r="H6429" s="3" t="str">
        <f t="shared" si="1"/>
        <v>(v): bốc mùi</v>
      </c>
      <c r="I6429" s="6" t="s">
        <v>34979</v>
      </c>
      <c r="J6429" s="6" t="s">
        <v>34980</v>
      </c>
      <c r="K6429" s="7">
        <f t="shared" si="2"/>
        <v>0.6771423106</v>
      </c>
    </row>
    <row r="6430">
      <c r="A6430" s="4">
        <v>6430.0</v>
      </c>
      <c r="B6430" s="5" t="s">
        <v>34981</v>
      </c>
      <c r="C6430" s="5" t="s">
        <v>34982</v>
      </c>
      <c r="D6430" s="5" t="s">
        <v>34983</v>
      </c>
      <c r="E6430" s="6" t="s">
        <v>74</v>
      </c>
      <c r="F6430" s="6" t="s">
        <v>34984</v>
      </c>
      <c r="G6430" s="3" t="str">
        <f>IFERROR(__xludf.DUMMYFUNCTION("REGEXREPLACE(
D6430,
""([一-龯々]+)\[([^\]]+)\]"",
""&lt;ruby&gt;$1&lt;rt&gt;$2&lt;/rt&gt;&lt;/ruby&gt;""
)&amp;""&lt;br&gt;&lt;div class=""""audio""""&gt;[sound:""&amp;C6430&amp;"".mp3]&lt;/div&gt;"""),"&lt;ruby&gt;穀物&lt;rt&gt;こくもつ&lt;/rt&gt;&lt;/ruby&gt;&lt;br&gt;&lt;div class=""audio""&gt;[sound:こくもつ.mp3]&lt;/div&gt;")</f>
        <v>&lt;ruby&gt;穀物&lt;rt&gt;こくもつ&lt;/rt&gt;&lt;/ruby&gt;&lt;br&gt;&lt;div class="audio"&gt;[sound:こくもつ.mp3]&lt;/div&gt;</v>
      </c>
      <c r="H6430" s="3" t="str">
        <f t="shared" si="1"/>
        <v>(n): ngũ cốc</v>
      </c>
      <c r="I6430" s="6" t="s">
        <v>34985</v>
      </c>
      <c r="J6430" s="6" t="s">
        <v>34986</v>
      </c>
      <c r="K6430" s="7">
        <f t="shared" si="2"/>
        <v>0.5358095828</v>
      </c>
    </row>
    <row r="6431">
      <c r="A6431" s="4">
        <v>6431.0</v>
      </c>
      <c r="B6431" s="5" t="s">
        <v>34987</v>
      </c>
      <c r="C6431" s="5" t="s">
        <v>4289</v>
      </c>
      <c r="D6431" s="5" t="s">
        <v>34988</v>
      </c>
      <c r="E6431" s="6" t="s">
        <v>24</v>
      </c>
      <c r="F6431" s="6" t="s">
        <v>4291</v>
      </c>
      <c r="G6431" s="3" t="str">
        <f>IFERROR(__xludf.DUMMYFUNCTION("REGEXREPLACE(
D6431,
""([一-龯々]+)\[([^\]]+)\]"",
""&lt;ruby&gt;$1&lt;rt&gt;$2&lt;/rt&gt;&lt;/ruby&gt;""
)&amp;""&lt;br&gt;&lt;div class=""""audio""""&gt;[sound:""&amp;C6431&amp;"".mp3]&lt;/div&gt;"""),"&lt;ruby&gt;綴&lt;rt&gt;と&lt;/rt&gt;&lt;/ruby&gt;じる&lt;br&gt;&lt;div class=""audio""&gt;[sound:とじる.mp3]&lt;/div&gt;")</f>
        <v>&lt;ruby&gt;綴&lt;rt&gt;と&lt;/rt&gt;&lt;/ruby&gt;じる&lt;br&gt;&lt;div class="audio"&gt;[sound:とじる.mp3]&lt;/div&gt;</v>
      </c>
      <c r="H6431" s="3" t="str">
        <f t="shared" si="1"/>
        <v>(v): đóng</v>
      </c>
      <c r="I6431" s="6" t="s">
        <v>34989</v>
      </c>
      <c r="J6431" s="6" t="s">
        <v>34990</v>
      </c>
      <c r="K6431" s="7">
        <f t="shared" si="2"/>
        <v>0.02279763958</v>
      </c>
    </row>
    <row r="6432">
      <c r="A6432" s="4">
        <v>6432.0</v>
      </c>
      <c r="B6432" s="5" t="s">
        <v>34991</v>
      </c>
      <c r="C6432" s="5" t="s">
        <v>34992</v>
      </c>
      <c r="D6432" s="5" t="s">
        <v>34993</v>
      </c>
      <c r="E6432" s="6" t="s">
        <v>74</v>
      </c>
      <c r="F6432" s="6" t="s">
        <v>25669</v>
      </c>
      <c r="G6432" s="3" t="str">
        <f>IFERROR(__xludf.DUMMYFUNCTION("REGEXREPLACE(
D6432,
""([一-龯々]+)\[([^\]]+)\]"",
""&lt;ruby&gt;$1&lt;rt&gt;$2&lt;/rt&gt;&lt;/ruby&gt;""
)&amp;""&lt;br&gt;&lt;div class=""""audio""""&gt;[sound:""&amp;C6432&amp;"".mp3]&lt;/div&gt;"""),"&lt;ruby&gt;牧場&lt;rt&gt;ぼくじょう&lt;/rt&gt;&lt;/ruby&gt;&lt;br&gt;&lt;div class=""audio""&gt;[sound:ぼくじょう.mp3]&lt;/div&gt;")</f>
        <v>&lt;ruby&gt;牧場&lt;rt&gt;ぼくじょう&lt;/rt&gt;&lt;/ruby&gt;&lt;br&gt;&lt;div class="audio"&gt;[sound:ぼくじょう.mp3]&lt;/div&gt;</v>
      </c>
      <c r="H6432" s="3" t="str">
        <f t="shared" si="1"/>
        <v>(n): nông trại</v>
      </c>
      <c r="I6432" s="6" t="s">
        <v>34994</v>
      </c>
      <c r="J6432" s="6" t="s">
        <v>34995</v>
      </c>
      <c r="K6432" s="7">
        <f t="shared" si="2"/>
        <v>0.1167443924</v>
      </c>
    </row>
    <row r="6433">
      <c r="A6433" s="4">
        <v>6433.0</v>
      </c>
      <c r="B6433" s="5" t="s">
        <v>34996</v>
      </c>
      <c r="C6433" s="5" t="s">
        <v>34997</v>
      </c>
      <c r="D6433" s="5" t="s">
        <v>34998</v>
      </c>
      <c r="E6433" s="6" t="s">
        <v>74</v>
      </c>
      <c r="F6433" s="6" t="s">
        <v>16378</v>
      </c>
      <c r="G6433" s="3" t="str">
        <f>IFERROR(__xludf.DUMMYFUNCTION("REGEXREPLACE(
D6433,
""([一-龯々]+)\[([^\]]+)\]"",
""&lt;ruby&gt;$1&lt;rt&gt;$2&lt;/rt&gt;&lt;/ruby&gt;""
)&amp;""&lt;br&gt;&lt;div class=""""audio""""&gt;[sound:""&amp;C6433&amp;"".mp3]&lt;/div&gt;"""),"&lt;ruby&gt;用心&lt;rt&gt;ようじん&lt;/rt&gt;&lt;/ruby&gt;&lt;br&gt;&lt;div class=""audio""&gt;[sound:ようじん.mp3]&lt;/div&gt;")</f>
        <v>&lt;ruby&gt;用心&lt;rt&gt;ようじん&lt;/rt&gt;&lt;/ruby&gt;&lt;br&gt;&lt;div class="audio"&gt;[sound:ようじん.mp3]&lt;/div&gt;</v>
      </c>
      <c r="H6433" s="3" t="str">
        <f t="shared" si="1"/>
        <v>(n): cẩn thận</v>
      </c>
      <c r="I6433" s="6" t="s">
        <v>34999</v>
      </c>
      <c r="J6433" s="6" t="s">
        <v>35000</v>
      </c>
      <c r="K6433" s="7">
        <f t="shared" si="2"/>
        <v>0.8868683273</v>
      </c>
    </row>
    <row r="6434">
      <c r="A6434" s="4">
        <v>6434.0</v>
      </c>
      <c r="B6434" s="5" t="s">
        <v>35001</v>
      </c>
      <c r="C6434" s="5" t="s">
        <v>35002</v>
      </c>
      <c r="D6434" s="5" t="s">
        <v>35003</v>
      </c>
      <c r="E6434" s="6" t="s">
        <v>24</v>
      </c>
      <c r="F6434" s="6" t="s">
        <v>4000</v>
      </c>
      <c r="G6434" s="3" t="str">
        <f>IFERROR(__xludf.DUMMYFUNCTION("REGEXREPLACE(
D6434,
""([一-龯々]+)\[([^\]]+)\]"",
""&lt;ruby&gt;$1&lt;rt&gt;$2&lt;/rt&gt;&lt;/ruby&gt;""
)&amp;""&lt;br&gt;&lt;div class=""""audio""""&gt;[sound:""&amp;C6434&amp;"".mp3]&lt;/div&gt;"""),"&lt;ruby&gt;釣&lt;rt&gt;つ&lt;/rt&gt;&lt;/ruby&gt;り&lt;ruby&gt;合&lt;rt&gt;あ&lt;/rt&gt;&lt;/ruby&gt;う&lt;br&gt;&lt;div class=""audio""&gt;[sound:つりあう.mp3]&lt;/div&gt;")</f>
        <v>&lt;ruby&gt;釣&lt;rt&gt;つ&lt;/rt&gt;&lt;/ruby&gt;り&lt;ruby&gt;合&lt;rt&gt;あ&lt;/rt&gt;&lt;/ruby&gt;う&lt;br&gt;&lt;div class="audio"&gt;[sound:つりあう.mp3]&lt;/div&gt;</v>
      </c>
      <c r="H6434" s="3" t="str">
        <f t="shared" si="1"/>
        <v>(v): cân bằng</v>
      </c>
      <c r="I6434" s="6" t="s">
        <v>35004</v>
      </c>
      <c r="J6434" s="6" t="s">
        <v>35005</v>
      </c>
      <c r="K6434" s="7">
        <f t="shared" si="2"/>
        <v>0.7341648633</v>
      </c>
    </row>
    <row r="6435">
      <c r="A6435" s="4">
        <v>6435.0</v>
      </c>
      <c r="B6435" s="5" t="s">
        <v>35006</v>
      </c>
      <c r="C6435" s="5" t="s">
        <v>6412</v>
      </c>
      <c r="D6435" s="5" t="s">
        <v>35007</v>
      </c>
      <c r="E6435" s="6" t="s">
        <v>74</v>
      </c>
      <c r="F6435" s="6" t="s">
        <v>19843</v>
      </c>
      <c r="G6435" s="3" t="str">
        <f>IFERROR(__xludf.DUMMYFUNCTION("REGEXREPLACE(
D6435,
""([一-龯々]+)\[([^\]]+)\]"",
""&lt;ruby&gt;$1&lt;rt&gt;$2&lt;/rt&gt;&lt;/ruby&gt;""
)&amp;""&lt;br&gt;&lt;div class=""""audio""""&gt;[sound:""&amp;C6435&amp;"".mp3]&lt;/div&gt;"""),"&lt;ruby&gt;判&lt;rt&gt;はん&lt;/rt&gt;&lt;/ruby&gt;&lt;br&gt;&lt;div class=""audio""&gt;[sound:はん.mp3]&lt;/div&gt;")</f>
        <v>&lt;ruby&gt;判&lt;rt&gt;はん&lt;/rt&gt;&lt;/ruby&gt;&lt;br&gt;&lt;div class="audio"&gt;[sound:はん.mp3]&lt;/div&gt;</v>
      </c>
      <c r="H6435" s="3" t="str">
        <f t="shared" si="1"/>
        <v>(n): con dấu</v>
      </c>
      <c r="I6435" s="6" t="s">
        <v>35008</v>
      </c>
      <c r="J6435" s="6" t="s">
        <v>35009</v>
      </c>
      <c r="K6435" s="7">
        <f t="shared" si="2"/>
        <v>0.69208165</v>
      </c>
    </row>
    <row r="6436">
      <c r="A6436" s="4">
        <v>6436.0</v>
      </c>
      <c r="B6436" s="5" t="s">
        <v>35010</v>
      </c>
      <c r="C6436" s="5" t="s">
        <v>35011</v>
      </c>
      <c r="D6436" s="5" t="s">
        <v>35012</v>
      </c>
      <c r="E6436" s="6" t="s">
        <v>74</v>
      </c>
      <c r="F6436" s="6" t="s">
        <v>33551</v>
      </c>
      <c r="G6436" s="3" t="str">
        <f>IFERROR(__xludf.DUMMYFUNCTION("REGEXREPLACE(
D6436,
""([一-龯々]+)\[([^\]]+)\]"",
""&lt;ruby&gt;$1&lt;rt&gt;$2&lt;/rt&gt;&lt;/ruby&gt;""
)&amp;""&lt;br&gt;&lt;div class=""""audio""""&gt;[sound:""&amp;C6436&amp;"".mp3]&lt;/div&gt;"""),"&lt;ruby&gt;泳&lt;rt&gt;およ&lt;/rt&gt;&lt;/ruby&gt;ぎ&lt;br&gt;&lt;div class=""audio""&gt;[sound:およぎ.mp3]&lt;/div&gt;")</f>
        <v>&lt;ruby&gt;泳&lt;rt&gt;およ&lt;/rt&gt;&lt;/ruby&gt;ぎ&lt;br&gt;&lt;div class="audio"&gt;[sound:およぎ.mp3]&lt;/div&gt;</v>
      </c>
      <c r="H6436" s="3" t="str">
        <f t="shared" si="1"/>
        <v>(n): bơi lội</v>
      </c>
      <c r="I6436" s="6" t="s">
        <v>35013</v>
      </c>
      <c r="J6436" s="6" t="s">
        <v>35014</v>
      </c>
      <c r="K6436" s="7">
        <f t="shared" si="2"/>
        <v>0.24583294</v>
      </c>
    </row>
    <row r="6437">
      <c r="A6437" s="4">
        <v>6437.0</v>
      </c>
      <c r="B6437" s="5" t="s">
        <v>35015</v>
      </c>
      <c r="C6437" s="5" t="s">
        <v>35016</v>
      </c>
      <c r="D6437" s="5" t="s">
        <v>35017</v>
      </c>
      <c r="E6437" s="6" t="s">
        <v>24</v>
      </c>
      <c r="F6437" s="6" t="s">
        <v>11545</v>
      </c>
      <c r="G6437" s="3" t="str">
        <f>IFERROR(__xludf.DUMMYFUNCTION("REGEXREPLACE(
D6437,
""([一-龯々]+)\[([^\]]+)\]"",
""&lt;ruby&gt;$1&lt;rt&gt;$2&lt;/rt&gt;&lt;/ruby&gt;""
)&amp;""&lt;br&gt;&lt;div class=""""audio""""&gt;[sound:""&amp;C6437&amp;"".mp3]&lt;/div&gt;"""),"&lt;ruby&gt;長引&lt;rt&gt;ながび&lt;/rt&gt;&lt;/ruby&gt;く&lt;br&gt;&lt;div class=""audio""&gt;[sound:ながびく.mp3]&lt;/div&gt;")</f>
        <v>&lt;ruby&gt;長引&lt;rt&gt;ながび&lt;/rt&gt;&lt;/ruby&gt;く&lt;br&gt;&lt;div class="audio"&gt;[sound:ながびく.mp3]&lt;/div&gt;</v>
      </c>
      <c r="H6437" s="3" t="str">
        <f t="shared" si="1"/>
        <v>(v): kéo dài</v>
      </c>
      <c r="I6437" s="6" t="s">
        <v>35018</v>
      </c>
      <c r="J6437" s="6" t="s">
        <v>35019</v>
      </c>
      <c r="K6437" s="7">
        <f t="shared" si="2"/>
        <v>0.8438739294</v>
      </c>
    </row>
    <row r="6438">
      <c r="A6438" s="4">
        <v>6438.0</v>
      </c>
      <c r="B6438" s="5" t="s">
        <v>35020</v>
      </c>
      <c r="C6438" s="5" t="s">
        <v>35021</v>
      </c>
      <c r="D6438" s="5" t="s">
        <v>35022</v>
      </c>
      <c r="E6438" s="6" t="s">
        <v>74</v>
      </c>
      <c r="F6438" s="6" t="s">
        <v>35023</v>
      </c>
      <c r="G6438" s="3" t="str">
        <f>IFERROR(__xludf.DUMMYFUNCTION("REGEXREPLACE(
D6438,
""([一-龯々]+)\[([^\]]+)\]"",
""&lt;ruby&gt;$1&lt;rt&gt;$2&lt;/rt&gt;&lt;/ruby&gt;""
)&amp;""&lt;br&gt;&lt;div class=""""audio""""&gt;[sound:""&amp;C6438&amp;"".mp3]&lt;/div&gt;"""),"&lt;ruby&gt;画家&lt;rt&gt;がか&lt;/rt&gt;&lt;/ruby&gt;&lt;br&gt;&lt;div class=""audio""&gt;[sound:がか.mp3]&lt;/div&gt;")</f>
        <v>&lt;ruby&gt;画家&lt;rt&gt;がか&lt;/rt&gt;&lt;/ruby&gt;&lt;br&gt;&lt;div class="audio"&gt;[sound:がか.mp3]&lt;/div&gt;</v>
      </c>
      <c r="H6438" s="3" t="str">
        <f t="shared" si="1"/>
        <v>(n): họa sĩ</v>
      </c>
      <c r="I6438" s="6" t="s">
        <v>35024</v>
      </c>
      <c r="J6438" s="6" t="s">
        <v>35025</v>
      </c>
      <c r="K6438" s="7">
        <f t="shared" si="2"/>
        <v>0.2656254883</v>
      </c>
    </row>
    <row r="6439">
      <c r="A6439" s="4">
        <v>6439.0</v>
      </c>
      <c r="B6439" s="5" t="s">
        <v>35026</v>
      </c>
      <c r="C6439" s="5" t="s">
        <v>35027</v>
      </c>
      <c r="D6439" s="5" t="s">
        <v>35028</v>
      </c>
      <c r="E6439" s="6" t="s">
        <v>11</v>
      </c>
      <c r="F6439" s="6" t="s">
        <v>35029</v>
      </c>
      <c r="G6439" s="3" t="str">
        <f>IFERROR(__xludf.DUMMYFUNCTION("REGEXREPLACE(
D6439,
""([一-龯々]+)\[([^\]]+)\]"",
""&lt;ruby&gt;$1&lt;rt&gt;$2&lt;/rt&gt;&lt;/ruby&gt;""
)&amp;""&lt;br&gt;&lt;div class=""""audio""""&gt;[sound:""&amp;C6439&amp;"".mp3]&lt;/div&gt;"""),"&lt;ruby&gt;薄暗&lt;rt&gt;うすぐら&lt;/rt&gt;&lt;/ruby&gt;い&lt;br&gt;&lt;div class=""audio""&gt;[sound:うすぐらい.mp3]&lt;/div&gt;")</f>
        <v>&lt;ruby&gt;薄暗&lt;rt&gt;うすぐら&lt;/rt&gt;&lt;/ruby&gt;い&lt;br&gt;&lt;div class="audio"&gt;[sound:うすぐらい.mp3]&lt;/div&gt;</v>
      </c>
      <c r="H6439" s="3" t="str">
        <f t="shared" si="1"/>
        <v>(adj): tối mờ</v>
      </c>
      <c r="I6439" s="6" t="s">
        <v>35030</v>
      </c>
      <c r="J6439" s="6" t="s">
        <v>35031</v>
      </c>
      <c r="K6439" s="7">
        <f t="shared" si="2"/>
        <v>0.8445426594</v>
      </c>
    </row>
    <row r="6440">
      <c r="A6440" s="4">
        <v>6440.0</v>
      </c>
      <c r="B6440" s="5" t="s">
        <v>35032</v>
      </c>
      <c r="C6440" s="5" t="s">
        <v>35033</v>
      </c>
      <c r="D6440" s="5" t="s">
        <v>35034</v>
      </c>
      <c r="E6440" s="6" t="s">
        <v>74</v>
      </c>
      <c r="F6440" s="6" t="s">
        <v>35035</v>
      </c>
      <c r="G6440" s="3" t="str">
        <f>IFERROR(__xludf.DUMMYFUNCTION("REGEXREPLACE(
D6440,
""([一-龯々]+)\[([^\]]+)\]"",
""&lt;ruby&gt;$1&lt;rt&gt;$2&lt;/rt&gt;&lt;/ruby&gt;""
)&amp;""&lt;br&gt;&lt;div class=""""audio""""&gt;[sound:""&amp;C6440&amp;"".mp3]&lt;/div&gt;"""),"&lt;ruby&gt;水素&lt;rt&gt;すいそ&lt;/rt&gt;&lt;/ruby&gt;&lt;br&gt;&lt;div class=""audio""&gt;[sound:すいそ.mp3]&lt;/div&gt;")</f>
        <v>&lt;ruby&gt;水素&lt;rt&gt;すいそ&lt;/rt&gt;&lt;/ruby&gt;&lt;br&gt;&lt;div class="audio"&gt;[sound:すいそ.mp3]&lt;/div&gt;</v>
      </c>
      <c r="H6440" s="3" t="str">
        <f t="shared" si="1"/>
        <v>(n): hydro</v>
      </c>
      <c r="I6440" s="6" t="s">
        <v>35036</v>
      </c>
      <c r="J6440" s="6" t="s">
        <v>35037</v>
      </c>
      <c r="K6440" s="7">
        <f t="shared" si="2"/>
        <v>0.5495197205</v>
      </c>
    </row>
    <row r="6441">
      <c r="A6441" s="4">
        <v>6441.0</v>
      </c>
      <c r="B6441" s="5" t="s">
        <v>35038</v>
      </c>
      <c r="C6441" s="5" t="s">
        <v>7171</v>
      </c>
      <c r="D6441" s="5" t="s">
        <v>35039</v>
      </c>
      <c r="E6441" s="6" t="s">
        <v>24</v>
      </c>
      <c r="F6441" s="6" t="s">
        <v>4943</v>
      </c>
      <c r="G6441" s="3" t="str">
        <f>IFERROR(__xludf.DUMMYFUNCTION("REGEXREPLACE(
D6441,
""([一-龯々]+)\[([^\]]+)\]"",
""&lt;ruby&gt;$1&lt;rt&gt;$2&lt;/rt&gt;&lt;/ruby&gt;""
)&amp;""&lt;br&gt;&lt;div class=""""audio""""&gt;[sound:""&amp;C6441&amp;"".mp3]&lt;/div&gt;"""),"&lt;ruby&gt;殖&lt;rt&gt;ふ&lt;/rt&gt;&lt;/ruby&gt;やす&lt;br&gt;&lt;div class=""audio""&gt;[sound:ふやす.mp3]&lt;/div&gt;")</f>
        <v>&lt;ruby&gt;殖&lt;rt&gt;ふ&lt;/rt&gt;&lt;/ruby&gt;やす&lt;br&gt;&lt;div class="audio"&gt;[sound:ふやす.mp3]&lt;/div&gt;</v>
      </c>
      <c r="H6441" s="3" t="str">
        <f t="shared" si="1"/>
        <v>(v): tăng</v>
      </c>
      <c r="I6441" s="6" t="s">
        <v>35040</v>
      </c>
      <c r="J6441" s="6" t="s">
        <v>35041</v>
      </c>
      <c r="K6441" s="7">
        <f t="shared" si="2"/>
        <v>0.7863966247</v>
      </c>
    </row>
    <row r="6442">
      <c r="A6442" s="4">
        <v>6442.0</v>
      </c>
      <c r="B6442" s="5" t="s">
        <v>35042</v>
      </c>
      <c r="C6442" s="5" t="s">
        <v>26701</v>
      </c>
      <c r="D6442" s="5" t="s">
        <v>35043</v>
      </c>
      <c r="E6442" s="6" t="s">
        <v>85</v>
      </c>
      <c r="F6442" s="6" t="s">
        <v>604</v>
      </c>
      <c r="G6442" s="3" t="str">
        <f>IFERROR(__xludf.DUMMYFUNCTION("REGEXREPLACE(
D6442,
""([一-龯々]+)\[([^\]]+)\]"",
""&lt;ruby&gt;$1&lt;rt&gt;$2&lt;/rt&gt;&lt;/ruby&gt;""
)&amp;""&lt;br&gt;&lt;div class=""""audio""""&gt;[sound:""&amp;C6442&amp;"".mp3]&lt;/div&gt;"""),"&lt;ruby&gt;大層&lt;rt&gt;たいそう&lt;/rt&gt;&lt;/ruby&gt;&lt;br&gt;&lt;div class=""audio""&gt;[sound:たいそう.mp3]&lt;/div&gt;")</f>
        <v>&lt;ruby&gt;大層&lt;rt&gt;たいそう&lt;/rt&gt;&lt;/ruby&gt;&lt;br&gt;&lt;div class="audio"&gt;[sound:たいそう.mp3]&lt;/div&gt;</v>
      </c>
      <c r="H6442" s="3" t="str">
        <f t="shared" si="1"/>
        <v>(adv): rất</v>
      </c>
      <c r="I6442" s="6" t="s">
        <v>35044</v>
      </c>
      <c r="J6442" s="6" t="s">
        <v>35045</v>
      </c>
      <c r="K6442" s="7">
        <f t="shared" si="2"/>
        <v>0.6287185703</v>
      </c>
    </row>
    <row r="6443">
      <c r="A6443" s="4">
        <v>6443.0</v>
      </c>
      <c r="B6443" s="5" t="s">
        <v>35046</v>
      </c>
      <c r="C6443" s="5" t="s">
        <v>35047</v>
      </c>
      <c r="D6443" s="5" t="s">
        <v>35048</v>
      </c>
      <c r="E6443" s="6" t="s">
        <v>74</v>
      </c>
      <c r="F6443" s="6" t="s">
        <v>4673</v>
      </c>
      <c r="G6443" s="3" t="str">
        <f>IFERROR(__xludf.DUMMYFUNCTION("REGEXREPLACE(
D6443,
""([一-龯々]+)\[([^\]]+)\]"",
""&lt;ruby&gt;$1&lt;rt&gt;$2&lt;/rt&gt;&lt;/ruby&gt;""
)&amp;""&lt;br&gt;&lt;div class=""""audio""""&gt;[sound:""&amp;C6443&amp;"".mp3]&lt;/div&gt;"""),"&lt;ruby&gt;腰掛&lt;rt&gt;こしか&lt;/rt&gt;&lt;/ruby&gt;け&lt;br&gt;&lt;div class=""audio""&gt;[sound:こしかけ.mp3]&lt;/div&gt;")</f>
        <v>&lt;ruby&gt;腰掛&lt;rt&gt;こしか&lt;/rt&gt;&lt;/ruby&gt;け&lt;br&gt;&lt;div class="audio"&gt;[sound:こしかけ.mp3]&lt;/div&gt;</v>
      </c>
      <c r="H6443" s="3" t="str">
        <f t="shared" si="1"/>
        <v>(n): ghế</v>
      </c>
      <c r="I6443" s="6" t="s">
        <v>35049</v>
      </c>
      <c r="J6443" s="6" t="s">
        <v>35050</v>
      </c>
      <c r="K6443" s="7">
        <f t="shared" si="2"/>
        <v>0.4411342178</v>
      </c>
    </row>
    <row r="6444">
      <c r="A6444" s="4">
        <v>6444.0</v>
      </c>
      <c r="B6444" s="5" t="s">
        <v>35051</v>
      </c>
      <c r="C6444" s="5" t="s">
        <v>35052</v>
      </c>
      <c r="D6444" s="5" t="s">
        <v>35053</v>
      </c>
      <c r="E6444" s="6" t="s">
        <v>74</v>
      </c>
      <c r="F6444" s="6" t="s">
        <v>24272</v>
      </c>
      <c r="G6444" s="3" t="str">
        <f>IFERROR(__xludf.DUMMYFUNCTION("REGEXREPLACE(
D6444,
""([一-龯々]+)\[([^\]]+)\]"",
""&lt;ruby&gt;$1&lt;rt&gt;$2&lt;/rt&gt;&lt;/ruby&gt;""
)&amp;""&lt;br&gt;&lt;div class=""""audio""""&gt;[sound:""&amp;C6444&amp;"".mp3]&lt;/div&gt;"""),"&lt;ruby&gt;特急&lt;rt&gt;とっきゅう&lt;/rt&gt;&lt;/ruby&gt;&lt;br&gt;&lt;div class=""audio""&gt;[sound:とっきゅう.mp3]&lt;/div&gt;")</f>
        <v>&lt;ruby&gt;特急&lt;rt&gt;とっきゅう&lt;/rt&gt;&lt;/ruby&gt;&lt;br&gt;&lt;div class="audio"&gt;[sound:とっきゅう.mp3]&lt;/div&gt;</v>
      </c>
      <c r="H6444" s="3" t="str">
        <f t="shared" si="1"/>
        <v>(n): tàu tốc hành</v>
      </c>
      <c r="I6444" s="6" t="s">
        <v>35054</v>
      </c>
      <c r="J6444" s="6" t="s">
        <v>24274</v>
      </c>
      <c r="K6444" s="7">
        <f t="shared" si="2"/>
        <v>0.1106245328</v>
      </c>
    </row>
    <row r="6445">
      <c r="A6445" s="4">
        <v>6445.0</v>
      </c>
      <c r="B6445" s="5" t="s">
        <v>35055</v>
      </c>
      <c r="C6445" s="5" t="s">
        <v>13806</v>
      </c>
      <c r="D6445" s="5" t="s">
        <v>35056</v>
      </c>
      <c r="E6445" s="6" t="s">
        <v>24</v>
      </c>
      <c r="F6445" s="6" t="s">
        <v>5572</v>
      </c>
      <c r="G6445" s="3" t="str">
        <f>IFERROR(__xludf.DUMMYFUNCTION("REGEXREPLACE(
D6445,
""([一-龯々]+)\[([^\]]+)\]"",
""&lt;ruby&gt;$1&lt;rt&gt;$2&lt;/rt&gt;&lt;/ruby&gt;""
)&amp;""&lt;br&gt;&lt;div class=""""audio""""&gt;[sound:""&amp;C6445&amp;"".mp3]&lt;/div&gt;"""),"&lt;ruby&gt;具&lt;rt&gt;そな&lt;/rt&gt;&lt;/ruby&gt;える&lt;br&gt;&lt;div class=""audio""&gt;[sound:そなえる.mp3]&lt;/div&gt;")</f>
        <v>&lt;ruby&gt;具&lt;rt&gt;そな&lt;/rt&gt;&lt;/ruby&gt;える&lt;br&gt;&lt;div class="audio"&gt;[sound:そなえる.mp3]&lt;/div&gt;</v>
      </c>
      <c r="H6445" s="3" t="str">
        <f t="shared" si="1"/>
        <v>(v): chuẩn bị</v>
      </c>
      <c r="I6445" s="6" t="s">
        <v>35057</v>
      </c>
      <c r="J6445" s="6" t="s">
        <v>35058</v>
      </c>
      <c r="K6445" s="7">
        <f t="shared" si="2"/>
        <v>0.6346549189</v>
      </c>
    </row>
    <row r="6446">
      <c r="A6446" s="4">
        <v>6446.0</v>
      </c>
      <c r="B6446" s="5" t="s">
        <v>35059</v>
      </c>
      <c r="C6446" s="5" t="s">
        <v>35060</v>
      </c>
      <c r="D6446" s="5" t="s">
        <v>35061</v>
      </c>
      <c r="E6446" s="6" t="s">
        <v>74</v>
      </c>
      <c r="F6446" s="6" t="s">
        <v>1845</v>
      </c>
      <c r="G6446" s="3" t="str">
        <f>IFERROR(__xludf.DUMMYFUNCTION("REGEXREPLACE(
D6446,
""([一-龯々]+)\[([^\]]+)\]"",
""&lt;ruby&gt;$1&lt;rt&gt;$2&lt;/rt&gt;&lt;/ruby&gt;""
)&amp;""&lt;br&gt;&lt;div class=""""audio""""&gt;[sound:""&amp;C6446&amp;"".mp3]&lt;/div&gt;"""),"&lt;ruby&gt;区域&lt;rt&gt;くいき&lt;/rt&gt;&lt;/ruby&gt;&lt;br&gt;&lt;div class=""audio""&gt;[sound:くいき.mp3]&lt;/div&gt;")</f>
        <v>&lt;ruby&gt;区域&lt;rt&gt;くいき&lt;/rt&gt;&lt;/ruby&gt;&lt;br&gt;&lt;div class="audio"&gt;[sound:くいき.mp3]&lt;/div&gt;</v>
      </c>
      <c r="H6446" s="3" t="str">
        <f t="shared" si="1"/>
        <v>(n): khu vực</v>
      </c>
      <c r="I6446" s="6" t="s">
        <v>35062</v>
      </c>
      <c r="J6446" s="6" t="s">
        <v>35063</v>
      </c>
      <c r="K6446" s="7">
        <f t="shared" si="2"/>
        <v>0.8775332934</v>
      </c>
    </row>
    <row r="6447">
      <c r="A6447" s="4">
        <v>6447.0</v>
      </c>
      <c r="B6447" s="5" t="s">
        <v>35064</v>
      </c>
      <c r="C6447" s="5" t="s">
        <v>35065</v>
      </c>
      <c r="D6447" s="5" t="s">
        <v>35066</v>
      </c>
      <c r="E6447" s="6" t="s">
        <v>74</v>
      </c>
      <c r="F6447" s="6" t="s">
        <v>35067</v>
      </c>
      <c r="G6447" s="3" t="str">
        <f>IFERROR(__xludf.DUMMYFUNCTION("REGEXREPLACE(
D6447,
""([一-龯々]+)\[([^\]]+)\]"",
""&lt;ruby&gt;$1&lt;rt&gt;$2&lt;/rt&gt;&lt;/ruby&gt;""
)&amp;""&lt;br&gt;&lt;div class=""""audio""""&gt;[sound:""&amp;C6447&amp;"".mp3]&lt;/div&gt;"""),"&lt;ruby&gt;社説&lt;rt&gt;しゃせつ&lt;/rt&gt;&lt;/ruby&gt;&lt;br&gt;&lt;div class=""audio""&gt;[sound:しゃせつ.mp3]&lt;/div&gt;")</f>
        <v>&lt;ruby&gt;社説&lt;rt&gt;しゃせつ&lt;/rt&gt;&lt;/ruby&gt;&lt;br&gt;&lt;div class="audio"&gt;[sound:しゃせつ.mp3]&lt;/div&gt;</v>
      </c>
      <c r="H6447" s="3" t="str">
        <f t="shared" si="1"/>
        <v>(n): xã luận</v>
      </c>
      <c r="I6447" s="6" t="s">
        <v>35068</v>
      </c>
      <c r="J6447" s="6" t="s">
        <v>35069</v>
      </c>
      <c r="K6447" s="7">
        <f t="shared" si="2"/>
        <v>0.01361104457</v>
      </c>
    </row>
    <row r="6448">
      <c r="A6448" s="4">
        <v>6448.0</v>
      </c>
      <c r="B6448" s="5" t="s">
        <v>35070</v>
      </c>
      <c r="C6448" s="5" t="s">
        <v>35071</v>
      </c>
      <c r="D6448" s="5" t="s">
        <v>35072</v>
      </c>
      <c r="E6448" s="6" t="s">
        <v>74</v>
      </c>
      <c r="F6448" s="6" t="s">
        <v>35073</v>
      </c>
      <c r="G6448" s="3" t="str">
        <f>IFERROR(__xludf.DUMMYFUNCTION("REGEXREPLACE(
D6448,
""([一-龯々]+)\[([^\]]+)\]"",
""&lt;ruby&gt;$1&lt;rt&gt;$2&lt;/rt&gt;&lt;/ruby&gt;""
)&amp;""&lt;br&gt;&lt;div class=""""audio""""&gt;[sound:""&amp;C6448&amp;"".mp3]&lt;/div&gt;"""),"&lt;ruby&gt;背広&lt;rt&gt;せびろ&lt;/rt&gt;&lt;/ruby&gt;&lt;br&gt;&lt;div class=""audio""&gt;[sound:せびろ.mp3]&lt;/div&gt;")</f>
        <v>&lt;ruby&gt;背広&lt;rt&gt;せびろ&lt;/rt&gt;&lt;/ruby&gt;&lt;br&gt;&lt;div class="audio"&gt;[sound:せびろ.mp3]&lt;/div&gt;</v>
      </c>
      <c r="H6448" s="3" t="str">
        <f t="shared" si="1"/>
        <v>(n): áo vest</v>
      </c>
      <c r="I6448" s="6" t="s">
        <v>35074</v>
      </c>
      <c r="J6448" s="6" t="s">
        <v>35075</v>
      </c>
      <c r="K6448" s="7">
        <f t="shared" si="2"/>
        <v>0.9919166831</v>
      </c>
    </row>
    <row r="6449">
      <c r="A6449" s="4">
        <v>6449.0</v>
      </c>
      <c r="B6449" s="5" t="s">
        <v>35076</v>
      </c>
      <c r="C6449" s="5" t="s">
        <v>35077</v>
      </c>
      <c r="D6449" s="5" t="s">
        <v>35078</v>
      </c>
      <c r="E6449" s="6" t="s">
        <v>24</v>
      </c>
      <c r="F6449" s="6" t="s">
        <v>35079</v>
      </c>
      <c r="G6449" s="3" t="str">
        <f>IFERROR(__xludf.DUMMYFUNCTION("REGEXREPLACE(
D6449,
""([一-龯々]+)\[([^\]]+)\]"",
""&lt;ruby&gt;$1&lt;rt&gt;$2&lt;/rt&gt;&lt;/ruby&gt;""
)&amp;""&lt;br&gt;&lt;div class=""""audio""""&gt;[sound:""&amp;C6449&amp;"".mp3]&lt;/div&gt;"""),"&lt;ruby&gt;茂&lt;rt&gt;しげ&lt;/rt&gt;&lt;/ruby&gt;る&lt;br&gt;&lt;div class=""audio""&gt;[sound:しげる.mp3]&lt;/div&gt;")</f>
        <v>&lt;ruby&gt;茂&lt;rt&gt;しげ&lt;/rt&gt;&lt;/ruby&gt;る&lt;br&gt;&lt;div class="audio"&gt;[sound:しげる.mp3]&lt;/div&gt;</v>
      </c>
      <c r="H6449" s="3" t="str">
        <f t="shared" si="1"/>
        <v>(v): rậm rạp</v>
      </c>
      <c r="I6449" s="6" t="s">
        <v>35080</v>
      </c>
      <c r="J6449" s="6" t="s">
        <v>35081</v>
      </c>
      <c r="K6449" s="7">
        <f t="shared" si="2"/>
        <v>0.341184521</v>
      </c>
    </row>
    <row r="6450">
      <c r="A6450" s="4">
        <v>6450.0</v>
      </c>
      <c r="B6450" s="5" t="s">
        <v>35082</v>
      </c>
      <c r="C6450" s="5" t="s">
        <v>18073</v>
      </c>
      <c r="D6450" s="5" t="s">
        <v>35083</v>
      </c>
      <c r="E6450" s="6" t="s">
        <v>24</v>
      </c>
      <c r="F6450" s="6" t="s">
        <v>35084</v>
      </c>
      <c r="G6450" s="3" t="str">
        <f>IFERROR(__xludf.DUMMYFUNCTION("REGEXREPLACE(
D6450,
""([一-龯々]+)\[([^\]]+)\]"",
""&lt;ruby&gt;$1&lt;rt&gt;$2&lt;/rt&gt;&lt;/ruby&gt;""
)&amp;""&lt;br&gt;&lt;div class=""""audio""""&gt;[sound:""&amp;C6450&amp;"".mp3]&lt;/div&gt;"""),"&lt;ruby&gt;冷&lt;rt&gt;さ&lt;/rt&gt;&lt;/ruby&gt;める&lt;br&gt;&lt;div class=""audio""&gt;[sound:さめる.mp3]&lt;/div&gt;")</f>
        <v>&lt;ruby&gt;冷&lt;rt&gt;さ&lt;/rt&gt;&lt;/ruby&gt;める&lt;br&gt;&lt;div class="audio"&gt;[sound:さめる.mp3]&lt;/div&gt;</v>
      </c>
      <c r="H6450" s="3" t="str">
        <f t="shared" si="1"/>
        <v>(v): nguội</v>
      </c>
      <c r="I6450" s="6" t="s">
        <v>35085</v>
      </c>
      <c r="J6450" s="6" t="s">
        <v>35086</v>
      </c>
      <c r="K6450" s="7">
        <f t="shared" si="2"/>
        <v>0.2052572953</v>
      </c>
    </row>
    <row r="6451">
      <c r="A6451" s="4">
        <v>6451.0</v>
      </c>
      <c r="B6451" s="5" t="s">
        <v>35087</v>
      </c>
      <c r="C6451" s="5" t="s">
        <v>35088</v>
      </c>
      <c r="D6451" s="5" t="s">
        <v>35089</v>
      </c>
      <c r="E6451" s="6" t="s">
        <v>74</v>
      </c>
      <c r="F6451" s="6" t="s">
        <v>35090</v>
      </c>
      <c r="G6451" s="3" t="str">
        <f>IFERROR(__xludf.DUMMYFUNCTION("REGEXREPLACE(
D6451,
""([一-龯々]+)\[([^\]]+)\]"",
""&lt;ruby&gt;$1&lt;rt&gt;$2&lt;/rt&gt;&lt;/ruby&gt;""
)&amp;""&lt;br&gt;&lt;div class=""""audio""""&gt;[sound:""&amp;C6451&amp;"".mp3]&lt;/div&gt;"""),"&lt;ruby&gt;枕&lt;rt&gt;まくら&lt;/rt&gt;&lt;/ruby&gt;&lt;br&gt;&lt;div class=""audio""&gt;[sound:まくら.mp3]&lt;/div&gt;")</f>
        <v>&lt;ruby&gt;枕&lt;rt&gt;まくら&lt;/rt&gt;&lt;/ruby&gt;&lt;br&gt;&lt;div class="audio"&gt;[sound:まくら.mp3]&lt;/div&gt;</v>
      </c>
      <c r="H6451" s="3" t="str">
        <f t="shared" si="1"/>
        <v>(n): gối</v>
      </c>
      <c r="I6451" s="6" t="s">
        <v>35091</v>
      </c>
      <c r="J6451" s="6" t="s">
        <v>35092</v>
      </c>
      <c r="K6451" s="7">
        <f t="shared" si="2"/>
        <v>0.2268960832</v>
      </c>
    </row>
    <row r="6452">
      <c r="A6452" s="4">
        <v>6452.0</v>
      </c>
      <c r="B6452" s="5" t="s">
        <v>35093</v>
      </c>
      <c r="C6452" s="5" t="s">
        <v>17887</v>
      </c>
      <c r="D6452" s="5" t="s">
        <v>35094</v>
      </c>
      <c r="E6452" s="6" t="s">
        <v>74</v>
      </c>
      <c r="F6452" s="6" t="s">
        <v>35095</v>
      </c>
      <c r="G6452" s="3" t="str">
        <f>IFERROR(__xludf.DUMMYFUNCTION("REGEXREPLACE(
D6452,
""([一-龯々]+)\[([^\]]+)\]"",
""&lt;ruby&gt;$1&lt;rt&gt;$2&lt;/rt&gt;&lt;/ruby&gt;""
)&amp;""&lt;br&gt;&lt;div class=""""audio""""&gt;[sound:""&amp;C6452&amp;"".mp3]&lt;/div&gt;"""),"&lt;ruby&gt;猿&lt;rt&gt;さる&lt;/rt&gt;&lt;/ruby&gt;&lt;br&gt;&lt;div class=""audio""&gt;[sound:さる.mp3]&lt;/div&gt;")</f>
        <v>&lt;ruby&gt;猿&lt;rt&gt;さる&lt;/rt&gt;&lt;/ruby&gt;&lt;br&gt;&lt;div class="audio"&gt;[sound:さる.mp3]&lt;/div&gt;</v>
      </c>
      <c r="H6452" s="3" t="str">
        <f t="shared" si="1"/>
        <v>(n): khỉ</v>
      </c>
      <c r="I6452" s="6" t="s">
        <v>35096</v>
      </c>
      <c r="J6452" s="6" t="s">
        <v>35097</v>
      </c>
      <c r="K6452" s="7">
        <f t="shared" si="2"/>
        <v>0.8819670221</v>
      </c>
    </row>
    <row r="6453">
      <c r="A6453" s="4">
        <v>6453.0</v>
      </c>
      <c r="B6453" s="5" t="s">
        <v>35098</v>
      </c>
      <c r="C6453" s="5" t="s">
        <v>8040</v>
      </c>
      <c r="D6453" s="5" t="s">
        <v>35099</v>
      </c>
      <c r="E6453" s="6" t="s">
        <v>74</v>
      </c>
      <c r="F6453" s="6" t="s">
        <v>35100</v>
      </c>
      <c r="G6453" s="3" t="str">
        <f>IFERROR(__xludf.DUMMYFUNCTION("REGEXREPLACE(
D6453,
""([一-龯々]+)\[([^\]]+)\]"",
""&lt;ruby&gt;$1&lt;rt&gt;$2&lt;/rt&gt;&lt;/ruby&gt;""
)&amp;""&lt;br&gt;&lt;div class=""""audio""""&gt;[sound:""&amp;C6453&amp;"".mp3]&lt;/div&gt;"""),"&lt;ruby&gt;酸化&lt;rt&gt;さんか&lt;/rt&gt;&lt;/ruby&gt;&lt;br&gt;&lt;div class=""audio""&gt;[sound:さんか.mp3]&lt;/div&gt;")</f>
        <v>&lt;ruby&gt;酸化&lt;rt&gt;さんか&lt;/rt&gt;&lt;/ruby&gt;&lt;br&gt;&lt;div class="audio"&gt;[sound:さんか.mp3]&lt;/div&gt;</v>
      </c>
      <c r="H6453" s="3" t="str">
        <f t="shared" si="1"/>
        <v>(n): sự oxy hóa</v>
      </c>
      <c r="I6453" s="6" t="s">
        <v>35101</v>
      </c>
      <c r="J6453" s="6" t="s">
        <v>35102</v>
      </c>
      <c r="K6453" s="7">
        <f t="shared" si="2"/>
        <v>0.5239171011</v>
      </c>
    </row>
    <row r="6454">
      <c r="A6454" s="4">
        <v>6454.0</v>
      </c>
      <c r="B6454" s="5" t="s">
        <v>35103</v>
      </c>
      <c r="C6454" s="5" t="s">
        <v>35104</v>
      </c>
      <c r="D6454" s="5" t="s">
        <v>35105</v>
      </c>
      <c r="E6454" s="6" t="s">
        <v>24</v>
      </c>
      <c r="F6454" s="6" t="s">
        <v>31687</v>
      </c>
      <c r="G6454" s="3" t="str">
        <f>IFERROR(__xludf.DUMMYFUNCTION("REGEXREPLACE(
D6454,
""([一-龯々]+)\[([^\]]+)\]"",
""&lt;ruby&gt;$1&lt;rt&gt;$2&lt;/rt&gt;&lt;/ruby&gt;""
)&amp;""&lt;br&gt;&lt;div class=""""audio""""&gt;[sound:""&amp;C6454&amp;"".mp3]&lt;/div&gt;"""),"&lt;ruby&gt;刺&lt;rt&gt;さ&lt;/rt&gt;&lt;/ruby&gt;さる&lt;br&gt;&lt;div class=""audio""&gt;[sound:ささる.mp3]&lt;/div&gt;")</f>
        <v>&lt;ruby&gt;刺&lt;rt&gt;さ&lt;/rt&gt;&lt;/ruby&gt;さる&lt;br&gt;&lt;div class="audio"&gt;[sound:ささる.mp3]&lt;/div&gt;</v>
      </c>
      <c r="H6454" s="3" t="str">
        <f t="shared" si="1"/>
        <v>(v): đâm vào</v>
      </c>
      <c r="I6454" s="6" t="s">
        <v>35106</v>
      </c>
      <c r="J6454" s="6" t="s">
        <v>35107</v>
      </c>
      <c r="K6454" s="7">
        <f t="shared" si="2"/>
        <v>0.03647663417</v>
      </c>
    </row>
    <row r="6455">
      <c r="A6455" s="4">
        <v>6455.0</v>
      </c>
      <c r="B6455" s="5" t="s">
        <v>35108</v>
      </c>
      <c r="C6455" s="5" t="s">
        <v>35109</v>
      </c>
      <c r="D6455" s="5" t="s">
        <v>35110</v>
      </c>
      <c r="E6455" s="6" t="s">
        <v>11</v>
      </c>
      <c r="F6455" s="6" t="s">
        <v>35111</v>
      </c>
      <c r="G6455" s="3" t="str">
        <f>IFERROR(__xludf.DUMMYFUNCTION("REGEXREPLACE(
D6455,
""([一-龯々]+)\[([^\]]+)\]"",
""&lt;ruby&gt;$1&lt;rt&gt;$2&lt;/rt&gt;&lt;/ruby&gt;""
)&amp;""&lt;br&gt;&lt;div class=""""audio""""&gt;[sound:""&amp;C6455&amp;"".mp3]&lt;/div&gt;"""),"&lt;ruby&gt;蒸&lt;rt&gt;む&lt;/rt&gt;&lt;/ruby&gt;し&lt;ruby&gt;暑&lt;rt&gt;あつ&lt;/rt&gt;&lt;/ruby&gt;い&lt;br&gt;&lt;div class=""audio""&gt;[sound:むしあつい.mp3]&lt;/div&gt;")</f>
        <v>&lt;ruby&gt;蒸&lt;rt&gt;む&lt;/rt&gt;&lt;/ruby&gt;し&lt;ruby&gt;暑&lt;rt&gt;あつ&lt;/rt&gt;&lt;/ruby&gt;い&lt;br&gt;&lt;div class="audio"&gt;[sound:むしあつい.mp3]&lt;/div&gt;</v>
      </c>
      <c r="H6455" s="3" t="str">
        <f t="shared" si="1"/>
        <v>(adj): nóng ẩm</v>
      </c>
      <c r="I6455" s="6" t="s">
        <v>35112</v>
      </c>
      <c r="J6455" s="6" t="s">
        <v>35113</v>
      </c>
      <c r="K6455" s="7">
        <f t="shared" si="2"/>
        <v>0.2956776151</v>
      </c>
    </row>
    <row r="6456">
      <c r="A6456" s="4">
        <v>6456.0</v>
      </c>
      <c r="B6456" s="5" t="s">
        <v>35114</v>
      </c>
      <c r="C6456" s="5" t="s">
        <v>35115</v>
      </c>
      <c r="D6456" s="5" t="s">
        <v>35116</v>
      </c>
      <c r="E6456" s="6" t="s">
        <v>85</v>
      </c>
      <c r="F6456" s="6" t="s">
        <v>20258</v>
      </c>
      <c r="G6456" s="3" t="str">
        <f>IFERROR(__xludf.DUMMYFUNCTION("REGEXREPLACE(
D6456,
""([一-龯々]+)\[([^\]]+)\]"",
""&lt;ruby&gt;$1&lt;rt&gt;$2&lt;/rt&gt;&lt;/ruby&gt;""
)&amp;""&lt;br&gt;&lt;div class=""""audio""""&gt;[sound:""&amp;C6456&amp;"".mp3]&lt;/div&gt;"""),"&lt;ruby&gt;割合&lt;rt&gt;わりあい&lt;/rt&gt;&lt;/ruby&gt;に&lt;br&gt;&lt;div class=""audio""&gt;[sound:わりあいに.mp3]&lt;/div&gt;")</f>
        <v>&lt;ruby&gt;割合&lt;rt&gt;わりあい&lt;/rt&gt;&lt;/ruby&gt;に&lt;br&gt;&lt;div class="audio"&gt;[sound:わりあいに.mp3]&lt;/div&gt;</v>
      </c>
      <c r="H6456" s="3" t="str">
        <f t="shared" si="1"/>
        <v>(adv): tương đối</v>
      </c>
      <c r="I6456" s="6" t="s">
        <v>35117</v>
      </c>
      <c r="J6456" s="6" t="s">
        <v>35118</v>
      </c>
      <c r="K6456" s="7">
        <f t="shared" si="2"/>
        <v>0.2637555689</v>
      </c>
    </row>
    <row r="6457">
      <c r="A6457" s="4">
        <v>6457.0</v>
      </c>
      <c r="B6457" s="5" t="s">
        <v>35119</v>
      </c>
      <c r="C6457" s="5" t="s">
        <v>28213</v>
      </c>
      <c r="D6457" s="5" t="s">
        <v>35120</v>
      </c>
      <c r="E6457" s="6" t="s">
        <v>74</v>
      </c>
      <c r="F6457" s="6" t="s">
        <v>35121</v>
      </c>
      <c r="G6457" s="3" t="str">
        <f>IFERROR(__xludf.DUMMYFUNCTION("REGEXREPLACE(
D6457,
""([一-龯々]+)\[([^\]]+)\]"",
""&lt;ruby&gt;$1&lt;rt&gt;$2&lt;/rt&gt;&lt;/ruby&gt;""
)&amp;""&lt;br&gt;&lt;div class=""""audio""""&gt;[sound:""&amp;C6457&amp;"".mp3]&lt;/div&gt;"""),"&lt;ruby&gt;申告&lt;rt&gt;しんこく&lt;/rt&gt;&lt;/ruby&gt;&lt;br&gt;&lt;div class=""audio""&gt;[sound:しんこく.mp3]&lt;/div&gt;")</f>
        <v>&lt;ruby&gt;申告&lt;rt&gt;しんこく&lt;/rt&gt;&lt;/ruby&gt;&lt;br&gt;&lt;div class="audio"&gt;[sound:しんこく.mp3]&lt;/div&gt;</v>
      </c>
      <c r="H6457" s="3" t="str">
        <f t="shared" si="1"/>
        <v>(n): khai báo</v>
      </c>
      <c r="I6457" s="6" t="s">
        <v>35122</v>
      </c>
      <c r="J6457" s="6" t="s">
        <v>35123</v>
      </c>
      <c r="K6457" s="7">
        <f t="shared" si="2"/>
        <v>0.2429939725</v>
      </c>
    </row>
    <row r="6458">
      <c r="A6458" s="4">
        <v>6458.0</v>
      </c>
      <c r="B6458" s="5" t="s">
        <v>35124</v>
      </c>
      <c r="C6458" s="5" t="s">
        <v>35125</v>
      </c>
      <c r="D6458" s="5" t="s">
        <v>35126</v>
      </c>
      <c r="E6458" s="6" t="s">
        <v>24</v>
      </c>
      <c r="F6458" s="6" t="s">
        <v>35127</v>
      </c>
      <c r="G6458" s="3" t="str">
        <f>IFERROR(__xludf.DUMMYFUNCTION("REGEXREPLACE(
D6458,
""([一-龯々]+)\[([^\]]+)\]"",
""&lt;ruby&gt;$1&lt;rt&gt;$2&lt;/rt&gt;&lt;/ruby&gt;""
)&amp;""&lt;br&gt;&lt;div class=""""audio""""&gt;[sound:""&amp;C6458&amp;"".mp3]&lt;/div&gt;"""),"&lt;ruby&gt;耕&lt;rt&gt;たがや&lt;/rt&gt;&lt;/ruby&gt;す&lt;br&gt;&lt;div class=""audio""&gt;[sound:たがやす.mp3]&lt;/div&gt;")</f>
        <v>&lt;ruby&gt;耕&lt;rt&gt;たがや&lt;/rt&gt;&lt;/ruby&gt;す&lt;br&gt;&lt;div class="audio"&gt;[sound:たがやす.mp3]&lt;/div&gt;</v>
      </c>
      <c r="H6458" s="3" t="str">
        <f t="shared" si="1"/>
        <v>(v): cày</v>
      </c>
      <c r="I6458" s="6" t="s">
        <v>35128</v>
      </c>
      <c r="J6458" s="6" t="s">
        <v>35129</v>
      </c>
      <c r="K6458" s="7">
        <f t="shared" si="2"/>
        <v>0.1730692893</v>
      </c>
    </row>
    <row r="6459">
      <c r="A6459" s="4">
        <v>6459.0</v>
      </c>
      <c r="B6459" s="5" t="s">
        <v>35130</v>
      </c>
      <c r="C6459" s="5" t="s">
        <v>35131</v>
      </c>
      <c r="D6459" s="5" t="s">
        <v>35132</v>
      </c>
      <c r="E6459" s="6" t="s">
        <v>74</v>
      </c>
      <c r="F6459" s="6" t="s">
        <v>35133</v>
      </c>
      <c r="G6459" s="3" t="str">
        <f>IFERROR(__xludf.DUMMYFUNCTION("REGEXREPLACE(
D6459,
""([一-龯々]+)\[([^\]]+)\]"",
""&lt;ruby&gt;$1&lt;rt&gt;$2&lt;/rt&gt;&lt;/ruby&gt;""
)&amp;""&lt;br&gt;&lt;div class=""""audio""""&gt;[sound:""&amp;C6459&amp;"".mp3]&lt;/div&gt;"""),"&lt;ruby&gt;金庫&lt;rt&gt;きんこ&lt;/rt&gt;&lt;/ruby&gt;&lt;br&gt;&lt;div class=""audio""&gt;[sound:きんこ.mp3]&lt;/div&gt;")</f>
        <v>&lt;ruby&gt;金庫&lt;rt&gt;きんこ&lt;/rt&gt;&lt;/ruby&gt;&lt;br&gt;&lt;div class="audio"&gt;[sound:きんこ.mp3]&lt;/div&gt;</v>
      </c>
      <c r="H6459" s="3" t="str">
        <f t="shared" si="1"/>
        <v>(n): két sắt</v>
      </c>
      <c r="I6459" s="6" t="s">
        <v>35134</v>
      </c>
      <c r="J6459" s="6" t="s">
        <v>35135</v>
      </c>
      <c r="K6459" s="7">
        <f t="shared" si="2"/>
        <v>0.228044929</v>
      </c>
    </row>
    <row r="6460">
      <c r="A6460" s="4">
        <v>6460.0</v>
      </c>
      <c r="B6460" s="5" t="s">
        <v>35136</v>
      </c>
      <c r="C6460" s="5" t="s">
        <v>35137</v>
      </c>
      <c r="D6460" s="5" t="s">
        <v>35138</v>
      </c>
      <c r="E6460" s="6" t="s">
        <v>24</v>
      </c>
      <c r="F6460" s="6" t="s">
        <v>35139</v>
      </c>
      <c r="G6460" s="3" t="str">
        <f>IFERROR(__xludf.DUMMYFUNCTION("REGEXREPLACE(
D6460,
""([一-龯々]+)\[([^\]]+)\]"",
""&lt;ruby&gt;$1&lt;rt&gt;$2&lt;/rt&gt;&lt;/ruby&gt;""
)&amp;""&lt;br&gt;&lt;div class=""""audio""""&gt;[sound:""&amp;C6460&amp;"".mp3]&lt;/div&gt;"""),"&lt;ruby&gt;区切&lt;rt&gt;くぎ&lt;/rt&gt;&lt;/ruby&gt;る&lt;br&gt;&lt;div class=""audio""&gt;[sound:くぎる.mp3]&lt;/div&gt;")</f>
        <v>&lt;ruby&gt;区切&lt;rt&gt;くぎ&lt;/rt&gt;&lt;/ruby&gt;る&lt;br&gt;&lt;div class="audio"&gt;[sound:くぎる.mp3]&lt;/div&gt;</v>
      </c>
      <c r="H6460" s="3" t="str">
        <f t="shared" si="1"/>
        <v>(v): ngắt</v>
      </c>
      <c r="I6460" s="6" t="s">
        <v>35140</v>
      </c>
      <c r="J6460" s="6" t="s">
        <v>35141</v>
      </c>
      <c r="K6460" s="7">
        <f t="shared" si="2"/>
        <v>0.6415877263</v>
      </c>
    </row>
    <row r="6461">
      <c r="A6461" s="4">
        <v>6461.0</v>
      </c>
      <c r="B6461" s="5" t="s">
        <v>35142</v>
      </c>
      <c r="C6461" s="5" t="s">
        <v>35143</v>
      </c>
      <c r="D6461" s="5" t="s">
        <v>35144</v>
      </c>
      <c r="E6461" s="6" t="s">
        <v>74</v>
      </c>
      <c r="F6461" s="6" t="s">
        <v>4886</v>
      </c>
      <c r="G6461" s="3" t="str">
        <f>IFERROR(__xludf.DUMMYFUNCTION("REGEXREPLACE(
D6461,
""([一-龯々]+)\[([^\]]+)\]"",
""&lt;ruby&gt;$1&lt;rt&gt;$2&lt;/rt&gt;&lt;/ruby&gt;""
)&amp;""&lt;br&gt;&lt;div class=""""audio""""&gt;[sound:""&amp;C6461&amp;"".mp3]&lt;/div&gt;"""),"&lt;ruby&gt;真&lt;rt&gt;ま&lt;/rt&gt;&lt;/ruby&gt;っ&lt;ruby&gt;先&lt;rt&gt;さき&lt;/rt&gt;&lt;/ruby&gt;&lt;br&gt;&lt;div class=""audio""&gt;[sound:まっさき.mp3]&lt;/div&gt;")</f>
        <v>&lt;ruby&gt;真&lt;rt&gt;ま&lt;/rt&gt;&lt;/ruby&gt;っ&lt;ruby&gt;先&lt;rt&gt;さき&lt;/rt&gt;&lt;/ruby&gt;&lt;br&gt;&lt;div class="audio"&gt;[sound:まっさき.mp3]&lt;/div&gt;</v>
      </c>
      <c r="H6461" s="3" t="str">
        <f t="shared" si="1"/>
        <v>(n): đầu tiên</v>
      </c>
      <c r="I6461" s="6" t="s">
        <v>35145</v>
      </c>
      <c r="J6461" s="6" t="s">
        <v>35146</v>
      </c>
      <c r="K6461" s="7">
        <f t="shared" si="2"/>
        <v>0.1700023666</v>
      </c>
    </row>
    <row r="6462">
      <c r="A6462" s="4">
        <v>6462.0</v>
      </c>
      <c r="B6462" s="5" t="s">
        <v>35147</v>
      </c>
      <c r="C6462" s="5" t="s">
        <v>8707</v>
      </c>
      <c r="D6462" s="5" t="s">
        <v>35148</v>
      </c>
      <c r="E6462" s="6" t="s">
        <v>74</v>
      </c>
      <c r="F6462" s="6" t="s">
        <v>35149</v>
      </c>
      <c r="G6462" s="3" t="str">
        <f>IFERROR(__xludf.DUMMYFUNCTION("REGEXREPLACE(
D6462,
""([一-龯々]+)\[([^\]]+)\]"",
""&lt;ruby&gt;$1&lt;rt&gt;$2&lt;/rt&gt;&lt;/ruby&gt;""
)&amp;""&lt;br&gt;&lt;div class=""""audio""""&gt;[sound:""&amp;C6462&amp;"".mp3]&lt;/div&gt;"""),"&lt;ruby&gt;磁気&lt;rt&gt;じき&lt;/rt&gt;&lt;/ruby&gt;&lt;br&gt;&lt;div class=""audio""&gt;[sound:じき.mp3]&lt;/div&gt;")</f>
        <v>&lt;ruby&gt;磁気&lt;rt&gt;じき&lt;/rt&gt;&lt;/ruby&gt;&lt;br&gt;&lt;div class="audio"&gt;[sound:じき.mp3]&lt;/div&gt;</v>
      </c>
      <c r="H6462" s="3" t="str">
        <f t="shared" si="1"/>
        <v>(n): từ tính</v>
      </c>
      <c r="I6462" s="6" t="s">
        <v>35150</v>
      </c>
      <c r="J6462" s="6" t="s">
        <v>35151</v>
      </c>
      <c r="K6462" s="7">
        <f t="shared" si="2"/>
        <v>0.7465303336</v>
      </c>
    </row>
    <row r="6463">
      <c r="A6463" s="4">
        <v>6463.0</v>
      </c>
      <c r="B6463" s="5" t="s">
        <v>35152</v>
      </c>
      <c r="C6463" s="5" t="s">
        <v>11851</v>
      </c>
      <c r="D6463" s="5" t="s">
        <v>35153</v>
      </c>
      <c r="E6463" s="6" t="s">
        <v>74</v>
      </c>
      <c r="F6463" s="6" t="s">
        <v>35154</v>
      </c>
      <c r="G6463" s="3" t="str">
        <f>IFERROR(__xludf.DUMMYFUNCTION("REGEXREPLACE(
D6463,
""([一-龯々]+)\[([^\]]+)\]"",
""&lt;ruby&gt;$1&lt;rt&gt;$2&lt;/rt&gt;&lt;/ruby&gt;""
)&amp;""&lt;br&gt;&lt;div class=""""audio""""&gt;[sound:""&amp;C6463&amp;"".mp3]&lt;/div&gt;"""),"&lt;ruby&gt;膜&lt;rt&gt;まく&lt;/rt&gt;&lt;/ruby&gt;&lt;br&gt;&lt;div class=""audio""&gt;[sound:まく.mp3]&lt;/div&gt;")</f>
        <v>&lt;ruby&gt;膜&lt;rt&gt;まく&lt;/rt&gt;&lt;/ruby&gt;&lt;br&gt;&lt;div class="audio"&gt;[sound:まく.mp3]&lt;/div&gt;</v>
      </c>
      <c r="H6463" s="3" t="str">
        <f t="shared" si="1"/>
        <v>(n): màng</v>
      </c>
      <c r="I6463" s="6" t="s">
        <v>35155</v>
      </c>
      <c r="J6463" s="6" t="s">
        <v>35156</v>
      </c>
      <c r="K6463" s="7">
        <f t="shared" si="2"/>
        <v>0.2097922132</v>
      </c>
    </row>
    <row r="6464">
      <c r="A6464" s="4">
        <v>6464.0</v>
      </c>
      <c r="B6464" s="5" t="s">
        <v>35157</v>
      </c>
      <c r="C6464" s="5" t="s">
        <v>22870</v>
      </c>
      <c r="D6464" s="5" t="s">
        <v>35158</v>
      </c>
      <c r="E6464" s="6" t="s">
        <v>24</v>
      </c>
      <c r="F6464" s="6" t="s">
        <v>35159</v>
      </c>
      <c r="G6464" s="3" t="str">
        <f>IFERROR(__xludf.DUMMYFUNCTION("REGEXREPLACE(
D6464,
""([一-龯々]+)\[([^\]]+)\]"",
""&lt;ruby&gt;$1&lt;rt&gt;$2&lt;/rt&gt;&lt;/ruby&gt;""
)&amp;""&lt;br&gt;&lt;div class=""""audio""""&gt;[sound:""&amp;C6464&amp;"".mp3]&lt;/div&gt;"""),"&lt;ruby&gt;沸&lt;rt&gt;わ&lt;/rt&gt;&lt;/ruby&gt;く&lt;br&gt;&lt;div class=""audio""&gt;[sound:わく.mp3]&lt;/div&gt;")</f>
        <v>&lt;ruby&gt;沸&lt;rt&gt;わ&lt;/rt&gt;&lt;/ruby&gt;く&lt;br&gt;&lt;div class="audio"&gt;[sound:わく.mp3]&lt;/div&gt;</v>
      </c>
      <c r="H6464" s="3" t="str">
        <f t="shared" si="1"/>
        <v>(v): sôi</v>
      </c>
      <c r="I6464" s="6" t="s">
        <v>35160</v>
      </c>
      <c r="J6464" s="6" t="s">
        <v>35161</v>
      </c>
      <c r="K6464" s="7">
        <f t="shared" si="2"/>
        <v>0.6480048996</v>
      </c>
    </row>
    <row r="6465">
      <c r="A6465" s="4">
        <v>6465.0</v>
      </c>
      <c r="B6465" s="5" t="s">
        <v>35162</v>
      </c>
      <c r="C6465" s="5" t="s">
        <v>35163</v>
      </c>
      <c r="D6465" s="5" t="s">
        <v>35164</v>
      </c>
      <c r="E6465" s="6" t="s">
        <v>74</v>
      </c>
      <c r="F6465" s="6" t="s">
        <v>35165</v>
      </c>
      <c r="G6465" s="3" t="str">
        <f>IFERROR(__xludf.DUMMYFUNCTION("REGEXREPLACE(
D6465,
""([一-龯々]+)\[([^\]]+)\]"",
""&lt;ruby&gt;$1&lt;rt&gt;$2&lt;/rt&gt;&lt;/ruby&gt;""
)&amp;""&lt;br&gt;&lt;div class=""""audio""""&gt;[sound:""&amp;C6465&amp;"".mp3]&lt;/div&gt;"""),"&lt;ruby&gt;芯&lt;rt&gt;しん&lt;/rt&gt;&lt;/ruby&gt;&lt;br&gt;&lt;div class=""audio""&gt;[sound:しん.mp3]&lt;/div&gt;")</f>
        <v>&lt;ruby&gt;芯&lt;rt&gt;しん&lt;/rt&gt;&lt;/ruby&gt;&lt;br&gt;&lt;div class="audio"&gt;[sound:しん.mp3]&lt;/div&gt;</v>
      </c>
      <c r="H6465" s="3" t="str">
        <f t="shared" si="1"/>
        <v>(n): lõi</v>
      </c>
      <c r="I6465" s="6" t="s">
        <v>35166</v>
      </c>
      <c r="J6465" s="6" t="s">
        <v>35167</v>
      </c>
      <c r="K6465" s="7">
        <f t="shared" si="2"/>
        <v>0.9422675295</v>
      </c>
    </row>
    <row r="6466">
      <c r="A6466" s="4">
        <v>6466.0</v>
      </c>
      <c r="B6466" s="5" t="s">
        <v>35168</v>
      </c>
      <c r="C6466" s="5" t="s">
        <v>3166</v>
      </c>
      <c r="D6466" s="5" t="s">
        <v>35169</v>
      </c>
      <c r="E6466" s="6" t="s">
        <v>74</v>
      </c>
      <c r="F6466" s="6" t="s">
        <v>3991</v>
      </c>
      <c r="G6466" s="3" t="str">
        <f>IFERROR(__xludf.DUMMYFUNCTION("REGEXREPLACE(
D6466,
""([一-龯々]+)\[([^\]]+)\]"",
""&lt;ruby&gt;$1&lt;rt&gt;$2&lt;/rt&gt;&lt;/ruby&gt;""
)&amp;""&lt;br&gt;&lt;div class=""""audio""""&gt;[sound:""&amp;C6466&amp;"".mp3]&lt;/div&gt;"""),"&lt;ruby&gt;姓&lt;rt&gt;せい&lt;/rt&gt;&lt;/ruby&gt;&lt;br&gt;&lt;div class=""audio""&gt;[sound:せい.mp3]&lt;/div&gt;")</f>
        <v>&lt;ruby&gt;姓&lt;rt&gt;せい&lt;/rt&gt;&lt;/ruby&gt;&lt;br&gt;&lt;div class="audio"&gt;[sound:せい.mp3]&lt;/div&gt;</v>
      </c>
      <c r="H6466" s="3" t="str">
        <f t="shared" si="1"/>
        <v>(n): họ</v>
      </c>
      <c r="I6466" s="6" t="s">
        <v>35170</v>
      </c>
      <c r="J6466" s="6" t="s">
        <v>35171</v>
      </c>
      <c r="K6466" s="7">
        <f t="shared" si="2"/>
        <v>0.3438249415</v>
      </c>
    </row>
    <row r="6467">
      <c r="A6467" s="4">
        <v>6467.0</v>
      </c>
      <c r="B6467" s="5" t="s">
        <v>35172</v>
      </c>
      <c r="C6467" s="5" t="s">
        <v>35173</v>
      </c>
      <c r="D6467" s="5" t="s">
        <v>35174</v>
      </c>
      <c r="E6467" s="6" t="s">
        <v>74</v>
      </c>
      <c r="F6467" s="6" t="s">
        <v>2998</v>
      </c>
      <c r="G6467" s="3" t="str">
        <f>IFERROR(__xludf.DUMMYFUNCTION("REGEXREPLACE(
D6467,
""([一-龯々]+)\[([^\]]+)\]"",
""&lt;ruby&gt;$1&lt;rt&gt;$2&lt;/rt&gt;&lt;/ruby&gt;""
)&amp;""&lt;br&gt;&lt;div class=""""audio""""&gt;[sound:""&amp;C6467&amp;"".mp3]&lt;/div&gt;"""),"&lt;ruby&gt;女房&lt;rt&gt;にょうぼう&lt;/rt&gt;&lt;/ruby&gt;&lt;br&gt;&lt;div class=""audio""&gt;[sound:にょうぼう.mp3]&lt;/div&gt;")</f>
        <v>&lt;ruby&gt;女房&lt;rt&gt;にょうぼう&lt;/rt&gt;&lt;/ruby&gt;&lt;br&gt;&lt;div class="audio"&gt;[sound:にょうぼう.mp3]&lt;/div&gt;</v>
      </c>
      <c r="H6467" s="3" t="str">
        <f t="shared" si="1"/>
        <v>(n): vợ</v>
      </c>
      <c r="I6467" s="6" t="s">
        <v>35175</v>
      </c>
      <c r="J6467" s="6" t="s">
        <v>35176</v>
      </c>
      <c r="K6467" s="7">
        <f t="shared" si="2"/>
        <v>0.4400894897</v>
      </c>
    </row>
    <row r="6468">
      <c r="A6468" s="4">
        <v>6468.0</v>
      </c>
      <c r="B6468" s="5" t="s">
        <v>35177</v>
      </c>
      <c r="C6468" s="5" t="s">
        <v>35178</v>
      </c>
      <c r="D6468" s="5" t="s">
        <v>35179</v>
      </c>
      <c r="E6468" s="6" t="s">
        <v>74</v>
      </c>
      <c r="F6468" s="6" t="s">
        <v>35180</v>
      </c>
      <c r="G6468" s="3" t="str">
        <f>IFERROR(__xludf.DUMMYFUNCTION("REGEXREPLACE(
D6468,
""([一-龯々]+)\[([^\]]+)\]"",
""&lt;ruby&gt;$1&lt;rt&gt;$2&lt;/rt&gt;&lt;/ruby&gt;""
)&amp;""&lt;br&gt;&lt;div class=""""audio""""&gt;[sound:""&amp;C6468&amp;"".mp3]&lt;/div&gt;"""),"&lt;ruby&gt;湿度&lt;rt&gt;しつど&lt;/rt&gt;&lt;/ruby&gt;&lt;br&gt;&lt;div class=""audio""&gt;[sound:しつど.mp3]&lt;/div&gt;")</f>
        <v>&lt;ruby&gt;湿度&lt;rt&gt;しつど&lt;/rt&gt;&lt;/ruby&gt;&lt;br&gt;&lt;div class="audio"&gt;[sound:しつど.mp3]&lt;/div&gt;</v>
      </c>
      <c r="H6468" s="3" t="str">
        <f t="shared" si="1"/>
        <v>(n): độ ẩm</v>
      </c>
      <c r="I6468" s="6" t="s">
        <v>35181</v>
      </c>
      <c r="J6468" s="6" t="s">
        <v>35182</v>
      </c>
      <c r="K6468" s="7">
        <f t="shared" si="2"/>
        <v>0.04475809069</v>
      </c>
    </row>
    <row r="6469">
      <c r="A6469" s="4">
        <v>6469.0</v>
      </c>
      <c r="B6469" s="5" t="s">
        <v>35183</v>
      </c>
      <c r="C6469" s="5" t="s">
        <v>6464</v>
      </c>
      <c r="D6469" s="5" t="s">
        <v>35184</v>
      </c>
      <c r="E6469" s="6" t="s">
        <v>24</v>
      </c>
      <c r="F6469" s="6" t="s">
        <v>24266</v>
      </c>
      <c r="G6469" s="3" t="str">
        <f>IFERROR(__xludf.DUMMYFUNCTION("REGEXREPLACE(
D6469,
""([一-龯々]+)\[([^\]]+)\]"",
""&lt;ruby&gt;$1&lt;rt&gt;$2&lt;/rt&gt;&lt;/ruby&gt;""
)&amp;""&lt;br&gt;&lt;div class=""""audio""""&gt;[sound:""&amp;C6469&amp;"".mp3]&lt;/div&gt;"""),"&lt;ruby&gt;酌&lt;rt&gt;く&lt;/rt&gt;&lt;/ruby&gt;む&lt;br&gt;&lt;div class=""audio""&gt;[sound:くむ.mp3]&lt;/div&gt;")</f>
        <v>&lt;ruby&gt;酌&lt;rt&gt;く&lt;/rt&gt;&lt;/ruby&gt;む&lt;br&gt;&lt;div class="audio"&gt;[sound:くむ.mp3]&lt;/div&gt;</v>
      </c>
      <c r="H6469" s="3" t="str">
        <f t="shared" si="1"/>
        <v>(v): rót</v>
      </c>
      <c r="I6469" s="6" t="s">
        <v>35185</v>
      </c>
      <c r="J6469" s="6" t="s">
        <v>35186</v>
      </c>
      <c r="K6469" s="7">
        <f t="shared" si="2"/>
        <v>0.1950289126</v>
      </c>
    </row>
    <row r="6470">
      <c r="A6470" s="4">
        <v>6470.0</v>
      </c>
      <c r="B6470" s="5" t="s">
        <v>35187</v>
      </c>
      <c r="C6470" s="5" t="s">
        <v>35188</v>
      </c>
      <c r="D6470" s="5" t="s">
        <v>35189</v>
      </c>
      <c r="E6470" s="6" t="s">
        <v>74</v>
      </c>
      <c r="F6470" s="6" t="s">
        <v>35190</v>
      </c>
      <c r="G6470" s="3" t="str">
        <f>IFERROR(__xludf.DUMMYFUNCTION("REGEXREPLACE(
D6470,
""([一-龯々]+)\[([^\]]+)\]"",
""&lt;ruby&gt;$1&lt;rt&gt;$2&lt;/rt&gt;&lt;/ruby&gt;""
)&amp;""&lt;br&gt;&lt;div class=""""audio""""&gt;[sound:""&amp;C6470&amp;"".mp3]&lt;/div&gt;"""),"&lt;ruby&gt;独創&lt;rt&gt;どくそう&lt;/rt&gt;&lt;/ruby&gt;&lt;br&gt;&lt;div class=""audio""&gt;[sound:どくそう.mp3]&lt;/div&gt;")</f>
        <v>&lt;ruby&gt;独創&lt;rt&gt;どくそう&lt;/rt&gt;&lt;/ruby&gt;&lt;br&gt;&lt;div class="audio"&gt;[sound:どくそう.mp3]&lt;/div&gt;</v>
      </c>
      <c r="H6470" s="3" t="str">
        <f t="shared" si="1"/>
        <v>(n): sự sáng tạo độc đáo</v>
      </c>
      <c r="I6470" s="6" t="s">
        <v>35191</v>
      </c>
      <c r="J6470" s="6" t="s">
        <v>35192</v>
      </c>
      <c r="K6470" s="7">
        <f t="shared" si="2"/>
        <v>0.6943728508</v>
      </c>
    </row>
    <row r="6471">
      <c r="A6471" s="4">
        <v>6471.0</v>
      </c>
      <c r="B6471" s="5" t="s">
        <v>35193</v>
      </c>
      <c r="C6471" s="5" t="s">
        <v>35194</v>
      </c>
      <c r="D6471" s="5" t="s">
        <v>35195</v>
      </c>
      <c r="E6471" s="6" t="s">
        <v>74</v>
      </c>
      <c r="F6471" s="6" t="s">
        <v>35196</v>
      </c>
      <c r="G6471" s="3" t="str">
        <f>IFERROR(__xludf.DUMMYFUNCTION("REGEXREPLACE(
D6471,
""([一-龯々]+)\[([^\]]+)\]"",
""&lt;ruby&gt;$1&lt;rt&gt;$2&lt;/rt&gt;&lt;/ruby&gt;""
)&amp;""&lt;br&gt;&lt;div class=""""audio""""&gt;[sound:""&amp;C6471&amp;"".mp3]&lt;/div&gt;"""),"&lt;ruby&gt;無知&lt;rt&gt;むち&lt;/rt&gt;&lt;/ruby&gt;&lt;br&gt;&lt;div class=""audio""&gt;[sound:むち.mp3]&lt;/div&gt;")</f>
        <v>&lt;ruby&gt;無知&lt;rt&gt;むち&lt;/rt&gt;&lt;/ruby&gt;&lt;br&gt;&lt;div class="audio"&gt;[sound:むち.mp3]&lt;/div&gt;</v>
      </c>
      <c r="H6471" s="3" t="str">
        <f t="shared" si="1"/>
        <v>(n): sự thiếu hiểu biết</v>
      </c>
      <c r="I6471" s="6" t="s">
        <v>35197</v>
      </c>
      <c r="J6471" s="6" t="s">
        <v>35198</v>
      </c>
      <c r="K6471" s="7">
        <f t="shared" si="2"/>
        <v>0.3825409709</v>
      </c>
    </row>
    <row r="6472">
      <c r="A6472" s="4">
        <v>6472.0</v>
      </c>
      <c r="B6472" s="5" t="s">
        <v>35199</v>
      </c>
      <c r="C6472" s="5" t="s">
        <v>35200</v>
      </c>
      <c r="D6472" s="5" t="s">
        <v>35201</v>
      </c>
      <c r="E6472" s="6" t="s">
        <v>74</v>
      </c>
      <c r="F6472" s="6" t="s">
        <v>35202</v>
      </c>
      <c r="G6472" s="3" t="str">
        <f>IFERROR(__xludf.DUMMYFUNCTION("REGEXREPLACE(
D6472,
""([一-龯々]+)\[([^\]]+)\]"",
""&lt;ruby&gt;$1&lt;rt&gt;$2&lt;/rt&gt;&lt;/ruby&gt;""
)&amp;""&lt;br&gt;&lt;div class=""""audio""""&gt;[sound:""&amp;C6472&amp;"".mp3]&lt;/div&gt;"""),"&lt;ruby&gt;発作&lt;rt&gt;ほっさ&lt;/rt&gt;&lt;/ruby&gt;&lt;br&gt;&lt;div class=""audio""&gt;[sound:ほっさ.mp3]&lt;/div&gt;")</f>
        <v>&lt;ruby&gt;発作&lt;rt&gt;ほっさ&lt;/rt&gt;&lt;/ruby&gt;&lt;br&gt;&lt;div class="audio"&gt;[sound:ほっさ.mp3]&lt;/div&gt;</v>
      </c>
      <c r="H6472" s="3" t="str">
        <f t="shared" si="1"/>
        <v>(n): phát tác</v>
      </c>
      <c r="I6472" s="6" t="s">
        <v>35203</v>
      </c>
      <c r="J6472" s="6" t="s">
        <v>35204</v>
      </c>
      <c r="K6472" s="7">
        <f t="shared" si="2"/>
        <v>0.7305459752</v>
      </c>
    </row>
    <row r="6473">
      <c r="A6473" s="4">
        <v>6473.0</v>
      </c>
      <c r="B6473" s="5" t="s">
        <v>35205</v>
      </c>
      <c r="C6473" s="5" t="s">
        <v>35206</v>
      </c>
      <c r="D6473" s="5" t="s">
        <v>35207</v>
      </c>
      <c r="E6473" s="6" t="s">
        <v>74</v>
      </c>
      <c r="F6473" s="6" t="s">
        <v>35208</v>
      </c>
      <c r="G6473" s="3" t="str">
        <f>IFERROR(__xludf.DUMMYFUNCTION("REGEXREPLACE(
D6473,
""([一-龯々]+)\[([^\]]+)\]"",
""&lt;ruby&gt;$1&lt;rt&gt;$2&lt;/rt&gt;&lt;/ruby&gt;""
)&amp;""&lt;br&gt;&lt;div class=""""audio""""&gt;[sound:""&amp;C6473&amp;"".mp3]&lt;/div&gt;"""),"&lt;ruby&gt;逆立&lt;rt&gt;さかだ&lt;/rt&gt;&lt;/ruby&gt;ち&lt;br&gt;&lt;div class=""audio""&gt;[sound:さかだち.mp3]&lt;/div&gt;")</f>
        <v>&lt;ruby&gt;逆立&lt;rt&gt;さかだ&lt;/rt&gt;&lt;/ruby&gt;ち&lt;br&gt;&lt;div class="audio"&gt;[sound:さかだち.mp3]&lt;/div&gt;</v>
      </c>
      <c r="H6473" s="3" t="str">
        <f t="shared" si="1"/>
        <v>(n): sự trồng cây chuối</v>
      </c>
      <c r="I6473" s="6" t="s">
        <v>35209</v>
      </c>
      <c r="J6473" s="6" t="s">
        <v>35210</v>
      </c>
      <c r="K6473" s="7">
        <f t="shared" si="2"/>
        <v>0.6207740237</v>
      </c>
    </row>
    <row r="6474">
      <c r="A6474" s="4">
        <v>6474.0</v>
      </c>
      <c r="B6474" s="5" t="s">
        <v>35211</v>
      </c>
      <c r="C6474" s="5" t="s">
        <v>35212</v>
      </c>
      <c r="D6474" s="5" t="s">
        <v>35213</v>
      </c>
      <c r="E6474" s="6" t="s">
        <v>74</v>
      </c>
      <c r="F6474" s="6" t="s">
        <v>32239</v>
      </c>
      <c r="G6474" s="3" t="str">
        <f>IFERROR(__xludf.DUMMYFUNCTION("REGEXREPLACE(
D6474,
""([一-龯々]+)\[([^\]]+)\]"",
""&lt;ruby&gt;$1&lt;rt&gt;$2&lt;/rt&gt;&lt;/ruby&gt;""
)&amp;""&lt;br&gt;&lt;div class=""""audio""""&gt;[sound:""&amp;C6474&amp;"".mp3]&lt;/div&gt;"""),"&lt;ruby&gt;粘&lt;rt&gt;ねば&lt;/rt&gt;&lt;/ruby&gt;り&lt;br&gt;&lt;div class=""audio""&gt;[sound:ねばり.mp3]&lt;/div&gt;")</f>
        <v>&lt;ruby&gt;粘&lt;rt&gt;ねば&lt;/rt&gt;&lt;/ruby&gt;り&lt;br&gt;&lt;div class="audio"&gt;[sound:ねばり.mp3]&lt;/div&gt;</v>
      </c>
      <c r="H6474" s="3" t="str">
        <f t="shared" si="1"/>
        <v>(n): kiên trì</v>
      </c>
      <c r="I6474" s="6" t="s">
        <v>35214</v>
      </c>
      <c r="J6474" s="6" t="s">
        <v>35215</v>
      </c>
      <c r="K6474" s="7">
        <f t="shared" si="2"/>
        <v>0.7325258831</v>
      </c>
    </row>
    <row r="6475">
      <c r="A6475" s="4">
        <v>6475.0</v>
      </c>
      <c r="B6475" s="5" t="s">
        <v>35216</v>
      </c>
      <c r="C6475" s="5" t="s">
        <v>35217</v>
      </c>
      <c r="D6475" s="5" t="s">
        <v>35218</v>
      </c>
      <c r="E6475" s="6" t="s">
        <v>74</v>
      </c>
      <c r="F6475" s="6" t="s">
        <v>35219</v>
      </c>
      <c r="G6475" s="3" t="str">
        <f>IFERROR(__xludf.DUMMYFUNCTION("REGEXREPLACE(
D6475,
""([一-龯々]+)\[([^\]]+)\]"",
""&lt;ruby&gt;$1&lt;rt&gt;$2&lt;/rt&gt;&lt;/ruby&gt;""
)&amp;""&lt;br&gt;&lt;div class=""""audio""""&gt;[sound:""&amp;C6475&amp;"".mp3]&lt;/div&gt;"""),"&lt;ruby&gt;満場&lt;rt&gt;まんじょう&lt;/rt&gt;&lt;/ruby&gt;&lt;br&gt;&lt;div class=""audio""&gt;[sound:まんじょう.mp3]&lt;/div&gt;")</f>
        <v>&lt;ruby&gt;満場&lt;rt&gt;まんじょう&lt;/rt&gt;&lt;/ruby&gt;&lt;br&gt;&lt;div class="audio"&gt;[sound:まんじょう.mp3]&lt;/div&gt;</v>
      </c>
      <c r="H6475" s="3" t="str">
        <f t="shared" si="1"/>
        <v>(n): toàn hội trường</v>
      </c>
      <c r="I6475" s="6" t="s">
        <v>35220</v>
      </c>
      <c r="J6475" s="6" t="s">
        <v>35221</v>
      </c>
      <c r="K6475" s="7">
        <f t="shared" si="2"/>
        <v>0.7052204913</v>
      </c>
    </row>
    <row r="6476">
      <c r="A6476" s="4">
        <v>6476.0</v>
      </c>
      <c r="B6476" s="5" t="s">
        <v>35222</v>
      </c>
      <c r="C6476" s="5" t="s">
        <v>35223</v>
      </c>
      <c r="D6476" s="5" t="s">
        <v>35224</v>
      </c>
      <c r="E6476" s="6" t="s">
        <v>24</v>
      </c>
      <c r="F6476" s="6" t="s">
        <v>35225</v>
      </c>
      <c r="G6476" s="3" t="str">
        <f>IFERROR(__xludf.DUMMYFUNCTION("REGEXREPLACE(
D6476,
""([一-龯々]+)\[([^\]]+)\]"",
""&lt;ruby&gt;$1&lt;rt&gt;$2&lt;/rt&gt;&lt;/ruby&gt;""
)&amp;""&lt;br&gt;&lt;div class=""""audio""""&gt;[sound:""&amp;C6476&amp;"".mp3]&lt;/div&gt;"""),"&lt;ruby&gt;突&lt;rt&gt;つ&lt;/rt&gt;&lt;/ruby&gt;っ&lt;ruby&gt;張&lt;rt&gt;ぱ&lt;/rt&gt;&lt;/ruby&gt;る&lt;br&gt;&lt;div class=""audio""&gt;[sound:つっぱる.mp3]&lt;/div&gt;")</f>
        <v>&lt;ruby&gt;突&lt;rt&gt;つ&lt;/rt&gt;&lt;/ruby&gt;っ&lt;ruby&gt;張&lt;rt&gt;ぱ&lt;/rt&gt;&lt;/ruby&gt;る&lt;br&gt;&lt;div class="audio"&gt;[sound:つっぱる.mp3]&lt;/div&gt;</v>
      </c>
      <c r="H6476" s="3" t="str">
        <f t="shared" si="1"/>
        <v>(v): căng ra</v>
      </c>
      <c r="I6476" s="6" t="s">
        <v>35226</v>
      </c>
      <c r="J6476" s="6" t="s">
        <v>35227</v>
      </c>
      <c r="K6476" s="7">
        <f t="shared" si="2"/>
        <v>0.8731014857</v>
      </c>
    </row>
    <row r="6477">
      <c r="A6477" s="4">
        <v>6477.0</v>
      </c>
      <c r="B6477" s="5" t="s">
        <v>35228</v>
      </c>
      <c r="C6477" s="5" t="s">
        <v>35229</v>
      </c>
      <c r="D6477" s="5" t="s">
        <v>35228</v>
      </c>
      <c r="E6477" s="6" t="s">
        <v>74</v>
      </c>
      <c r="F6477" s="6" t="s">
        <v>35230</v>
      </c>
      <c r="G6477" s="3" t="str">
        <f>IFERROR(__xludf.DUMMYFUNCTION("REGEXREPLACE(
D6477,
""([一-龯々]+)\[([^\]]+)\]"",
""&lt;ruby&gt;$1&lt;rt&gt;$2&lt;/rt&gt;&lt;/ruby&gt;""
)&amp;""&lt;br&gt;&lt;div class=""""audio""""&gt;[sound:""&amp;C6477&amp;"".mp3]&lt;/div&gt;"""),"ノイローゼ&lt;br&gt;&lt;div class=""audio""&gt;[sound:のいろーぜ.mp3]&lt;/div&gt;")</f>
        <v>ノイローゼ&lt;br&gt;&lt;div class="audio"&gt;[sound:のいろーぜ.mp3]&lt;/div&gt;</v>
      </c>
      <c r="H6477" s="3" t="str">
        <f t="shared" si="1"/>
        <v>(n): bệnh thần kinh</v>
      </c>
      <c r="I6477" s="6" t="s">
        <v>35231</v>
      </c>
      <c r="J6477" s="6" t="s">
        <v>35232</v>
      </c>
      <c r="K6477" s="7">
        <f t="shared" si="2"/>
        <v>0.4176993089</v>
      </c>
    </row>
    <row r="6478">
      <c r="A6478" s="4">
        <v>6478.0</v>
      </c>
      <c r="B6478" s="5" t="s">
        <v>35233</v>
      </c>
      <c r="C6478" s="5" t="s">
        <v>32793</v>
      </c>
      <c r="D6478" s="5" t="s">
        <v>35234</v>
      </c>
      <c r="E6478" s="6" t="s">
        <v>74</v>
      </c>
      <c r="F6478" s="6" t="s">
        <v>35235</v>
      </c>
      <c r="G6478" s="3" t="str">
        <f>IFERROR(__xludf.DUMMYFUNCTION("REGEXREPLACE(
D6478,
""([一-龯々]+)\[([^\]]+)\]"",
""&lt;ruby&gt;$1&lt;rt&gt;$2&lt;/rt&gt;&lt;/ruby&gt;""
)&amp;""&lt;br&gt;&lt;div class=""""audio""""&gt;[sound:""&amp;C6478&amp;"".mp3]&lt;/div&gt;"""),"&lt;ruby&gt;生育&lt;rt&gt;せいいく&lt;/rt&gt;&lt;/ruby&gt;&lt;br&gt;&lt;div class=""audio""&gt;[sound:せいいく.mp3]&lt;/div&gt;")</f>
        <v>&lt;ruby&gt;生育&lt;rt&gt;せいいく&lt;/rt&gt;&lt;/ruby&gt;&lt;br&gt;&lt;div class="audio"&gt;[sound:せいいく.mp3]&lt;/div&gt;</v>
      </c>
      <c r="H6478" s="3" t="str">
        <f t="shared" si="1"/>
        <v>(n): sự sinh trưởng</v>
      </c>
      <c r="I6478" s="6" t="s">
        <v>35236</v>
      </c>
      <c r="J6478" s="6" t="s">
        <v>35237</v>
      </c>
      <c r="K6478" s="7">
        <f t="shared" si="2"/>
        <v>0.6829078014</v>
      </c>
    </row>
    <row r="6479">
      <c r="A6479" s="4">
        <v>6479.0</v>
      </c>
      <c r="B6479" s="5" t="s">
        <v>35238</v>
      </c>
      <c r="C6479" s="5" t="s">
        <v>35239</v>
      </c>
      <c r="D6479" s="5" t="s">
        <v>35240</v>
      </c>
      <c r="E6479" s="6" t="s">
        <v>74</v>
      </c>
      <c r="F6479" s="6" t="s">
        <v>35241</v>
      </c>
      <c r="G6479" s="3" t="str">
        <f>IFERROR(__xludf.DUMMYFUNCTION("REGEXREPLACE(
D6479,
""([一-龯々]+)\[([^\]]+)\]"",
""&lt;ruby&gt;$1&lt;rt&gt;$2&lt;/rt&gt;&lt;/ruby&gt;""
)&amp;""&lt;br&gt;&lt;div class=""""audio""""&gt;[sound:""&amp;C6479&amp;"".mp3]&lt;/div&gt;"""),"&lt;ruby&gt;真上&lt;rt&gt;まうえ&lt;/rt&gt;&lt;/ruby&gt;&lt;br&gt;&lt;div class=""audio""&gt;[sound:まうえ.mp3]&lt;/div&gt;")</f>
        <v>&lt;ruby&gt;真上&lt;rt&gt;まうえ&lt;/rt&gt;&lt;/ruby&gt;&lt;br&gt;&lt;div class="audio"&gt;[sound:まうえ.mp3]&lt;/div&gt;</v>
      </c>
      <c r="H6479" s="3" t="str">
        <f t="shared" si="1"/>
        <v>(n): ngay phía trên</v>
      </c>
      <c r="I6479" s="6" t="s">
        <v>35242</v>
      </c>
      <c r="J6479" s="6" t="s">
        <v>35243</v>
      </c>
      <c r="K6479" s="7">
        <f t="shared" si="2"/>
        <v>0.1490947206</v>
      </c>
    </row>
    <row r="6480">
      <c r="A6480" s="4">
        <v>6480.0</v>
      </c>
      <c r="B6480" s="5" t="s">
        <v>35244</v>
      </c>
      <c r="C6480" s="5" t="s">
        <v>35245</v>
      </c>
      <c r="D6480" s="5" t="s">
        <v>35246</v>
      </c>
      <c r="E6480" s="6" t="s">
        <v>74</v>
      </c>
      <c r="F6480" s="6" t="s">
        <v>35247</v>
      </c>
      <c r="G6480" s="3" t="str">
        <f>IFERROR(__xludf.DUMMYFUNCTION("REGEXREPLACE(
D6480,
""([一-龯々]+)\[([^\]]+)\]"",
""&lt;ruby&gt;$1&lt;rt&gt;$2&lt;/rt&gt;&lt;/ruby&gt;""
)&amp;""&lt;br&gt;&lt;div class=""""audio""""&gt;[sound:""&amp;C6480&amp;"".mp3]&lt;/div&gt;"""),"&lt;ruby&gt;真下&lt;rt&gt;ました&lt;/rt&gt;&lt;/ruby&gt;&lt;br&gt;&lt;div class=""audio""&gt;[sound:ました.mp3]&lt;/div&gt;")</f>
        <v>&lt;ruby&gt;真下&lt;rt&gt;ました&lt;/rt&gt;&lt;/ruby&gt;&lt;br&gt;&lt;div class="audio"&gt;[sound:ました.mp3]&lt;/div&gt;</v>
      </c>
      <c r="H6480" s="3" t="str">
        <f t="shared" si="1"/>
        <v>(n): ngay phía dưới</v>
      </c>
      <c r="I6480" s="6" t="s">
        <v>35248</v>
      </c>
      <c r="J6480" s="6" t="s">
        <v>35249</v>
      </c>
      <c r="K6480" s="7">
        <f t="shared" si="2"/>
        <v>0.1943442089</v>
      </c>
    </row>
    <row r="6481">
      <c r="A6481" s="4">
        <v>6481.0</v>
      </c>
      <c r="B6481" s="5" t="s">
        <v>35250</v>
      </c>
      <c r="C6481" s="5" t="s">
        <v>35251</v>
      </c>
      <c r="D6481" s="5" t="s">
        <v>35252</v>
      </c>
      <c r="E6481" s="6" t="s">
        <v>74</v>
      </c>
      <c r="F6481" s="6" t="s">
        <v>35253</v>
      </c>
      <c r="G6481" s="3" t="str">
        <f>IFERROR(__xludf.DUMMYFUNCTION("REGEXREPLACE(
D6481,
""([一-龯々]+)\[([^\]]+)\]"",
""&lt;ruby&gt;$1&lt;rt&gt;$2&lt;/rt&gt;&lt;/ruby&gt;""
)&amp;""&lt;br&gt;&lt;div class=""""audio""""&gt;[sound:""&amp;C6481&amp;"".mp3]&lt;/div&gt;"""),"&lt;ruby&gt;私有&lt;rt&gt;しゆう&lt;/rt&gt;&lt;/ruby&gt;&lt;br&gt;&lt;div class=""audio""&gt;[sound:しゆう.mp3]&lt;/div&gt;")</f>
        <v>&lt;ruby&gt;私有&lt;rt&gt;しゆう&lt;/rt&gt;&lt;/ruby&gt;&lt;br&gt;&lt;div class="audio"&gt;[sound:しゆう.mp3]&lt;/div&gt;</v>
      </c>
      <c r="H6481" s="3" t="str">
        <f t="shared" si="1"/>
        <v>(n): sở hữu tư nhân</v>
      </c>
      <c r="I6481" s="6" t="s">
        <v>35254</v>
      </c>
      <c r="J6481" s="6" t="s">
        <v>35255</v>
      </c>
      <c r="K6481" s="7">
        <f t="shared" si="2"/>
        <v>0.6582118503</v>
      </c>
    </row>
    <row r="6482">
      <c r="A6482" s="4">
        <v>6482.0</v>
      </c>
      <c r="B6482" s="5" t="s">
        <v>35256</v>
      </c>
      <c r="C6482" s="5" t="s">
        <v>35257</v>
      </c>
      <c r="D6482" s="5" t="s">
        <v>35258</v>
      </c>
      <c r="E6482" s="6" t="s">
        <v>74</v>
      </c>
      <c r="F6482" s="6" t="s">
        <v>6686</v>
      </c>
      <c r="G6482" s="3" t="str">
        <f>IFERROR(__xludf.DUMMYFUNCTION("REGEXREPLACE(
D6482,
""([一-龯々]+)\[([^\]]+)\]"",
""&lt;ruby&gt;$1&lt;rt&gt;$2&lt;/rt&gt;&lt;/ruby&gt;""
)&amp;""&lt;br&gt;&lt;div class=""""audio""""&gt;[sound:""&amp;C6482&amp;"".mp3]&lt;/div&gt;"""),"&lt;ruby&gt;発育&lt;rt&gt;はついく&lt;/rt&gt;&lt;/ruby&gt;&lt;br&gt;&lt;div class=""audio""&gt;[sound:はついく.mp3]&lt;/div&gt;")</f>
        <v>&lt;ruby&gt;発育&lt;rt&gt;はついく&lt;/rt&gt;&lt;/ruby&gt;&lt;br&gt;&lt;div class="audio"&gt;[sound:はついく.mp3]&lt;/div&gt;</v>
      </c>
      <c r="H6482" s="3" t="str">
        <f t="shared" si="1"/>
        <v>(n): sự phát triển</v>
      </c>
      <c r="I6482" s="6" t="s">
        <v>35259</v>
      </c>
      <c r="J6482" s="6" t="s">
        <v>35260</v>
      </c>
      <c r="K6482" s="7">
        <f t="shared" si="2"/>
        <v>0.05524391234</v>
      </c>
    </row>
    <row r="6483">
      <c r="A6483" s="4">
        <v>6483.0</v>
      </c>
      <c r="B6483" s="5" t="s">
        <v>35261</v>
      </c>
      <c r="C6483" s="5" t="s">
        <v>35262</v>
      </c>
      <c r="D6483" s="5" t="s">
        <v>35263</v>
      </c>
      <c r="E6483" s="6" t="s">
        <v>74</v>
      </c>
      <c r="F6483" s="6" t="s">
        <v>35264</v>
      </c>
      <c r="G6483" s="3" t="str">
        <f>IFERROR(__xludf.DUMMYFUNCTION("REGEXREPLACE(
D6483,
""([一-龯々]+)\[([^\]]+)\]"",
""&lt;ruby&gt;$1&lt;rt&gt;$2&lt;/rt&gt;&lt;/ruby&gt;""
)&amp;""&lt;br&gt;&lt;div class=""""audio""""&gt;[sound:""&amp;C6483&amp;"".mp3]&lt;/div&gt;"""),"&lt;ruby&gt;駆&lt;rt&gt;か&lt;/rt&gt;&lt;/ruby&gt;けっこ&lt;br&gt;&lt;div class=""audio""&gt;[sound:かけっこ.mp3]&lt;/div&gt;")</f>
        <v>&lt;ruby&gt;駆&lt;rt&gt;か&lt;/rt&gt;&lt;/ruby&gt;けっこ&lt;br&gt;&lt;div class="audio"&gt;[sound:かけっこ.mp3]&lt;/div&gt;</v>
      </c>
      <c r="H6483" s="3" t="str">
        <f t="shared" si="1"/>
        <v>(n): cuộc chạy đua</v>
      </c>
      <c r="I6483" s="6" t="s">
        <v>35265</v>
      </c>
      <c r="J6483" s="6" t="s">
        <v>35266</v>
      </c>
      <c r="K6483" s="7">
        <f t="shared" si="2"/>
        <v>0.1863145436</v>
      </c>
    </row>
    <row r="6484">
      <c r="A6484" s="4">
        <v>6484.0</v>
      </c>
      <c r="B6484" s="5" t="s">
        <v>35267</v>
      </c>
      <c r="C6484" s="5" t="s">
        <v>30549</v>
      </c>
      <c r="D6484" s="5" t="s">
        <v>35268</v>
      </c>
      <c r="E6484" s="6" t="s">
        <v>24</v>
      </c>
      <c r="F6484" s="6" t="s">
        <v>35269</v>
      </c>
      <c r="G6484" s="3" t="str">
        <f>IFERROR(__xludf.DUMMYFUNCTION("REGEXREPLACE(
D6484,
""([一-龯々]+)\[([^\]]+)\]"",
""&lt;ruby&gt;$1&lt;rt&gt;$2&lt;/rt&gt;&lt;/ruby&gt;""
)&amp;""&lt;br&gt;&lt;div class=""""audio""""&gt;[sound:""&amp;C6484&amp;"".mp3]&lt;/div&gt;"""),"&lt;ruby&gt;代弁&lt;rt&gt;だいべん&lt;/rt&gt;&lt;/ruby&gt;&lt;br&gt;&lt;div class=""audio""&gt;[sound:だいべん.mp3]&lt;/div&gt;")</f>
        <v>&lt;ruby&gt;代弁&lt;rt&gt;だいべん&lt;/rt&gt;&lt;/ruby&gt;&lt;br&gt;&lt;div class="audio"&gt;[sound:だいべん.mp3]&lt;/div&gt;</v>
      </c>
      <c r="H6484" s="3" t="str">
        <f t="shared" si="1"/>
        <v>(v): thay mặt nói</v>
      </c>
      <c r="I6484" s="6" t="s">
        <v>35270</v>
      </c>
      <c r="J6484" s="6" t="s">
        <v>35271</v>
      </c>
      <c r="K6484" s="7">
        <f t="shared" si="2"/>
        <v>0.2546982965</v>
      </c>
    </row>
    <row r="6485">
      <c r="A6485" s="4">
        <v>6485.0</v>
      </c>
      <c r="B6485" s="5" t="s">
        <v>35272</v>
      </c>
      <c r="C6485" s="5" t="s">
        <v>35273</v>
      </c>
      <c r="D6485" s="5" t="s">
        <v>35274</v>
      </c>
      <c r="E6485" s="6" t="s">
        <v>74</v>
      </c>
      <c r="F6485" s="6" t="s">
        <v>35275</v>
      </c>
      <c r="G6485" s="3" t="str">
        <f>IFERROR(__xludf.DUMMYFUNCTION("REGEXREPLACE(
D6485,
""([一-龯々]+)\[([^\]]+)\]"",
""&lt;ruby&gt;$1&lt;rt&gt;$2&lt;/rt&gt;&lt;/ruby&gt;""
)&amp;""&lt;br&gt;&lt;div class=""""audio""""&gt;[sound:""&amp;C6485&amp;"".mp3]&lt;/div&gt;"""),"&lt;ruby&gt;余興&lt;rt&gt;よきょう&lt;/rt&gt;&lt;/ruby&gt;&lt;br&gt;&lt;div class=""audio""&gt;[sound:よきょう.mp3]&lt;/div&gt;")</f>
        <v>&lt;ruby&gt;余興&lt;rt&gt;よきょう&lt;/rt&gt;&lt;/ruby&gt;&lt;br&gt;&lt;div class="audio"&gt;[sound:よきょう.mp3]&lt;/div&gt;</v>
      </c>
      <c r="H6485" s="3" t="str">
        <f t="shared" si="1"/>
        <v>(n): trò giải trí</v>
      </c>
      <c r="I6485" s="6" t="s">
        <v>35276</v>
      </c>
      <c r="J6485" s="6" t="s">
        <v>35277</v>
      </c>
      <c r="K6485" s="7">
        <f t="shared" si="2"/>
        <v>0.4335818893</v>
      </c>
    </row>
    <row r="6486">
      <c r="A6486" s="4">
        <v>6486.0</v>
      </c>
      <c r="B6486" s="5" t="s">
        <v>35278</v>
      </c>
      <c r="C6486" s="5" t="s">
        <v>35279</v>
      </c>
      <c r="D6486" s="5" t="s">
        <v>35280</v>
      </c>
      <c r="E6486" s="6" t="s">
        <v>74</v>
      </c>
      <c r="F6486" s="6" t="s">
        <v>35281</v>
      </c>
      <c r="G6486" s="3" t="str">
        <f>IFERROR(__xludf.DUMMYFUNCTION("REGEXREPLACE(
D6486,
""([一-龯々]+)\[([^\]]+)\]"",
""&lt;ruby&gt;$1&lt;rt&gt;$2&lt;/rt&gt;&lt;/ruby&gt;""
)&amp;""&lt;br&gt;&lt;div class=""""audio""""&gt;[sound:""&amp;C6486&amp;"".mp3]&lt;/div&gt;"""),"&lt;ruby&gt;模範&lt;rt&gt;もはん&lt;/rt&gt;&lt;/ruby&gt;&lt;br&gt;&lt;div class=""audio""&gt;[sound:もはん.mp3]&lt;/div&gt;")</f>
        <v>&lt;ruby&gt;模範&lt;rt&gt;もはん&lt;/rt&gt;&lt;/ruby&gt;&lt;br&gt;&lt;div class="audio"&gt;[sound:もはん.mp3]&lt;/div&gt;</v>
      </c>
      <c r="H6486" s="3" t="str">
        <f t="shared" si="1"/>
        <v>(n): sự gương mẫu</v>
      </c>
      <c r="I6486" s="6" t="s">
        <v>35282</v>
      </c>
      <c r="J6486" s="6" t="s">
        <v>35283</v>
      </c>
      <c r="K6486" s="7">
        <f t="shared" si="2"/>
        <v>0.08081535108</v>
      </c>
    </row>
    <row r="6487">
      <c r="A6487" s="4">
        <v>6487.0</v>
      </c>
      <c r="B6487" s="5" t="s">
        <v>35284</v>
      </c>
      <c r="C6487" s="5" t="s">
        <v>35285</v>
      </c>
      <c r="D6487" s="5" t="s">
        <v>35286</v>
      </c>
      <c r="E6487" s="6" t="s">
        <v>74</v>
      </c>
      <c r="F6487" s="6" t="s">
        <v>35287</v>
      </c>
      <c r="G6487" s="3" t="str">
        <f>IFERROR(__xludf.DUMMYFUNCTION("REGEXREPLACE(
D6487,
""([一-龯々]+)\[([^\]]+)\]"",
""&lt;ruby&gt;$1&lt;rt&gt;$2&lt;/rt&gt;&lt;/ruby&gt;""
)&amp;""&lt;br&gt;&lt;div class=""""audio""""&gt;[sound:""&amp;C6487&amp;"".mp3]&lt;/div&gt;"""),"&lt;ruby&gt;滅亡&lt;rt&gt;めつぼう&lt;/rt&gt;&lt;/ruby&gt;&lt;br&gt;&lt;div class=""audio""&gt;[sound:めつぼう.mp3]&lt;/div&gt;")</f>
        <v>&lt;ruby&gt;滅亡&lt;rt&gt;めつぼう&lt;/rt&gt;&lt;/ruby&gt;&lt;br&gt;&lt;div class="audio"&gt;[sound:めつぼう.mp3]&lt;/div&gt;</v>
      </c>
      <c r="H6487" s="3" t="str">
        <f t="shared" si="1"/>
        <v>(n): sự diệt vong</v>
      </c>
      <c r="I6487" s="6" t="s">
        <v>35288</v>
      </c>
      <c r="J6487" s="6" t="s">
        <v>35289</v>
      </c>
      <c r="K6487" s="7">
        <f t="shared" si="2"/>
        <v>0.6081760131</v>
      </c>
    </row>
    <row r="6488">
      <c r="A6488" s="4">
        <v>6488.0</v>
      </c>
      <c r="B6488" s="5" t="s">
        <v>35290</v>
      </c>
      <c r="C6488" s="5" t="s">
        <v>35291</v>
      </c>
      <c r="D6488" s="5" t="s">
        <v>35292</v>
      </c>
      <c r="E6488" s="6" t="s">
        <v>74</v>
      </c>
      <c r="F6488" s="6" t="s">
        <v>35293</v>
      </c>
      <c r="G6488" s="3" t="str">
        <f>IFERROR(__xludf.DUMMYFUNCTION("REGEXREPLACE(
D6488,
""([一-龯々]+)\[([^\]]+)\]"",
""&lt;ruby&gt;$1&lt;rt&gt;$2&lt;/rt&gt;&lt;/ruby&gt;""
)&amp;""&lt;br&gt;&lt;div class=""""audio""""&gt;[sound:""&amp;C6488&amp;"".mp3]&lt;/div&gt;"""),"&lt;ruby&gt;照合&lt;rt&gt;しょうごう&lt;/rt&gt;&lt;/ruby&gt;&lt;br&gt;&lt;div class=""audio""&gt;[sound:しょうごう.mp3]&lt;/div&gt;")</f>
        <v>&lt;ruby&gt;照合&lt;rt&gt;しょうごう&lt;/rt&gt;&lt;/ruby&gt;&lt;br&gt;&lt;div class="audio"&gt;[sound:しょうごう.mp3]&lt;/div&gt;</v>
      </c>
      <c r="H6488" s="3" t="str">
        <f t="shared" si="1"/>
        <v>(n): sự đối chiếu</v>
      </c>
      <c r="I6488" s="6" t="s">
        <v>35294</v>
      </c>
      <c r="J6488" s="6" t="s">
        <v>35295</v>
      </c>
      <c r="K6488" s="7">
        <f t="shared" si="2"/>
        <v>0.3063084796</v>
      </c>
    </row>
    <row r="6489">
      <c r="A6489" s="4">
        <v>6489.0</v>
      </c>
      <c r="B6489" s="5" t="s">
        <v>35296</v>
      </c>
      <c r="C6489" s="5" t="s">
        <v>35297</v>
      </c>
      <c r="D6489" s="5" t="s">
        <v>35298</v>
      </c>
      <c r="E6489" s="6" t="s">
        <v>11</v>
      </c>
      <c r="F6489" s="6" t="s">
        <v>35299</v>
      </c>
      <c r="G6489" s="3" t="str">
        <f>IFERROR(__xludf.DUMMYFUNCTION("REGEXREPLACE(
D6489,
""([一-龯々]+)\[([^\]]+)\]"",
""&lt;ruby&gt;$1&lt;rt&gt;$2&lt;/rt&gt;&lt;/ruby&gt;""
)&amp;""&lt;br&gt;&lt;div class=""""audio""""&gt;[sound:""&amp;C6489&amp;"".mp3]&lt;/div&gt;"""),"&lt;ruby&gt;目覚&lt;rt&gt;めざま&lt;/rt&gt;&lt;/ruby&gt;しい&lt;br&gt;&lt;div class=""audio""&gt;[sound:めざましい.mp3]&lt;/div&gt;")</f>
        <v>&lt;ruby&gt;目覚&lt;rt&gt;めざま&lt;/rt&gt;&lt;/ruby&gt;しい&lt;br&gt;&lt;div class="audio"&gt;[sound:めざましい.mp3]&lt;/div&gt;</v>
      </c>
      <c r="H6489" s="3" t="str">
        <f t="shared" si="1"/>
        <v>(adj): rất ấn tượng</v>
      </c>
      <c r="I6489" s="6" t="s">
        <v>35300</v>
      </c>
      <c r="J6489" s="6" t="s">
        <v>35301</v>
      </c>
      <c r="K6489" s="7">
        <f t="shared" si="2"/>
        <v>0.1123010452</v>
      </c>
    </row>
    <row r="6490">
      <c r="A6490" s="4">
        <v>6490.0</v>
      </c>
      <c r="B6490" s="5" t="s">
        <v>35302</v>
      </c>
      <c r="C6490" s="5" t="s">
        <v>20992</v>
      </c>
      <c r="D6490" s="5" t="s">
        <v>35303</v>
      </c>
      <c r="E6490" s="6" t="s">
        <v>11</v>
      </c>
      <c r="F6490" s="6" t="s">
        <v>35304</v>
      </c>
      <c r="G6490" s="3" t="str">
        <f>IFERROR(__xludf.DUMMYFUNCTION("REGEXREPLACE(
D6490,
""([一-龯々]+)\[([^\]]+)\]"",
""&lt;ruby&gt;$1&lt;rt&gt;$2&lt;/rt&gt;&lt;/ruby&gt;""
)&amp;""&lt;br&gt;&lt;div class=""""audio""""&gt;[sound:""&amp;C6490&amp;"".mp3]&lt;/div&gt;"""),"&lt;ruby&gt;神聖&lt;rt&gt;しんせい&lt;/rt&gt;&lt;/ruby&gt;&lt;br&gt;&lt;div class=""audio""&gt;[sound:しんせい.mp3]&lt;/div&gt;")</f>
        <v>&lt;ruby&gt;神聖&lt;rt&gt;しんせい&lt;/rt&gt;&lt;/ruby&gt;&lt;br&gt;&lt;div class="audio"&gt;[sound:しんせい.mp3]&lt;/div&gt;</v>
      </c>
      <c r="H6490" s="3" t="str">
        <f t="shared" si="1"/>
        <v>(adj): thiêng liêng</v>
      </c>
      <c r="I6490" s="6" t="s">
        <v>35305</v>
      </c>
      <c r="J6490" s="6" t="s">
        <v>35306</v>
      </c>
      <c r="K6490" s="7">
        <f t="shared" si="2"/>
        <v>0.174430621</v>
      </c>
    </row>
    <row r="6491">
      <c r="A6491" s="4">
        <v>6491.0</v>
      </c>
      <c r="B6491" s="5" t="s">
        <v>35307</v>
      </c>
      <c r="C6491" s="5" t="s">
        <v>35308</v>
      </c>
      <c r="D6491" s="5" t="s">
        <v>35309</v>
      </c>
      <c r="E6491" s="6" t="s">
        <v>11</v>
      </c>
      <c r="F6491" s="6" t="s">
        <v>35310</v>
      </c>
      <c r="G6491" s="3" t="str">
        <f>IFERROR(__xludf.DUMMYFUNCTION("REGEXREPLACE(
D6491,
""([一-龯々]+)\[([^\]]+)\]"",
""&lt;ruby&gt;$1&lt;rt&gt;$2&lt;/rt&gt;&lt;/ruby&gt;""
)&amp;""&lt;br&gt;&lt;div class=""""audio""""&gt;[sound:""&amp;C6491&amp;"".mp3]&lt;/div&gt;"""),"&lt;ruby&gt;紛&lt;rt&gt;まぎ&lt;/rt&gt;&lt;/ruby&gt;らわしい&lt;br&gt;&lt;div class=""audio""&gt;[sound:まぎらわしい.mp3]&lt;/div&gt;")</f>
        <v>&lt;ruby&gt;紛&lt;rt&gt;まぎ&lt;/rt&gt;&lt;/ruby&gt;らわしい&lt;br&gt;&lt;div class="audio"&gt;[sound:まぎらわしい.mp3]&lt;/div&gt;</v>
      </c>
      <c r="H6491" s="3" t="str">
        <f t="shared" si="1"/>
        <v>(adj): gây nhầm lẫn</v>
      </c>
      <c r="I6491" s="6" t="s">
        <v>35311</v>
      </c>
      <c r="J6491" s="6" t="s">
        <v>35312</v>
      </c>
      <c r="K6491" s="7">
        <f t="shared" si="2"/>
        <v>0.1171218889</v>
      </c>
    </row>
    <row r="6492">
      <c r="A6492" s="4">
        <v>6492.0</v>
      </c>
      <c r="B6492" s="5" t="s">
        <v>35313</v>
      </c>
      <c r="C6492" s="5" t="s">
        <v>35314</v>
      </c>
      <c r="D6492" s="5" t="s">
        <v>35315</v>
      </c>
      <c r="E6492" s="6" t="s">
        <v>74</v>
      </c>
      <c r="F6492" s="6" t="s">
        <v>35316</v>
      </c>
      <c r="G6492" s="3" t="str">
        <f>IFERROR(__xludf.DUMMYFUNCTION("REGEXREPLACE(
D6492,
""([一-龯々]+)\[([^\]]+)\]"",
""&lt;ruby&gt;$1&lt;rt&gt;$2&lt;/rt&gt;&lt;/ruby&gt;""
)&amp;""&lt;br&gt;&lt;div class=""""audio""""&gt;[sound:""&amp;C6492&amp;"".mp3]&lt;/div&gt;"""),"&lt;ruby&gt;楽観&lt;rt&gt;らっかん&lt;/rt&gt;&lt;/ruby&gt;&lt;br&gt;&lt;div class=""audio""&gt;[sound:らっかん.mp3]&lt;/div&gt;")</f>
        <v>&lt;ruby&gt;楽観&lt;rt&gt;らっかん&lt;/rt&gt;&lt;/ruby&gt;&lt;br&gt;&lt;div class="audio"&gt;[sound:らっかん.mp3]&lt;/div&gt;</v>
      </c>
      <c r="H6492" s="3" t="str">
        <f t="shared" si="1"/>
        <v>(n): sự lạc quan</v>
      </c>
      <c r="I6492" s="6" t="s">
        <v>35317</v>
      </c>
      <c r="J6492" s="6" t="s">
        <v>35318</v>
      </c>
      <c r="K6492" s="7">
        <f t="shared" si="2"/>
        <v>0.9147698613</v>
      </c>
    </row>
    <row r="6493">
      <c r="A6493" s="4">
        <v>6493.0</v>
      </c>
      <c r="B6493" s="5" t="s">
        <v>35319</v>
      </c>
      <c r="C6493" s="5" t="s">
        <v>35320</v>
      </c>
      <c r="D6493" s="5" t="s">
        <v>35321</v>
      </c>
      <c r="E6493" s="6" t="s">
        <v>74</v>
      </c>
      <c r="F6493" s="6" t="s">
        <v>35322</v>
      </c>
      <c r="G6493" s="3" t="str">
        <f>IFERROR(__xludf.DUMMYFUNCTION("REGEXREPLACE(
D6493,
""([一-龯々]+)\[([^\]]+)\]"",
""&lt;ruby&gt;$1&lt;rt&gt;$2&lt;/rt&gt;&lt;/ruby&gt;""
)&amp;""&lt;br&gt;&lt;div class=""""audio""""&gt;[sound:""&amp;C6493&amp;"".mp3]&lt;/div&gt;"""),"&lt;ruby&gt;没収&lt;rt&gt;ぼっしゅう&lt;/rt&gt;&lt;/ruby&gt;&lt;br&gt;&lt;div class=""audio""&gt;[sound:ぼっしゅう.mp3]&lt;/div&gt;")</f>
        <v>&lt;ruby&gt;没収&lt;rt&gt;ぼっしゅう&lt;/rt&gt;&lt;/ruby&gt;&lt;br&gt;&lt;div class="audio"&gt;[sound:ぼっしゅう.mp3]&lt;/div&gt;</v>
      </c>
      <c r="H6493" s="3" t="str">
        <f t="shared" si="1"/>
        <v>(n): sự tịch thu</v>
      </c>
      <c r="I6493" s="6" t="s">
        <v>35323</v>
      </c>
      <c r="J6493" s="6" t="s">
        <v>35324</v>
      </c>
      <c r="K6493" s="7">
        <f t="shared" si="2"/>
        <v>0.6873962522</v>
      </c>
    </row>
    <row r="6494">
      <c r="A6494" s="4">
        <v>6494.0</v>
      </c>
      <c r="B6494" s="5" t="s">
        <v>35325</v>
      </c>
      <c r="C6494" s="5" t="s">
        <v>35326</v>
      </c>
      <c r="D6494" s="5" t="s">
        <v>35327</v>
      </c>
      <c r="E6494" s="6" t="s">
        <v>74</v>
      </c>
      <c r="F6494" s="6" t="s">
        <v>35328</v>
      </c>
      <c r="G6494" s="3" t="str">
        <f>IFERROR(__xludf.DUMMYFUNCTION("REGEXREPLACE(
D6494,
""([一-龯々]+)\[([^\]]+)\]"",
""&lt;ruby&gt;$1&lt;rt&gt;$2&lt;/rt&gt;&lt;/ruby&gt;""
)&amp;""&lt;br&gt;&lt;div class=""""audio""""&gt;[sound:""&amp;C6494&amp;"".mp3]&lt;/div&gt;"""),"&lt;ruby&gt;漁船&lt;rt&gt;ぎょせん&lt;/rt&gt;&lt;/ruby&gt;&lt;br&gt;&lt;div class=""audio""&gt;[sound:ぎょせん.mp3]&lt;/div&gt;")</f>
        <v>&lt;ruby&gt;漁船&lt;rt&gt;ぎょせん&lt;/rt&gt;&lt;/ruby&gt;&lt;br&gt;&lt;div class="audio"&gt;[sound:ぎょせん.mp3]&lt;/div&gt;</v>
      </c>
      <c r="H6494" s="3" t="str">
        <f t="shared" si="1"/>
        <v>(n): tàu đánh cá</v>
      </c>
      <c r="I6494" s="6" t="s">
        <v>35329</v>
      </c>
      <c r="J6494" s="6" t="s">
        <v>35330</v>
      </c>
      <c r="K6494" s="7">
        <f t="shared" si="2"/>
        <v>0.4638154359</v>
      </c>
    </row>
    <row r="6495">
      <c r="A6495" s="4">
        <v>6495.0</v>
      </c>
      <c r="B6495" s="5" t="s">
        <v>35331</v>
      </c>
      <c r="C6495" s="5" t="s">
        <v>35332</v>
      </c>
      <c r="D6495" s="5" t="s">
        <v>35333</v>
      </c>
      <c r="E6495" s="6" t="s">
        <v>74</v>
      </c>
      <c r="F6495" s="6" t="s">
        <v>35334</v>
      </c>
      <c r="G6495" s="3" t="str">
        <f>IFERROR(__xludf.DUMMYFUNCTION("REGEXREPLACE(
D6495,
""([一-龯々]+)\[([^\]]+)\]"",
""&lt;ruby&gt;$1&lt;rt&gt;$2&lt;/rt&gt;&lt;/ruby&gt;""
)&amp;""&lt;br&gt;&lt;div class=""""audio""""&gt;[sound:""&amp;C6495&amp;"".mp3]&lt;/div&gt;"""),"&lt;ruby&gt;濫用&lt;rt&gt;らんよう&lt;/rt&gt;&lt;/ruby&gt;&lt;br&gt;&lt;div class=""audio""&gt;[sound:らんよう.mp3]&lt;/div&gt;")</f>
        <v>&lt;ruby&gt;濫用&lt;rt&gt;らんよう&lt;/rt&gt;&lt;/ruby&gt;&lt;br&gt;&lt;div class="audio"&gt;[sound:らんよう.mp3]&lt;/div&gt;</v>
      </c>
      <c r="H6495" s="3" t="str">
        <f t="shared" si="1"/>
        <v>(n): sự lạm dụng</v>
      </c>
      <c r="I6495" s="6" t="s">
        <v>35335</v>
      </c>
      <c r="J6495" s="6" t="s">
        <v>35336</v>
      </c>
      <c r="K6495" s="7">
        <f t="shared" si="2"/>
        <v>0.5879756509</v>
      </c>
    </row>
    <row r="6496">
      <c r="A6496" s="4">
        <v>6496.0</v>
      </c>
      <c r="B6496" s="5" t="s">
        <v>35337</v>
      </c>
      <c r="C6496" s="5" t="s">
        <v>35338</v>
      </c>
      <c r="D6496" s="5" t="s">
        <v>35339</v>
      </c>
      <c r="E6496" s="6" t="s">
        <v>74</v>
      </c>
      <c r="F6496" s="6" t="s">
        <v>35340</v>
      </c>
      <c r="G6496" s="3" t="str">
        <f>IFERROR(__xludf.DUMMYFUNCTION("REGEXREPLACE(
D6496,
""([一-龯々]+)\[([^\]]+)\]"",
""&lt;ruby&gt;$1&lt;rt&gt;$2&lt;/rt&gt;&lt;/ruby&gt;""
)&amp;""&lt;br&gt;&lt;div class=""""audio""""&gt;[sound:""&amp;C6496&amp;"".mp3]&lt;/div&gt;"""),"&lt;ruby&gt;熱量&lt;rt&gt;ねつりょう&lt;/rt&gt;&lt;/ruby&gt;&lt;br&gt;&lt;div class=""audio""&gt;[sound:ねつりょう.mp3]&lt;/div&gt;")</f>
        <v>&lt;ruby&gt;熱量&lt;rt&gt;ねつりょう&lt;/rt&gt;&lt;/ruby&gt;&lt;br&gt;&lt;div class="audio"&gt;[sound:ねつりょう.mp3]&lt;/div&gt;</v>
      </c>
      <c r="H6496" s="3" t="str">
        <f t="shared" si="1"/>
        <v>(n): nhiệt lượng</v>
      </c>
      <c r="I6496" s="6" t="s">
        <v>35341</v>
      </c>
      <c r="J6496" s="6" t="s">
        <v>35342</v>
      </c>
      <c r="K6496" s="7">
        <f t="shared" si="2"/>
        <v>0.0851196445</v>
      </c>
    </row>
    <row r="6497">
      <c r="A6497" s="4">
        <v>6497.0</v>
      </c>
      <c r="B6497" s="5" t="s">
        <v>35343</v>
      </c>
      <c r="C6497" s="5" t="s">
        <v>35344</v>
      </c>
      <c r="D6497" s="5" t="s">
        <v>35345</v>
      </c>
      <c r="E6497" s="6" t="s">
        <v>74</v>
      </c>
      <c r="F6497" s="6" t="s">
        <v>35346</v>
      </c>
      <c r="G6497" s="3" t="str">
        <f>IFERROR(__xludf.DUMMYFUNCTION("REGEXREPLACE(
D6497,
""([一-龯々]+)\[([^\]]+)\]"",
""&lt;ruby&gt;$1&lt;rt&gt;$2&lt;/rt&gt;&lt;/ruby&gt;""
)&amp;""&lt;br&gt;&lt;div class=""""audio""""&gt;[sound:""&amp;C6497&amp;"".mp3]&lt;/div&gt;"""),"&lt;ruby&gt;略奪&lt;rt&gt;りゃくだつ&lt;/rt&gt;&lt;/ruby&gt;&lt;br&gt;&lt;div class=""audio""&gt;[sound:りゃくだつ.mp3]&lt;/div&gt;")</f>
        <v>&lt;ruby&gt;略奪&lt;rt&gt;りゃくだつ&lt;/rt&gt;&lt;/ruby&gt;&lt;br&gt;&lt;div class="audio"&gt;[sound:りゃくだつ.mp3]&lt;/div&gt;</v>
      </c>
      <c r="H6497" s="3" t="str">
        <f t="shared" si="1"/>
        <v>(n): sự cướp bóc</v>
      </c>
      <c r="I6497" s="6" t="s">
        <v>35347</v>
      </c>
      <c r="J6497" s="6" t="s">
        <v>35348</v>
      </c>
      <c r="K6497" s="7">
        <f t="shared" si="2"/>
        <v>0.981895315</v>
      </c>
    </row>
    <row r="6498">
      <c r="A6498" s="4">
        <v>6498.0</v>
      </c>
      <c r="B6498" s="5" t="s">
        <v>35349</v>
      </c>
      <c r="C6498" s="5" t="s">
        <v>35350</v>
      </c>
      <c r="D6498" s="5" t="s">
        <v>35351</v>
      </c>
      <c r="E6498" s="6" t="s">
        <v>74</v>
      </c>
      <c r="F6498" s="6" t="s">
        <v>35352</v>
      </c>
      <c r="G6498" s="3" t="str">
        <f>IFERROR(__xludf.DUMMYFUNCTION("REGEXREPLACE(
D6498,
""([一-龯々]+)\[([^\]]+)\]"",
""&lt;ruby&gt;$1&lt;rt&gt;$2&lt;/rt&gt;&lt;/ruby&gt;""
)&amp;""&lt;br&gt;&lt;div class=""""audio""""&gt;[sound:""&amp;C6498&amp;"".mp3]&lt;/div&gt;"""),"&lt;ruby&gt;略語&lt;rt&gt;りゃくご&lt;/rt&gt;&lt;/ruby&gt;&lt;br&gt;&lt;div class=""audio""&gt;[sound:りゃくご.mp3]&lt;/div&gt;")</f>
        <v>&lt;ruby&gt;略語&lt;rt&gt;りゃくご&lt;/rt&gt;&lt;/ruby&gt;&lt;br&gt;&lt;div class="audio"&gt;[sound:りゃくご.mp3]&lt;/div&gt;</v>
      </c>
      <c r="H6498" s="3" t="str">
        <f t="shared" si="1"/>
        <v>(n): từ viết tắt</v>
      </c>
      <c r="I6498" s="6" t="s">
        <v>35353</v>
      </c>
      <c r="J6498" s="6" t="s">
        <v>35354</v>
      </c>
      <c r="K6498" s="7">
        <f t="shared" si="2"/>
        <v>0.2925790489</v>
      </c>
    </row>
    <row r="6499">
      <c r="A6499" s="4">
        <v>6499.0</v>
      </c>
      <c r="B6499" s="5" t="s">
        <v>35355</v>
      </c>
      <c r="C6499" s="5" t="s">
        <v>35356</v>
      </c>
      <c r="D6499" s="5" t="s">
        <v>35357</v>
      </c>
      <c r="E6499" s="6" t="s">
        <v>74</v>
      </c>
      <c r="F6499" s="6" t="s">
        <v>35358</v>
      </c>
      <c r="G6499" s="3" t="str">
        <f>IFERROR(__xludf.DUMMYFUNCTION("REGEXREPLACE(
D6499,
""([一-龯々]+)\[([^\]]+)\]"",
""&lt;ruby&gt;$1&lt;rt&gt;$2&lt;/rt&gt;&lt;/ruby&gt;""
)&amp;""&lt;br&gt;&lt;div class=""""audio""""&gt;[sound:""&amp;C6499&amp;"".mp3]&lt;/div&gt;"""),"&lt;ruby&gt;異論&lt;rt&gt;いろん&lt;/rt&gt;&lt;/ruby&gt;&lt;br&gt;&lt;div class=""audio""&gt;[sound:いろん.mp3]&lt;/div&gt;")</f>
        <v>&lt;ruby&gt;異論&lt;rt&gt;いろん&lt;/rt&gt;&lt;/ruby&gt;&lt;br&gt;&lt;div class="audio"&gt;[sound:いろん.mp3]&lt;/div&gt;</v>
      </c>
      <c r="H6499" s="3" t="str">
        <f t="shared" si="1"/>
        <v>(n): ý kiến khác</v>
      </c>
      <c r="I6499" s="6" t="s">
        <v>35359</v>
      </c>
      <c r="J6499" s="6" t="s">
        <v>35360</v>
      </c>
      <c r="K6499" s="7">
        <f t="shared" si="2"/>
        <v>0.9106696873</v>
      </c>
    </row>
    <row r="6500">
      <c r="A6500" s="4">
        <v>6500.0</v>
      </c>
      <c r="B6500" s="5" t="s">
        <v>35361</v>
      </c>
      <c r="C6500" s="5" t="s">
        <v>11549</v>
      </c>
      <c r="D6500" s="5" t="s">
        <v>35362</v>
      </c>
      <c r="E6500" s="6" t="s">
        <v>74</v>
      </c>
      <c r="F6500" s="6" t="s">
        <v>12423</v>
      </c>
      <c r="G6500" s="3" t="str">
        <f>IFERROR(__xludf.DUMMYFUNCTION("REGEXREPLACE(
D6500,
""([一-龯々]+)\[([^\]]+)\]"",
""&lt;ruby&gt;$1&lt;rt&gt;$2&lt;/rt&gt;&lt;/ruby&gt;""
)&amp;""&lt;br&gt;&lt;div class=""""audio""""&gt;[sound:""&amp;C6500&amp;"".mp3]&lt;/div&gt;"""),"&lt;ruby&gt;異議&lt;rt&gt;いぎ&lt;/rt&gt;&lt;/ruby&gt;&lt;br&gt;&lt;div class=""audio""&gt;[sound:いぎ.mp3]&lt;/div&gt;")</f>
        <v>&lt;ruby&gt;異議&lt;rt&gt;いぎ&lt;/rt&gt;&lt;/ruby&gt;&lt;br&gt;&lt;div class="audio"&gt;[sound:いぎ.mp3]&lt;/div&gt;</v>
      </c>
      <c r="H6500" s="3" t="str">
        <f t="shared" si="1"/>
        <v>(n): sự phản đối</v>
      </c>
      <c r="I6500" s="6" t="s">
        <v>35363</v>
      </c>
      <c r="J6500" s="6" t="s">
        <v>35364</v>
      </c>
      <c r="K6500" s="7">
        <f t="shared" si="2"/>
        <v>0.07022194058</v>
      </c>
    </row>
    <row r="6501">
      <c r="A6501" s="4">
        <v>6501.0</v>
      </c>
      <c r="B6501" s="5" t="s">
        <v>35365</v>
      </c>
      <c r="C6501" s="5" t="s">
        <v>35366</v>
      </c>
      <c r="D6501" s="5" t="s">
        <v>35367</v>
      </c>
      <c r="E6501" s="6" t="s">
        <v>11</v>
      </c>
      <c r="F6501" s="6" t="s">
        <v>35368</v>
      </c>
      <c r="G6501" s="3" t="str">
        <f>IFERROR(__xludf.DUMMYFUNCTION("REGEXREPLACE(
D6501,
""([一-龯々]+)\[([^\]]+)\]"",
""&lt;ruby&gt;$1&lt;rt&gt;$2&lt;/rt&gt;&lt;/ruby&gt;""
)&amp;""&lt;br&gt;&lt;div class=""""audio""""&gt;[sound:""&amp;C6501&amp;"".mp3]&lt;/div&gt;"""),"&lt;ruby&gt;盛大&lt;rt&gt;せいだい&lt;/rt&gt;&lt;/ruby&gt;&lt;br&gt;&lt;div class=""audio""&gt;[sound:せいだい.mp3]&lt;/div&gt;")</f>
        <v>&lt;ruby&gt;盛大&lt;rt&gt;せいだい&lt;/rt&gt;&lt;/ruby&gt;&lt;br&gt;&lt;div class="audio"&gt;[sound:せいだい.mp3]&lt;/div&gt;</v>
      </c>
      <c r="H6501" s="3" t="str">
        <f t="shared" si="1"/>
        <v>(adj): hoành tráng</v>
      </c>
      <c r="I6501" s="6" t="s">
        <v>35369</v>
      </c>
      <c r="J6501" s="6" t="s">
        <v>35370</v>
      </c>
      <c r="K6501" s="7">
        <f t="shared" si="2"/>
        <v>0.4318346109</v>
      </c>
    </row>
    <row r="6502">
      <c r="A6502" s="4">
        <v>6502.0</v>
      </c>
      <c r="B6502" s="5" t="s">
        <v>35371</v>
      </c>
      <c r="C6502" s="5" t="s">
        <v>35372</v>
      </c>
      <c r="D6502" s="5" t="s">
        <v>35373</v>
      </c>
      <c r="E6502" s="6" t="s">
        <v>24</v>
      </c>
      <c r="F6502" s="6" t="s">
        <v>35374</v>
      </c>
      <c r="G6502" s="3" t="str">
        <f>IFERROR(__xludf.DUMMYFUNCTION("REGEXREPLACE(
D6502,
""([一-龯々]+)\[([^\]]+)\]"",
""&lt;ruby&gt;$1&lt;rt&gt;$2&lt;/rt&gt;&lt;/ruby&gt;""
)&amp;""&lt;br&gt;&lt;div class=""""audio""""&gt;[sound:""&amp;C6502&amp;"".mp3]&lt;/div&gt;"""),"&lt;ruby&gt;繕&lt;rt&gt;つくろ&lt;/rt&gt;&lt;/ruby&gt;う&lt;br&gt;&lt;div class=""audio""&gt;[sound:つくろう.mp3]&lt;/div&gt;")</f>
        <v>&lt;ruby&gt;繕&lt;rt&gt;つくろ&lt;/rt&gt;&lt;/ruby&gt;う&lt;br&gt;&lt;div class="audio"&gt;[sound:つくろう.mp3]&lt;/div&gt;</v>
      </c>
      <c r="H6502" s="3" t="str">
        <f t="shared" si="1"/>
        <v>(v): vá</v>
      </c>
      <c r="I6502" s="6" t="s">
        <v>35375</v>
      </c>
      <c r="J6502" s="6" t="s">
        <v>35376</v>
      </c>
      <c r="K6502" s="7">
        <f t="shared" si="2"/>
        <v>0.873423304</v>
      </c>
    </row>
    <row r="6503">
      <c r="A6503" s="4">
        <v>6503.0</v>
      </c>
      <c r="B6503" s="5" t="s">
        <v>35377</v>
      </c>
      <c r="C6503" s="5" t="s">
        <v>13322</v>
      </c>
      <c r="D6503" s="5" t="s">
        <v>35378</v>
      </c>
      <c r="E6503" s="6" t="s">
        <v>74</v>
      </c>
      <c r="F6503" s="6" t="s">
        <v>35379</v>
      </c>
      <c r="G6503" s="3" t="str">
        <f>IFERROR(__xludf.DUMMYFUNCTION("REGEXREPLACE(
D6503,
""([一-龯々]+)\[([^\]]+)\]"",
""&lt;ruby&gt;$1&lt;rt&gt;$2&lt;/rt&gt;&lt;/ruby&gt;""
)&amp;""&lt;br&gt;&lt;div class=""""audio""""&gt;[sound:""&amp;C6503&amp;"".mp3]&lt;/div&gt;"""),"&lt;ruby&gt;耕作&lt;rt&gt;こうさく&lt;/rt&gt;&lt;/ruby&gt;&lt;br&gt;&lt;div class=""audio""&gt;[sound:こうさく.mp3]&lt;/div&gt;")</f>
        <v>&lt;ruby&gt;耕作&lt;rt&gt;こうさく&lt;/rt&gt;&lt;/ruby&gt;&lt;br&gt;&lt;div class="audio"&gt;[sound:こうさく.mp3]&lt;/div&gt;</v>
      </c>
      <c r="H6503" s="3" t="str">
        <f t="shared" si="1"/>
        <v>(n): canh tác</v>
      </c>
      <c r="I6503" s="6" t="s">
        <v>35380</v>
      </c>
      <c r="J6503" s="6" t="s">
        <v>35381</v>
      </c>
      <c r="K6503" s="7">
        <f t="shared" si="2"/>
        <v>0.2300503269</v>
      </c>
    </row>
    <row r="6504">
      <c r="A6504" s="4">
        <v>6504.0</v>
      </c>
      <c r="B6504" s="5" t="s">
        <v>35382</v>
      </c>
      <c r="C6504" s="5" t="s">
        <v>35383</v>
      </c>
      <c r="D6504" s="5" t="s">
        <v>35384</v>
      </c>
      <c r="E6504" s="6" t="s">
        <v>74</v>
      </c>
      <c r="F6504" s="6" t="s">
        <v>5841</v>
      </c>
      <c r="G6504" s="3" t="str">
        <f>IFERROR(__xludf.DUMMYFUNCTION("REGEXREPLACE(
D6504,
""([一-龯々]+)\[([^\]]+)\]"",
""&lt;ruby&gt;$1&lt;rt&gt;$2&lt;/rt&gt;&lt;/ruby&gt;""
)&amp;""&lt;br&gt;&lt;div class=""""audio""""&gt;[sound:""&amp;C6504&amp;"".mp3]&lt;/div&gt;"""),"&lt;ruby&gt;腹立&lt;rt&gt;はらだ&lt;/rt&gt;&lt;/ruby&gt;ち&lt;br&gt;&lt;div class=""audio""&gt;[sound:はらだち.mp3]&lt;/div&gt;")</f>
        <v>&lt;ruby&gt;腹立&lt;rt&gt;はらだ&lt;/rt&gt;&lt;/ruby&gt;ち&lt;br&gt;&lt;div class="audio"&gt;[sound:はらだち.mp3]&lt;/div&gt;</v>
      </c>
      <c r="H6504" s="3" t="str">
        <f t="shared" si="1"/>
        <v>(n): tức giận</v>
      </c>
      <c r="I6504" s="6" t="s">
        <v>35385</v>
      </c>
      <c r="J6504" s="6" t="s">
        <v>35386</v>
      </c>
      <c r="K6504" s="7">
        <f t="shared" si="2"/>
        <v>0.3883095936</v>
      </c>
    </row>
    <row r="6505">
      <c r="A6505" s="4">
        <v>6505.0</v>
      </c>
      <c r="B6505" s="5" t="s">
        <v>35387</v>
      </c>
      <c r="C6505" s="5" t="s">
        <v>35388</v>
      </c>
      <c r="D6505" s="5" t="s">
        <v>35389</v>
      </c>
      <c r="E6505" s="6" t="s">
        <v>74</v>
      </c>
      <c r="F6505" s="6" t="s">
        <v>21490</v>
      </c>
      <c r="G6505" s="3" t="str">
        <f>IFERROR(__xludf.DUMMYFUNCTION("REGEXREPLACE(
D6505,
""([一-龯々]+)\[([^\]]+)\]"",
""&lt;ruby&gt;$1&lt;rt&gt;$2&lt;/rt&gt;&lt;/ruby&gt;""
)&amp;""&lt;br&gt;&lt;div class=""""audio""""&gt;[sound:""&amp;C6505&amp;"".mp3]&lt;/div&gt;"""),"&lt;ruby&gt;詫&lt;rt&gt;わ&lt;/rt&gt;&lt;/ruby&gt;び&lt;br&gt;&lt;div class=""audio""&gt;[sound:わび.mp3]&lt;/div&gt;")</f>
        <v>&lt;ruby&gt;詫&lt;rt&gt;わ&lt;/rt&gt;&lt;/ruby&gt;び&lt;br&gt;&lt;div class="audio"&gt;[sound:わび.mp3]&lt;/div&gt;</v>
      </c>
      <c r="H6505" s="3" t="str">
        <f t="shared" si="1"/>
        <v>(n): lời xin lỗi</v>
      </c>
      <c r="I6505" s="6" t="s">
        <v>35390</v>
      </c>
      <c r="J6505" s="6" t="s">
        <v>35391</v>
      </c>
      <c r="K6505" s="7">
        <f t="shared" si="2"/>
        <v>0.2726454223</v>
      </c>
    </row>
    <row r="6506">
      <c r="A6506" s="4">
        <v>6506.0</v>
      </c>
      <c r="B6506" s="5" t="s">
        <v>35392</v>
      </c>
      <c r="C6506" s="5" t="s">
        <v>13557</v>
      </c>
      <c r="D6506" s="5" t="s">
        <v>35393</v>
      </c>
      <c r="E6506" s="6" t="s">
        <v>74</v>
      </c>
      <c r="F6506" s="6" t="s">
        <v>35394</v>
      </c>
      <c r="G6506" s="3" t="str">
        <f>IFERROR(__xludf.DUMMYFUNCTION("REGEXREPLACE(
D6506,
""([一-龯々]+)\[([^\]]+)\]"",
""&lt;ruby&gt;$1&lt;rt&gt;$2&lt;/rt&gt;&lt;/ruby&gt;""
)&amp;""&lt;br&gt;&lt;div class=""""audio""""&gt;[sound:""&amp;C6506&amp;"".mp3]&lt;/div&gt;"""),"&lt;ruby&gt;豊作&lt;rt&gt;ほうさく&lt;/rt&gt;&lt;/ruby&gt;&lt;br&gt;&lt;div class=""audio""&gt;[sound:ほうさく.mp3]&lt;/div&gt;")</f>
        <v>&lt;ruby&gt;豊作&lt;rt&gt;ほうさく&lt;/rt&gt;&lt;/ruby&gt;&lt;br&gt;&lt;div class="audio"&gt;[sound:ほうさく.mp3]&lt;/div&gt;</v>
      </c>
      <c r="H6506" s="3" t="str">
        <f t="shared" si="1"/>
        <v>(n): được mùa</v>
      </c>
      <c r="I6506" s="6" t="s">
        <v>35395</v>
      </c>
      <c r="J6506" s="6" t="s">
        <v>35396</v>
      </c>
      <c r="K6506" s="7">
        <f t="shared" si="2"/>
        <v>0.9450187151</v>
      </c>
    </row>
    <row r="6507">
      <c r="A6507" s="4">
        <v>6507.0</v>
      </c>
      <c r="B6507" s="5" t="s">
        <v>35397</v>
      </c>
      <c r="C6507" s="5" t="s">
        <v>35397</v>
      </c>
      <c r="D6507" s="5" t="s">
        <v>35397</v>
      </c>
      <c r="E6507" s="6" t="s">
        <v>11</v>
      </c>
      <c r="F6507" s="6" t="s">
        <v>9413</v>
      </c>
      <c r="G6507" s="3" t="str">
        <f>IFERROR(__xludf.DUMMYFUNCTION("REGEXREPLACE(
D6507,
""([一-龯々]+)\[([^\]]+)\]"",
""&lt;ruby&gt;$1&lt;rt&gt;$2&lt;/rt&gt;&lt;/ruby&gt;""
)&amp;""&lt;br&gt;&lt;div class=""""audio""""&gt;[sound:""&amp;C6507&amp;"".mp3]&lt;/div&gt;"""),"あべこべ&lt;br&gt;&lt;div class=""audio""&gt;[sound:あべこべ.mp3]&lt;/div&gt;")</f>
        <v>あべこべ&lt;br&gt;&lt;div class="audio"&gt;[sound:あべこべ.mp3]&lt;/div&gt;</v>
      </c>
      <c r="H6507" s="3" t="str">
        <f t="shared" si="1"/>
        <v>(adj): trái ngược</v>
      </c>
      <c r="I6507" s="6" t="s">
        <v>35398</v>
      </c>
      <c r="J6507" s="6" t="s">
        <v>35399</v>
      </c>
      <c r="K6507" s="7">
        <f t="shared" si="2"/>
        <v>0.957911809</v>
      </c>
    </row>
    <row r="6508">
      <c r="A6508" s="4">
        <v>6508.0</v>
      </c>
      <c r="B6508" s="5" t="s">
        <v>35400</v>
      </c>
      <c r="C6508" s="5" t="s">
        <v>35401</v>
      </c>
      <c r="D6508" s="5" t="s">
        <v>35402</v>
      </c>
      <c r="E6508" s="6" t="s">
        <v>85</v>
      </c>
      <c r="F6508" s="6" t="s">
        <v>35403</v>
      </c>
      <c r="G6508" s="3" t="str">
        <f>IFERROR(__xludf.DUMMYFUNCTION("REGEXREPLACE(
D6508,
""([一-龯々]+)\[([^\]]+)\]"",
""&lt;ruby&gt;$1&lt;rt&gt;$2&lt;/rt&gt;&lt;/ruby&gt;""
)&amp;""&lt;br&gt;&lt;div class=""""audio""""&gt;[sound:""&amp;C6508&amp;"".mp3]&lt;/div&gt;"""),"&lt;ruby&gt;代&lt;rt&gt;かわ&lt;/rt&gt;&lt;/ruby&gt;る&lt;ruby&gt;代&lt;rt&gt;がわ&lt;/rt&gt;&lt;/ruby&gt;る&lt;br&gt;&lt;div class=""audio""&gt;[sound:かわるがわる.mp3]&lt;/div&gt;")</f>
        <v>&lt;ruby&gt;代&lt;rt&gt;かわ&lt;/rt&gt;&lt;/ruby&gt;る&lt;ruby&gt;代&lt;rt&gt;がわ&lt;/rt&gt;&lt;/ruby&gt;る&lt;br&gt;&lt;div class="audio"&gt;[sound:かわるがわる.mp3]&lt;/div&gt;</v>
      </c>
      <c r="H6508" s="3" t="str">
        <f t="shared" si="1"/>
        <v>(adv): luân phiên</v>
      </c>
      <c r="I6508" s="6" t="s">
        <v>35404</v>
      </c>
      <c r="J6508" s="6" t="s">
        <v>35405</v>
      </c>
      <c r="K6508" s="7">
        <f t="shared" si="2"/>
        <v>0.8313296375</v>
      </c>
    </row>
    <row r="6509">
      <c r="A6509" s="4">
        <v>6509.0</v>
      </c>
      <c r="B6509" s="5" t="s">
        <v>35406</v>
      </c>
      <c r="C6509" s="5" t="s">
        <v>35407</v>
      </c>
      <c r="D6509" s="5" t="s">
        <v>35408</v>
      </c>
      <c r="E6509" s="6" t="s">
        <v>24</v>
      </c>
      <c r="F6509" s="6" t="s">
        <v>32081</v>
      </c>
      <c r="G6509" s="3" t="str">
        <f>IFERROR(__xludf.DUMMYFUNCTION("REGEXREPLACE(
D6509,
""([一-龯々]+)\[([^\]]+)\]"",
""&lt;ruby&gt;$1&lt;rt&gt;$2&lt;/rt&gt;&lt;/ruby&gt;""
)&amp;""&lt;br&gt;&lt;div class=""""audio""""&gt;[sound:""&amp;C6509&amp;"".mp3]&lt;/div&gt;"""),"&lt;ruby&gt;似通&lt;rt&gt;にかよ&lt;/rt&gt;&lt;/ruby&gt;う&lt;br&gt;&lt;div class=""audio""&gt;[sound:にかよう.mp3]&lt;/div&gt;")</f>
        <v>&lt;ruby&gt;似通&lt;rt&gt;にかよ&lt;/rt&gt;&lt;/ruby&gt;う&lt;br&gt;&lt;div class="audio"&gt;[sound:にかよう.mp3]&lt;/div&gt;</v>
      </c>
      <c r="H6509" s="3" t="str">
        <f t="shared" si="1"/>
        <v>(v): giống nhau</v>
      </c>
      <c r="I6509" s="6" t="s">
        <v>35409</v>
      </c>
      <c r="J6509" s="6" t="s">
        <v>35410</v>
      </c>
      <c r="K6509" s="7">
        <f t="shared" si="2"/>
        <v>0.2174500568</v>
      </c>
    </row>
    <row r="6510">
      <c r="A6510" s="4">
        <v>6510.0</v>
      </c>
      <c r="B6510" s="5" t="s">
        <v>35411</v>
      </c>
      <c r="C6510" s="5" t="s">
        <v>35412</v>
      </c>
      <c r="D6510" s="5" t="s">
        <v>35413</v>
      </c>
      <c r="E6510" s="6" t="s">
        <v>74</v>
      </c>
      <c r="F6510" s="6" t="s">
        <v>35414</v>
      </c>
      <c r="G6510" s="3" t="str">
        <f>IFERROR(__xludf.DUMMYFUNCTION("REGEXREPLACE(
D6510,
""([一-龯々]+)\[([^\]]+)\]"",
""&lt;ruby&gt;$1&lt;rt&gt;$2&lt;/rt&gt;&lt;/ruby&gt;""
)&amp;""&lt;br&gt;&lt;div class=""""audio""""&gt;[sound:""&amp;C6510&amp;"".mp3]&lt;/div&gt;"""),"&lt;ruby&gt;満月&lt;rt&gt;まんげつ&lt;/rt&gt;&lt;/ruby&gt;&lt;br&gt;&lt;div class=""audio""&gt;[sound:まんげつ.mp3]&lt;/div&gt;")</f>
        <v>&lt;ruby&gt;満月&lt;rt&gt;まんげつ&lt;/rt&gt;&lt;/ruby&gt;&lt;br&gt;&lt;div class="audio"&gt;[sound:まんげつ.mp3]&lt;/div&gt;</v>
      </c>
      <c r="H6510" s="3" t="str">
        <f t="shared" si="1"/>
        <v>(n): trăng tròn</v>
      </c>
      <c r="I6510" s="6" t="s">
        <v>35415</v>
      </c>
      <c r="J6510" s="6" t="s">
        <v>35416</v>
      </c>
      <c r="K6510" s="7">
        <f t="shared" si="2"/>
        <v>0.3689791619</v>
      </c>
    </row>
    <row r="6511">
      <c r="A6511" s="4">
        <v>6511.0</v>
      </c>
      <c r="B6511" s="5" t="s">
        <v>35417</v>
      </c>
      <c r="C6511" s="5" t="s">
        <v>35418</v>
      </c>
      <c r="D6511" s="5" t="s">
        <v>35419</v>
      </c>
      <c r="E6511" s="6" t="s">
        <v>74</v>
      </c>
      <c r="F6511" s="6" t="s">
        <v>35420</v>
      </c>
      <c r="G6511" s="3" t="str">
        <f>IFERROR(__xludf.DUMMYFUNCTION("REGEXREPLACE(
D6511,
""([一-龯々]+)\[([^\]]+)\]"",
""&lt;ruby&gt;$1&lt;rt&gt;$2&lt;/rt&gt;&lt;/ruby&gt;""
)&amp;""&lt;br&gt;&lt;div class=""""audio""""&gt;[sound:""&amp;C6511&amp;"".mp3]&lt;/div&gt;"""),"&lt;ruby&gt;現像&lt;rt&gt;げんぞう&lt;/rt&gt;&lt;/ruby&gt;&lt;br&gt;&lt;div class=""audio""&gt;[sound:げんぞう.mp3]&lt;/div&gt;")</f>
        <v>&lt;ruby&gt;現像&lt;rt&gt;げんぞう&lt;/rt&gt;&lt;/ruby&gt;&lt;br&gt;&lt;div class="audio"&gt;[sound:げんぞう.mp3]&lt;/div&gt;</v>
      </c>
      <c r="H6511" s="3" t="str">
        <f t="shared" si="1"/>
        <v>(n): rửa ảnh</v>
      </c>
      <c r="I6511" s="6" t="s">
        <v>35421</v>
      </c>
      <c r="J6511" s="6" t="s">
        <v>35422</v>
      </c>
      <c r="K6511" s="7">
        <f t="shared" si="2"/>
        <v>0.1482324925</v>
      </c>
    </row>
    <row r="6512">
      <c r="A6512" s="4">
        <v>6512.0</v>
      </c>
      <c r="B6512" s="5" t="s">
        <v>35423</v>
      </c>
      <c r="C6512" s="5" t="s">
        <v>35424</v>
      </c>
      <c r="D6512" s="5" t="s">
        <v>35425</v>
      </c>
      <c r="E6512" s="6" t="s">
        <v>74</v>
      </c>
      <c r="F6512" s="6" t="s">
        <v>35426</v>
      </c>
      <c r="G6512" s="3" t="str">
        <f>IFERROR(__xludf.DUMMYFUNCTION("REGEXREPLACE(
D6512,
""([一-龯々]+)\[([^\]]+)\]"",
""&lt;ruby&gt;$1&lt;rt&gt;$2&lt;/rt&gt;&lt;/ruby&gt;""
)&amp;""&lt;br&gt;&lt;div class=""""audio""""&gt;[sound:""&amp;C6512&amp;"".mp3]&lt;/div&gt;"""),"&lt;ruby&gt;皇居&lt;rt&gt;こうきょ&lt;/rt&gt;&lt;/ruby&gt;&lt;br&gt;&lt;div class=""audio""&gt;[sound:こうきょ.mp3]&lt;/div&gt;")</f>
        <v>&lt;ruby&gt;皇居&lt;rt&gt;こうきょ&lt;/rt&gt;&lt;/ruby&gt;&lt;br&gt;&lt;div class="audio"&gt;[sound:こうきょ.mp3]&lt;/div&gt;</v>
      </c>
      <c r="H6512" s="3" t="str">
        <f t="shared" si="1"/>
        <v>(n): hoàng cung</v>
      </c>
      <c r="I6512" s="6" t="s">
        <v>35427</v>
      </c>
      <c r="J6512" s="6" t="s">
        <v>35428</v>
      </c>
      <c r="K6512" s="7">
        <f t="shared" si="2"/>
        <v>0.4068721011</v>
      </c>
    </row>
    <row r="6513">
      <c r="A6513" s="4">
        <v>6513.0</v>
      </c>
      <c r="B6513" s="5" t="s">
        <v>35429</v>
      </c>
      <c r="C6513" s="5" t="s">
        <v>35430</v>
      </c>
      <c r="D6513" s="5" t="s">
        <v>35431</v>
      </c>
      <c r="E6513" s="6" t="s">
        <v>74</v>
      </c>
      <c r="F6513" s="6" t="s">
        <v>35432</v>
      </c>
      <c r="G6513" s="3" t="str">
        <f>IFERROR(__xludf.DUMMYFUNCTION("REGEXREPLACE(
D6513,
""([一-龯々]+)\[([^\]]+)\]"",
""&lt;ruby&gt;$1&lt;rt&gt;$2&lt;/rt&gt;&lt;/ruby&gt;""
)&amp;""&lt;br&gt;&lt;div class=""""audio""""&gt;[sound:""&amp;C6513&amp;"".mp3]&lt;/div&gt;"""),"&lt;ruby&gt;私物&lt;rt&gt;しぶつ&lt;/rt&gt;&lt;/ruby&gt;&lt;br&gt;&lt;div class=""audio""&gt;[sound:しぶつ.mp3]&lt;/div&gt;")</f>
        <v>&lt;ruby&gt;私物&lt;rt&gt;しぶつ&lt;/rt&gt;&lt;/ruby&gt;&lt;br&gt;&lt;div class="audio"&gt;[sound:しぶつ.mp3]&lt;/div&gt;</v>
      </c>
      <c r="H6513" s="3" t="str">
        <f t="shared" si="1"/>
        <v>(n): đồ cá nhân</v>
      </c>
      <c r="I6513" s="6" t="s">
        <v>35433</v>
      </c>
      <c r="J6513" s="6" t="s">
        <v>35434</v>
      </c>
      <c r="K6513" s="7">
        <f t="shared" si="2"/>
        <v>0.1347450167</v>
      </c>
    </row>
    <row r="6514">
      <c r="A6514" s="4">
        <v>6514.0</v>
      </c>
      <c r="B6514" s="5" t="s">
        <v>35435</v>
      </c>
      <c r="C6514" s="5" t="s">
        <v>35436</v>
      </c>
      <c r="D6514" s="5" t="s">
        <v>35437</v>
      </c>
      <c r="E6514" s="6" t="s">
        <v>74</v>
      </c>
      <c r="F6514" s="6" t="s">
        <v>14918</v>
      </c>
      <c r="G6514" s="3" t="str">
        <f>IFERROR(__xludf.DUMMYFUNCTION("REGEXREPLACE(
D6514,
""([一-龯々]+)\[([^\]]+)\]"",
""&lt;ruby&gt;$1&lt;rt&gt;$2&lt;/rt&gt;&lt;/ruby&gt;""
)&amp;""&lt;br&gt;&lt;div class=""""audio""""&gt;[sound:""&amp;C6514&amp;"".mp3]&lt;/div&gt;"""),"&lt;ruby&gt;統率&lt;rt&gt;とうそつ&lt;/rt&gt;&lt;/ruby&gt;&lt;br&gt;&lt;div class=""audio""&gt;[sound:とうそつ.mp3]&lt;/div&gt;")</f>
        <v>&lt;ruby&gt;統率&lt;rt&gt;とうそつ&lt;/rt&gt;&lt;/ruby&gt;&lt;br&gt;&lt;div class="audio"&gt;[sound:とうそつ.mp3]&lt;/div&gt;</v>
      </c>
      <c r="H6514" s="3" t="str">
        <f t="shared" si="1"/>
        <v>(n): chỉ huy</v>
      </c>
      <c r="I6514" s="6" t="s">
        <v>35438</v>
      </c>
      <c r="J6514" s="6" t="s">
        <v>35439</v>
      </c>
      <c r="K6514" s="7">
        <f t="shared" si="2"/>
        <v>0.09262513873</v>
      </c>
    </row>
    <row r="6515">
      <c r="A6515" s="4">
        <v>6515.0</v>
      </c>
      <c r="B6515" s="5" t="s">
        <v>35440</v>
      </c>
      <c r="C6515" s="5" t="s">
        <v>35441</v>
      </c>
      <c r="D6515" s="5" t="s">
        <v>35442</v>
      </c>
      <c r="E6515" s="6" t="s">
        <v>11</v>
      </c>
      <c r="F6515" s="6" t="s">
        <v>35443</v>
      </c>
      <c r="G6515" s="3" t="str">
        <f>IFERROR(__xludf.DUMMYFUNCTION("REGEXREPLACE(
D6515,
""([一-龯々]+)\[([^\]]+)\]"",
""&lt;ruby&gt;$1&lt;rt&gt;$2&lt;/rt&gt;&lt;/ruby&gt;""
)&amp;""&lt;br&gt;&lt;div class=""""audio""""&gt;[sound:""&amp;C6515&amp;"".mp3]&lt;/div&gt;"""),"&lt;ruby&gt;軽率&lt;rt&gt;けいそつ&lt;/rt&gt;&lt;/ruby&gt;&lt;br&gt;&lt;div class=""audio""&gt;[sound:けいそつ.mp3]&lt;/div&gt;")</f>
        <v>&lt;ruby&gt;軽率&lt;rt&gt;けいそつ&lt;/rt&gt;&lt;/ruby&gt;&lt;br&gt;&lt;div class="audio"&gt;[sound:けいそつ.mp3]&lt;/div&gt;</v>
      </c>
      <c r="H6515" s="3" t="str">
        <f t="shared" si="1"/>
        <v>(adj): khinh suất</v>
      </c>
      <c r="I6515" s="6" t="s">
        <v>35444</v>
      </c>
      <c r="J6515" s="6" t="s">
        <v>35445</v>
      </c>
      <c r="K6515" s="7">
        <f t="shared" si="2"/>
        <v>0.6986564053</v>
      </c>
    </row>
    <row r="6516">
      <c r="A6516" s="4">
        <v>6516.0</v>
      </c>
      <c r="B6516" s="5" t="s">
        <v>35446</v>
      </c>
      <c r="C6516" s="5" t="s">
        <v>35447</v>
      </c>
      <c r="D6516" s="5" t="s">
        <v>35448</v>
      </c>
      <c r="E6516" s="6" t="s">
        <v>74</v>
      </c>
      <c r="F6516" s="6" t="s">
        <v>35449</v>
      </c>
      <c r="G6516" s="3" t="str">
        <f>IFERROR(__xludf.DUMMYFUNCTION("REGEXREPLACE(
D6516,
""([一-龯々]+)\[([^\]]+)\]"",
""&lt;ruby&gt;$1&lt;rt&gt;$2&lt;/rt&gt;&lt;/ruby&gt;""
)&amp;""&lt;br&gt;&lt;div class=""""audio""""&gt;[sound:""&amp;C6516&amp;"".mp3]&lt;/div&gt;"""),"&lt;ruby&gt;首飾&lt;rt&gt;くびかざ&lt;/rt&gt;&lt;/ruby&gt;り&lt;br&gt;&lt;div class=""audio""&gt;[sound:くびかざり.mp3]&lt;/div&gt;")</f>
        <v>&lt;ruby&gt;首飾&lt;rt&gt;くびかざ&lt;/rt&gt;&lt;/ruby&gt;り&lt;br&gt;&lt;div class="audio"&gt;[sound:くびかざり.mp3]&lt;/div&gt;</v>
      </c>
      <c r="H6516" s="3" t="str">
        <f t="shared" si="1"/>
        <v>(n): dây chuyền</v>
      </c>
      <c r="I6516" s="6" t="s">
        <v>35450</v>
      </c>
      <c r="J6516" s="6" t="s">
        <v>35451</v>
      </c>
      <c r="K6516" s="7">
        <f t="shared" si="2"/>
        <v>0.2238444009</v>
      </c>
    </row>
    <row r="6517">
      <c r="A6517" s="4">
        <v>6517.0</v>
      </c>
      <c r="B6517" s="5" t="s">
        <v>35452</v>
      </c>
      <c r="C6517" s="5" t="s">
        <v>35452</v>
      </c>
      <c r="D6517" s="5" t="s">
        <v>35452</v>
      </c>
      <c r="E6517" s="6" t="s">
        <v>85</v>
      </c>
      <c r="F6517" s="6" t="s">
        <v>4743</v>
      </c>
      <c r="G6517" s="3" t="str">
        <f>IFERROR(__xludf.DUMMYFUNCTION("REGEXREPLACE(
D6517,
""([一-龯々]+)\[([^\]]+)\]"",
""&lt;ruby&gt;$1&lt;rt&gt;$2&lt;/rt&gt;&lt;/ruby&gt;""
)&amp;""&lt;br&gt;&lt;div class=""""audio""""&gt;[sound:""&amp;C6517&amp;"".mp3]&lt;/div&gt;"""),"てんで&lt;br&gt;&lt;div class=""audio""&gt;[sound:てんで.mp3]&lt;/div&gt;")</f>
        <v>てんで&lt;br&gt;&lt;div class="audio"&gt;[sound:てんで.mp3]&lt;/div&gt;</v>
      </c>
      <c r="H6517" s="3" t="str">
        <f t="shared" si="1"/>
        <v>(adv): hoàn toàn</v>
      </c>
      <c r="I6517" s="6" t="s">
        <v>35453</v>
      </c>
      <c r="J6517" s="6" t="s">
        <v>35454</v>
      </c>
      <c r="K6517" s="7">
        <f t="shared" si="2"/>
        <v>0.8081427961</v>
      </c>
    </row>
    <row r="6518">
      <c r="A6518" s="4">
        <v>6518.0</v>
      </c>
      <c r="B6518" s="5" t="s">
        <v>35455</v>
      </c>
      <c r="C6518" s="5" t="s">
        <v>35456</v>
      </c>
      <c r="D6518" s="5" t="s">
        <v>35457</v>
      </c>
      <c r="E6518" s="6" t="s">
        <v>74</v>
      </c>
      <c r="F6518" s="6" t="s">
        <v>35458</v>
      </c>
      <c r="G6518" s="3" t="str">
        <f>IFERROR(__xludf.DUMMYFUNCTION("REGEXREPLACE(
D6518,
""([一-龯々]+)\[([^\]]+)\]"",
""&lt;ruby&gt;$1&lt;rt&gt;$2&lt;/rt&gt;&lt;/ruby&gt;""
)&amp;""&lt;br&gt;&lt;div class=""""audio""""&gt;[sound:""&amp;C6518&amp;"".mp3]&lt;/div&gt;"""),"&lt;ruby&gt;標語&lt;rt&gt;ひょうご&lt;/rt&gt;&lt;/ruby&gt;&lt;br&gt;&lt;div class=""audio""&gt;[sound:ひょうご.mp3]&lt;/div&gt;")</f>
        <v>&lt;ruby&gt;標語&lt;rt&gt;ひょうご&lt;/rt&gt;&lt;/ruby&gt;&lt;br&gt;&lt;div class="audio"&gt;[sound:ひょうご.mp3]&lt;/div&gt;</v>
      </c>
      <c r="H6518" s="3" t="str">
        <f t="shared" si="1"/>
        <v>(n): khẩu hiệu</v>
      </c>
      <c r="I6518" s="6" t="s">
        <v>35459</v>
      </c>
      <c r="J6518" s="6" t="s">
        <v>35460</v>
      </c>
      <c r="K6518" s="7">
        <f t="shared" si="2"/>
        <v>0.7987329636</v>
      </c>
    </row>
    <row r="6519">
      <c r="A6519" s="4">
        <v>6519.0</v>
      </c>
      <c r="B6519" s="5" t="s">
        <v>35461</v>
      </c>
      <c r="C6519" s="5" t="s">
        <v>35462</v>
      </c>
      <c r="D6519" s="5" t="s">
        <v>35463</v>
      </c>
      <c r="E6519" s="6" t="s">
        <v>74</v>
      </c>
      <c r="F6519" s="6" t="s">
        <v>30343</v>
      </c>
      <c r="G6519" s="3" t="str">
        <f>IFERROR(__xludf.DUMMYFUNCTION("REGEXREPLACE(
D6519,
""([一-龯々]+)\[([^\]]+)\]"",
""&lt;ruby&gt;$1&lt;rt&gt;$2&lt;/rt&gt;&lt;/ruby&gt;""
)&amp;""&lt;br&gt;&lt;div class=""""audio""""&gt;[sound:""&amp;C6519&amp;"".mp3]&lt;/div&gt;"""),"&lt;ruby&gt;溶液&lt;rt&gt;ようえき&lt;/rt&gt;&lt;/ruby&gt;&lt;br&gt;&lt;div class=""audio""&gt;[sound:ようえき.mp3]&lt;/div&gt;")</f>
        <v>&lt;ruby&gt;溶液&lt;rt&gt;ようえき&lt;/rt&gt;&lt;/ruby&gt;&lt;br&gt;&lt;div class="audio"&gt;[sound:ようえき.mp3]&lt;/div&gt;</v>
      </c>
      <c r="H6519" s="3" t="str">
        <f t="shared" si="1"/>
        <v>(n): dung dịch</v>
      </c>
      <c r="I6519" s="6" t="s">
        <v>35464</v>
      </c>
      <c r="J6519" s="6" t="s">
        <v>35465</v>
      </c>
      <c r="K6519" s="7">
        <f t="shared" si="2"/>
        <v>0.3695834874</v>
      </c>
    </row>
    <row r="6520">
      <c r="A6520" s="4">
        <v>6520.0</v>
      </c>
      <c r="B6520" s="5" t="s">
        <v>35466</v>
      </c>
      <c r="C6520" s="5" t="s">
        <v>35467</v>
      </c>
      <c r="D6520" s="5" t="s">
        <v>35468</v>
      </c>
      <c r="E6520" s="6" t="s">
        <v>74</v>
      </c>
      <c r="F6520" s="6" t="s">
        <v>35469</v>
      </c>
      <c r="G6520" s="3" t="str">
        <f>IFERROR(__xludf.DUMMYFUNCTION("REGEXREPLACE(
D6520,
""([一-龯々]+)\[([^\]]+)\]"",
""&lt;ruby&gt;$1&lt;rt&gt;$2&lt;/rt&gt;&lt;/ruby&gt;""
)&amp;""&lt;br&gt;&lt;div class=""""audio""""&gt;[sound:""&amp;C6520&amp;"".mp3]&lt;/div&gt;"""),"&lt;ruby&gt;短歌&lt;rt&gt;たんか&lt;/rt&gt;&lt;/ruby&gt;&lt;br&gt;&lt;div class=""audio""&gt;[sound:たんか.mp3]&lt;/div&gt;")</f>
        <v>&lt;ruby&gt;短歌&lt;rt&gt;たんか&lt;/rt&gt;&lt;/ruby&gt;&lt;br&gt;&lt;div class="audio"&gt;[sound:たんか.mp3]&lt;/div&gt;</v>
      </c>
      <c r="H6520" s="3" t="str">
        <f t="shared" si="1"/>
        <v>(n): thơ tanka</v>
      </c>
      <c r="I6520" s="6" t="s">
        <v>35470</v>
      </c>
      <c r="J6520" s="6" t="s">
        <v>35471</v>
      </c>
      <c r="K6520" s="7">
        <f t="shared" si="2"/>
        <v>0.3056865062</v>
      </c>
    </row>
    <row r="6521">
      <c r="A6521" s="4">
        <v>6521.0</v>
      </c>
      <c r="B6521" s="5" t="s">
        <v>35472</v>
      </c>
      <c r="C6521" s="5" t="s">
        <v>35473</v>
      </c>
      <c r="D6521" s="5" t="s">
        <v>35474</v>
      </c>
      <c r="E6521" s="6" t="s">
        <v>11</v>
      </c>
      <c r="F6521" s="6" t="s">
        <v>35475</v>
      </c>
      <c r="G6521" s="3" t="str">
        <f>IFERROR(__xludf.DUMMYFUNCTION("REGEXREPLACE(
D6521,
""([一-龯々]+)\[([^\]]+)\]"",
""&lt;ruby&gt;$1&lt;rt&gt;$2&lt;/rt&gt;&lt;/ruby&gt;""
)&amp;""&lt;br&gt;&lt;div class=""""audio""""&gt;[sound:""&amp;C6521&amp;"".mp3]&lt;/div&gt;"""),"&lt;ruby&gt;窮屈&lt;rt&gt;きゅうくつ&lt;/rt&gt;&lt;/ruby&gt;&lt;br&gt;&lt;div class=""audio""&gt;[sound:きゅうくつ.mp3]&lt;/div&gt;")</f>
        <v>&lt;ruby&gt;窮屈&lt;rt&gt;きゅうくつ&lt;/rt&gt;&lt;/ruby&gt;&lt;br&gt;&lt;div class="audio"&gt;[sound:きゅうくつ.mp3]&lt;/div&gt;</v>
      </c>
      <c r="H6521" s="3" t="str">
        <f t="shared" si="1"/>
        <v>(adj): chật chội</v>
      </c>
      <c r="I6521" s="6" t="s">
        <v>35476</v>
      </c>
      <c r="J6521" s="6" t="s">
        <v>35477</v>
      </c>
      <c r="K6521" s="7">
        <f t="shared" si="2"/>
        <v>0.5922902305</v>
      </c>
    </row>
    <row r="6522">
      <c r="A6522" s="4">
        <v>6522.0</v>
      </c>
      <c r="B6522" s="5" t="s">
        <v>35478</v>
      </c>
      <c r="C6522" s="5" t="s">
        <v>35479</v>
      </c>
      <c r="D6522" s="5" t="s">
        <v>35480</v>
      </c>
      <c r="E6522" s="6" t="s">
        <v>85</v>
      </c>
      <c r="F6522" s="6" t="s">
        <v>17633</v>
      </c>
      <c r="G6522" s="3" t="str">
        <f>IFERROR(__xludf.DUMMYFUNCTION("REGEXREPLACE(
D6522,
""([一-龯々]+)\[([^\]]+)\]"",
""&lt;ruby&gt;$1&lt;rt&gt;$2&lt;/rt&gt;&lt;/ruby&gt;""
)&amp;""&lt;br&gt;&lt;div class=""""audio""""&gt;[sound:""&amp;C6522&amp;"".mp3]&lt;/div&gt;"""),"&lt;ruby&gt;軒並&lt;rt&gt;のきなみ&lt;/rt&gt;&lt;/ruby&gt;&lt;br&gt;&lt;div class=""audio""&gt;[sound:のきなみ.mp3]&lt;/div&gt;")</f>
        <v>&lt;ruby&gt;軒並&lt;rt&gt;のきなみ&lt;/rt&gt;&lt;/ruby&gt;&lt;br&gt;&lt;div class="audio"&gt;[sound:のきなみ.mp3]&lt;/div&gt;</v>
      </c>
      <c r="H6522" s="3" t="str">
        <f t="shared" si="1"/>
        <v>(adv): đồng loạt</v>
      </c>
      <c r="I6522" s="6" t="s">
        <v>35481</v>
      </c>
      <c r="J6522" s="6" t="s">
        <v>35482</v>
      </c>
      <c r="K6522" s="7">
        <f t="shared" si="2"/>
        <v>0.8652251877</v>
      </c>
    </row>
    <row r="6523">
      <c r="A6523" s="4">
        <v>6523.0</v>
      </c>
      <c r="B6523" s="5" t="s">
        <v>35483</v>
      </c>
      <c r="C6523" s="5" t="s">
        <v>35484</v>
      </c>
      <c r="D6523" s="5" t="s">
        <v>35485</v>
      </c>
      <c r="E6523" s="6" t="s">
        <v>74</v>
      </c>
      <c r="F6523" s="6" t="s">
        <v>35486</v>
      </c>
      <c r="G6523" s="3" t="str">
        <f>IFERROR(__xludf.DUMMYFUNCTION("REGEXREPLACE(
D6523,
""([一-龯々]+)\[([^\]]+)\]"",
""&lt;ruby&gt;$1&lt;rt&gt;$2&lt;/rt&gt;&lt;/ruby&gt;""
)&amp;""&lt;br&gt;&lt;div class=""""audio""""&gt;[sound:""&amp;C6523&amp;"".mp3]&lt;/div&gt;"""),"&lt;ruby&gt;雫&lt;rt&gt;しずく&lt;/rt&gt;&lt;/ruby&gt;&lt;br&gt;&lt;div class=""audio""&gt;[sound:しずく.mp3]&lt;/div&gt;")</f>
        <v>&lt;ruby&gt;雫&lt;rt&gt;しずく&lt;/rt&gt;&lt;/ruby&gt;&lt;br&gt;&lt;div class="audio"&gt;[sound:しずく.mp3]&lt;/div&gt;</v>
      </c>
      <c r="H6523" s="3" t="str">
        <f t="shared" si="1"/>
        <v>(n): giọt nước</v>
      </c>
      <c r="I6523" s="6" t="s">
        <v>35487</v>
      </c>
      <c r="J6523" s="6" t="s">
        <v>35488</v>
      </c>
      <c r="K6523" s="7">
        <f t="shared" si="2"/>
        <v>0.7968026372</v>
      </c>
    </row>
    <row r="6524">
      <c r="A6524" s="4">
        <v>6524.0</v>
      </c>
      <c r="B6524" s="5" t="s">
        <v>35489</v>
      </c>
      <c r="C6524" s="5" t="s">
        <v>35490</v>
      </c>
      <c r="D6524" s="5" t="s">
        <v>35489</v>
      </c>
      <c r="E6524" s="6" t="s">
        <v>74</v>
      </c>
      <c r="F6524" s="6" t="s">
        <v>35491</v>
      </c>
      <c r="G6524" s="3" t="str">
        <f>IFERROR(__xludf.DUMMYFUNCTION("REGEXREPLACE(
D6524,
""([一-龯々]+)\[([^\]]+)\]"",
""&lt;ruby&gt;$1&lt;rt&gt;$2&lt;/rt&gt;&lt;/ruby&gt;""
)&amp;""&lt;br&gt;&lt;div class=""""audio""""&gt;[sound:""&amp;C6524&amp;"".mp3]&lt;/div&gt;"""),"インテリ&lt;br&gt;&lt;div class=""audio""&gt;[sound:いんてり.mp3]&lt;/div&gt;")</f>
        <v>インテリ&lt;br&gt;&lt;div class="audio"&gt;[sound:いんてり.mp3]&lt;/div&gt;</v>
      </c>
      <c r="H6524" s="3" t="str">
        <f t="shared" si="1"/>
        <v>(n): trí thức</v>
      </c>
      <c r="I6524" s="6" t="s">
        <v>35492</v>
      </c>
      <c r="J6524" s="6" t="s">
        <v>35493</v>
      </c>
      <c r="K6524" s="7">
        <f t="shared" si="2"/>
        <v>0.1948048597</v>
      </c>
    </row>
    <row r="6525">
      <c r="A6525" s="4">
        <v>6525.0</v>
      </c>
      <c r="B6525" s="5" t="s">
        <v>35494</v>
      </c>
      <c r="C6525" s="5" t="s">
        <v>35494</v>
      </c>
      <c r="D6525" s="5" t="s">
        <v>35494</v>
      </c>
      <c r="E6525" s="6" t="s">
        <v>24</v>
      </c>
      <c r="F6525" s="6" t="s">
        <v>35495</v>
      </c>
      <c r="G6525" s="3" t="str">
        <f>IFERROR(__xludf.DUMMYFUNCTION("REGEXREPLACE(
D6525,
""([一-龯々]+)\[([^\]]+)\]"",
""&lt;ruby&gt;$1&lt;rt&gt;$2&lt;/rt&gt;&lt;/ruby&gt;""
)&amp;""&lt;br&gt;&lt;div class=""""audio""""&gt;[sound:""&amp;C6525&amp;"".mp3]&lt;/div&gt;"""),"おだてる&lt;br&gt;&lt;div class=""audio""&gt;[sound:おだてる.mp3]&lt;/div&gt;")</f>
        <v>おだてる&lt;br&gt;&lt;div class="audio"&gt;[sound:おだてる.mp3]&lt;/div&gt;</v>
      </c>
      <c r="H6525" s="3" t="str">
        <f t="shared" si="1"/>
        <v>(v): nịnh hót</v>
      </c>
      <c r="I6525" s="6" t="s">
        <v>35496</v>
      </c>
      <c r="J6525" s="6" t="s">
        <v>35497</v>
      </c>
      <c r="K6525" s="7">
        <f t="shared" si="2"/>
        <v>0.6667758757</v>
      </c>
    </row>
    <row r="6526">
      <c r="A6526" s="4">
        <v>6526.0</v>
      </c>
      <c r="B6526" s="5" t="s">
        <v>35498</v>
      </c>
      <c r="C6526" s="5" t="s">
        <v>35498</v>
      </c>
      <c r="D6526" s="5" t="s">
        <v>35498</v>
      </c>
      <c r="E6526" s="6" t="s">
        <v>24</v>
      </c>
      <c r="F6526" s="6" t="s">
        <v>3044</v>
      </c>
      <c r="G6526" s="3" t="str">
        <f>IFERROR(__xludf.DUMMYFUNCTION("REGEXREPLACE(
D6526,
""([一-龯々]+)\[([^\]]+)\]"",
""&lt;ruby&gt;$1&lt;rt&gt;$2&lt;/rt&gt;&lt;/ruby&gt;""
)&amp;""&lt;br&gt;&lt;div class=""""audio""""&gt;[sound:""&amp;C6526&amp;"".mp3]&lt;/div&gt;"""),"しくじる&lt;br&gt;&lt;div class=""audio""&gt;[sound:しくじる.mp3]&lt;/div&gt;")</f>
        <v>しくじる&lt;br&gt;&lt;div class="audio"&gt;[sound:しくじる.mp3]&lt;/div&gt;</v>
      </c>
      <c r="H6526" s="3" t="str">
        <f t="shared" si="1"/>
        <v>(v): thất bại</v>
      </c>
      <c r="I6526" s="6" t="s">
        <v>35499</v>
      </c>
      <c r="J6526" s="6" t="s">
        <v>35500</v>
      </c>
      <c r="K6526" s="7">
        <f t="shared" si="2"/>
        <v>0.9657656112</v>
      </c>
    </row>
    <row r="6527">
      <c r="A6527" s="4">
        <v>6527.0</v>
      </c>
      <c r="B6527" s="5" t="s">
        <v>35501</v>
      </c>
      <c r="C6527" s="5" t="s">
        <v>35502</v>
      </c>
      <c r="D6527" s="5" t="s">
        <v>35501</v>
      </c>
      <c r="E6527" s="6" t="s">
        <v>74</v>
      </c>
      <c r="F6527" s="6" t="s">
        <v>35503</v>
      </c>
      <c r="G6527" s="3" t="str">
        <f>IFERROR(__xludf.DUMMYFUNCTION("REGEXREPLACE(
D6527,
""([一-龯々]+)\[([^\]]+)\]"",
""&lt;ruby&gt;$1&lt;rt&gt;$2&lt;/rt&gt;&lt;/ruby&gt;""
)&amp;""&lt;br&gt;&lt;div class=""""audio""""&gt;[sound:""&amp;C6527&amp;"".mp3]&lt;/div&gt;"""),"スラックス&lt;br&gt;&lt;div class=""audio""&gt;[sound:すらっくす.mp3]&lt;/div&gt;")</f>
        <v>スラックス&lt;br&gt;&lt;div class="audio"&gt;[sound:すらっくす.mp3]&lt;/div&gt;</v>
      </c>
      <c r="H6527" s="3" t="str">
        <f t="shared" si="1"/>
        <v>(n): quần tây</v>
      </c>
      <c r="I6527" s="6" t="s">
        <v>35504</v>
      </c>
      <c r="J6527" s="6" t="s">
        <v>35505</v>
      </c>
      <c r="K6527" s="7">
        <f t="shared" si="2"/>
        <v>0.5144215373</v>
      </c>
    </row>
    <row r="6528">
      <c r="A6528" s="4">
        <v>6528.0</v>
      </c>
      <c r="B6528" s="5" t="s">
        <v>35506</v>
      </c>
      <c r="C6528" s="5" t="s">
        <v>35506</v>
      </c>
      <c r="D6528" s="5" t="s">
        <v>35506</v>
      </c>
      <c r="E6528" s="6" t="s">
        <v>24</v>
      </c>
      <c r="F6528" s="6" t="s">
        <v>35507</v>
      </c>
      <c r="G6528" s="3" t="str">
        <f>IFERROR(__xludf.DUMMYFUNCTION("REGEXREPLACE(
D6528,
""([一-龯々]+)\[([^\]]+)\]"",
""&lt;ruby&gt;$1&lt;rt&gt;$2&lt;/rt&gt;&lt;/ruby&gt;""
)&amp;""&lt;br&gt;&lt;div class=""""audio""""&gt;[sound:""&amp;C6528&amp;"".mp3]&lt;/div&gt;"""),"ねだる&lt;br&gt;&lt;div class=""audio""&gt;[sound:ねだる.mp3]&lt;/div&gt;")</f>
        <v>ねだる&lt;br&gt;&lt;div class="audio"&gt;[sound:ねだる.mp3]&lt;/div&gt;</v>
      </c>
      <c r="H6528" s="3" t="str">
        <f t="shared" si="1"/>
        <v>(v): vòi vĩnh</v>
      </c>
      <c r="I6528" s="6" t="s">
        <v>35508</v>
      </c>
      <c r="J6528" s="6" t="s">
        <v>35509</v>
      </c>
      <c r="K6528" s="7">
        <f t="shared" si="2"/>
        <v>0.9980358277</v>
      </c>
    </row>
    <row r="6529">
      <c r="A6529" s="4">
        <v>6529.0</v>
      </c>
      <c r="B6529" s="5" t="s">
        <v>35510</v>
      </c>
      <c r="C6529" s="5" t="s">
        <v>35511</v>
      </c>
      <c r="D6529" s="5" t="s">
        <v>35512</v>
      </c>
      <c r="E6529" s="6" t="s">
        <v>24</v>
      </c>
      <c r="F6529" s="6" t="s">
        <v>35513</v>
      </c>
      <c r="G6529" s="3" t="str">
        <f>IFERROR(__xludf.DUMMYFUNCTION("REGEXREPLACE(
D6529,
""([一-龯々]+)\[([^\]]+)\]"",
""&lt;ruby&gt;$1&lt;rt&gt;$2&lt;/rt&gt;&lt;/ruby&gt;""
)&amp;""&lt;br&gt;&lt;div class=""""audio""""&gt;[sound:""&amp;C6529&amp;"".mp3]&lt;/div&gt;"""),"&lt;ruby&gt;休学&lt;rt&gt;きゅうがく&lt;/rt&gt;&lt;/ruby&gt;&lt;br&gt;&lt;div class=""audio""&gt;[sound:きゅうがく.mp3]&lt;/div&gt;")</f>
        <v>&lt;ruby&gt;休学&lt;rt&gt;きゅうがく&lt;/rt&gt;&lt;/ruby&gt;&lt;br&gt;&lt;div class="audio"&gt;[sound:きゅうがく.mp3]&lt;/div&gt;</v>
      </c>
      <c r="H6529" s="3" t="str">
        <f t="shared" si="1"/>
        <v>(v): nghỉ học</v>
      </c>
      <c r="I6529" s="6" t="s">
        <v>35514</v>
      </c>
      <c r="J6529" s="6" t="s">
        <v>35515</v>
      </c>
      <c r="K6529" s="7">
        <f t="shared" si="2"/>
        <v>0.6337844079</v>
      </c>
    </row>
    <row r="6530">
      <c r="A6530" s="4">
        <v>6530.0</v>
      </c>
      <c r="B6530" s="5" t="s">
        <v>35516</v>
      </c>
      <c r="C6530" s="5" t="s">
        <v>35517</v>
      </c>
      <c r="D6530" s="5" t="s">
        <v>35518</v>
      </c>
      <c r="E6530" s="6" t="s">
        <v>24</v>
      </c>
      <c r="F6530" s="6" t="s">
        <v>1314</v>
      </c>
      <c r="G6530" s="3" t="str">
        <f>IFERROR(__xludf.DUMMYFUNCTION("REGEXREPLACE(
D6530,
""([一-龯々]+)\[([^\]]+)\]"",
""&lt;ruby&gt;$1&lt;rt&gt;$2&lt;/rt&gt;&lt;/ruby&gt;""
)&amp;""&lt;br&gt;&lt;div class=""""audio""""&gt;[sound:""&amp;C6530&amp;"".mp3]&lt;/div&gt;"""),"&lt;ruby&gt;果&lt;rt&gt;は&lt;/rt&gt;&lt;/ruby&gt;てる&lt;br&gt;&lt;div class=""audio""&gt;[sound:はてる.mp3]&lt;/div&gt;")</f>
        <v>&lt;ruby&gt;果&lt;rt&gt;は&lt;/rt&gt;&lt;/ruby&gt;てる&lt;br&gt;&lt;div class="audio"&gt;[sound:はてる.mp3]&lt;/div&gt;</v>
      </c>
      <c r="H6530" s="3" t="str">
        <f t="shared" si="1"/>
        <v>(v): kết thúc</v>
      </c>
      <c r="I6530" s="6" t="s">
        <v>35519</v>
      </c>
      <c r="J6530" s="6" t="s">
        <v>35520</v>
      </c>
      <c r="K6530" s="7">
        <f t="shared" si="2"/>
        <v>0.7564794821</v>
      </c>
    </row>
    <row r="6531">
      <c r="A6531" s="4">
        <v>6531.0</v>
      </c>
      <c r="B6531" s="5" t="s">
        <v>35521</v>
      </c>
      <c r="C6531" s="5" t="s">
        <v>35522</v>
      </c>
      <c r="D6531" s="5" t="s">
        <v>35523</v>
      </c>
      <c r="E6531" s="6" t="s">
        <v>74</v>
      </c>
      <c r="F6531" s="6" t="s">
        <v>35524</v>
      </c>
      <c r="G6531" s="3" t="str">
        <f>IFERROR(__xludf.DUMMYFUNCTION("REGEXREPLACE(
D6531,
""([一-龯々]+)\[([^\]]+)\]"",
""&lt;ruby&gt;$1&lt;rt&gt;$2&lt;/rt&gt;&lt;/ruby&gt;""
)&amp;""&lt;br&gt;&lt;div class=""""audio""""&gt;[sound:""&amp;C6531&amp;"".mp3]&lt;/div&gt;"""),"&lt;ruby&gt;目付&lt;rt&gt;めつ&lt;/rt&gt;&lt;/ruby&gt;き&lt;br&gt;&lt;div class=""audio""&gt;[sound:めつき.mp3]&lt;/div&gt;")</f>
        <v>&lt;ruby&gt;目付&lt;rt&gt;めつ&lt;/rt&gt;&lt;/ruby&gt;き&lt;br&gt;&lt;div class="audio"&gt;[sound:めつき.mp3]&lt;/div&gt;</v>
      </c>
      <c r="H6531" s="3" t="str">
        <f t="shared" si="1"/>
        <v>(n): cái nhìn</v>
      </c>
      <c r="I6531" s="6" t="s">
        <v>35525</v>
      </c>
      <c r="J6531" s="6" t="s">
        <v>35526</v>
      </c>
      <c r="K6531" s="7">
        <f t="shared" si="2"/>
        <v>0.5019177066</v>
      </c>
    </row>
    <row r="6532">
      <c r="A6532" s="4">
        <v>6532.0</v>
      </c>
      <c r="B6532" s="5" t="s">
        <v>35527</v>
      </c>
      <c r="C6532" s="5" t="s">
        <v>35528</v>
      </c>
      <c r="D6532" s="5" t="s">
        <v>35529</v>
      </c>
      <c r="E6532" s="6" t="s">
        <v>74</v>
      </c>
      <c r="F6532" s="6" t="s">
        <v>35530</v>
      </c>
      <c r="G6532" s="3" t="str">
        <f>IFERROR(__xludf.DUMMYFUNCTION("REGEXREPLACE(
D6532,
""([一-龯々]+)\[([^\]]+)\]"",
""&lt;ruby&gt;$1&lt;rt&gt;$2&lt;/rt&gt;&lt;/ruby&gt;""
)&amp;""&lt;br&gt;&lt;div class=""""audio""""&gt;[sound:""&amp;C6532&amp;"".mp3]&lt;/div&gt;"""),"&lt;ruby&gt;目録&lt;rt&gt;もくろく&lt;/rt&gt;&lt;/ruby&gt;&lt;br&gt;&lt;div class=""audio""&gt;[sound:もくろく.mp3]&lt;/div&gt;")</f>
        <v>&lt;ruby&gt;目録&lt;rt&gt;もくろく&lt;/rt&gt;&lt;/ruby&gt;&lt;br&gt;&lt;div class="audio"&gt;[sound:もくろく.mp3]&lt;/div&gt;</v>
      </c>
      <c r="H6532" s="3" t="str">
        <f t="shared" si="1"/>
        <v>(n): danh mục</v>
      </c>
      <c r="I6532" s="6" t="s">
        <v>35531</v>
      </c>
      <c r="J6532" s="6" t="s">
        <v>35532</v>
      </c>
      <c r="K6532" s="7">
        <f t="shared" si="2"/>
        <v>0.2153323356</v>
      </c>
    </row>
    <row r="6533">
      <c r="A6533" s="4">
        <v>6533.0</v>
      </c>
      <c r="B6533" s="5" t="s">
        <v>35533</v>
      </c>
      <c r="C6533" s="5" t="s">
        <v>25710</v>
      </c>
      <c r="D6533" s="5" t="s">
        <v>35534</v>
      </c>
      <c r="E6533" s="6" t="s">
        <v>24</v>
      </c>
      <c r="F6533" s="6" t="s">
        <v>7544</v>
      </c>
      <c r="G6533" s="3" t="str">
        <f>IFERROR(__xludf.DUMMYFUNCTION("REGEXREPLACE(
D6533,
""([一-龯々]+)\[([^\]]+)\]"",
""&lt;ruby&gt;$1&lt;rt&gt;$2&lt;/rt&gt;&lt;/ruby&gt;""
)&amp;""&lt;br&gt;&lt;div class=""""audio""""&gt;[sound:""&amp;C6533&amp;"".mp3]&lt;/div&gt;"""),"&lt;ruby&gt;省&lt;rt&gt;かえり&lt;/rt&gt;&lt;/ruby&gt;みる&lt;br&gt;&lt;div class=""audio""&gt;[sound:かえりみる.mp3]&lt;/div&gt;")</f>
        <v>&lt;ruby&gt;省&lt;rt&gt;かえり&lt;/rt&gt;&lt;/ruby&gt;みる&lt;br&gt;&lt;div class="audio"&gt;[sound:かえりみる.mp3]&lt;/div&gt;</v>
      </c>
      <c r="H6533" s="3" t="str">
        <f t="shared" si="1"/>
        <v>(v): nhìn lại</v>
      </c>
      <c r="I6533" s="6" t="s">
        <v>35535</v>
      </c>
      <c r="J6533" s="6" t="s">
        <v>35536</v>
      </c>
      <c r="K6533" s="7">
        <f t="shared" si="2"/>
        <v>0.4054516794</v>
      </c>
    </row>
    <row r="6534">
      <c r="A6534" s="4">
        <v>6534.0</v>
      </c>
      <c r="B6534" s="5" t="s">
        <v>35537</v>
      </c>
      <c r="C6534" s="5" t="s">
        <v>35538</v>
      </c>
      <c r="D6534" s="5" t="s">
        <v>35539</v>
      </c>
      <c r="E6534" s="6" t="s">
        <v>74</v>
      </c>
      <c r="F6534" s="6" t="s">
        <v>35540</v>
      </c>
      <c r="G6534" s="3" t="str">
        <f>IFERROR(__xludf.DUMMYFUNCTION("REGEXREPLACE(
D6534,
""([一-龯々]+)\[([^\]]+)\]"",
""&lt;ruby&gt;$1&lt;rt&gt;$2&lt;/rt&gt;&lt;/ruby&gt;""
)&amp;""&lt;br&gt;&lt;div class=""""audio""""&gt;[sound:""&amp;C6534&amp;"".mp3]&lt;/div&gt;"""),"&lt;ruby&gt;眉&lt;rt&gt;まゆ&lt;/rt&gt;&lt;/ruby&gt;&lt;br&gt;&lt;div class=""audio""&gt;[sound:まゆ.mp3]&lt;/div&gt;")</f>
        <v>&lt;ruby&gt;眉&lt;rt&gt;まゆ&lt;/rt&gt;&lt;/ruby&gt;&lt;br&gt;&lt;div class="audio"&gt;[sound:まゆ.mp3]&lt;/div&gt;</v>
      </c>
      <c r="H6534" s="3" t="str">
        <f t="shared" si="1"/>
        <v>(n): lông mày</v>
      </c>
      <c r="I6534" s="6" t="s">
        <v>35541</v>
      </c>
      <c r="J6534" s="6" t="s">
        <v>35542</v>
      </c>
      <c r="K6534" s="7">
        <f t="shared" si="2"/>
        <v>0.614527897</v>
      </c>
    </row>
    <row r="6535">
      <c r="A6535" s="4">
        <v>6535.0</v>
      </c>
      <c r="B6535" s="5" t="s">
        <v>35543</v>
      </c>
      <c r="C6535" s="5" t="s">
        <v>35544</v>
      </c>
      <c r="D6535" s="5" t="s">
        <v>35545</v>
      </c>
      <c r="E6535" s="6" t="s">
        <v>74</v>
      </c>
      <c r="F6535" s="6" t="s">
        <v>35546</v>
      </c>
      <c r="G6535" s="3" t="str">
        <f>IFERROR(__xludf.DUMMYFUNCTION("REGEXREPLACE(
D6535,
""([一-龯々]+)\[([^\]]+)\]"",
""&lt;ruby&gt;$1&lt;rt&gt;$2&lt;/rt&gt;&lt;/ruby&gt;""
)&amp;""&lt;br&gt;&lt;div class=""""audio""""&gt;[sound:""&amp;C6535&amp;"".mp3]&lt;/div&gt;"""),"&lt;ruby&gt;結核&lt;rt&gt;けっかく&lt;/rt&gt;&lt;/ruby&gt;&lt;br&gt;&lt;div class=""audio""&gt;[sound:けっかく.mp3]&lt;/div&gt;")</f>
        <v>&lt;ruby&gt;結核&lt;rt&gt;けっかく&lt;/rt&gt;&lt;/ruby&gt;&lt;br&gt;&lt;div class="audio"&gt;[sound:けっかく.mp3]&lt;/div&gt;</v>
      </c>
      <c r="H6535" s="3" t="str">
        <f t="shared" si="1"/>
        <v>(n): bệnh lao</v>
      </c>
      <c r="I6535" s="6" t="s">
        <v>35547</v>
      </c>
      <c r="J6535" s="6" t="s">
        <v>35548</v>
      </c>
      <c r="K6535" s="7">
        <f t="shared" si="2"/>
        <v>0.9224557367</v>
      </c>
    </row>
    <row r="6536">
      <c r="A6536" s="4">
        <v>6536.0</v>
      </c>
      <c r="B6536" s="5" t="s">
        <v>35549</v>
      </c>
      <c r="C6536" s="5" t="s">
        <v>35550</v>
      </c>
      <c r="D6536" s="5" t="s">
        <v>35551</v>
      </c>
      <c r="E6536" s="6" t="s">
        <v>85</v>
      </c>
      <c r="F6536" s="6" t="s">
        <v>2860</v>
      </c>
      <c r="G6536" s="3" t="str">
        <f>IFERROR(__xludf.DUMMYFUNCTION("REGEXREPLACE(
D6536,
""([一-龯々]+)\[([^\]]+)\]"",
""&lt;ruby&gt;$1&lt;rt&gt;$2&lt;/rt&gt;&lt;/ruby&gt;""
)&amp;""&lt;br&gt;&lt;div class=""""audio""""&gt;[sound:""&amp;C6536&amp;"".mp3]&lt;/div&gt;"""),"&lt;ruby&gt;自&lt;rt&gt;おの&lt;/rt&gt;&lt;/ruby&gt;ずから&lt;br&gt;&lt;div class=""audio""&gt;[sound:おのずから.mp3]&lt;/div&gt;")</f>
        <v>&lt;ruby&gt;自&lt;rt&gt;おの&lt;/rt&gt;&lt;/ruby&gt;ずから&lt;br&gt;&lt;div class="audio"&gt;[sound:おのずから.mp3]&lt;/div&gt;</v>
      </c>
      <c r="H6536" s="3" t="str">
        <f t="shared" si="1"/>
        <v>(adv): tự nhiên</v>
      </c>
      <c r="I6536" s="6" t="s">
        <v>35552</v>
      </c>
      <c r="J6536" s="6" t="s">
        <v>35553</v>
      </c>
      <c r="K6536" s="7">
        <f t="shared" si="2"/>
        <v>0.2925001135</v>
      </c>
    </row>
    <row r="6537">
      <c r="A6537" s="4">
        <v>6537.0</v>
      </c>
      <c r="B6537" s="5" t="s">
        <v>35554</v>
      </c>
      <c r="C6537" s="5" t="s">
        <v>35554</v>
      </c>
      <c r="D6537" s="5" t="s">
        <v>35554</v>
      </c>
      <c r="E6537" s="6" t="s">
        <v>85</v>
      </c>
      <c r="F6537" s="6" t="s">
        <v>35555</v>
      </c>
      <c r="G6537" s="3" t="str">
        <f>IFERROR(__xludf.DUMMYFUNCTION("REGEXREPLACE(
D6537,
""([一-龯々]+)\[([^\]]+)\]"",
""&lt;ruby&gt;$1&lt;rt&gt;$2&lt;/rt&gt;&lt;/ruby&gt;""
)&amp;""&lt;br&gt;&lt;div class=""""audio""""&gt;[sound:""&amp;C6537&amp;"".mp3]&lt;/div&gt;"""),"びっしょり&lt;br&gt;&lt;div class=""audio""&gt;[sound:びっしょり.mp3]&lt;/div&gt;")</f>
        <v>びっしょり&lt;br&gt;&lt;div class="audio"&gt;[sound:びっしょり.mp3]&lt;/div&gt;</v>
      </c>
      <c r="H6537" s="3" t="str">
        <f t="shared" si="1"/>
        <v>(adv): ướt đẫm</v>
      </c>
      <c r="I6537" s="6" t="s">
        <v>35556</v>
      </c>
      <c r="J6537" s="6" t="s">
        <v>35557</v>
      </c>
      <c r="K6537" s="7">
        <f t="shared" si="2"/>
        <v>0.68331892</v>
      </c>
    </row>
    <row r="6538">
      <c r="A6538" s="4">
        <v>6538.0</v>
      </c>
      <c r="B6538" s="5" t="s">
        <v>35558</v>
      </c>
      <c r="C6538" s="5" t="s">
        <v>35558</v>
      </c>
      <c r="D6538" s="5" t="s">
        <v>35558</v>
      </c>
      <c r="E6538" s="6" t="s">
        <v>85</v>
      </c>
      <c r="F6538" s="6" t="s">
        <v>35559</v>
      </c>
      <c r="G6538" s="3" t="str">
        <f>IFERROR(__xludf.DUMMYFUNCTION("REGEXREPLACE(
D6538,
""([一-龯々]+)\[([^\]]+)\]"",
""&lt;ruby&gt;$1&lt;rt&gt;$2&lt;/rt&gt;&lt;/ruby&gt;""
)&amp;""&lt;br&gt;&lt;div class=""""audio""""&gt;[sound:""&amp;C6538&amp;"".mp3]&lt;/div&gt;"""),"ぺこぺこ&lt;br&gt;&lt;div class=""audio""&gt;[sound:ぺこぺこ.mp3]&lt;/div&gt;")</f>
        <v>ぺこぺこ&lt;br&gt;&lt;div class="audio"&gt;[sound:ぺこぺこ.mp3]&lt;/div&gt;</v>
      </c>
      <c r="H6538" s="3" t="str">
        <f t="shared" si="1"/>
        <v>(adv): đói meo</v>
      </c>
      <c r="I6538" s="6" t="s">
        <v>35560</v>
      </c>
      <c r="J6538" s="6" t="s">
        <v>35561</v>
      </c>
      <c r="K6538" s="7">
        <f t="shared" si="2"/>
        <v>0.3210230337</v>
      </c>
    </row>
    <row r="6539">
      <c r="A6539" s="4">
        <v>6539.0</v>
      </c>
      <c r="B6539" s="5" t="s">
        <v>35562</v>
      </c>
      <c r="C6539" s="5" t="s">
        <v>35562</v>
      </c>
      <c r="D6539" s="5" t="s">
        <v>35562</v>
      </c>
      <c r="E6539" s="6" t="s">
        <v>24</v>
      </c>
      <c r="F6539" s="6" t="s">
        <v>35563</v>
      </c>
      <c r="G6539" s="3" t="str">
        <f>IFERROR(__xludf.DUMMYFUNCTION("REGEXREPLACE(
D6539,
""([一-龯々]+)\[([^\]]+)\]"",
""&lt;ruby&gt;$1&lt;rt&gt;$2&lt;/rt&gt;&lt;/ruby&gt;""
)&amp;""&lt;br&gt;&lt;div class=""""audio""""&gt;[sound:""&amp;C6539&amp;"".mp3]&lt;/div&gt;"""),"まごつく&lt;br&gt;&lt;div class=""audio""&gt;[sound:まごつく.mp3]&lt;/div&gt;")</f>
        <v>まごつく&lt;br&gt;&lt;div class="audio"&gt;[sound:まごつく.mp3]&lt;/div&gt;</v>
      </c>
      <c r="H6539" s="3" t="str">
        <f t="shared" si="1"/>
        <v>(v): bối rối</v>
      </c>
      <c r="I6539" s="6" t="s">
        <v>35564</v>
      </c>
      <c r="J6539" s="6" t="s">
        <v>35565</v>
      </c>
      <c r="K6539" s="7">
        <f t="shared" si="2"/>
        <v>0.5291855025</v>
      </c>
    </row>
    <row r="6540">
      <c r="A6540" s="4">
        <v>6540.0</v>
      </c>
      <c r="B6540" s="5" t="s">
        <v>35566</v>
      </c>
      <c r="C6540" s="5" t="s">
        <v>35567</v>
      </c>
      <c r="D6540" s="5" t="s">
        <v>35568</v>
      </c>
      <c r="E6540" s="6" t="s">
        <v>11</v>
      </c>
      <c r="F6540" s="6" t="s">
        <v>29225</v>
      </c>
      <c r="G6540" s="3" t="str">
        <f>IFERROR(__xludf.DUMMYFUNCTION("REGEXREPLACE(
D6540,
""([一-龯々]+)\[([^\]]+)\]"",
""&lt;ruby&gt;$1&lt;rt&gt;$2&lt;/rt&gt;&lt;/ruby&gt;""
)&amp;""&lt;br&gt;&lt;div class=""""audio""""&gt;[sound:""&amp;C6540&amp;"".mp3]&lt;/div&gt;"""),"&lt;ruby&gt;不吉&lt;rt&gt;ふきつ&lt;/rt&gt;&lt;/ruby&gt;&lt;br&gt;&lt;div class=""audio""&gt;[sound:ふきつ.mp3]&lt;/div&gt;")</f>
        <v>&lt;ruby&gt;不吉&lt;rt&gt;ふきつ&lt;/rt&gt;&lt;/ruby&gt;&lt;br&gt;&lt;div class="audio"&gt;[sound:ふきつ.mp3]&lt;/div&gt;</v>
      </c>
      <c r="H6540" s="3" t="str">
        <f t="shared" si="1"/>
        <v>(adj): xui xẻo</v>
      </c>
      <c r="I6540" s="6" t="s">
        <v>35569</v>
      </c>
      <c r="J6540" s="6" t="s">
        <v>35570</v>
      </c>
      <c r="K6540" s="7">
        <f t="shared" si="2"/>
        <v>0.343692627</v>
      </c>
    </row>
    <row r="6541">
      <c r="A6541" s="4">
        <v>6541.0</v>
      </c>
      <c r="B6541" s="5" t="s">
        <v>35571</v>
      </c>
      <c r="C6541" s="5" t="s">
        <v>35572</v>
      </c>
      <c r="D6541" s="5" t="s">
        <v>35573</v>
      </c>
      <c r="E6541" s="6" t="s">
        <v>24</v>
      </c>
      <c r="F6541" s="6" t="s">
        <v>28331</v>
      </c>
      <c r="G6541" s="3" t="str">
        <f>IFERROR(__xludf.DUMMYFUNCTION("REGEXREPLACE(
D6541,
""([一-龯々]+)\[([^\]]+)\]"",
""&lt;ruby&gt;$1&lt;rt&gt;$2&lt;/rt&gt;&lt;/ruby&gt;""
)&amp;""&lt;br&gt;&lt;div class=""""audio""""&gt;[sound:""&amp;C6541&amp;"".mp3]&lt;/div&gt;"""),"&lt;ruby&gt;欺&lt;rt&gt;あざむ&lt;/rt&gt;&lt;/ruby&gt;く&lt;br&gt;&lt;div class=""audio""&gt;[sound:あざむく.mp3]&lt;/div&gt;")</f>
        <v>&lt;ruby&gt;欺&lt;rt&gt;あざむ&lt;/rt&gt;&lt;/ruby&gt;く&lt;br&gt;&lt;div class="audio"&gt;[sound:あざむく.mp3]&lt;/div&gt;</v>
      </c>
      <c r="H6541" s="3" t="str">
        <f t="shared" si="1"/>
        <v>(v): lừa gạt</v>
      </c>
      <c r="I6541" s="6" t="s">
        <v>35574</v>
      </c>
      <c r="J6541" s="6" t="s">
        <v>35575</v>
      </c>
      <c r="K6541" s="7">
        <f t="shared" si="2"/>
        <v>0.8449800736</v>
      </c>
    </row>
    <row r="6542">
      <c r="A6542" s="4">
        <v>6542.0</v>
      </c>
      <c r="B6542" s="5" t="s">
        <v>35576</v>
      </c>
      <c r="C6542" s="5" t="s">
        <v>9760</v>
      </c>
      <c r="D6542" s="5" t="s">
        <v>35577</v>
      </c>
      <c r="E6542" s="6" t="s">
        <v>74</v>
      </c>
      <c r="F6542" s="6" t="s">
        <v>35578</v>
      </c>
      <c r="G6542" s="3" t="str">
        <f>IFERROR(__xludf.DUMMYFUNCTION("REGEXREPLACE(
D6542,
""([一-龯々]+)\[([^\]]+)\]"",
""&lt;ruby&gt;$1&lt;rt&gt;$2&lt;/rt&gt;&lt;/ruby&gt;""
)&amp;""&lt;br&gt;&lt;div class=""""audio""""&gt;[sound:""&amp;C6542&amp;"".mp3]&lt;/div&gt;"""),"&lt;ruby&gt;民俗&lt;rt&gt;みんぞく&lt;/rt&gt;&lt;/ruby&gt;&lt;br&gt;&lt;div class=""audio""&gt;[sound:みんぞく.mp3]&lt;/div&gt;")</f>
        <v>&lt;ruby&gt;民俗&lt;rt&gt;みんぞく&lt;/rt&gt;&lt;/ruby&gt;&lt;br&gt;&lt;div class="audio"&gt;[sound:みんぞく.mp3]&lt;/div&gt;</v>
      </c>
      <c r="H6542" s="3" t="str">
        <f t="shared" si="1"/>
        <v>(n): dân tục</v>
      </c>
      <c r="I6542" s="6" t="s">
        <v>35579</v>
      </c>
      <c r="J6542" s="6" t="s">
        <v>35580</v>
      </c>
      <c r="K6542" s="7">
        <f t="shared" si="2"/>
        <v>0.9137782531</v>
      </c>
    </row>
    <row r="6543">
      <c r="A6543" s="4">
        <v>6543.0</v>
      </c>
      <c r="B6543" s="5" t="s">
        <v>35581</v>
      </c>
      <c r="C6543" s="5" t="s">
        <v>35582</v>
      </c>
      <c r="D6543" s="5" t="s">
        <v>35583</v>
      </c>
      <c r="E6543" s="6" t="s">
        <v>74</v>
      </c>
      <c r="F6543" s="6" t="s">
        <v>35584</v>
      </c>
      <c r="G6543" s="3" t="str">
        <f>IFERROR(__xludf.DUMMYFUNCTION("REGEXREPLACE(
D6543,
""([一-龯々]+)\[([^\]]+)\]"",
""&lt;ruby&gt;$1&lt;rt&gt;$2&lt;/rt&gt;&lt;/ruby&gt;""
)&amp;""&lt;br&gt;&lt;div class=""""audio""""&gt;[sound:""&amp;C6543&amp;"".mp3]&lt;/div&gt;"""),"&lt;ruby&gt;沼&lt;rt&gt;ぬま&lt;/rt&gt;&lt;/ruby&gt;&lt;br&gt;&lt;div class=""audio""&gt;[sound:ぬま.mp3]&lt;/div&gt;")</f>
        <v>&lt;ruby&gt;沼&lt;rt&gt;ぬま&lt;/rt&gt;&lt;/ruby&gt;&lt;br&gt;&lt;div class="audio"&gt;[sound:ぬま.mp3]&lt;/div&gt;</v>
      </c>
      <c r="H6543" s="3" t="str">
        <f t="shared" si="1"/>
        <v>(n): đầm lầy</v>
      </c>
      <c r="I6543" s="6" t="s">
        <v>35585</v>
      </c>
      <c r="J6543" s="6" t="s">
        <v>35586</v>
      </c>
      <c r="K6543" s="7">
        <f t="shared" si="2"/>
        <v>0.6820571208</v>
      </c>
    </row>
    <row r="6544">
      <c r="A6544" s="4">
        <v>6544.0</v>
      </c>
      <c r="B6544" s="5" t="s">
        <v>35587</v>
      </c>
      <c r="C6544" s="5" t="s">
        <v>35588</v>
      </c>
      <c r="D6544" s="5" t="s">
        <v>35589</v>
      </c>
      <c r="E6544" s="6" t="s">
        <v>74</v>
      </c>
      <c r="F6544" s="6" t="s">
        <v>5750</v>
      </c>
      <c r="G6544" s="3" t="str">
        <f>IFERROR(__xludf.DUMMYFUNCTION("REGEXREPLACE(
D6544,
""([一-龯々]+)\[([^\]]+)\]"",
""&lt;ruby&gt;$1&lt;rt&gt;$2&lt;/rt&gt;&lt;/ruby&gt;""
)&amp;""&lt;br&gt;&lt;div class=""""audio""""&gt;[sound:""&amp;C6544&amp;"".mp3]&lt;/div&gt;"""),"&lt;ruby&gt;玩具&lt;rt&gt;がんぐ&lt;/rt&gt;&lt;/ruby&gt;&lt;br&gt;&lt;div class=""audio""&gt;[sound:がんぐ.mp3]&lt;/div&gt;")</f>
        <v>&lt;ruby&gt;玩具&lt;rt&gt;がんぐ&lt;/rt&gt;&lt;/ruby&gt;&lt;br&gt;&lt;div class="audio"&gt;[sound:がんぐ.mp3]&lt;/div&gt;</v>
      </c>
      <c r="H6544" s="3" t="str">
        <f t="shared" si="1"/>
        <v>(n): đồ chơi</v>
      </c>
      <c r="I6544" s="6" t="s">
        <v>35590</v>
      </c>
      <c r="J6544" s="6" t="s">
        <v>35591</v>
      </c>
      <c r="K6544" s="7">
        <f t="shared" si="2"/>
        <v>0.9005068911</v>
      </c>
    </row>
    <row r="6545">
      <c r="A6545" s="4">
        <v>6545.0</v>
      </c>
      <c r="B6545" s="5" t="s">
        <v>35592</v>
      </c>
      <c r="C6545" s="5" t="s">
        <v>35593</v>
      </c>
      <c r="D6545" s="5" t="s">
        <v>35594</v>
      </c>
      <c r="E6545" s="6" t="s">
        <v>74</v>
      </c>
      <c r="F6545" s="6" t="s">
        <v>35595</v>
      </c>
      <c r="G6545" s="3" t="str">
        <f>IFERROR(__xludf.DUMMYFUNCTION("REGEXREPLACE(
D6545,
""([一-龯々]+)\[([^\]]+)\]"",
""&lt;ruby&gt;$1&lt;rt&gt;$2&lt;/rt&gt;&lt;/ruby&gt;""
)&amp;""&lt;br&gt;&lt;div class=""""audio""""&gt;[sound:""&amp;C6545&amp;"".mp3]&lt;/div&gt;"""),"&lt;ruby&gt;筒&lt;rt&gt;つつ&lt;/rt&gt;&lt;/ruby&gt;&lt;br&gt;&lt;div class=""audio""&gt;[sound:つつ.mp3]&lt;/div&gt;")</f>
        <v>&lt;ruby&gt;筒&lt;rt&gt;つつ&lt;/rt&gt;&lt;/ruby&gt;&lt;br&gt;&lt;div class="audio"&gt;[sound:つつ.mp3]&lt;/div&gt;</v>
      </c>
      <c r="H6545" s="3" t="str">
        <f t="shared" si="1"/>
        <v>(n): cái ống</v>
      </c>
      <c r="I6545" s="6" t="s">
        <v>35596</v>
      </c>
      <c r="J6545" s="6" t="s">
        <v>35597</v>
      </c>
      <c r="K6545" s="7">
        <f t="shared" si="2"/>
        <v>0.7219616643</v>
      </c>
    </row>
    <row r="6546">
      <c r="A6546" s="4">
        <v>6546.0</v>
      </c>
      <c r="B6546" s="5" t="s">
        <v>35598</v>
      </c>
      <c r="C6546" s="5" t="s">
        <v>35599</v>
      </c>
      <c r="D6546" s="5" t="s">
        <v>35600</v>
      </c>
      <c r="E6546" s="6" t="s">
        <v>74</v>
      </c>
      <c r="F6546" s="6" t="s">
        <v>35601</v>
      </c>
      <c r="G6546" s="3" t="str">
        <f>IFERROR(__xludf.DUMMYFUNCTION("REGEXREPLACE(
D6546,
""([一-龯々]+)\[([^\]]+)\]"",
""&lt;ruby&gt;$1&lt;rt&gt;$2&lt;/rt&gt;&lt;/ruby&gt;""
)&amp;""&lt;br&gt;&lt;div class=""""audio""""&gt;[sound:""&amp;C6546&amp;"".mp3]&lt;/div&gt;"""),"&lt;ruby&gt;落葉&lt;rt&gt;らくよう&lt;/rt&gt;&lt;/ruby&gt;&lt;br&gt;&lt;div class=""audio""&gt;[sound:らくよう.mp3]&lt;/div&gt;")</f>
        <v>&lt;ruby&gt;落葉&lt;rt&gt;らくよう&lt;/rt&gt;&lt;/ruby&gt;&lt;br&gt;&lt;div class="audio"&gt;[sound:らくよう.mp3]&lt;/div&gt;</v>
      </c>
      <c r="H6546" s="3" t="str">
        <f t="shared" si="1"/>
        <v>(n): lá rụng</v>
      </c>
      <c r="I6546" s="6" t="s">
        <v>35602</v>
      </c>
      <c r="J6546" s="6" t="s">
        <v>35603</v>
      </c>
      <c r="K6546" s="7">
        <f t="shared" si="2"/>
        <v>0.6746456226</v>
      </c>
    </row>
    <row r="6547">
      <c r="A6547" s="4">
        <v>6547.0</v>
      </c>
      <c r="B6547" s="5" t="s">
        <v>35604</v>
      </c>
      <c r="C6547" s="5" t="s">
        <v>35605</v>
      </c>
      <c r="D6547" s="5" t="s">
        <v>35606</v>
      </c>
      <c r="E6547" s="6" t="s">
        <v>11</v>
      </c>
      <c r="F6547" s="6" t="s">
        <v>26658</v>
      </c>
      <c r="G6547" s="3" t="str">
        <f>IFERROR(__xludf.DUMMYFUNCTION("REGEXREPLACE(
D6547,
""([一-龯々]+)\[([^\]]+)\]"",
""&lt;ruby&gt;$1&lt;rt&gt;$2&lt;/rt&gt;&lt;/ruby&gt;""
)&amp;""&lt;br&gt;&lt;div class=""""audio""""&gt;[sound:""&amp;C6547&amp;"".mp3]&lt;/div&gt;"""),"&lt;ruby&gt;質素&lt;rt&gt;しっそ&lt;/rt&gt;&lt;/ruby&gt;&lt;br&gt;&lt;div class=""audio""&gt;[sound:しっそ.mp3]&lt;/div&gt;")</f>
        <v>&lt;ruby&gt;質素&lt;rt&gt;しっそ&lt;/rt&gt;&lt;/ruby&gt;&lt;br&gt;&lt;div class="audio"&gt;[sound:しっそ.mp3]&lt;/div&gt;</v>
      </c>
      <c r="H6547" s="3" t="str">
        <f t="shared" si="1"/>
        <v>(adj): giản dị</v>
      </c>
      <c r="I6547" s="6" t="s">
        <v>35607</v>
      </c>
      <c r="J6547" s="6" t="s">
        <v>35608</v>
      </c>
      <c r="K6547" s="7">
        <f t="shared" si="2"/>
        <v>0.03975797057</v>
      </c>
    </row>
    <row r="6548">
      <c r="A6548" s="4">
        <v>6548.0</v>
      </c>
      <c r="B6548" s="5" t="s">
        <v>35609</v>
      </c>
      <c r="C6548" s="5" t="s">
        <v>35610</v>
      </c>
      <c r="D6548" s="5" t="s">
        <v>35611</v>
      </c>
      <c r="E6548" s="6" t="s">
        <v>24</v>
      </c>
      <c r="F6548" s="6" t="s">
        <v>35612</v>
      </c>
      <c r="G6548" s="3" t="str">
        <f>IFERROR(__xludf.DUMMYFUNCTION("REGEXREPLACE(
D6548,
""([一-龯々]+)\[([^\]]+)\]"",
""&lt;ruby&gt;$1&lt;rt&gt;$2&lt;/rt&gt;&lt;/ruby&gt;""
)&amp;""&lt;br&gt;&lt;div class=""""audio""""&gt;[sound:""&amp;C6548&amp;"".mp3]&lt;/div&gt;"""),"&lt;ruby&gt;蹴飛&lt;rt&gt;けと&lt;/rt&gt;&lt;/ruby&gt;ばす&lt;br&gt;&lt;div class=""audio""&gt;[sound:けとばす.mp3]&lt;/div&gt;")</f>
        <v>&lt;ruby&gt;蹴飛&lt;rt&gt;けと&lt;/rt&gt;&lt;/ruby&gt;ばす&lt;br&gt;&lt;div class="audio"&gt;[sound:けとばす.mp3]&lt;/div&gt;</v>
      </c>
      <c r="H6548" s="3" t="str">
        <f t="shared" si="1"/>
        <v>(v): đá văng</v>
      </c>
      <c r="I6548" s="6" t="s">
        <v>35613</v>
      </c>
      <c r="J6548" s="6" t="s">
        <v>35614</v>
      </c>
      <c r="K6548" s="7">
        <f t="shared" si="2"/>
        <v>0.8619050371</v>
      </c>
    </row>
    <row r="6549">
      <c r="A6549" s="4">
        <v>6549.0</v>
      </c>
      <c r="B6549" s="5" t="s">
        <v>35615</v>
      </c>
      <c r="C6549" s="5" t="s">
        <v>35616</v>
      </c>
      <c r="D6549" s="5" t="s">
        <v>35615</v>
      </c>
      <c r="E6549" s="6" t="s">
        <v>74</v>
      </c>
      <c r="F6549" s="6" t="s">
        <v>26748</v>
      </c>
      <c r="G6549" s="3" t="str">
        <f>IFERROR(__xludf.DUMMYFUNCTION("REGEXREPLACE(
D6549,
""([一-龯々]+)\[([^\]]+)\]"",
""&lt;ruby&gt;$1&lt;rt&gt;$2&lt;/rt&gt;&lt;/ruby&gt;""
)&amp;""&lt;br&gt;&lt;div class=""""audio""""&gt;[sound:""&amp;C6549&amp;"".mp3]&lt;/div&gt;"""),"ミセス&lt;br&gt;&lt;div class=""audio""&gt;[sound:みせす.mp3]&lt;/div&gt;")</f>
        <v>ミセス&lt;br&gt;&lt;div class="audio"&gt;[sound:みせす.mp3]&lt;/div&gt;</v>
      </c>
      <c r="H6549" s="3" t="str">
        <f t="shared" si="1"/>
        <v>(n): quý bà</v>
      </c>
      <c r="I6549" s="6" t="s">
        <v>35617</v>
      </c>
      <c r="J6549" s="6" t="s">
        <v>35618</v>
      </c>
      <c r="K6549" s="7">
        <f t="shared" si="2"/>
        <v>0.5780698487</v>
      </c>
    </row>
    <row r="6550">
      <c r="A6550" s="4">
        <v>6550.0</v>
      </c>
      <c r="B6550" s="5" t="s">
        <v>35619</v>
      </c>
      <c r="C6550" s="5" t="s">
        <v>35620</v>
      </c>
      <c r="D6550" s="5" t="s">
        <v>35621</v>
      </c>
      <c r="E6550" s="6" t="s">
        <v>74</v>
      </c>
      <c r="F6550" s="6" t="s">
        <v>35622</v>
      </c>
      <c r="G6550" s="3" t="str">
        <f>IFERROR(__xludf.DUMMYFUNCTION("REGEXREPLACE(
D6550,
""([一-龯々]+)\[([^\]]+)\]"",
""&lt;ruby&gt;$1&lt;rt&gt;$2&lt;/rt&gt;&lt;/ruby&gt;""
)&amp;""&lt;br&gt;&lt;div class=""""audio""""&gt;[sound:""&amp;C6550&amp;"".mp3]&lt;/div&gt;"""),"&lt;ruby&gt;下心&lt;rt&gt;したごころ&lt;/rt&gt;&lt;/ruby&gt;&lt;br&gt;&lt;div class=""audio""&gt;[sound:したごころ.mp3]&lt;/div&gt;")</f>
        <v>&lt;ruby&gt;下心&lt;rt&gt;したごころ&lt;/rt&gt;&lt;/ruby&gt;&lt;br&gt;&lt;div class="audio"&gt;[sound:したごころ.mp3]&lt;/div&gt;</v>
      </c>
      <c r="H6550" s="3" t="str">
        <f t="shared" si="1"/>
        <v>(n): âm mưu</v>
      </c>
      <c r="I6550" s="6" t="s">
        <v>35623</v>
      </c>
      <c r="J6550" s="6" t="s">
        <v>35624</v>
      </c>
      <c r="K6550" s="7">
        <f t="shared" si="2"/>
        <v>0.3617007366</v>
      </c>
    </row>
    <row r="6551">
      <c r="A6551" s="4">
        <v>6551.0</v>
      </c>
      <c r="B6551" s="5" t="s">
        <v>35625</v>
      </c>
      <c r="C6551" s="5" t="s">
        <v>35626</v>
      </c>
      <c r="D6551" s="5" t="s">
        <v>35627</v>
      </c>
      <c r="E6551" s="6" t="s">
        <v>74</v>
      </c>
      <c r="F6551" s="6" t="s">
        <v>35628</v>
      </c>
      <c r="G6551" s="3" t="str">
        <f>IFERROR(__xludf.DUMMYFUNCTION("REGEXREPLACE(
D6551,
""([一-龯々]+)\[([^\]]+)\]"",
""&lt;ruby&gt;$1&lt;rt&gt;$2&lt;/rt&gt;&lt;/ruby&gt;""
)&amp;""&lt;br&gt;&lt;div class=""""audio""""&gt;[sound:""&amp;C6551&amp;"".mp3]&lt;/div&gt;"""),"&lt;ruby&gt;牧師&lt;rt&gt;ぼくし&lt;/rt&gt;&lt;/ruby&gt;&lt;br&gt;&lt;div class=""audio""&gt;[sound:ぼくし.mp3]&lt;/div&gt;")</f>
        <v>&lt;ruby&gt;牧師&lt;rt&gt;ぼくし&lt;/rt&gt;&lt;/ruby&gt;&lt;br&gt;&lt;div class="audio"&gt;[sound:ぼくし.mp3]&lt;/div&gt;</v>
      </c>
      <c r="H6551" s="3" t="str">
        <f t="shared" si="1"/>
        <v>(n): mục sư</v>
      </c>
      <c r="I6551" s="6" t="s">
        <v>35629</v>
      </c>
      <c r="J6551" s="6" t="s">
        <v>35630</v>
      </c>
      <c r="K6551" s="7">
        <f t="shared" si="2"/>
        <v>0.7696982211</v>
      </c>
    </row>
    <row r="6552">
      <c r="A6552" s="4">
        <v>6552.0</v>
      </c>
      <c r="B6552" s="5" t="s">
        <v>35631</v>
      </c>
      <c r="C6552" s="5" t="s">
        <v>35632</v>
      </c>
      <c r="D6552" s="5" t="s">
        <v>35633</v>
      </c>
      <c r="E6552" s="6" t="s">
        <v>11</v>
      </c>
      <c r="F6552" s="6" t="s">
        <v>35634</v>
      </c>
      <c r="G6552" s="3" t="str">
        <f>IFERROR(__xludf.DUMMYFUNCTION("REGEXREPLACE(
D6552,
""([一-龯々]+)\[([^\]]+)\]"",
""&lt;ruby&gt;$1&lt;rt&gt;$2&lt;/rt&gt;&lt;/ruby&gt;""
)&amp;""&lt;br&gt;&lt;div class=""""audio""""&gt;[sound:""&amp;C6552&amp;"".mp3]&lt;/div&gt;"""),"&lt;ruby&gt;簡素&lt;rt&gt;かんそ&lt;/rt&gt;&lt;/ruby&gt;&lt;br&gt;&lt;div class=""audio""&gt;[sound:かんそ.mp3]&lt;/div&gt;")</f>
        <v>&lt;ruby&gt;簡素&lt;rt&gt;かんそ&lt;/rt&gt;&lt;/ruby&gt;&lt;br&gt;&lt;div class="audio"&gt;[sound:かんそ.mp3]&lt;/div&gt;</v>
      </c>
      <c r="H6552" s="3" t="str">
        <f t="shared" si="1"/>
        <v>(adj): đơn sơ</v>
      </c>
      <c r="I6552" s="6" t="s">
        <v>35635</v>
      </c>
      <c r="J6552" s="6" t="s">
        <v>35636</v>
      </c>
      <c r="K6552" s="7">
        <f t="shared" si="2"/>
        <v>0.0428191852</v>
      </c>
    </row>
    <row r="6553">
      <c r="A6553" s="4">
        <v>6553.0</v>
      </c>
      <c r="B6553" s="5" t="s">
        <v>35637</v>
      </c>
      <c r="C6553" s="5" t="s">
        <v>35638</v>
      </c>
      <c r="D6553" s="5" t="s">
        <v>35639</v>
      </c>
      <c r="E6553" s="6" t="s">
        <v>11</v>
      </c>
      <c r="F6553" s="6" t="s">
        <v>35640</v>
      </c>
      <c r="G6553" s="3" t="str">
        <f>IFERROR(__xludf.DUMMYFUNCTION("REGEXREPLACE(
D6553,
""([一-龯々]+)\[([^\]]+)\]"",
""&lt;ruby&gt;$1&lt;rt&gt;$2&lt;/rt&gt;&lt;/ruby&gt;""
)&amp;""&lt;br&gt;&lt;div class=""""audio""""&gt;[sound:""&amp;C6553&amp;"".mp3]&lt;/div&gt;"""),"&lt;ruby&gt;見苦&lt;rt&gt;みぐる&lt;/rt&gt;&lt;/ruby&gt;しい&lt;br&gt;&lt;div class=""audio""&gt;[sound:みぐるしい.mp3]&lt;/div&gt;")</f>
        <v>&lt;ruby&gt;見苦&lt;rt&gt;みぐる&lt;/rt&gt;&lt;/ruby&gt;しい&lt;br&gt;&lt;div class="audio"&gt;[sound:みぐるしい.mp3]&lt;/div&gt;</v>
      </c>
      <c r="H6553" s="3" t="str">
        <f t="shared" si="1"/>
        <v>(adj): xấu xí</v>
      </c>
      <c r="I6553" s="6" t="s">
        <v>35641</v>
      </c>
      <c r="J6553" s="6" t="s">
        <v>35642</v>
      </c>
      <c r="K6553" s="7">
        <f t="shared" si="2"/>
        <v>0.5788843008</v>
      </c>
    </row>
    <row r="6554">
      <c r="A6554" s="4">
        <v>6554.0</v>
      </c>
      <c r="B6554" s="5" t="s">
        <v>35643</v>
      </c>
      <c r="C6554" s="5" t="s">
        <v>35644</v>
      </c>
      <c r="D6554" s="5" t="s">
        <v>35645</v>
      </c>
      <c r="E6554" s="6" t="s">
        <v>24</v>
      </c>
      <c r="F6554" s="6" t="s">
        <v>35646</v>
      </c>
      <c r="G6554" s="3" t="str">
        <f>IFERROR(__xludf.DUMMYFUNCTION("REGEXREPLACE(
D6554,
""([一-龯々]+)\[([^\]]+)\]"",
""&lt;ruby&gt;$1&lt;rt&gt;$2&lt;/rt&gt;&lt;/ruby&gt;""
)&amp;""&lt;br&gt;&lt;div class=""""audio""""&gt;[sound:""&amp;C6554&amp;"".mp3]&lt;/div&gt;"""),"&lt;ruby&gt;赤&lt;rt&gt;あか&lt;/rt&gt;&lt;/ruby&gt;らむ&lt;br&gt;&lt;div class=""audio""&gt;[sound:あからむ.mp3]&lt;/div&gt;")</f>
        <v>&lt;ruby&gt;赤&lt;rt&gt;あか&lt;/rt&gt;&lt;/ruby&gt;らむ&lt;br&gt;&lt;div class="audio"&gt;[sound:あからむ.mp3]&lt;/div&gt;</v>
      </c>
      <c r="H6554" s="3" t="str">
        <f t="shared" si="1"/>
        <v>(v): đỏ mặt</v>
      </c>
      <c r="I6554" s="6" t="s">
        <v>35647</v>
      </c>
      <c r="J6554" s="6" t="s">
        <v>35648</v>
      </c>
      <c r="K6554" s="7">
        <f t="shared" si="2"/>
        <v>0.3482926405</v>
      </c>
    </row>
    <row r="6555">
      <c r="A6555" s="4">
        <v>6555.0</v>
      </c>
      <c r="B6555" s="5" t="s">
        <v>35649</v>
      </c>
      <c r="C6555" s="5" t="s">
        <v>35650</v>
      </c>
      <c r="D6555" s="5" t="s">
        <v>35649</v>
      </c>
      <c r="E6555" s="6" t="s">
        <v>74</v>
      </c>
      <c r="F6555" s="6" t="s">
        <v>35651</v>
      </c>
      <c r="G6555" s="3" t="str">
        <f>IFERROR(__xludf.DUMMYFUNCTION("REGEXREPLACE(
D6555,
""([一-龯々]+)\[([^\]]+)\]"",
""&lt;ruby&gt;$1&lt;rt&gt;$2&lt;/rt&gt;&lt;/ruby&gt;""
)&amp;""&lt;br&gt;&lt;div class=""""audio""""&gt;[sound:""&amp;C6555&amp;"".mp3]&lt;/div&gt;"""),"ブル&lt;br&gt;&lt;div class=""audio""&gt;[sound:ぶる.mp3]&lt;/div&gt;")</f>
        <v>ブル&lt;br&gt;&lt;div class="audio"&gt;[sound:ぶる.mp3]&lt;/div&gt;</v>
      </c>
      <c r="H6555" s="3" t="str">
        <f t="shared" si="1"/>
        <v>(n): xe ủi</v>
      </c>
      <c r="I6555" s="6" t="s">
        <v>35652</v>
      </c>
      <c r="J6555" s="6" t="s">
        <v>35653</v>
      </c>
      <c r="K6555" s="7">
        <f t="shared" si="2"/>
        <v>0.553540748</v>
      </c>
    </row>
    <row r="6556">
      <c r="A6556" s="4">
        <v>6556.0</v>
      </c>
      <c r="B6556" s="5" t="s">
        <v>35654</v>
      </c>
      <c r="C6556" s="5" t="s">
        <v>35655</v>
      </c>
      <c r="D6556" s="5" t="s">
        <v>35656</v>
      </c>
      <c r="E6556" s="6" t="s">
        <v>11</v>
      </c>
      <c r="F6556" s="6" t="s">
        <v>10396</v>
      </c>
      <c r="G6556" s="3" t="str">
        <f>IFERROR(__xludf.DUMMYFUNCTION("REGEXREPLACE(
D6556,
""([一-龯々]+)\[([^\]]+)\]"",
""&lt;ruby&gt;$1&lt;rt&gt;$2&lt;/rt&gt;&lt;/ruby&gt;""
)&amp;""&lt;br&gt;&lt;div class=""""audio""""&gt;[sound:""&amp;C6556&amp;"".mp3]&lt;/div&gt;"""),"&lt;ruby&gt;漠然&lt;rt&gt;ばくぜん&lt;/rt&gt;&lt;/ruby&gt;&lt;br&gt;&lt;div class=""audio""&gt;[sound:ばくぜん.mp3]&lt;/div&gt;")</f>
        <v>&lt;ruby&gt;漠然&lt;rt&gt;ばくぜん&lt;/rt&gt;&lt;/ruby&gt;&lt;br&gt;&lt;div class="audio"&gt;[sound:ばくぜん.mp3]&lt;/div&gt;</v>
      </c>
      <c r="H6556" s="3" t="str">
        <f t="shared" si="1"/>
        <v>(adj): mơ hồ</v>
      </c>
      <c r="I6556" s="6" t="s">
        <v>35657</v>
      </c>
      <c r="J6556" s="6" t="s">
        <v>35658</v>
      </c>
      <c r="K6556" s="7">
        <f t="shared" si="2"/>
        <v>0.8491801134</v>
      </c>
    </row>
    <row r="6557">
      <c r="A6557" s="4">
        <v>6557.0</v>
      </c>
      <c r="B6557" s="5" t="s">
        <v>35659</v>
      </c>
      <c r="C6557" s="5" t="s">
        <v>35660</v>
      </c>
      <c r="D6557" s="5" t="s">
        <v>35661</v>
      </c>
      <c r="E6557" s="6" t="s">
        <v>11</v>
      </c>
      <c r="F6557" s="6" t="s">
        <v>35662</v>
      </c>
      <c r="G6557" s="3" t="str">
        <f>IFERROR(__xludf.DUMMYFUNCTION("REGEXREPLACE(
D6557,
""([一-龯々]+)\[([^\]]+)\]"",
""&lt;ruby&gt;$1&lt;rt&gt;$2&lt;/rt&gt;&lt;/ruby&gt;""
)&amp;""&lt;br&gt;&lt;div class=""""audio""""&gt;[sound:""&amp;C6557&amp;"".mp3]&lt;/div&gt;"""),"&lt;ruby&gt;細&lt;rt&gt;こま&lt;/rt&gt;&lt;/ruby&gt;やか&lt;br&gt;&lt;div class=""audio""&gt;[sound:こまやか.mp3]&lt;/div&gt;")</f>
        <v>&lt;ruby&gt;細&lt;rt&gt;こま&lt;/rt&gt;&lt;/ruby&gt;やか&lt;br&gt;&lt;div class="audio"&gt;[sound:こまやか.mp3]&lt;/div&gt;</v>
      </c>
      <c r="H6557" s="3" t="str">
        <f t="shared" si="1"/>
        <v>(adj): tỉ mỉ</v>
      </c>
      <c r="I6557" s="6" t="s">
        <v>35663</v>
      </c>
      <c r="J6557" s="6" t="s">
        <v>35664</v>
      </c>
      <c r="K6557" s="7">
        <f t="shared" si="2"/>
        <v>0.1807745982</v>
      </c>
    </row>
    <row r="6558">
      <c r="A6558" s="4">
        <v>6558.0</v>
      </c>
      <c r="B6558" s="5" t="s">
        <v>35665</v>
      </c>
      <c r="C6558" s="5" t="s">
        <v>35666</v>
      </c>
      <c r="D6558" s="5" t="s">
        <v>35667</v>
      </c>
      <c r="E6558" s="6" t="s">
        <v>74</v>
      </c>
      <c r="F6558" s="6" t="s">
        <v>35668</v>
      </c>
      <c r="G6558" s="3" t="str">
        <f>IFERROR(__xludf.DUMMYFUNCTION("REGEXREPLACE(
D6558,
""([一-龯々]+)\[([^\]]+)\]"",
""&lt;ruby&gt;$1&lt;rt&gt;$2&lt;/rt&gt;&lt;/ruby&gt;""
)&amp;""&lt;br&gt;&lt;div class=""""audio""""&gt;[sound:""&amp;C6558&amp;"".mp3]&lt;/div&gt;"""),"&lt;ruby&gt;骨董品&lt;rt&gt;こっとうひん&lt;/rt&gt;&lt;/ruby&gt;&lt;br&gt;&lt;div class=""audio""&gt;[sound:こっとうひん.mp3]&lt;/div&gt;")</f>
        <v>&lt;ruby&gt;骨董品&lt;rt&gt;こっとうひん&lt;/rt&gt;&lt;/ruby&gt;&lt;br&gt;&lt;div class="audio"&gt;[sound:こっとうひん.mp3]&lt;/div&gt;</v>
      </c>
      <c r="H6558" s="3" t="str">
        <f t="shared" si="1"/>
        <v>(n): đồ cổ</v>
      </c>
      <c r="I6558" s="6" t="s">
        <v>35669</v>
      </c>
      <c r="J6558" s="6" t="s">
        <v>35670</v>
      </c>
      <c r="K6558" s="7">
        <f t="shared" si="2"/>
        <v>0.2889844867</v>
      </c>
    </row>
    <row r="6559">
      <c r="A6559" s="4">
        <v>6559.0</v>
      </c>
      <c r="B6559" s="5" t="s">
        <v>35671</v>
      </c>
      <c r="C6559" s="5" t="s">
        <v>35672</v>
      </c>
      <c r="D6559" s="5" t="s">
        <v>35673</v>
      </c>
      <c r="E6559" s="6" t="s">
        <v>24</v>
      </c>
      <c r="F6559" s="6" t="s">
        <v>35674</v>
      </c>
      <c r="G6559" s="3" t="str">
        <f>IFERROR(__xludf.DUMMYFUNCTION("REGEXREPLACE(
D6559,
""([一-龯々]+)\[([^\]]+)\]"",
""&lt;ruby&gt;$1&lt;rt&gt;$2&lt;/rt&gt;&lt;/ruby&gt;""
)&amp;""&lt;br&gt;&lt;div class=""""audio""""&gt;[sound:""&amp;C6559&amp;"".mp3]&lt;/div&gt;"""),"&lt;ruby&gt;浸&lt;rt&gt;ひた&lt;/rt&gt;&lt;/ruby&gt;す&lt;br&gt;&lt;div class=""audio""&gt;[sound:ひたす.mp3]&lt;/div&gt;")</f>
        <v>&lt;ruby&gt;浸&lt;rt&gt;ひた&lt;/rt&gt;&lt;/ruby&gt;す&lt;br&gt;&lt;div class="audio"&gt;[sound:ひたす.mp3]&lt;/div&gt;</v>
      </c>
      <c r="H6559" s="3" t="str">
        <f t="shared" si="1"/>
        <v>(v): ngâm</v>
      </c>
      <c r="I6559" s="6" t="s">
        <v>35675</v>
      </c>
      <c r="J6559" s="6" t="s">
        <v>35676</v>
      </c>
      <c r="K6559" s="7">
        <f t="shared" si="2"/>
        <v>0.7565924549</v>
      </c>
    </row>
    <row r="6560">
      <c r="A6560" s="4">
        <v>6560.0</v>
      </c>
      <c r="B6560" s="5" t="s">
        <v>35677</v>
      </c>
      <c r="C6560" s="5" t="s">
        <v>35678</v>
      </c>
      <c r="D6560" s="5" t="s">
        <v>35679</v>
      </c>
      <c r="E6560" s="6" t="s">
        <v>11</v>
      </c>
      <c r="F6560" s="6" t="s">
        <v>35680</v>
      </c>
      <c r="G6560" s="3" t="str">
        <f>IFERROR(__xludf.DUMMYFUNCTION("REGEXREPLACE(
D6560,
""([一-龯々]+)\[([^\]]+)\]"",
""&lt;ruby&gt;$1&lt;rt&gt;$2&lt;/rt&gt;&lt;/ruby&gt;""
)&amp;""&lt;br&gt;&lt;div class=""""audio""""&gt;[sound:""&amp;C6560&amp;"".mp3]&lt;/div&gt;"""),"&lt;ruby&gt;陰気&lt;rt&gt;いんき&lt;/rt&gt;&lt;/ruby&gt;&lt;br&gt;&lt;div class=""audio""&gt;[sound:いんき.mp3]&lt;/div&gt;")</f>
        <v>&lt;ruby&gt;陰気&lt;rt&gt;いんき&lt;/rt&gt;&lt;/ruby&gt;&lt;br&gt;&lt;div class="audio"&gt;[sound:いんき.mp3]&lt;/div&gt;</v>
      </c>
      <c r="H6560" s="3" t="str">
        <f t="shared" si="1"/>
        <v>(adj): u ám</v>
      </c>
      <c r="I6560" s="6" t="s">
        <v>35681</v>
      </c>
      <c r="J6560" s="6" t="s">
        <v>35682</v>
      </c>
      <c r="K6560" s="7">
        <f t="shared" si="2"/>
        <v>0.6432431377</v>
      </c>
    </row>
    <row r="6561">
      <c r="A6561" s="4">
        <v>6561.0</v>
      </c>
      <c r="B6561" s="5" t="s">
        <v>35683</v>
      </c>
      <c r="C6561" s="5" t="s">
        <v>35683</v>
      </c>
      <c r="D6561" s="5" t="s">
        <v>35683</v>
      </c>
      <c r="E6561" s="6" t="s">
        <v>74</v>
      </c>
      <c r="F6561" s="6" t="s">
        <v>35684</v>
      </c>
      <c r="G6561" s="3" t="str">
        <f>IFERROR(__xludf.DUMMYFUNCTION("REGEXREPLACE(
D6561,
""([一-龯々]+)\[([^\]]+)\]"",
""&lt;ruby&gt;$1&lt;rt&gt;$2&lt;/rt&gt;&lt;/ruby&gt;""
)&amp;""&lt;br&gt;&lt;div class=""""audio""""&gt;[sound:""&amp;C6561&amp;"".mp3]&lt;/div&gt;"""),"びり&lt;br&gt;&lt;div class=""audio""&gt;[sound:びり.mp3]&lt;/div&gt;")</f>
        <v>びり&lt;br&gt;&lt;div class="audio"&gt;[sound:びり.mp3]&lt;/div&gt;</v>
      </c>
      <c r="H6561" s="3" t="str">
        <f t="shared" si="1"/>
        <v>(n): bét</v>
      </c>
      <c r="I6561" s="6" t="s">
        <v>35685</v>
      </c>
      <c r="J6561" s="6" t="s">
        <v>35686</v>
      </c>
      <c r="K6561" s="7">
        <f t="shared" si="2"/>
        <v>0.1617593368</v>
      </c>
    </row>
    <row r="6562">
      <c r="A6562" s="4">
        <v>6562.0</v>
      </c>
      <c r="B6562" s="5" t="s">
        <v>35687</v>
      </c>
      <c r="C6562" s="5" t="s">
        <v>35688</v>
      </c>
      <c r="D6562" s="5" t="s">
        <v>35689</v>
      </c>
      <c r="E6562" s="6" t="s">
        <v>74</v>
      </c>
      <c r="F6562" s="6" t="s">
        <v>35690</v>
      </c>
      <c r="G6562" s="3" t="str">
        <f>IFERROR(__xludf.DUMMYFUNCTION("REGEXREPLACE(
D6562,
""([一-龯々]+)\[([^\]]+)\]"",
""&lt;ruby&gt;$1&lt;rt&gt;$2&lt;/rt&gt;&lt;/ruby&gt;""
)&amp;""&lt;br&gt;&lt;div class=""""audio""""&gt;[sound:""&amp;C6562&amp;"".mp3]&lt;/div&gt;"""),"&lt;ruby&gt;獣&lt;rt&gt;けもの&lt;/rt&gt;&lt;/ruby&gt;&lt;br&gt;&lt;div class=""audio""&gt;[sound:けもの.mp3]&lt;/div&gt;")</f>
        <v>&lt;ruby&gt;獣&lt;rt&gt;けもの&lt;/rt&gt;&lt;/ruby&gt;&lt;br&gt;&lt;div class="audio"&gt;[sound:けもの.mp3]&lt;/div&gt;</v>
      </c>
      <c r="H6562" s="3" t="str">
        <f t="shared" si="1"/>
        <v>(n): thú</v>
      </c>
      <c r="I6562" s="6" t="s">
        <v>35691</v>
      </c>
      <c r="J6562" s="6" t="s">
        <v>35692</v>
      </c>
      <c r="K6562" s="7">
        <f t="shared" si="2"/>
        <v>0.2966683687</v>
      </c>
    </row>
    <row r="6563">
      <c r="A6563" s="4">
        <v>6563.0</v>
      </c>
      <c r="B6563" s="5" t="s">
        <v>35693</v>
      </c>
      <c r="C6563" s="5" t="s">
        <v>35694</v>
      </c>
      <c r="D6563" s="5" t="s">
        <v>35695</v>
      </c>
      <c r="E6563" s="6" t="s">
        <v>74</v>
      </c>
      <c r="F6563" s="6" t="s">
        <v>35696</v>
      </c>
      <c r="G6563" s="3" t="str">
        <f>IFERROR(__xludf.DUMMYFUNCTION("REGEXREPLACE(
D6563,
""([一-龯々]+)\[([^\]]+)\]"",
""&lt;ruby&gt;$1&lt;rt&gt;$2&lt;/rt&gt;&lt;/ruby&gt;""
)&amp;""&lt;br&gt;&lt;div class=""""audio""""&gt;[sound:""&amp;C6563&amp;"".mp3]&lt;/div&gt;"""),"&lt;ruby&gt;藁&lt;rt&gt;わら&lt;/rt&gt;&lt;/ruby&gt;&lt;br&gt;&lt;div class=""audio""&gt;[sound:わら.mp3]&lt;/div&gt;")</f>
        <v>&lt;ruby&gt;藁&lt;rt&gt;わら&lt;/rt&gt;&lt;/ruby&gt;&lt;br&gt;&lt;div class="audio"&gt;[sound:わら.mp3]&lt;/div&gt;</v>
      </c>
      <c r="H6563" s="3" t="str">
        <f t="shared" si="1"/>
        <v>(n): rơm</v>
      </c>
      <c r="I6563" s="6" t="s">
        <v>35697</v>
      </c>
      <c r="J6563" s="6" t="s">
        <v>35698</v>
      </c>
      <c r="K6563" s="7">
        <f t="shared" si="2"/>
        <v>0.8764439117</v>
      </c>
    </row>
    <row r="6564">
      <c r="A6564" s="4">
        <v>6564.0</v>
      </c>
      <c r="B6564" s="5" t="s">
        <v>35699</v>
      </c>
      <c r="C6564" s="5" t="s">
        <v>35700</v>
      </c>
      <c r="D6564" s="5" t="s">
        <v>35699</v>
      </c>
      <c r="E6564" s="6" t="s">
        <v>74</v>
      </c>
      <c r="F6564" s="6" t="s">
        <v>35701</v>
      </c>
      <c r="G6564" s="3" t="str">
        <f>IFERROR(__xludf.DUMMYFUNCTION("REGEXREPLACE(
D6564,
""([一-龯々]+)\[([^\]]+)\]"",
""&lt;ruby&gt;$1&lt;rt&gt;$2&lt;/rt&gt;&lt;/ruby&gt;""
)&amp;""&lt;br&gt;&lt;div class=""""audio""""&gt;[sound:""&amp;C6564&amp;"".mp3]&lt;/div&gt;"""),"ダース&lt;br&gt;&lt;div class=""audio""&gt;[sound:だーす.mp3]&lt;/div&gt;")</f>
        <v>ダース&lt;br&gt;&lt;div class="audio"&gt;[sound:だーす.mp3]&lt;/div&gt;</v>
      </c>
      <c r="H6564" s="3" t="str">
        <f t="shared" si="1"/>
        <v>(n): tá</v>
      </c>
      <c r="I6564" s="6" t="s">
        <v>35702</v>
      </c>
      <c r="J6564" s="6" t="s">
        <v>35703</v>
      </c>
      <c r="K6564" s="7">
        <f t="shared" si="2"/>
        <v>0.3054671671</v>
      </c>
    </row>
    <row r="6565">
      <c r="A6565" s="4">
        <v>6565.0</v>
      </c>
      <c r="B6565" s="5" t="s">
        <v>35704</v>
      </c>
      <c r="C6565" s="5" t="s">
        <v>35705</v>
      </c>
      <c r="D6565" s="5" t="s">
        <v>35706</v>
      </c>
      <c r="E6565" s="6" t="s">
        <v>24</v>
      </c>
      <c r="F6565" s="6" t="s">
        <v>35707</v>
      </c>
      <c r="G6565" s="3" t="str">
        <f>IFERROR(__xludf.DUMMYFUNCTION("REGEXREPLACE(
D6565,
""([一-龯々]+)\[([^\]]+)\]"",
""&lt;ruby&gt;$1&lt;rt&gt;$2&lt;/rt&gt;&lt;/ruby&gt;""
)&amp;""&lt;br&gt;&lt;div class=""""audio""""&gt;[sound:""&amp;C6565&amp;"".mp3]&lt;/div&gt;"""),"&lt;ruby&gt;弛&lt;rt&gt;たる&lt;/rt&gt;&lt;/ruby&gt;む&lt;br&gt;&lt;div class=""audio""&gt;[sound:たるむ.mp3]&lt;/div&gt;")</f>
        <v>&lt;ruby&gt;弛&lt;rt&gt;たる&lt;/rt&gt;&lt;/ruby&gt;む&lt;br&gt;&lt;div class="audio"&gt;[sound:たるむ.mp3]&lt;/div&gt;</v>
      </c>
      <c r="H6565" s="3" t="str">
        <f t="shared" si="1"/>
        <v>(v): lơi lỏng</v>
      </c>
      <c r="I6565" s="6" t="s">
        <v>35708</v>
      </c>
      <c r="J6565" s="6" t="s">
        <v>35709</v>
      </c>
      <c r="K6565" s="7">
        <f t="shared" si="2"/>
        <v>0.4667240463</v>
      </c>
    </row>
    <row r="6566">
      <c r="A6566" s="4">
        <v>6566.0</v>
      </c>
      <c r="B6566" s="5" t="s">
        <v>35710</v>
      </c>
      <c r="C6566" s="5" t="s">
        <v>35711</v>
      </c>
      <c r="D6566" s="5" t="s">
        <v>35712</v>
      </c>
      <c r="E6566" s="6" t="s">
        <v>74</v>
      </c>
      <c r="F6566" s="6" t="s">
        <v>33512</v>
      </c>
      <c r="G6566" s="3" t="str">
        <f>IFERROR(__xludf.DUMMYFUNCTION("REGEXREPLACE(
D6566,
""([一-龯々]+)\[([^\]]+)\]"",
""&lt;ruby&gt;$1&lt;rt&gt;$2&lt;/rt&gt;&lt;/ruby&gt;""
)&amp;""&lt;br&gt;&lt;div class=""""audio""""&gt;[sound:""&amp;C6566&amp;"".mp3]&lt;/div&gt;"""),"&lt;ruby&gt;控室&lt;rt&gt;ひかえしつ&lt;/rt&gt;&lt;/ruby&gt;&lt;br&gt;&lt;div class=""audio""&gt;[sound:ひかえしつ.mp3]&lt;/div&gt;")</f>
        <v>&lt;ruby&gt;控室&lt;rt&gt;ひかえしつ&lt;/rt&gt;&lt;/ruby&gt;&lt;br&gt;&lt;div class="audio"&gt;[sound:ひかえしつ.mp3]&lt;/div&gt;</v>
      </c>
      <c r="H6566" s="3" t="str">
        <f t="shared" si="1"/>
        <v>(n): phòng chờ</v>
      </c>
      <c r="I6566" s="6" t="s">
        <v>35713</v>
      </c>
      <c r="J6566" s="6" t="s">
        <v>35714</v>
      </c>
      <c r="K6566" s="7">
        <f t="shared" si="2"/>
        <v>0.3856457776</v>
      </c>
    </row>
    <row r="6567">
      <c r="A6567" s="4">
        <v>6567.0</v>
      </c>
      <c r="B6567" s="5" t="s">
        <v>35715</v>
      </c>
      <c r="C6567" s="5" t="s">
        <v>35716</v>
      </c>
      <c r="D6567" s="5" t="s">
        <v>35717</v>
      </c>
      <c r="E6567" s="6" t="s">
        <v>74</v>
      </c>
      <c r="F6567" s="6" t="s">
        <v>35718</v>
      </c>
      <c r="G6567" s="3" t="str">
        <f>IFERROR(__xludf.DUMMYFUNCTION("REGEXREPLACE(
D6567,
""([一-龯々]+)\[([^\]]+)\]"",
""&lt;ruby&gt;$1&lt;rt&gt;$2&lt;/rt&gt;&lt;/ruby&gt;""
)&amp;""&lt;br&gt;&lt;div class=""""audio""""&gt;[sound:""&amp;C6567&amp;"".mp3]&lt;/div&gt;"""),"&lt;ruby&gt;崇拝&lt;rt&gt;すうはい&lt;/rt&gt;&lt;/ruby&gt;&lt;br&gt;&lt;div class=""audio""&gt;[sound:すうはい.mp3]&lt;/div&gt;")</f>
        <v>&lt;ruby&gt;崇拝&lt;rt&gt;すうはい&lt;/rt&gt;&lt;/ruby&gt;&lt;br&gt;&lt;div class="audio"&gt;[sound:すうはい.mp3]&lt;/div&gt;</v>
      </c>
      <c r="H6567" s="3" t="str">
        <f t="shared" si="1"/>
        <v>(n): sùng bái</v>
      </c>
      <c r="I6567" s="6" t="s">
        <v>35719</v>
      </c>
      <c r="J6567" s="6" t="s">
        <v>35720</v>
      </c>
      <c r="K6567" s="7">
        <f t="shared" si="2"/>
        <v>0.7895642727</v>
      </c>
    </row>
    <row r="6568">
      <c r="A6568" s="4">
        <v>6568.0</v>
      </c>
      <c r="B6568" s="5" t="s">
        <v>35721</v>
      </c>
      <c r="C6568" s="5" t="s">
        <v>35722</v>
      </c>
      <c r="D6568" s="5" t="s">
        <v>35723</v>
      </c>
      <c r="E6568" s="6" t="s">
        <v>74</v>
      </c>
      <c r="F6568" s="6" t="s">
        <v>35724</v>
      </c>
      <c r="G6568" s="3" t="str">
        <f>IFERROR(__xludf.DUMMYFUNCTION("REGEXREPLACE(
D6568,
""([一-龯々]+)\[([^\]]+)\]"",
""&lt;ruby&gt;$1&lt;rt&gt;$2&lt;/rt&gt;&lt;/ruby&gt;""
)&amp;""&lt;br&gt;&lt;div class=""""audio""""&gt;[sound:""&amp;C6568&amp;"".mp3]&lt;/div&gt;"""),"&lt;ruby&gt;手錠&lt;rt&gt;てじょう&lt;/rt&gt;&lt;/ruby&gt;&lt;br&gt;&lt;div class=""audio""&gt;[sound:てじょう.mp3]&lt;/div&gt;")</f>
        <v>&lt;ruby&gt;手錠&lt;rt&gt;てじょう&lt;/rt&gt;&lt;/ruby&gt;&lt;br&gt;&lt;div class="audio"&gt;[sound:てじょう.mp3]&lt;/div&gt;</v>
      </c>
      <c r="H6568" s="3" t="str">
        <f t="shared" si="1"/>
        <v>(n): còng tay</v>
      </c>
      <c r="I6568" s="6" t="s">
        <v>35725</v>
      </c>
      <c r="J6568" s="6" t="s">
        <v>35726</v>
      </c>
      <c r="K6568" s="7">
        <f t="shared" si="2"/>
        <v>0.3478358854</v>
      </c>
    </row>
    <row r="6569">
      <c r="A6569" s="4">
        <v>6569.0</v>
      </c>
      <c r="B6569" s="5" t="s">
        <v>35727</v>
      </c>
      <c r="C6569" s="5" t="s">
        <v>35728</v>
      </c>
      <c r="D6569" s="5" t="s">
        <v>35729</v>
      </c>
      <c r="E6569" s="6" t="s">
        <v>74</v>
      </c>
      <c r="F6569" s="6" t="s">
        <v>35730</v>
      </c>
      <c r="G6569" s="3" t="str">
        <f>IFERROR(__xludf.DUMMYFUNCTION("REGEXREPLACE(
D6569,
""([一-龯々]+)\[([^\]]+)\]"",
""&lt;ruby&gt;$1&lt;rt&gt;$2&lt;/rt&gt;&lt;/ruby&gt;""
)&amp;""&lt;br&gt;&lt;div class=""""audio""""&gt;[sound:""&amp;C6569&amp;"".mp3]&lt;/div&gt;"""),"&lt;ruby&gt;改札&lt;rt&gt;かいさつ&lt;/rt&gt;&lt;/ruby&gt;&lt;br&gt;&lt;div class=""audio""&gt;[sound:かいさつ.mp3]&lt;/div&gt;")</f>
        <v>&lt;ruby&gt;改札&lt;rt&gt;かいさつ&lt;/rt&gt;&lt;/ruby&gt;&lt;br&gt;&lt;div class="audio"&gt;[sound:かいさつ.mp3]&lt;/div&gt;</v>
      </c>
      <c r="H6569" s="3" t="str">
        <f t="shared" si="1"/>
        <v>(n): soát vé</v>
      </c>
      <c r="I6569" s="6" t="s">
        <v>35731</v>
      </c>
      <c r="J6569" s="6" t="s">
        <v>35732</v>
      </c>
      <c r="K6569" s="7">
        <f t="shared" si="2"/>
        <v>0.6459588351</v>
      </c>
    </row>
    <row r="6570">
      <c r="A6570" s="4">
        <v>6570.0</v>
      </c>
      <c r="B6570" s="5" t="s">
        <v>35733</v>
      </c>
      <c r="C6570" s="5" t="s">
        <v>35734</v>
      </c>
      <c r="D6570" s="5" t="s">
        <v>35735</v>
      </c>
      <c r="E6570" s="6" t="s">
        <v>74</v>
      </c>
      <c r="F6570" s="6" t="s">
        <v>18270</v>
      </c>
      <c r="G6570" s="3" t="str">
        <f>IFERROR(__xludf.DUMMYFUNCTION("REGEXREPLACE(
D6570,
""([一-龯々]+)\[([^\]]+)\]"",
""&lt;ruby&gt;$1&lt;rt&gt;$2&lt;/rt&gt;&lt;/ruby&gt;""
)&amp;""&lt;br&gt;&lt;div class=""""audio""""&gt;[sound:""&amp;C6570&amp;"".mp3]&lt;/div&gt;"""),"&lt;ruby&gt;曲線&lt;rt&gt;きょくせん&lt;/rt&gt;&lt;/ruby&gt;&lt;br&gt;&lt;div class=""audio""&gt;[sound:きょくせん.mp3]&lt;/div&gt;")</f>
        <v>&lt;ruby&gt;曲線&lt;rt&gt;きょくせん&lt;/rt&gt;&lt;/ruby&gt;&lt;br&gt;&lt;div class="audio"&gt;[sound:きょくせん.mp3]&lt;/div&gt;</v>
      </c>
      <c r="H6570" s="3" t="str">
        <f t="shared" si="1"/>
        <v>(n): đường cong</v>
      </c>
      <c r="I6570" s="6" t="s">
        <v>35736</v>
      </c>
      <c r="J6570" s="6" t="s">
        <v>35737</v>
      </c>
      <c r="K6570" s="7">
        <f t="shared" si="2"/>
        <v>0.1122223093</v>
      </c>
    </row>
    <row r="6571">
      <c r="A6571" s="4">
        <v>6571.0</v>
      </c>
      <c r="B6571" s="5" t="s">
        <v>35738</v>
      </c>
      <c r="C6571" s="5" t="s">
        <v>35739</v>
      </c>
      <c r="D6571" s="5" t="s">
        <v>35740</v>
      </c>
      <c r="E6571" s="6" t="s">
        <v>74</v>
      </c>
      <c r="F6571" s="6" t="s">
        <v>35741</v>
      </c>
      <c r="G6571" s="3" t="str">
        <f>IFERROR(__xludf.DUMMYFUNCTION("REGEXREPLACE(
D6571,
""([一-龯々]+)\[([^\]]+)\]"",
""&lt;ruby&gt;$1&lt;rt&gt;$2&lt;/rt&gt;&lt;/ruby&gt;""
)&amp;""&lt;br&gt;&lt;div class=""""audio""""&gt;[sound:""&amp;C6571&amp;"".mp3]&lt;/div&gt;"""),"&lt;ruby&gt;梅雨&lt;rt&gt;つゆ&lt;/rt&gt;&lt;/ruby&gt;&lt;br&gt;&lt;div class=""audio""&gt;[sound:つゆ.mp3]&lt;/div&gt;")</f>
        <v>&lt;ruby&gt;梅雨&lt;rt&gt;つゆ&lt;/rt&gt;&lt;/ruby&gt;&lt;br&gt;&lt;div class="audio"&gt;[sound:つゆ.mp3]&lt;/div&gt;</v>
      </c>
      <c r="H6571" s="3" t="str">
        <f t="shared" si="1"/>
        <v>(n): mùa mưa</v>
      </c>
      <c r="I6571" s="6" t="s">
        <v>35742</v>
      </c>
      <c r="J6571" s="6" t="s">
        <v>35743</v>
      </c>
      <c r="K6571" s="7">
        <f t="shared" si="2"/>
        <v>0.3741295395</v>
      </c>
    </row>
    <row r="6572">
      <c r="A6572" s="4">
        <v>6572.0</v>
      </c>
      <c r="B6572" s="5" t="s">
        <v>35744</v>
      </c>
      <c r="C6572" s="5" t="s">
        <v>35745</v>
      </c>
      <c r="D6572" s="5" t="s">
        <v>35746</v>
      </c>
      <c r="E6572" s="6" t="s">
        <v>74</v>
      </c>
      <c r="F6572" s="6" t="s">
        <v>5456</v>
      </c>
      <c r="G6572" s="3" t="str">
        <f>IFERROR(__xludf.DUMMYFUNCTION("REGEXREPLACE(
D6572,
""([一-龯々]+)\[([^\]]+)\]"",
""&lt;ruby&gt;$1&lt;rt&gt;$2&lt;/rt&gt;&lt;/ruby&gt;""
)&amp;""&lt;br&gt;&lt;div class=""""audio""""&gt;[sound:""&amp;C6572&amp;"".mp3]&lt;/div&gt;"""),"&lt;ruby&gt;気味&lt;rt&gt;ぎみ&lt;/rt&gt;&lt;/ruby&gt;&lt;br&gt;&lt;div class=""audio""&gt;[sound:ぎみ.mp3]&lt;/div&gt;")</f>
        <v>&lt;ruby&gt;気味&lt;rt&gt;ぎみ&lt;/rt&gt;&lt;/ruby&gt;&lt;br&gt;&lt;div class="audio"&gt;[sound:ぎみ.mp3]&lt;/div&gt;</v>
      </c>
      <c r="H6572" s="3" t="str">
        <f t="shared" si="1"/>
        <v>(n): hơi</v>
      </c>
      <c r="I6572" s="6" t="s">
        <v>35747</v>
      </c>
      <c r="J6572" s="6" t="s">
        <v>35748</v>
      </c>
      <c r="K6572" s="7">
        <f t="shared" si="2"/>
        <v>0.6883929145</v>
      </c>
    </row>
    <row r="6573">
      <c r="A6573" s="4">
        <v>6573.0</v>
      </c>
      <c r="B6573" s="5" t="s">
        <v>35749</v>
      </c>
      <c r="C6573" s="5" t="s">
        <v>35750</v>
      </c>
      <c r="D6573" s="5" t="s">
        <v>35751</v>
      </c>
      <c r="E6573" s="6" t="s">
        <v>74</v>
      </c>
      <c r="F6573" s="6" t="s">
        <v>35752</v>
      </c>
      <c r="G6573" s="3" t="str">
        <f>IFERROR(__xludf.DUMMYFUNCTION("REGEXREPLACE(
D6573,
""([一-龯々]+)\[([^\]]+)\]"",
""&lt;ruby&gt;$1&lt;rt&gt;$2&lt;/rt&gt;&lt;/ruby&gt;""
)&amp;""&lt;br&gt;&lt;div class=""""audio""""&gt;[sound:""&amp;C6573&amp;"".mp3]&lt;/div&gt;"""),"&lt;ruby&gt;束&lt;rt&gt;たば&lt;/rt&gt;&lt;/ruby&gt;&lt;br&gt;&lt;div class=""audio""&gt;[sound:たば.mp3]&lt;/div&gt;")</f>
        <v>&lt;ruby&gt;束&lt;rt&gt;たば&lt;/rt&gt;&lt;/ruby&gt;&lt;br&gt;&lt;div class="audio"&gt;[sound:たば.mp3]&lt;/div&gt;</v>
      </c>
      <c r="H6573" s="3" t="str">
        <f t="shared" si="1"/>
        <v>(n): bó</v>
      </c>
      <c r="I6573" s="6" t="s">
        <v>35753</v>
      </c>
      <c r="J6573" s="6" t="s">
        <v>35754</v>
      </c>
      <c r="K6573" s="7">
        <f t="shared" si="2"/>
        <v>0.4286725406</v>
      </c>
    </row>
    <row r="6574">
      <c r="A6574" s="4">
        <v>6574.0</v>
      </c>
      <c r="B6574" s="5" t="s">
        <v>35755</v>
      </c>
      <c r="C6574" s="5" t="s">
        <v>31536</v>
      </c>
      <c r="D6574" s="5" t="s">
        <v>35756</v>
      </c>
      <c r="E6574" s="6" t="s">
        <v>74</v>
      </c>
      <c r="F6574" s="6" t="s">
        <v>35757</v>
      </c>
      <c r="G6574" s="3" t="str">
        <f>IFERROR(__xludf.DUMMYFUNCTION("REGEXREPLACE(
D6574,
""([一-龯々]+)\[([^\]]+)\]"",
""&lt;ruby&gt;$1&lt;rt&gt;$2&lt;/rt&gt;&lt;/ruby&gt;""
)&amp;""&lt;br&gt;&lt;div class=""""audio""""&gt;[sound:""&amp;C6574&amp;"".mp3]&lt;/div&gt;"""),"&lt;ruby&gt;富豪&lt;rt&gt;ふごう&lt;/rt&gt;&lt;/ruby&gt;&lt;br&gt;&lt;div class=""audio""&gt;[sound:ふごう.mp3]&lt;/div&gt;")</f>
        <v>&lt;ruby&gt;富豪&lt;rt&gt;ふごう&lt;/rt&gt;&lt;/ruby&gt;&lt;br&gt;&lt;div class="audio"&gt;[sound:ふごう.mp3]&lt;/div&gt;</v>
      </c>
      <c r="H6574" s="3" t="str">
        <f t="shared" si="1"/>
        <v>(n): phú ông</v>
      </c>
      <c r="I6574" s="6" t="s">
        <v>35758</v>
      </c>
      <c r="J6574" s="6" t="s">
        <v>35759</v>
      </c>
      <c r="K6574" s="7">
        <f t="shared" si="2"/>
        <v>0.9273740889</v>
      </c>
    </row>
    <row r="6575">
      <c r="A6575" s="4">
        <v>6575.0</v>
      </c>
      <c r="B6575" s="5" t="s">
        <v>35760</v>
      </c>
      <c r="C6575" s="5" t="s">
        <v>35761</v>
      </c>
      <c r="D6575" s="5" t="s">
        <v>35762</v>
      </c>
      <c r="E6575" s="6" t="s">
        <v>74</v>
      </c>
      <c r="F6575" s="6" t="s">
        <v>35763</v>
      </c>
      <c r="G6575" s="3" t="str">
        <f>IFERROR(__xludf.DUMMYFUNCTION("REGEXREPLACE(
D6575,
""([一-龯々]+)\[([^\]]+)\]"",
""&lt;ruby&gt;$1&lt;rt&gt;$2&lt;/rt&gt;&lt;/ruby&gt;""
)&amp;""&lt;br&gt;&lt;div class=""""audio""""&gt;[sound:""&amp;C6575&amp;"".mp3]&lt;/div&gt;"""),"&lt;ruby&gt;年輪&lt;rt&gt;ねんりん&lt;/rt&gt;&lt;/ruby&gt;&lt;br&gt;&lt;div class=""audio""&gt;[sound:ねんりん.mp3]&lt;/div&gt;")</f>
        <v>&lt;ruby&gt;年輪&lt;rt&gt;ねんりん&lt;/rt&gt;&lt;/ruby&gt;&lt;br&gt;&lt;div class="audio"&gt;[sound:ねんりん.mp3]&lt;/div&gt;</v>
      </c>
      <c r="H6575" s="3" t="str">
        <f t="shared" si="1"/>
        <v>(n): vòng tuổi</v>
      </c>
      <c r="I6575" s="6" t="s">
        <v>35764</v>
      </c>
      <c r="J6575" s="6" t="s">
        <v>35765</v>
      </c>
      <c r="K6575" s="7">
        <f t="shared" si="2"/>
        <v>0.8031816599</v>
      </c>
    </row>
    <row r="6576">
      <c r="A6576" s="4">
        <v>6576.0</v>
      </c>
      <c r="B6576" s="5" t="s">
        <v>35766</v>
      </c>
      <c r="C6576" s="5" t="s">
        <v>35767</v>
      </c>
      <c r="D6576" s="5" t="s">
        <v>35768</v>
      </c>
      <c r="E6576" s="6" t="s">
        <v>74</v>
      </c>
      <c r="F6576" s="6" t="s">
        <v>13324</v>
      </c>
      <c r="G6576" s="3" t="str">
        <f>IFERROR(__xludf.DUMMYFUNCTION("REGEXREPLACE(
D6576,
""([一-龯々]+)\[([^\]]+)\]"",
""&lt;ruby&gt;$1&lt;rt&gt;$2&lt;/rt&gt;&lt;/ruby&gt;""
)&amp;""&lt;br&gt;&lt;div class=""""audio""""&gt;[sound:""&amp;C6576&amp;"".mp3]&lt;/div&gt;"""),"&lt;ruby&gt;手芸&lt;rt&gt;しゅげい&lt;/rt&gt;&lt;/ruby&gt;&lt;br&gt;&lt;div class=""audio""&gt;[sound:しゅげい.mp3]&lt;/div&gt;")</f>
        <v>&lt;ruby&gt;手芸&lt;rt&gt;しゅげい&lt;/rt&gt;&lt;/ruby&gt;&lt;br&gt;&lt;div class="audio"&gt;[sound:しゅげい.mp3]&lt;/div&gt;</v>
      </c>
      <c r="H6576" s="3" t="str">
        <f t="shared" si="1"/>
        <v>(n): thủ công</v>
      </c>
      <c r="I6576" s="6" t="s">
        <v>35769</v>
      </c>
      <c r="J6576" s="6" t="s">
        <v>35770</v>
      </c>
      <c r="K6576" s="7">
        <f t="shared" si="2"/>
        <v>0.8578952591</v>
      </c>
    </row>
    <row r="6577">
      <c r="A6577" s="4">
        <v>6577.0</v>
      </c>
      <c r="B6577" s="5" t="s">
        <v>35771</v>
      </c>
      <c r="C6577" s="5" t="s">
        <v>35772</v>
      </c>
      <c r="D6577" s="5" t="s">
        <v>35773</v>
      </c>
      <c r="E6577" s="6" t="s">
        <v>74</v>
      </c>
      <c r="F6577" s="6" t="s">
        <v>35774</v>
      </c>
      <c r="G6577" s="3" t="str">
        <f>IFERROR(__xludf.DUMMYFUNCTION("REGEXREPLACE(
D6577,
""([一-龯々]+)\[([^\]]+)\]"",
""&lt;ruby&gt;$1&lt;rt&gt;$2&lt;/rt&gt;&lt;/ruby&gt;""
)&amp;""&lt;br&gt;&lt;div class=""""audio""""&gt;[sound:""&amp;C6577&amp;"".mp3]&lt;/div&gt;"""),"&lt;ruby&gt;整数&lt;rt&gt;せいすう&lt;/rt&gt;&lt;/ruby&gt;&lt;br&gt;&lt;div class=""audio""&gt;[sound:せいすう.mp3]&lt;/div&gt;")</f>
        <v>&lt;ruby&gt;整数&lt;rt&gt;せいすう&lt;/rt&gt;&lt;/ruby&gt;&lt;br&gt;&lt;div class="audio"&gt;[sound:せいすう.mp3]&lt;/div&gt;</v>
      </c>
      <c r="H6577" s="3" t="str">
        <f t="shared" si="1"/>
        <v>(n): số nguyên</v>
      </c>
      <c r="I6577" s="6" t="s">
        <v>35775</v>
      </c>
      <c r="J6577" s="6" t="s">
        <v>35776</v>
      </c>
      <c r="K6577" s="7">
        <f t="shared" si="2"/>
        <v>0.8920851815</v>
      </c>
    </row>
    <row r="6578">
      <c r="A6578" s="4">
        <v>6578.0</v>
      </c>
      <c r="B6578" s="5" t="s">
        <v>35777</v>
      </c>
      <c r="C6578" s="5" t="s">
        <v>35778</v>
      </c>
      <c r="D6578" s="5" t="s">
        <v>35779</v>
      </c>
      <c r="E6578" s="6" t="s">
        <v>24</v>
      </c>
      <c r="F6578" s="6" t="s">
        <v>27437</v>
      </c>
      <c r="G6578" s="3" t="str">
        <f>IFERROR(__xludf.DUMMYFUNCTION("REGEXREPLACE(
D6578,
""([一-龯々]+)\[([^\]]+)\]"",
""&lt;ruby&gt;$1&lt;rt&gt;$2&lt;/rt&gt;&lt;/ruby&gt;""
)&amp;""&lt;br&gt;&lt;div class=""""audio""""&gt;[sound:""&amp;C6578&amp;"".mp3]&lt;/div&gt;"""),"&lt;ruby&gt;止&lt;rt&gt;よ&lt;/rt&gt;&lt;/ruby&gt;す&lt;br&gt;&lt;div class=""audio""&gt;[sound:よす.mp3]&lt;/div&gt;")</f>
        <v>&lt;ruby&gt;止&lt;rt&gt;よ&lt;/rt&gt;&lt;/ruby&gt;す&lt;br&gt;&lt;div class="audio"&gt;[sound:よす.mp3]&lt;/div&gt;</v>
      </c>
      <c r="H6578" s="3" t="str">
        <f t="shared" si="1"/>
        <v>(v): ngừng</v>
      </c>
      <c r="I6578" s="6" t="s">
        <v>35780</v>
      </c>
      <c r="J6578" s="6" t="s">
        <v>35781</v>
      </c>
      <c r="K6578" s="7">
        <f t="shared" si="2"/>
        <v>0.7453000991</v>
      </c>
    </row>
    <row r="6579">
      <c r="A6579" s="4">
        <v>6579.0</v>
      </c>
      <c r="B6579" s="5" t="s">
        <v>35782</v>
      </c>
      <c r="C6579" s="5" t="s">
        <v>35783</v>
      </c>
      <c r="D6579" s="5" t="s">
        <v>35784</v>
      </c>
      <c r="E6579" s="6" t="s">
        <v>74</v>
      </c>
      <c r="F6579" s="6" t="s">
        <v>572</v>
      </c>
      <c r="G6579" s="3" t="str">
        <f>IFERROR(__xludf.DUMMYFUNCTION("REGEXREPLACE(
D6579,
""([一-龯々]+)\[([^\]]+)\]"",
""&lt;ruby&gt;$1&lt;rt&gt;$2&lt;/rt&gt;&lt;/ruby&gt;""
)&amp;""&lt;br&gt;&lt;div class=""""audio""""&gt;[sound:""&amp;C6579&amp;"".mp3]&lt;/div&gt;"""),"&lt;ruby&gt;書物&lt;rt&gt;しょもつ&lt;/rt&gt;&lt;/ruby&gt;&lt;br&gt;&lt;div class=""audio""&gt;[sound:しょもつ.mp3]&lt;/div&gt;")</f>
        <v>&lt;ruby&gt;書物&lt;rt&gt;しょもつ&lt;/rt&gt;&lt;/ruby&gt;&lt;br&gt;&lt;div class="audio"&gt;[sound:しょもつ.mp3]&lt;/div&gt;</v>
      </c>
      <c r="H6579" s="3" t="str">
        <f t="shared" si="1"/>
        <v>(n): sách</v>
      </c>
      <c r="I6579" s="6" t="s">
        <v>35785</v>
      </c>
      <c r="J6579" s="6" t="s">
        <v>35786</v>
      </c>
      <c r="K6579" s="7">
        <f t="shared" si="2"/>
        <v>0.174286893</v>
      </c>
    </row>
    <row r="6580">
      <c r="A6580" s="4">
        <v>6580.0</v>
      </c>
      <c r="B6580" s="5" t="s">
        <v>35787</v>
      </c>
      <c r="C6580" s="5" t="s">
        <v>35788</v>
      </c>
      <c r="D6580" s="5" t="s">
        <v>35789</v>
      </c>
      <c r="E6580" s="6" t="s">
        <v>24</v>
      </c>
      <c r="F6580" s="6" t="s">
        <v>33756</v>
      </c>
      <c r="G6580" s="3" t="str">
        <f>IFERROR(__xludf.DUMMYFUNCTION("REGEXREPLACE(
D6580,
""([一-龯々]+)\[([^\]]+)\]"",
""&lt;ruby&gt;$1&lt;rt&gt;$2&lt;/rt&gt;&lt;/ruby&gt;""
)&amp;""&lt;br&gt;&lt;div class=""""audio""""&gt;[sound:""&amp;C6580&amp;"".mp3]&lt;/div&gt;"""),"&lt;ruby&gt;枯&lt;rt&gt;か&lt;/rt&gt;&lt;/ruby&gt;れる&lt;br&gt;&lt;div class=""audio""&gt;[sound:かれる.mp3]&lt;/div&gt;")</f>
        <v>&lt;ruby&gt;枯&lt;rt&gt;か&lt;/rt&gt;&lt;/ruby&gt;れる&lt;br&gt;&lt;div class="audio"&gt;[sound:かれる.mp3]&lt;/div&gt;</v>
      </c>
      <c r="H6580" s="3" t="str">
        <f t="shared" si="1"/>
        <v>(v): héo</v>
      </c>
      <c r="I6580" s="6" t="s">
        <v>35790</v>
      </c>
      <c r="J6580" s="6" t="s">
        <v>35791</v>
      </c>
      <c r="K6580" s="7">
        <f t="shared" si="2"/>
        <v>0.9768725978</v>
      </c>
    </row>
    <row r="6581">
      <c r="A6581" s="4">
        <v>6581.0</v>
      </c>
      <c r="B6581" s="5" t="s">
        <v>35792</v>
      </c>
      <c r="C6581" s="5" t="s">
        <v>35793</v>
      </c>
      <c r="D6581" s="5" t="s">
        <v>35794</v>
      </c>
      <c r="E6581" s="6" t="s">
        <v>85</v>
      </c>
      <c r="F6581" s="6" t="s">
        <v>28412</v>
      </c>
      <c r="G6581" s="3" t="str">
        <f>IFERROR(__xludf.DUMMYFUNCTION("REGEXREPLACE(
D6581,
""([一-龯々]+)\[([^\]]+)\]"",
""&lt;ruby&gt;$1&lt;rt&gt;$2&lt;/rt&gt;&lt;/ruby&gt;""
)&amp;""&lt;br&gt;&lt;div class=""""audio""""&gt;[sound:""&amp;C6581&amp;"".mp3]&lt;/div&gt;"""),"&lt;ruby&gt;果&lt;rt&gt;はた&lt;/rt&gt;&lt;/ruby&gt;して&lt;br&gt;&lt;div class=""audio""&gt;[sound:はたして.mp3]&lt;/div&gt;")</f>
        <v>&lt;ruby&gt;果&lt;rt&gt;はた&lt;/rt&gt;&lt;/ruby&gt;して&lt;br&gt;&lt;div class="audio"&gt;[sound:はたして.mp3]&lt;/div&gt;</v>
      </c>
      <c r="H6581" s="3" t="str">
        <f t="shared" si="1"/>
        <v>(adv): quả nhiên</v>
      </c>
      <c r="I6581" s="6" t="s">
        <v>35795</v>
      </c>
      <c r="J6581" s="6" t="s">
        <v>35796</v>
      </c>
      <c r="K6581" s="7">
        <f t="shared" si="2"/>
        <v>0.7618954311</v>
      </c>
    </row>
    <row r="6582">
      <c r="A6582" s="4">
        <v>6582.0</v>
      </c>
      <c r="B6582" s="5" t="s">
        <v>35797</v>
      </c>
      <c r="C6582" s="5" t="s">
        <v>35798</v>
      </c>
      <c r="D6582" s="5" t="s">
        <v>35799</v>
      </c>
      <c r="E6582" s="6" t="s">
        <v>74</v>
      </c>
      <c r="F6582" s="6" t="s">
        <v>35800</v>
      </c>
      <c r="G6582" s="3" t="str">
        <f>IFERROR(__xludf.DUMMYFUNCTION("REGEXREPLACE(
D6582,
""([一-龯々]+)\[([^\]]+)\]"",
""&lt;ruby&gt;$1&lt;rt&gt;$2&lt;/rt&gt;&lt;/ruby&gt;""
)&amp;""&lt;br&gt;&lt;div class=""""audio""""&gt;[sound:""&amp;C6582&amp;"".mp3]&lt;/div&gt;"""),"&lt;ruby&gt;明&lt;rt&gt;あ&lt;/rt&gt;&lt;/ruby&gt;け&lt;ruby&gt;方&lt;rt&gt;がた&lt;/rt&gt;&lt;/ruby&gt;&lt;br&gt;&lt;div class=""audio""&gt;[sound:あけがた.mp3]&lt;/div&gt;")</f>
        <v>&lt;ruby&gt;明&lt;rt&gt;あ&lt;/rt&gt;&lt;/ruby&gt;け&lt;ruby&gt;方&lt;rt&gt;がた&lt;/rt&gt;&lt;/ruby&gt;&lt;br&gt;&lt;div class="audio"&gt;[sound:あけがた.mp3]&lt;/div&gt;</v>
      </c>
      <c r="H6582" s="3" t="str">
        <f t="shared" si="1"/>
        <v>(n): rạng đông</v>
      </c>
      <c r="I6582" s="6" t="s">
        <v>35801</v>
      </c>
      <c r="J6582" s="6" t="s">
        <v>35802</v>
      </c>
      <c r="K6582" s="7">
        <f t="shared" si="2"/>
        <v>0.6271832196</v>
      </c>
    </row>
    <row r="6583">
      <c r="A6583" s="4">
        <v>6583.0</v>
      </c>
      <c r="B6583" s="5" t="s">
        <v>35803</v>
      </c>
      <c r="C6583" s="5" t="s">
        <v>35804</v>
      </c>
      <c r="D6583" s="5" t="s">
        <v>35805</v>
      </c>
      <c r="E6583" s="6" t="s">
        <v>74</v>
      </c>
      <c r="F6583" s="6" t="s">
        <v>35806</v>
      </c>
      <c r="G6583" s="3" t="str">
        <f>IFERROR(__xludf.DUMMYFUNCTION("REGEXREPLACE(
D6583,
""([一-龯々]+)\[([^\]]+)\]"",
""&lt;ruby&gt;$1&lt;rt&gt;$2&lt;/rt&gt;&lt;/ruby&gt;""
)&amp;""&lt;br&gt;&lt;div class=""""audio""""&gt;[sound:""&amp;C6583&amp;"".mp3]&lt;/div&gt;"""),"&lt;ruby&gt;殻&lt;rt&gt;から&lt;/rt&gt;&lt;/ruby&gt;&lt;br&gt;&lt;div class=""audio""&gt;[sound:から.mp3]&lt;/div&gt;")</f>
        <v>&lt;ruby&gt;殻&lt;rt&gt;から&lt;/rt&gt;&lt;/ruby&gt;&lt;br&gt;&lt;div class="audio"&gt;[sound:から.mp3]&lt;/div&gt;</v>
      </c>
      <c r="H6583" s="3" t="str">
        <f t="shared" si="1"/>
        <v>(n): vỏ</v>
      </c>
      <c r="I6583" s="6" t="s">
        <v>35807</v>
      </c>
      <c r="J6583" s="6" t="s">
        <v>35808</v>
      </c>
      <c r="K6583" s="7">
        <f t="shared" si="2"/>
        <v>0.1701819841</v>
      </c>
    </row>
    <row r="6584">
      <c r="A6584" s="4">
        <v>6584.0</v>
      </c>
      <c r="B6584" s="5" t="s">
        <v>35809</v>
      </c>
      <c r="C6584" s="5" t="s">
        <v>35810</v>
      </c>
      <c r="D6584" s="5" t="s">
        <v>35811</v>
      </c>
      <c r="E6584" s="6" t="s">
        <v>74</v>
      </c>
      <c r="F6584" s="6" t="s">
        <v>35812</v>
      </c>
      <c r="G6584" s="3" t="str">
        <f>IFERROR(__xludf.DUMMYFUNCTION("REGEXREPLACE(
D6584,
""([一-龯々]+)\[([^\]]+)\]"",
""&lt;ruby&gt;$1&lt;rt&gt;$2&lt;/rt&gt;&lt;/ruby&gt;""
)&amp;""&lt;br&gt;&lt;div class=""""audio""""&gt;[sound:""&amp;C6584&amp;"".mp3]&lt;/div&gt;"""),"&lt;ruby&gt;掛&lt;rt&gt;か&lt;/rt&gt;&lt;/ruby&gt;け&lt;ruby&gt;算&lt;rt&gt;ざん&lt;/rt&gt;&lt;/ruby&gt;&lt;br&gt;&lt;div class=""audio""&gt;[sound:かけざん.mp3]&lt;/div&gt;")</f>
        <v>&lt;ruby&gt;掛&lt;rt&gt;か&lt;/rt&gt;&lt;/ruby&gt;け&lt;ruby&gt;算&lt;rt&gt;ざん&lt;/rt&gt;&lt;/ruby&gt;&lt;br&gt;&lt;div class="audio"&gt;[sound:かけざん.mp3]&lt;/div&gt;</v>
      </c>
      <c r="H6584" s="3" t="str">
        <f t="shared" si="1"/>
        <v>(n): phép nhân</v>
      </c>
      <c r="I6584" s="6" t="s">
        <v>35813</v>
      </c>
      <c r="J6584" s="6" t="s">
        <v>35814</v>
      </c>
      <c r="K6584" s="7">
        <f t="shared" si="2"/>
        <v>0.3150125042</v>
      </c>
    </row>
    <row r="6585">
      <c r="A6585" s="4">
        <v>6585.0</v>
      </c>
      <c r="B6585" s="5" t="s">
        <v>35815</v>
      </c>
      <c r="C6585" s="5" t="s">
        <v>35816</v>
      </c>
      <c r="D6585" s="5" t="s">
        <v>35817</v>
      </c>
      <c r="E6585" s="6" t="s">
        <v>74</v>
      </c>
      <c r="F6585" s="6" t="s">
        <v>35818</v>
      </c>
      <c r="G6585" s="3" t="str">
        <f>IFERROR(__xludf.DUMMYFUNCTION("REGEXREPLACE(
D6585,
""([一-龯々]+)\[([^\]]+)\]"",
""&lt;ruby&gt;$1&lt;rt&gt;$2&lt;/rt&gt;&lt;/ruby&gt;""
)&amp;""&lt;br&gt;&lt;div class=""""audio""""&gt;[sound:""&amp;C6585&amp;"".mp3]&lt;/div&gt;"""),"&lt;ruby&gt;梅&lt;rt&gt;うめ&lt;/rt&gt;&lt;/ruby&gt;&lt;br&gt;&lt;div class=""audio""&gt;[sound:うめ.mp3]&lt;/div&gt;")</f>
        <v>&lt;ruby&gt;梅&lt;rt&gt;うめ&lt;/rt&gt;&lt;/ruby&gt;&lt;br&gt;&lt;div class="audio"&gt;[sound:うめ.mp3]&lt;/div&gt;</v>
      </c>
      <c r="H6585" s="3" t="str">
        <f t="shared" si="1"/>
        <v>(n): cây mơ</v>
      </c>
      <c r="I6585" s="6" t="s">
        <v>35819</v>
      </c>
      <c r="J6585" s="6" t="s">
        <v>35820</v>
      </c>
      <c r="K6585" s="7">
        <f t="shared" si="2"/>
        <v>0.6113660797</v>
      </c>
    </row>
    <row r="6586">
      <c r="A6586" s="4">
        <v>6586.0</v>
      </c>
      <c r="B6586" s="5" t="s">
        <v>35821</v>
      </c>
      <c r="C6586" s="5" t="s">
        <v>35822</v>
      </c>
      <c r="D6586" s="5" t="s">
        <v>35823</v>
      </c>
      <c r="E6586" s="6" t="s">
        <v>24</v>
      </c>
      <c r="F6586" s="6" t="s">
        <v>13682</v>
      </c>
      <c r="G6586" s="3" t="str">
        <f>IFERROR(__xludf.DUMMYFUNCTION("REGEXREPLACE(
D6586,
""([一-龯々]+)\[([^\]]+)\]"",
""&lt;ruby&gt;$1&lt;rt&gt;$2&lt;/rt&gt;&lt;/ruby&gt;""
)&amp;""&lt;br&gt;&lt;div class=""""audio""""&gt;[sound:""&amp;C6586&amp;"".mp3]&lt;/div&gt;"""),"&lt;ruby&gt;尊&lt;rt&gt;とうと&lt;/rt&gt;&lt;/ruby&gt;ぶ&lt;br&gt;&lt;div class=""audio""&gt;[sound:とうとぶ.mp3]&lt;/div&gt;")</f>
        <v>&lt;ruby&gt;尊&lt;rt&gt;とうと&lt;/rt&gt;&lt;/ruby&gt;ぶ&lt;br&gt;&lt;div class="audio"&gt;[sound:とうとぶ.mp3]&lt;/div&gt;</v>
      </c>
      <c r="H6586" s="3" t="str">
        <f t="shared" si="1"/>
        <v>(v): tôn trọng</v>
      </c>
      <c r="I6586" s="6" t="s">
        <v>35824</v>
      </c>
      <c r="J6586" s="6" t="s">
        <v>19507</v>
      </c>
      <c r="K6586" s="7">
        <f t="shared" si="2"/>
        <v>0.2812402567</v>
      </c>
    </row>
    <row r="6587">
      <c r="A6587" s="4">
        <v>6587.0</v>
      </c>
      <c r="B6587" s="5" t="s">
        <v>35825</v>
      </c>
      <c r="C6587" s="5" t="s">
        <v>35826</v>
      </c>
      <c r="D6587" s="5" t="s">
        <v>35827</v>
      </c>
      <c r="E6587" s="6" t="s">
        <v>74</v>
      </c>
      <c r="F6587" s="6" t="s">
        <v>35828</v>
      </c>
      <c r="G6587" s="3" t="str">
        <f>IFERROR(__xludf.DUMMYFUNCTION("REGEXREPLACE(
D6587,
""([一-龯々]+)\[([^\]]+)\]"",
""&lt;ruby&gt;$1&lt;rt&gt;$2&lt;/rt&gt;&lt;/ruby&gt;""
)&amp;""&lt;br&gt;&lt;div class=""""audio""""&gt;[sound:""&amp;C6587&amp;"".mp3]&lt;/div&gt;"""),"&lt;ruby&gt;斑&lt;rt&gt;まだら&lt;/rt&gt;&lt;/ruby&gt;&lt;br&gt;&lt;div class=""audio""&gt;[sound:まだら.mp3]&lt;/div&gt;")</f>
        <v>&lt;ruby&gt;斑&lt;rt&gt;まだら&lt;/rt&gt;&lt;/ruby&gt;&lt;br&gt;&lt;div class="audio"&gt;[sound:まだら.mp3]&lt;/div&gt;</v>
      </c>
      <c r="H6587" s="3" t="str">
        <f t="shared" si="1"/>
        <v>(n): vết đốm</v>
      </c>
      <c r="I6587" s="6" t="s">
        <v>35829</v>
      </c>
      <c r="J6587" s="6" t="s">
        <v>35830</v>
      </c>
      <c r="K6587" s="7">
        <f t="shared" si="2"/>
        <v>0.1294668119</v>
      </c>
    </row>
    <row r="6588">
      <c r="A6588" s="4">
        <v>6588.0</v>
      </c>
      <c r="B6588" s="5" t="s">
        <v>35831</v>
      </c>
      <c r="C6588" s="5" t="s">
        <v>35832</v>
      </c>
      <c r="D6588" s="5" t="s">
        <v>35833</v>
      </c>
      <c r="E6588" s="6" t="s">
        <v>11</v>
      </c>
      <c r="F6588" s="6" t="s">
        <v>35834</v>
      </c>
      <c r="G6588" s="3" t="str">
        <f>IFERROR(__xludf.DUMMYFUNCTION("REGEXREPLACE(
D6588,
""([一-龯々]+)\[([^\]]+)\]"",
""&lt;ruby&gt;$1&lt;rt&gt;$2&lt;/rt&gt;&lt;/ruby&gt;""
)&amp;""&lt;br&gt;&lt;div class=""""audio""""&gt;[sound:""&amp;C6588&amp;"".mp3]&lt;/div&gt;"""),"&lt;ruby&gt;感無量&lt;rt&gt;かんむりょう&lt;/rt&gt;&lt;/ruby&gt;&lt;br&gt;&lt;div class=""audio""&gt;[sound:かんむりょう.mp3]&lt;/div&gt;")</f>
        <v>&lt;ruby&gt;感無量&lt;rt&gt;かんむりょう&lt;/rt&gt;&lt;/ruby&gt;&lt;br&gt;&lt;div class="audio"&gt;[sound:かんむりょう.mp3]&lt;/div&gt;</v>
      </c>
      <c r="H6588" s="3" t="str">
        <f t="shared" si="1"/>
        <v>(adj): vô cùng cảm động</v>
      </c>
      <c r="I6588" s="6" t="s">
        <v>35835</v>
      </c>
      <c r="J6588" s="6" t="s">
        <v>35836</v>
      </c>
      <c r="K6588" s="7">
        <f t="shared" si="2"/>
        <v>0.6246745339</v>
      </c>
    </row>
    <row r="6589">
      <c r="A6589" s="4">
        <v>6589.0</v>
      </c>
      <c r="B6589" s="5" t="s">
        <v>35837</v>
      </c>
      <c r="C6589" s="5" t="s">
        <v>35838</v>
      </c>
      <c r="D6589" s="5" t="s">
        <v>35839</v>
      </c>
      <c r="E6589" s="6" t="s">
        <v>11</v>
      </c>
      <c r="F6589" s="6" t="s">
        <v>35840</v>
      </c>
      <c r="G6589" s="3" t="str">
        <f>IFERROR(__xludf.DUMMYFUNCTION("REGEXREPLACE(
D6589,
""([一-龯々]+)\[([^\]]+)\]"",
""&lt;ruby&gt;$1&lt;rt&gt;$2&lt;/rt&gt;&lt;/ruby&gt;""
)&amp;""&lt;br&gt;&lt;div class=""""audio""""&gt;[sound:""&amp;C6589&amp;"".mp3]&lt;/div&gt;"""),"&lt;ruby&gt;情深&lt;rt&gt;なさけぶか&lt;/rt&gt;&lt;/ruby&gt;い&lt;br&gt;&lt;div class=""audio""&gt;[sound:なさけぶかい.mp3]&lt;/div&gt;")</f>
        <v>&lt;ruby&gt;情深&lt;rt&gt;なさけぶか&lt;/rt&gt;&lt;/ruby&gt;い&lt;br&gt;&lt;div class="audio"&gt;[sound:なさけぶかい.mp3]&lt;/div&gt;</v>
      </c>
      <c r="H6589" s="3" t="str">
        <f t="shared" si="1"/>
        <v>(adj): giàu tình cảm</v>
      </c>
      <c r="I6589" s="6" t="s">
        <v>35841</v>
      </c>
      <c r="J6589" s="6" t="s">
        <v>17536</v>
      </c>
      <c r="K6589" s="7">
        <f t="shared" si="2"/>
        <v>0.1139649678</v>
      </c>
    </row>
    <row r="6590">
      <c r="A6590" s="4">
        <v>6590.0</v>
      </c>
      <c r="B6590" s="5" t="s">
        <v>35842</v>
      </c>
      <c r="C6590" s="5" t="s">
        <v>35843</v>
      </c>
      <c r="D6590" s="5" t="s">
        <v>35844</v>
      </c>
      <c r="E6590" s="6" t="s">
        <v>74</v>
      </c>
      <c r="F6590" s="6" t="s">
        <v>35845</v>
      </c>
      <c r="G6590" s="3" t="str">
        <f>IFERROR(__xludf.DUMMYFUNCTION("REGEXREPLACE(
D6590,
""([一-龯々]+)\[([^\]]+)\]"",
""&lt;ruby&gt;$1&lt;rt&gt;$2&lt;/rt&gt;&lt;/ruby&gt;""
)&amp;""&lt;br&gt;&lt;div class=""""audio""""&gt;[sound:""&amp;C6590&amp;"".mp3]&lt;/div&gt;"""),"&lt;ruby&gt;旧知&lt;rt&gt;きゅうち&lt;/rt&gt;&lt;/ruby&gt;&lt;br&gt;&lt;div class=""audio""&gt;[sound:きゅうち.mp3]&lt;/div&gt;")</f>
        <v>&lt;ruby&gt;旧知&lt;rt&gt;きゅうち&lt;/rt&gt;&lt;/ruby&gt;&lt;br&gt;&lt;div class="audio"&gt;[sound:きゅうち.mp3]&lt;/div&gt;</v>
      </c>
      <c r="H6590" s="3" t="str">
        <f t="shared" si="1"/>
        <v>(n): người quen cũ</v>
      </c>
      <c r="I6590" s="6" t="s">
        <v>35846</v>
      </c>
      <c r="J6590" s="6" t="s">
        <v>35847</v>
      </c>
      <c r="K6590" s="7">
        <f t="shared" si="2"/>
        <v>0.288148967</v>
      </c>
    </row>
    <row r="6591">
      <c r="A6591" s="4">
        <v>6591.0</v>
      </c>
      <c r="B6591" s="5" t="s">
        <v>35848</v>
      </c>
      <c r="C6591" s="5" t="s">
        <v>35849</v>
      </c>
      <c r="D6591" s="5" t="s">
        <v>35850</v>
      </c>
      <c r="E6591" s="6" t="s">
        <v>11</v>
      </c>
      <c r="F6591" s="6" t="s">
        <v>35851</v>
      </c>
      <c r="G6591" s="3" t="str">
        <f>IFERROR(__xludf.DUMMYFUNCTION("REGEXREPLACE(
D6591,
""([一-龯々]+)\[([^\]]+)\]"",
""&lt;ruby&gt;$1&lt;rt&gt;$2&lt;/rt&gt;&lt;/ruby&gt;""
)&amp;""&lt;br&gt;&lt;div class=""""audio""""&gt;[sound:""&amp;C6591&amp;"".mp3]&lt;/div&gt;"""),"&lt;ruby&gt;未開&lt;rt&gt;みかい&lt;/rt&gt;&lt;/ruby&gt;&lt;br&gt;&lt;div class=""audio""&gt;[sound:みかい.mp3]&lt;/div&gt;")</f>
        <v>&lt;ruby&gt;未開&lt;rt&gt;みかい&lt;/rt&gt;&lt;/ruby&gt;&lt;br&gt;&lt;div class="audio"&gt;[sound:みかい.mp3]&lt;/div&gt;</v>
      </c>
      <c r="H6591" s="3" t="str">
        <f t="shared" si="1"/>
        <v>(adj): chưa khai phá</v>
      </c>
      <c r="I6591" s="6" t="s">
        <v>35852</v>
      </c>
      <c r="J6591" s="6" t="s">
        <v>35853</v>
      </c>
      <c r="K6591" s="7">
        <f t="shared" si="2"/>
        <v>0.2472227631</v>
      </c>
    </row>
    <row r="6592">
      <c r="A6592" s="4">
        <v>6592.0</v>
      </c>
      <c r="B6592" s="5" t="s">
        <v>35854</v>
      </c>
      <c r="C6592" s="5" t="s">
        <v>35855</v>
      </c>
      <c r="D6592" s="5" t="s">
        <v>35856</v>
      </c>
      <c r="E6592" s="6" t="s">
        <v>74</v>
      </c>
      <c r="F6592" s="6" t="s">
        <v>35857</v>
      </c>
      <c r="G6592" s="3" t="str">
        <f>IFERROR(__xludf.DUMMYFUNCTION("REGEXREPLACE(
D6592,
""([一-龯々]+)\[([^\]]+)\]"",
""&lt;ruby&gt;$1&lt;rt&gt;$2&lt;/rt&gt;&lt;/ruby&gt;""
)&amp;""&lt;br&gt;&lt;div class=""""audio""""&gt;[sound:""&amp;C6592&amp;"".mp3]&lt;/div&gt;"""),"&lt;ruby&gt;帰京&lt;rt&gt;ききょう&lt;/rt&gt;&lt;/ruby&gt;&lt;br&gt;&lt;div class=""audio""&gt;[sound:ききょう.mp3]&lt;/div&gt;")</f>
        <v>&lt;ruby&gt;帰京&lt;rt&gt;ききょう&lt;/rt&gt;&lt;/ruby&gt;&lt;br&gt;&lt;div class="audio"&gt;[sound:ききょう.mp3]&lt;/div&gt;</v>
      </c>
      <c r="H6592" s="3" t="str">
        <f t="shared" si="1"/>
        <v>(n): trở về tokyo</v>
      </c>
      <c r="I6592" s="6" t="s">
        <v>35858</v>
      </c>
      <c r="J6592" s="6" t="s">
        <v>35859</v>
      </c>
      <c r="K6592" s="7">
        <f t="shared" si="2"/>
        <v>0.7264691328</v>
      </c>
    </row>
    <row r="6593">
      <c r="A6593" s="4">
        <v>6593.0</v>
      </c>
      <c r="B6593" s="5" t="s">
        <v>35860</v>
      </c>
      <c r="C6593" s="5" t="s">
        <v>35861</v>
      </c>
      <c r="D6593" s="5" t="s">
        <v>35862</v>
      </c>
      <c r="E6593" s="6" t="s">
        <v>11</v>
      </c>
      <c r="F6593" s="6" t="s">
        <v>5214</v>
      </c>
      <c r="G6593" s="3" t="str">
        <f>IFERROR(__xludf.DUMMYFUNCTION("REGEXREPLACE(
D6593,
""([一-龯々]+)\[([^\]]+)\]"",
""&lt;ruby&gt;$1&lt;rt&gt;$2&lt;/rt&gt;&lt;/ruby&gt;""
)&amp;""&lt;br&gt;&lt;div class=""""audio""""&gt;[sound:""&amp;C6593&amp;"".mp3]&lt;/div&gt;"""),"&lt;ruby&gt;月並&lt;rt&gt;つきなみ&lt;/rt&gt;&lt;/ruby&gt;&lt;br&gt;&lt;div class=""audio""&gt;[sound:つきなみ.mp3]&lt;/div&gt;")</f>
        <v>&lt;ruby&gt;月並&lt;rt&gt;つきなみ&lt;/rt&gt;&lt;/ruby&gt;&lt;br&gt;&lt;div class="audio"&gt;[sound:つきなみ.mp3]&lt;/div&gt;</v>
      </c>
      <c r="H6593" s="3" t="str">
        <f t="shared" si="1"/>
        <v>(adj): thông thường</v>
      </c>
      <c r="I6593" s="6" t="s">
        <v>35863</v>
      </c>
      <c r="J6593" s="6" t="s">
        <v>35864</v>
      </c>
      <c r="K6593" s="7">
        <f t="shared" si="2"/>
        <v>0.04844426239</v>
      </c>
    </row>
    <row r="6594">
      <c r="A6594" s="4">
        <v>6594.0</v>
      </c>
      <c r="B6594" s="5" t="s">
        <v>35865</v>
      </c>
      <c r="C6594" s="5" t="s">
        <v>35866</v>
      </c>
      <c r="D6594" s="5" t="s">
        <v>35867</v>
      </c>
      <c r="E6594" s="6" t="s">
        <v>74</v>
      </c>
      <c r="F6594" s="6" t="s">
        <v>35868</v>
      </c>
      <c r="G6594" s="3" t="str">
        <f>IFERROR(__xludf.DUMMYFUNCTION("REGEXREPLACE(
D6594,
""([一-龯々]+)\[([^\]]+)\]"",
""&lt;ruby&gt;$1&lt;rt&gt;$2&lt;/rt&gt;&lt;/ruby&gt;""
)&amp;""&lt;br&gt;&lt;div class=""""audio""""&gt;[sound:""&amp;C6594&amp;"".mp3]&lt;/div&gt;"""),"&lt;ruby&gt;当&lt;rt&gt;あ&lt;/rt&gt;&lt;/ruby&gt;て&lt;ruby&gt;字&lt;rt&gt;じ&lt;/rt&gt;&lt;/ruby&gt;&lt;br&gt;&lt;div class=""audio""&gt;[sound:あてじ.mp3]&lt;/div&gt;")</f>
        <v>&lt;ruby&gt;当&lt;rt&gt;あ&lt;/rt&gt;&lt;/ruby&gt;て&lt;ruby&gt;字&lt;rt&gt;じ&lt;/rt&gt;&lt;/ruby&gt;&lt;br&gt;&lt;div class="audio"&gt;[sound:あてじ.mp3]&lt;/div&gt;</v>
      </c>
      <c r="H6594" s="3" t="str">
        <f t="shared" si="1"/>
        <v>(n): chữ mượn âm</v>
      </c>
      <c r="I6594" s="6" t="s">
        <v>35869</v>
      </c>
      <c r="J6594" s="6" t="s">
        <v>35870</v>
      </c>
      <c r="K6594" s="7">
        <f t="shared" si="2"/>
        <v>0.575198106</v>
      </c>
    </row>
    <row r="6595">
      <c r="A6595" s="4">
        <v>6595.0</v>
      </c>
      <c r="B6595" s="5" t="s">
        <v>35871</v>
      </c>
      <c r="C6595" s="5" t="s">
        <v>35872</v>
      </c>
      <c r="D6595" s="5" t="s">
        <v>35873</v>
      </c>
      <c r="E6595" s="6" t="s">
        <v>74</v>
      </c>
      <c r="F6595" s="6" t="s">
        <v>35874</v>
      </c>
      <c r="G6595" s="3" t="str">
        <f>IFERROR(__xludf.DUMMYFUNCTION("REGEXREPLACE(
D6595,
""([一-龯々]+)\[([^\]]+)\]"",
""&lt;ruby&gt;$1&lt;rt&gt;$2&lt;/rt&gt;&lt;/ruby&gt;""
)&amp;""&lt;br&gt;&lt;div class=""""audio""""&gt;[sound:""&amp;C6595&amp;"".mp3]&lt;/div&gt;"""),"&lt;ruby&gt;映写&lt;rt&gt;えいしゃ&lt;/rt&gt;&lt;/ruby&gt;&lt;br&gt;&lt;div class=""audio""&gt;[sound:えいしゃ.mp3]&lt;/div&gt;")</f>
        <v>&lt;ruby&gt;映写&lt;rt&gt;えいしゃ&lt;/rt&gt;&lt;/ruby&gt;&lt;br&gt;&lt;div class="audio"&gt;[sound:えいしゃ.mp3]&lt;/div&gt;</v>
      </c>
      <c r="H6595" s="3" t="str">
        <f t="shared" si="1"/>
        <v>(n): chiếu phim</v>
      </c>
      <c r="I6595" s="6" t="s">
        <v>35875</v>
      </c>
      <c r="J6595" s="6" t="s">
        <v>35876</v>
      </c>
      <c r="K6595" s="7">
        <f t="shared" si="2"/>
        <v>0.6225064029</v>
      </c>
    </row>
    <row r="6596">
      <c r="A6596" s="4">
        <v>6596.0</v>
      </c>
      <c r="B6596" s="5" t="s">
        <v>35877</v>
      </c>
      <c r="C6596" s="5" t="s">
        <v>35878</v>
      </c>
      <c r="D6596" s="5" t="s">
        <v>35879</v>
      </c>
      <c r="E6596" s="6" t="s">
        <v>74</v>
      </c>
      <c r="F6596" s="6" t="s">
        <v>35880</v>
      </c>
      <c r="G6596" s="3" t="str">
        <f>IFERROR(__xludf.DUMMYFUNCTION("REGEXREPLACE(
D6596,
""([一-龯々]+)\[([^\]]+)\]"",
""&lt;ruby&gt;$1&lt;rt&gt;$2&lt;/rt&gt;&lt;/ruby&gt;""
)&amp;""&lt;br&gt;&lt;div class=""""audio""""&gt;[sound:""&amp;C6596&amp;"".mp3]&lt;/div&gt;"""),"&lt;ruby&gt;手分&lt;rt&gt;てわ&lt;/rt&gt;&lt;/ruby&gt;け&lt;br&gt;&lt;div class=""audio""&gt;[sound:てわけ.mp3]&lt;/div&gt;")</f>
        <v>&lt;ruby&gt;手分&lt;rt&gt;てわ&lt;/rt&gt;&lt;/ruby&gt;け&lt;br&gt;&lt;div class="audio"&gt;[sound:てわけ.mp3]&lt;/div&gt;</v>
      </c>
      <c r="H6596" s="3" t="str">
        <f t="shared" si="1"/>
        <v>(n): phân công</v>
      </c>
      <c r="I6596" s="6" t="s">
        <v>35881</v>
      </c>
      <c r="J6596" s="6" t="s">
        <v>35882</v>
      </c>
      <c r="K6596" s="7">
        <f t="shared" si="2"/>
        <v>0.01721967894</v>
      </c>
    </row>
    <row r="6597">
      <c r="A6597" s="4">
        <v>6597.0</v>
      </c>
      <c r="B6597" s="5" t="s">
        <v>35883</v>
      </c>
      <c r="C6597" s="5" t="s">
        <v>35884</v>
      </c>
      <c r="D6597" s="5" t="s">
        <v>35885</v>
      </c>
      <c r="E6597" s="6" t="s">
        <v>74</v>
      </c>
      <c r="F6597" s="6" t="s">
        <v>35886</v>
      </c>
      <c r="G6597" s="3" t="str">
        <f>IFERROR(__xludf.DUMMYFUNCTION("REGEXREPLACE(
D6597,
""([一-龯々]+)\[([^\]]+)\]"",
""&lt;ruby&gt;$1&lt;rt&gt;$2&lt;/rt&gt;&lt;/ruby&gt;""
)&amp;""&lt;br&gt;&lt;div class=""""audio""""&gt;[sound:""&amp;C6597&amp;"".mp3]&lt;/div&gt;"""),"&lt;ruby&gt;改悪&lt;rt&gt;かいあく&lt;/rt&gt;&lt;/ruby&gt;&lt;br&gt;&lt;div class=""audio""&gt;[sound:かいあく.mp3]&lt;/div&gt;")</f>
        <v>&lt;ruby&gt;改悪&lt;rt&gt;かいあく&lt;/rt&gt;&lt;/ruby&gt;&lt;br&gt;&lt;div class="audio"&gt;[sound:かいあく.mp3]&lt;/div&gt;</v>
      </c>
      <c r="H6597" s="3" t="str">
        <f t="shared" si="1"/>
        <v>(n): làm tệ đi</v>
      </c>
      <c r="I6597" s="6" t="s">
        <v>35887</v>
      </c>
      <c r="J6597" s="6" t="s">
        <v>35888</v>
      </c>
      <c r="K6597" s="7">
        <f t="shared" si="2"/>
        <v>0.455436924</v>
      </c>
    </row>
    <row r="6598">
      <c r="A6598" s="4">
        <v>6598.0</v>
      </c>
      <c r="B6598" s="5" t="s">
        <v>35889</v>
      </c>
      <c r="C6598" s="5" t="s">
        <v>35890</v>
      </c>
      <c r="D6598" s="5" t="s">
        <v>35891</v>
      </c>
      <c r="E6598" s="6" t="s">
        <v>74</v>
      </c>
      <c r="F6598" s="6" t="s">
        <v>35892</v>
      </c>
      <c r="G6598" s="3" t="str">
        <f>IFERROR(__xludf.DUMMYFUNCTION("REGEXREPLACE(
D6598,
""([一-龯々]+)\[([^\]]+)\]"",
""&lt;ruby&gt;$1&lt;rt&gt;$2&lt;/rt&gt;&lt;/ruby&gt;""
)&amp;""&lt;br&gt;&lt;div class=""""audio""""&gt;[sound:""&amp;C6598&amp;"".mp3]&lt;/div&gt;"""),"&lt;ruby&gt;家来&lt;rt&gt;けらい&lt;/rt&gt;&lt;/ruby&gt;&lt;br&gt;&lt;div class=""audio""&gt;[sound:けらい.mp3]&lt;/div&gt;")</f>
        <v>&lt;ruby&gt;家来&lt;rt&gt;けらい&lt;/rt&gt;&lt;/ruby&gt;&lt;br&gt;&lt;div class="audio"&gt;[sound:けらい.mp3]&lt;/div&gt;</v>
      </c>
      <c r="H6598" s="3" t="str">
        <f t="shared" si="1"/>
        <v>(n): gia thần</v>
      </c>
      <c r="I6598" s="6" t="s">
        <v>35893</v>
      </c>
      <c r="J6598" s="6" t="s">
        <v>35894</v>
      </c>
      <c r="K6598" s="7">
        <f t="shared" si="2"/>
        <v>0.6830144016</v>
      </c>
    </row>
    <row r="6599">
      <c r="A6599" s="4">
        <v>6599.0</v>
      </c>
      <c r="B6599" s="5" t="s">
        <v>35895</v>
      </c>
      <c r="C6599" s="5" t="s">
        <v>35896</v>
      </c>
      <c r="D6599" s="5" t="s">
        <v>35897</v>
      </c>
      <c r="E6599" s="6" t="s">
        <v>74</v>
      </c>
      <c r="F6599" s="6" t="s">
        <v>32197</v>
      </c>
      <c r="G6599" s="3" t="str">
        <f>IFERROR(__xludf.DUMMYFUNCTION("REGEXREPLACE(
D6599,
""([一-龯々]+)\[([^\]]+)\]"",
""&lt;ruby&gt;$1&lt;rt&gt;$2&lt;/rt&gt;&lt;/ruby&gt;""
)&amp;""&lt;br&gt;&lt;div class=""""audio""""&gt;[sound:""&amp;C6599&amp;"".mp3]&lt;/div&gt;"""),"&lt;ruby&gt;山腹&lt;rt&gt;さんぷく&lt;/rt&gt;&lt;/ruby&gt;&lt;br&gt;&lt;div class=""audio""&gt;[sound:さんぷく.mp3]&lt;/div&gt;")</f>
        <v>&lt;ruby&gt;山腹&lt;rt&gt;さんぷく&lt;/rt&gt;&lt;/ruby&gt;&lt;br&gt;&lt;div class="audio"&gt;[sound:さんぷく.mp3]&lt;/div&gt;</v>
      </c>
      <c r="H6599" s="3" t="str">
        <f t="shared" si="1"/>
        <v>(n): sườn núi</v>
      </c>
      <c r="I6599" s="6" t="s">
        <v>35898</v>
      </c>
      <c r="J6599" s="6" t="s">
        <v>35899</v>
      </c>
      <c r="K6599" s="7">
        <f t="shared" si="2"/>
        <v>0.5229880364</v>
      </c>
    </row>
    <row r="6600">
      <c r="A6600" s="4">
        <v>6600.0</v>
      </c>
      <c r="B6600" s="5" t="s">
        <v>35900</v>
      </c>
      <c r="C6600" s="5" t="s">
        <v>35901</v>
      </c>
      <c r="D6600" s="5" t="s">
        <v>35902</v>
      </c>
      <c r="E6600" s="6" t="s">
        <v>24</v>
      </c>
      <c r="F6600" s="6" t="s">
        <v>25837</v>
      </c>
      <c r="G6600" s="3" t="str">
        <f>IFERROR(__xludf.DUMMYFUNCTION("REGEXREPLACE(
D6600,
""([一-龯々]+)\[([^\]]+)\]"",
""&lt;ruby&gt;$1&lt;rt&gt;$2&lt;/rt&gt;&lt;/ruby&gt;""
)&amp;""&lt;br&gt;&lt;div class=""""audio""""&gt;[sound:""&amp;C6600&amp;"".mp3]&lt;/div&gt;"""),"&lt;ruby&gt;惚&lt;rt&gt;ぼ&lt;/rt&gt;&lt;/ruby&gt;ける&lt;br&gt;&lt;div class=""audio""&gt;[sound:ぼける.mp3]&lt;/div&gt;")</f>
        <v>&lt;ruby&gt;惚&lt;rt&gt;ぼ&lt;/rt&gt;&lt;/ruby&gt;ける&lt;br&gt;&lt;div class="audio"&gt;[sound:ぼける.mp3]&lt;/div&gt;</v>
      </c>
      <c r="H6600" s="3" t="str">
        <f t="shared" si="1"/>
        <v>(v): ngẩn ngơ</v>
      </c>
      <c r="I6600" s="6" t="s">
        <v>35903</v>
      </c>
      <c r="J6600" s="6" t="s">
        <v>35904</v>
      </c>
      <c r="K6600" s="7">
        <f t="shared" si="2"/>
        <v>0.66925941</v>
      </c>
    </row>
    <row r="6601">
      <c r="A6601" s="4">
        <v>6601.0</v>
      </c>
      <c r="B6601" s="5" t="s">
        <v>35905</v>
      </c>
      <c r="C6601" s="5" t="s">
        <v>35906</v>
      </c>
      <c r="D6601" s="5" t="s">
        <v>35907</v>
      </c>
      <c r="E6601" s="6" t="s">
        <v>74</v>
      </c>
      <c r="F6601" s="6" t="s">
        <v>35908</v>
      </c>
      <c r="G6601" s="3" t="str">
        <f>IFERROR(__xludf.DUMMYFUNCTION("REGEXREPLACE(
D6601,
""([一-龯々]+)\[([^\]]+)\]"",
""&lt;ruby&gt;$1&lt;rt&gt;$2&lt;/rt&gt;&lt;/ruby&gt;""
)&amp;""&lt;br&gt;&lt;div class=""""audio""""&gt;[sound:""&amp;C6601&amp;"".mp3]&lt;/div&gt;"""),"&lt;ruby&gt;手筈&lt;rt&gt;てはず&lt;/rt&gt;&lt;/ruby&gt;&lt;br&gt;&lt;div class=""audio""&gt;[sound:てはず.mp3]&lt;/div&gt;")</f>
        <v>&lt;ruby&gt;手筈&lt;rt&gt;てはず&lt;/rt&gt;&lt;/ruby&gt;&lt;br&gt;&lt;div class="audio"&gt;[sound:てはず.mp3]&lt;/div&gt;</v>
      </c>
      <c r="H6601" s="3" t="str">
        <f t="shared" si="1"/>
        <v>(n): các bước</v>
      </c>
      <c r="I6601" s="6" t="s">
        <v>35909</v>
      </c>
      <c r="J6601" s="6" t="s">
        <v>35910</v>
      </c>
      <c r="K6601" s="7">
        <f t="shared" si="2"/>
        <v>0.2010935266</v>
      </c>
    </row>
    <row r="6602">
      <c r="A6602" s="4">
        <v>6602.0</v>
      </c>
      <c r="B6602" s="5" t="s">
        <v>35911</v>
      </c>
      <c r="C6602" s="5" t="s">
        <v>1243</v>
      </c>
      <c r="D6602" s="5" t="s">
        <v>35912</v>
      </c>
      <c r="E6602" s="6" t="s">
        <v>74</v>
      </c>
      <c r="F6602" s="6" t="s">
        <v>28169</v>
      </c>
      <c r="G6602" s="3" t="str">
        <f>IFERROR(__xludf.DUMMYFUNCTION("REGEXREPLACE(
D6602,
""([一-龯々]+)\[([^\]]+)\]"",
""&lt;ruby&gt;$1&lt;rt&gt;$2&lt;/rt&gt;&lt;/ruby&gt;""
)&amp;""&lt;br&gt;&lt;div class=""""audio""""&gt;[sound:""&amp;C6602&amp;"".mp3]&lt;/div&gt;"""),"&lt;ruby&gt;拝啓&lt;rt&gt;はいけい&lt;/rt&gt;&lt;/ruby&gt;&lt;br&gt;&lt;div class=""audio""&gt;[sound:はいけい.mp3]&lt;/div&gt;")</f>
        <v>&lt;ruby&gt;拝啓&lt;rt&gt;はいけい&lt;/rt&gt;&lt;/ruby&gt;&lt;br&gt;&lt;div class="audio"&gt;[sound:はいけい.mp3]&lt;/div&gt;</v>
      </c>
      <c r="H6602" s="3" t="str">
        <f t="shared" si="1"/>
        <v>(n): kính gửi</v>
      </c>
      <c r="I6602" s="6" t="s">
        <v>35913</v>
      </c>
      <c r="J6602" s="6" t="s">
        <v>35914</v>
      </c>
      <c r="K6602" s="7">
        <f t="shared" si="2"/>
        <v>0.795477718</v>
      </c>
    </row>
    <row r="6603">
      <c r="A6603" s="4">
        <v>6603.0</v>
      </c>
      <c r="B6603" s="5" t="s">
        <v>35915</v>
      </c>
      <c r="C6603" s="5" t="s">
        <v>35916</v>
      </c>
      <c r="D6603" s="5" t="s">
        <v>35917</v>
      </c>
      <c r="E6603" s="6" t="s">
        <v>74</v>
      </c>
      <c r="F6603" s="6" t="s">
        <v>35918</v>
      </c>
      <c r="G6603" s="3" t="str">
        <f>IFERROR(__xludf.DUMMYFUNCTION("REGEXREPLACE(
D6603,
""([一-龯々]+)\[([^\]]+)\]"",
""&lt;ruby&gt;$1&lt;rt&gt;$2&lt;/rt&gt;&lt;/ruby&gt;""
)&amp;""&lt;br&gt;&lt;div class=""""audio""""&gt;[sound:""&amp;C6603&amp;"".mp3]&lt;/div&gt;"""),"&lt;ruby&gt;文語&lt;rt&gt;ぶんご&lt;/rt&gt;&lt;/ruby&gt;&lt;br&gt;&lt;div class=""audio""&gt;[sound:ぶんご.mp3]&lt;/div&gt;")</f>
        <v>&lt;ruby&gt;文語&lt;rt&gt;ぶんご&lt;/rt&gt;&lt;/ruby&gt;&lt;br&gt;&lt;div class="audio"&gt;[sound:ぶんご.mp3]&lt;/div&gt;</v>
      </c>
      <c r="H6603" s="3" t="str">
        <f t="shared" si="1"/>
        <v>(n): văn viết</v>
      </c>
      <c r="I6603" s="6" t="s">
        <v>35919</v>
      </c>
      <c r="J6603" s="6" t="s">
        <v>35920</v>
      </c>
      <c r="K6603" s="7">
        <f t="shared" si="2"/>
        <v>0.5465753377</v>
      </c>
    </row>
    <row r="6604">
      <c r="A6604" s="4">
        <v>6604.0</v>
      </c>
      <c r="B6604" s="5" t="s">
        <v>35921</v>
      </c>
      <c r="C6604" s="5" t="s">
        <v>35922</v>
      </c>
      <c r="D6604" s="5" t="s">
        <v>35923</v>
      </c>
      <c r="E6604" s="6" t="s">
        <v>74</v>
      </c>
      <c r="F6604" s="6" t="s">
        <v>35924</v>
      </c>
      <c r="G6604" s="3" t="str">
        <f>IFERROR(__xludf.DUMMYFUNCTION("REGEXREPLACE(
D6604,
""([一-龯々]+)\[([^\]]+)\]"",
""&lt;ruby&gt;$1&lt;rt&gt;$2&lt;/rt&gt;&lt;/ruby&gt;""
)&amp;""&lt;br&gt;&lt;div class=""""audio""""&gt;[sound:""&amp;C6604&amp;"".mp3]&lt;/div&gt;"""),"&lt;ruby&gt;憤慨&lt;rt&gt;ふんがい&lt;/rt&gt;&lt;/ruby&gt;&lt;br&gt;&lt;div class=""audio""&gt;[sound:ふんがい.mp3]&lt;/div&gt;")</f>
        <v>&lt;ruby&gt;憤慨&lt;rt&gt;ふんがい&lt;/rt&gt;&lt;/ruby&gt;&lt;br&gt;&lt;div class="audio"&gt;[sound:ふんがい.mp3]&lt;/div&gt;</v>
      </c>
      <c r="H6604" s="3" t="str">
        <f t="shared" si="1"/>
        <v>(n): phẫn nộ</v>
      </c>
      <c r="I6604" s="6" t="s">
        <v>35925</v>
      </c>
      <c r="J6604" s="6" t="s">
        <v>35926</v>
      </c>
      <c r="K6604" s="7">
        <f t="shared" si="2"/>
        <v>0.2948972093</v>
      </c>
    </row>
    <row r="6605">
      <c r="A6605" s="4">
        <v>6605.0</v>
      </c>
      <c r="B6605" s="5" t="s">
        <v>35927</v>
      </c>
      <c r="C6605" s="5" t="s">
        <v>35928</v>
      </c>
      <c r="D6605" s="5" t="s">
        <v>35929</v>
      </c>
      <c r="E6605" s="6" t="s">
        <v>74</v>
      </c>
      <c r="F6605" s="6" t="s">
        <v>35930</v>
      </c>
      <c r="G6605" s="3" t="str">
        <f>IFERROR(__xludf.DUMMYFUNCTION("REGEXREPLACE(
D6605,
""([一-龯々]+)\[([^\]]+)\]"",
""&lt;ruby&gt;$1&lt;rt&gt;$2&lt;/rt&gt;&lt;/ruby&gt;""
)&amp;""&lt;br&gt;&lt;div class=""""audio""""&gt;[sound:""&amp;C6605&amp;"".mp3]&lt;/div&gt;"""),"&lt;ruby&gt;持&lt;rt&gt;も&lt;/rt&gt;&lt;/ruby&gt;ち&lt;ruby&gt;切&lt;rt&gt;き&lt;/rt&gt;&lt;/ruby&gt;り&lt;br&gt;&lt;div class=""audio""&gt;[sound:もちきり.mp3]&lt;/div&gt;")</f>
        <v>&lt;ruby&gt;持&lt;rt&gt;も&lt;/rt&gt;&lt;/ruby&gt;ち&lt;ruby&gt;切&lt;rt&gt;き&lt;/rt&gt;&lt;/ruby&gt;り&lt;br&gt;&lt;div class="audio"&gt;[sound:もちきり.mp3]&lt;/div&gt;</v>
      </c>
      <c r="H6605" s="3" t="str">
        <f t="shared" si="1"/>
        <v>(n): bàn tán</v>
      </c>
      <c r="I6605" s="6" t="s">
        <v>35931</v>
      </c>
      <c r="J6605" s="6" t="s">
        <v>35932</v>
      </c>
      <c r="K6605" s="7">
        <f t="shared" si="2"/>
        <v>0.2159789004</v>
      </c>
    </row>
    <row r="6606">
      <c r="A6606" s="4">
        <v>6606.0</v>
      </c>
      <c r="B6606" s="5" t="s">
        <v>35933</v>
      </c>
      <c r="C6606" s="5" t="s">
        <v>35934</v>
      </c>
      <c r="D6606" s="5" t="s">
        <v>35935</v>
      </c>
      <c r="E6606" s="6" t="s">
        <v>74</v>
      </c>
      <c r="F6606" s="6" t="s">
        <v>35936</v>
      </c>
      <c r="G6606" s="3" t="str">
        <f>IFERROR(__xludf.DUMMYFUNCTION("REGEXREPLACE(
D6606,
""([一-龯々]+)\[([^\]]+)\]"",
""&lt;ruby&gt;$1&lt;rt&gt;$2&lt;/rt&gt;&lt;/ruby&gt;""
)&amp;""&lt;br&gt;&lt;div class=""""audio""""&gt;[sound:""&amp;C6606&amp;"".mp3]&lt;/div&gt;"""),"&lt;ruby&gt;月謝&lt;rt&gt;げっしゃ&lt;/rt&gt;&lt;/ruby&gt;&lt;br&gt;&lt;div class=""audio""&gt;[sound:げっしゃ.mp3]&lt;/div&gt;")</f>
        <v>&lt;ruby&gt;月謝&lt;rt&gt;げっしゃ&lt;/rt&gt;&lt;/ruby&gt;&lt;br&gt;&lt;div class="audio"&gt;[sound:げっしゃ.mp3]&lt;/div&gt;</v>
      </c>
      <c r="H6606" s="3" t="str">
        <f t="shared" si="1"/>
        <v>(n): học phí</v>
      </c>
      <c r="I6606" s="6" t="s">
        <v>35937</v>
      </c>
      <c r="J6606" s="6" t="s">
        <v>35938</v>
      </c>
      <c r="K6606" s="7">
        <f t="shared" si="2"/>
        <v>0.3364440586</v>
      </c>
    </row>
    <row r="6607">
      <c r="A6607" s="4">
        <v>6607.0</v>
      </c>
      <c r="B6607" s="5" t="s">
        <v>35939</v>
      </c>
      <c r="C6607" s="5" t="s">
        <v>35940</v>
      </c>
      <c r="D6607" s="5" t="s">
        <v>35941</v>
      </c>
      <c r="E6607" s="6" t="s">
        <v>24</v>
      </c>
      <c r="F6607" s="6" t="s">
        <v>22361</v>
      </c>
      <c r="G6607" s="3" t="str">
        <f>IFERROR(__xludf.DUMMYFUNCTION("REGEXREPLACE(
D6607,
""([一-龯々]+)\[([^\]]+)\]"",
""&lt;ruby&gt;$1&lt;rt&gt;$2&lt;/rt&gt;&lt;/ruby&gt;""
)&amp;""&lt;br&gt;&lt;div class=""""audio""""&gt;[sound:""&amp;C6607&amp;"".mp3]&lt;/div&gt;"""),"&lt;ruby&gt;抜&lt;rt&gt;ぬ&lt;/rt&gt;&lt;/ruby&gt;かす&lt;br&gt;&lt;div class=""audio""&gt;[sound:ぬかす.mp3]&lt;/div&gt;")</f>
        <v>&lt;ruby&gt;抜&lt;rt&gt;ぬ&lt;/rt&gt;&lt;/ruby&gt;かす&lt;br&gt;&lt;div class="audio"&gt;[sound:ぬかす.mp3]&lt;/div&gt;</v>
      </c>
      <c r="H6607" s="3" t="str">
        <f t="shared" si="1"/>
        <v>(v): bỏ sót</v>
      </c>
      <c r="I6607" s="6" t="s">
        <v>35942</v>
      </c>
      <c r="J6607" s="6" t="s">
        <v>35943</v>
      </c>
      <c r="K6607" s="7">
        <f t="shared" si="2"/>
        <v>0.3256823732</v>
      </c>
    </row>
    <row r="6608">
      <c r="A6608" s="4">
        <v>6608.0</v>
      </c>
      <c r="B6608" s="5" t="s">
        <v>35944</v>
      </c>
      <c r="C6608" s="5" t="s">
        <v>35945</v>
      </c>
      <c r="D6608" s="5" t="s">
        <v>35946</v>
      </c>
      <c r="E6608" s="6" t="s">
        <v>11</v>
      </c>
      <c r="F6608" s="6" t="s">
        <v>533</v>
      </c>
      <c r="G6608" s="3" t="str">
        <f>IFERROR(__xludf.DUMMYFUNCTION("REGEXREPLACE(
D6608,
""([一-龯々]+)\[([^\]]+)\]"",
""&lt;ruby&gt;$1&lt;rt&gt;$2&lt;/rt&gt;&lt;/ruby&gt;""
)&amp;""&lt;br&gt;&lt;div class=""""audio""""&gt;[sound:""&amp;C6608&amp;"".mp3]&lt;/div&gt;"""),"&lt;ruby&gt;幾多&lt;rt&gt;いくた&lt;/rt&gt;&lt;/ruby&gt;&lt;br&gt;&lt;div class=""audio""&gt;[sound:いくた.mp3]&lt;/div&gt;")</f>
        <v>&lt;ruby&gt;幾多&lt;rt&gt;いくた&lt;/rt&gt;&lt;/ruby&gt;&lt;br&gt;&lt;div class="audio"&gt;[sound:いくた.mp3]&lt;/div&gt;</v>
      </c>
      <c r="H6608" s="3" t="str">
        <f t="shared" si="1"/>
        <v>(adj): nhiều</v>
      </c>
      <c r="I6608" s="6" t="s">
        <v>35947</v>
      </c>
      <c r="J6608" s="6" t="s">
        <v>35948</v>
      </c>
      <c r="K6608" s="7">
        <f t="shared" si="2"/>
        <v>0.7610194316</v>
      </c>
    </row>
    <row r="6609">
      <c r="A6609" s="4">
        <v>6609.0</v>
      </c>
      <c r="B6609" s="5" t="s">
        <v>35949</v>
      </c>
      <c r="C6609" s="5" t="s">
        <v>35950</v>
      </c>
      <c r="D6609" s="5" t="s">
        <v>35951</v>
      </c>
      <c r="E6609" s="6" t="s">
        <v>24</v>
      </c>
      <c r="F6609" s="6" t="s">
        <v>35952</v>
      </c>
      <c r="G6609" s="3" t="str">
        <f>IFERROR(__xludf.DUMMYFUNCTION("REGEXREPLACE(
D6609,
""([一-龯々]+)\[([^\]]+)\]"",
""&lt;ruby&gt;$1&lt;rt&gt;$2&lt;/rt&gt;&lt;/ruby&gt;""
)&amp;""&lt;br&gt;&lt;div class=""""audio""""&gt;[sound:""&amp;C6609&amp;"".mp3]&lt;/div&gt;"""),"&lt;ruby&gt;捩&lt;rt&gt;ねじ&lt;/rt&gt;&lt;/ruby&gt;れる&lt;br&gt;&lt;div class=""audio""&gt;[sound:ねじれる.mp3]&lt;/div&gt;")</f>
        <v>&lt;ruby&gt;捩&lt;rt&gt;ねじ&lt;/rt&gt;&lt;/ruby&gt;れる&lt;br&gt;&lt;div class="audio"&gt;[sound:ねじれる.mp3]&lt;/div&gt;</v>
      </c>
      <c r="H6609" s="3" t="str">
        <f t="shared" si="1"/>
        <v>(v): xoắn</v>
      </c>
      <c r="I6609" s="6" t="s">
        <v>35953</v>
      </c>
      <c r="J6609" s="6" t="s">
        <v>35954</v>
      </c>
      <c r="K6609" s="7">
        <f t="shared" si="2"/>
        <v>0.8463923961</v>
      </c>
    </row>
    <row r="6610">
      <c r="A6610" s="4">
        <v>6610.0</v>
      </c>
      <c r="B6610" s="5" t="s">
        <v>35955</v>
      </c>
      <c r="C6610" s="5" t="s">
        <v>35956</v>
      </c>
      <c r="D6610" s="5" t="s">
        <v>35957</v>
      </c>
      <c r="E6610" s="6" t="s">
        <v>74</v>
      </c>
      <c r="F6610" s="6" t="s">
        <v>35958</v>
      </c>
      <c r="G6610" s="3" t="str">
        <f>IFERROR(__xludf.DUMMYFUNCTION("REGEXREPLACE(
D6610,
""([一-龯々]+)\[([^\]]+)\]"",
""&lt;ruby&gt;$1&lt;rt&gt;$2&lt;/rt&gt;&lt;/ruby&gt;""
)&amp;""&lt;br&gt;&lt;div class=""""audio""""&gt;[sound:""&amp;C6610&amp;"".mp3]&lt;/div&gt;"""),"&lt;ruby&gt;暗算&lt;rt&gt;あんざん&lt;/rt&gt;&lt;/ruby&gt;&lt;br&gt;&lt;div class=""audio""&gt;[sound:あんざん.mp3]&lt;/div&gt;")</f>
        <v>&lt;ruby&gt;暗算&lt;rt&gt;あんざん&lt;/rt&gt;&lt;/ruby&gt;&lt;br&gt;&lt;div class="audio"&gt;[sound:あんざん.mp3]&lt;/div&gt;</v>
      </c>
      <c r="H6610" s="3" t="str">
        <f t="shared" si="1"/>
        <v>(n): nhẩm</v>
      </c>
      <c r="I6610" s="6" t="s">
        <v>35959</v>
      </c>
      <c r="J6610" s="6" t="s">
        <v>35960</v>
      </c>
      <c r="K6610" s="7">
        <f t="shared" si="2"/>
        <v>0.1761535936</v>
      </c>
    </row>
    <row r="6611">
      <c r="A6611" s="4">
        <v>6611.0</v>
      </c>
      <c r="B6611" s="5" t="s">
        <v>35961</v>
      </c>
      <c r="C6611" s="5" t="s">
        <v>35962</v>
      </c>
      <c r="D6611" s="5" t="s">
        <v>35963</v>
      </c>
      <c r="E6611" s="6" t="s">
        <v>74</v>
      </c>
      <c r="F6611" s="6" t="s">
        <v>35964</v>
      </c>
      <c r="G6611" s="3" t="str">
        <f>IFERROR(__xludf.DUMMYFUNCTION("REGEXREPLACE(
D6611,
""([一-龯々]+)\[([^\]]+)\]"",
""&lt;ruby&gt;$1&lt;rt&gt;$2&lt;/rt&gt;&lt;/ruby&gt;""
)&amp;""&lt;br&gt;&lt;div class=""""audio""""&gt;[sound:""&amp;C6611&amp;"".mp3]&lt;/div&gt;"""),"&lt;ruby&gt;方言&lt;rt&gt;ほうげん&lt;/rt&gt;&lt;/ruby&gt;&lt;br&gt;&lt;div class=""audio""&gt;[sound:ほうげん.mp3]&lt;/div&gt;")</f>
        <v>&lt;ruby&gt;方言&lt;rt&gt;ほうげん&lt;/rt&gt;&lt;/ruby&gt;&lt;br&gt;&lt;div class="audio"&gt;[sound:ほうげん.mp3]&lt;/div&gt;</v>
      </c>
      <c r="H6611" s="3" t="str">
        <f t="shared" si="1"/>
        <v>(n): phương ngữ</v>
      </c>
      <c r="I6611" s="6" t="s">
        <v>35965</v>
      </c>
      <c r="J6611" s="6" t="s">
        <v>35966</v>
      </c>
      <c r="K6611" s="7">
        <f t="shared" si="2"/>
        <v>0.04187491084</v>
      </c>
    </row>
    <row r="6612">
      <c r="A6612" s="4">
        <v>6612.0</v>
      </c>
      <c r="B6612" s="5" t="s">
        <v>35967</v>
      </c>
      <c r="C6612" s="5" t="s">
        <v>35968</v>
      </c>
      <c r="D6612" s="5" t="s">
        <v>35969</v>
      </c>
      <c r="E6612" s="6" t="s">
        <v>74</v>
      </c>
      <c r="F6612" s="6" t="s">
        <v>35970</v>
      </c>
      <c r="G6612" s="3" t="str">
        <f>IFERROR(__xludf.DUMMYFUNCTION("REGEXREPLACE(
D6612,
""([一-龯々]+)\[([^\]]+)\]"",
""&lt;ruby&gt;$1&lt;rt&gt;$2&lt;/rt&gt;&lt;/ruby&gt;""
)&amp;""&lt;br&gt;&lt;div class=""""audio""""&gt;[sound:""&amp;C6612&amp;"".mp3]&lt;/div&gt;"""),"&lt;ruby&gt;毎度&lt;rt&gt;まいど&lt;/rt&gt;&lt;/ruby&gt;&lt;br&gt;&lt;div class=""audio""&gt;[sound:まいど.mp3]&lt;/div&gt;")</f>
        <v>&lt;ruby&gt;毎度&lt;rt&gt;まいど&lt;/rt&gt;&lt;/ruby&gt;&lt;br&gt;&lt;div class="audio"&gt;[sound:まいど.mp3]&lt;/div&gt;</v>
      </c>
      <c r="H6612" s="3" t="str">
        <f t="shared" si="1"/>
        <v>(n): mỗi lần</v>
      </c>
      <c r="I6612" s="6" t="s">
        <v>35971</v>
      </c>
      <c r="J6612" s="6" t="s">
        <v>35972</v>
      </c>
      <c r="K6612" s="7">
        <f t="shared" si="2"/>
        <v>0.6561775359</v>
      </c>
    </row>
    <row r="6613">
      <c r="A6613" s="4">
        <v>6613.0</v>
      </c>
      <c r="B6613" s="5" t="s">
        <v>35973</v>
      </c>
      <c r="C6613" s="5" t="s">
        <v>27127</v>
      </c>
      <c r="D6613" s="5" t="s">
        <v>35974</v>
      </c>
      <c r="E6613" s="6" t="s">
        <v>74</v>
      </c>
      <c r="F6613" s="6" t="s">
        <v>35975</v>
      </c>
      <c r="G6613" s="3" t="str">
        <f>IFERROR(__xludf.DUMMYFUNCTION("REGEXREPLACE(
D6613,
""([一-龯々]+)\[([^\]]+)\]"",
""&lt;ruby&gt;$1&lt;rt&gt;$2&lt;/rt&gt;&lt;/ruby&gt;""
)&amp;""&lt;br&gt;&lt;div class=""""audio""""&gt;[sound:""&amp;C6613&amp;"".mp3]&lt;/div&gt;"""),"&lt;ruby&gt;有機&lt;rt&gt;ゆうき&lt;/rt&gt;&lt;/ruby&gt;&lt;br&gt;&lt;div class=""audio""&gt;[sound:ゆうき.mp3]&lt;/div&gt;")</f>
        <v>&lt;ruby&gt;有機&lt;rt&gt;ゆうき&lt;/rt&gt;&lt;/ruby&gt;&lt;br&gt;&lt;div class="audio"&gt;[sound:ゆうき.mp3]&lt;/div&gt;</v>
      </c>
      <c r="H6613" s="3" t="str">
        <f t="shared" si="1"/>
        <v>(n): hữu cơ</v>
      </c>
      <c r="I6613" s="6" t="s">
        <v>35976</v>
      </c>
      <c r="J6613" s="6" t="s">
        <v>35977</v>
      </c>
      <c r="K6613" s="7">
        <f t="shared" si="2"/>
        <v>0.08047196898</v>
      </c>
    </row>
    <row r="6614">
      <c r="A6614" s="4">
        <v>6614.0</v>
      </c>
      <c r="B6614" s="5" t="s">
        <v>35978</v>
      </c>
      <c r="C6614" s="5" t="s">
        <v>3072</v>
      </c>
      <c r="D6614" s="5" t="s">
        <v>35979</v>
      </c>
      <c r="E6614" s="6" t="s">
        <v>74</v>
      </c>
      <c r="F6614" s="6" t="s">
        <v>35980</v>
      </c>
      <c r="G6614" s="3" t="str">
        <f>IFERROR(__xludf.DUMMYFUNCTION("REGEXREPLACE(
D6614,
""([一-龯々]+)\[([^\]]+)\]"",
""&lt;ruby&gt;$1&lt;rt&gt;$2&lt;/rt&gt;&lt;/ruby&gt;""
)&amp;""&lt;br&gt;&lt;div class=""""audio""""&gt;[sound:""&amp;C6614&amp;"".mp3]&lt;/div&gt;"""),"&lt;ruby&gt;歓声&lt;rt&gt;かんせい&lt;/rt&gt;&lt;/ruby&gt;&lt;br&gt;&lt;div class=""audio""&gt;[sound:かんせい.mp3]&lt;/div&gt;")</f>
        <v>&lt;ruby&gt;歓声&lt;rt&gt;かんせい&lt;/rt&gt;&lt;/ruby&gt;&lt;br&gt;&lt;div class="audio"&gt;[sound:かんせい.mp3]&lt;/div&gt;</v>
      </c>
      <c r="H6614" s="3" t="str">
        <f t="shared" si="1"/>
        <v>(n): tiếng reo hò</v>
      </c>
      <c r="I6614" s="6" t="s">
        <v>35981</v>
      </c>
      <c r="J6614" s="6" t="s">
        <v>35982</v>
      </c>
      <c r="K6614" s="7">
        <f t="shared" si="2"/>
        <v>0.1357083984</v>
      </c>
    </row>
    <row r="6615">
      <c r="A6615" s="4">
        <v>6615.0</v>
      </c>
      <c r="B6615" s="5" t="s">
        <v>35983</v>
      </c>
      <c r="C6615" s="5" t="s">
        <v>35984</v>
      </c>
      <c r="D6615" s="5" t="s">
        <v>35985</v>
      </c>
      <c r="E6615" s="6" t="s">
        <v>24</v>
      </c>
      <c r="F6615" s="6" t="s">
        <v>35986</v>
      </c>
      <c r="G6615" s="3" t="str">
        <f>IFERROR(__xludf.DUMMYFUNCTION("REGEXREPLACE(
D6615,
""([一-龯々]+)\[([^\]]+)\]"",
""&lt;ruby&gt;$1&lt;rt&gt;$2&lt;/rt&gt;&lt;/ruby&gt;""
)&amp;""&lt;br&gt;&lt;div class=""""audio""""&gt;[sound:""&amp;C6615&amp;"".mp3]&lt;/div&gt;"""),"&lt;ruby&gt;撫&lt;rt&gt;な&lt;/rt&gt;&lt;/ruby&gt;でる&lt;br&gt;&lt;div class=""audio""&gt;[sound:なでる.mp3]&lt;/div&gt;")</f>
        <v>&lt;ruby&gt;撫&lt;rt&gt;な&lt;/rt&gt;&lt;/ruby&gt;でる&lt;br&gt;&lt;div class="audio"&gt;[sound:なでる.mp3]&lt;/div&gt;</v>
      </c>
      <c r="H6615" s="3" t="str">
        <f t="shared" si="1"/>
        <v>(v): xoa</v>
      </c>
      <c r="I6615" s="6" t="s">
        <v>35987</v>
      </c>
      <c r="J6615" s="6" t="s">
        <v>35988</v>
      </c>
      <c r="K6615" s="7">
        <f t="shared" si="2"/>
        <v>0.2969428632</v>
      </c>
    </row>
    <row r="6616">
      <c r="A6616" s="4">
        <v>6616.0</v>
      </c>
      <c r="B6616" s="5" t="s">
        <v>35989</v>
      </c>
      <c r="C6616" s="5" t="s">
        <v>35990</v>
      </c>
      <c r="D6616" s="5" t="s">
        <v>35991</v>
      </c>
      <c r="E6616" s="6" t="s">
        <v>74</v>
      </c>
      <c r="F6616" s="6" t="s">
        <v>17249</v>
      </c>
      <c r="G6616" s="3" t="str">
        <f>IFERROR(__xludf.DUMMYFUNCTION("REGEXREPLACE(
D6616,
""([一-龯々]+)\[([^\]]+)\]"",
""&lt;ruby&gt;$1&lt;rt&gt;$2&lt;/rt&gt;&lt;/ruby&gt;""
)&amp;""&lt;br&gt;&lt;div class=""""audio""""&gt;[sound:""&amp;C6616&amp;"".mp3]&lt;/div&gt;"""),"さ&lt;ruby&gt;来年&lt;rt&gt;らいねん&lt;/rt&gt;&lt;/ruby&gt;&lt;br&gt;&lt;div class=""audio""&gt;[sound:さらいねん.mp3]&lt;/div&gt;")</f>
        <v>さ&lt;ruby&gt;来年&lt;rt&gt;らいねん&lt;/rt&gt;&lt;/ruby&gt;&lt;br&gt;&lt;div class="audio"&gt;[sound:さらいねん.mp3]&lt;/div&gt;</v>
      </c>
      <c r="H6616" s="3" t="str">
        <f t="shared" si="1"/>
        <v>(n): năm kia</v>
      </c>
      <c r="I6616" s="6" t="s">
        <v>35992</v>
      </c>
      <c r="J6616" s="6" t="s">
        <v>35993</v>
      </c>
      <c r="K6616" s="7">
        <f t="shared" si="2"/>
        <v>0.6361443014</v>
      </c>
    </row>
    <row r="6617">
      <c r="A6617" s="4">
        <v>6617.0</v>
      </c>
      <c r="B6617" s="5" t="s">
        <v>35994</v>
      </c>
      <c r="C6617" s="5" t="s">
        <v>35995</v>
      </c>
      <c r="D6617" s="5" t="s">
        <v>35996</v>
      </c>
      <c r="E6617" s="6" t="s">
        <v>74</v>
      </c>
      <c r="F6617" s="6" t="s">
        <v>7358</v>
      </c>
      <c r="G6617" s="3" t="str">
        <f>IFERROR(__xludf.DUMMYFUNCTION("REGEXREPLACE(
D6617,
""([一-龯々]+)\[([^\]]+)\]"",
""&lt;ruby&gt;$1&lt;rt&gt;$2&lt;/rt&gt;&lt;/ruby&gt;""
)&amp;""&lt;br&gt;&lt;div class=""""audio""""&gt;[sound:""&amp;C6617&amp;"".mp3]&lt;/div&gt;"""),"&lt;ruby&gt;附属&lt;rt&gt;ふぞく&lt;/rt&gt;&lt;/ruby&gt;&lt;br&gt;&lt;div class=""audio""&gt;[sound:ふぞく.mp3]&lt;/div&gt;")</f>
        <v>&lt;ruby&gt;附属&lt;rt&gt;ふぞく&lt;/rt&gt;&lt;/ruby&gt;&lt;br&gt;&lt;div class="audio"&gt;[sound:ふぞく.mp3]&lt;/div&gt;</v>
      </c>
      <c r="H6617" s="3" t="str">
        <f t="shared" si="1"/>
        <v>(n): trực thuộc</v>
      </c>
      <c r="I6617" s="6" t="s">
        <v>35997</v>
      </c>
      <c r="J6617" s="6" t="s">
        <v>35998</v>
      </c>
      <c r="K6617" s="7">
        <f t="shared" si="2"/>
        <v>0.8928864589</v>
      </c>
    </row>
    <row r="6618">
      <c r="A6618" s="4">
        <v>6618.0</v>
      </c>
      <c r="B6618" s="5" t="s">
        <v>35999</v>
      </c>
      <c r="C6618" s="5" t="s">
        <v>36000</v>
      </c>
      <c r="D6618" s="5" t="s">
        <v>36001</v>
      </c>
      <c r="E6618" s="6" t="s">
        <v>74</v>
      </c>
      <c r="F6618" s="6" t="s">
        <v>36002</v>
      </c>
      <c r="G6618" s="3" t="str">
        <f>IFERROR(__xludf.DUMMYFUNCTION("REGEXREPLACE(
D6618,
""([一-龯々]+)\[([^\]]+)\]"",
""&lt;ruby&gt;$1&lt;rt&gt;$2&lt;/rt&gt;&lt;/ruby&gt;""
)&amp;""&lt;br&gt;&lt;div class=""""audio""""&gt;[sound:""&amp;C6618&amp;"".mp3]&lt;/div&gt;"""),"&lt;ruby&gt;青少年&lt;rt&gt;せいしょうねん&lt;/rt&gt;&lt;/ruby&gt;&lt;br&gt;&lt;div class=""audio""&gt;[sound:せいしょうねん.mp3]&lt;/div&gt;")</f>
        <v>&lt;ruby&gt;青少年&lt;rt&gt;せいしょうねん&lt;/rt&gt;&lt;/ruby&gt;&lt;br&gt;&lt;div class="audio"&gt;[sound:せいしょうねん.mp3]&lt;/div&gt;</v>
      </c>
      <c r="H6618" s="3" t="str">
        <f t="shared" si="1"/>
        <v>(n): thanh thiếu niên</v>
      </c>
      <c r="I6618" s="6" t="s">
        <v>36003</v>
      </c>
      <c r="J6618" s="6" t="s">
        <v>36004</v>
      </c>
      <c r="K6618" s="7">
        <f t="shared" si="2"/>
        <v>0.5297632482</v>
      </c>
    </row>
    <row r="6619">
      <c r="A6619" s="4">
        <v>6619.0</v>
      </c>
      <c r="B6619" s="5" t="s">
        <v>36005</v>
      </c>
      <c r="C6619" s="5" t="s">
        <v>36006</v>
      </c>
      <c r="D6619" s="5" t="s">
        <v>36007</v>
      </c>
      <c r="E6619" s="6" t="s">
        <v>24</v>
      </c>
      <c r="F6619" s="6" t="s">
        <v>36008</v>
      </c>
      <c r="G6619" s="3" t="str">
        <f>IFERROR(__xludf.DUMMYFUNCTION("REGEXREPLACE(
D6619,
""([一-龯々]+)\[([^\]]+)\]"",
""&lt;ruby&gt;$1&lt;rt&gt;$2&lt;/rt&gt;&lt;/ruby&gt;""
)&amp;""&lt;br&gt;&lt;div class=""""audio""""&gt;[sound:""&amp;C6619&amp;"".mp3]&lt;/div&gt;"""),"&lt;ruby&gt;隔&lt;rt&gt;へだ&lt;/rt&gt;&lt;/ruby&gt;てる&lt;br&gt;&lt;div class=""audio""&gt;[sound:へだてる.mp3]&lt;/div&gt;")</f>
        <v>&lt;ruby&gt;隔&lt;rt&gt;へだ&lt;/rt&gt;&lt;/ruby&gt;てる&lt;br&gt;&lt;div class="audio"&gt;[sound:へだてる.mp3]&lt;/div&gt;</v>
      </c>
      <c r="H6619" s="3" t="str">
        <f t="shared" si="1"/>
        <v>(v): ngăn cách</v>
      </c>
      <c r="I6619" s="6" t="s">
        <v>36009</v>
      </c>
      <c r="J6619" s="6" t="s">
        <v>36010</v>
      </c>
      <c r="K6619" s="7">
        <f t="shared" si="2"/>
        <v>0.8210212525</v>
      </c>
    </row>
    <row r="6620">
      <c r="A6620" s="4">
        <v>6620.0</v>
      </c>
      <c r="B6620" s="5" t="s">
        <v>36011</v>
      </c>
      <c r="C6620" s="5" t="s">
        <v>36012</v>
      </c>
      <c r="D6620" s="5" t="s">
        <v>36013</v>
      </c>
      <c r="E6620" s="6" t="s">
        <v>74</v>
      </c>
      <c r="F6620" s="6" t="s">
        <v>36014</v>
      </c>
      <c r="G6620" s="3" t="str">
        <f>IFERROR(__xludf.DUMMYFUNCTION("REGEXREPLACE(
D6620,
""([一-龯々]+)\[([^\]]+)\]"",
""&lt;ruby&gt;$1&lt;rt&gt;$2&lt;/rt&gt;&lt;/ruby&gt;""
)&amp;""&lt;br&gt;&lt;div class=""""audio""""&gt;[sound:""&amp;C6620&amp;"".mp3]&lt;/div&gt;"""),"&lt;ruby&gt;食卓&lt;rt&gt;しょくたく&lt;/rt&gt;&lt;/ruby&gt;&lt;br&gt;&lt;div class=""audio""&gt;[sound:しょくたく.mp3]&lt;/div&gt;")</f>
        <v>&lt;ruby&gt;食卓&lt;rt&gt;しょくたく&lt;/rt&gt;&lt;/ruby&gt;&lt;br&gt;&lt;div class="audio"&gt;[sound:しょくたく.mp3]&lt;/div&gt;</v>
      </c>
      <c r="H6620" s="3" t="str">
        <f t="shared" si="1"/>
        <v>(n): bàn ăn</v>
      </c>
      <c r="I6620" s="6" t="s">
        <v>36015</v>
      </c>
      <c r="J6620" s="6" t="s">
        <v>36016</v>
      </c>
      <c r="K6620" s="7">
        <f t="shared" si="2"/>
        <v>0.503803908</v>
      </c>
    </row>
    <row r="6621">
      <c r="A6621" s="4">
        <v>6621.0</v>
      </c>
      <c r="B6621" s="5" t="s">
        <v>36017</v>
      </c>
      <c r="C6621" s="5" t="s">
        <v>36018</v>
      </c>
      <c r="D6621" s="5" t="s">
        <v>36019</v>
      </c>
      <c r="E6621" s="6" t="s">
        <v>74</v>
      </c>
      <c r="F6621" s="6" t="s">
        <v>10795</v>
      </c>
      <c r="G6621" s="3" t="str">
        <f>IFERROR(__xludf.DUMMYFUNCTION("REGEXREPLACE(
D6621,
""([一-龯々]+)\[([^\]]+)\]"",
""&lt;ruby&gt;$1&lt;rt&gt;$2&lt;/rt&gt;&lt;/ruby&gt;""
)&amp;""&lt;br&gt;&lt;div class=""""audio""""&gt;[sound:""&amp;C6621&amp;"".mp3]&lt;/div&gt;"""),"&lt;ruby&gt;食料品&lt;rt&gt;しょくりょうひん&lt;/rt&gt;&lt;/ruby&gt;&lt;br&gt;&lt;div class=""audio""&gt;[sound:しょくりょうひん.mp3]&lt;/div&gt;")</f>
        <v>&lt;ruby&gt;食料品&lt;rt&gt;しょくりょうひん&lt;/rt&gt;&lt;/ruby&gt;&lt;br&gt;&lt;div class="audio"&gt;[sound:しょくりょうひん.mp3]&lt;/div&gt;</v>
      </c>
      <c r="H6621" s="3" t="str">
        <f t="shared" si="1"/>
        <v>(n): thực phẩm</v>
      </c>
      <c r="I6621" s="6" t="s">
        <v>36020</v>
      </c>
      <c r="J6621" s="6" t="s">
        <v>36021</v>
      </c>
      <c r="K6621" s="7">
        <f t="shared" si="2"/>
        <v>0.5896166517</v>
      </c>
    </row>
    <row r="6622">
      <c r="A6622" s="4">
        <v>6622.0</v>
      </c>
      <c r="B6622" s="5" t="s">
        <v>36022</v>
      </c>
      <c r="C6622" s="5" t="s">
        <v>36023</v>
      </c>
      <c r="D6622" s="5" t="s">
        <v>36024</v>
      </c>
      <c r="E6622" s="6" t="s">
        <v>44</v>
      </c>
      <c r="F6622" s="6" t="s">
        <v>16909</v>
      </c>
      <c r="G6622" s="3" t="str">
        <f>IFERROR(__xludf.DUMMYFUNCTION("REGEXREPLACE(
D6622,
""([一-龯々]+)\[([^\]]+)\]"",
""&lt;ruby&gt;$1&lt;rt&gt;$2&lt;/rt&gt;&lt;/ruby&gt;""
)&amp;""&lt;br&gt;&lt;div class=""""audio""""&gt;[sound:""&amp;C6622&amp;"".mp3]&lt;/div&gt;"""),"&lt;ruby&gt;何々&lt;rt&gt;なになに&lt;/rt&gt;&lt;/ruby&gt;&lt;br&gt;&lt;div class=""audio""&gt;[sound:なになに.mp3]&lt;/div&gt;")</f>
        <v>&lt;ruby&gt;何々&lt;rt&gt;なになに&lt;/rt&gt;&lt;/ruby&gt;&lt;br&gt;&lt;div class="audio"&gt;[sound:なになに.mp3]&lt;/div&gt;</v>
      </c>
      <c r="H6622" s="3" t="str">
        <f t="shared" si="1"/>
        <v>(pron): cái này cái kia</v>
      </c>
      <c r="I6622" s="6" t="s">
        <v>36025</v>
      </c>
      <c r="J6622" s="6" t="s">
        <v>36026</v>
      </c>
      <c r="K6622" s="7">
        <f t="shared" si="2"/>
        <v>0.9455795653</v>
      </c>
    </row>
    <row r="6623">
      <c r="A6623" s="4">
        <v>6623.0</v>
      </c>
      <c r="B6623" s="5" t="s">
        <v>36027</v>
      </c>
      <c r="C6623" s="5" t="s">
        <v>3277</v>
      </c>
      <c r="D6623" s="5" t="s">
        <v>36028</v>
      </c>
      <c r="E6623" s="6" t="s">
        <v>74</v>
      </c>
      <c r="F6623" s="6" t="s">
        <v>36029</v>
      </c>
      <c r="G6623" s="3" t="str">
        <f>IFERROR(__xludf.DUMMYFUNCTION("REGEXREPLACE(
D6623,
""([一-龯々]+)\[([^\]]+)\]"",
""&lt;ruby&gt;$1&lt;rt&gt;$2&lt;/rt&gt;&lt;/ruby&gt;""
)&amp;""&lt;br&gt;&lt;div class=""""audio""""&gt;[sound:""&amp;C6623&amp;"".mp3]&lt;/div&gt;"""),"&lt;ruby&gt;私用&lt;rt&gt;しよう&lt;/rt&gt;&lt;/ruby&gt;&lt;br&gt;&lt;div class=""audio""&gt;[sound:しよう.mp3]&lt;/div&gt;")</f>
        <v>&lt;ruby&gt;私用&lt;rt&gt;しよう&lt;/rt&gt;&lt;/ruby&gt;&lt;br&gt;&lt;div class="audio"&gt;[sound:しよう.mp3]&lt;/div&gt;</v>
      </c>
      <c r="H6623" s="3" t="str">
        <f t="shared" si="1"/>
        <v>(n): việc riêng</v>
      </c>
      <c r="I6623" s="6" t="s">
        <v>36030</v>
      </c>
      <c r="J6623" s="6" t="s">
        <v>36031</v>
      </c>
      <c r="K6623" s="7">
        <f t="shared" si="2"/>
        <v>0.08920130715</v>
      </c>
    </row>
    <row r="6624">
      <c r="A6624" s="4">
        <v>6624.0</v>
      </c>
      <c r="B6624" s="5" t="s">
        <v>36032</v>
      </c>
      <c r="C6624" s="5" t="s">
        <v>36033</v>
      </c>
      <c r="D6624" s="5" t="s">
        <v>36034</v>
      </c>
      <c r="E6624" s="6" t="s">
        <v>74</v>
      </c>
      <c r="F6624" s="6" t="s">
        <v>8048</v>
      </c>
      <c r="G6624" s="3" t="str">
        <f>IFERROR(__xludf.DUMMYFUNCTION("REGEXREPLACE(
D6624,
""([一-龯々]+)\[([^\]]+)\]"",
""&lt;ruby&gt;$1&lt;rt&gt;$2&lt;/rt&gt;&lt;/ruby&gt;""
)&amp;""&lt;br&gt;&lt;div class=""""audio""""&gt;[sound:""&amp;C6624&amp;"".mp3]&lt;/div&gt;"""),"&lt;ruby&gt;苦心&lt;rt&gt;くしん&lt;/rt&gt;&lt;/ruby&gt;&lt;br&gt;&lt;div class=""audio""&gt;[sound:くしん.mp3]&lt;/div&gt;")</f>
        <v>&lt;ruby&gt;苦心&lt;rt&gt;くしん&lt;/rt&gt;&lt;/ruby&gt;&lt;br&gt;&lt;div class="audio"&gt;[sound:くしん.mp3]&lt;/div&gt;</v>
      </c>
      <c r="H6624" s="3" t="str">
        <f t="shared" si="1"/>
        <v>(n): công phu</v>
      </c>
      <c r="I6624" s="6" t="s">
        <v>36035</v>
      </c>
      <c r="J6624" s="6" t="s">
        <v>36036</v>
      </c>
      <c r="K6624" s="7">
        <f t="shared" si="2"/>
        <v>0.4153744768</v>
      </c>
    </row>
    <row r="6625">
      <c r="A6625" s="4">
        <v>6625.0</v>
      </c>
      <c r="B6625" s="5" t="s">
        <v>36037</v>
      </c>
      <c r="C6625" s="5" t="s">
        <v>15485</v>
      </c>
      <c r="D6625" s="5" t="s">
        <v>36038</v>
      </c>
      <c r="E6625" s="6" t="s">
        <v>74</v>
      </c>
      <c r="F6625" s="6" t="s">
        <v>36039</v>
      </c>
      <c r="G6625" s="3" t="str">
        <f>IFERROR(__xludf.DUMMYFUNCTION("REGEXREPLACE(
D6625,
""([一-龯々]+)\[([^\]]+)\]"",
""&lt;ruby&gt;$1&lt;rt&gt;$2&lt;/rt&gt;&lt;/ruby&gt;""
)&amp;""&lt;br&gt;&lt;div class=""""audio""""&gt;[sound:""&amp;C6625&amp;"".mp3]&lt;/div&gt;"""),"&lt;ruby&gt;高層&lt;rt&gt;こうそう&lt;/rt&gt;&lt;/ruby&gt;&lt;br&gt;&lt;div class=""audio""&gt;[sound:こうそう.mp3]&lt;/div&gt;")</f>
        <v>&lt;ruby&gt;高層&lt;rt&gt;こうそう&lt;/rt&gt;&lt;/ruby&gt;&lt;br&gt;&lt;div class="audio"&gt;[sound:こうそう.mp3]&lt;/div&gt;</v>
      </c>
      <c r="H6625" s="3" t="str">
        <f t="shared" si="1"/>
        <v>(n): cao tầng</v>
      </c>
      <c r="I6625" s="6" t="s">
        <v>36040</v>
      </c>
      <c r="J6625" s="6" t="s">
        <v>36041</v>
      </c>
      <c r="K6625" s="7">
        <f t="shared" si="2"/>
        <v>0.8282706904</v>
      </c>
    </row>
    <row r="6626">
      <c r="A6626" s="4">
        <v>6626.0</v>
      </c>
      <c r="B6626" s="5" t="s">
        <v>36042</v>
      </c>
      <c r="C6626" s="5" t="s">
        <v>36043</v>
      </c>
      <c r="D6626" s="5" t="s">
        <v>36044</v>
      </c>
      <c r="E6626" s="6" t="s">
        <v>74</v>
      </c>
      <c r="F6626" s="6" t="s">
        <v>36045</v>
      </c>
      <c r="G6626" s="3" t="str">
        <f>IFERROR(__xludf.DUMMYFUNCTION("REGEXREPLACE(
D6626,
""([一-龯々]+)\[([^\]]+)\]"",
""&lt;ruby&gt;$1&lt;rt&gt;$2&lt;/rt&gt;&lt;/ruby&gt;""
)&amp;""&lt;br&gt;&lt;div class=""""audio""""&gt;[sound:""&amp;C6626&amp;"".mp3]&lt;/div&gt;"""),"&lt;ruby&gt;噴水&lt;rt&gt;ふんすい&lt;/rt&gt;&lt;/ruby&gt;&lt;br&gt;&lt;div class=""audio""&gt;[sound:ふんすい.mp3]&lt;/div&gt;")</f>
        <v>&lt;ruby&gt;噴水&lt;rt&gt;ふんすい&lt;/rt&gt;&lt;/ruby&gt;&lt;br&gt;&lt;div class="audio"&gt;[sound:ふんすい.mp3]&lt;/div&gt;</v>
      </c>
      <c r="H6626" s="3" t="str">
        <f t="shared" si="1"/>
        <v>(n): đài phun nước</v>
      </c>
      <c r="I6626" s="6" t="s">
        <v>36046</v>
      </c>
      <c r="J6626" s="6" t="s">
        <v>36047</v>
      </c>
      <c r="K6626" s="7">
        <f t="shared" si="2"/>
        <v>0.3208515068</v>
      </c>
    </row>
    <row r="6627">
      <c r="A6627" s="4">
        <v>6627.0</v>
      </c>
      <c r="B6627" s="5" t="s">
        <v>36048</v>
      </c>
      <c r="C6627" s="5" t="s">
        <v>36049</v>
      </c>
      <c r="D6627" s="5" t="s">
        <v>36050</v>
      </c>
      <c r="E6627" s="6" t="s">
        <v>74</v>
      </c>
      <c r="F6627" s="6" t="s">
        <v>36051</v>
      </c>
      <c r="G6627" s="3" t="str">
        <f>IFERROR(__xludf.DUMMYFUNCTION("REGEXREPLACE(
D6627,
""([一-龯々]+)\[([^\]]+)\]"",
""&lt;ruby&gt;$1&lt;rt&gt;$2&lt;/rt&gt;&lt;/ruby&gt;""
)&amp;""&lt;br&gt;&lt;div class=""""audio""""&gt;[sound:""&amp;C6627&amp;"".mp3]&lt;/div&gt;"""),"&lt;ruby&gt;伝染&lt;rt&gt;でんせん&lt;/rt&gt;&lt;/ruby&gt;&lt;br&gt;&lt;div class=""audio""&gt;[sound:でんせん.mp3]&lt;/div&gt;")</f>
        <v>&lt;ruby&gt;伝染&lt;rt&gt;でんせん&lt;/rt&gt;&lt;/ruby&gt;&lt;br&gt;&lt;div class="audio"&gt;[sound:でんせん.mp3]&lt;/div&gt;</v>
      </c>
      <c r="H6627" s="3" t="str">
        <f t="shared" si="1"/>
        <v>(n): truyền nhiễm</v>
      </c>
      <c r="I6627" s="6" t="s">
        <v>36052</v>
      </c>
      <c r="J6627" s="6" t="s">
        <v>36053</v>
      </c>
      <c r="K6627" s="7">
        <f t="shared" si="2"/>
        <v>0.1651438263</v>
      </c>
    </row>
    <row r="6628">
      <c r="A6628" s="4">
        <v>6628.0</v>
      </c>
      <c r="B6628" s="5" t="s">
        <v>36054</v>
      </c>
      <c r="C6628" s="5" t="s">
        <v>36055</v>
      </c>
      <c r="D6628" s="5" t="s">
        <v>36056</v>
      </c>
      <c r="E6628" s="6" t="s">
        <v>74</v>
      </c>
      <c r="F6628" s="6" t="s">
        <v>36057</v>
      </c>
      <c r="G6628" s="3" t="str">
        <f>IFERROR(__xludf.DUMMYFUNCTION("REGEXREPLACE(
D6628,
""([一-龯々]+)\[([^\]]+)\]"",
""&lt;ruby&gt;$1&lt;rt&gt;$2&lt;/rt&gt;&lt;/ruby&gt;""
)&amp;""&lt;br&gt;&lt;div class=""""audio""""&gt;[sound:""&amp;C6628&amp;"".mp3]&lt;/div&gt;"""),"&lt;ruby&gt;洗剤&lt;rt&gt;せんざい&lt;/rt&gt;&lt;/ruby&gt;&lt;br&gt;&lt;div class=""audio""&gt;[sound:せんざい.mp3]&lt;/div&gt;")</f>
        <v>&lt;ruby&gt;洗剤&lt;rt&gt;せんざい&lt;/rt&gt;&lt;/ruby&gt;&lt;br&gt;&lt;div class="audio"&gt;[sound:せんざい.mp3]&lt;/div&gt;</v>
      </c>
      <c r="H6628" s="3" t="str">
        <f t="shared" si="1"/>
        <v>(n): chất tẩy rửa</v>
      </c>
      <c r="I6628" s="6" t="s">
        <v>36058</v>
      </c>
      <c r="J6628" s="6" t="s">
        <v>36059</v>
      </c>
      <c r="K6628" s="7">
        <f t="shared" si="2"/>
        <v>0.04734382383</v>
      </c>
    </row>
    <row r="6629">
      <c r="A6629" s="4">
        <v>6629.0</v>
      </c>
      <c r="B6629" s="5" t="s">
        <v>36060</v>
      </c>
      <c r="C6629" s="5" t="s">
        <v>36061</v>
      </c>
      <c r="D6629" s="5" t="s">
        <v>36062</v>
      </c>
      <c r="E6629" s="6" t="s">
        <v>74</v>
      </c>
      <c r="F6629" s="6" t="s">
        <v>36063</v>
      </c>
      <c r="G6629" s="3" t="str">
        <f>IFERROR(__xludf.DUMMYFUNCTION("REGEXREPLACE(
D6629,
""([一-龯々]+)\[([^\]]+)\]"",
""&lt;ruby&gt;$1&lt;rt&gt;$2&lt;/rt&gt;&lt;/ruby&gt;""
)&amp;""&lt;br&gt;&lt;div class=""""audio""""&gt;[sound:""&amp;C6629&amp;"".mp3]&lt;/div&gt;"""),"&lt;ruby&gt;餅&lt;rt&gt;もち&lt;/rt&gt;&lt;/ruby&gt;&lt;br&gt;&lt;div class=""audio""&gt;[sound:もち.mp3]&lt;/div&gt;")</f>
        <v>&lt;ruby&gt;餅&lt;rt&gt;もち&lt;/rt&gt;&lt;/ruby&gt;&lt;br&gt;&lt;div class="audio"&gt;[sound:もち.mp3]&lt;/div&gt;</v>
      </c>
      <c r="H6629" s="3" t="str">
        <f t="shared" si="1"/>
        <v>(n): bánh dày</v>
      </c>
      <c r="I6629" s="6" t="s">
        <v>36064</v>
      </c>
      <c r="J6629" s="6" t="s">
        <v>36065</v>
      </c>
      <c r="K6629" s="7">
        <f t="shared" si="2"/>
        <v>0.9395744518</v>
      </c>
    </row>
    <row r="6630">
      <c r="A6630" s="4">
        <v>6630.0</v>
      </c>
      <c r="B6630" s="5" t="s">
        <v>36066</v>
      </c>
      <c r="C6630" s="5" t="s">
        <v>5673</v>
      </c>
      <c r="D6630" s="5" t="s">
        <v>36067</v>
      </c>
      <c r="E6630" s="6" t="s">
        <v>74</v>
      </c>
      <c r="F6630" s="6" t="s">
        <v>36068</v>
      </c>
      <c r="G6630" s="3" t="str">
        <f>IFERROR(__xludf.DUMMYFUNCTION("REGEXREPLACE(
D6630,
""([一-龯々]+)\[([^\]]+)\]"",
""&lt;ruby&gt;$1&lt;rt&gt;$2&lt;/rt&gt;&lt;/ruby&gt;""
)&amp;""&lt;br&gt;&lt;div class=""""audio""""&gt;[sound:""&amp;C6630&amp;"".mp3]&lt;/div&gt;"""),"&lt;ruby&gt;生長&lt;rt&gt;せいちょう&lt;/rt&gt;&lt;/ruby&gt;&lt;br&gt;&lt;div class=""audio""&gt;[sound:せいちょう.mp3]&lt;/div&gt;")</f>
        <v>&lt;ruby&gt;生長&lt;rt&gt;せいちょう&lt;/rt&gt;&lt;/ruby&gt;&lt;br&gt;&lt;div class="audio"&gt;[sound:せいちょう.mp3]&lt;/div&gt;</v>
      </c>
      <c r="H6630" s="3" t="str">
        <f t="shared" si="1"/>
        <v>(n): sinh trưởng</v>
      </c>
      <c r="I6630" s="6" t="s">
        <v>36069</v>
      </c>
      <c r="J6630" s="6" t="s">
        <v>36070</v>
      </c>
      <c r="K6630" s="7">
        <f t="shared" si="2"/>
        <v>0.6532198791</v>
      </c>
    </row>
    <row r="6631">
      <c r="A6631" s="4">
        <v>6631.0</v>
      </c>
      <c r="B6631" s="5" t="s">
        <v>36071</v>
      </c>
      <c r="C6631" s="5" t="s">
        <v>36072</v>
      </c>
      <c r="D6631" s="5" t="s">
        <v>36073</v>
      </c>
      <c r="E6631" s="6" t="s">
        <v>74</v>
      </c>
      <c r="F6631" s="6" t="s">
        <v>36074</v>
      </c>
      <c r="G6631" s="3" t="str">
        <f>IFERROR(__xludf.DUMMYFUNCTION("REGEXREPLACE(
D6631,
""([一-龯々]+)\[([^\]]+)\]"",
""&lt;ruby&gt;$1&lt;rt&gt;$2&lt;/rt&gt;&lt;/ruby&gt;""
)&amp;""&lt;br&gt;&lt;div class=""""audio""""&gt;[sound:""&amp;C6631&amp;"".mp3]&lt;/div&gt;"""),"&lt;ruby&gt;薬指&lt;rt&gt;くすりゆび&lt;/rt&gt;&lt;/ruby&gt;&lt;br&gt;&lt;div class=""audio""&gt;[sound:くすりゆび.mp3]&lt;/div&gt;")</f>
        <v>&lt;ruby&gt;薬指&lt;rt&gt;くすりゆび&lt;/rt&gt;&lt;/ruby&gt;&lt;br&gt;&lt;div class="audio"&gt;[sound:くすりゆび.mp3]&lt;/div&gt;</v>
      </c>
      <c r="H6631" s="3" t="str">
        <f t="shared" si="1"/>
        <v>(n): ngón áp út</v>
      </c>
      <c r="I6631" s="6" t="s">
        <v>36075</v>
      </c>
      <c r="J6631" s="6" t="s">
        <v>36076</v>
      </c>
      <c r="K6631" s="7">
        <f t="shared" si="2"/>
        <v>0.9935269058</v>
      </c>
    </row>
    <row r="6632">
      <c r="A6632" s="4">
        <v>6632.0</v>
      </c>
      <c r="B6632" s="5" t="s">
        <v>36077</v>
      </c>
      <c r="C6632" s="5" t="s">
        <v>17169</v>
      </c>
      <c r="D6632" s="5" t="s">
        <v>36078</v>
      </c>
      <c r="E6632" s="6" t="s">
        <v>74</v>
      </c>
      <c r="F6632" s="6" t="s">
        <v>28974</v>
      </c>
      <c r="G6632" s="3" t="str">
        <f>IFERROR(__xludf.DUMMYFUNCTION("REGEXREPLACE(
D6632,
""([一-龯々]+)\[([^\]]+)\]"",
""&lt;ruby&gt;$1&lt;rt&gt;$2&lt;/rt&gt;&lt;/ruby&gt;""
)&amp;""&lt;br&gt;&lt;div class=""""audio""""&gt;[sound:""&amp;C6632&amp;"".mp3]&lt;/div&gt;"""),"&lt;ruby&gt;伯父&lt;rt&gt;おじ&lt;/rt&gt;&lt;/ruby&gt;さん&lt;br&gt;&lt;div class=""audio""&gt;[sound:おじさん.mp3]&lt;/div&gt;")</f>
        <v>&lt;ruby&gt;伯父&lt;rt&gt;おじ&lt;/rt&gt;&lt;/ruby&gt;さん&lt;br&gt;&lt;div class="audio"&gt;[sound:おじさん.mp3]&lt;/div&gt;</v>
      </c>
      <c r="H6632" s="3" t="str">
        <f t="shared" si="1"/>
        <v>(n): bác trai</v>
      </c>
      <c r="I6632" s="6" t="s">
        <v>36079</v>
      </c>
      <c r="J6632" s="6" t="s">
        <v>36080</v>
      </c>
      <c r="K6632" s="7">
        <f t="shared" si="2"/>
        <v>0.9071326651</v>
      </c>
    </row>
    <row r="6633">
      <c r="A6633" s="4">
        <v>6633.0</v>
      </c>
      <c r="B6633" s="5" t="s">
        <v>36081</v>
      </c>
      <c r="C6633" s="5" t="s">
        <v>36082</v>
      </c>
      <c r="D6633" s="5" t="s">
        <v>36083</v>
      </c>
      <c r="E6633" s="6" t="s">
        <v>24</v>
      </c>
      <c r="F6633" s="6" t="s">
        <v>36084</v>
      </c>
      <c r="G6633" s="3" t="str">
        <f>IFERROR(__xludf.DUMMYFUNCTION("REGEXREPLACE(
D6633,
""([一-龯々]+)\[([^\]]+)\]"",
""&lt;ruby&gt;$1&lt;rt&gt;$2&lt;/rt&gt;&lt;/ruby&gt;""
)&amp;""&lt;br&gt;&lt;div class=""""audio""""&gt;[sound:""&amp;C6633&amp;"".mp3]&lt;/div&gt;"""),"&lt;ruby&gt;溶&lt;rt&gt;と&lt;/rt&gt;&lt;/ruby&gt;け&lt;ruby&gt;込&lt;rt&gt;こ&lt;/rt&gt;&lt;/ruby&gt;む&lt;br&gt;&lt;div class=""audio""&gt;[sound:とけこむ.mp3]&lt;/div&gt;")</f>
        <v>&lt;ruby&gt;溶&lt;rt&gt;と&lt;/rt&gt;&lt;/ruby&gt;け&lt;ruby&gt;込&lt;rt&gt;こ&lt;/rt&gt;&lt;/ruby&gt;む&lt;br&gt;&lt;div class="audio"&gt;[sound:とけこむ.mp3]&lt;/div&gt;</v>
      </c>
      <c r="H6633" s="3" t="str">
        <f t="shared" si="1"/>
        <v>(v): hòa nhập</v>
      </c>
      <c r="I6633" s="6" t="s">
        <v>36085</v>
      </c>
      <c r="J6633" s="6" t="s">
        <v>36086</v>
      </c>
      <c r="K6633" s="7">
        <f t="shared" si="2"/>
        <v>0.2821232642</v>
      </c>
    </row>
    <row r="6634">
      <c r="A6634" s="4">
        <v>6634.0</v>
      </c>
      <c r="B6634" s="5" t="s">
        <v>36087</v>
      </c>
      <c r="C6634" s="5" t="s">
        <v>36088</v>
      </c>
      <c r="D6634" s="5" t="s">
        <v>36089</v>
      </c>
      <c r="E6634" s="6" t="s">
        <v>74</v>
      </c>
      <c r="F6634" s="6" t="s">
        <v>36090</v>
      </c>
      <c r="G6634" s="3" t="str">
        <f>IFERROR(__xludf.DUMMYFUNCTION("REGEXREPLACE(
D6634,
""([一-龯々]+)\[([^\]]+)\]"",
""&lt;ruby&gt;$1&lt;rt&gt;$2&lt;/rt&gt;&lt;/ruby&gt;""
)&amp;""&lt;br&gt;&lt;div class=""""audio""""&gt;[sound:""&amp;C6634&amp;"".mp3]&lt;/div&gt;"""),"&lt;ruby&gt;騒音&lt;rt&gt;そうおん&lt;/rt&gt;&lt;/ruby&gt;&lt;br&gt;&lt;div class=""audio""&gt;[sound:そうおん.mp3]&lt;/div&gt;")</f>
        <v>&lt;ruby&gt;騒音&lt;rt&gt;そうおん&lt;/rt&gt;&lt;/ruby&gt;&lt;br&gt;&lt;div class="audio"&gt;[sound:そうおん.mp3]&lt;/div&gt;</v>
      </c>
      <c r="H6634" s="3" t="str">
        <f t="shared" si="1"/>
        <v>(n): tiếng ồn</v>
      </c>
      <c r="I6634" s="6" t="s">
        <v>36091</v>
      </c>
      <c r="J6634" s="6" t="s">
        <v>36092</v>
      </c>
      <c r="K6634" s="7">
        <f t="shared" si="2"/>
        <v>0.3511484962</v>
      </c>
    </row>
    <row r="6635">
      <c r="A6635" s="4">
        <v>6635.0</v>
      </c>
      <c r="B6635" s="5" t="s">
        <v>36093</v>
      </c>
      <c r="C6635" s="5" t="s">
        <v>36094</v>
      </c>
      <c r="D6635" s="5" t="s">
        <v>36095</v>
      </c>
      <c r="E6635" s="6" t="s">
        <v>74</v>
      </c>
      <c r="F6635" s="6" t="s">
        <v>36096</v>
      </c>
      <c r="G6635" s="3" t="str">
        <f>IFERROR(__xludf.DUMMYFUNCTION("REGEXREPLACE(
D6635,
""([一-龯々]+)\[([^\]]+)\]"",
""&lt;ruby&gt;$1&lt;rt&gt;$2&lt;/rt&gt;&lt;/ruby&gt;""
)&amp;""&lt;br&gt;&lt;div class=""""audio""""&gt;[sound:""&amp;C6635&amp;"".mp3]&lt;/div&gt;"""),"&lt;ruby&gt;元日&lt;rt&gt;がんじつ&lt;/rt&gt;&lt;/ruby&gt;&lt;br&gt;&lt;div class=""audio""&gt;[sound:がんじつ.mp3]&lt;/div&gt;")</f>
        <v>&lt;ruby&gt;元日&lt;rt&gt;がんじつ&lt;/rt&gt;&lt;/ruby&gt;&lt;br&gt;&lt;div class="audio"&gt;[sound:がんじつ.mp3]&lt;/div&gt;</v>
      </c>
      <c r="H6635" s="3" t="str">
        <f t="shared" si="1"/>
        <v>(n): ngày đầu năm</v>
      </c>
      <c r="I6635" s="6" t="s">
        <v>36097</v>
      </c>
      <c r="J6635" s="6" t="s">
        <v>36098</v>
      </c>
      <c r="K6635" s="7">
        <f t="shared" si="2"/>
        <v>0.9227305687</v>
      </c>
    </row>
    <row r="6636">
      <c r="A6636" s="4">
        <v>6636.0</v>
      </c>
      <c r="B6636" s="5" t="s">
        <v>36099</v>
      </c>
      <c r="C6636" s="5" t="s">
        <v>36100</v>
      </c>
      <c r="D6636" s="5" t="s">
        <v>36101</v>
      </c>
      <c r="E6636" s="6" t="s">
        <v>74</v>
      </c>
      <c r="F6636" s="6" t="s">
        <v>36102</v>
      </c>
      <c r="G6636" s="3" t="str">
        <f>IFERROR(__xludf.DUMMYFUNCTION("REGEXREPLACE(
D6636,
""([一-龯々]+)\[([^\]]+)\]"",
""&lt;ruby&gt;$1&lt;rt&gt;$2&lt;/rt&gt;&lt;/ruby&gt;""
)&amp;""&lt;br&gt;&lt;div class=""""audio""""&gt;[sound:""&amp;C6636&amp;"".mp3]&lt;/div&gt;"""),"&lt;ruby&gt;混合&lt;rt&gt;こんごう&lt;/rt&gt;&lt;/ruby&gt;&lt;br&gt;&lt;div class=""audio""&gt;[sound:こんごう.mp3]&lt;/div&gt;")</f>
        <v>&lt;ruby&gt;混合&lt;rt&gt;こんごう&lt;/rt&gt;&lt;/ruby&gt;&lt;br&gt;&lt;div class="audio"&gt;[sound:こんごう.mp3]&lt;/div&gt;</v>
      </c>
      <c r="H6636" s="3" t="str">
        <f t="shared" si="1"/>
        <v>(n): hỗn hợp</v>
      </c>
      <c r="I6636" s="6" t="s">
        <v>36103</v>
      </c>
      <c r="J6636" s="6" t="s">
        <v>36104</v>
      </c>
      <c r="K6636" s="7">
        <f t="shared" si="2"/>
        <v>0.2253816778</v>
      </c>
    </row>
    <row r="6637">
      <c r="A6637" s="4">
        <v>6637.0</v>
      </c>
      <c r="B6637" s="5" t="s">
        <v>36105</v>
      </c>
      <c r="C6637" s="5" t="s">
        <v>36106</v>
      </c>
      <c r="D6637" s="5" t="s">
        <v>36107</v>
      </c>
      <c r="E6637" s="6" t="s">
        <v>11</v>
      </c>
      <c r="F6637" s="6" t="s">
        <v>4036</v>
      </c>
      <c r="G6637" s="3" t="str">
        <f>IFERROR(__xludf.DUMMYFUNCTION("REGEXREPLACE(
D6637,
""([一-龯々]+)\[([^\]]+)\]"",
""&lt;ruby&gt;$1&lt;rt&gt;$2&lt;/rt&gt;&lt;/ruby&gt;""
)&amp;""&lt;br&gt;&lt;div class=""""audio""""&gt;[sound:""&amp;C6637&amp;"".mp3]&lt;/div&gt;"""),"&lt;ruby&gt;騒&lt;rt&gt;さわ&lt;/rt&gt;&lt;/ruby&gt;がしい&lt;br&gt;&lt;div class=""audio""&gt;[sound:さわがしい.mp3]&lt;/div&gt;")</f>
        <v>&lt;ruby&gt;騒&lt;rt&gt;さわ&lt;/rt&gt;&lt;/ruby&gt;がしい&lt;br&gt;&lt;div class="audio"&gt;[sound:さわがしい.mp3]&lt;/div&gt;</v>
      </c>
      <c r="H6637" s="3" t="str">
        <f t="shared" si="1"/>
        <v>(adj): ồn ào</v>
      </c>
      <c r="I6637" s="6" t="s">
        <v>36108</v>
      </c>
      <c r="J6637" s="6" t="s">
        <v>36109</v>
      </c>
      <c r="K6637" s="7">
        <f t="shared" si="2"/>
        <v>0.6251764318</v>
      </c>
    </row>
    <row r="6638">
      <c r="A6638" s="4">
        <v>6638.0</v>
      </c>
      <c r="B6638" s="5" t="s">
        <v>36110</v>
      </c>
      <c r="C6638" s="5" t="s">
        <v>36111</v>
      </c>
      <c r="D6638" s="5" t="s">
        <v>36112</v>
      </c>
      <c r="E6638" s="6" t="s">
        <v>74</v>
      </c>
      <c r="F6638" s="6" t="s">
        <v>36113</v>
      </c>
      <c r="G6638" s="3" t="str">
        <f>IFERROR(__xludf.DUMMYFUNCTION("REGEXREPLACE(
D6638,
""([一-龯々]+)\[([^\]]+)\]"",
""&lt;ruby&gt;$1&lt;rt&gt;$2&lt;/rt&gt;&lt;/ruby&gt;""
)&amp;""&lt;br&gt;&lt;div class=""""audio""""&gt;[sound:""&amp;C6638&amp;"".mp3]&lt;/div&gt;"""),"&lt;ruby&gt;脱線&lt;rt&gt;だっせん&lt;/rt&gt;&lt;/ruby&gt;&lt;br&gt;&lt;div class=""audio""&gt;[sound:だっせん.mp3]&lt;/div&gt;")</f>
        <v>&lt;ruby&gt;脱線&lt;rt&gt;だっせん&lt;/rt&gt;&lt;/ruby&gt;&lt;br&gt;&lt;div class="audio"&gt;[sound:だっせん.mp3]&lt;/div&gt;</v>
      </c>
      <c r="H6638" s="3" t="str">
        <f t="shared" si="1"/>
        <v>(n): trật đường ray</v>
      </c>
      <c r="I6638" s="6" t="s">
        <v>36114</v>
      </c>
      <c r="J6638" s="6" t="s">
        <v>36115</v>
      </c>
      <c r="K6638" s="7">
        <f t="shared" si="2"/>
        <v>0.3188443493</v>
      </c>
    </row>
    <row r="6639">
      <c r="A6639" s="4">
        <v>6639.0</v>
      </c>
      <c r="B6639" s="5" t="s">
        <v>36116</v>
      </c>
      <c r="C6639" s="5" t="s">
        <v>36117</v>
      </c>
      <c r="D6639" s="5" t="s">
        <v>36118</v>
      </c>
      <c r="E6639" s="6" t="s">
        <v>85</v>
      </c>
      <c r="F6639" s="6" t="s">
        <v>9297</v>
      </c>
      <c r="G6639" s="3" t="str">
        <f>IFERROR(__xludf.DUMMYFUNCTION("REGEXREPLACE(
D6639,
""([一-龯々]+)\[([^\]]+)\]"",
""&lt;ruby&gt;$1&lt;rt&gt;$2&lt;/rt&gt;&lt;/ruby&gt;""
)&amp;""&lt;br&gt;&lt;div class=""""audio""""&gt;[sound:""&amp;C6639&amp;"".mp3]&lt;/div&gt;"""),"&lt;ruby&gt;始終&lt;rt&gt;しじゅう&lt;/rt&gt;&lt;/ruby&gt;&lt;br&gt;&lt;div class=""audio""&gt;[sound:しじゅう.mp3]&lt;/div&gt;")</f>
        <v>&lt;ruby&gt;始終&lt;rt&gt;しじゅう&lt;/rt&gt;&lt;/ruby&gt;&lt;br&gt;&lt;div class="audio"&gt;[sound:しじゅう.mp3]&lt;/div&gt;</v>
      </c>
      <c r="H6639" s="3" t="str">
        <f t="shared" si="1"/>
        <v>(adv): thường xuyên</v>
      </c>
      <c r="I6639" s="6" t="s">
        <v>36119</v>
      </c>
      <c r="J6639" s="6" t="s">
        <v>36120</v>
      </c>
      <c r="K6639" s="7">
        <f t="shared" si="2"/>
        <v>0.4549815189</v>
      </c>
    </row>
    <row r="6640">
      <c r="A6640" s="4">
        <v>6640.0</v>
      </c>
      <c r="B6640" s="5" t="s">
        <v>36121</v>
      </c>
      <c r="C6640" s="5" t="s">
        <v>36122</v>
      </c>
      <c r="D6640" s="5" t="s">
        <v>36123</v>
      </c>
      <c r="E6640" s="6" t="s">
        <v>74</v>
      </c>
      <c r="F6640" s="6" t="s">
        <v>36124</v>
      </c>
      <c r="G6640" s="3" t="str">
        <f>IFERROR(__xludf.DUMMYFUNCTION("REGEXREPLACE(
D6640,
""([一-龯々]+)\[([^\]]+)\]"",
""&lt;ruby&gt;$1&lt;rt&gt;$2&lt;/rt&gt;&lt;/ruby&gt;""
)&amp;""&lt;br&gt;&lt;div class=""""audio""""&gt;[sound:""&amp;C6640&amp;"".mp3]&lt;/div&gt;"""),"&lt;ruby&gt;吹雪&lt;rt&gt;ふぶき&lt;/rt&gt;&lt;/ruby&gt;&lt;br&gt;&lt;div class=""audio""&gt;[sound:ふぶき.mp3]&lt;/div&gt;")</f>
        <v>&lt;ruby&gt;吹雪&lt;rt&gt;ふぶき&lt;/rt&gt;&lt;/ruby&gt;&lt;br&gt;&lt;div class="audio"&gt;[sound:ふぶき.mp3]&lt;/div&gt;</v>
      </c>
      <c r="H6640" s="3" t="str">
        <f t="shared" si="1"/>
        <v>(n): bão tuyết</v>
      </c>
      <c r="I6640" s="6" t="s">
        <v>36125</v>
      </c>
      <c r="J6640" s="6" t="s">
        <v>36126</v>
      </c>
      <c r="K6640" s="7">
        <f t="shared" si="2"/>
        <v>0.02889236081</v>
      </c>
    </row>
    <row r="6641">
      <c r="A6641" s="4">
        <v>6641.0</v>
      </c>
      <c r="B6641" s="5" t="s">
        <v>36127</v>
      </c>
      <c r="C6641" s="5" t="s">
        <v>36128</v>
      </c>
      <c r="D6641" s="5" t="s">
        <v>36129</v>
      </c>
      <c r="E6641" s="6" t="s">
        <v>74</v>
      </c>
      <c r="F6641" s="6" t="s">
        <v>36130</v>
      </c>
      <c r="G6641" s="3" t="str">
        <f>IFERROR(__xludf.DUMMYFUNCTION("REGEXREPLACE(
D6641,
""([一-龯々]+)\[([^\]]+)\]"",
""&lt;ruby&gt;$1&lt;rt&gt;$2&lt;/rt&gt;&lt;/ruby&gt;""
)&amp;""&lt;br&gt;&lt;div class=""""audio""""&gt;[sound:""&amp;C6641&amp;"".mp3]&lt;/div&gt;"""),"&lt;ruby&gt;索引&lt;rt&gt;さくいん&lt;/rt&gt;&lt;/ruby&gt;&lt;br&gt;&lt;div class=""audio""&gt;[sound:さくいん.mp3]&lt;/div&gt;")</f>
        <v>&lt;ruby&gt;索引&lt;rt&gt;さくいん&lt;/rt&gt;&lt;/ruby&gt;&lt;br&gt;&lt;div class="audio"&gt;[sound:さくいん.mp3]&lt;/div&gt;</v>
      </c>
      <c r="H6641" s="3" t="str">
        <f t="shared" si="1"/>
        <v>(n): mục lục</v>
      </c>
      <c r="I6641" s="6" t="s">
        <v>36131</v>
      </c>
      <c r="J6641" s="6" t="s">
        <v>36132</v>
      </c>
      <c r="K6641" s="7">
        <f t="shared" si="2"/>
        <v>0.973221484</v>
      </c>
    </row>
    <row r="6642">
      <c r="A6642" s="4">
        <v>6642.0</v>
      </c>
      <c r="B6642" s="5" t="s">
        <v>36133</v>
      </c>
      <c r="C6642" s="5" t="s">
        <v>4805</v>
      </c>
      <c r="D6642" s="5" t="s">
        <v>36134</v>
      </c>
      <c r="E6642" s="6" t="s">
        <v>74</v>
      </c>
      <c r="F6642" s="6" t="s">
        <v>36135</v>
      </c>
      <c r="G6642" s="3" t="str">
        <f>IFERROR(__xludf.DUMMYFUNCTION("REGEXREPLACE(
D6642,
""([一-龯々]+)\[([^\]]+)\]"",
""&lt;ruby&gt;$1&lt;rt&gt;$2&lt;/rt&gt;&lt;/ruby&gt;""
)&amp;""&lt;br&gt;&lt;div class=""""audio""""&gt;[sound:""&amp;C6642&amp;"".mp3]&lt;/div&gt;"""),"&lt;ruby&gt;包装&lt;rt&gt;ほうそう&lt;/rt&gt;&lt;/ruby&gt;&lt;br&gt;&lt;div class=""audio""&gt;[sound:ほうそう.mp3]&lt;/div&gt;")</f>
        <v>&lt;ruby&gt;包装&lt;rt&gt;ほうそう&lt;/rt&gt;&lt;/ruby&gt;&lt;br&gt;&lt;div class="audio"&gt;[sound:ほうそう.mp3]&lt;/div&gt;</v>
      </c>
      <c r="H6642" s="3" t="str">
        <f t="shared" si="1"/>
        <v>(n): bao bì</v>
      </c>
      <c r="I6642" s="6" t="s">
        <v>36136</v>
      </c>
      <c r="J6642" s="6" t="s">
        <v>36137</v>
      </c>
      <c r="K6642" s="7">
        <f t="shared" si="2"/>
        <v>0.3571618515</v>
      </c>
    </row>
    <row r="6643">
      <c r="A6643" s="4">
        <v>6643.0</v>
      </c>
      <c r="B6643" s="5" t="s">
        <v>36138</v>
      </c>
      <c r="C6643" s="5" t="s">
        <v>36139</v>
      </c>
      <c r="D6643" s="5" t="s">
        <v>36140</v>
      </c>
      <c r="E6643" s="6" t="s">
        <v>11</v>
      </c>
      <c r="F6643" s="6" t="s">
        <v>9115</v>
      </c>
      <c r="G6643" s="3" t="str">
        <f>IFERROR(__xludf.DUMMYFUNCTION("REGEXREPLACE(
D6643,
""([一-龯々]+)\[([^\]]+)\]"",
""&lt;ruby&gt;$1&lt;rt&gt;$2&lt;/rt&gt;&lt;/ruby&gt;""
)&amp;""&lt;br&gt;&lt;div class=""""audio""""&gt;[sound:""&amp;C6643&amp;"".mp3]&lt;/div&gt;"""),"&lt;ruby&gt;温暖&lt;rt&gt;おんだん&lt;/rt&gt;&lt;/ruby&gt;&lt;br&gt;&lt;div class=""audio""&gt;[sound:おんだん.mp3]&lt;/div&gt;")</f>
        <v>&lt;ruby&gt;温暖&lt;rt&gt;おんだん&lt;/rt&gt;&lt;/ruby&gt;&lt;br&gt;&lt;div class="audio"&gt;[sound:おんだん.mp3]&lt;/div&gt;</v>
      </c>
      <c r="H6643" s="3" t="str">
        <f t="shared" si="1"/>
        <v>(adj): ấm áp</v>
      </c>
      <c r="I6643" s="6" t="s">
        <v>36141</v>
      </c>
      <c r="J6643" s="6" t="s">
        <v>36142</v>
      </c>
      <c r="K6643" s="7">
        <f t="shared" si="2"/>
        <v>0.09325079254</v>
      </c>
    </row>
    <row r="6644">
      <c r="A6644" s="4">
        <v>6644.0</v>
      </c>
      <c r="B6644" s="5" t="s">
        <v>36143</v>
      </c>
      <c r="C6644" s="5" t="s">
        <v>36144</v>
      </c>
      <c r="D6644" s="5" t="s">
        <v>36145</v>
      </c>
      <c r="E6644" s="6" t="s">
        <v>11</v>
      </c>
      <c r="F6644" s="6" t="s">
        <v>15641</v>
      </c>
      <c r="G6644" s="3" t="str">
        <f>IFERROR(__xludf.DUMMYFUNCTION("REGEXREPLACE(
D6644,
""([一-龯々]+)\[([^\]]+)\]"",
""&lt;ruby&gt;$1&lt;rt&gt;$2&lt;/rt&gt;&lt;/ruby&gt;""
)&amp;""&lt;br&gt;&lt;div class=""""audio""""&gt;[sound:""&amp;C6644&amp;"".mp3]&lt;/div&gt;"""),"&lt;ruby&gt;厳重&lt;rt&gt;げんじゅう&lt;/rt&gt;&lt;/ruby&gt;&lt;br&gt;&lt;div class=""audio""&gt;[sound:げんじゅう.mp3]&lt;/div&gt;")</f>
        <v>&lt;ruby&gt;厳重&lt;rt&gt;げんじゅう&lt;/rt&gt;&lt;/ruby&gt;&lt;br&gt;&lt;div class="audio"&gt;[sound:げんじゅう.mp3]&lt;/div&gt;</v>
      </c>
      <c r="H6644" s="3" t="str">
        <f t="shared" si="1"/>
        <v>(adj): nghiêm ngặt</v>
      </c>
      <c r="I6644" s="6" t="s">
        <v>36146</v>
      </c>
      <c r="J6644" s="6" t="s">
        <v>36147</v>
      </c>
      <c r="K6644" s="7">
        <f t="shared" si="2"/>
        <v>0.06063360269</v>
      </c>
    </row>
    <row r="6645">
      <c r="A6645" s="4">
        <v>6645.0</v>
      </c>
      <c r="B6645" s="5" t="s">
        <v>36148</v>
      </c>
      <c r="C6645" s="5" t="s">
        <v>3301</v>
      </c>
      <c r="D6645" s="5" t="s">
        <v>36149</v>
      </c>
      <c r="E6645" s="6" t="s">
        <v>74</v>
      </c>
      <c r="F6645" s="6" t="s">
        <v>36150</v>
      </c>
      <c r="G6645" s="3" t="str">
        <f>IFERROR(__xludf.DUMMYFUNCTION("REGEXREPLACE(
D6645,
""([一-龯々]+)\[([^\]]+)\]"",
""&lt;ruby&gt;$1&lt;rt&gt;$2&lt;/rt&gt;&lt;/ruby&gt;""
)&amp;""&lt;br&gt;&lt;div class=""""audio""""&gt;[sound:""&amp;C6645&amp;"".mp3]&lt;/div&gt;"""),"&lt;ruby&gt;講堂&lt;rt&gt;こうどう&lt;/rt&gt;&lt;/ruby&gt;&lt;br&gt;&lt;div class=""audio""&gt;[sound:こうどう.mp3]&lt;/div&gt;")</f>
        <v>&lt;ruby&gt;講堂&lt;rt&gt;こうどう&lt;/rt&gt;&lt;/ruby&gt;&lt;br&gt;&lt;div class="audio"&gt;[sound:こうどう.mp3]&lt;/div&gt;</v>
      </c>
      <c r="H6645" s="3" t="str">
        <f t="shared" si="1"/>
        <v>(n): giảng đường</v>
      </c>
      <c r="I6645" s="6" t="s">
        <v>36151</v>
      </c>
      <c r="J6645" s="6" t="s">
        <v>36152</v>
      </c>
      <c r="K6645" s="7">
        <f t="shared" si="2"/>
        <v>0.8212298567</v>
      </c>
    </row>
    <row r="6646">
      <c r="A6646" s="4">
        <v>6646.0</v>
      </c>
      <c r="B6646" s="5" t="s">
        <v>36153</v>
      </c>
      <c r="C6646" s="5" t="s">
        <v>11467</v>
      </c>
      <c r="D6646" s="5" t="s">
        <v>36154</v>
      </c>
      <c r="E6646" s="6" t="s">
        <v>74</v>
      </c>
      <c r="F6646" s="6" t="s">
        <v>36155</v>
      </c>
      <c r="G6646" s="3" t="str">
        <f>IFERROR(__xludf.DUMMYFUNCTION("REGEXREPLACE(
D6646,
""([一-龯々]+)\[([^\]]+)\]"",
""&lt;ruby&gt;$1&lt;rt&gt;$2&lt;/rt&gt;&lt;/ruby&gt;""
)&amp;""&lt;br&gt;&lt;div class=""""audio""""&gt;[sound:""&amp;C6646&amp;"".mp3]&lt;/div&gt;"""),"&lt;ruby&gt;酸性&lt;rt&gt;さんせい&lt;/rt&gt;&lt;/ruby&gt;&lt;br&gt;&lt;div class=""audio""&gt;[sound:さんせい.mp3]&lt;/div&gt;")</f>
        <v>&lt;ruby&gt;酸性&lt;rt&gt;さんせい&lt;/rt&gt;&lt;/ruby&gt;&lt;br&gt;&lt;div class="audio"&gt;[sound:さんせい.mp3]&lt;/div&gt;</v>
      </c>
      <c r="H6646" s="3" t="str">
        <f t="shared" si="1"/>
        <v>(n): tính axit</v>
      </c>
      <c r="I6646" s="6" t="s">
        <v>36156</v>
      </c>
      <c r="J6646" s="6" t="s">
        <v>36157</v>
      </c>
      <c r="K6646" s="7">
        <f t="shared" si="2"/>
        <v>0.3579381327</v>
      </c>
    </row>
    <row r="6647">
      <c r="A6647" s="4">
        <v>6647.0</v>
      </c>
      <c r="B6647" s="5" t="s">
        <v>36158</v>
      </c>
      <c r="C6647" s="5" t="s">
        <v>36159</v>
      </c>
      <c r="D6647" s="5" t="s">
        <v>36160</v>
      </c>
      <c r="E6647" s="6" t="s">
        <v>74</v>
      </c>
      <c r="F6647" s="6" t="s">
        <v>36161</v>
      </c>
      <c r="G6647" s="3" t="str">
        <f>IFERROR(__xludf.DUMMYFUNCTION("REGEXREPLACE(
D6647,
""([一-龯々]+)\[([^\]]+)\]"",
""&lt;ruby&gt;$1&lt;rt&gt;$2&lt;/rt&gt;&lt;/ruby&gt;""
)&amp;""&lt;br&gt;&lt;div class=""""audio""""&gt;[sound:""&amp;C6647&amp;"".mp3]&lt;/div&gt;"""),"&lt;ruby&gt;功績&lt;rt&gt;こうせき&lt;/rt&gt;&lt;/ruby&gt;&lt;br&gt;&lt;div class=""audio""&gt;[sound:こうせき.mp3]&lt;/div&gt;")</f>
        <v>&lt;ruby&gt;功績&lt;rt&gt;こうせき&lt;/rt&gt;&lt;/ruby&gt;&lt;br&gt;&lt;div class="audio"&gt;[sound:こうせき.mp3]&lt;/div&gt;</v>
      </c>
      <c r="H6647" s="3" t="str">
        <f t="shared" si="1"/>
        <v>(n): công lao</v>
      </c>
      <c r="I6647" s="6" t="s">
        <v>36162</v>
      </c>
      <c r="J6647" s="6" t="s">
        <v>36163</v>
      </c>
      <c r="K6647" s="7">
        <f t="shared" si="2"/>
        <v>0.682518189</v>
      </c>
    </row>
    <row r="6648">
      <c r="A6648" s="4">
        <v>6648.0</v>
      </c>
      <c r="B6648" s="5" t="s">
        <v>36164</v>
      </c>
      <c r="C6648" s="5" t="s">
        <v>36164</v>
      </c>
      <c r="D6648" s="5" t="s">
        <v>36164</v>
      </c>
      <c r="E6648" s="6" t="s">
        <v>74</v>
      </c>
      <c r="F6648" s="6" t="s">
        <v>36165</v>
      </c>
      <c r="G6648" s="3" t="str">
        <f>IFERROR(__xludf.DUMMYFUNCTION("REGEXREPLACE(
D6648,
""([一-龯々]+)\[([^\]]+)\]"",
""&lt;ruby&gt;$1&lt;rt&gt;$2&lt;/rt&gt;&lt;/ruby&gt;""
)&amp;""&lt;br&gt;&lt;div class=""""audio""""&gt;[sound:""&amp;C6648&amp;"".mp3]&lt;/div&gt;"""),"しゃっくり&lt;br&gt;&lt;div class=""audio""&gt;[sound:しゃっくり.mp3]&lt;/div&gt;")</f>
        <v>しゃっくり&lt;br&gt;&lt;div class="audio"&gt;[sound:しゃっくり.mp3]&lt;/div&gt;</v>
      </c>
      <c r="H6648" s="3" t="str">
        <f t="shared" si="1"/>
        <v>(n): nấc</v>
      </c>
      <c r="I6648" s="6" t="s">
        <v>36166</v>
      </c>
      <c r="J6648" s="6" t="s">
        <v>36167</v>
      </c>
      <c r="K6648" s="7">
        <f t="shared" si="2"/>
        <v>0.1868595043</v>
      </c>
    </row>
    <row r="6649">
      <c r="A6649" s="4">
        <v>6649.0</v>
      </c>
      <c r="B6649" s="5" t="s">
        <v>36168</v>
      </c>
      <c r="C6649" s="5" t="s">
        <v>36169</v>
      </c>
      <c r="D6649" s="5" t="s">
        <v>36168</v>
      </c>
      <c r="E6649" s="6" t="s">
        <v>74</v>
      </c>
      <c r="F6649" s="6" t="s">
        <v>36170</v>
      </c>
      <c r="G6649" s="3" t="str">
        <f>IFERROR(__xludf.DUMMYFUNCTION("REGEXREPLACE(
D6649,
""([一-龯々]+)\[([^\]]+)\]"",
""&lt;ruby&gt;$1&lt;rt&gt;$2&lt;/rt&gt;&lt;/ruby&gt;""
)&amp;""&lt;br&gt;&lt;div class=""""audio""""&gt;[sound:""&amp;C6649&amp;"".mp3]&lt;/div&gt;"""),"ヨット&lt;br&gt;&lt;div class=""audio""&gt;[sound:よっと.mp3]&lt;/div&gt;")</f>
        <v>ヨット&lt;br&gt;&lt;div class="audio"&gt;[sound:よっと.mp3]&lt;/div&gt;</v>
      </c>
      <c r="H6649" s="3" t="str">
        <f t="shared" si="1"/>
        <v>(n): thuyền buồm</v>
      </c>
      <c r="I6649" s="6" t="s">
        <v>36171</v>
      </c>
      <c r="J6649" s="6" t="s">
        <v>36172</v>
      </c>
      <c r="K6649" s="7">
        <f t="shared" si="2"/>
        <v>0.5609719574</v>
      </c>
    </row>
    <row r="6650">
      <c r="A6650" s="4">
        <v>6650.0</v>
      </c>
      <c r="B6650" s="5" t="s">
        <v>36173</v>
      </c>
      <c r="C6650" s="5" t="s">
        <v>36174</v>
      </c>
      <c r="D6650" s="5" t="s">
        <v>36175</v>
      </c>
      <c r="E6650" s="6" t="s">
        <v>74</v>
      </c>
      <c r="F6650" s="6" t="s">
        <v>36176</v>
      </c>
      <c r="G6650" s="3" t="str">
        <f>IFERROR(__xludf.DUMMYFUNCTION("REGEXREPLACE(
D6650,
""([一-龯々]+)\[([^\]]+)\]"",
""&lt;ruby&gt;$1&lt;rt&gt;$2&lt;/rt&gt;&lt;/ruby&gt;""
)&amp;""&lt;br&gt;&lt;div class=""""audio""""&gt;[sound:""&amp;C6650&amp;"".mp3]&lt;/div&gt;"""),"&lt;ruby&gt;地下水&lt;rt&gt;ちかすい&lt;/rt&gt;&lt;/ruby&gt;&lt;br&gt;&lt;div class=""audio""&gt;[sound:ちかすい.mp3]&lt;/div&gt;")</f>
        <v>&lt;ruby&gt;地下水&lt;rt&gt;ちかすい&lt;/rt&gt;&lt;/ruby&gt;&lt;br&gt;&lt;div class="audio"&gt;[sound:ちかすい.mp3]&lt;/div&gt;</v>
      </c>
      <c r="H6650" s="3" t="str">
        <f t="shared" si="1"/>
        <v>(n): nước ngầm</v>
      </c>
      <c r="I6650" s="6" t="s">
        <v>36177</v>
      </c>
      <c r="J6650" s="6" t="s">
        <v>36178</v>
      </c>
      <c r="K6650" s="7">
        <f t="shared" si="2"/>
        <v>0.07096499884</v>
      </c>
    </row>
    <row r="6651">
      <c r="A6651" s="4">
        <v>6651.0</v>
      </c>
      <c r="B6651" s="5" t="s">
        <v>36179</v>
      </c>
      <c r="C6651" s="5" t="s">
        <v>36180</v>
      </c>
      <c r="D6651" s="5" t="s">
        <v>36181</v>
      </c>
      <c r="E6651" s="6" t="s">
        <v>74</v>
      </c>
      <c r="F6651" s="6" t="s">
        <v>1957</v>
      </c>
      <c r="G6651" s="3" t="str">
        <f>IFERROR(__xludf.DUMMYFUNCTION("REGEXREPLACE(
D6651,
""([一-龯々]+)\[([^\]]+)\]"",
""&lt;ruby&gt;$1&lt;rt&gt;$2&lt;/rt&gt;&lt;/ruby&gt;""
)&amp;""&lt;br&gt;&lt;div class=""""audio""""&gt;[sound:""&amp;C6651&amp;"".mp3]&lt;/div&gt;"""),"&lt;ruby&gt;正午&lt;rt&gt;しょうご&lt;/rt&gt;&lt;/ruby&gt;&lt;br&gt;&lt;div class=""audio""&gt;[sound:しょうご.mp3]&lt;/div&gt;")</f>
        <v>&lt;ruby&gt;正午&lt;rt&gt;しょうご&lt;/rt&gt;&lt;/ruby&gt;&lt;br&gt;&lt;div class="audio"&gt;[sound:しょうご.mp3]&lt;/div&gt;</v>
      </c>
      <c r="H6651" s="3" t="str">
        <f t="shared" si="1"/>
        <v>(n): buổi trưa</v>
      </c>
      <c r="I6651" s="6" t="s">
        <v>36182</v>
      </c>
      <c r="J6651" s="6" t="s">
        <v>36183</v>
      </c>
      <c r="K6651" s="7">
        <f t="shared" si="2"/>
        <v>0.8275871759</v>
      </c>
    </row>
    <row r="6652">
      <c r="A6652" s="4">
        <v>6652.0</v>
      </c>
      <c r="B6652" s="5" t="s">
        <v>36184</v>
      </c>
      <c r="C6652" s="5" t="s">
        <v>36185</v>
      </c>
      <c r="D6652" s="5" t="s">
        <v>36186</v>
      </c>
      <c r="E6652" s="6" t="s">
        <v>74</v>
      </c>
      <c r="F6652" s="6" t="s">
        <v>36187</v>
      </c>
      <c r="G6652" s="3" t="str">
        <f>IFERROR(__xludf.DUMMYFUNCTION("REGEXREPLACE(
D6652,
""([一-龯々]+)\[([^\]]+)\]"",
""&lt;ruby&gt;$1&lt;rt&gt;$2&lt;/rt&gt;&lt;/ruby&gt;""
)&amp;""&lt;br&gt;&lt;div class=""""audio""""&gt;[sound:""&amp;C6652&amp;"".mp3]&lt;/div&gt;"""),"&lt;ruby&gt;地質&lt;rt&gt;ちしつ&lt;/rt&gt;&lt;/ruby&gt;&lt;br&gt;&lt;div class=""audio""&gt;[sound:ちしつ.mp3]&lt;/div&gt;")</f>
        <v>&lt;ruby&gt;地質&lt;rt&gt;ちしつ&lt;/rt&gt;&lt;/ruby&gt;&lt;br&gt;&lt;div class="audio"&gt;[sound:ちしつ.mp3]&lt;/div&gt;</v>
      </c>
      <c r="H6652" s="3" t="str">
        <f t="shared" si="1"/>
        <v>(n): địa chất</v>
      </c>
      <c r="I6652" s="6" t="s">
        <v>36188</v>
      </c>
      <c r="J6652" s="6" t="s">
        <v>36189</v>
      </c>
      <c r="K6652" s="7">
        <f t="shared" si="2"/>
        <v>0.8112661518</v>
      </c>
    </row>
    <row r="6653">
      <c r="A6653" s="4">
        <v>6653.0</v>
      </c>
      <c r="B6653" s="5" t="s">
        <v>36190</v>
      </c>
      <c r="C6653" s="5" t="s">
        <v>36191</v>
      </c>
      <c r="D6653" s="5" t="s">
        <v>36192</v>
      </c>
      <c r="E6653" s="6" t="s">
        <v>74</v>
      </c>
      <c r="F6653" s="6" t="s">
        <v>11343</v>
      </c>
      <c r="G6653" s="3" t="str">
        <f>IFERROR(__xludf.DUMMYFUNCTION("REGEXREPLACE(
D6653,
""([一-龯々]+)\[([^\]]+)\]"",
""&lt;ruby&gt;$1&lt;rt&gt;$2&lt;/rt&gt;&lt;/ruby&gt;""
)&amp;""&lt;br&gt;&lt;div class=""""audio""""&gt;[sound:""&amp;C6653&amp;"".mp3]&lt;/div&gt;"""),"&lt;ruby&gt;手拭&lt;rt&gt;てぬぐ&lt;/rt&gt;&lt;/ruby&gt;い&lt;br&gt;&lt;div class=""audio""&gt;[sound:てぬぐい.mp3]&lt;/div&gt;")</f>
        <v>&lt;ruby&gt;手拭&lt;rt&gt;てぬぐ&lt;/rt&gt;&lt;/ruby&gt;い&lt;br&gt;&lt;div class="audio"&gt;[sound:てぬぐい.mp3]&lt;/div&gt;</v>
      </c>
      <c r="H6653" s="3" t="str">
        <f t="shared" si="1"/>
        <v>(n): khăn tay</v>
      </c>
      <c r="I6653" s="6" t="s">
        <v>36193</v>
      </c>
      <c r="J6653" s="6" t="s">
        <v>36194</v>
      </c>
      <c r="K6653" s="7">
        <f t="shared" si="2"/>
        <v>0.6464541334</v>
      </c>
    </row>
    <row r="6654">
      <c r="A6654" s="4">
        <v>6654.0</v>
      </c>
      <c r="B6654" s="5" t="s">
        <v>36195</v>
      </c>
      <c r="C6654" s="5" t="s">
        <v>36196</v>
      </c>
      <c r="D6654" s="5" t="s">
        <v>36197</v>
      </c>
      <c r="E6654" s="6" t="s">
        <v>74</v>
      </c>
      <c r="F6654" s="6" t="s">
        <v>36198</v>
      </c>
      <c r="G6654" s="3" t="str">
        <f>IFERROR(__xludf.DUMMYFUNCTION("REGEXREPLACE(
D6654,
""([一-龯々]+)\[([^\]]+)\]"",
""&lt;ruby&gt;$1&lt;rt&gt;$2&lt;/rt&gt;&lt;/ruby&gt;""
)&amp;""&lt;br&gt;&lt;div class=""""audio""""&gt;[sound:""&amp;C6654&amp;"".mp3]&lt;/div&gt;"""),"&lt;ruby&gt;昼寝&lt;rt&gt;ひるね&lt;/rt&gt;&lt;/ruby&gt;&lt;br&gt;&lt;div class=""audio""&gt;[sound:ひるね.mp3]&lt;/div&gt;")</f>
        <v>&lt;ruby&gt;昼寝&lt;rt&gt;ひるね&lt;/rt&gt;&lt;/ruby&gt;&lt;br&gt;&lt;div class="audio"&gt;[sound:ひるね.mp3]&lt;/div&gt;</v>
      </c>
      <c r="H6654" s="3" t="str">
        <f t="shared" si="1"/>
        <v>(n): ngủ trưa</v>
      </c>
      <c r="I6654" s="6" t="s">
        <v>36199</v>
      </c>
      <c r="J6654" s="6" t="s">
        <v>36200</v>
      </c>
      <c r="K6654" s="7">
        <f t="shared" si="2"/>
        <v>0.9308106785</v>
      </c>
    </row>
    <row r="6655">
      <c r="A6655" s="4">
        <v>6655.0</v>
      </c>
      <c r="B6655" s="5" t="s">
        <v>36201</v>
      </c>
      <c r="C6655" s="5" t="s">
        <v>36202</v>
      </c>
      <c r="D6655" s="5" t="s">
        <v>36203</v>
      </c>
      <c r="E6655" s="6" t="s">
        <v>74</v>
      </c>
      <c r="F6655" s="6" t="s">
        <v>36204</v>
      </c>
      <c r="G6655" s="3" t="str">
        <f>IFERROR(__xludf.DUMMYFUNCTION("REGEXREPLACE(
D6655,
""([一-龯々]+)\[([^\]]+)\]"",
""&lt;ruby&gt;$1&lt;rt&gt;$2&lt;/rt&gt;&lt;/ruby&gt;""
)&amp;""&lt;br&gt;&lt;div class=""""audio""""&gt;[sound:""&amp;C6655&amp;"".mp3]&lt;/div&gt;"""),"&lt;ruby&gt;活力&lt;rt&gt;かつりょく&lt;/rt&gt;&lt;/ruby&gt;&lt;br&gt;&lt;div class=""audio""&gt;[sound:かつりょく.mp3]&lt;/div&gt;")</f>
        <v>&lt;ruby&gt;活力&lt;rt&gt;かつりょく&lt;/rt&gt;&lt;/ruby&gt;&lt;br&gt;&lt;div class="audio"&gt;[sound:かつりょく.mp3]&lt;/div&gt;</v>
      </c>
      <c r="H6655" s="3" t="str">
        <f t="shared" si="1"/>
        <v>(n): sức sống</v>
      </c>
      <c r="I6655" s="6" t="s">
        <v>36205</v>
      </c>
      <c r="J6655" s="6" t="s">
        <v>36206</v>
      </c>
      <c r="K6655" s="7">
        <f t="shared" si="2"/>
        <v>0.810454384</v>
      </c>
    </row>
    <row r="6656">
      <c r="A6656" s="4">
        <v>6656.0</v>
      </c>
      <c r="B6656" s="5" t="s">
        <v>36207</v>
      </c>
      <c r="C6656" s="5" t="s">
        <v>8326</v>
      </c>
      <c r="D6656" s="5" t="s">
        <v>36208</v>
      </c>
      <c r="E6656" s="6" t="s">
        <v>74</v>
      </c>
      <c r="F6656" s="6" t="s">
        <v>8849</v>
      </c>
      <c r="G6656" s="3" t="str">
        <f>IFERROR(__xludf.DUMMYFUNCTION("REGEXREPLACE(
D6656,
""([一-龯々]+)\[([^\]]+)\]"",
""&lt;ruby&gt;$1&lt;rt&gt;$2&lt;/rt&gt;&lt;/ruby&gt;""
)&amp;""&lt;br&gt;&lt;div class=""""audio""""&gt;[sound:""&amp;C6656&amp;"".mp3]&lt;/div&gt;"""),"&lt;ruby&gt;作製&lt;rt&gt;さくせい&lt;/rt&gt;&lt;/ruby&gt;&lt;br&gt;&lt;div class=""audio""&gt;[sound:さくせい.mp3]&lt;/div&gt;")</f>
        <v>&lt;ruby&gt;作製&lt;rt&gt;さくせい&lt;/rt&gt;&lt;/ruby&gt;&lt;br&gt;&lt;div class="audio"&gt;[sound:さくせい.mp3]&lt;/div&gt;</v>
      </c>
      <c r="H6656" s="3" t="str">
        <f t="shared" si="1"/>
        <v>(n): chế tạo</v>
      </c>
      <c r="I6656" s="6" t="s">
        <v>36209</v>
      </c>
      <c r="J6656" s="6" t="s">
        <v>36210</v>
      </c>
      <c r="K6656" s="7">
        <f t="shared" si="2"/>
        <v>0.6022482689</v>
      </c>
    </row>
    <row r="6657">
      <c r="A6657" s="4">
        <v>6657.0</v>
      </c>
      <c r="B6657" s="5" t="s">
        <v>36211</v>
      </c>
      <c r="C6657" s="5" t="s">
        <v>31493</v>
      </c>
      <c r="D6657" s="5" t="s">
        <v>36212</v>
      </c>
      <c r="E6657" s="6" t="s">
        <v>74</v>
      </c>
      <c r="F6657" s="6" t="s">
        <v>36213</v>
      </c>
      <c r="G6657" s="3" t="str">
        <f>IFERROR(__xludf.DUMMYFUNCTION("REGEXREPLACE(
D6657,
""([一-龯々]+)\[([^\]]+)\]"",
""&lt;ruby&gt;$1&lt;rt&gt;$2&lt;/rt&gt;&lt;/ruby&gt;""
)&amp;""&lt;br&gt;&lt;div class=""""audio""""&gt;[sound:""&amp;C6657&amp;"".mp3]&lt;/div&gt;"""),"&lt;ruby&gt;墨&lt;rt&gt;すみ&lt;/rt&gt;&lt;/ruby&gt;&lt;br&gt;&lt;div class=""audio""&gt;[sound:すみ.mp3]&lt;/div&gt;")</f>
        <v>&lt;ruby&gt;墨&lt;rt&gt;すみ&lt;/rt&gt;&lt;/ruby&gt;&lt;br&gt;&lt;div class="audio"&gt;[sound:すみ.mp3]&lt;/div&gt;</v>
      </c>
      <c r="H6657" s="3" t="str">
        <f t="shared" si="1"/>
        <v>(n): mực tàu</v>
      </c>
      <c r="I6657" s="6" t="s">
        <v>36214</v>
      </c>
      <c r="J6657" s="6" t="s">
        <v>36215</v>
      </c>
      <c r="K6657" s="7">
        <f t="shared" si="2"/>
        <v>0.1704853963</v>
      </c>
    </row>
    <row r="6658">
      <c r="A6658" s="4">
        <v>6658.0</v>
      </c>
      <c r="B6658" s="5" t="s">
        <v>36216</v>
      </c>
      <c r="C6658" s="5" t="s">
        <v>36217</v>
      </c>
      <c r="D6658" s="5" t="s">
        <v>36218</v>
      </c>
      <c r="E6658" s="6" t="s">
        <v>74</v>
      </c>
      <c r="F6658" s="6" t="s">
        <v>21431</v>
      </c>
      <c r="G6658" s="3" t="str">
        <f>IFERROR(__xludf.DUMMYFUNCTION("REGEXREPLACE(
D6658,
""([一-龯々]+)\[([^\]]+)\]"",
""&lt;ruby&gt;$1&lt;rt&gt;$2&lt;/rt&gt;&lt;/ruby&gt;""
)&amp;""&lt;br&gt;&lt;div class=""""audio""""&gt;[sound:""&amp;C6658&amp;"".mp3]&lt;/div&gt;"""),"&lt;ruby&gt;粗筋&lt;rt&gt;あらすじ&lt;/rt&gt;&lt;/ruby&gt;&lt;br&gt;&lt;div class=""audio""&gt;[sound:あらすじ.mp3]&lt;/div&gt;")</f>
        <v>&lt;ruby&gt;粗筋&lt;rt&gt;あらすじ&lt;/rt&gt;&lt;/ruby&gt;&lt;br&gt;&lt;div class="audio"&gt;[sound:あらすじ.mp3]&lt;/div&gt;</v>
      </c>
      <c r="H6658" s="3" t="str">
        <f t="shared" si="1"/>
        <v>(n): tóm tắt</v>
      </c>
      <c r="I6658" s="6" t="s">
        <v>36219</v>
      </c>
      <c r="J6658" s="6" t="s">
        <v>36220</v>
      </c>
      <c r="K6658" s="7">
        <f t="shared" si="2"/>
        <v>0.5449622462</v>
      </c>
    </row>
    <row r="6659">
      <c r="A6659" s="4">
        <v>6659.0</v>
      </c>
      <c r="B6659" s="5" t="s">
        <v>36221</v>
      </c>
      <c r="C6659" s="5" t="s">
        <v>36222</v>
      </c>
      <c r="D6659" s="5" t="s">
        <v>36223</v>
      </c>
      <c r="E6659" s="6" t="s">
        <v>74</v>
      </c>
      <c r="F6659" s="6" t="s">
        <v>36224</v>
      </c>
      <c r="G6659" s="3" t="str">
        <f>IFERROR(__xludf.DUMMYFUNCTION("REGEXREPLACE(
D6659,
""([一-龯々]+)\[([^\]]+)\]"",
""&lt;ruby&gt;$1&lt;rt&gt;$2&lt;/rt&gt;&lt;/ruby&gt;""
)&amp;""&lt;br&gt;&lt;div class=""""audio""""&gt;[sound:""&amp;C6659&amp;"".mp3]&lt;/div&gt;"""),"&lt;ruby&gt;諺&lt;rt&gt;ことわざ&lt;/rt&gt;&lt;/ruby&gt;&lt;br&gt;&lt;div class=""audio""&gt;[sound:ことわざ.mp3]&lt;/div&gt;")</f>
        <v>&lt;ruby&gt;諺&lt;rt&gt;ことわざ&lt;/rt&gt;&lt;/ruby&gt;&lt;br&gt;&lt;div class="audio"&gt;[sound:ことわざ.mp3]&lt;/div&gt;</v>
      </c>
      <c r="H6659" s="3" t="str">
        <f t="shared" si="1"/>
        <v>(n): tục ngữ</v>
      </c>
      <c r="I6659" s="6" t="s">
        <v>36225</v>
      </c>
      <c r="J6659" s="6" t="s">
        <v>36226</v>
      </c>
      <c r="K6659" s="7">
        <f t="shared" si="2"/>
        <v>0.9273081873</v>
      </c>
    </row>
    <row r="6660">
      <c r="A6660" s="4">
        <v>6660.0</v>
      </c>
      <c r="B6660" s="5" t="s">
        <v>36227</v>
      </c>
      <c r="C6660" s="5" t="s">
        <v>36228</v>
      </c>
      <c r="D6660" s="5" t="s">
        <v>36229</v>
      </c>
      <c r="E6660" s="6" t="s">
        <v>74</v>
      </c>
      <c r="F6660" s="6" t="s">
        <v>2397</v>
      </c>
      <c r="G6660" s="3" t="str">
        <f>IFERROR(__xludf.DUMMYFUNCTION("REGEXREPLACE(
D6660,
""([一-龯々]+)\[([^\]]+)\]"",
""&lt;ruby&gt;$1&lt;rt&gt;$2&lt;/rt&gt;&lt;/ruby&gt;""
)&amp;""&lt;br&gt;&lt;div class=""""audio""""&gt;[sound:""&amp;C6660&amp;"".mp3]&lt;/div&gt;"""),"&lt;ruby&gt;便所&lt;rt&gt;べんじょ&lt;/rt&gt;&lt;/ruby&gt;&lt;br&gt;&lt;div class=""audio""&gt;[sound:べんじょ.mp3]&lt;/div&gt;")</f>
        <v>&lt;ruby&gt;便所&lt;rt&gt;べんじょ&lt;/rt&gt;&lt;/ruby&gt;&lt;br&gt;&lt;div class="audio"&gt;[sound:べんじょ.mp3]&lt;/div&gt;</v>
      </c>
      <c r="H6660" s="3" t="str">
        <f t="shared" si="1"/>
        <v>(n): nhà vệ sinh</v>
      </c>
      <c r="I6660" s="6" t="s">
        <v>36230</v>
      </c>
      <c r="J6660" s="6" t="s">
        <v>36231</v>
      </c>
      <c r="K6660" s="7">
        <f t="shared" si="2"/>
        <v>0.5316995334</v>
      </c>
    </row>
    <row r="6661">
      <c r="A6661" s="4">
        <v>6661.0</v>
      </c>
      <c r="B6661" s="5" t="s">
        <v>36232</v>
      </c>
      <c r="C6661" s="5" t="s">
        <v>36233</v>
      </c>
      <c r="D6661" s="5" t="s">
        <v>36234</v>
      </c>
      <c r="E6661" s="6" t="s">
        <v>11</v>
      </c>
      <c r="F6661" s="6" t="s">
        <v>32127</v>
      </c>
      <c r="G6661" s="3" t="str">
        <f>IFERROR(__xludf.DUMMYFUNCTION("REGEXREPLACE(
D6661,
""([一-龯々]+)\[([^\]]+)\]"",
""&lt;ruby&gt;$1&lt;rt&gt;$2&lt;/rt&gt;&lt;/ruby&gt;""
)&amp;""&lt;br&gt;&lt;div class=""""audio""""&gt;[sound:""&amp;C6661&amp;"".mp3]&lt;/div&gt;"""),"&lt;ruby&gt;空&lt;rt&gt;から&lt;/rt&gt;&lt;/ruby&gt;っぽ&lt;br&gt;&lt;div class=""audio""&gt;[sound:からっぽ.mp3]&lt;/div&gt;")</f>
        <v>&lt;ruby&gt;空&lt;rt&gt;から&lt;/rt&gt;&lt;/ruby&gt;っぽ&lt;br&gt;&lt;div class="audio"&gt;[sound:からっぽ.mp3]&lt;/div&gt;</v>
      </c>
      <c r="H6661" s="3" t="str">
        <f t="shared" si="1"/>
        <v>(adj): trống rỗng</v>
      </c>
      <c r="I6661" s="6" t="s">
        <v>36235</v>
      </c>
      <c r="J6661" s="6" t="s">
        <v>36236</v>
      </c>
      <c r="K6661" s="7">
        <f t="shared" si="2"/>
        <v>0.7045776692</v>
      </c>
    </row>
    <row r="6662">
      <c r="A6662" s="4">
        <v>6662.0</v>
      </c>
      <c r="B6662" s="5" t="s">
        <v>36237</v>
      </c>
      <c r="C6662" s="5" t="s">
        <v>36238</v>
      </c>
      <c r="D6662" s="5" t="s">
        <v>36239</v>
      </c>
      <c r="E6662" s="6" t="s">
        <v>74</v>
      </c>
      <c r="F6662" s="6" t="s">
        <v>36240</v>
      </c>
      <c r="G6662" s="3" t="str">
        <f>IFERROR(__xludf.DUMMYFUNCTION("REGEXREPLACE(
D6662,
""([一-龯々]+)\[([^\]]+)\]"",
""&lt;ruby&gt;$1&lt;rt&gt;$2&lt;/rt&gt;&lt;/ruby&gt;""
)&amp;""&lt;br&gt;&lt;div class=""""audio""""&gt;[sound:""&amp;C6662&amp;"".mp3]&lt;/div&gt;"""),"&lt;ruby&gt;内科&lt;rt&gt;ないか&lt;/rt&gt;&lt;/ruby&gt;&lt;br&gt;&lt;div class=""audio""&gt;[sound:ないか.mp3]&lt;/div&gt;")</f>
        <v>&lt;ruby&gt;内科&lt;rt&gt;ないか&lt;/rt&gt;&lt;/ruby&gt;&lt;br&gt;&lt;div class="audio"&gt;[sound:ないか.mp3]&lt;/div&gt;</v>
      </c>
      <c r="H6662" s="3" t="str">
        <f t="shared" si="1"/>
        <v>(n): khoa nội</v>
      </c>
      <c r="I6662" s="6" t="s">
        <v>36241</v>
      </c>
      <c r="J6662" s="6" t="s">
        <v>36242</v>
      </c>
      <c r="K6662" s="7">
        <f t="shared" si="2"/>
        <v>0.9652673854</v>
      </c>
    </row>
    <row r="6663">
      <c r="A6663" s="4">
        <v>6663.0</v>
      </c>
      <c r="B6663" s="5" t="s">
        <v>36243</v>
      </c>
      <c r="C6663" s="5" t="s">
        <v>36244</v>
      </c>
      <c r="D6663" s="5" t="s">
        <v>36245</v>
      </c>
      <c r="E6663" s="6" t="s">
        <v>74</v>
      </c>
      <c r="F6663" s="6" t="s">
        <v>36246</v>
      </c>
      <c r="G6663" s="3" t="str">
        <f>IFERROR(__xludf.DUMMYFUNCTION("REGEXREPLACE(
D6663,
""([一-龯々]+)\[([^\]]+)\]"",
""&lt;ruby&gt;$1&lt;rt&gt;$2&lt;/rt&gt;&lt;/ruby&gt;""
)&amp;""&lt;br&gt;&lt;div class=""""audio""""&gt;[sound:""&amp;C6663&amp;"".mp3]&lt;/div&gt;"""),"&lt;ruby&gt;定規&lt;rt&gt;じょうぎ&lt;/rt&gt;&lt;/ruby&gt;&lt;br&gt;&lt;div class=""audio""&gt;[sound:じょうぎ.mp3]&lt;/div&gt;")</f>
        <v>&lt;ruby&gt;定規&lt;rt&gt;じょうぎ&lt;/rt&gt;&lt;/ruby&gt;&lt;br&gt;&lt;div class="audio"&gt;[sound:じょうぎ.mp3]&lt;/div&gt;</v>
      </c>
      <c r="H6663" s="3" t="str">
        <f t="shared" si="1"/>
        <v>(n): thước kẻ</v>
      </c>
      <c r="I6663" s="6" t="s">
        <v>36247</v>
      </c>
      <c r="J6663" s="6" t="s">
        <v>36248</v>
      </c>
      <c r="K6663" s="7">
        <f t="shared" si="2"/>
        <v>0.3185512706</v>
      </c>
    </row>
    <row r="6664">
      <c r="A6664" s="4">
        <v>6664.0</v>
      </c>
      <c r="B6664" s="5" t="s">
        <v>36249</v>
      </c>
      <c r="C6664" s="5" t="s">
        <v>36250</v>
      </c>
      <c r="D6664" s="5" t="s">
        <v>36251</v>
      </c>
      <c r="E6664" s="6" t="s">
        <v>74</v>
      </c>
      <c r="F6664" s="6" t="s">
        <v>36252</v>
      </c>
      <c r="G6664" s="3" t="str">
        <f>IFERROR(__xludf.DUMMYFUNCTION("REGEXREPLACE(
D6664,
""([一-龯々]+)\[([^\]]+)\]"",
""&lt;ruby&gt;$1&lt;rt&gt;$2&lt;/rt&gt;&lt;/ruby&gt;""
)&amp;""&lt;br&gt;&lt;div class=""""audio""""&gt;[sound:""&amp;C6664&amp;"".mp3]&lt;/div&gt;"""),"&lt;ruby&gt;独身&lt;rt&gt;どくしん&lt;/rt&gt;&lt;/ruby&gt;&lt;br&gt;&lt;div class=""audio""&gt;[sound:どくしん.mp3]&lt;/div&gt;")</f>
        <v>&lt;ruby&gt;独身&lt;rt&gt;どくしん&lt;/rt&gt;&lt;/ruby&gt;&lt;br&gt;&lt;div class="audio"&gt;[sound:どくしん.mp3]&lt;/div&gt;</v>
      </c>
      <c r="H6664" s="3" t="str">
        <f t="shared" si="1"/>
        <v>(n): độc thân</v>
      </c>
      <c r="I6664" s="6" t="s">
        <v>36253</v>
      </c>
      <c r="J6664" s="6" t="s">
        <v>36254</v>
      </c>
      <c r="K6664" s="7">
        <f t="shared" si="2"/>
        <v>0.822432376</v>
      </c>
    </row>
    <row r="6665">
      <c r="A6665" s="4">
        <v>6665.0</v>
      </c>
      <c r="B6665" s="5" t="s">
        <v>36255</v>
      </c>
      <c r="C6665" s="5" t="s">
        <v>36256</v>
      </c>
      <c r="D6665" s="5" t="s">
        <v>36257</v>
      </c>
      <c r="E6665" s="6" t="s">
        <v>24</v>
      </c>
      <c r="F6665" s="6" t="s">
        <v>12849</v>
      </c>
      <c r="G6665" s="3" t="str">
        <f>IFERROR(__xludf.DUMMYFUNCTION("REGEXREPLACE(
D6665,
""([一-龯々]+)\[([^\]]+)\]"",
""&lt;ruby&gt;$1&lt;rt&gt;$2&lt;/rt&gt;&lt;/ruby&gt;""
)&amp;""&lt;br&gt;&lt;div class=""""audio""""&gt;[sound:""&amp;C6665&amp;"".mp3]&lt;/div&gt;"""),"&lt;ruby&gt;片寄&lt;rt&gt;かたよ&lt;/rt&gt;&lt;/ruby&gt;る&lt;br&gt;&lt;div class=""audio""&gt;[sound:かたよる.mp3]&lt;/div&gt;")</f>
        <v>&lt;ruby&gt;片寄&lt;rt&gt;かたよ&lt;/rt&gt;&lt;/ruby&gt;る&lt;br&gt;&lt;div class="audio"&gt;[sound:かたよる.mp3]&lt;/div&gt;</v>
      </c>
      <c r="H6665" s="3" t="str">
        <f t="shared" si="1"/>
        <v>(v): nghiêng</v>
      </c>
      <c r="I6665" s="6" t="s">
        <v>36258</v>
      </c>
      <c r="J6665" s="6" t="s">
        <v>36259</v>
      </c>
      <c r="K6665" s="7">
        <f t="shared" si="2"/>
        <v>0.6108279079</v>
      </c>
    </row>
    <row r="6666">
      <c r="A6666" s="4">
        <v>6666.0</v>
      </c>
      <c r="B6666" s="5" t="s">
        <v>36260</v>
      </c>
      <c r="C6666" s="5" t="s">
        <v>36261</v>
      </c>
      <c r="D6666" s="5" t="s">
        <v>36262</v>
      </c>
      <c r="E6666" s="6" t="s">
        <v>74</v>
      </c>
      <c r="F6666" s="6" t="s">
        <v>36263</v>
      </c>
      <c r="G6666" s="3" t="str">
        <f>IFERROR(__xludf.DUMMYFUNCTION("REGEXREPLACE(
D6666,
""([一-龯々]+)\[([^\]]+)\]"",
""&lt;ruby&gt;$1&lt;rt&gt;$2&lt;/rt&gt;&lt;/ruby&gt;""
)&amp;""&lt;br&gt;&lt;div class=""""audio""""&gt;[sound:""&amp;C6666&amp;"".mp3]&lt;/div&gt;"""),"&lt;ruby&gt;個体&lt;rt&gt;こたい&lt;/rt&gt;&lt;/ruby&gt;&lt;br&gt;&lt;div class=""audio""&gt;[sound:こたい.mp3]&lt;/div&gt;")</f>
        <v>&lt;ruby&gt;個体&lt;rt&gt;こたい&lt;/rt&gt;&lt;/ruby&gt;&lt;br&gt;&lt;div class="audio"&gt;[sound:こたい.mp3]&lt;/div&gt;</v>
      </c>
      <c r="H6666" s="3" t="str">
        <f t="shared" si="1"/>
        <v>(n): cá thể</v>
      </c>
      <c r="I6666" s="6" t="s">
        <v>36264</v>
      </c>
      <c r="J6666" s="6" t="s">
        <v>36265</v>
      </c>
      <c r="K6666" s="7">
        <f t="shared" si="2"/>
        <v>0.7914123435</v>
      </c>
    </row>
    <row r="6667">
      <c r="A6667" s="4">
        <v>6667.0</v>
      </c>
      <c r="B6667" s="5" t="s">
        <v>36266</v>
      </c>
      <c r="C6667" s="5" t="s">
        <v>22975</v>
      </c>
      <c r="D6667" s="5" t="s">
        <v>36267</v>
      </c>
      <c r="E6667" s="6" t="s">
        <v>85</v>
      </c>
      <c r="F6667" s="6" t="s">
        <v>16815</v>
      </c>
      <c r="G6667" s="3" t="str">
        <f>IFERROR(__xludf.DUMMYFUNCTION("REGEXREPLACE(
D6667,
""([一-龯々]+)\[([^\]]+)\]"",
""&lt;ruby&gt;$1&lt;rt&gt;$2&lt;/rt&gt;&lt;/ruby&gt;""
)&amp;""&lt;br&gt;&lt;div class=""""audio""""&gt;[sound:""&amp;C6667&amp;"".mp3]&lt;/div&gt;"""),"&lt;ruby&gt;再三&lt;rt&gt;さいさん&lt;/rt&gt;&lt;/ruby&gt;&lt;br&gt;&lt;div class=""audio""&gt;[sound:さいさん.mp3]&lt;/div&gt;")</f>
        <v>&lt;ruby&gt;再三&lt;rt&gt;さいさん&lt;/rt&gt;&lt;/ruby&gt;&lt;br&gt;&lt;div class="audio"&gt;[sound:さいさん.mp3]&lt;/div&gt;</v>
      </c>
      <c r="H6667" s="3" t="str">
        <f t="shared" si="1"/>
        <v>(adv): nhiều lần</v>
      </c>
      <c r="I6667" s="6" t="s">
        <v>36268</v>
      </c>
      <c r="J6667" s="6" t="s">
        <v>36269</v>
      </c>
      <c r="K6667" s="7">
        <f t="shared" si="2"/>
        <v>0.1748119491</v>
      </c>
    </row>
    <row r="6668">
      <c r="A6668" s="4">
        <v>6668.0</v>
      </c>
      <c r="B6668" s="5" t="s">
        <v>36270</v>
      </c>
      <c r="C6668" s="5" t="s">
        <v>36271</v>
      </c>
      <c r="D6668" s="5" t="s">
        <v>36272</v>
      </c>
      <c r="E6668" s="6" t="s">
        <v>74</v>
      </c>
      <c r="F6668" s="6" t="s">
        <v>24260</v>
      </c>
      <c r="G6668" s="3" t="str">
        <f>IFERROR(__xludf.DUMMYFUNCTION("REGEXREPLACE(
D6668,
""([一-龯々]+)\[([^\]]+)\]"",
""&lt;ruby&gt;$1&lt;rt&gt;$2&lt;/rt&gt;&lt;/ruby&gt;""
)&amp;""&lt;br&gt;&lt;div class=""""audio""""&gt;[sound:""&amp;C6668&amp;"".mp3]&lt;/div&gt;"""),"&lt;ruby&gt;落第&lt;rt&gt;らくだい&lt;/rt&gt;&lt;/ruby&gt;&lt;br&gt;&lt;div class=""audio""&gt;[sound:らくだい.mp3]&lt;/div&gt;")</f>
        <v>&lt;ruby&gt;落第&lt;rt&gt;らくだい&lt;/rt&gt;&lt;/ruby&gt;&lt;br&gt;&lt;div class="audio"&gt;[sound:らくだい.mp3]&lt;/div&gt;</v>
      </c>
      <c r="H6668" s="3" t="str">
        <f t="shared" si="1"/>
        <v>(n): trượt</v>
      </c>
      <c r="I6668" s="6" t="s">
        <v>36273</v>
      </c>
      <c r="J6668" s="6" t="s">
        <v>36274</v>
      </c>
      <c r="K6668" s="7">
        <f t="shared" si="2"/>
        <v>0.906177319</v>
      </c>
    </row>
    <row r="6669">
      <c r="A6669" s="4">
        <v>6669.0</v>
      </c>
      <c r="B6669" s="5" t="s">
        <v>36275</v>
      </c>
      <c r="C6669" s="5" t="s">
        <v>6412</v>
      </c>
      <c r="D6669" s="5" t="s">
        <v>36276</v>
      </c>
      <c r="E6669" s="6" t="s">
        <v>74</v>
      </c>
      <c r="F6669" s="6" t="s">
        <v>2494</v>
      </c>
      <c r="G6669" s="3" t="str">
        <f>IFERROR(__xludf.DUMMYFUNCTION("REGEXREPLACE(
D6669,
""([一-龯々]+)\[([^\]]+)\]"",
""&lt;ruby&gt;$1&lt;rt&gt;$2&lt;/rt&gt;&lt;/ruby&gt;""
)&amp;""&lt;br&gt;&lt;div class=""""audio""""&gt;[sound:""&amp;C6669&amp;"".mp3]&lt;/div&gt;"""),"&lt;ruby&gt;班&lt;rt&gt;はん&lt;/rt&gt;&lt;/ruby&gt;&lt;br&gt;&lt;div class=""audio""&gt;[sound:はん.mp3]&lt;/div&gt;")</f>
        <v>&lt;ruby&gt;班&lt;rt&gt;はん&lt;/rt&gt;&lt;/ruby&gt;&lt;br&gt;&lt;div class="audio"&gt;[sound:はん.mp3]&lt;/div&gt;</v>
      </c>
      <c r="H6669" s="3" t="str">
        <f t="shared" si="1"/>
        <v>(n): nhóm</v>
      </c>
      <c r="I6669" s="6" t="s">
        <v>36277</v>
      </c>
      <c r="J6669" s="6" t="s">
        <v>36278</v>
      </c>
      <c r="K6669" s="7">
        <f t="shared" si="2"/>
        <v>0.5471263078</v>
      </c>
    </row>
    <row r="6670">
      <c r="A6670" s="4">
        <v>6670.0</v>
      </c>
      <c r="B6670" s="5" t="s">
        <v>36279</v>
      </c>
      <c r="C6670" s="5" t="s">
        <v>36280</v>
      </c>
      <c r="D6670" s="5" t="s">
        <v>36281</v>
      </c>
      <c r="E6670" s="6" t="s">
        <v>74</v>
      </c>
      <c r="F6670" s="6" t="s">
        <v>36282</v>
      </c>
      <c r="G6670" s="3" t="str">
        <f>IFERROR(__xludf.DUMMYFUNCTION("REGEXREPLACE(
D6670,
""([一-龯々]+)\[([^\]]+)\]"",
""&lt;ruby&gt;$1&lt;rt&gt;$2&lt;/rt&gt;&lt;/ruby&gt;""
)&amp;""&lt;br&gt;&lt;div class=""""audio""""&gt;[sound:""&amp;C6670&amp;"".mp3]&lt;/div&gt;"""),"&lt;ruby&gt;刀&lt;rt&gt;かたな&lt;/rt&gt;&lt;/ruby&gt;&lt;br&gt;&lt;div class=""audio""&gt;[sound:かたな.mp3]&lt;/div&gt;")</f>
        <v>&lt;ruby&gt;刀&lt;rt&gt;かたな&lt;/rt&gt;&lt;/ruby&gt;&lt;br&gt;&lt;div class="audio"&gt;[sound:かたな.mp3]&lt;/div&gt;</v>
      </c>
      <c r="H6670" s="3" t="str">
        <f t="shared" si="1"/>
        <v>(n): thanh kiếm</v>
      </c>
      <c r="I6670" s="6" t="s">
        <v>36283</v>
      </c>
      <c r="J6670" s="6" t="s">
        <v>36284</v>
      </c>
      <c r="K6670" s="7">
        <f t="shared" si="2"/>
        <v>0.4881801636</v>
      </c>
    </row>
    <row r="6671">
      <c r="A6671" s="4">
        <v>6671.0</v>
      </c>
      <c r="B6671" s="5" t="s">
        <v>36285</v>
      </c>
      <c r="C6671" s="5" t="s">
        <v>36285</v>
      </c>
      <c r="D6671" s="5" t="s">
        <v>36285</v>
      </c>
      <c r="E6671" s="6" t="s">
        <v>85</v>
      </c>
      <c r="F6671" s="6" t="s">
        <v>36286</v>
      </c>
      <c r="G6671" s="3" t="str">
        <f>IFERROR(__xludf.DUMMYFUNCTION("REGEXREPLACE(
D6671,
""([一-龯々]+)\[([^\]]+)\]"",
""&lt;ruby&gt;$1&lt;rt&gt;$2&lt;/rt&gt;&lt;/ruby&gt;""
)&amp;""&lt;br&gt;&lt;div class=""""audio""""&gt;[sound:""&amp;C6671&amp;"".mp3]&lt;/div&gt;"""),"まごまご&lt;br&gt;&lt;div class=""audio""&gt;[sound:まごまご.mp3]&lt;/div&gt;")</f>
        <v>まごまご&lt;br&gt;&lt;div class="audio"&gt;[sound:まごまご.mp3]&lt;/div&gt;</v>
      </c>
      <c r="H6671" s="3" t="str">
        <f t="shared" si="1"/>
        <v>(adv): lúng túng</v>
      </c>
      <c r="I6671" s="6" t="s">
        <v>36287</v>
      </c>
      <c r="J6671" s="6" t="s">
        <v>36288</v>
      </c>
      <c r="K6671" s="7">
        <f t="shared" si="2"/>
        <v>0.6677301228</v>
      </c>
    </row>
    <row r="6672">
      <c r="A6672" s="4">
        <v>6672.0</v>
      </c>
      <c r="B6672" s="5" t="s">
        <v>36289</v>
      </c>
      <c r="C6672" s="5" t="s">
        <v>36290</v>
      </c>
      <c r="D6672" s="5" t="s">
        <v>36291</v>
      </c>
      <c r="E6672" s="6" t="s">
        <v>74</v>
      </c>
      <c r="F6672" s="6" t="s">
        <v>36292</v>
      </c>
      <c r="G6672" s="3" t="str">
        <f>IFERROR(__xludf.DUMMYFUNCTION("REGEXREPLACE(
D6672,
""([一-龯々]+)\[([^\]]+)\]"",
""&lt;ruby&gt;$1&lt;rt&gt;$2&lt;/rt&gt;&lt;/ruby&gt;""
)&amp;""&lt;br&gt;&lt;div class=""""audio""""&gt;[sound:""&amp;C6672&amp;"".mp3]&lt;/div&gt;"""),"&lt;ruby&gt;習字&lt;rt&gt;しゅうじ&lt;/rt&gt;&lt;/ruby&gt;&lt;br&gt;&lt;div class=""audio""&gt;[sound:しゅうじ.mp3]&lt;/div&gt;")</f>
        <v>&lt;ruby&gt;習字&lt;rt&gt;しゅうじ&lt;/rt&gt;&lt;/ruby&gt;&lt;br&gt;&lt;div class="audio"&gt;[sound:しゅうじ.mp3]&lt;/div&gt;</v>
      </c>
      <c r="H6672" s="3" t="str">
        <f t="shared" si="1"/>
        <v>(n): viết chữ</v>
      </c>
      <c r="I6672" s="6" t="s">
        <v>36293</v>
      </c>
      <c r="J6672" s="6" t="s">
        <v>36294</v>
      </c>
      <c r="K6672" s="7">
        <f t="shared" si="2"/>
        <v>0.9052531299</v>
      </c>
    </row>
    <row r="6673">
      <c r="A6673" s="4">
        <v>6673.0</v>
      </c>
      <c r="B6673" s="5" t="s">
        <v>36295</v>
      </c>
      <c r="C6673" s="5" t="s">
        <v>36296</v>
      </c>
      <c r="D6673" s="5" t="s">
        <v>36297</v>
      </c>
      <c r="E6673" s="6" t="s">
        <v>74</v>
      </c>
      <c r="F6673" s="6" t="s">
        <v>36298</v>
      </c>
      <c r="G6673" s="3" t="str">
        <f>IFERROR(__xludf.DUMMYFUNCTION("REGEXREPLACE(
D6673,
""([一-龯々]+)\[([^\]]+)\]"",
""&lt;ruby&gt;$1&lt;rt&gt;$2&lt;/rt&gt;&lt;/ruby&gt;""
)&amp;""&lt;br&gt;&lt;div class=""""audio""""&gt;[sound:""&amp;C6673&amp;"".mp3]&lt;/div&gt;"""),"&lt;ruby&gt;利害&lt;rt&gt;りがい&lt;/rt&gt;&lt;/ruby&gt;&lt;br&gt;&lt;div class=""audio""&gt;[sound:りがい.mp3]&lt;/div&gt;")</f>
        <v>&lt;ruby&gt;利害&lt;rt&gt;りがい&lt;/rt&gt;&lt;/ruby&gt;&lt;br&gt;&lt;div class="audio"&gt;[sound:りがい.mp3]&lt;/div&gt;</v>
      </c>
      <c r="H6673" s="3" t="str">
        <f t="shared" si="1"/>
        <v>(n): lợi hại</v>
      </c>
      <c r="I6673" s="6" t="s">
        <v>36299</v>
      </c>
      <c r="J6673" s="6" t="s">
        <v>36300</v>
      </c>
      <c r="K6673" s="7">
        <f t="shared" si="2"/>
        <v>0.5559797321</v>
      </c>
    </row>
    <row r="6674">
      <c r="A6674" s="4">
        <v>6674.0</v>
      </c>
      <c r="B6674" s="5" t="s">
        <v>36301</v>
      </c>
      <c r="C6674" s="5" t="s">
        <v>36302</v>
      </c>
      <c r="D6674" s="5" t="s">
        <v>36303</v>
      </c>
      <c r="E6674" s="6" t="s">
        <v>74</v>
      </c>
      <c r="F6674" s="6" t="s">
        <v>36304</v>
      </c>
      <c r="G6674" s="3" t="str">
        <f>IFERROR(__xludf.DUMMYFUNCTION("REGEXREPLACE(
D6674,
""([一-龯々]+)\[([^\]]+)\]"",
""&lt;ruby&gt;$1&lt;rt&gt;$2&lt;/rt&gt;&lt;/ruby&gt;""
)&amp;""&lt;br&gt;&lt;div class=""""audio""""&gt;[sound:""&amp;C6674&amp;"".mp3]&lt;/div&gt;"""),"&lt;ruby&gt;夜行&lt;rt&gt;やこう&lt;/rt&gt;&lt;/ruby&gt;&lt;br&gt;&lt;div class=""audio""&gt;[sound:やこう.mp3]&lt;/div&gt;")</f>
        <v>&lt;ruby&gt;夜行&lt;rt&gt;やこう&lt;/rt&gt;&lt;/ruby&gt;&lt;br&gt;&lt;div class="audio"&gt;[sound:やこう.mp3]&lt;/div&gt;</v>
      </c>
      <c r="H6674" s="3" t="str">
        <f t="shared" si="1"/>
        <v>(n): đi đêm</v>
      </c>
      <c r="I6674" s="6" t="s">
        <v>36305</v>
      </c>
      <c r="J6674" s="6" t="s">
        <v>36306</v>
      </c>
      <c r="K6674" s="7">
        <f t="shared" si="2"/>
        <v>0.03749156405</v>
      </c>
    </row>
    <row r="6675">
      <c r="A6675" s="4">
        <v>6675.0</v>
      </c>
      <c r="B6675" s="5" t="s">
        <v>36307</v>
      </c>
      <c r="C6675" s="5" t="s">
        <v>36307</v>
      </c>
      <c r="D6675" s="5" t="s">
        <v>36307</v>
      </c>
      <c r="E6675" s="6" t="s">
        <v>24</v>
      </c>
      <c r="F6675" s="6" t="s">
        <v>36308</v>
      </c>
      <c r="G6675" s="3" t="str">
        <f>IFERROR(__xludf.DUMMYFUNCTION("REGEXREPLACE(
D6675,
""([一-龯々]+)\[([^\]]+)\]"",
""&lt;ruby&gt;$1&lt;rt&gt;$2&lt;/rt&gt;&lt;/ruby&gt;""
)&amp;""&lt;br&gt;&lt;div class=""""audio""""&gt;[sound:""&amp;C6675&amp;"".mp3]&lt;/div&gt;"""),"あぶる&lt;br&gt;&lt;div class=""audio""&gt;[sound:あぶる.mp3]&lt;/div&gt;")</f>
        <v>あぶる&lt;br&gt;&lt;div class="audio"&gt;[sound:あぶる.mp3]&lt;/div&gt;</v>
      </c>
      <c r="H6675" s="3" t="str">
        <f t="shared" si="1"/>
        <v>(v): hơ</v>
      </c>
      <c r="I6675" s="6" t="s">
        <v>36309</v>
      </c>
      <c r="J6675" s="6" t="s">
        <v>36310</v>
      </c>
      <c r="K6675" s="7">
        <f t="shared" si="2"/>
        <v>0.07637300325</v>
      </c>
    </row>
    <row r="6676">
      <c r="A6676" s="4">
        <v>6676.0</v>
      </c>
      <c r="B6676" s="5" t="s">
        <v>36311</v>
      </c>
      <c r="C6676" s="5" t="s">
        <v>36312</v>
      </c>
      <c r="D6676" s="5" t="s">
        <v>36313</v>
      </c>
      <c r="E6676" s="6" t="s">
        <v>74</v>
      </c>
      <c r="F6676" s="6" t="s">
        <v>36314</v>
      </c>
      <c r="G6676" s="3" t="str">
        <f>IFERROR(__xludf.DUMMYFUNCTION("REGEXREPLACE(
D6676,
""([一-龯々]+)\[([^\]]+)\]"",
""&lt;ruby&gt;$1&lt;rt&gt;$2&lt;/rt&gt;&lt;/ruby&gt;""
)&amp;""&lt;br&gt;&lt;div class=""""audio""""&gt;[sound:""&amp;C6676&amp;"".mp3]&lt;/div&gt;"""),"&lt;ruby&gt;車掌&lt;rt&gt;しゃしょう&lt;/rt&gt;&lt;/ruby&gt;&lt;br&gt;&lt;div class=""audio""&gt;[sound:しゃしょう.mp3]&lt;/div&gt;")</f>
        <v>&lt;ruby&gt;車掌&lt;rt&gt;しゃしょう&lt;/rt&gt;&lt;/ruby&gt;&lt;br&gt;&lt;div class="audio"&gt;[sound:しゃしょう.mp3]&lt;/div&gt;</v>
      </c>
      <c r="H6676" s="3" t="str">
        <f t="shared" si="1"/>
        <v>(n): nhân viên tàu</v>
      </c>
      <c r="I6676" s="6" t="s">
        <v>36315</v>
      </c>
      <c r="J6676" s="6" t="s">
        <v>36316</v>
      </c>
      <c r="K6676" s="7">
        <f t="shared" si="2"/>
        <v>0.4683832249</v>
      </c>
    </row>
    <row r="6677">
      <c r="A6677" s="4">
        <v>6677.0</v>
      </c>
      <c r="B6677" s="5" t="s">
        <v>36317</v>
      </c>
      <c r="C6677" s="5" t="s">
        <v>13196</v>
      </c>
      <c r="D6677" s="5" t="s">
        <v>36318</v>
      </c>
      <c r="E6677" s="6" t="s">
        <v>74</v>
      </c>
      <c r="F6677" s="6" t="s">
        <v>36319</v>
      </c>
      <c r="G6677" s="3" t="str">
        <f>IFERROR(__xludf.DUMMYFUNCTION("REGEXREPLACE(
D6677,
""([一-龯々]+)\[([^\]]+)\]"",
""&lt;ruby&gt;$1&lt;rt&gt;$2&lt;/rt&gt;&lt;/ruby&gt;""
)&amp;""&lt;br&gt;&lt;div class=""""audio""""&gt;[sound:""&amp;C6677&amp;"".mp3]&lt;/div&gt;"""),"&lt;ruby&gt;医院&lt;rt&gt;いいん&lt;/rt&gt;&lt;/ruby&gt;&lt;br&gt;&lt;div class=""audio""&gt;[sound:いいん.mp3]&lt;/div&gt;")</f>
        <v>&lt;ruby&gt;医院&lt;rt&gt;いいん&lt;/rt&gt;&lt;/ruby&gt;&lt;br&gt;&lt;div class="audio"&gt;[sound:いいん.mp3]&lt;/div&gt;</v>
      </c>
      <c r="H6677" s="3" t="str">
        <f t="shared" si="1"/>
        <v>(n): phòng khám</v>
      </c>
      <c r="I6677" s="6" t="s">
        <v>36320</v>
      </c>
      <c r="J6677" s="6" t="s">
        <v>36321</v>
      </c>
      <c r="K6677" s="7">
        <f t="shared" si="2"/>
        <v>0.9524351506</v>
      </c>
    </row>
    <row r="6678">
      <c r="A6678" s="4">
        <v>6678.0</v>
      </c>
      <c r="B6678" s="5" t="s">
        <v>36322</v>
      </c>
      <c r="C6678" s="5" t="s">
        <v>36323</v>
      </c>
      <c r="D6678" s="5" t="s">
        <v>36324</v>
      </c>
      <c r="E6678" s="6" t="s">
        <v>74</v>
      </c>
      <c r="F6678" s="6" t="s">
        <v>36325</v>
      </c>
      <c r="G6678" s="3" t="str">
        <f>IFERROR(__xludf.DUMMYFUNCTION("REGEXREPLACE(
D6678,
""([一-龯々]+)\[([^\]]+)\]"",
""&lt;ruby&gt;$1&lt;rt&gt;$2&lt;/rt&gt;&lt;/ruby&gt;""
)&amp;""&lt;br&gt;&lt;div class=""""audio""""&gt;[sound:""&amp;C6678&amp;"".mp3]&lt;/div&gt;"""),"&lt;ruby&gt;満員&lt;rt&gt;まんいん&lt;/rt&gt;&lt;/ruby&gt;&lt;br&gt;&lt;div class=""audio""&gt;[sound:まんいん.mp3]&lt;/div&gt;")</f>
        <v>&lt;ruby&gt;満員&lt;rt&gt;まんいん&lt;/rt&gt;&lt;/ruby&gt;&lt;br&gt;&lt;div class="audio"&gt;[sound:まんいん.mp3]&lt;/div&gt;</v>
      </c>
      <c r="H6678" s="3" t="str">
        <f t="shared" si="1"/>
        <v>(n): đầy người</v>
      </c>
      <c r="I6678" s="6" t="s">
        <v>36326</v>
      </c>
      <c r="J6678" s="6" t="s">
        <v>36327</v>
      </c>
      <c r="K6678" s="7">
        <f t="shared" si="2"/>
        <v>0.1917383749</v>
      </c>
    </row>
    <row r="6679">
      <c r="A6679" s="4">
        <v>6679.0</v>
      </c>
      <c r="B6679" s="5" t="s">
        <v>36328</v>
      </c>
      <c r="C6679" s="5" t="s">
        <v>36329</v>
      </c>
      <c r="D6679" s="5" t="s">
        <v>36330</v>
      </c>
      <c r="E6679" s="6" t="s">
        <v>74</v>
      </c>
      <c r="F6679" s="6" t="s">
        <v>36331</v>
      </c>
      <c r="G6679" s="3" t="str">
        <f>IFERROR(__xludf.DUMMYFUNCTION("REGEXREPLACE(
D6679,
""([一-龯々]+)\[([^\]]+)\]"",
""&lt;ruby&gt;$1&lt;rt&gt;$2&lt;/rt&gt;&lt;/ruby&gt;""
)&amp;""&lt;br&gt;&lt;div class=""""audio""""&gt;[sound:""&amp;C6679&amp;"".mp3]&lt;/div&gt;"""),"&lt;ruby&gt;熟語&lt;rt&gt;じゅくご&lt;/rt&gt;&lt;/ruby&gt;&lt;br&gt;&lt;div class=""audio""&gt;[sound:じゅくご.mp3]&lt;/div&gt;")</f>
        <v>&lt;ruby&gt;熟語&lt;rt&gt;じゅくご&lt;/rt&gt;&lt;/ruby&gt;&lt;br&gt;&lt;div class="audio"&gt;[sound:じゅくご.mp3]&lt;/div&gt;</v>
      </c>
      <c r="H6679" s="3" t="str">
        <f t="shared" si="1"/>
        <v>(n): thành ngữ</v>
      </c>
      <c r="I6679" s="6" t="s">
        <v>36332</v>
      </c>
      <c r="J6679" s="6" t="s">
        <v>36333</v>
      </c>
      <c r="K6679" s="7">
        <f t="shared" si="2"/>
        <v>0.3584572145</v>
      </c>
    </row>
    <row r="6680">
      <c r="A6680" s="4">
        <v>6680.0</v>
      </c>
      <c r="B6680" s="5" t="s">
        <v>36334</v>
      </c>
      <c r="C6680" s="5" t="s">
        <v>36335</v>
      </c>
      <c r="D6680" s="5" t="s">
        <v>36336</v>
      </c>
      <c r="E6680" s="6" t="s">
        <v>74</v>
      </c>
      <c r="F6680" s="6" t="s">
        <v>36337</v>
      </c>
      <c r="G6680" s="3" t="str">
        <f>IFERROR(__xludf.DUMMYFUNCTION("REGEXREPLACE(
D6680,
""([一-龯々]+)\[([^\]]+)\]"",
""&lt;ruby&gt;$1&lt;rt&gt;$2&lt;/rt&gt;&lt;/ruby&gt;""
)&amp;""&lt;br&gt;&lt;div class=""""audio""""&gt;[sound:""&amp;C6680&amp;"".mp3]&lt;/div&gt;"""),"&lt;ruby&gt;酔&lt;rt&gt;よ&lt;/rt&gt;&lt;/ruby&gt;っ&lt;ruby&gt;払&lt;rt&gt;ぱら&lt;/rt&gt;&lt;/ruby&gt;い&lt;br&gt;&lt;div class=""audio""&gt;[sound:よっぱらい.mp3]&lt;/div&gt;")</f>
        <v>&lt;ruby&gt;酔&lt;rt&gt;よ&lt;/rt&gt;&lt;/ruby&gt;っ&lt;ruby&gt;払&lt;rt&gt;ぱら&lt;/rt&gt;&lt;/ruby&gt;い&lt;br&gt;&lt;div class="audio"&gt;[sound:よっぱらい.mp3]&lt;/div&gt;</v>
      </c>
      <c r="H6680" s="3" t="str">
        <f t="shared" si="1"/>
        <v>(n): người say</v>
      </c>
      <c r="I6680" s="6" t="s">
        <v>36338</v>
      </c>
      <c r="J6680" s="6" t="s">
        <v>36339</v>
      </c>
      <c r="K6680" s="7">
        <f t="shared" si="2"/>
        <v>0.01476552152</v>
      </c>
    </row>
    <row r="6681">
      <c r="A6681" s="4">
        <v>6681.0</v>
      </c>
      <c r="B6681" s="5" t="s">
        <v>36340</v>
      </c>
      <c r="C6681" s="5" t="s">
        <v>36341</v>
      </c>
      <c r="D6681" s="5" t="s">
        <v>36342</v>
      </c>
      <c r="E6681" s="6" t="s">
        <v>74</v>
      </c>
      <c r="F6681" s="6" t="s">
        <v>36343</v>
      </c>
      <c r="G6681" s="3" t="str">
        <f>IFERROR(__xludf.DUMMYFUNCTION("REGEXREPLACE(
D6681,
""([一-龯々]+)\[([^\]]+)\]"",
""&lt;ruby&gt;$1&lt;rt&gt;$2&lt;/rt&gt;&lt;/ruby&gt;""
)&amp;""&lt;br&gt;&lt;div class=""""audio""""&gt;[sound:""&amp;C6681&amp;"".mp3]&lt;/div&gt;"""),"&lt;ruby&gt;光線&lt;rt&gt;こうせん&lt;/rt&gt;&lt;/ruby&gt;&lt;br&gt;&lt;div class=""audio""&gt;[sound:こうせん.mp3]&lt;/div&gt;")</f>
        <v>&lt;ruby&gt;光線&lt;rt&gt;こうせん&lt;/rt&gt;&lt;/ruby&gt;&lt;br&gt;&lt;div class="audio"&gt;[sound:こうせん.mp3]&lt;/div&gt;</v>
      </c>
      <c r="H6681" s="3" t="str">
        <f t="shared" si="1"/>
        <v>(n): tia sáng</v>
      </c>
      <c r="I6681" s="6" t="s">
        <v>36344</v>
      </c>
      <c r="J6681" s="6" t="s">
        <v>36345</v>
      </c>
      <c r="K6681" s="7">
        <f t="shared" si="2"/>
        <v>0.2080327758</v>
      </c>
    </row>
    <row r="6682">
      <c r="A6682" s="4">
        <v>6682.0</v>
      </c>
      <c r="B6682" s="5" t="s">
        <v>36346</v>
      </c>
      <c r="C6682" s="5" t="s">
        <v>36347</v>
      </c>
      <c r="D6682" s="5" t="s">
        <v>36348</v>
      </c>
      <c r="E6682" s="6" t="s">
        <v>24</v>
      </c>
      <c r="F6682" s="6" t="s">
        <v>36349</v>
      </c>
      <c r="G6682" s="3" t="str">
        <f>IFERROR(__xludf.DUMMYFUNCTION("REGEXREPLACE(
D6682,
""([一-龯々]+)\[([^\]]+)\]"",
""&lt;ruby&gt;$1&lt;rt&gt;$2&lt;/rt&gt;&lt;/ruby&gt;""
)&amp;""&lt;br&gt;&lt;div class=""""audio""""&gt;[sound:""&amp;C6682&amp;"".mp3]&lt;/div&gt;"""),"&lt;ruby&gt;言付&lt;rt&gt;ことづ&lt;/rt&gt;&lt;/ruby&gt;ける&lt;br&gt;&lt;div class=""audio""&gt;[sound:ことづける.mp3]&lt;/div&gt;")</f>
        <v>&lt;ruby&gt;言付&lt;rt&gt;ことづ&lt;/rt&gt;&lt;/ruby&gt;ける&lt;br&gt;&lt;div class="audio"&gt;[sound:ことづける.mp3]&lt;/div&gt;</v>
      </c>
      <c r="H6682" s="3" t="str">
        <f t="shared" si="1"/>
        <v>(v): nhắn gửi</v>
      </c>
      <c r="I6682" s="6" t="s">
        <v>36350</v>
      </c>
      <c r="J6682" s="6" t="s">
        <v>36351</v>
      </c>
      <c r="K6682" s="7">
        <f t="shared" si="2"/>
        <v>0.1466775142</v>
      </c>
    </row>
    <row r="6683">
      <c r="A6683" s="4">
        <v>6683.0</v>
      </c>
      <c r="B6683" s="5" t="s">
        <v>36352</v>
      </c>
      <c r="C6683" s="5" t="s">
        <v>36353</v>
      </c>
      <c r="D6683" s="5" t="s">
        <v>36354</v>
      </c>
      <c r="E6683" s="6" t="s">
        <v>74</v>
      </c>
      <c r="F6683" s="6" t="s">
        <v>36355</v>
      </c>
      <c r="G6683" s="3" t="str">
        <f>IFERROR(__xludf.DUMMYFUNCTION("REGEXREPLACE(
D6683,
""([一-龯々]+)\[([^\]]+)\]"",
""&lt;ruby&gt;$1&lt;rt&gt;$2&lt;/rt&gt;&lt;/ruby&gt;""
)&amp;""&lt;br&gt;&lt;div class=""""audio""""&gt;[sound:""&amp;C6683&amp;"".mp3]&lt;/div&gt;"""),"&lt;ruby&gt;火山&lt;rt&gt;かざん&lt;/rt&gt;&lt;/ruby&gt;&lt;br&gt;&lt;div class=""audio""&gt;[sound:かざん.mp3]&lt;/div&gt;")</f>
        <v>&lt;ruby&gt;火山&lt;rt&gt;かざん&lt;/rt&gt;&lt;/ruby&gt;&lt;br&gt;&lt;div class="audio"&gt;[sound:かざん.mp3]&lt;/div&gt;</v>
      </c>
      <c r="H6683" s="3" t="str">
        <f t="shared" si="1"/>
        <v>(n): núi lửa</v>
      </c>
      <c r="I6683" s="6" t="s">
        <v>36356</v>
      </c>
      <c r="J6683" s="6" t="s">
        <v>36357</v>
      </c>
      <c r="K6683" s="7">
        <f t="shared" si="2"/>
        <v>0.8501231645</v>
      </c>
    </row>
    <row r="6684">
      <c r="A6684" s="4">
        <v>6684.0</v>
      </c>
      <c r="B6684" s="5" t="s">
        <v>36358</v>
      </c>
      <c r="C6684" s="5" t="s">
        <v>36359</v>
      </c>
      <c r="D6684" s="5" t="s">
        <v>36360</v>
      </c>
      <c r="E6684" s="6" t="s">
        <v>74</v>
      </c>
      <c r="F6684" s="6" t="s">
        <v>36361</v>
      </c>
      <c r="G6684" s="3" t="str">
        <f>IFERROR(__xludf.DUMMYFUNCTION("REGEXREPLACE(
D6684,
""([一-龯々]+)\[([^\]]+)\]"",
""&lt;ruby&gt;$1&lt;rt&gt;$2&lt;/rt&gt;&lt;/ruby&gt;""
)&amp;""&lt;br&gt;&lt;div class=""""audio""""&gt;[sound:""&amp;C6684&amp;"".mp3]&lt;/div&gt;"""),"&lt;ruby&gt;果実&lt;rt&gt;かじつ&lt;/rt&gt;&lt;/ruby&gt;&lt;br&gt;&lt;div class=""audio""&gt;[sound:かじつ.mp3]&lt;/div&gt;")</f>
        <v>&lt;ruby&gt;果実&lt;rt&gt;かじつ&lt;/rt&gt;&lt;/ruby&gt;&lt;br&gt;&lt;div class="audio"&gt;[sound:かじつ.mp3]&lt;/div&gt;</v>
      </c>
      <c r="H6684" s="3" t="str">
        <f t="shared" si="1"/>
        <v>(n): quả</v>
      </c>
      <c r="I6684" s="6" t="s">
        <v>36362</v>
      </c>
      <c r="J6684" s="6" t="s">
        <v>36363</v>
      </c>
      <c r="K6684" s="7">
        <f t="shared" si="2"/>
        <v>0.5703866433</v>
      </c>
    </row>
    <row r="6685">
      <c r="A6685" s="4">
        <v>6685.0</v>
      </c>
      <c r="B6685" s="5" t="s">
        <v>36364</v>
      </c>
      <c r="C6685" s="5" t="s">
        <v>36365</v>
      </c>
      <c r="D6685" s="5" t="s">
        <v>36366</v>
      </c>
      <c r="E6685" s="6" t="s">
        <v>74</v>
      </c>
      <c r="F6685" s="6" t="s">
        <v>36367</v>
      </c>
      <c r="G6685" s="3" t="str">
        <f>IFERROR(__xludf.DUMMYFUNCTION("REGEXREPLACE(
D6685,
""([一-龯々]+)\[([^\]]+)\]"",
""&lt;ruby&gt;$1&lt;rt&gt;$2&lt;/rt&gt;&lt;/ruby&gt;""
)&amp;""&lt;br&gt;&lt;div class=""""audio""""&gt;[sound:""&amp;C6685&amp;"".mp3]&lt;/div&gt;"""),"&lt;ruby&gt;雷&lt;rt&gt;かみなり&lt;/rt&gt;&lt;/ruby&gt;&lt;br&gt;&lt;div class=""audio""&gt;[sound:かみなり.mp3]&lt;/div&gt;")</f>
        <v>&lt;ruby&gt;雷&lt;rt&gt;かみなり&lt;/rt&gt;&lt;/ruby&gt;&lt;br&gt;&lt;div class="audio"&gt;[sound:かみなり.mp3]&lt;/div&gt;</v>
      </c>
      <c r="H6685" s="3" t="str">
        <f t="shared" si="1"/>
        <v>(n): sấm</v>
      </c>
      <c r="I6685" s="6" t="s">
        <v>36368</v>
      </c>
      <c r="J6685" s="6" t="s">
        <v>36369</v>
      </c>
      <c r="K6685" s="7">
        <f t="shared" si="2"/>
        <v>0.1654145775</v>
      </c>
    </row>
    <row r="6686">
      <c r="A6686" s="4">
        <v>6686.0</v>
      </c>
      <c r="B6686" s="5" t="s">
        <v>36370</v>
      </c>
      <c r="C6686" s="5" t="s">
        <v>36371</v>
      </c>
      <c r="D6686" s="5" t="s">
        <v>36372</v>
      </c>
      <c r="E6686" s="6" t="s">
        <v>74</v>
      </c>
      <c r="F6686" s="6" t="s">
        <v>36373</v>
      </c>
      <c r="G6686" s="3" t="str">
        <f>IFERROR(__xludf.DUMMYFUNCTION("REGEXREPLACE(
D6686,
""([一-龯々]+)\[([^\]]+)\]"",
""&lt;ruby&gt;$1&lt;rt&gt;$2&lt;/rt&gt;&lt;/ruby&gt;""
)&amp;""&lt;br&gt;&lt;div class=""""audio""""&gt;[sound:""&amp;C6686&amp;"".mp3]&lt;/div&gt;"""),"&lt;ruby&gt;御無沙汰&lt;rt&gt;ごぶさた&lt;/rt&gt;&lt;/ruby&gt;&lt;br&gt;&lt;div class=""audio""&gt;[sound:ごぶさた.mp3]&lt;/div&gt;")</f>
        <v>&lt;ruby&gt;御無沙汰&lt;rt&gt;ごぶさた&lt;/rt&gt;&lt;/ruby&gt;&lt;br&gt;&lt;div class="audio"&gt;[sound:ごぶさた.mp3]&lt;/div&gt;</v>
      </c>
      <c r="H6686" s="3" t="str">
        <f t="shared" si="1"/>
        <v>(n): lâu không gặp</v>
      </c>
      <c r="I6686" s="6" t="s">
        <v>36374</v>
      </c>
      <c r="J6686" s="6" t="s">
        <v>36375</v>
      </c>
      <c r="K6686" s="7">
        <f t="shared" si="2"/>
        <v>0.4101609406</v>
      </c>
    </row>
    <row r="6687">
      <c r="A6687" s="4">
        <v>6687.0</v>
      </c>
      <c r="B6687" s="5" t="s">
        <v>36376</v>
      </c>
      <c r="C6687" s="5" t="s">
        <v>36377</v>
      </c>
      <c r="D6687" s="5" t="s">
        <v>36378</v>
      </c>
      <c r="E6687" s="6" t="s">
        <v>74</v>
      </c>
      <c r="F6687" s="6" t="s">
        <v>36379</v>
      </c>
      <c r="G6687" s="3" t="str">
        <f>IFERROR(__xludf.DUMMYFUNCTION("REGEXREPLACE(
D6687,
""([一-龯々]+)\[([^\]]+)\]"",
""&lt;ruby&gt;$1&lt;rt&gt;$2&lt;/rt&gt;&lt;/ruby&gt;""
)&amp;""&lt;br&gt;&lt;div class=""""audio""""&gt;[sound:""&amp;C6687&amp;"".mp3]&lt;/div&gt;"""),"&lt;ruby&gt;貸家&lt;rt&gt;かしや&lt;/rt&gt;&lt;/ruby&gt;&lt;br&gt;&lt;div class=""audio""&gt;[sound:かしや.mp3]&lt;/div&gt;")</f>
        <v>&lt;ruby&gt;貸家&lt;rt&gt;かしや&lt;/rt&gt;&lt;/ruby&gt;&lt;br&gt;&lt;div class="audio"&gt;[sound:かしや.mp3]&lt;/div&gt;</v>
      </c>
      <c r="H6687" s="3" t="str">
        <f t="shared" si="1"/>
        <v>(n): nhà cho thuê</v>
      </c>
      <c r="I6687" s="6" t="s">
        <v>36380</v>
      </c>
      <c r="J6687" s="6" t="s">
        <v>36381</v>
      </c>
      <c r="K6687" s="7">
        <f t="shared" si="2"/>
        <v>0.868828488</v>
      </c>
    </row>
    <row r="6688">
      <c r="A6688" s="4">
        <v>6688.0</v>
      </c>
      <c r="B6688" s="5" t="s">
        <v>36382</v>
      </c>
      <c r="C6688" s="5" t="s">
        <v>36383</v>
      </c>
      <c r="D6688" s="5" t="s">
        <v>36384</v>
      </c>
      <c r="E6688" s="6" t="s">
        <v>74</v>
      </c>
      <c r="F6688" s="6" t="s">
        <v>36385</v>
      </c>
      <c r="G6688" s="3" t="str">
        <f>IFERROR(__xludf.DUMMYFUNCTION("REGEXREPLACE(
D6688,
""([一-龯々]+)\[([^\]]+)\]"",
""&lt;ruby&gt;$1&lt;rt&gt;$2&lt;/rt&gt;&lt;/ruby&gt;""
)&amp;""&lt;br&gt;&lt;div class=""""audio""""&gt;[sound:""&amp;C6688&amp;"".mp3]&lt;/div&gt;"""),"&lt;ruby&gt;送&lt;rt&gt;おく&lt;/rt&gt;&lt;/ruby&gt;り&lt;ruby&gt;仮名&lt;rt&gt;がな&lt;/rt&gt;&lt;/ruby&gt;&lt;br&gt;&lt;div class=""audio""&gt;[sound:おくりがな.mp3]&lt;/div&gt;")</f>
        <v>&lt;ruby&gt;送&lt;rt&gt;おく&lt;/rt&gt;&lt;/ruby&gt;り&lt;ruby&gt;仮名&lt;rt&gt;がな&lt;/rt&gt;&lt;/ruby&gt;&lt;br&gt;&lt;div class="audio"&gt;[sound:おくりがな.mp3]&lt;/div&gt;</v>
      </c>
      <c r="H6688" s="3" t="str">
        <f t="shared" si="1"/>
        <v>(n): kana đi kèm</v>
      </c>
      <c r="I6688" s="6" t="s">
        <v>36386</v>
      </c>
      <c r="J6688" s="6" t="s">
        <v>36387</v>
      </c>
      <c r="K6688" s="7">
        <f t="shared" si="2"/>
        <v>0.4167034063</v>
      </c>
    </row>
    <row r="6689">
      <c r="A6689" s="4">
        <v>6689.0</v>
      </c>
      <c r="B6689" s="5" t="s">
        <v>36388</v>
      </c>
      <c r="C6689" s="5" t="s">
        <v>36389</v>
      </c>
      <c r="D6689" s="5" t="s">
        <v>36390</v>
      </c>
      <c r="E6689" s="6" t="s">
        <v>74</v>
      </c>
      <c r="F6689" s="6" t="s">
        <v>36391</v>
      </c>
      <c r="G6689" s="3" t="str">
        <f>IFERROR(__xludf.DUMMYFUNCTION("REGEXREPLACE(
D6689,
""([一-龯々]+)\[([^\]]+)\]"",
""&lt;ruby&gt;$1&lt;rt&gt;$2&lt;/rt&gt;&lt;/ruby&gt;""
)&amp;""&lt;br&gt;&lt;div class=""""audio""""&gt;[sound:""&amp;C6689&amp;"".mp3]&lt;/div&gt;"""),"&lt;ruby&gt;肘&lt;rt&gt;ひじ&lt;/rt&gt;&lt;/ruby&gt;&lt;br&gt;&lt;div class=""audio""&gt;[sound:ひじ.mp3]&lt;/div&gt;")</f>
        <v>&lt;ruby&gt;肘&lt;rt&gt;ひじ&lt;/rt&gt;&lt;/ruby&gt;&lt;br&gt;&lt;div class="audio"&gt;[sound:ひじ.mp3]&lt;/div&gt;</v>
      </c>
      <c r="H6689" s="3" t="str">
        <f t="shared" si="1"/>
        <v>(n): khuỷu tay</v>
      </c>
      <c r="I6689" s="6" t="s">
        <v>36392</v>
      </c>
      <c r="J6689" s="6" t="s">
        <v>36393</v>
      </c>
      <c r="K6689" s="7">
        <f t="shared" si="2"/>
        <v>0.2121581162</v>
      </c>
    </row>
    <row r="6690">
      <c r="A6690" s="4">
        <v>6690.0</v>
      </c>
      <c r="B6690" s="5" t="s">
        <v>36394</v>
      </c>
      <c r="C6690" s="5" t="s">
        <v>36395</v>
      </c>
      <c r="D6690" s="5" t="s">
        <v>36396</v>
      </c>
      <c r="E6690" s="6" t="s">
        <v>74</v>
      </c>
      <c r="F6690" s="6" t="s">
        <v>36397</v>
      </c>
      <c r="G6690" s="3" t="str">
        <f>IFERROR(__xludf.DUMMYFUNCTION("REGEXREPLACE(
D6690,
""([一-龯々]+)\[([^\]]+)\]"",
""&lt;ruby&gt;$1&lt;rt&gt;$2&lt;/rt&gt;&lt;/ruby&gt;""
)&amp;""&lt;br&gt;&lt;div class=""""audio""""&gt;[sound:""&amp;C6690&amp;"".mp3]&lt;/div&gt;"""),"&lt;ruby&gt;襖&lt;rt&gt;ふすま&lt;/rt&gt;&lt;/ruby&gt;&lt;br&gt;&lt;div class=""audio""&gt;[sound:ふすま.mp3]&lt;/div&gt;")</f>
        <v>&lt;ruby&gt;襖&lt;rt&gt;ふすま&lt;/rt&gt;&lt;/ruby&gt;&lt;br&gt;&lt;div class="audio"&gt;[sound:ふすま.mp3]&lt;/div&gt;</v>
      </c>
      <c r="H6690" s="3" t="str">
        <f t="shared" si="1"/>
        <v>(n): cửa trượt</v>
      </c>
      <c r="I6690" s="6" t="s">
        <v>36398</v>
      </c>
      <c r="J6690" s="6" t="s">
        <v>36399</v>
      </c>
      <c r="K6690" s="7">
        <f t="shared" si="2"/>
        <v>0.007235088734</v>
      </c>
    </row>
    <row r="6691">
      <c r="A6691" s="4">
        <v>6691.0</v>
      </c>
      <c r="B6691" s="5" t="s">
        <v>36400</v>
      </c>
      <c r="C6691" s="5" t="s">
        <v>36401</v>
      </c>
      <c r="D6691" s="5" t="s">
        <v>36402</v>
      </c>
      <c r="E6691" s="6" t="s">
        <v>85</v>
      </c>
      <c r="F6691" s="6" t="s">
        <v>36403</v>
      </c>
      <c r="G6691" s="3" t="str">
        <f>IFERROR(__xludf.DUMMYFUNCTION("REGEXREPLACE(
D6691,
""([一-龯々]+)\[([^\]]+)\]"",
""&lt;ruby&gt;$1&lt;rt&gt;$2&lt;/rt&gt;&lt;/ruby&gt;""
)&amp;""&lt;br&gt;&lt;div class=""""audio""""&gt;[sound:""&amp;C6691&amp;"".mp3]&lt;/div&gt;"""),"&lt;ruby&gt;滅多&lt;rt&gt;めった&lt;/rt&gt;&lt;/ruby&gt;に&lt;br&gt;&lt;div class=""audio""&gt;[sound:めったに.mp3]&lt;/div&gt;")</f>
        <v>&lt;ruby&gt;滅多&lt;rt&gt;めった&lt;/rt&gt;&lt;/ruby&gt;に&lt;br&gt;&lt;div class="audio"&gt;[sound:めったに.mp3]&lt;/div&gt;</v>
      </c>
      <c r="H6691" s="3" t="str">
        <f t="shared" si="1"/>
        <v>(adv): hiếm khi</v>
      </c>
      <c r="I6691" s="6" t="s">
        <v>36404</v>
      </c>
      <c r="J6691" s="6" t="s">
        <v>36405</v>
      </c>
      <c r="K6691" s="7">
        <f t="shared" si="2"/>
        <v>0.7409977123</v>
      </c>
    </row>
    <row r="6692">
      <c r="A6692" s="4">
        <v>6692.0</v>
      </c>
      <c r="B6692" s="5" t="s">
        <v>36406</v>
      </c>
      <c r="C6692" s="5" t="s">
        <v>20245</v>
      </c>
      <c r="D6692" s="5" t="s">
        <v>36407</v>
      </c>
      <c r="E6692" s="6" t="s">
        <v>74</v>
      </c>
      <c r="F6692" s="6" t="s">
        <v>36408</v>
      </c>
      <c r="G6692" s="3" t="str">
        <f>IFERROR(__xludf.DUMMYFUNCTION("REGEXREPLACE(
D6692,
""([一-龯々]+)\[([^\]]+)\]"",
""&lt;ruby&gt;$1&lt;rt&gt;$2&lt;/rt&gt;&lt;/ruby&gt;""
)&amp;""&lt;br&gt;&lt;div class=""""audio""""&gt;[sound:""&amp;C6692&amp;"".mp3]&lt;/div&gt;"""),"&lt;ruby&gt;胡椒&lt;rt&gt;こしょう&lt;/rt&gt;&lt;/ruby&gt;&lt;br&gt;&lt;div class=""audio""&gt;[sound:こしょう.mp3]&lt;/div&gt;")</f>
        <v>&lt;ruby&gt;胡椒&lt;rt&gt;こしょう&lt;/rt&gt;&lt;/ruby&gt;&lt;br&gt;&lt;div class="audio"&gt;[sound:こしょう.mp3]&lt;/div&gt;</v>
      </c>
      <c r="H6692" s="3" t="str">
        <f t="shared" si="1"/>
        <v>(n): hạt tiêu</v>
      </c>
      <c r="I6692" s="6" t="s">
        <v>36409</v>
      </c>
      <c r="J6692" s="6" t="s">
        <v>36410</v>
      </c>
      <c r="K6692" s="7">
        <f t="shared" si="2"/>
        <v>0.7141980071</v>
      </c>
    </row>
    <row r="6693">
      <c r="A6693" s="4">
        <v>6693.0</v>
      </c>
      <c r="B6693" s="5" t="s">
        <v>36411</v>
      </c>
      <c r="C6693" s="5" t="s">
        <v>24530</v>
      </c>
      <c r="D6693" s="5" t="s">
        <v>36412</v>
      </c>
      <c r="E6693" s="6" t="s">
        <v>74</v>
      </c>
      <c r="F6693" s="6" t="s">
        <v>23310</v>
      </c>
      <c r="G6693" s="3" t="str">
        <f>IFERROR(__xludf.DUMMYFUNCTION("REGEXREPLACE(
D6693,
""([一-龯々]+)\[([^\]]+)\]"",
""&lt;ruby&gt;$1&lt;rt&gt;$2&lt;/rt&gt;&lt;/ruby&gt;""
)&amp;""&lt;br&gt;&lt;div class=""""audio""""&gt;[sound:""&amp;C6693&amp;"".mp3]&lt;/div&gt;"""),"&lt;ruby&gt;公害&lt;rt&gt;こうがい&lt;/rt&gt;&lt;/ruby&gt;&lt;br&gt;&lt;div class=""audio""&gt;[sound:こうがい.mp3]&lt;/div&gt;")</f>
        <v>&lt;ruby&gt;公害&lt;rt&gt;こうがい&lt;/rt&gt;&lt;/ruby&gt;&lt;br&gt;&lt;div class="audio"&gt;[sound:こうがい.mp3]&lt;/div&gt;</v>
      </c>
      <c r="H6693" s="3" t="str">
        <f t="shared" si="1"/>
        <v>(n): ô nhiễm</v>
      </c>
      <c r="I6693" s="6" t="s">
        <v>36413</v>
      </c>
      <c r="J6693" s="6" t="s">
        <v>36414</v>
      </c>
      <c r="K6693" s="7">
        <f t="shared" si="2"/>
        <v>0.492602166</v>
      </c>
    </row>
    <row r="6694">
      <c r="A6694" s="4">
        <v>6694.0</v>
      </c>
      <c r="B6694" s="5" t="s">
        <v>36415</v>
      </c>
      <c r="C6694" s="5" t="s">
        <v>36416</v>
      </c>
      <c r="D6694" s="5" t="s">
        <v>36417</v>
      </c>
      <c r="E6694" s="6" t="s">
        <v>24</v>
      </c>
      <c r="F6694" s="6" t="s">
        <v>36418</v>
      </c>
      <c r="G6694" s="3" t="str">
        <f>IFERROR(__xludf.DUMMYFUNCTION("REGEXREPLACE(
D6694,
""([一-龯々]+)\[([^\]]+)\]"",
""&lt;ruby&gt;$1&lt;rt&gt;$2&lt;/rt&gt;&lt;/ruby&gt;""
)&amp;""&lt;br&gt;&lt;div class=""""audio""""&gt;[sound:""&amp;C6694&amp;"".mp3]&lt;/div&gt;"""),"&lt;ruby&gt;沸&lt;rt&gt;わ&lt;/rt&gt;&lt;/ruby&gt;かす&lt;br&gt;&lt;div class=""audio""&gt;[sound:わかす.mp3]&lt;/div&gt;")</f>
        <v>&lt;ruby&gt;沸&lt;rt&gt;わ&lt;/rt&gt;&lt;/ruby&gt;かす&lt;br&gt;&lt;div class="audio"&gt;[sound:わかす.mp3]&lt;/div&gt;</v>
      </c>
      <c r="H6694" s="3" t="str">
        <f t="shared" si="1"/>
        <v>(v): đun sôi</v>
      </c>
      <c r="I6694" s="6" t="s">
        <v>36419</v>
      </c>
      <c r="J6694" s="6" t="s">
        <v>36420</v>
      </c>
      <c r="K6694" s="7">
        <f t="shared" si="2"/>
        <v>0.9326512614</v>
      </c>
    </row>
    <row r="6695">
      <c r="A6695" s="4">
        <v>6695.0</v>
      </c>
      <c r="B6695" s="5" t="s">
        <v>36421</v>
      </c>
      <c r="C6695" s="5" t="s">
        <v>8103</v>
      </c>
      <c r="D6695" s="5" t="s">
        <v>36422</v>
      </c>
      <c r="E6695" s="6" t="s">
        <v>74</v>
      </c>
      <c r="F6695" s="6" t="s">
        <v>36423</v>
      </c>
      <c r="G6695" s="3" t="str">
        <f>IFERROR(__xludf.DUMMYFUNCTION("REGEXREPLACE(
D6695,
""([一-龯々]+)\[([^\]]+)\]"",
""&lt;ruby&gt;$1&lt;rt&gt;$2&lt;/rt&gt;&lt;/ruby&gt;""
)&amp;""&lt;br&gt;&lt;div class=""""audio""""&gt;[sound:""&amp;C6695&amp;"".mp3]&lt;/div&gt;"""),"&lt;ruby&gt;真理&lt;rt&gt;しんり&lt;/rt&gt;&lt;/ruby&gt;&lt;br&gt;&lt;div class=""audio""&gt;[sound:しんり.mp3]&lt;/div&gt;")</f>
        <v>&lt;ruby&gt;真理&lt;rt&gt;しんり&lt;/rt&gt;&lt;/ruby&gt;&lt;br&gt;&lt;div class="audio"&gt;[sound:しんり.mp3]&lt;/div&gt;</v>
      </c>
      <c r="H6695" s="3" t="str">
        <f t="shared" si="1"/>
        <v>(n): chân lý</v>
      </c>
      <c r="I6695" s="6" t="s">
        <v>36424</v>
      </c>
      <c r="J6695" s="6" t="s">
        <v>36425</v>
      </c>
      <c r="K6695" s="7">
        <f t="shared" si="2"/>
        <v>0.1793849957</v>
      </c>
    </row>
    <row r="6696">
      <c r="A6696" s="4">
        <v>6696.0</v>
      </c>
      <c r="B6696" s="5" t="s">
        <v>36426</v>
      </c>
      <c r="C6696" s="5" t="s">
        <v>36427</v>
      </c>
      <c r="D6696" s="5" t="s">
        <v>36428</v>
      </c>
      <c r="E6696" s="6" t="s">
        <v>74</v>
      </c>
      <c r="F6696" s="6" t="s">
        <v>20732</v>
      </c>
      <c r="G6696" s="3" t="str">
        <f>IFERROR(__xludf.DUMMYFUNCTION("REGEXREPLACE(
D6696,
""([一-龯々]+)\[([^\]]+)\]"",
""&lt;ruby&gt;$1&lt;rt&gt;$2&lt;/rt&gt;&lt;/ruby&gt;""
)&amp;""&lt;br&gt;&lt;div class=""""audio""""&gt;[sound:""&amp;C6696&amp;"".mp3]&lt;/div&gt;"""),"&lt;ruby&gt;熱中&lt;rt&gt;ねっちゅう&lt;/rt&gt;&lt;/ruby&gt;&lt;br&gt;&lt;div class=""audio""&gt;[sound:ねっちゅう.mp3]&lt;/div&gt;")</f>
        <v>&lt;ruby&gt;熱中&lt;rt&gt;ねっちゅう&lt;/rt&gt;&lt;/ruby&gt;&lt;br&gt;&lt;div class="audio"&gt;[sound:ねっちゅう.mp3]&lt;/div&gt;</v>
      </c>
      <c r="H6696" s="3" t="str">
        <f t="shared" si="1"/>
        <v>(n): say mê</v>
      </c>
      <c r="I6696" s="6" t="s">
        <v>36429</v>
      </c>
      <c r="J6696" s="6" t="s">
        <v>36430</v>
      </c>
      <c r="K6696" s="7">
        <f t="shared" si="2"/>
        <v>0.1119454092</v>
      </c>
    </row>
    <row r="6697">
      <c r="A6697" s="4">
        <v>6697.0</v>
      </c>
      <c r="B6697" s="5" t="s">
        <v>36431</v>
      </c>
      <c r="C6697" s="5" t="s">
        <v>36432</v>
      </c>
      <c r="D6697" s="5" t="s">
        <v>36433</v>
      </c>
      <c r="E6697" s="6" t="s">
        <v>74</v>
      </c>
      <c r="F6697" s="6" t="s">
        <v>18431</v>
      </c>
      <c r="G6697" s="3" t="str">
        <f>IFERROR(__xludf.DUMMYFUNCTION("REGEXREPLACE(
D6697,
""([一-龯々]+)\[([^\]]+)\]"",
""&lt;ruby&gt;$1&lt;rt&gt;$2&lt;/rt&gt;&lt;/ruby&gt;""
)&amp;""&lt;br&gt;&lt;div class=""""audio""""&gt;[sound:""&amp;C6697&amp;"".mp3]&lt;/div&gt;"""),"&lt;ruby&gt;包丁&lt;rt&gt;ほうちょう&lt;/rt&gt;&lt;/ruby&gt;&lt;br&gt;&lt;div class=""audio""&gt;[sound:ほうちょう.mp3]&lt;/div&gt;")</f>
        <v>&lt;ruby&gt;包丁&lt;rt&gt;ほうちょう&lt;/rt&gt;&lt;/ruby&gt;&lt;br&gt;&lt;div class="audio"&gt;[sound:ほうちょう.mp3]&lt;/div&gt;</v>
      </c>
      <c r="H6697" s="3" t="str">
        <f t="shared" si="1"/>
        <v>(n): dao</v>
      </c>
      <c r="I6697" s="6" t="s">
        <v>36434</v>
      </c>
      <c r="J6697" s="6" t="s">
        <v>18433</v>
      </c>
      <c r="K6697" s="7">
        <f t="shared" si="2"/>
        <v>0.8428748458</v>
      </c>
    </row>
    <row r="6698">
      <c r="A6698" s="4">
        <v>6698.0</v>
      </c>
      <c r="B6698" s="5" t="s">
        <v>36435</v>
      </c>
      <c r="C6698" s="5" t="s">
        <v>36436</v>
      </c>
      <c r="D6698" s="5" t="s">
        <v>36437</v>
      </c>
      <c r="E6698" s="6" t="s">
        <v>74</v>
      </c>
      <c r="F6698" s="6" t="s">
        <v>36438</v>
      </c>
      <c r="G6698" s="3" t="str">
        <f>IFERROR(__xludf.DUMMYFUNCTION("REGEXREPLACE(
D6698,
""([一-龯々]+)\[([^\]]+)\]"",
""&lt;ruby&gt;$1&lt;rt&gt;$2&lt;/rt&gt;&lt;/ruby&gt;""
)&amp;""&lt;br&gt;&lt;div class=""""audio""""&gt;[sound:""&amp;C6698&amp;"".mp3]&lt;/div&gt;"""),"&lt;ruby&gt;泥&lt;rt&gt;どろ&lt;/rt&gt;&lt;/ruby&gt;&lt;br&gt;&lt;div class=""audio""&gt;[sound:どろ.mp3]&lt;/div&gt;")</f>
        <v>&lt;ruby&gt;泥&lt;rt&gt;どろ&lt;/rt&gt;&lt;/ruby&gt;&lt;br&gt;&lt;div class="audio"&gt;[sound:どろ.mp3]&lt;/div&gt;</v>
      </c>
      <c r="H6698" s="3" t="str">
        <f t="shared" si="1"/>
        <v>(n): bùn</v>
      </c>
      <c r="I6698" s="6" t="s">
        <v>36439</v>
      </c>
      <c r="J6698" s="6" t="s">
        <v>36440</v>
      </c>
      <c r="K6698" s="7">
        <f t="shared" si="2"/>
        <v>0.9385856214</v>
      </c>
    </row>
    <row r="6699">
      <c r="A6699" s="4">
        <v>6699.0</v>
      </c>
      <c r="B6699" s="5" t="s">
        <v>36441</v>
      </c>
      <c r="C6699" s="5" t="s">
        <v>36442</v>
      </c>
      <c r="D6699" s="5" t="s">
        <v>36443</v>
      </c>
      <c r="E6699" s="6" t="s">
        <v>74</v>
      </c>
      <c r="F6699" s="6" t="s">
        <v>36444</v>
      </c>
      <c r="G6699" s="3" t="str">
        <f>IFERROR(__xludf.DUMMYFUNCTION("REGEXREPLACE(
D6699,
""([一-龯々]+)\[([^\]]+)\]"",
""&lt;ruby&gt;$1&lt;rt&gt;$2&lt;/rt&gt;&lt;/ruby&gt;""
)&amp;""&lt;br&gt;&lt;div class=""""audio""""&gt;[sound:""&amp;C6699&amp;"".mp3]&lt;/div&gt;"""),"&lt;ruby&gt;絹&lt;rt&gt;きぬ&lt;/rt&gt;&lt;/ruby&gt;&lt;br&gt;&lt;div class=""audio""&gt;[sound:きぬ.mp3]&lt;/div&gt;")</f>
        <v>&lt;ruby&gt;絹&lt;rt&gt;きぬ&lt;/rt&gt;&lt;/ruby&gt;&lt;br&gt;&lt;div class="audio"&gt;[sound:きぬ.mp3]&lt;/div&gt;</v>
      </c>
      <c r="H6699" s="3" t="str">
        <f t="shared" si="1"/>
        <v>(n): lụa</v>
      </c>
      <c r="I6699" s="6" t="s">
        <v>36445</v>
      </c>
      <c r="J6699" s="6" t="s">
        <v>36446</v>
      </c>
      <c r="K6699" s="7">
        <f t="shared" si="2"/>
        <v>0.994678097</v>
      </c>
    </row>
    <row r="6700">
      <c r="A6700" s="4">
        <v>6700.0</v>
      </c>
      <c r="B6700" s="5" t="s">
        <v>36447</v>
      </c>
      <c r="C6700" s="5" t="s">
        <v>67</v>
      </c>
      <c r="D6700" s="5" t="s">
        <v>36448</v>
      </c>
      <c r="E6700" s="6" t="s">
        <v>24</v>
      </c>
      <c r="F6700" s="6" t="s">
        <v>36449</v>
      </c>
      <c r="G6700" s="3" t="str">
        <f>IFERROR(__xludf.DUMMYFUNCTION("REGEXREPLACE(
D6700,
""([一-龯々]+)\[([^\]]+)\]"",
""&lt;ruby&gt;$1&lt;rt&gt;$2&lt;/rt&gt;&lt;/ruby&gt;""
)&amp;""&lt;br&gt;&lt;div class=""""audio""""&gt;[sound:""&amp;C6700&amp;"".mp3]&lt;/div&gt;"""),"&lt;ruby&gt;刷&lt;rt&gt;す&lt;/rt&gt;&lt;/ruby&gt;る&lt;br&gt;&lt;div class=""audio""&gt;[sound:する.mp3]&lt;/div&gt;")</f>
        <v>&lt;ruby&gt;刷&lt;rt&gt;す&lt;/rt&gt;&lt;/ruby&gt;る&lt;br&gt;&lt;div class="audio"&gt;[sound:する.mp3]&lt;/div&gt;</v>
      </c>
      <c r="H6700" s="3" t="str">
        <f t="shared" si="1"/>
        <v>(v): in</v>
      </c>
      <c r="I6700" s="6" t="s">
        <v>36450</v>
      </c>
      <c r="J6700" s="6" t="s">
        <v>36451</v>
      </c>
      <c r="K6700" s="7">
        <f t="shared" si="2"/>
        <v>0.1092152689</v>
      </c>
    </row>
    <row r="6701">
      <c r="A6701" s="4">
        <v>6701.0</v>
      </c>
      <c r="B6701" s="5" t="s">
        <v>36452</v>
      </c>
      <c r="C6701" s="5" t="s">
        <v>36453</v>
      </c>
      <c r="D6701" s="5" t="s">
        <v>36454</v>
      </c>
      <c r="E6701" s="6" t="s">
        <v>74</v>
      </c>
      <c r="F6701" s="6" t="s">
        <v>36455</v>
      </c>
      <c r="G6701" s="3" t="str">
        <f>IFERROR(__xludf.DUMMYFUNCTION("REGEXREPLACE(
D6701,
""([一-龯々]+)\[([^\]]+)\]"",
""&lt;ruby&gt;$1&lt;rt&gt;$2&lt;/rt&gt;&lt;/ruby&gt;""
)&amp;""&lt;br&gt;&lt;div class=""""audio""""&gt;[sound:""&amp;C6701&amp;"".mp3]&lt;/div&gt;"""),"&lt;ruby&gt;傑作&lt;rt&gt;けっさく&lt;/rt&gt;&lt;/ruby&gt;&lt;br&gt;&lt;div class=""audio""&gt;[sound:けっさく.mp3]&lt;/div&gt;")</f>
        <v>&lt;ruby&gt;傑作&lt;rt&gt;けっさく&lt;/rt&gt;&lt;/ruby&gt;&lt;br&gt;&lt;div class="audio"&gt;[sound:けっさく.mp3]&lt;/div&gt;</v>
      </c>
      <c r="H6701" s="3" t="str">
        <f t="shared" si="1"/>
        <v>(n): kiệt tác</v>
      </c>
      <c r="I6701" s="6" t="s">
        <v>36456</v>
      </c>
      <c r="J6701" s="6" t="s">
        <v>36457</v>
      </c>
      <c r="K6701" s="7">
        <f t="shared" si="2"/>
        <v>0.8970311633</v>
      </c>
    </row>
    <row r="6702">
      <c r="A6702" s="4">
        <v>6702.0</v>
      </c>
      <c r="B6702" s="5" t="s">
        <v>36458</v>
      </c>
      <c r="C6702" s="5" t="s">
        <v>36459</v>
      </c>
      <c r="D6702" s="5" t="s">
        <v>36460</v>
      </c>
      <c r="E6702" s="6" t="s">
        <v>74</v>
      </c>
      <c r="F6702" s="6" t="s">
        <v>26597</v>
      </c>
      <c r="G6702" s="3" t="str">
        <f>IFERROR(__xludf.DUMMYFUNCTION("REGEXREPLACE(
D6702,
""([一-龯々]+)\[([^\]]+)\]"",
""&lt;ruby&gt;$1&lt;rt&gt;$2&lt;/rt&gt;&lt;/ruby&gt;""
)&amp;""&lt;br&gt;&lt;div class=""""audio""""&gt;[sound:""&amp;C6702&amp;"".mp3]&lt;/div&gt;"""),"&lt;ruby&gt;家主&lt;rt&gt;やぬし&lt;/rt&gt;&lt;/ruby&gt;&lt;br&gt;&lt;div class=""audio""&gt;[sound:やぬし.mp3]&lt;/div&gt;")</f>
        <v>&lt;ruby&gt;家主&lt;rt&gt;やぬし&lt;/rt&gt;&lt;/ruby&gt;&lt;br&gt;&lt;div class="audio"&gt;[sound:やぬし.mp3]&lt;/div&gt;</v>
      </c>
      <c r="H6702" s="3" t="str">
        <f t="shared" si="1"/>
        <v>(n): chủ nhà</v>
      </c>
      <c r="I6702" s="6" t="s">
        <v>36461</v>
      </c>
      <c r="J6702" s="6" t="s">
        <v>36462</v>
      </c>
      <c r="K6702" s="7">
        <f t="shared" si="2"/>
        <v>0.3283760892</v>
      </c>
    </row>
    <row r="6703">
      <c r="A6703" s="4">
        <v>6703.0</v>
      </c>
      <c r="B6703" s="5" t="s">
        <v>36463</v>
      </c>
      <c r="C6703" s="5" t="s">
        <v>36464</v>
      </c>
      <c r="D6703" s="5" t="s">
        <v>36465</v>
      </c>
      <c r="E6703" s="6" t="s">
        <v>74</v>
      </c>
      <c r="F6703" s="6" t="s">
        <v>36466</v>
      </c>
      <c r="G6703" s="3" t="str">
        <f>IFERROR(__xludf.DUMMYFUNCTION("REGEXREPLACE(
D6703,
""([一-龯々]+)\[([^\]]+)\]"",
""&lt;ruby&gt;$1&lt;rt&gt;$2&lt;/rt&gt;&lt;/ruby&gt;""
)&amp;""&lt;br&gt;&lt;div class=""""audio""""&gt;[sound:""&amp;C6703&amp;"".mp3]&lt;/div&gt;"""),"&lt;ruby&gt;漁師&lt;rt&gt;りょうし&lt;/rt&gt;&lt;/ruby&gt;&lt;br&gt;&lt;div class=""audio""&gt;[sound:りょうし.mp3]&lt;/div&gt;")</f>
        <v>&lt;ruby&gt;漁師&lt;rt&gt;りょうし&lt;/rt&gt;&lt;/ruby&gt;&lt;br&gt;&lt;div class="audio"&gt;[sound:りょうし.mp3]&lt;/div&gt;</v>
      </c>
      <c r="H6703" s="3" t="str">
        <f t="shared" si="1"/>
        <v>(n): ngư dân</v>
      </c>
      <c r="I6703" s="6" t="s">
        <v>36467</v>
      </c>
      <c r="J6703" s="6" t="s">
        <v>36468</v>
      </c>
      <c r="K6703" s="7">
        <f t="shared" si="2"/>
        <v>0.8416908014</v>
      </c>
    </row>
    <row r="6704">
      <c r="A6704" s="4">
        <v>6704.0</v>
      </c>
      <c r="B6704" s="5" t="s">
        <v>36469</v>
      </c>
      <c r="C6704" s="5" t="s">
        <v>36470</v>
      </c>
      <c r="D6704" s="5" t="s">
        <v>36471</v>
      </c>
      <c r="E6704" s="6" t="s">
        <v>24</v>
      </c>
      <c r="F6704" s="6" t="s">
        <v>36472</v>
      </c>
      <c r="G6704" s="3" t="str">
        <f>IFERROR(__xludf.DUMMYFUNCTION("REGEXREPLACE(
D6704,
""([一-龯々]+)\[([^\]]+)\]"",
""&lt;ruby&gt;$1&lt;rt&gt;$2&lt;/rt&gt;&lt;/ruby&gt;""
)&amp;""&lt;br&gt;&lt;div class=""""audio""""&gt;[sound:""&amp;C6704&amp;"".mp3]&lt;/div&gt;"""),"&lt;ruby&gt;濡&lt;rt&gt;ぬ&lt;/rt&gt;&lt;/ruby&gt;らす&lt;br&gt;&lt;div class=""audio""&gt;[sound:ぬらす.mp3]&lt;/div&gt;")</f>
        <v>&lt;ruby&gt;濡&lt;rt&gt;ぬ&lt;/rt&gt;&lt;/ruby&gt;らす&lt;br&gt;&lt;div class="audio"&gt;[sound:ぬらす.mp3]&lt;/div&gt;</v>
      </c>
      <c r="H6704" s="3" t="str">
        <f t="shared" si="1"/>
        <v>(v): làm ướt</v>
      </c>
      <c r="I6704" s="6" t="s">
        <v>36473</v>
      </c>
      <c r="J6704" s="6" t="s">
        <v>36474</v>
      </c>
      <c r="K6704" s="7">
        <f t="shared" si="2"/>
        <v>0.5962622731</v>
      </c>
    </row>
    <row r="6705">
      <c r="A6705" s="4">
        <v>6705.0</v>
      </c>
      <c r="B6705" s="5" t="s">
        <v>36475</v>
      </c>
      <c r="C6705" s="5" t="s">
        <v>36476</v>
      </c>
      <c r="D6705" s="5" t="s">
        <v>36477</v>
      </c>
      <c r="E6705" s="6" t="s">
        <v>74</v>
      </c>
      <c r="F6705" s="6" t="s">
        <v>36478</v>
      </c>
      <c r="G6705" s="3" t="str">
        <f>IFERROR(__xludf.DUMMYFUNCTION("REGEXREPLACE(
D6705,
""([一-龯々]+)\[([^\]]+)\]"",
""&lt;ruby&gt;$1&lt;rt&gt;$2&lt;/rt&gt;&lt;/ruby&gt;""
)&amp;""&lt;br&gt;&lt;div class=""""audio""""&gt;[sound:""&amp;C6705&amp;"".mp3]&lt;/div&gt;"""),"&lt;ruby&gt;皮肉&lt;rt&gt;ひにく&lt;/rt&gt;&lt;/ruby&gt;&lt;br&gt;&lt;div class=""audio""&gt;[sound:ひにく.mp3]&lt;/div&gt;")</f>
        <v>&lt;ruby&gt;皮肉&lt;rt&gt;ひにく&lt;/rt&gt;&lt;/ruby&gt;&lt;br&gt;&lt;div class="audio"&gt;[sound:ひにく.mp3]&lt;/div&gt;</v>
      </c>
      <c r="H6705" s="3" t="str">
        <f t="shared" si="1"/>
        <v>(n): mỉa mai</v>
      </c>
      <c r="I6705" s="6" t="s">
        <v>36479</v>
      </c>
      <c r="J6705" s="6" t="s">
        <v>36480</v>
      </c>
      <c r="K6705" s="7">
        <f t="shared" si="2"/>
        <v>0.7311513493</v>
      </c>
    </row>
    <row r="6706">
      <c r="A6706" s="4">
        <v>6706.0</v>
      </c>
      <c r="B6706" s="5" t="s">
        <v>36481</v>
      </c>
      <c r="C6706" s="5" t="s">
        <v>36482</v>
      </c>
      <c r="D6706" s="5" t="s">
        <v>36483</v>
      </c>
      <c r="E6706" s="6" t="s">
        <v>74</v>
      </c>
      <c r="F6706" s="6" t="s">
        <v>30700</v>
      </c>
      <c r="G6706" s="3" t="str">
        <f>IFERROR(__xludf.DUMMYFUNCTION("REGEXREPLACE(
D6706,
""([一-龯々]+)\[([^\]]+)\]"",
""&lt;ruby&gt;$1&lt;rt&gt;$2&lt;/rt&gt;&lt;/ruby&gt;""
)&amp;""&lt;br&gt;&lt;div class=""""audio""""&gt;[sound:""&amp;C6706&amp;"".mp3]&lt;/div&gt;"""),"&lt;ruby&gt;艶&lt;rt&gt;つや&lt;/rt&gt;&lt;/ruby&gt;&lt;br&gt;&lt;div class=""audio""&gt;[sound:つや.mp3]&lt;/div&gt;")</f>
        <v>&lt;ruby&gt;艶&lt;rt&gt;つや&lt;/rt&gt;&lt;/ruby&gt;&lt;br&gt;&lt;div class="audio"&gt;[sound:つや.mp3]&lt;/div&gt;</v>
      </c>
      <c r="H6706" s="3" t="str">
        <f t="shared" si="1"/>
        <v>(n): độ bóng</v>
      </c>
      <c r="I6706" s="6" t="s">
        <v>36484</v>
      </c>
      <c r="J6706" s="6" t="s">
        <v>36485</v>
      </c>
      <c r="K6706" s="7">
        <f t="shared" si="2"/>
        <v>0.4163406715</v>
      </c>
    </row>
    <row r="6707">
      <c r="A6707" s="4">
        <v>6707.0</v>
      </c>
      <c r="B6707" s="5" t="s">
        <v>36486</v>
      </c>
      <c r="C6707" s="5" t="s">
        <v>36487</v>
      </c>
      <c r="D6707" s="5" t="s">
        <v>36488</v>
      </c>
      <c r="E6707" s="6" t="s">
        <v>74</v>
      </c>
      <c r="F6707" s="6" t="s">
        <v>36489</v>
      </c>
      <c r="G6707" s="3" t="str">
        <f>IFERROR(__xludf.DUMMYFUNCTION("REGEXREPLACE(
D6707,
""([一-龯々]+)\[([^\]]+)\]"",
""&lt;ruby&gt;$1&lt;rt&gt;$2&lt;/rt&gt;&lt;/ruby&gt;""
)&amp;""&lt;br&gt;&lt;div class=""""audio""""&gt;[sound:""&amp;C6707&amp;"".mp3]&lt;/div&gt;"""),"&lt;ruby&gt;食器&lt;rt&gt;しょっき&lt;/rt&gt;&lt;/ruby&gt;&lt;br&gt;&lt;div class=""audio""&gt;[sound:しょっき.mp3]&lt;/div&gt;")</f>
        <v>&lt;ruby&gt;食器&lt;rt&gt;しょっき&lt;/rt&gt;&lt;/ruby&gt;&lt;br&gt;&lt;div class="audio"&gt;[sound:しょっき.mp3]&lt;/div&gt;</v>
      </c>
      <c r="H6707" s="3" t="str">
        <f t="shared" si="1"/>
        <v>(n): bát đĩa</v>
      </c>
      <c r="I6707" s="6" t="s">
        <v>36490</v>
      </c>
      <c r="J6707" s="6" t="s">
        <v>36491</v>
      </c>
      <c r="K6707" s="7">
        <f t="shared" si="2"/>
        <v>0.07256264293</v>
      </c>
    </row>
    <row r="6708">
      <c r="A6708" s="4">
        <v>6708.0</v>
      </c>
      <c r="B6708" s="5" t="s">
        <v>36492</v>
      </c>
      <c r="C6708" s="5" t="s">
        <v>36493</v>
      </c>
      <c r="D6708" s="5" t="s">
        <v>36494</v>
      </c>
      <c r="E6708" s="6" t="s">
        <v>74</v>
      </c>
      <c r="F6708" s="6" t="s">
        <v>36495</v>
      </c>
      <c r="G6708" s="3" t="str">
        <f>IFERROR(__xludf.DUMMYFUNCTION("REGEXREPLACE(
D6708,
""([一-龯々]+)\[([^\]]+)\]"",
""&lt;ruby&gt;$1&lt;rt&gt;$2&lt;/rt&gt;&lt;/ruby&gt;""
)&amp;""&lt;br&gt;&lt;div class=""""audio""""&gt;[sound:""&amp;C6708&amp;"".mp3]&lt;/div&gt;"""),"&lt;ruby&gt;鶏肉&lt;rt&gt;とりにく&lt;/rt&gt;&lt;/ruby&gt;&lt;br&gt;&lt;div class=""audio""&gt;[sound:とりにく.mp3]&lt;/div&gt;")</f>
        <v>&lt;ruby&gt;鶏肉&lt;rt&gt;とりにく&lt;/rt&gt;&lt;/ruby&gt;&lt;br&gt;&lt;div class="audio"&gt;[sound:とりにく.mp3]&lt;/div&gt;</v>
      </c>
      <c r="H6708" s="3" t="str">
        <f t="shared" si="1"/>
        <v>(n): thịt gà</v>
      </c>
      <c r="I6708" s="6" t="s">
        <v>36496</v>
      </c>
      <c r="J6708" s="6" t="s">
        <v>36497</v>
      </c>
      <c r="K6708" s="7">
        <f t="shared" si="2"/>
        <v>0.56884275</v>
      </c>
    </row>
    <row r="6709">
      <c r="A6709" s="4">
        <v>6709.0</v>
      </c>
      <c r="B6709" s="5" t="s">
        <v>36498</v>
      </c>
      <c r="C6709" s="5" t="s">
        <v>36499</v>
      </c>
      <c r="D6709" s="5" t="s">
        <v>36500</v>
      </c>
      <c r="E6709" s="6" t="s">
        <v>74</v>
      </c>
      <c r="F6709" s="6" t="s">
        <v>18136</v>
      </c>
      <c r="G6709" s="3" t="str">
        <f>IFERROR(__xludf.DUMMYFUNCTION("REGEXREPLACE(
D6709,
""([一-龯々]+)\[([^\]]+)\]"",
""&lt;ruby&gt;$1&lt;rt&gt;$2&lt;/rt&gt;&lt;/ruby&gt;""
)&amp;""&lt;br&gt;&lt;div class=""""audio""""&gt;[sound:""&amp;C6709&amp;"".mp3]&lt;/div&gt;"""),"&lt;ruby&gt;四&lt;rt&gt;よ&lt;/rt&gt;&lt;/ruby&gt;つ&lt;ruby&gt;角&lt;rt&gt;かど&lt;/rt&gt;&lt;/ruby&gt;&lt;br&gt;&lt;div class=""audio""&gt;[sound:よつかど.mp3]&lt;/div&gt;")</f>
        <v>&lt;ruby&gt;四&lt;rt&gt;よ&lt;/rt&gt;&lt;/ruby&gt;つ&lt;ruby&gt;角&lt;rt&gt;かど&lt;/rt&gt;&lt;/ruby&gt;&lt;br&gt;&lt;div class="audio"&gt;[sound:よつかど.mp3]&lt;/div&gt;</v>
      </c>
      <c r="H6709" s="3" t="str">
        <f t="shared" si="1"/>
        <v>(n): ngã tư</v>
      </c>
      <c r="I6709" s="6" t="s">
        <v>36501</v>
      </c>
      <c r="J6709" s="6" t="s">
        <v>36502</v>
      </c>
      <c r="K6709" s="7">
        <f t="shared" si="2"/>
        <v>0.4874474582</v>
      </c>
    </row>
    <row r="6710">
      <c r="A6710" s="4">
        <v>6710.0</v>
      </c>
      <c r="B6710" s="5" t="s">
        <v>36503</v>
      </c>
      <c r="C6710" s="5" t="s">
        <v>36504</v>
      </c>
      <c r="D6710" s="5" t="s">
        <v>36505</v>
      </c>
      <c r="E6710" s="6" t="s">
        <v>74</v>
      </c>
      <c r="F6710" s="6" t="s">
        <v>22345</v>
      </c>
      <c r="G6710" s="3" t="str">
        <f>IFERROR(__xludf.DUMMYFUNCTION("REGEXREPLACE(
D6710,
""([一-龯々]+)\[([^\]]+)\]"",
""&lt;ruby&gt;$1&lt;rt&gt;$2&lt;/rt&gt;&lt;/ruby&gt;""
)&amp;""&lt;br&gt;&lt;div class=""""audio""""&gt;[sound:""&amp;C6710&amp;"".mp3]&lt;/div&gt;"""),"&lt;ruby&gt;寝巻&lt;rt&gt;ねまき&lt;/rt&gt;&lt;/ruby&gt;&lt;br&gt;&lt;div class=""audio""&gt;[sound:ねまき.mp3]&lt;/div&gt;")</f>
        <v>&lt;ruby&gt;寝巻&lt;rt&gt;ねまき&lt;/rt&gt;&lt;/ruby&gt;&lt;br&gt;&lt;div class="audio"&gt;[sound:ねまき.mp3]&lt;/div&gt;</v>
      </c>
      <c r="H6710" s="3" t="str">
        <f t="shared" si="1"/>
        <v>(n): đồ ngủ</v>
      </c>
      <c r="I6710" s="6" t="s">
        <v>36506</v>
      </c>
      <c r="J6710" s="6" t="s">
        <v>22347</v>
      </c>
      <c r="K6710" s="7">
        <f t="shared" si="2"/>
        <v>0.7092495559</v>
      </c>
    </row>
    <row r="6711">
      <c r="A6711" s="4">
        <v>6711.0</v>
      </c>
      <c r="B6711" s="5" t="s">
        <v>36507</v>
      </c>
      <c r="C6711" s="5" t="s">
        <v>36508</v>
      </c>
      <c r="D6711" s="5" t="s">
        <v>36509</v>
      </c>
      <c r="E6711" s="6" t="s">
        <v>11</v>
      </c>
      <c r="F6711" s="6" t="s">
        <v>36510</v>
      </c>
      <c r="G6711" s="3" t="str">
        <f>IFERROR(__xludf.DUMMYFUNCTION("REGEXREPLACE(
D6711,
""([一-龯々]+)\[([^\]]+)\]"",
""&lt;ruby&gt;$1&lt;rt&gt;$2&lt;/rt&gt;&lt;/ruby&gt;""
)&amp;""&lt;br&gt;&lt;div class=""""audio""""&gt;[sound:""&amp;C6711&amp;"".mp3]&lt;/div&gt;"""),"&lt;ruby&gt;塩辛&lt;rt&gt;しおから&lt;/rt&gt;&lt;/ruby&gt;い&lt;br&gt;&lt;div class=""audio""&gt;[sound:しおからい.mp3]&lt;/div&gt;")</f>
        <v>&lt;ruby&gt;塩辛&lt;rt&gt;しおから&lt;/rt&gt;&lt;/ruby&gt;い&lt;br&gt;&lt;div class="audio"&gt;[sound:しおからい.mp3]&lt;/div&gt;</v>
      </c>
      <c r="H6711" s="3" t="str">
        <f t="shared" si="1"/>
        <v>(adj): mặn</v>
      </c>
      <c r="I6711" s="6" t="s">
        <v>36511</v>
      </c>
      <c r="J6711" s="6" t="s">
        <v>36512</v>
      </c>
      <c r="K6711" s="7">
        <f t="shared" si="2"/>
        <v>0.7977040647</v>
      </c>
    </row>
    <row r="6712">
      <c r="A6712" s="4">
        <v>6712.0</v>
      </c>
      <c r="B6712" s="5" t="s">
        <v>36513</v>
      </c>
      <c r="C6712" s="5" t="s">
        <v>25902</v>
      </c>
      <c r="D6712" s="5" t="s">
        <v>36514</v>
      </c>
      <c r="E6712" s="6" t="s">
        <v>74</v>
      </c>
      <c r="F6712" s="6" t="s">
        <v>36515</v>
      </c>
      <c r="G6712" s="3" t="str">
        <f>IFERROR(__xludf.DUMMYFUNCTION("REGEXREPLACE(
D6712,
""([一-龯々]+)\[([^\]]+)\]"",
""&lt;ruby&gt;$1&lt;rt&gt;$2&lt;/rt&gt;&lt;/ruby&gt;""
)&amp;""&lt;br&gt;&lt;div class=""""audio""""&gt;[sound:""&amp;C6712&amp;"".mp3]&lt;/div&gt;"""),"&lt;ruby&gt;公衆&lt;rt&gt;こうしゅう&lt;/rt&gt;&lt;/ruby&gt;&lt;br&gt;&lt;div class=""audio""&gt;[sound:こうしゅう.mp3]&lt;/div&gt;")</f>
        <v>&lt;ruby&gt;公衆&lt;rt&gt;こうしゅう&lt;/rt&gt;&lt;/ruby&gt;&lt;br&gt;&lt;div class="audio"&gt;[sound:こうしゅう.mp3]&lt;/div&gt;</v>
      </c>
      <c r="H6712" s="3" t="str">
        <f t="shared" si="1"/>
        <v>(n): công chúng</v>
      </c>
      <c r="I6712" s="6" t="s">
        <v>36516</v>
      </c>
      <c r="J6712" s="6" t="s">
        <v>36517</v>
      </c>
      <c r="K6712" s="7">
        <f t="shared" si="2"/>
        <v>0.484627445</v>
      </c>
    </row>
    <row r="6713">
      <c r="A6713" s="4">
        <v>6713.0</v>
      </c>
      <c r="B6713" s="5" t="s">
        <v>36518</v>
      </c>
      <c r="C6713" s="5" t="s">
        <v>36519</v>
      </c>
      <c r="D6713" s="5" t="s">
        <v>36518</v>
      </c>
      <c r="E6713" s="6" t="s">
        <v>74</v>
      </c>
      <c r="F6713" s="6" t="s">
        <v>36520</v>
      </c>
      <c r="G6713" s="3" t="str">
        <f>IFERROR(__xludf.DUMMYFUNCTION("REGEXREPLACE(
D6713,
""([一-龯々]+)\[([^\]]+)\]"",
""&lt;ruby&gt;$1&lt;rt&gt;$2&lt;/rt&gt;&lt;/ruby&gt;""
)&amp;""&lt;br&gt;&lt;div class=""""audio""""&gt;[sound:""&amp;C6713&amp;"".mp3]&lt;/div&gt;"""),"オルガン&lt;br&gt;&lt;div class=""audio""&gt;[sound:おるがん.mp3]&lt;/div&gt;")</f>
        <v>オルガン&lt;br&gt;&lt;div class="audio"&gt;[sound:おるがん.mp3]&lt;/div&gt;</v>
      </c>
      <c r="H6713" s="3" t="str">
        <f t="shared" si="1"/>
        <v>(n): đàn organ</v>
      </c>
      <c r="I6713" s="6" t="s">
        <v>36521</v>
      </c>
      <c r="J6713" s="6" t="s">
        <v>36522</v>
      </c>
      <c r="K6713" s="7">
        <f t="shared" si="2"/>
        <v>0.6518704521</v>
      </c>
    </row>
    <row r="6714">
      <c r="A6714" s="4">
        <v>6714.0</v>
      </c>
      <c r="B6714" s="5" t="s">
        <v>36523</v>
      </c>
      <c r="C6714" s="5" t="s">
        <v>36524</v>
      </c>
      <c r="D6714" s="5" t="s">
        <v>36525</v>
      </c>
      <c r="E6714" s="6" t="s">
        <v>74</v>
      </c>
      <c r="F6714" s="6" t="s">
        <v>36526</v>
      </c>
      <c r="G6714" s="3" t="str">
        <f>IFERROR(__xludf.DUMMYFUNCTION("REGEXREPLACE(
D6714,
""([一-龯々]+)\[([^\]]+)\]"",
""&lt;ruby&gt;$1&lt;rt&gt;$2&lt;/rt&gt;&lt;/ruby&gt;""
)&amp;""&lt;br&gt;&lt;div class=""""audio""""&gt;[sound:""&amp;C6714&amp;"".mp3]&lt;/div&gt;"""),"&lt;ruby&gt;開通&lt;rt&gt;かいつう&lt;/rt&gt;&lt;/ruby&gt;&lt;br&gt;&lt;div class=""audio""&gt;[sound:かいつう.mp3]&lt;/div&gt;")</f>
        <v>&lt;ruby&gt;開通&lt;rt&gt;かいつう&lt;/rt&gt;&lt;/ruby&gt;&lt;br&gt;&lt;div class="audio"&gt;[sound:かいつう.mp3]&lt;/div&gt;</v>
      </c>
      <c r="H6714" s="3" t="str">
        <f t="shared" si="1"/>
        <v>(n): thông xe</v>
      </c>
      <c r="I6714" s="6" t="s">
        <v>36527</v>
      </c>
      <c r="J6714" s="6" t="s">
        <v>36528</v>
      </c>
      <c r="K6714" s="7">
        <f t="shared" si="2"/>
        <v>0.6667816366</v>
      </c>
    </row>
    <row r="6715">
      <c r="A6715" s="4">
        <v>6715.0</v>
      </c>
      <c r="B6715" s="5" t="s">
        <v>36529</v>
      </c>
      <c r="C6715" s="5" t="s">
        <v>36530</v>
      </c>
      <c r="D6715" s="5" t="s">
        <v>36531</v>
      </c>
      <c r="E6715" s="6" t="s">
        <v>74</v>
      </c>
      <c r="F6715" s="6" t="s">
        <v>14317</v>
      </c>
      <c r="G6715" s="3" t="str">
        <f>IFERROR(__xludf.DUMMYFUNCTION("REGEXREPLACE(
D6715,
""([一-龯々]+)\[([^\]]+)\]"",
""&lt;ruby&gt;$1&lt;rt&gt;$2&lt;/rt&gt;&lt;/ruby&gt;""
)&amp;""&lt;br&gt;&lt;div class=""""audio""""&gt;[sound:""&amp;C6715&amp;"".mp3]&lt;/div&gt;"""),"&lt;ruby&gt;番地&lt;rt&gt;ばんち&lt;/rt&gt;&lt;/ruby&gt;&lt;br&gt;&lt;div class=""audio""&gt;[sound:ばんち.mp3]&lt;/div&gt;")</f>
        <v>&lt;ruby&gt;番地&lt;rt&gt;ばんち&lt;/rt&gt;&lt;/ruby&gt;&lt;br&gt;&lt;div class="audio"&gt;[sound:ばんち.mp3]&lt;/div&gt;</v>
      </c>
      <c r="H6715" s="3" t="str">
        <f t="shared" si="1"/>
        <v>(n): địa chỉ</v>
      </c>
      <c r="I6715" s="6" t="s">
        <v>36532</v>
      </c>
      <c r="J6715" s="6" t="s">
        <v>36533</v>
      </c>
      <c r="K6715" s="7">
        <f t="shared" si="2"/>
        <v>0.9397960453</v>
      </c>
    </row>
    <row r="6716">
      <c r="A6716" s="4">
        <v>6716.0</v>
      </c>
      <c r="B6716" s="5" t="s">
        <v>36534</v>
      </c>
      <c r="C6716" s="5" t="s">
        <v>36535</v>
      </c>
      <c r="D6716" s="5" t="s">
        <v>36536</v>
      </c>
      <c r="E6716" s="6" t="s">
        <v>74</v>
      </c>
      <c r="F6716" s="6" t="s">
        <v>36537</v>
      </c>
      <c r="G6716" s="3" t="str">
        <f>IFERROR(__xludf.DUMMYFUNCTION("REGEXREPLACE(
D6716,
""([一-龯々]+)\[([^\]]+)\]"",
""&lt;ruby&gt;$1&lt;rt&gt;$2&lt;/rt&gt;&lt;/ruby&gt;""
)&amp;""&lt;br&gt;&lt;div class=""""audio""""&gt;[sound:""&amp;C6716&amp;"".mp3]&lt;/div&gt;"""),"&lt;ruby&gt;経度&lt;rt&gt;けいど&lt;/rt&gt;&lt;/ruby&gt;&lt;br&gt;&lt;div class=""audio""&gt;[sound:けいど.mp3]&lt;/div&gt;")</f>
        <v>&lt;ruby&gt;経度&lt;rt&gt;けいど&lt;/rt&gt;&lt;/ruby&gt;&lt;br&gt;&lt;div class="audio"&gt;[sound:けいど.mp3]&lt;/div&gt;</v>
      </c>
      <c r="H6716" s="3" t="str">
        <f t="shared" si="1"/>
        <v>(n): kinh độ</v>
      </c>
      <c r="I6716" s="6" t="s">
        <v>36538</v>
      </c>
      <c r="J6716" s="6" t="s">
        <v>36539</v>
      </c>
      <c r="K6716" s="7">
        <f t="shared" si="2"/>
        <v>0.1095635888</v>
      </c>
    </row>
    <row r="6717">
      <c r="A6717" s="4">
        <v>6717.0</v>
      </c>
      <c r="B6717" s="5" t="s">
        <v>36540</v>
      </c>
      <c r="C6717" s="5" t="s">
        <v>36541</v>
      </c>
      <c r="D6717" s="5" t="s">
        <v>36542</v>
      </c>
      <c r="E6717" s="6" t="s">
        <v>74</v>
      </c>
      <c r="F6717" s="6" t="s">
        <v>36543</v>
      </c>
      <c r="G6717" s="3" t="str">
        <f>IFERROR(__xludf.DUMMYFUNCTION("REGEXREPLACE(
D6717,
""([一-龯々]+)\[([^\]]+)\]"",
""&lt;ruby&gt;$1&lt;rt&gt;$2&lt;/rt&gt;&lt;/ruby&gt;""
)&amp;""&lt;br&gt;&lt;div class=""""audio""""&gt;[sound:""&amp;C6717&amp;"".mp3]&lt;/div&gt;"""),"&lt;ruby&gt;水着&lt;rt&gt;みずぎ&lt;/rt&gt;&lt;/ruby&gt;&lt;br&gt;&lt;div class=""audio""&gt;[sound:みずぎ.mp3]&lt;/div&gt;")</f>
        <v>&lt;ruby&gt;水着&lt;rt&gt;みずぎ&lt;/rt&gt;&lt;/ruby&gt;&lt;br&gt;&lt;div class="audio"&gt;[sound:みずぎ.mp3]&lt;/div&gt;</v>
      </c>
      <c r="H6717" s="3" t="str">
        <f t="shared" si="1"/>
        <v>(n): đồ bơi</v>
      </c>
      <c r="I6717" s="6" t="s">
        <v>36544</v>
      </c>
      <c r="J6717" s="6" t="s">
        <v>36545</v>
      </c>
      <c r="K6717" s="7">
        <f t="shared" si="2"/>
        <v>0.04640566898</v>
      </c>
    </row>
    <row r="6718">
      <c r="A6718" s="4">
        <v>6718.0</v>
      </c>
      <c r="B6718" s="5" t="s">
        <v>36546</v>
      </c>
      <c r="C6718" s="5" t="s">
        <v>36547</v>
      </c>
      <c r="D6718" s="5" t="s">
        <v>36548</v>
      </c>
      <c r="E6718" s="6" t="s">
        <v>74</v>
      </c>
      <c r="F6718" s="6" t="s">
        <v>36549</v>
      </c>
      <c r="G6718" s="3" t="str">
        <f>IFERROR(__xludf.DUMMYFUNCTION("REGEXREPLACE(
D6718,
""([一-龯々]+)\[([^\]]+)\]"",
""&lt;ruby&gt;$1&lt;rt&gt;$2&lt;/rt&gt;&lt;/ruby&gt;""
)&amp;""&lt;br&gt;&lt;div class=""""audio""""&gt;[sound:""&amp;C6718&amp;"".mp3]&lt;/div&gt;"""),"&lt;ruby&gt;肌着&lt;rt&gt;はだぎ&lt;/rt&gt;&lt;/ruby&gt;&lt;br&gt;&lt;div class=""audio""&gt;[sound:はだぎ.mp3]&lt;/div&gt;")</f>
        <v>&lt;ruby&gt;肌着&lt;rt&gt;はだぎ&lt;/rt&gt;&lt;/ruby&gt;&lt;br&gt;&lt;div class="audio"&gt;[sound:はだぎ.mp3]&lt;/div&gt;</v>
      </c>
      <c r="H6718" s="3" t="str">
        <f t="shared" si="1"/>
        <v>(n): áo lót</v>
      </c>
      <c r="I6718" s="6" t="s">
        <v>36550</v>
      </c>
      <c r="J6718" s="6" t="s">
        <v>36551</v>
      </c>
      <c r="K6718" s="7">
        <f t="shared" si="2"/>
        <v>0.1063034457</v>
      </c>
    </row>
    <row r="6719">
      <c r="A6719" s="4">
        <v>6719.0</v>
      </c>
      <c r="B6719" s="5" t="s">
        <v>36552</v>
      </c>
      <c r="C6719" s="5" t="s">
        <v>36553</v>
      </c>
      <c r="D6719" s="5" t="s">
        <v>36554</v>
      </c>
      <c r="E6719" s="6" t="s">
        <v>74</v>
      </c>
      <c r="F6719" s="6" t="s">
        <v>36555</v>
      </c>
      <c r="G6719" s="3" t="str">
        <f>IFERROR(__xludf.DUMMYFUNCTION("REGEXREPLACE(
D6719,
""([一-龯々]+)\[([^\]]+)\]"",
""&lt;ruby&gt;$1&lt;rt&gt;$2&lt;/rt&gt;&lt;/ruby&gt;""
)&amp;""&lt;br&gt;&lt;div class=""""audio""""&gt;[sound:""&amp;C6719&amp;"".mp3]&lt;/div&gt;"""),"&lt;ruby&gt;裁縫&lt;rt&gt;さいほう&lt;/rt&gt;&lt;/ruby&gt;&lt;br&gt;&lt;div class=""audio""&gt;[sound:さいほう.mp3]&lt;/div&gt;")</f>
        <v>&lt;ruby&gt;裁縫&lt;rt&gt;さいほう&lt;/rt&gt;&lt;/ruby&gt;&lt;br&gt;&lt;div class="audio"&gt;[sound:さいほう.mp3]&lt;/div&gt;</v>
      </c>
      <c r="H6719" s="3" t="str">
        <f t="shared" si="1"/>
        <v>(n): may vá</v>
      </c>
      <c r="I6719" s="6" t="s">
        <v>36556</v>
      </c>
      <c r="J6719" s="6" t="s">
        <v>36557</v>
      </c>
      <c r="K6719" s="7">
        <f t="shared" si="2"/>
        <v>0.4069730904</v>
      </c>
    </row>
    <row r="6720">
      <c r="A6720" s="4">
        <v>6720.0</v>
      </c>
      <c r="B6720" s="5" t="s">
        <v>36558</v>
      </c>
      <c r="C6720" s="5" t="s">
        <v>36559</v>
      </c>
      <c r="D6720" s="5" t="s">
        <v>36560</v>
      </c>
      <c r="E6720" s="6" t="s">
        <v>24</v>
      </c>
      <c r="F6720" s="6" t="s">
        <v>36561</v>
      </c>
      <c r="G6720" s="3" t="str">
        <f>IFERROR(__xludf.DUMMYFUNCTION("REGEXREPLACE(
D6720,
""([一-龯々]+)\[([^\]]+)\]"",
""&lt;ruby&gt;$1&lt;rt&gt;$2&lt;/rt&gt;&lt;/ruby&gt;""
)&amp;""&lt;br&gt;&lt;div class=""""audio""""&gt;[sound:""&amp;C6720&amp;"".mp3]&lt;/div&gt;"""),"&lt;ruby&gt;反&lt;rt&gt;そ&lt;/rt&gt;&lt;/ruby&gt;る&lt;br&gt;&lt;div class=""audio""&gt;[sound:そる.mp3]&lt;/div&gt;")</f>
        <v>&lt;ruby&gt;反&lt;rt&gt;そ&lt;/rt&gt;&lt;/ruby&gt;る&lt;br&gt;&lt;div class="audio"&gt;[sound:そる.mp3]&lt;/div&gt;</v>
      </c>
      <c r="H6720" s="3" t="str">
        <f t="shared" si="1"/>
        <v>(v): cong</v>
      </c>
      <c r="I6720" s="6" t="s">
        <v>36562</v>
      </c>
      <c r="J6720" s="6" t="s">
        <v>36563</v>
      </c>
      <c r="K6720" s="7">
        <f t="shared" si="2"/>
        <v>0.9883718467</v>
      </c>
    </row>
    <row r="6721">
      <c r="A6721" s="4">
        <v>6721.0</v>
      </c>
      <c r="B6721" s="5" t="s">
        <v>36564</v>
      </c>
      <c r="C6721" s="5" t="s">
        <v>11686</v>
      </c>
      <c r="D6721" s="5" t="s">
        <v>36565</v>
      </c>
      <c r="E6721" s="6" t="s">
        <v>74</v>
      </c>
      <c r="F6721" s="6" t="s">
        <v>36566</v>
      </c>
      <c r="G6721" s="3" t="str">
        <f>IFERROR(__xludf.DUMMYFUNCTION("REGEXREPLACE(
D6721,
""([一-龯々]+)\[([^\]]+)\]"",
""&lt;ruby&gt;$1&lt;rt&gt;$2&lt;/rt&gt;&lt;/ruby&gt;""
)&amp;""&lt;br&gt;&lt;div class=""""audio""""&gt;[sound:""&amp;C6721&amp;"".mp3]&lt;/div&gt;"""),"&lt;ruby&gt;鉢&lt;rt&gt;はち&lt;/rt&gt;&lt;/ruby&gt;&lt;br&gt;&lt;div class=""audio""&gt;[sound:はち.mp3]&lt;/div&gt;")</f>
        <v>&lt;ruby&gt;鉢&lt;rt&gt;はち&lt;/rt&gt;&lt;/ruby&gt;&lt;br&gt;&lt;div class="audio"&gt;[sound:はち.mp3]&lt;/div&gt;</v>
      </c>
      <c r="H6721" s="3" t="str">
        <f t="shared" si="1"/>
        <v>(n): chậu</v>
      </c>
      <c r="I6721" s="6" t="s">
        <v>36567</v>
      </c>
      <c r="J6721" s="6" t="s">
        <v>36568</v>
      </c>
      <c r="K6721" s="7">
        <f t="shared" si="2"/>
        <v>0.1411895082</v>
      </c>
    </row>
    <row r="6722">
      <c r="A6722" s="4">
        <v>6722.0</v>
      </c>
      <c r="B6722" s="5" t="s">
        <v>36569</v>
      </c>
      <c r="C6722" s="5" t="s">
        <v>36570</v>
      </c>
      <c r="D6722" s="5" t="s">
        <v>36571</v>
      </c>
      <c r="E6722" s="6" t="s">
        <v>74</v>
      </c>
      <c r="F6722" s="6" t="s">
        <v>9184</v>
      </c>
      <c r="G6722" s="3" t="str">
        <f>IFERROR(__xludf.DUMMYFUNCTION("REGEXREPLACE(
D6722,
""([一-龯々]+)\[([^\]]+)\]"",
""&lt;ruby&gt;$1&lt;rt&gt;$2&lt;/rt&gt;&lt;/ruby&gt;""
)&amp;""&lt;br&gt;&lt;div class=""""audio""""&gt;[sound:""&amp;C6722&amp;"".mp3]&lt;/div&gt;"""),"&lt;ruby&gt;出迎&lt;rt&gt;でむか&lt;/rt&gt;&lt;/ruby&gt;え&lt;br&gt;&lt;div class=""audio""&gt;[sound:でむかえ.mp3]&lt;/div&gt;")</f>
        <v>&lt;ruby&gt;出迎&lt;rt&gt;でむか&lt;/rt&gt;&lt;/ruby&gt;え&lt;br&gt;&lt;div class="audio"&gt;[sound:でむかえ.mp3]&lt;/div&gt;</v>
      </c>
      <c r="H6722" s="3" t="str">
        <f t="shared" si="1"/>
        <v>(n): đón</v>
      </c>
      <c r="I6722" s="6" t="s">
        <v>36572</v>
      </c>
      <c r="J6722" s="6" t="s">
        <v>36573</v>
      </c>
      <c r="K6722" s="7">
        <f t="shared" si="2"/>
        <v>0.9315662682</v>
      </c>
    </row>
    <row r="6723">
      <c r="A6723" s="4">
        <v>6723.0</v>
      </c>
      <c r="B6723" s="5" t="s">
        <v>36574</v>
      </c>
      <c r="C6723" s="5" t="s">
        <v>36575</v>
      </c>
      <c r="D6723" s="5" t="s">
        <v>36576</v>
      </c>
      <c r="E6723" s="6" t="s">
        <v>74</v>
      </c>
      <c r="F6723" s="6" t="s">
        <v>36577</v>
      </c>
      <c r="G6723" s="3" t="str">
        <f>IFERROR(__xludf.DUMMYFUNCTION("REGEXREPLACE(
D6723,
""([一-龯々]+)\[([^\]]+)\]"",
""&lt;ruby&gt;$1&lt;rt&gt;$2&lt;/rt&gt;&lt;/ruby&gt;""
)&amp;""&lt;br&gt;&lt;div class=""""audio""""&gt;[sound:""&amp;C6723&amp;"".mp3]&lt;/div&gt;"""),"&lt;ruby&gt;消毒&lt;rt&gt;しょうどく&lt;/rt&gt;&lt;/ruby&gt;&lt;br&gt;&lt;div class=""audio""&gt;[sound:しょうどく.mp3]&lt;/div&gt;")</f>
        <v>&lt;ruby&gt;消毒&lt;rt&gt;しょうどく&lt;/rt&gt;&lt;/ruby&gt;&lt;br&gt;&lt;div class="audio"&gt;[sound:しょうどく.mp3]&lt;/div&gt;</v>
      </c>
      <c r="H6723" s="3" t="str">
        <f t="shared" si="1"/>
        <v>(n): khử trùng</v>
      </c>
      <c r="I6723" s="6" t="s">
        <v>36578</v>
      </c>
      <c r="J6723" s="6" t="s">
        <v>36579</v>
      </c>
      <c r="K6723" s="7">
        <f t="shared" si="2"/>
        <v>0.508389506</v>
      </c>
    </row>
    <row r="6724">
      <c r="A6724" s="4">
        <v>6724.0</v>
      </c>
      <c r="B6724" s="5" t="s">
        <v>36580</v>
      </c>
      <c r="C6724" s="5" t="s">
        <v>36581</v>
      </c>
      <c r="D6724" s="5" t="s">
        <v>36582</v>
      </c>
      <c r="E6724" s="6" t="s">
        <v>74</v>
      </c>
      <c r="F6724" s="6" t="s">
        <v>17014</v>
      </c>
      <c r="G6724" s="3" t="str">
        <f>IFERROR(__xludf.DUMMYFUNCTION("REGEXREPLACE(
D6724,
""([一-龯々]+)\[([^\]]+)\]"",
""&lt;ruby&gt;$1&lt;rt&gt;$2&lt;/rt&gt;&lt;/ruby&gt;""
)&amp;""&lt;br&gt;&lt;div class=""""audio""""&gt;[sound:""&amp;C6724&amp;"".mp3]&lt;/div&gt;"""),"&lt;ruby&gt;発車&lt;rt&gt;はっしゃ&lt;/rt&gt;&lt;/ruby&gt;&lt;br&gt;&lt;div class=""audio""&gt;[sound:はっしゃ.mp3]&lt;/div&gt;")</f>
        <v>&lt;ruby&gt;発車&lt;rt&gt;はっしゃ&lt;/rt&gt;&lt;/ruby&gt;&lt;br&gt;&lt;div class="audio"&gt;[sound:はっしゃ.mp3]&lt;/div&gt;</v>
      </c>
      <c r="H6724" s="3" t="str">
        <f t="shared" si="1"/>
        <v>(n): xuất phát</v>
      </c>
      <c r="I6724" s="6" t="s">
        <v>36583</v>
      </c>
      <c r="J6724" s="6" t="s">
        <v>36584</v>
      </c>
      <c r="K6724" s="7">
        <f t="shared" si="2"/>
        <v>0.8657470644</v>
      </c>
    </row>
    <row r="6725">
      <c r="A6725" s="4">
        <v>6725.0</v>
      </c>
      <c r="B6725" s="5" t="s">
        <v>36585</v>
      </c>
      <c r="C6725" s="5" t="s">
        <v>36586</v>
      </c>
      <c r="D6725" s="5" t="s">
        <v>36587</v>
      </c>
      <c r="E6725" s="6" t="s">
        <v>74</v>
      </c>
      <c r="F6725" s="6" t="s">
        <v>36588</v>
      </c>
      <c r="G6725" s="3" t="str">
        <f>IFERROR(__xludf.DUMMYFUNCTION("REGEXREPLACE(
D6725,
""([一-龯々]+)\[([^\]]+)\]"",
""&lt;ruby&gt;$1&lt;rt&gt;$2&lt;/rt&gt;&lt;/ruby&gt;""
)&amp;""&lt;br&gt;&lt;div class=""""audio""""&gt;[sound:""&amp;C6725&amp;"".mp3]&lt;/div&gt;"""),"&lt;ruby&gt;初級&lt;rt&gt;しょきゅう&lt;/rt&gt;&lt;/ruby&gt;&lt;br&gt;&lt;div class=""audio""&gt;[sound:しょきゅう.mp3]&lt;/div&gt;")</f>
        <v>&lt;ruby&gt;初級&lt;rt&gt;しょきゅう&lt;/rt&gt;&lt;/ruby&gt;&lt;br&gt;&lt;div class="audio"&gt;[sound:しょきゅう.mp3]&lt;/div&gt;</v>
      </c>
      <c r="H6725" s="3" t="str">
        <f t="shared" si="1"/>
        <v>(n): sơ cấp</v>
      </c>
      <c r="I6725" s="6" t="s">
        <v>36589</v>
      </c>
      <c r="J6725" s="6" t="s">
        <v>36590</v>
      </c>
      <c r="K6725" s="7">
        <f t="shared" si="2"/>
        <v>0.9917760338</v>
      </c>
    </row>
    <row r="6726">
      <c r="A6726" s="4">
        <v>6726.0</v>
      </c>
      <c r="B6726" s="5" t="s">
        <v>36591</v>
      </c>
      <c r="C6726" s="5" t="s">
        <v>29176</v>
      </c>
      <c r="D6726" s="5" t="s">
        <v>36592</v>
      </c>
      <c r="E6726" s="6" t="s">
        <v>74</v>
      </c>
      <c r="F6726" s="6" t="s">
        <v>36593</v>
      </c>
      <c r="G6726" s="3" t="str">
        <f>IFERROR(__xludf.DUMMYFUNCTION("REGEXREPLACE(
D6726,
""([一-龯々]+)\[([^\]]+)\]"",
""&lt;ruby&gt;$1&lt;rt&gt;$2&lt;/rt&gt;&lt;/ruby&gt;""
)&amp;""&lt;br&gt;&lt;div class=""""audio""""&gt;[sound:""&amp;C6726&amp;"".mp3]&lt;/div&gt;"""),"&lt;ruby&gt;狩&lt;rt&gt;か&lt;/rt&gt;&lt;/ruby&gt;り&lt;br&gt;&lt;div class=""audio""&gt;[sound:かり.mp3]&lt;/div&gt;")</f>
        <v>&lt;ruby&gt;狩&lt;rt&gt;か&lt;/rt&gt;&lt;/ruby&gt;り&lt;br&gt;&lt;div class="audio"&gt;[sound:かり.mp3]&lt;/div&gt;</v>
      </c>
      <c r="H6726" s="3" t="str">
        <f t="shared" si="1"/>
        <v>(n): đi săn</v>
      </c>
      <c r="I6726" s="6" t="s">
        <v>36594</v>
      </c>
      <c r="J6726" s="6" t="s">
        <v>36595</v>
      </c>
      <c r="K6726" s="7">
        <f t="shared" si="2"/>
        <v>0.8854255358</v>
      </c>
    </row>
    <row r="6727">
      <c r="A6727" s="4">
        <v>6727.0</v>
      </c>
      <c r="B6727" s="5" t="s">
        <v>36596</v>
      </c>
      <c r="C6727" s="5" t="s">
        <v>36597</v>
      </c>
      <c r="D6727" s="5" t="s">
        <v>36596</v>
      </c>
      <c r="E6727" s="6" t="s">
        <v>74</v>
      </c>
      <c r="F6727" s="6" t="s">
        <v>36598</v>
      </c>
      <c r="G6727" s="3" t="str">
        <f>IFERROR(__xludf.DUMMYFUNCTION("REGEXREPLACE(
D6727,
""([一-龯々]+)\[([^\]]+)\]"",
""&lt;ruby&gt;$1&lt;rt&gt;$2&lt;/rt&gt;&lt;/ruby&gt;""
)&amp;""&lt;br&gt;&lt;div class=""""audio""""&gt;[sound:""&amp;C6727&amp;"".mp3]&lt;/div&gt;"""),"セメント&lt;br&gt;&lt;div class=""audio""&gt;[sound:せめんと.mp3]&lt;/div&gt;")</f>
        <v>セメント&lt;br&gt;&lt;div class="audio"&gt;[sound:せめんと.mp3]&lt;/div&gt;</v>
      </c>
      <c r="H6727" s="3" t="str">
        <f t="shared" si="1"/>
        <v>(n): xi măng</v>
      </c>
      <c r="I6727" s="6" t="s">
        <v>36599</v>
      </c>
      <c r="J6727" s="6" t="s">
        <v>36600</v>
      </c>
      <c r="K6727" s="7">
        <f t="shared" si="2"/>
        <v>0.3886881489</v>
      </c>
    </row>
    <row r="6728">
      <c r="A6728" s="4">
        <v>6728.0</v>
      </c>
      <c r="B6728" s="5" t="s">
        <v>36601</v>
      </c>
      <c r="C6728" s="5" t="s">
        <v>29624</v>
      </c>
      <c r="D6728" s="5" t="s">
        <v>36602</v>
      </c>
      <c r="E6728" s="6" t="s">
        <v>74</v>
      </c>
      <c r="F6728" s="6" t="s">
        <v>36603</v>
      </c>
      <c r="G6728" s="3" t="str">
        <f>IFERROR(__xludf.DUMMYFUNCTION("REGEXREPLACE(
D6728,
""([一-龯々]+)\[([^\]]+)\]"",
""&lt;ruby&gt;$1&lt;rt&gt;$2&lt;/rt&gt;&lt;/ruby&gt;""
)&amp;""&lt;br&gt;&lt;div class=""""audio""""&gt;[sound:""&amp;C6728&amp;"".mp3]&lt;/div&gt;"""),"&lt;ruby&gt;緯度&lt;rt&gt;いど&lt;/rt&gt;&lt;/ruby&gt;&lt;br&gt;&lt;div class=""audio""&gt;[sound:いど.mp3]&lt;/div&gt;")</f>
        <v>&lt;ruby&gt;緯度&lt;rt&gt;いど&lt;/rt&gt;&lt;/ruby&gt;&lt;br&gt;&lt;div class="audio"&gt;[sound:いど.mp3]&lt;/div&gt;</v>
      </c>
      <c r="H6728" s="3" t="str">
        <f t="shared" si="1"/>
        <v>(n): vĩ độ</v>
      </c>
      <c r="I6728" s="6" t="s">
        <v>36604</v>
      </c>
      <c r="J6728" s="6" t="s">
        <v>36605</v>
      </c>
      <c r="K6728" s="7">
        <f t="shared" si="2"/>
        <v>0.4834639764</v>
      </c>
    </row>
    <row r="6729">
      <c r="A6729" s="4">
        <v>6729.0</v>
      </c>
      <c r="B6729" s="5" t="s">
        <v>36606</v>
      </c>
      <c r="C6729" s="5" t="s">
        <v>11851</v>
      </c>
      <c r="D6729" s="5" t="s">
        <v>36607</v>
      </c>
      <c r="E6729" s="6" t="s">
        <v>24</v>
      </c>
      <c r="F6729" s="6" t="s">
        <v>36608</v>
      </c>
      <c r="G6729" s="3" t="str">
        <f>IFERROR(__xludf.DUMMYFUNCTION("REGEXREPLACE(
D6729,
""([一-龯々]+)\[([^\]]+)\]"",
""&lt;ruby&gt;$1&lt;rt&gt;$2&lt;/rt&gt;&lt;/ruby&gt;""
)&amp;""&lt;br&gt;&lt;div class=""""audio""""&gt;[sound:""&amp;C6729&amp;"".mp3]&lt;/div&gt;"""),"&lt;ruby&gt;蒔&lt;rt&gt;ま&lt;/rt&gt;&lt;/ruby&gt;く&lt;br&gt;&lt;div class=""audio""&gt;[sound:まく.mp3]&lt;/div&gt;")</f>
        <v>&lt;ruby&gt;蒔&lt;rt&gt;ま&lt;/rt&gt;&lt;/ruby&gt;く&lt;br&gt;&lt;div class="audio"&gt;[sound:まく.mp3]&lt;/div&gt;</v>
      </c>
      <c r="H6729" s="3" t="str">
        <f t="shared" si="1"/>
        <v>(v): gieo</v>
      </c>
      <c r="I6729" s="6" t="s">
        <v>36609</v>
      </c>
      <c r="J6729" s="6" t="s">
        <v>36610</v>
      </c>
      <c r="K6729" s="7">
        <f t="shared" si="2"/>
        <v>0.9633267554</v>
      </c>
    </row>
    <row r="6730">
      <c r="A6730" s="4">
        <v>6730.0</v>
      </c>
      <c r="B6730" s="5" t="s">
        <v>36611</v>
      </c>
      <c r="C6730" s="5" t="s">
        <v>36612</v>
      </c>
      <c r="D6730" s="5" t="s">
        <v>36611</v>
      </c>
      <c r="E6730" s="6" t="s">
        <v>74</v>
      </c>
      <c r="F6730" s="6" t="s">
        <v>36613</v>
      </c>
      <c r="G6730" s="3" t="str">
        <f>IFERROR(__xludf.DUMMYFUNCTION("REGEXREPLACE(
D6730,
""([一-龯々]+)\[([^\]]+)\]"",
""&lt;ruby&gt;$1&lt;rt&gt;$2&lt;/rt&gt;&lt;/ruby&gt;""
)&amp;""&lt;br&gt;&lt;div class=""""audio""""&gt;[sound:""&amp;C6730&amp;"".mp3]&lt;/div&gt;"""),"ペンチ&lt;br&gt;&lt;div class=""audio""&gt;[sound:ぺんち.mp3]&lt;/div&gt;")</f>
        <v>ペンチ&lt;br&gt;&lt;div class="audio"&gt;[sound:ぺんち.mp3]&lt;/div&gt;</v>
      </c>
      <c r="H6730" s="3" t="str">
        <f t="shared" si="1"/>
        <v>(n): kìm</v>
      </c>
      <c r="I6730" s="6" t="s">
        <v>36614</v>
      </c>
      <c r="J6730" s="6" t="s">
        <v>36615</v>
      </c>
      <c r="K6730" s="7">
        <f t="shared" si="2"/>
        <v>0.4534436893</v>
      </c>
    </row>
    <row r="6731">
      <c r="A6731" s="4">
        <v>6731.0</v>
      </c>
      <c r="B6731" s="5" t="s">
        <v>36616</v>
      </c>
      <c r="C6731" s="5" t="s">
        <v>6300</v>
      </c>
      <c r="D6731" s="5" t="s">
        <v>36617</v>
      </c>
      <c r="E6731" s="6" t="s">
        <v>74</v>
      </c>
      <c r="F6731" s="6" t="s">
        <v>36618</v>
      </c>
      <c r="G6731" s="3" t="str">
        <f>IFERROR(__xludf.DUMMYFUNCTION("REGEXREPLACE(
D6731,
""([一-龯々]+)\[([^\]]+)\]"",
""&lt;ruby&gt;$1&lt;rt&gt;$2&lt;/rt&gt;&lt;/ruby&gt;""
)&amp;""&lt;br&gt;&lt;div class=""""audio""""&gt;[sound:""&amp;C6731&amp;"".mp3]&lt;/div&gt;"""),"&lt;ruby&gt;縞&lt;rt&gt;しま&lt;/rt&gt;&lt;/ruby&gt;&lt;br&gt;&lt;div class=""audio""&gt;[sound:しま.mp3]&lt;/div&gt;")</f>
        <v>&lt;ruby&gt;縞&lt;rt&gt;しま&lt;/rt&gt;&lt;/ruby&gt;&lt;br&gt;&lt;div class="audio"&gt;[sound:しま.mp3]&lt;/div&gt;</v>
      </c>
      <c r="H6731" s="3" t="str">
        <f t="shared" si="1"/>
        <v>(n): sọc</v>
      </c>
      <c r="I6731" s="6" t="s">
        <v>36619</v>
      </c>
      <c r="J6731" s="6" t="s">
        <v>36620</v>
      </c>
      <c r="K6731" s="7">
        <f t="shared" si="2"/>
        <v>0.5674623004</v>
      </c>
    </row>
    <row r="6732">
      <c r="A6732" s="4">
        <v>6732.0</v>
      </c>
      <c r="B6732" s="5" t="s">
        <v>36621</v>
      </c>
      <c r="C6732" s="5" t="s">
        <v>9967</v>
      </c>
      <c r="D6732" s="5" t="s">
        <v>36622</v>
      </c>
      <c r="E6732" s="6" t="s">
        <v>74</v>
      </c>
      <c r="F6732" s="6" t="s">
        <v>36623</v>
      </c>
      <c r="G6732" s="3" t="str">
        <f>IFERROR(__xludf.DUMMYFUNCTION("REGEXREPLACE(
D6732,
""([一-龯々]+)\[([^\]]+)\]"",
""&lt;ruby&gt;$1&lt;rt&gt;$2&lt;/rt&gt;&lt;/ruby&gt;""
)&amp;""&lt;br&gt;&lt;div class=""""audio""""&gt;[sound:""&amp;C6732&amp;"".mp3]&lt;/div&gt;"""),"&lt;ruby&gt;足袋&lt;rt&gt;たび&lt;/rt&gt;&lt;/ruby&gt;&lt;br&gt;&lt;div class=""audio""&gt;[sound:たび.mp3]&lt;/div&gt;")</f>
        <v>&lt;ruby&gt;足袋&lt;rt&gt;たび&lt;/rt&gt;&lt;/ruby&gt;&lt;br&gt;&lt;div class="audio"&gt;[sound:たび.mp3]&lt;/div&gt;</v>
      </c>
      <c r="H6732" s="3" t="str">
        <f t="shared" si="1"/>
        <v>(n): tất tabi</v>
      </c>
      <c r="I6732" s="6" t="s">
        <v>36624</v>
      </c>
      <c r="J6732" s="6" t="s">
        <v>36625</v>
      </c>
      <c r="K6732" s="7">
        <f t="shared" si="2"/>
        <v>0.1834720794</v>
      </c>
    </row>
    <row r="6733">
      <c r="A6733" s="4">
        <v>6733.0</v>
      </c>
      <c r="B6733" s="5" t="s">
        <v>36626</v>
      </c>
      <c r="C6733" s="5" t="s">
        <v>2421</v>
      </c>
      <c r="D6733" s="5" t="s">
        <v>36627</v>
      </c>
      <c r="E6733" s="6" t="s">
        <v>74</v>
      </c>
      <c r="F6733" s="6" t="s">
        <v>36628</v>
      </c>
      <c r="G6733" s="3" t="str">
        <f>IFERROR(__xludf.DUMMYFUNCTION("REGEXREPLACE(
D6733,
""([一-龯々]+)\[([^\]]+)\]"",
""&lt;ruby&gt;$1&lt;rt&gt;$2&lt;/rt&gt;&lt;/ruby&gt;""
)&amp;""&lt;br&gt;&lt;div class=""""audio""""&gt;[sound:""&amp;C6733&amp;"".mp3]&lt;/div&gt;"""),"&lt;ruby&gt;碁&lt;rt&gt;ご&lt;/rt&gt;&lt;/ruby&gt;&lt;br&gt;&lt;div class=""audio""&gt;[sound:ご.mp3]&lt;/div&gt;")</f>
        <v>&lt;ruby&gt;碁&lt;rt&gt;ご&lt;/rt&gt;&lt;/ruby&gt;&lt;br&gt;&lt;div class="audio"&gt;[sound:ご.mp3]&lt;/div&gt;</v>
      </c>
      <c r="H6733" s="3" t="str">
        <f t="shared" si="1"/>
        <v>(n): cờ vây</v>
      </c>
      <c r="I6733" s="6" t="s">
        <v>36629</v>
      </c>
      <c r="J6733" s="6" t="s">
        <v>36630</v>
      </c>
      <c r="K6733" s="7">
        <f t="shared" si="2"/>
        <v>0.4161931153</v>
      </c>
    </row>
    <row r="6734">
      <c r="A6734" s="4">
        <v>6734.0</v>
      </c>
      <c r="B6734" s="5" t="s">
        <v>36631</v>
      </c>
      <c r="C6734" s="5" t="s">
        <v>36632</v>
      </c>
      <c r="D6734" s="5" t="s">
        <v>36633</v>
      </c>
      <c r="E6734" s="6" t="s">
        <v>74</v>
      </c>
      <c r="F6734" s="6" t="s">
        <v>18564</v>
      </c>
      <c r="G6734" s="3" t="str">
        <f>IFERROR(__xludf.DUMMYFUNCTION("REGEXREPLACE(
D6734,
""([一-龯々]+)\[([^\]]+)\]"",
""&lt;ruby&gt;$1&lt;rt&gt;$2&lt;/rt&gt;&lt;/ruby&gt;""
)&amp;""&lt;br&gt;&lt;div class=""""audio""""&gt;[sound:""&amp;C6734&amp;"".mp3]&lt;/div&gt;"""),"&lt;ruby&gt;鈴&lt;rt&gt;すず&lt;/rt&gt;&lt;/ruby&gt;&lt;br&gt;&lt;div class=""audio""&gt;[sound:すず.mp3]&lt;/div&gt;")</f>
        <v>&lt;ruby&gt;鈴&lt;rt&gt;すず&lt;/rt&gt;&lt;/ruby&gt;&lt;br&gt;&lt;div class="audio"&gt;[sound:すず.mp3]&lt;/div&gt;</v>
      </c>
      <c r="H6734" s="3" t="str">
        <f t="shared" si="1"/>
        <v>(n): chuông</v>
      </c>
      <c r="I6734" s="6" t="s">
        <v>36634</v>
      </c>
      <c r="J6734" s="6" t="s">
        <v>36635</v>
      </c>
      <c r="K6734" s="7">
        <f t="shared" si="2"/>
        <v>0.8782463838</v>
      </c>
    </row>
    <row r="6735">
      <c r="A6735" s="4">
        <v>6735.0</v>
      </c>
      <c r="B6735" s="5" t="s">
        <v>36636</v>
      </c>
      <c r="C6735" s="5" t="s">
        <v>21624</v>
      </c>
      <c r="D6735" s="5" t="s">
        <v>36637</v>
      </c>
      <c r="E6735" s="6" t="s">
        <v>74</v>
      </c>
      <c r="F6735" s="6" t="s">
        <v>33717</v>
      </c>
      <c r="G6735" s="3" t="str">
        <f>IFERROR(__xludf.DUMMYFUNCTION("REGEXREPLACE(
D6735,
""([一-龯々]+)\[([^\]]+)\]"",
""&lt;ruby&gt;$1&lt;rt&gt;$2&lt;/rt&gt;&lt;/ruby&gt;""
)&amp;""&lt;br&gt;&lt;div class=""""audio""""&gt;[sound:""&amp;C6735&amp;"".mp3]&lt;/div&gt;"""),"&lt;ruby&gt;塵&lt;rt&gt;ちり&lt;/rt&gt;&lt;/ruby&gt;&lt;br&gt;&lt;div class=""audio""&gt;[sound:ちり.mp3]&lt;/div&gt;")</f>
        <v>&lt;ruby&gt;塵&lt;rt&gt;ちり&lt;/rt&gt;&lt;/ruby&gt;&lt;br&gt;&lt;div class="audio"&gt;[sound:ちり.mp3]&lt;/div&gt;</v>
      </c>
      <c r="H6735" s="3" t="str">
        <f t="shared" si="1"/>
        <v>(n): bụi</v>
      </c>
      <c r="I6735" s="6" t="s">
        <v>36638</v>
      </c>
      <c r="J6735" s="6" t="s">
        <v>36639</v>
      </c>
      <c r="K6735" s="7">
        <f t="shared" si="2"/>
        <v>0.6356206176</v>
      </c>
    </row>
    <row r="6736">
      <c r="A6736" s="4">
        <v>6736.0</v>
      </c>
      <c r="B6736" s="5" t="s">
        <v>36640</v>
      </c>
      <c r="C6736" s="5" t="s">
        <v>36641</v>
      </c>
      <c r="D6736" s="5" t="s">
        <v>36642</v>
      </c>
      <c r="E6736" s="6" t="s">
        <v>74</v>
      </c>
      <c r="F6736" s="6" t="s">
        <v>36643</v>
      </c>
      <c r="G6736" s="3" t="str">
        <f>IFERROR(__xludf.DUMMYFUNCTION("REGEXREPLACE(
D6736,
""([一-龯々]+)\[([^\]]+)\]"",
""&lt;ruby&gt;$1&lt;rt&gt;$2&lt;/rt&gt;&lt;/ruby&gt;""
)&amp;""&lt;br&gt;&lt;div class=""""audio""""&gt;[sound:""&amp;C6736&amp;"".mp3]&lt;/div&gt;"""),"&lt;ruby&gt;下駄&lt;rt&gt;げた&lt;/rt&gt;&lt;/ruby&gt;&lt;br&gt;&lt;div class=""audio""&gt;[sound:げた.mp3]&lt;/div&gt;")</f>
        <v>&lt;ruby&gt;下駄&lt;rt&gt;げた&lt;/rt&gt;&lt;/ruby&gt;&lt;br&gt;&lt;div class="audio"&gt;[sound:げた.mp3]&lt;/div&gt;</v>
      </c>
      <c r="H6736" s="3" t="str">
        <f t="shared" si="1"/>
        <v>(n): guốc gỗ</v>
      </c>
      <c r="I6736" s="6" t="s">
        <v>36644</v>
      </c>
      <c r="J6736" s="6" t="s">
        <v>36645</v>
      </c>
      <c r="K6736" s="7">
        <f t="shared" si="2"/>
        <v>0.6581969657</v>
      </c>
    </row>
    <row r="6737">
      <c r="A6737" s="4">
        <v>6737.0</v>
      </c>
      <c r="B6737" s="5" t="s">
        <v>36646</v>
      </c>
      <c r="C6737" s="5" t="s">
        <v>36647</v>
      </c>
      <c r="D6737" s="5" t="s">
        <v>36648</v>
      </c>
      <c r="E6737" s="6" t="s">
        <v>74</v>
      </c>
      <c r="F6737" s="6" t="s">
        <v>36649</v>
      </c>
      <c r="G6737" s="3" t="str">
        <f>IFERROR(__xludf.DUMMYFUNCTION("REGEXREPLACE(
D6737,
""([一-龯々]+)\[([^\]]+)\]"",
""&lt;ruby&gt;$1&lt;rt&gt;$2&lt;/rt&gt;&lt;/ruby&gt;""
)&amp;""&lt;br&gt;&lt;div class=""""audio""""&gt;[sound:""&amp;C6737&amp;"".mp3]&lt;/div&gt;"""),"&lt;ruby&gt;自習&lt;rt&gt;じしゅう&lt;/rt&gt;&lt;/ruby&gt;&lt;br&gt;&lt;div class=""audio""&gt;[sound:じしゅう.mp3]&lt;/div&gt;")</f>
        <v>&lt;ruby&gt;自習&lt;rt&gt;じしゅう&lt;/rt&gt;&lt;/ruby&gt;&lt;br&gt;&lt;div class="audio"&gt;[sound:じしゅう.mp3]&lt;/div&gt;</v>
      </c>
      <c r="H6737" s="3" t="str">
        <f t="shared" si="1"/>
        <v>(n): tự học</v>
      </c>
      <c r="I6737" s="6" t="s">
        <v>36650</v>
      </c>
      <c r="J6737" s="6" t="s">
        <v>36651</v>
      </c>
      <c r="K6737" s="7">
        <f t="shared" si="2"/>
        <v>0.6963053267</v>
      </c>
    </row>
    <row r="6738">
      <c r="A6738" s="4">
        <v>6738.0</v>
      </c>
      <c r="B6738" s="5" t="s">
        <v>36652</v>
      </c>
      <c r="C6738" s="5" t="s">
        <v>36653</v>
      </c>
      <c r="D6738" s="5" t="s">
        <v>36654</v>
      </c>
      <c r="E6738" s="6" t="s">
        <v>74</v>
      </c>
      <c r="F6738" s="6" t="s">
        <v>36655</v>
      </c>
      <c r="G6738" s="3" t="str">
        <f>IFERROR(__xludf.DUMMYFUNCTION("REGEXREPLACE(
D6738,
""([一-龯々]+)\[([^\]]+)\]"",
""&lt;ruby&gt;$1&lt;rt&gt;$2&lt;/rt&gt;&lt;/ruby&gt;""
)&amp;""&lt;br&gt;&lt;div class=""""audio""""&gt;[sound:""&amp;C6738&amp;"".mp3]&lt;/div&gt;"""),"&lt;ruby&gt;花嫁&lt;rt&gt;はなよめ&lt;/rt&gt;&lt;/ruby&gt;&lt;br&gt;&lt;div class=""audio""&gt;[sound:はなよめ.mp3]&lt;/div&gt;")</f>
        <v>&lt;ruby&gt;花嫁&lt;rt&gt;はなよめ&lt;/rt&gt;&lt;/ruby&gt;&lt;br&gt;&lt;div class="audio"&gt;[sound:はなよめ.mp3]&lt;/div&gt;</v>
      </c>
      <c r="H6738" s="3" t="str">
        <f t="shared" si="1"/>
        <v>(n): cô dâu</v>
      </c>
      <c r="I6738" s="6" t="s">
        <v>36656</v>
      </c>
      <c r="J6738" s="6" t="s">
        <v>36657</v>
      </c>
      <c r="K6738" s="7">
        <f t="shared" si="2"/>
        <v>0.4837587451</v>
      </c>
    </row>
    <row r="6739">
      <c r="A6739" s="4">
        <v>6739.0</v>
      </c>
      <c r="B6739" s="5" t="s">
        <v>36658</v>
      </c>
      <c r="C6739" s="5" t="s">
        <v>36659</v>
      </c>
      <c r="D6739" s="5" t="s">
        <v>36658</v>
      </c>
      <c r="E6739" s="6" t="s">
        <v>74</v>
      </c>
      <c r="F6739" s="6" t="s">
        <v>36660</v>
      </c>
      <c r="G6739" s="3" t="str">
        <f>IFERROR(__xludf.DUMMYFUNCTION("REGEXREPLACE(
D6739,
""([一-龯々]+)\[([^\]]+)\]"",
""&lt;ruby&gt;$1&lt;rt&gt;$2&lt;/rt&gt;&lt;/ruby&gt;""
)&amp;""&lt;br&gt;&lt;div class=""""audio""""&gt;[sound:""&amp;C6739&amp;"".mp3]&lt;/div&gt;"""),"ブローチ&lt;br&gt;&lt;div class=""audio""&gt;[sound:ぶろーち.mp3]&lt;/div&gt;")</f>
        <v>ブローチ&lt;br&gt;&lt;div class="audio"&gt;[sound:ぶろーち.mp3]&lt;/div&gt;</v>
      </c>
      <c r="H6739" s="3" t="str">
        <f t="shared" si="1"/>
        <v>(n): trâm cài áo</v>
      </c>
      <c r="I6739" s="6" t="s">
        <v>36661</v>
      </c>
      <c r="J6739" s="6" t="s">
        <v>36662</v>
      </c>
      <c r="K6739" s="7">
        <f t="shared" si="2"/>
        <v>0.7826361649</v>
      </c>
    </row>
    <row r="6740">
      <c r="A6740" s="4">
        <v>6740.0</v>
      </c>
      <c r="B6740" s="5" t="s">
        <v>36663</v>
      </c>
      <c r="C6740" s="5" t="s">
        <v>8754</v>
      </c>
      <c r="D6740" s="5" t="s">
        <v>36664</v>
      </c>
      <c r="E6740" s="6" t="s">
        <v>74</v>
      </c>
      <c r="F6740" s="6" t="s">
        <v>36665</v>
      </c>
      <c r="G6740" s="3" t="str">
        <f>IFERROR(__xludf.DUMMYFUNCTION("REGEXREPLACE(
D6740,
""([一-龯々]+)\[([^\]]+)\]"",
""&lt;ruby&gt;$1&lt;rt&gt;$2&lt;/rt&gt;&lt;/ruby&gt;""
)&amp;""&lt;br&gt;&lt;div class=""""audio""""&gt;[sound:""&amp;C6740&amp;"".mp3]&lt;/div&gt;"""),"&lt;ruby&gt;丘陵&lt;rt&gt;きゅうりょう&lt;/rt&gt;&lt;/ruby&gt;&lt;br&gt;&lt;div class=""audio""&gt;[sound:きゅうりょう.mp3]&lt;/div&gt;")</f>
        <v>&lt;ruby&gt;丘陵&lt;rt&gt;きゅうりょう&lt;/rt&gt;&lt;/ruby&gt;&lt;br&gt;&lt;div class="audio"&gt;[sound:きゅうりょう.mp3]&lt;/div&gt;</v>
      </c>
      <c r="H6740" s="3" t="str">
        <f t="shared" si="1"/>
        <v>(n): vùng đồi</v>
      </c>
      <c r="I6740" s="6" t="s">
        <v>36666</v>
      </c>
      <c r="J6740" s="6" t="s">
        <v>36667</v>
      </c>
      <c r="K6740" s="7">
        <f t="shared" si="2"/>
        <v>0.006647801131</v>
      </c>
    </row>
    <row r="6741">
      <c r="A6741" s="4">
        <v>6741.0</v>
      </c>
      <c r="B6741" s="5" t="s">
        <v>36668</v>
      </c>
      <c r="C6741" s="5" t="s">
        <v>11284</v>
      </c>
      <c r="D6741" s="5" t="s">
        <v>36669</v>
      </c>
      <c r="E6741" s="6" t="s">
        <v>24</v>
      </c>
      <c r="F6741" s="6" t="s">
        <v>36670</v>
      </c>
      <c r="G6741" s="3" t="str">
        <f>IFERROR(__xludf.DUMMYFUNCTION("REGEXREPLACE(
D6741,
""([一-龯々]+)\[([^\]]+)\]"",
""&lt;ruby&gt;$1&lt;rt&gt;$2&lt;/rt&gt;&lt;/ruby&gt;""
)&amp;""&lt;br&gt;&lt;div class=""""audio""""&gt;[sound:""&amp;C6741&amp;"".mp3]&lt;/div&gt;"""),"&lt;ruby&gt;炊&lt;rt&gt;た&lt;/rt&gt;&lt;/ruby&gt;く&lt;br&gt;&lt;div class=""audio""&gt;[sound:たく.mp3]&lt;/div&gt;")</f>
        <v>&lt;ruby&gt;炊&lt;rt&gt;た&lt;/rt&gt;&lt;/ruby&gt;く&lt;br&gt;&lt;div class="audio"&gt;[sound:たく.mp3]&lt;/div&gt;</v>
      </c>
      <c r="H6741" s="3" t="str">
        <f t="shared" si="1"/>
        <v>(v): nấu</v>
      </c>
      <c r="I6741" s="6" t="s">
        <v>36671</v>
      </c>
      <c r="J6741" s="6" t="s">
        <v>9228</v>
      </c>
      <c r="K6741" s="7">
        <f t="shared" si="2"/>
        <v>0.09897778795</v>
      </c>
    </row>
    <row r="6742">
      <c r="A6742" s="4">
        <v>6742.0</v>
      </c>
      <c r="B6742" s="5" t="s">
        <v>36672</v>
      </c>
      <c r="C6742" s="5" t="s">
        <v>36673</v>
      </c>
      <c r="D6742" s="5" t="s">
        <v>36674</v>
      </c>
      <c r="E6742" s="6" t="s">
        <v>74</v>
      </c>
      <c r="F6742" s="6" t="s">
        <v>36675</v>
      </c>
      <c r="G6742" s="3" t="str">
        <f>IFERROR(__xludf.DUMMYFUNCTION("REGEXREPLACE(
D6742,
""([一-龯々]+)\[([^\]]+)\]"",
""&lt;ruby&gt;$1&lt;rt&gt;$2&lt;/rt&gt;&lt;/ruby&gt;""
)&amp;""&lt;br&gt;&lt;div class=""""audio""""&gt;[sound:""&amp;C6742&amp;"".mp3]&lt;/div&gt;"""),"&lt;ruby&gt;特派&lt;rt&gt;とくは&lt;/rt&gt;&lt;/ruby&gt;&lt;br&gt;&lt;div class=""audio""&gt;[sound:とくは.mp3]&lt;/div&gt;")</f>
        <v>&lt;ruby&gt;特派&lt;rt&gt;とくは&lt;/rt&gt;&lt;/ruby&gt;&lt;br&gt;&lt;div class="audio"&gt;[sound:とくは.mp3]&lt;/div&gt;</v>
      </c>
      <c r="H6742" s="3" t="str">
        <f t="shared" si="1"/>
        <v>(n): sự phái cử đặc biệt</v>
      </c>
      <c r="I6742" s="6" t="s">
        <v>36676</v>
      </c>
      <c r="J6742" s="6" t="s">
        <v>36677</v>
      </c>
      <c r="K6742" s="7">
        <f t="shared" si="2"/>
        <v>0.1539567958</v>
      </c>
    </row>
    <row r="6743">
      <c r="A6743" s="4">
        <v>6743.0</v>
      </c>
      <c r="B6743" s="5" t="s">
        <v>36678</v>
      </c>
      <c r="C6743" s="5" t="s">
        <v>36679</v>
      </c>
      <c r="D6743" s="5" t="s">
        <v>36680</v>
      </c>
      <c r="E6743" s="6" t="s">
        <v>74</v>
      </c>
      <c r="F6743" s="6" t="s">
        <v>36681</v>
      </c>
      <c r="G6743" s="3" t="str">
        <f>IFERROR(__xludf.DUMMYFUNCTION("REGEXREPLACE(
D6743,
""([一-龯々]+)\[([^\]]+)\]"",
""&lt;ruby&gt;$1&lt;rt&gt;$2&lt;/rt&gt;&lt;/ruby&gt;""
)&amp;""&lt;br&gt;&lt;div class=""""audio""""&gt;[sound:""&amp;C6743&amp;"".mp3]&lt;/div&gt;"""),"&lt;ruby&gt;社宅&lt;rt&gt;しゃたく&lt;/rt&gt;&lt;/ruby&gt;&lt;br&gt;&lt;div class=""audio""&gt;[sound:しゃたく.mp3]&lt;/div&gt;")</f>
        <v>&lt;ruby&gt;社宅&lt;rt&gt;しゃたく&lt;/rt&gt;&lt;/ruby&gt;&lt;br&gt;&lt;div class="audio"&gt;[sound:しゃたく.mp3]&lt;/div&gt;</v>
      </c>
      <c r="H6743" s="3" t="str">
        <f t="shared" si="1"/>
        <v>(n): nhà tập thể công ty</v>
      </c>
      <c r="I6743" s="6" t="s">
        <v>36682</v>
      </c>
      <c r="J6743" s="6" t="s">
        <v>36683</v>
      </c>
      <c r="K6743" s="7">
        <f t="shared" si="2"/>
        <v>0.1069804369</v>
      </c>
    </row>
    <row r="6744">
      <c r="A6744" s="4">
        <v>6744.0</v>
      </c>
      <c r="B6744" s="5" t="s">
        <v>36684</v>
      </c>
      <c r="C6744" s="5" t="s">
        <v>36685</v>
      </c>
      <c r="D6744" s="5" t="s">
        <v>36686</v>
      </c>
      <c r="E6744" s="6" t="s">
        <v>24</v>
      </c>
      <c r="F6744" s="6" t="s">
        <v>36687</v>
      </c>
      <c r="G6744" s="3" t="str">
        <f>IFERROR(__xludf.DUMMYFUNCTION("REGEXREPLACE(
D6744,
""([一-龯々]+)\[([^\]]+)\]"",
""&lt;ruby&gt;$1&lt;rt&gt;$2&lt;/rt&gt;&lt;/ruby&gt;""
)&amp;""&lt;br&gt;&lt;div class=""""audio""""&gt;[sound:""&amp;C6744&amp;"".mp3]&lt;/div&gt;"""),"&lt;ruby&gt;洒落&lt;rt&gt;しゃれ&lt;/rt&gt;&lt;/ruby&gt;る&lt;br&gt;&lt;div class=""audio""&gt;[sound:しゃれる.mp3]&lt;/div&gt;")</f>
        <v>&lt;ruby&gt;洒落&lt;rt&gt;しゃれ&lt;/rt&gt;&lt;/ruby&gt;る&lt;br&gt;&lt;div class="audio"&gt;[sound:しゃれる.mp3]&lt;/div&gt;</v>
      </c>
      <c r="H6744" s="3" t="str">
        <f t="shared" si="1"/>
        <v>(v): ăn diện</v>
      </c>
      <c r="I6744" s="6" t="s">
        <v>36688</v>
      </c>
      <c r="J6744" s="6" t="s">
        <v>36689</v>
      </c>
      <c r="K6744" s="7">
        <f t="shared" si="2"/>
        <v>0.9785634786</v>
      </c>
    </row>
    <row r="6745">
      <c r="A6745" s="4">
        <v>6745.0</v>
      </c>
      <c r="B6745" s="5" t="s">
        <v>36690</v>
      </c>
      <c r="C6745" s="5" t="s">
        <v>36691</v>
      </c>
      <c r="D6745" s="5" t="s">
        <v>36692</v>
      </c>
      <c r="E6745" s="6" t="s">
        <v>74</v>
      </c>
      <c r="F6745" s="6" t="s">
        <v>36693</v>
      </c>
      <c r="G6745" s="3" t="str">
        <f>IFERROR(__xludf.DUMMYFUNCTION("REGEXREPLACE(
D6745,
""([一-龯々]+)\[([^\]]+)\]"",
""&lt;ruby&gt;$1&lt;rt&gt;$2&lt;/rt&gt;&lt;/ruby&gt;""
)&amp;""&lt;br&gt;&lt;div class=""""audio""""&gt;[sound:""&amp;C6745&amp;"".mp3]&lt;/div&gt;"""),"&lt;ruby&gt;還暦&lt;rt&gt;かんれき&lt;/rt&gt;&lt;/ruby&gt;&lt;br&gt;&lt;div class=""audio""&gt;[sound:かんれき.mp3]&lt;/div&gt;")</f>
        <v>&lt;ruby&gt;還暦&lt;rt&gt;かんれき&lt;/rt&gt;&lt;/ruby&gt;&lt;br&gt;&lt;div class="audio"&gt;[sound:かんれき.mp3]&lt;/div&gt;</v>
      </c>
      <c r="H6745" s="3" t="str">
        <f t="shared" si="1"/>
        <v>(n): lễ mừng 60 tuổi</v>
      </c>
      <c r="I6745" s="6" t="s">
        <v>36694</v>
      </c>
      <c r="J6745" s="6" t="s">
        <v>36695</v>
      </c>
      <c r="K6745" s="7">
        <f t="shared" si="2"/>
        <v>0.9561857451</v>
      </c>
    </row>
    <row r="6746">
      <c r="A6746" s="4">
        <v>6746.0</v>
      </c>
      <c r="B6746" s="5" t="s">
        <v>36696</v>
      </c>
      <c r="C6746" s="5" t="s">
        <v>36697</v>
      </c>
      <c r="D6746" s="5" t="s">
        <v>36698</v>
      </c>
      <c r="E6746" s="6" t="s">
        <v>74</v>
      </c>
      <c r="F6746" s="6" t="s">
        <v>36699</v>
      </c>
      <c r="G6746" s="3" t="str">
        <f>IFERROR(__xludf.DUMMYFUNCTION("REGEXREPLACE(
D6746,
""([一-龯々]+)\[([^\]]+)\]"",
""&lt;ruby&gt;$1&lt;rt&gt;$2&lt;/rt&gt;&lt;/ruby&gt;""
)&amp;""&lt;br&gt;&lt;div class=""""audio""""&gt;[sound:""&amp;C6746&amp;"".mp3]&lt;/div&gt;"""),"&lt;ruby&gt;気&lt;rt&gt;き&lt;/rt&gt;&lt;/ruby&gt;まぐれ&lt;br&gt;&lt;div class=""audio""&gt;[sound:きまぐれ.mp3]&lt;/div&gt;")</f>
        <v>&lt;ruby&gt;気&lt;rt&gt;き&lt;/rt&gt;&lt;/ruby&gt;まぐれ&lt;br&gt;&lt;div class="audio"&gt;[sound:きまぐれ.mp3]&lt;/div&gt;</v>
      </c>
      <c r="H6746" s="3" t="str">
        <f t="shared" si="1"/>
        <v>(n): sự thất thường</v>
      </c>
      <c r="I6746" s="6" t="s">
        <v>36700</v>
      </c>
      <c r="J6746" s="6" t="s">
        <v>36701</v>
      </c>
      <c r="K6746" s="7">
        <f t="shared" si="2"/>
        <v>0.8625273386</v>
      </c>
    </row>
    <row r="6747">
      <c r="A6747" s="4">
        <v>6747.0</v>
      </c>
      <c r="B6747" s="5" t="s">
        <v>36702</v>
      </c>
      <c r="C6747" s="5" t="s">
        <v>36703</v>
      </c>
      <c r="D6747" s="5" t="s">
        <v>36704</v>
      </c>
      <c r="E6747" s="6" t="s">
        <v>74</v>
      </c>
      <c r="F6747" s="6" t="s">
        <v>35180</v>
      </c>
      <c r="G6747" s="3" t="str">
        <f>IFERROR(__xludf.DUMMYFUNCTION("REGEXREPLACE(
D6747,
""([一-龯々]+)\[([^\]]+)\]"",
""&lt;ruby&gt;$1&lt;rt&gt;$2&lt;/rt&gt;&lt;/ruby&gt;""
)&amp;""&lt;br&gt;&lt;div class=""""audio""""&gt;[sound:""&amp;C6747&amp;"".mp3]&lt;/div&gt;"""),"&lt;ruby&gt;水気&lt;rt&gt;みずけ&lt;/rt&gt;&lt;/ruby&gt;&lt;br&gt;&lt;div class=""audio""&gt;[sound:みずけ.mp3]&lt;/div&gt;")</f>
        <v>&lt;ruby&gt;水気&lt;rt&gt;みずけ&lt;/rt&gt;&lt;/ruby&gt;&lt;br&gt;&lt;div class="audio"&gt;[sound:みずけ.mp3]&lt;/div&gt;</v>
      </c>
      <c r="H6747" s="3" t="str">
        <f t="shared" si="1"/>
        <v>(n): độ ẩm</v>
      </c>
      <c r="I6747" s="6" t="s">
        <v>36705</v>
      </c>
      <c r="J6747" s="6" t="s">
        <v>36706</v>
      </c>
      <c r="K6747" s="7">
        <f t="shared" si="2"/>
        <v>0.5966137352</v>
      </c>
    </row>
    <row r="6748">
      <c r="A6748" s="4">
        <v>6748.0</v>
      </c>
      <c r="B6748" s="5" t="s">
        <v>36707</v>
      </c>
      <c r="C6748" s="5" t="s">
        <v>36708</v>
      </c>
      <c r="D6748" s="5" t="s">
        <v>36709</v>
      </c>
      <c r="E6748" s="6" t="s">
        <v>74</v>
      </c>
      <c r="F6748" s="6" t="s">
        <v>36710</v>
      </c>
      <c r="G6748" s="3" t="str">
        <f>IFERROR(__xludf.DUMMYFUNCTION("REGEXREPLACE(
D6748,
""([一-龯々]+)\[([^\]]+)\]"",
""&lt;ruby&gt;$1&lt;rt&gt;$2&lt;/rt&gt;&lt;/ruby&gt;""
)&amp;""&lt;br&gt;&lt;div class=""""audio""""&gt;[sound:""&amp;C6748&amp;"".mp3]&lt;/div&gt;"""),"&lt;ruby&gt;雨具&lt;rt&gt;あまぐ&lt;/rt&gt;&lt;/ruby&gt;&lt;br&gt;&lt;div class=""audio""&gt;[sound:あまぐ.mp3]&lt;/div&gt;")</f>
        <v>&lt;ruby&gt;雨具&lt;rt&gt;あまぐ&lt;/rt&gt;&lt;/ruby&gt;&lt;br&gt;&lt;div class="audio"&gt;[sound:あまぐ.mp3]&lt;/div&gt;</v>
      </c>
      <c r="H6748" s="3" t="str">
        <f t="shared" si="1"/>
        <v>(n): dụng cụ đi mưa</v>
      </c>
      <c r="I6748" s="6" t="s">
        <v>36711</v>
      </c>
      <c r="J6748" s="6" t="s">
        <v>36712</v>
      </c>
      <c r="K6748" s="7">
        <f t="shared" si="2"/>
        <v>0.9187132587</v>
      </c>
    </row>
    <row r="6749">
      <c r="A6749" s="4">
        <v>6749.0</v>
      </c>
      <c r="B6749" s="5" t="s">
        <v>36713</v>
      </c>
      <c r="C6749" s="5" t="s">
        <v>36714</v>
      </c>
      <c r="D6749" s="5" t="s">
        <v>36715</v>
      </c>
      <c r="E6749" s="6" t="s">
        <v>74</v>
      </c>
      <c r="F6749" s="6" t="s">
        <v>36716</v>
      </c>
      <c r="G6749" s="3" t="str">
        <f>IFERROR(__xludf.DUMMYFUNCTION("REGEXREPLACE(
D6749,
""([一-龯々]+)\[([^\]]+)\]"",
""&lt;ruby&gt;$1&lt;rt&gt;$2&lt;/rt&gt;&lt;/ruby&gt;""
)&amp;""&lt;br&gt;&lt;div class=""""audio""""&gt;[sound:""&amp;C6749&amp;"".mp3]&lt;/div&gt;"""),"&lt;ruby&gt;産休&lt;rt&gt;さんきゅう&lt;/rt&gt;&lt;/ruby&gt;&lt;br&gt;&lt;div class=""audio""&gt;[sound:さんきゅう.mp3]&lt;/div&gt;")</f>
        <v>&lt;ruby&gt;産休&lt;rt&gt;さんきゅう&lt;/rt&gt;&lt;/ruby&gt;&lt;br&gt;&lt;div class="audio"&gt;[sound:さんきゅう.mp3]&lt;/div&gt;</v>
      </c>
      <c r="H6749" s="3" t="str">
        <f t="shared" si="1"/>
        <v>(n): nghỉ thai sản</v>
      </c>
      <c r="I6749" s="6" t="s">
        <v>36717</v>
      </c>
      <c r="J6749" s="6" t="s">
        <v>36718</v>
      </c>
      <c r="K6749" s="7">
        <f t="shared" si="2"/>
        <v>0.6350633359</v>
      </c>
    </row>
    <row r="6750">
      <c r="A6750" s="4">
        <v>6750.0</v>
      </c>
      <c r="B6750" s="5" t="s">
        <v>36719</v>
      </c>
      <c r="C6750" s="5" t="s">
        <v>36720</v>
      </c>
      <c r="D6750" s="5" t="s">
        <v>36721</v>
      </c>
      <c r="E6750" s="6" t="s">
        <v>74</v>
      </c>
      <c r="F6750" s="6" t="s">
        <v>36722</v>
      </c>
      <c r="G6750" s="3" t="str">
        <f>IFERROR(__xludf.DUMMYFUNCTION("REGEXREPLACE(
D6750,
""([一-龯々]+)\[([^\]]+)\]"",
""&lt;ruby&gt;$1&lt;rt&gt;$2&lt;/rt&gt;&lt;/ruby&gt;""
)&amp;""&lt;br&gt;&lt;div class=""""audio""""&gt;[sound:""&amp;C6750&amp;"".mp3]&lt;/div&gt;"""),"&lt;ruby&gt;纏&lt;rt&gt;まと&lt;/rt&gt;&lt;/ruby&gt;まり&lt;br&gt;&lt;div class=""audio""&gt;[sound:まとまり.mp3]&lt;/div&gt;")</f>
        <v>&lt;ruby&gt;纏&lt;rt&gt;まと&lt;/rt&gt;&lt;/ruby&gt;まり&lt;br&gt;&lt;div class="audio"&gt;[sound:まとまり.mp3]&lt;/div&gt;</v>
      </c>
      <c r="H6750" s="3" t="str">
        <f t="shared" si="1"/>
        <v>(n): sự thống nhất</v>
      </c>
      <c r="I6750" s="6" t="s">
        <v>36723</v>
      </c>
      <c r="J6750" s="6" t="s">
        <v>36724</v>
      </c>
      <c r="K6750" s="7">
        <f t="shared" si="2"/>
        <v>0.6078361833</v>
      </c>
    </row>
    <row r="6751">
      <c r="A6751" s="4">
        <v>6751.0</v>
      </c>
      <c r="B6751" s="5" t="s">
        <v>36725</v>
      </c>
      <c r="C6751" s="5" t="s">
        <v>36726</v>
      </c>
      <c r="D6751" s="5" t="s">
        <v>36727</v>
      </c>
      <c r="E6751" s="6" t="s">
        <v>74</v>
      </c>
      <c r="F6751" s="6" t="s">
        <v>36728</v>
      </c>
      <c r="G6751" s="3" t="str">
        <f>IFERROR(__xludf.DUMMYFUNCTION("REGEXREPLACE(
D6751,
""([一-龯々]+)\[([^\]]+)\]"",
""&lt;ruby&gt;$1&lt;rt&gt;$2&lt;/rt&gt;&lt;/ruby&gt;""
)&amp;""&lt;br&gt;&lt;div class=""""audio""""&gt;[sound:""&amp;C6751&amp;"".mp3]&lt;/div&gt;"""),"&lt;ruby&gt;雛祭&lt;rt&gt;ひなまつり&lt;/rt&gt;&lt;/ruby&gt;&lt;br&gt;&lt;div class=""audio""&gt;[sound:ひなまつり.mp3]&lt;/div&gt;")</f>
        <v>&lt;ruby&gt;雛祭&lt;rt&gt;ひなまつり&lt;/rt&gt;&lt;/ruby&gt;&lt;br&gt;&lt;div class="audio"&gt;[sound:ひなまつり.mp3]&lt;/div&gt;</v>
      </c>
      <c r="H6751" s="3" t="str">
        <f t="shared" si="1"/>
        <v>(n): lễ hội búp bê</v>
      </c>
      <c r="I6751" s="6" t="s">
        <v>36729</v>
      </c>
      <c r="J6751" s="6" t="s">
        <v>36730</v>
      </c>
      <c r="K6751" s="7">
        <f t="shared" si="2"/>
        <v>0.2572235119</v>
      </c>
    </row>
    <row r="6752">
      <c r="A6752" s="4">
        <v>6752.0</v>
      </c>
      <c r="B6752" s="5" t="s">
        <v>36731</v>
      </c>
      <c r="C6752" s="5" t="s">
        <v>36732</v>
      </c>
      <c r="D6752" s="5" t="s">
        <v>36733</v>
      </c>
      <c r="E6752" s="6" t="s">
        <v>74</v>
      </c>
      <c r="F6752" s="6" t="s">
        <v>15601</v>
      </c>
      <c r="G6752" s="3" t="str">
        <f>IFERROR(__xludf.DUMMYFUNCTION("REGEXREPLACE(
D6752,
""([一-龯々]+)\[([^\]]+)\]"",
""&lt;ruby&gt;$1&lt;rt&gt;$2&lt;/rt&gt;&lt;/ruby&gt;""
)&amp;""&lt;br&gt;&lt;div class=""""audio""""&gt;[sound:""&amp;C6752&amp;"".mp3]&lt;/div&gt;"""),"&lt;ruby&gt;倹約&lt;rt&gt;けんやく&lt;/rt&gt;&lt;/ruby&gt;&lt;br&gt;&lt;div class=""audio""&gt;[sound:けんやく.mp3]&lt;/div&gt;")</f>
        <v>&lt;ruby&gt;倹約&lt;rt&gt;けんやく&lt;/rt&gt;&lt;/ruby&gt;&lt;br&gt;&lt;div class="audio"&gt;[sound:けんやく.mp3]&lt;/div&gt;</v>
      </c>
      <c r="H6752" s="3" t="str">
        <f t="shared" si="1"/>
        <v>(n): sự tiết kiệm</v>
      </c>
      <c r="I6752" s="6" t="s">
        <v>36734</v>
      </c>
      <c r="J6752" s="6" t="s">
        <v>36735</v>
      </c>
      <c r="K6752" s="7">
        <f t="shared" si="2"/>
        <v>0.459599904</v>
      </c>
    </row>
    <row r="6753">
      <c r="A6753" s="4">
        <v>6753.0</v>
      </c>
      <c r="B6753" s="5" t="s">
        <v>36736</v>
      </c>
      <c r="C6753" s="5" t="s">
        <v>36737</v>
      </c>
      <c r="D6753" s="5" t="s">
        <v>36738</v>
      </c>
      <c r="E6753" s="6" t="s">
        <v>85</v>
      </c>
      <c r="F6753" s="6" t="s">
        <v>36739</v>
      </c>
      <c r="G6753" s="3" t="str">
        <f>IFERROR(__xludf.DUMMYFUNCTION("REGEXREPLACE(
D6753,
""([一-龯々]+)\[([^\]]+)\]"",
""&lt;ruby&gt;$1&lt;rt&gt;$2&lt;/rt&gt;&lt;/ruby&gt;""
)&amp;""&lt;br&gt;&lt;div class=""""audio""""&gt;[sound:""&amp;C6753&amp;"".mp3]&lt;/div&gt;"""),"&lt;ruby&gt;案&lt;rt&gt;あん&lt;/rt&gt;&lt;/ruby&gt;の&lt;ruby&gt;定&lt;rt&gt;じょう&lt;/rt&gt;&lt;/ruby&gt;&lt;br&gt;&lt;div class=""audio""&gt;[sound:あんのじょう.mp3]&lt;/div&gt;")</f>
        <v>&lt;ruby&gt;案&lt;rt&gt;あん&lt;/rt&gt;&lt;/ruby&gt;の&lt;ruby&gt;定&lt;rt&gt;じょう&lt;/rt&gt;&lt;/ruby&gt;&lt;br&gt;&lt;div class="audio"&gt;[sound:あんのじょう.mp3]&lt;/div&gt;</v>
      </c>
      <c r="H6753" s="3" t="str">
        <f t="shared" si="1"/>
        <v>(adv): quả nhiên là</v>
      </c>
      <c r="I6753" s="6" t="s">
        <v>36740</v>
      </c>
      <c r="J6753" s="6" t="s">
        <v>36741</v>
      </c>
      <c r="K6753" s="7">
        <f t="shared" si="2"/>
        <v>0.02931882103</v>
      </c>
    </row>
    <row r="6754">
      <c r="A6754" s="4">
        <v>6754.0</v>
      </c>
      <c r="B6754" s="5" t="s">
        <v>36742</v>
      </c>
      <c r="C6754" s="5" t="s">
        <v>36743</v>
      </c>
      <c r="D6754" s="5" t="s">
        <v>36744</v>
      </c>
      <c r="E6754" s="6" t="s">
        <v>74</v>
      </c>
      <c r="F6754" s="6" t="s">
        <v>36745</v>
      </c>
      <c r="G6754" s="3" t="str">
        <f>IFERROR(__xludf.DUMMYFUNCTION("REGEXREPLACE(
D6754,
""([一-龯々]+)\[([^\]]+)\]"",
""&lt;ruby&gt;$1&lt;rt&gt;$2&lt;/rt&gt;&lt;/ruby&gt;""
)&amp;""&lt;br&gt;&lt;div class=""""audio""""&gt;[sound:""&amp;C6754&amp;"".mp3]&lt;/div&gt;"""),"&lt;ruby&gt;発病&lt;rt&gt;はつびょう&lt;/rt&gt;&lt;/ruby&gt;&lt;br&gt;&lt;div class=""audio""&gt;[sound:はつびょう.mp3]&lt;/div&gt;")</f>
        <v>&lt;ruby&gt;発病&lt;rt&gt;はつびょう&lt;/rt&gt;&lt;/ruby&gt;&lt;br&gt;&lt;div class="audio"&gt;[sound:はつびょう.mp3]&lt;/div&gt;</v>
      </c>
      <c r="H6754" s="3" t="str">
        <f t="shared" si="1"/>
        <v>(n): sự phát bệnh</v>
      </c>
      <c r="I6754" s="6" t="s">
        <v>36746</v>
      </c>
      <c r="J6754" s="6" t="s">
        <v>36747</v>
      </c>
      <c r="K6754" s="7">
        <f t="shared" si="2"/>
        <v>0.9718637673</v>
      </c>
    </row>
    <row r="6755">
      <c r="A6755" s="4">
        <v>6755.0</v>
      </c>
      <c r="B6755" s="5" t="s">
        <v>36748</v>
      </c>
      <c r="C6755" s="5" t="s">
        <v>36749</v>
      </c>
      <c r="D6755" s="5" t="s">
        <v>36750</v>
      </c>
      <c r="E6755" s="6" t="s">
        <v>74</v>
      </c>
      <c r="F6755" s="6" t="s">
        <v>36751</v>
      </c>
      <c r="G6755" s="3" t="str">
        <f>IFERROR(__xludf.DUMMYFUNCTION("REGEXREPLACE(
D6755,
""([一-龯々]+)\[([^\]]+)\]"",
""&lt;ruby&gt;$1&lt;rt&gt;$2&lt;/rt&gt;&lt;/ruby&gt;""
)&amp;""&lt;br&gt;&lt;div class=""""audio""""&gt;[sound:""&amp;C6755&amp;"".mp3]&lt;/div&gt;"""),"&lt;ruby&gt;窒息&lt;rt&gt;ちっそく&lt;/rt&gt;&lt;/ruby&gt;&lt;br&gt;&lt;div class=""audio""&gt;[sound:ちっそく.mp3]&lt;/div&gt;")</f>
        <v>&lt;ruby&gt;窒息&lt;rt&gt;ちっそく&lt;/rt&gt;&lt;/ruby&gt;&lt;br&gt;&lt;div class="audio"&gt;[sound:ちっそく.mp3]&lt;/div&gt;</v>
      </c>
      <c r="H6755" s="3" t="str">
        <f t="shared" si="1"/>
        <v>(n): sự nghẹt thở</v>
      </c>
      <c r="I6755" s="6" t="s">
        <v>36752</v>
      </c>
      <c r="J6755" s="6" t="s">
        <v>36753</v>
      </c>
      <c r="K6755" s="7">
        <f t="shared" si="2"/>
        <v>0.1129725843</v>
      </c>
    </row>
    <row r="6756">
      <c r="A6756" s="4">
        <v>6756.0</v>
      </c>
      <c r="B6756" s="5" t="s">
        <v>36754</v>
      </c>
      <c r="C6756" s="5" t="s">
        <v>36754</v>
      </c>
      <c r="D6756" s="5" t="s">
        <v>36754</v>
      </c>
      <c r="E6756" s="6" t="s">
        <v>85</v>
      </c>
      <c r="F6756" s="6" t="s">
        <v>36755</v>
      </c>
      <c r="G6756" s="3" t="str">
        <f>IFERROR(__xludf.DUMMYFUNCTION("REGEXREPLACE(
D6756,
""([一-龯々]+)\[([^\]]+)\]"",
""&lt;ruby&gt;$1&lt;rt&gt;$2&lt;/rt&gt;&lt;/ruby&gt;""
)&amp;""&lt;br&gt;&lt;div class=""""audio""""&gt;[sound:""&amp;C6756&amp;"".mp3]&lt;/div&gt;"""),"ちやほや&lt;br&gt;&lt;div class=""audio""&gt;[sound:ちやほや.mp3]&lt;/div&gt;")</f>
        <v>ちやほや&lt;br&gt;&lt;div class="audio"&gt;[sound:ちやほや.mp3]&lt;/div&gt;</v>
      </c>
      <c r="H6756" s="3" t="str">
        <f t="shared" si="1"/>
        <v>(adv): nuông chiều</v>
      </c>
      <c r="I6756" s="6" t="s">
        <v>36756</v>
      </c>
      <c r="J6756" s="6" t="s">
        <v>36757</v>
      </c>
      <c r="K6756" s="7">
        <f t="shared" si="2"/>
        <v>0.4531965158</v>
      </c>
    </row>
    <row r="6757">
      <c r="A6757" s="4">
        <v>6757.0</v>
      </c>
      <c r="B6757" s="5" t="s">
        <v>36758</v>
      </c>
      <c r="C6757" s="5" t="s">
        <v>36759</v>
      </c>
      <c r="D6757" s="5" t="s">
        <v>36760</v>
      </c>
      <c r="E6757" s="6" t="s">
        <v>74</v>
      </c>
      <c r="F6757" s="6" t="s">
        <v>36761</v>
      </c>
      <c r="G6757" s="3" t="str">
        <f>IFERROR(__xludf.DUMMYFUNCTION("REGEXREPLACE(
D6757,
""([一-龯々]+)\[([^\]]+)\]"",
""&lt;ruby&gt;$1&lt;rt&gt;$2&lt;/rt&gt;&lt;/ruby&gt;""
)&amp;""&lt;br&gt;&lt;div class=""""audio""""&gt;[sound:""&amp;C6757&amp;"".mp3]&lt;/div&gt;"""),"&lt;ruby&gt;塵取&lt;rt&gt;ち&lt;/rt&gt;&lt;/ruby&gt;り&lt;br&gt;&lt;div class=""audio""&gt;[sound:ちりとり.mp3]&lt;/div&gt;")</f>
        <v>&lt;ruby&gt;塵取&lt;rt&gt;ち&lt;/rt&gt;&lt;/ruby&gt;り&lt;br&gt;&lt;div class="audio"&gt;[sound:ちりとり.mp3]&lt;/div&gt;</v>
      </c>
      <c r="H6757" s="3" t="str">
        <f t="shared" si="1"/>
        <v>(n): cái hốt rác</v>
      </c>
      <c r="I6757" s="6" t="s">
        <v>36762</v>
      </c>
      <c r="J6757" s="6" t="s">
        <v>36763</v>
      </c>
      <c r="K6757" s="7">
        <f t="shared" si="2"/>
        <v>0.07545756799</v>
      </c>
    </row>
    <row r="6758">
      <c r="A6758" s="4">
        <v>6758.0</v>
      </c>
      <c r="B6758" s="5" t="s">
        <v>36764</v>
      </c>
      <c r="C6758" s="5" t="s">
        <v>36765</v>
      </c>
      <c r="D6758" s="5" t="s">
        <v>36766</v>
      </c>
      <c r="E6758" s="6" t="s">
        <v>74</v>
      </c>
      <c r="F6758" s="6" t="s">
        <v>36767</v>
      </c>
      <c r="G6758" s="3" t="str">
        <f>IFERROR(__xludf.DUMMYFUNCTION("REGEXREPLACE(
D6758,
""([一-龯々]+)\[([^\]]+)\]"",
""&lt;ruby&gt;$1&lt;rt&gt;$2&lt;/rt&gt;&lt;/ruby&gt;""
)&amp;""&lt;br&gt;&lt;div class=""""audio""""&gt;[sound:""&amp;C6758&amp;"".mp3]&lt;/div&gt;"""),"&lt;ruby&gt;根気&lt;rt&gt;こんき&lt;/rt&gt;&lt;/ruby&gt;&lt;br&gt;&lt;div class=""audio""&gt;[sound:こんき.mp3]&lt;/div&gt;")</f>
        <v>&lt;ruby&gt;根気&lt;rt&gt;こんき&lt;/rt&gt;&lt;/ruby&gt;&lt;br&gt;&lt;div class="audio"&gt;[sound:こんき.mp3]&lt;/div&gt;</v>
      </c>
      <c r="H6758" s="3" t="str">
        <f t="shared" si="1"/>
        <v>(n): sự kiên trì</v>
      </c>
      <c r="I6758" s="6" t="s">
        <v>36768</v>
      </c>
      <c r="J6758" s="6" t="s">
        <v>36769</v>
      </c>
      <c r="K6758" s="7">
        <f t="shared" si="2"/>
        <v>0.7922740931</v>
      </c>
    </row>
    <row r="6759">
      <c r="A6759" s="4">
        <v>6759.0</v>
      </c>
      <c r="B6759" s="5" t="s">
        <v>36770</v>
      </c>
      <c r="C6759" s="5" t="s">
        <v>36771</v>
      </c>
      <c r="D6759" s="5" t="s">
        <v>36772</v>
      </c>
      <c r="E6759" s="6" t="s">
        <v>74</v>
      </c>
      <c r="F6759" s="6" t="s">
        <v>15659</v>
      </c>
      <c r="G6759" s="3" t="str">
        <f>IFERROR(__xludf.DUMMYFUNCTION("REGEXREPLACE(
D6759,
""([一-龯々]+)\[([^\]]+)\]"",
""&lt;ruby&gt;$1&lt;rt&gt;$2&lt;/rt&gt;&lt;/ruby&gt;""
)&amp;""&lt;br&gt;&lt;div class=""""audio""""&gt;[sound:""&amp;C6759&amp;"".mp3]&lt;/div&gt;"""),"&lt;ruby&gt;極楽&lt;rt&gt;ごくらく&lt;/rt&gt;&lt;/ruby&gt;&lt;br&gt;&lt;div class=""audio""&gt;[sound:ごくらく.mp3]&lt;/div&gt;")</f>
        <v>&lt;ruby&gt;極楽&lt;rt&gt;ごくらく&lt;/rt&gt;&lt;/ruby&gt;&lt;br&gt;&lt;div class="audio"&gt;[sound:ごくらく.mp3]&lt;/div&gt;</v>
      </c>
      <c r="H6759" s="3" t="str">
        <f t="shared" si="1"/>
        <v>(n): thiên đường</v>
      </c>
      <c r="I6759" s="6" t="s">
        <v>36773</v>
      </c>
      <c r="J6759" s="6" t="s">
        <v>36774</v>
      </c>
      <c r="K6759" s="7">
        <f t="shared" si="2"/>
        <v>0.7078398074</v>
      </c>
    </row>
    <row r="6760">
      <c r="A6760" s="4">
        <v>6760.0</v>
      </c>
      <c r="B6760" s="5" t="s">
        <v>36775</v>
      </c>
      <c r="C6760" s="5" t="s">
        <v>36776</v>
      </c>
      <c r="D6760" s="5" t="s">
        <v>36777</v>
      </c>
      <c r="E6760" s="6" t="s">
        <v>74</v>
      </c>
      <c r="F6760" s="6" t="s">
        <v>33985</v>
      </c>
      <c r="G6760" s="3" t="str">
        <f>IFERROR(__xludf.DUMMYFUNCTION("REGEXREPLACE(
D6760,
""([一-龯々]+)\[([^\]]+)\]"",
""&lt;ruby&gt;$1&lt;rt&gt;$2&lt;/rt&gt;&lt;/ruby&gt;""
)&amp;""&lt;br&gt;&lt;div class=""""audio""""&gt;[sound:""&amp;C6760&amp;"".mp3]&lt;/div&gt;"""),"&lt;ruby&gt;浪費&lt;rt&gt;ろうひ&lt;/rt&gt;&lt;/ruby&gt;&lt;br&gt;&lt;div class=""audio""&gt;[sound:ろうひ.mp3]&lt;/div&gt;")</f>
        <v>&lt;ruby&gt;浪費&lt;rt&gt;ろうひ&lt;/rt&gt;&lt;/ruby&gt;&lt;br&gt;&lt;div class="audio"&gt;[sound:ろうひ.mp3]&lt;/div&gt;</v>
      </c>
      <c r="H6760" s="3" t="str">
        <f t="shared" si="1"/>
        <v>(n): sự lãng phí</v>
      </c>
      <c r="I6760" s="6" t="s">
        <v>36778</v>
      </c>
      <c r="J6760" s="6" t="s">
        <v>21204</v>
      </c>
      <c r="K6760" s="7">
        <f t="shared" si="2"/>
        <v>0.9809810499</v>
      </c>
    </row>
    <row r="6761">
      <c r="A6761" s="4">
        <v>6761.0</v>
      </c>
      <c r="B6761" s="5" t="s">
        <v>36779</v>
      </c>
      <c r="C6761" s="5" t="s">
        <v>36780</v>
      </c>
      <c r="D6761" s="5" t="s">
        <v>36781</v>
      </c>
      <c r="E6761" s="6" t="s">
        <v>74</v>
      </c>
      <c r="F6761" s="6" t="s">
        <v>36782</v>
      </c>
      <c r="G6761" s="3" t="str">
        <f>IFERROR(__xludf.DUMMYFUNCTION("REGEXREPLACE(
D6761,
""([一-龯々]+)\[([^\]]+)\]"",
""&lt;ruby&gt;$1&lt;rt&gt;$2&lt;/rt&gt;&lt;/ruby&gt;""
)&amp;""&lt;br&gt;&lt;div class=""""audio""""&gt;[sound:""&amp;C6761&amp;"".mp3]&lt;/div&gt;"""),"&lt;ruby&gt;白状&lt;rt&gt;はくじょう&lt;/rt&gt;&lt;/ruby&gt;&lt;br&gt;&lt;div class=""audio""&gt;[sound:はくじょう.mp3]&lt;/div&gt;")</f>
        <v>&lt;ruby&gt;白状&lt;rt&gt;はくじょう&lt;/rt&gt;&lt;/ruby&gt;&lt;br&gt;&lt;div class="audio"&gt;[sound:はくじょう.mp3]&lt;/div&gt;</v>
      </c>
      <c r="H6761" s="3" t="str">
        <f t="shared" si="1"/>
        <v>(n): sự thú nhận</v>
      </c>
      <c r="I6761" s="6" t="s">
        <v>36783</v>
      </c>
      <c r="J6761" s="6" t="s">
        <v>36784</v>
      </c>
      <c r="K6761" s="7">
        <f t="shared" si="2"/>
        <v>0.9321494295</v>
      </c>
    </row>
    <row r="6762">
      <c r="A6762" s="4">
        <v>6762.0</v>
      </c>
      <c r="B6762" s="5" t="s">
        <v>36785</v>
      </c>
      <c r="C6762" s="5" t="s">
        <v>36786</v>
      </c>
      <c r="D6762" s="5" t="s">
        <v>36787</v>
      </c>
      <c r="E6762" s="6" t="s">
        <v>74</v>
      </c>
      <c r="F6762" s="6" t="s">
        <v>36788</v>
      </c>
      <c r="G6762" s="3" t="str">
        <f>IFERROR(__xludf.DUMMYFUNCTION("REGEXREPLACE(
D6762,
""([一-龯々]+)\[([^\]]+)\]"",
""&lt;ruby&gt;$1&lt;rt&gt;$2&lt;/rt&gt;&lt;/ruby&gt;""
)&amp;""&lt;br&gt;&lt;div class=""""audio""""&gt;[sound:""&amp;C6762&amp;"".mp3]&lt;/div&gt;"""),"&lt;ruby&gt;瞬&lt;rt&gt;まばた&lt;/rt&gt;&lt;/ruby&gt;き&lt;br&gt;&lt;div class=""audio""&gt;[sound:まばたき.mp3]&lt;/div&gt;")</f>
        <v>&lt;ruby&gt;瞬&lt;rt&gt;まばた&lt;/rt&gt;&lt;/ruby&gt;き&lt;br&gt;&lt;div class="audio"&gt;[sound:まばたき.mp3]&lt;/div&gt;</v>
      </c>
      <c r="H6762" s="3" t="str">
        <f t="shared" si="1"/>
        <v>(n): sự chớp mắt</v>
      </c>
      <c r="I6762" s="6" t="s">
        <v>36789</v>
      </c>
      <c r="J6762" s="6" t="s">
        <v>36790</v>
      </c>
      <c r="K6762" s="7">
        <f t="shared" si="2"/>
        <v>0.113541274</v>
      </c>
    </row>
    <row r="6763">
      <c r="A6763" s="4">
        <v>6763.0</v>
      </c>
      <c r="B6763" s="5" t="s">
        <v>36791</v>
      </c>
      <c r="C6763" s="5" t="s">
        <v>36792</v>
      </c>
      <c r="D6763" s="5" t="s">
        <v>36793</v>
      </c>
      <c r="E6763" s="6" t="s">
        <v>74</v>
      </c>
      <c r="F6763" s="6" t="s">
        <v>36794</v>
      </c>
      <c r="G6763" s="3" t="str">
        <f>IFERROR(__xludf.DUMMYFUNCTION("REGEXREPLACE(
D6763,
""([一-龯々]+)\[([^\]]+)\]"",
""&lt;ruby&gt;$1&lt;rt&gt;$2&lt;/rt&gt;&lt;/ruby&gt;""
)&amp;""&lt;br&gt;&lt;div class=""""audio""""&gt;[sound:""&amp;C6763&amp;"".mp3]&lt;/div&gt;"""),"&lt;ruby&gt;禁物&lt;rt&gt;きんもつ&lt;/rt&gt;&lt;/ruby&gt;&lt;br&gt;&lt;div class=""audio""&gt;[sound:きんもつ.mp3]&lt;/div&gt;")</f>
        <v>&lt;ruby&gt;禁物&lt;rt&gt;きんもつ&lt;/rt&gt;&lt;/ruby&gt;&lt;br&gt;&lt;div class="audio"&gt;[sound:きんもつ.mp3]&lt;/div&gt;</v>
      </c>
      <c r="H6763" s="3" t="str">
        <f t="shared" si="1"/>
        <v>(n): điều cấm kỵ</v>
      </c>
      <c r="I6763" s="6" t="s">
        <v>36795</v>
      </c>
      <c r="J6763" s="6" t="s">
        <v>36796</v>
      </c>
      <c r="K6763" s="7">
        <f t="shared" si="2"/>
        <v>0.2952053514</v>
      </c>
    </row>
    <row r="6764">
      <c r="A6764" s="4">
        <v>6764.0</v>
      </c>
      <c r="B6764" s="5" t="s">
        <v>36797</v>
      </c>
      <c r="C6764" s="5" t="s">
        <v>36798</v>
      </c>
      <c r="D6764" s="5" t="s">
        <v>36799</v>
      </c>
      <c r="E6764" s="6" t="s">
        <v>24</v>
      </c>
      <c r="F6764" s="6" t="s">
        <v>36800</v>
      </c>
      <c r="G6764" s="3" t="str">
        <f>IFERROR(__xludf.DUMMYFUNCTION("REGEXREPLACE(
D6764,
""([一-龯々]+)\[([^\]]+)\]"",
""&lt;ruby&gt;$1&lt;rt&gt;$2&lt;/rt&gt;&lt;/ruby&gt;""
)&amp;""&lt;br&gt;&lt;div class=""""audio""""&gt;[sound:""&amp;C6764&amp;"".mp3]&lt;/div&gt;"""),"&lt;ruby&gt;立&lt;rt&gt;た&lt;/rt&gt;&lt;/ruby&gt;て&lt;ruby&gt;替&lt;rt&gt;か&lt;/rt&gt;&lt;/ruby&gt;える&lt;br&gt;&lt;div class=""audio""&gt;[sound:たてかえる.mp3]&lt;/div&gt;")</f>
        <v>&lt;ruby&gt;立&lt;rt&gt;た&lt;/rt&gt;&lt;/ruby&gt;て&lt;ruby&gt;替&lt;rt&gt;か&lt;/rt&gt;&lt;/ruby&gt;える&lt;br&gt;&lt;div class="audio"&gt;[sound:たてかえる.mp3]&lt;/div&gt;</v>
      </c>
      <c r="H6764" s="3" t="str">
        <f t="shared" si="1"/>
        <v>(v): trả tiền hộ</v>
      </c>
      <c r="I6764" s="6" t="s">
        <v>36801</v>
      </c>
      <c r="J6764" s="6" t="s">
        <v>36802</v>
      </c>
      <c r="K6764" s="7">
        <f t="shared" si="2"/>
        <v>0.5364150751</v>
      </c>
    </row>
    <row r="6765">
      <c r="A6765" s="4">
        <v>6765.0</v>
      </c>
      <c r="B6765" s="5" t="s">
        <v>36803</v>
      </c>
      <c r="C6765" s="5" t="s">
        <v>36804</v>
      </c>
      <c r="D6765" s="5" t="s">
        <v>36805</v>
      </c>
      <c r="E6765" s="6" t="s">
        <v>74</v>
      </c>
      <c r="F6765" s="6" t="s">
        <v>23244</v>
      </c>
      <c r="G6765" s="3" t="str">
        <f>IFERROR(__xludf.DUMMYFUNCTION("REGEXREPLACE(
D6765,
""([一-龯々]+)\[([^\]]+)\]"",
""&lt;ruby&gt;$1&lt;rt&gt;$2&lt;/rt&gt;&lt;/ruby&gt;""
)&amp;""&lt;br&gt;&lt;div class=""""audio""""&gt;[sound:""&amp;C6765&amp;"".mp3]&lt;/div&gt;"""),"&lt;ruby&gt;茶&lt;rt&gt;ちゃ&lt;/rt&gt;&lt;/ruby&gt;の&lt;ruby&gt;間&lt;rt&gt;ま&lt;/rt&gt;&lt;/ruby&gt;&lt;br&gt;&lt;div class=""audio""&gt;[sound:ちゃのま.mp3]&lt;/div&gt;")</f>
        <v>&lt;ruby&gt;茶&lt;rt&gt;ちゃ&lt;/rt&gt;&lt;/ruby&gt;の&lt;ruby&gt;間&lt;rt&gt;ま&lt;/rt&gt;&lt;/ruby&gt;&lt;br&gt;&lt;div class="audio"&gt;[sound:ちゃのま.mp3]&lt;/div&gt;</v>
      </c>
      <c r="H6765" s="3" t="str">
        <f t="shared" si="1"/>
        <v>(n): phòng khách</v>
      </c>
      <c r="I6765" s="6" t="s">
        <v>36806</v>
      </c>
      <c r="J6765" s="6" t="s">
        <v>23246</v>
      </c>
      <c r="K6765" s="7">
        <f t="shared" si="2"/>
        <v>0.7237714579</v>
      </c>
    </row>
    <row r="6766">
      <c r="A6766" s="4">
        <v>6766.0</v>
      </c>
      <c r="B6766" s="5" t="s">
        <v>36807</v>
      </c>
      <c r="C6766" s="5" t="s">
        <v>29837</v>
      </c>
      <c r="D6766" s="5" t="s">
        <v>36808</v>
      </c>
      <c r="E6766" s="6" t="s">
        <v>74</v>
      </c>
      <c r="F6766" s="6" t="s">
        <v>36809</v>
      </c>
      <c r="G6766" s="3" t="str">
        <f>IFERROR(__xludf.DUMMYFUNCTION("REGEXREPLACE(
D6766,
""([一-龯々]+)\[([^\]]+)\]"",
""&lt;ruby&gt;$1&lt;rt&gt;$2&lt;/rt&gt;&lt;/ruby&gt;""
)&amp;""&lt;br&gt;&lt;div class=""""audio""""&gt;[sound:""&amp;C6766&amp;"".mp3]&lt;/div&gt;"""),"&lt;ruby&gt;講読&lt;rt&gt;こうどく&lt;/rt&gt;&lt;/ruby&gt;&lt;br&gt;&lt;div class=""audio""&gt;[sound:こうどく.mp3]&lt;/div&gt;")</f>
        <v>&lt;ruby&gt;講読&lt;rt&gt;こうどく&lt;/rt&gt;&lt;/ruby&gt;&lt;br&gt;&lt;div class="audio"&gt;[sound:こうどく.mp3]&lt;/div&gt;</v>
      </c>
      <c r="H6766" s="3" t="str">
        <f t="shared" si="1"/>
        <v>(n): sự đọc hiểu</v>
      </c>
      <c r="I6766" s="6" t="s">
        <v>36810</v>
      </c>
      <c r="J6766" s="6" t="s">
        <v>36811</v>
      </c>
      <c r="K6766" s="7">
        <f t="shared" si="2"/>
        <v>0.6660653076</v>
      </c>
    </row>
    <row r="6767">
      <c r="A6767" s="4">
        <v>6767.0</v>
      </c>
      <c r="B6767" s="5" t="s">
        <v>36812</v>
      </c>
      <c r="C6767" s="5" t="s">
        <v>36813</v>
      </c>
      <c r="D6767" s="5" t="s">
        <v>36814</v>
      </c>
      <c r="E6767" s="6" t="s">
        <v>74</v>
      </c>
      <c r="F6767" s="6" t="s">
        <v>36815</v>
      </c>
      <c r="G6767" s="3" t="str">
        <f>IFERROR(__xludf.DUMMYFUNCTION("REGEXREPLACE(
D6767,
""([一-龯々]+)\[([^\]]+)\]"",
""&lt;ruby&gt;$1&lt;rt&gt;$2&lt;/rt&gt;&lt;/ruby&gt;""
)&amp;""&lt;br&gt;&lt;div class=""""audio""""&gt;[sound:""&amp;C6767&amp;"".mp3]&lt;/div&gt;"""),"&lt;ruby&gt;躾&lt;rt&gt;しつけ&lt;/rt&gt;&lt;/ruby&gt;&lt;br&gt;&lt;div class=""audio""&gt;[sound:しつけ.mp3]&lt;/div&gt;")</f>
        <v>&lt;ruby&gt;躾&lt;rt&gt;しつけ&lt;/rt&gt;&lt;/ruby&gt;&lt;br&gt;&lt;div class="audio"&gt;[sound:しつけ.mp3]&lt;/div&gt;</v>
      </c>
      <c r="H6767" s="3" t="str">
        <f t="shared" si="1"/>
        <v>(n): sự giáo dục</v>
      </c>
      <c r="I6767" s="6" t="s">
        <v>36816</v>
      </c>
      <c r="J6767" s="6" t="s">
        <v>36817</v>
      </c>
      <c r="K6767" s="7">
        <f t="shared" si="2"/>
        <v>0.1191538208</v>
      </c>
    </row>
    <row r="6768">
      <c r="A6768" s="4">
        <v>6768.0</v>
      </c>
      <c r="B6768" s="5" t="s">
        <v>36818</v>
      </c>
      <c r="C6768" s="5" t="s">
        <v>32586</v>
      </c>
      <c r="D6768" s="5" t="s">
        <v>36819</v>
      </c>
      <c r="E6768" s="6" t="s">
        <v>74</v>
      </c>
      <c r="F6768" s="6" t="s">
        <v>36820</v>
      </c>
      <c r="G6768" s="3" t="str">
        <f>IFERROR(__xludf.DUMMYFUNCTION("REGEXREPLACE(
D6768,
""([一-龯々]+)\[([^\]]+)\]"",
""&lt;ruby&gt;$1&lt;rt&gt;$2&lt;/rt&gt;&lt;/ruby&gt;""
)&amp;""&lt;br&gt;&lt;div class=""""audio""""&gt;[sound:""&amp;C6768&amp;"".mp3]&lt;/div&gt;"""),"&lt;ruby&gt;郷愁&lt;rt&gt;きょうしゅう&lt;/rt&gt;&lt;/ruby&gt;&lt;br&gt;&lt;div class=""audio""&gt;[sound:きょうしゅう.mp3]&lt;/div&gt;")</f>
        <v>&lt;ruby&gt;郷愁&lt;rt&gt;きょうしゅう&lt;/rt&gt;&lt;/ruby&gt;&lt;br&gt;&lt;div class="audio"&gt;[sound:きょうしゅう.mp3]&lt;/div&gt;</v>
      </c>
      <c r="H6768" s="3" t="str">
        <f t="shared" si="1"/>
        <v>(n): nỗi nhớ quê</v>
      </c>
      <c r="I6768" s="6" t="s">
        <v>36821</v>
      </c>
      <c r="J6768" s="6" t="s">
        <v>36822</v>
      </c>
      <c r="K6768" s="7">
        <f t="shared" si="2"/>
        <v>0.6351465152</v>
      </c>
    </row>
    <row r="6769">
      <c r="A6769" s="4">
        <v>6769.0</v>
      </c>
      <c r="B6769" s="5" t="s">
        <v>36823</v>
      </c>
      <c r="C6769" s="5" t="s">
        <v>36824</v>
      </c>
      <c r="D6769" s="5" t="s">
        <v>36825</v>
      </c>
      <c r="E6769" s="6" t="s">
        <v>11</v>
      </c>
      <c r="F6769" s="6" t="s">
        <v>20621</v>
      </c>
      <c r="G6769" s="3" t="str">
        <f>IFERROR(__xludf.DUMMYFUNCTION("REGEXREPLACE(
D6769,
""([一-龯々]+)\[([^\]]+)\]"",
""&lt;ruby&gt;$1&lt;rt&gt;$2&lt;/rt&gt;&lt;/ruby&gt;""
)&amp;""&lt;br&gt;&lt;div class=""""audio""""&gt;[sound:""&amp;C6769&amp;"".mp3]&lt;/div&gt;"""),"&lt;ruby&gt;清&lt;rt&gt;きよ&lt;/rt&gt;&lt;/ruby&gt;らか&lt;br&gt;&lt;div class=""audio""&gt;[sound:きよらか.mp3]&lt;/div&gt;")</f>
        <v>&lt;ruby&gt;清&lt;rt&gt;きよ&lt;/rt&gt;&lt;/ruby&gt;らか&lt;br&gt;&lt;div class="audio"&gt;[sound:きよらか.mp3]&lt;/div&gt;</v>
      </c>
      <c r="H6769" s="3" t="str">
        <f t="shared" si="1"/>
        <v>(adj): trong sáng</v>
      </c>
      <c r="I6769" s="6" t="s">
        <v>36826</v>
      </c>
      <c r="J6769" s="6" t="s">
        <v>36827</v>
      </c>
      <c r="K6769" s="7">
        <f t="shared" si="2"/>
        <v>0.1681031666</v>
      </c>
    </row>
    <row r="6770">
      <c r="A6770" s="4">
        <v>6770.0</v>
      </c>
      <c r="B6770" s="5" t="s">
        <v>36828</v>
      </c>
      <c r="C6770" s="5" t="s">
        <v>36829</v>
      </c>
      <c r="D6770" s="5" t="s">
        <v>36830</v>
      </c>
      <c r="E6770" s="6" t="s">
        <v>11</v>
      </c>
      <c r="F6770" s="6" t="s">
        <v>13624</v>
      </c>
      <c r="G6770" s="3" t="str">
        <f>IFERROR(__xludf.DUMMYFUNCTION("REGEXREPLACE(
D6770,
""([一-龯々]+)\[([^\]]+)\]"",
""&lt;ruby&gt;$1&lt;rt&gt;$2&lt;/rt&gt;&lt;/ruby&gt;""
)&amp;""&lt;br&gt;&lt;div class=""""audio""""&gt;[sound:""&amp;C6770&amp;"".mp3]&lt;/div&gt;"""),"&lt;ruby&gt;煩&lt;rt&gt;わずら&lt;/rt&gt;&lt;/ruby&gt;わしい&lt;br&gt;&lt;div class=""audio""&gt;[sound:わずらわしい.mp3]&lt;/div&gt;")</f>
        <v>&lt;ruby&gt;煩&lt;rt&gt;わずら&lt;/rt&gt;&lt;/ruby&gt;わしい&lt;br&gt;&lt;div class="audio"&gt;[sound:わずらわしい.mp3]&lt;/div&gt;</v>
      </c>
      <c r="H6770" s="3" t="str">
        <f t="shared" si="1"/>
        <v>(adj): phiền phức</v>
      </c>
      <c r="I6770" s="6" t="s">
        <v>36831</v>
      </c>
      <c r="J6770" s="6" t="s">
        <v>36832</v>
      </c>
      <c r="K6770" s="7">
        <f t="shared" si="2"/>
        <v>0.6114672236</v>
      </c>
    </row>
    <row r="6771">
      <c r="A6771" s="4">
        <v>6771.0</v>
      </c>
      <c r="B6771" s="5" t="s">
        <v>36833</v>
      </c>
      <c r="C6771" s="5" t="s">
        <v>27504</v>
      </c>
      <c r="D6771" s="5" t="s">
        <v>36834</v>
      </c>
      <c r="E6771" s="6" t="s">
        <v>74</v>
      </c>
      <c r="F6771" s="6" t="s">
        <v>36835</v>
      </c>
      <c r="G6771" s="3" t="str">
        <f>IFERROR(__xludf.DUMMYFUNCTION("REGEXREPLACE(
D6771,
""([一-龯々]+)\[([^\]]+)\]"",
""&lt;ruby&gt;$1&lt;rt&gt;$2&lt;/rt&gt;&lt;/ruby&gt;""
)&amp;""&lt;br&gt;&lt;div class=""""audio""""&gt;[sound:""&amp;C6771&amp;"".mp3]&lt;/div&gt;"""),"&lt;ruby&gt;立方&lt;rt&gt;りっぽう&lt;/rt&gt;&lt;/ruby&gt;&lt;br&gt;&lt;div class=""audio""&gt;[sound:りっぽう.mp3]&lt;/div&gt;")</f>
        <v>&lt;ruby&gt;立方&lt;rt&gt;りっぽう&lt;/rt&gt;&lt;/ruby&gt;&lt;br&gt;&lt;div class="audio"&gt;[sound:りっぽう.mp3]&lt;/div&gt;</v>
      </c>
      <c r="H6771" s="3" t="str">
        <f t="shared" si="1"/>
        <v>(n): lập phương</v>
      </c>
      <c r="I6771" s="6" t="s">
        <v>36836</v>
      </c>
      <c r="J6771" s="6" t="s">
        <v>36837</v>
      </c>
      <c r="K6771" s="7">
        <f t="shared" si="2"/>
        <v>0.06303821708</v>
      </c>
    </row>
    <row r="6772">
      <c r="A6772" s="4">
        <v>6772.0</v>
      </c>
      <c r="B6772" s="5" t="s">
        <v>36838</v>
      </c>
      <c r="C6772" s="5" t="s">
        <v>36839</v>
      </c>
      <c r="D6772" s="5" t="s">
        <v>36840</v>
      </c>
      <c r="E6772" s="6" t="s">
        <v>24</v>
      </c>
      <c r="F6772" s="6" t="s">
        <v>36841</v>
      </c>
      <c r="G6772" s="3" t="str">
        <f>IFERROR(__xludf.DUMMYFUNCTION("REGEXREPLACE(
D6772,
""([一-龯々]+)\[([^\]]+)\]"",
""&lt;ruby&gt;$1&lt;rt&gt;$2&lt;/rt&gt;&lt;/ruby&gt;""
)&amp;""&lt;br&gt;&lt;div class=""""audio""""&gt;[sound:""&amp;C6772&amp;"".mp3]&lt;/div&gt;"""),"&lt;ruby&gt;見計&lt;rt&gt;みはか&lt;/rt&gt;&lt;/ruby&gt;らう&lt;br&gt;&lt;div class=""audio""&gt;[sound:みはからう.mp3]&lt;/div&gt;")</f>
        <v>&lt;ruby&gt;見計&lt;rt&gt;みはか&lt;/rt&gt;&lt;/ruby&gt;らう&lt;br&gt;&lt;div class="audio"&gt;[sound:みはからう.mp3]&lt;/div&gt;</v>
      </c>
      <c r="H6772" s="3" t="str">
        <f t="shared" si="1"/>
        <v>(v): canh chừng</v>
      </c>
      <c r="I6772" s="6" t="s">
        <v>36842</v>
      </c>
      <c r="J6772" s="6" t="s">
        <v>36843</v>
      </c>
      <c r="K6772" s="7">
        <f t="shared" si="2"/>
        <v>0.1755986042</v>
      </c>
    </row>
    <row r="6773">
      <c r="A6773" s="4">
        <v>6773.0</v>
      </c>
      <c r="B6773" s="5" t="s">
        <v>36844</v>
      </c>
      <c r="C6773" s="5" t="s">
        <v>36844</v>
      </c>
      <c r="D6773" s="5" t="s">
        <v>36844</v>
      </c>
      <c r="E6773" s="6" t="s">
        <v>24</v>
      </c>
      <c r="F6773" s="6" t="s">
        <v>36845</v>
      </c>
      <c r="G6773" s="3" t="str">
        <f>IFERROR(__xludf.DUMMYFUNCTION("REGEXREPLACE(
D6773,
""([一-龯々]+)\[([^\]]+)\]"",
""&lt;ruby&gt;$1&lt;rt&gt;$2&lt;/rt&gt;&lt;/ruby&gt;""
)&amp;""&lt;br&gt;&lt;div class=""""audio""""&gt;[sound:""&amp;C6773&amp;"".mp3]&lt;/div&gt;"""),"かさばる&lt;br&gt;&lt;div class=""audio""&gt;[sound:かさばる.mp3]&lt;/div&gt;")</f>
        <v>かさばる&lt;br&gt;&lt;div class="audio"&gt;[sound:かさばる.mp3]&lt;/div&gt;</v>
      </c>
      <c r="H6773" s="3" t="str">
        <f t="shared" si="1"/>
        <v>(v): cồng kềnh</v>
      </c>
      <c r="I6773" s="6" t="s">
        <v>36846</v>
      </c>
      <c r="J6773" s="6" t="s">
        <v>36847</v>
      </c>
      <c r="K6773" s="7">
        <f t="shared" si="2"/>
        <v>0.9833462528</v>
      </c>
    </row>
    <row r="6774">
      <c r="A6774" s="4">
        <v>6774.0</v>
      </c>
      <c r="B6774" s="5" t="s">
        <v>36848</v>
      </c>
      <c r="C6774" s="5" t="s">
        <v>36849</v>
      </c>
      <c r="D6774" s="5" t="s">
        <v>36848</v>
      </c>
      <c r="E6774" s="6" t="s">
        <v>74</v>
      </c>
      <c r="F6774" s="6" t="s">
        <v>36850</v>
      </c>
      <c r="G6774" s="3" t="str">
        <f>IFERROR(__xludf.DUMMYFUNCTION("REGEXREPLACE(
D6774,
""([一-龯々]+)\[([^\]]+)\]"",
""&lt;ruby&gt;$1&lt;rt&gt;$2&lt;/rt&gt;&lt;/ruby&gt;""
)&amp;""&lt;br&gt;&lt;div class=""""audio""""&gt;[sound:""&amp;C6774&amp;"".mp3]&lt;/div&gt;"""),"ストロボ&lt;br&gt;&lt;div class=""audio""&gt;[sound:すとろぼ.mp3]&lt;/div&gt;")</f>
        <v>ストロボ&lt;br&gt;&lt;div class="audio"&gt;[sound:すとろぼ.mp3]&lt;/div&gt;</v>
      </c>
      <c r="H6774" s="3" t="str">
        <f t="shared" si="1"/>
        <v>(n): đèn flash</v>
      </c>
      <c r="I6774" s="6" t="s">
        <v>36851</v>
      </c>
      <c r="J6774" s="6" t="s">
        <v>36852</v>
      </c>
      <c r="K6774" s="7">
        <f t="shared" si="2"/>
        <v>0.1877603722</v>
      </c>
    </row>
    <row r="6775">
      <c r="A6775" s="4">
        <v>6775.0</v>
      </c>
      <c r="B6775" s="5" t="s">
        <v>36853</v>
      </c>
      <c r="C6775" s="5" t="s">
        <v>36854</v>
      </c>
      <c r="D6775" s="5" t="s">
        <v>36855</v>
      </c>
      <c r="E6775" s="6" t="s">
        <v>74</v>
      </c>
      <c r="F6775" s="6" t="s">
        <v>36856</v>
      </c>
      <c r="G6775" s="3" t="str">
        <f>IFERROR(__xludf.DUMMYFUNCTION("REGEXREPLACE(
D6775,
""([一-龯々]+)\[([^\]]+)\]"",
""&lt;ruby&gt;$1&lt;rt&gt;$2&lt;/rt&gt;&lt;/ruby&gt;""
)&amp;""&lt;br&gt;&lt;div class=""""audio""""&gt;[sound:""&amp;C6775&amp;"".mp3]&lt;/div&gt;"""),"&lt;ruby&gt;殿様&lt;rt&gt;とのさま&lt;/rt&gt;&lt;/ruby&gt;&lt;br&gt;&lt;div class=""audio""&gt;[sound:とのさま.mp3]&lt;/div&gt;")</f>
        <v>&lt;ruby&gt;殿様&lt;rt&gt;とのさま&lt;/rt&gt;&lt;/ruby&gt;&lt;br&gt;&lt;div class="audio"&gt;[sound:とのさま.mp3]&lt;/div&gt;</v>
      </c>
      <c r="H6775" s="3" t="str">
        <f t="shared" si="1"/>
        <v>(n): lãnh chúa</v>
      </c>
      <c r="I6775" s="6" t="s">
        <v>36857</v>
      </c>
      <c r="J6775" s="6" t="s">
        <v>36858</v>
      </c>
      <c r="K6775" s="7">
        <f t="shared" si="2"/>
        <v>0.4691684837</v>
      </c>
    </row>
    <row r="6776">
      <c r="A6776" s="4">
        <v>6776.0</v>
      </c>
      <c r="B6776" s="5" t="s">
        <v>36859</v>
      </c>
      <c r="C6776" s="5" t="s">
        <v>36860</v>
      </c>
      <c r="D6776" s="5" t="s">
        <v>36861</v>
      </c>
      <c r="E6776" s="6" t="s">
        <v>33</v>
      </c>
      <c r="F6776" s="6" t="s">
        <v>36862</v>
      </c>
      <c r="G6776" s="3" t="str">
        <f>IFERROR(__xludf.DUMMYFUNCTION("REGEXREPLACE(
D6776,
""([一-龯々]+)\[([^\]]+)\]"",
""&lt;ruby&gt;$1&lt;rt&gt;$2&lt;/rt&gt;&lt;/ruby&gt;""
)&amp;""&lt;br&gt;&lt;div class=""""audio""""&gt;[sound:""&amp;C6776&amp;"".mp3]&lt;/div&gt;"""),"&lt;ruby&gt;畜生&lt;rt&gt;ちくしょう&lt;/rt&gt;&lt;/ruby&gt;&lt;br&gt;&lt;div class=""audio""&gt;[sound:ちくしょう.mp3]&lt;/div&gt;")</f>
        <v>&lt;ruby&gt;畜生&lt;rt&gt;ちくしょう&lt;/rt&gt;&lt;/ruby&gt;&lt;br&gt;&lt;div class="audio"&gt;[sound:ちくしょう.mp3]&lt;/div&gt;</v>
      </c>
      <c r="H6776" s="3" t="str">
        <f t="shared" si="1"/>
        <v>(int): chết tiệt</v>
      </c>
      <c r="I6776" s="6" t="s">
        <v>36863</v>
      </c>
      <c r="J6776" s="6" t="s">
        <v>36864</v>
      </c>
      <c r="K6776" s="7">
        <f t="shared" si="2"/>
        <v>0.8462401625</v>
      </c>
    </row>
    <row r="6777">
      <c r="A6777" s="4">
        <v>6777.0</v>
      </c>
      <c r="B6777" s="5" t="s">
        <v>36865</v>
      </c>
      <c r="C6777" s="5" t="s">
        <v>36866</v>
      </c>
      <c r="D6777" s="5" t="s">
        <v>36867</v>
      </c>
      <c r="E6777" s="6" t="s">
        <v>74</v>
      </c>
      <c r="F6777" s="6" t="s">
        <v>36868</v>
      </c>
      <c r="G6777" s="3" t="str">
        <f>IFERROR(__xludf.DUMMYFUNCTION("REGEXREPLACE(
D6777,
""([一-龯々]+)\[([^\]]+)\]"",
""&lt;ruby&gt;$1&lt;rt&gt;$2&lt;/rt&gt;&lt;/ruby&gt;""
)&amp;""&lt;br&gt;&lt;div class=""""audio""""&gt;[sound:""&amp;C6777&amp;"".mp3]&lt;/div&gt;"""),"&lt;ruby&gt;真心&lt;rt&gt;まごころ&lt;/rt&gt;&lt;/ruby&gt;&lt;br&gt;&lt;div class=""audio""&gt;[sound:まごころ.mp3]&lt;/div&gt;")</f>
        <v>&lt;ruby&gt;真心&lt;rt&gt;まごころ&lt;/rt&gt;&lt;/ruby&gt;&lt;br&gt;&lt;div class="audio"&gt;[sound:まごころ.mp3]&lt;/div&gt;</v>
      </c>
      <c r="H6777" s="3" t="str">
        <f t="shared" si="1"/>
        <v>(n): thành tâm</v>
      </c>
      <c r="I6777" s="6" t="s">
        <v>36869</v>
      </c>
      <c r="J6777" s="6" t="s">
        <v>36870</v>
      </c>
      <c r="K6777" s="7">
        <f t="shared" si="2"/>
        <v>0.7010864162</v>
      </c>
    </row>
    <row r="6778">
      <c r="A6778" s="4">
        <v>6778.0</v>
      </c>
      <c r="B6778" s="5" t="s">
        <v>36871</v>
      </c>
      <c r="C6778" s="5" t="s">
        <v>36872</v>
      </c>
      <c r="D6778" s="5" t="s">
        <v>36873</v>
      </c>
      <c r="E6778" s="6" t="s">
        <v>74</v>
      </c>
      <c r="F6778" s="6" t="s">
        <v>36874</v>
      </c>
      <c r="G6778" s="3" t="str">
        <f>IFERROR(__xludf.DUMMYFUNCTION("REGEXREPLACE(
D6778,
""([一-龯々]+)\[([^\]]+)\]"",
""&lt;ruby&gt;$1&lt;rt&gt;$2&lt;/rt&gt;&lt;/ruby&gt;""
)&amp;""&lt;br&gt;&lt;div class=""""audio""""&gt;[sound:""&amp;C6778&amp;"".mp3]&lt;/div&gt;"""),"&lt;ruby&gt;真珠&lt;rt&gt;しんじゅ&lt;/rt&gt;&lt;/ruby&gt;&lt;br&gt;&lt;div class=""audio""&gt;[sound:しんじゅ.mp3]&lt;/div&gt;")</f>
        <v>&lt;ruby&gt;真珠&lt;rt&gt;しんじゅ&lt;/rt&gt;&lt;/ruby&gt;&lt;br&gt;&lt;div class="audio"&gt;[sound:しんじゅ.mp3]&lt;/div&gt;</v>
      </c>
      <c r="H6778" s="3" t="str">
        <f t="shared" si="1"/>
        <v>(n): ngọc trai</v>
      </c>
      <c r="I6778" s="6" t="s">
        <v>36875</v>
      </c>
      <c r="J6778" s="6" t="s">
        <v>36876</v>
      </c>
      <c r="K6778" s="7">
        <f t="shared" si="2"/>
        <v>0.1898541241</v>
      </c>
    </row>
    <row r="6779">
      <c r="A6779" s="4">
        <v>6779.0</v>
      </c>
      <c r="B6779" s="5" t="s">
        <v>36877</v>
      </c>
      <c r="C6779" s="5" t="s">
        <v>36878</v>
      </c>
      <c r="D6779" s="5" t="s">
        <v>36879</v>
      </c>
      <c r="E6779" s="6" t="s">
        <v>74</v>
      </c>
      <c r="F6779" s="6" t="s">
        <v>36880</v>
      </c>
      <c r="G6779" s="3" t="str">
        <f>IFERROR(__xludf.DUMMYFUNCTION("REGEXREPLACE(
D6779,
""([一-龯々]+)\[([^\]]+)\]"",
""&lt;ruby&gt;$1&lt;rt&gt;$2&lt;/rt&gt;&lt;/ruby&gt;""
)&amp;""&lt;br&gt;&lt;div class=""""audio""""&gt;[sound:""&amp;C6779&amp;"".mp3]&lt;/div&gt;"""),"&lt;ruby&gt;着色&lt;rt&gt;ちゃくしょく&lt;/rt&gt;&lt;/ruby&gt;&lt;br&gt;&lt;div class=""audio""&gt;[sound:ちゃくしょく.mp3]&lt;/div&gt;")</f>
        <v>&lt;ruby&gt;着色&lt;rt&gt;ちゃくしょく&lt;/rt&gt;&lt;/ruby&gt;&lt;br&gt;&lt;div class="audio"&gt;[sound:ちゃくしょく.mp3]&lt;/div&gt;</v>
      </c>
      <c r="H6779" s="3" t="str">
        <f t="shared" si="1"/>
        <v>(n): sự tô màu</v>
      </c>
      <c r="I6779" s="6" t="s">
        <v>36881</v>
      </c>
      <c r="J6779" s="6" t="s">
        <v>36882</v>
      </c>
      <c r="K6779" s="7">
        <f t="shared" si="2"/>
        <v>0.1180581511</v>
      </c>
    </row>
    <row r="6780">
      <c r="A6780" s="4">
        <v>6780.0</v>
      </c>
      <c r="B6780" s="5" t="s">
        <v>36883</v>
      </c>
      <c r="C6780" s="5" t="s">
        <v>13913</v>
      </c>
      <c r="D6780" s="5" t="s">
        <v>36884</v>
      </c>
      <c r="E6780" s="6" t="s">
        <v>11</v>
      </c>
      <c r="F6780" s="6" t="s">
        <v>36885</v>
      </c>
      <c r="G6780" s="3" t="str">
        <f>IFERROR(__xludf.DUMMYFUNCTION("REGEXREPLACE(
D6780,
""([一-龯々]+)\[([^\]]+)\]"",
""&lt;ruby&gt;$1&lt;rt&gt;$2&lt;/rt&gt;&lt;/ruby&gt;""
)&amp;""&lt;br&gt;&lt;div class=""""audio""""&gt;[sound:""&amp;C6780&amp;"".mp3]&lt;/div&gt;"""),"&lt;ruby&gt;短気&lt;rt&gt;たんき&lt;/rt&gt;&lt;/ruby&gt;&lt;br&gt;&lt;div class=""audio""&gt;[sound:たんき.mp3]&lt;/div&gt;")</f>
        <v>&lt;ruby&gt;短気&lt;rt&gt;たんき&lt;/rt&gt;&lt;/ruby&gt;&lt;br&gt;&lt;div class="audio"&gt;[sound:たんき.mp3]&lt;/div&gt;</v>
      </c>
      <c r="H6780" s="3" t="str">
        <f t="shared" si="1"/>
        <v>(adj): nóng tính</v>
      </c>
      <c r="I6780" s="6" t="s">
        <v>36886</v>
      </c>
      <c r="J6780" s="6" t="s">
        <v>36887</v>
      </c>
      <c r="K6780" s="7">
        <f t="shared" si="2"/>
        <v>0.7557153459</v>
      </c>
    </row>
    <row r="6781">
      <c r="A6781" s="4">
        <v>6781.0</v>
      </c>
      <c r="B6781" s="5" t="s">
        <v>36888</v>
      </c>
      <c r="C6781" s="5" t="s">
        <v>36889</v>
      </c>
      <c r="D6781" s="5" t="s">
        <v>36890</v>
      </c>
      <c r="E6781" s="6" t="s">
        <v>24</v>
      </c>
      <c r="F6781" s="6" t="s">
        <v>36891</v>
      </c>
      <c r="G6781" s="3" t="str">
        <f>IFERROR(__xludf.DUMMYFUNCTION("REGEXREPLACE(
D6781,
""([一-龯々]+)\[([^\]]+)\]"",
""&lt;ruby&gt;$1&lt;rt&gt;$2&lt;/rt&gt;&lt;/ruby&gt;""
)&amp;""&lt;br&gt;&lt;div class=""""audio""""&gt;[sound:""&amp;C6781&amp;"".mp3]&lt;/div&gt;"""),"&lt;ruby&gt;聳&lt;rt&gt;そび&lt;/rt&gt;&lt;/ruby&gt;える&lt;br&gt;&lt;div class=""audio""&gt;[sound:そびえる.mp3]&lt;/div&gt;")</f>
        <v>&lt;ruby&gt;聳&lt;rt&gt;そび&lt;/rt&gt;&lt;/ruby&gt;える&lt;br&gt;&lt;div class="audio"&gt;[sound:そびえる.mp3]&lt;/div&gt;</v>
      </c>
      <c r="H6781" s="3" t="str">
        <f t="shared" si="1"/>
        <v>(v): sừng sững</v>
      </c>
      <c r="I6781" s="6" t="s">
        <v>36892</v>
      </c>
      <c r="J6781" s="6" t="s">
        <v>36893</v>
      </c>
      <c r="K6781" s="7">
        <f t="shared" si="2"/>
        <v>0.3995097004</v>
      </c>
    </row>
    <row r="6782">
      <c r="A6782" s="4">
        <v>6782.0</v>
      </c>
      <c r="B6782" s="5" t="s">
        <v>36894</v>
      </c>
      <c r="C6782" s="5" t="s">
        <v>9818</v>
      </c>
      <c r="D6782" s="5" t="s">
        <v>36895</v>
      </c>
      <c r="E6782" s="6" t="s">
        <v>74</v>
      </c>
      <c r="F6782" s="6" t="s">
        <v>36896</v>
      </c>
      <c r="G6782" s="3" t="str">
        <f>IFERROR(__xludf.DUMMYFUNCTION("REGEXREPLACE(
D6782,
""([一-龯々]+)\[([^\]]+)\]"",
""&lt;ruby&gt;$1&lt;rt&gt;$2&lt;/rt&gt;&lt;/ruby&gt;""
)&amp;""&lt;br&gt;&lt;div class=""""audio""""&gt;[sound:""&amp;C6782&amp;"".mp3]&lt;/div&gt;"""),"&lt;ruby&gt;自首&lt;rt&gt;じしゅ&lt;/rt&gt;&lt;/ruby&gt;&lt;br&gt;&lt;div class=""audio""&gt;[sound:じしゅ.mp3]&lt;/div&gt;")</f>
        <v>&lt;ruby&gt;自首&lt;rt&gt;じしゅ&lt;/rt&gt;&lt;/ruby&gt;&lt;br&gt;&lt;div class="audio"&gt;[sound:じしゅ.mp3]&lt;/div&gt;</v>
      </c>
      <c r="H6782" s="3" t="str">
        <f t="shared" si="1"/>
        <v>(n): sự tự thú</v>
      </c>
      <c r="I6782" s="6" t="s">
        <v>36897</v>
      </c>
      <c r="J6782" s="6" t="s">
        <v>36898</v>
      </c>
      <c r="K6782" s="7">
        <f t="shared" si="2"/>
        <v>0.9288522686</v>
      </c>
    </row>
    <row r="6783">
      <c r="A6783" s="4">
        <v>6783.0</v>
      </c>
      <c r="B6783" s="5" t="s">
        <v>36899</v>
      </c>
      <c r="C6783" s="5" t="s">
        <v>36900</v>
      </c>
      <c r="D6783" s="5" t="s">
        <v>36901</v>
      </c>
      <c r="E6783" s="6" t="s">
        <v>74</v>
      </c>
      <c r="F6783" s="6" t="s">
        <v>36902</v>
      </c>
      <c r="G6783" s="3" t="str">
        <f>IFERROR(__xludf.DUMMYFUNCTION("REGEXREPLACE(
D6783,
""([一-龯々]+)\[([^\]]+)\]"",
""&lt;ruby&gt;$1&lt;rt&gt;$2&lt;/rt&gt;&lt;/ruby&gt;""
)&amp;""&lt;br&gt;&lt;div class=""""audio""""&gt;[sound:""&amp;C6783&amp;"".mp3]&lt;/div&gt;"""),"&lt;ruby&gt;裸足&lt;rt&gt;はだし&lt;/rt&gt;&lt;/ruby&gt;&lt;br&gt;&lt;div class=""audio""&gt;[sound:はだし.mp3]&lt;/div&gt;")</f>
        <v>&lt;ruby&gt;裸足&lt;rt&gt;はだし&lt;/rt&gt;&lt;/ruby&gt;&lt;br&gt;&lt;div class="audio"&gt;[sound:はだし.mp3]&lt;/div&gt;</v>
      </c>
      <c r="H6783" s="3" t="str">
        <f t="shared" si="1"/>
        <v>(n): chân trần</v>
      </c>
      <c r="I6783" s="6" t="s">
        <v>36903</v>
      </c>
      <c r="J6783" s="6" t="s">
        <v>36904</v>
      </c>
      <c r="K6783" s="7">
        <f t="shared" si="2"/>
        <v>0.1964836798</v>
      </c>
    </row>
    <row r="6784">
      <c r="A6784" s="4">
        <v>6784.0</v>
      </c>
      <c r="B6784" s="5" t="s">
        <v>36905</v>
      </c>
      <c r="C6784" s="5" t="s">
        <v>36906</v>
      </c>
      <c r="D6784" s="5" t="s">
        <v>36907</v>
      </c>
      <c r="E6784" s="6" t="s">
        <v>74</v>
      </c>
      <c r="F6784" s="6" t="s">
        <v>36908</v>
      </c>
      <c r="G6784" s="3" t="str">
        <f>IFERROR(__xludf.DUMMYFUNCTION("REGEXREPLACE(
D6784,
""([一-龯々]+)\[([^\]]+)\]"",
""&lt;ruby&gt;$1&lt;rt&gt;$2&lt;/rt&gt;&lt;/ruby&gt;""
)&amp;""&lt;br&gt;&lt;div class=""""audio""""&gt;[sound:""&amp;C6784&amp;"".mp3]&lt;/div&gt;"""),"&lt;ruby&gt;貫禄&lt;rt&gt;かんろく&lt;/rt&gt;&lt;/ruby&gt;&lt;br&gt;&lt;div class=""audio""&gt;[sound:かんろく.mp3]&lt;/div&gt;")</f>
        <v>&lt;ruby&gt;貫禄&lt;rt&gt;かんろく&lt;/rt&gt;&lt;/ruby&gt;&lt;br&gt;&lt;div class="audio"&gt;[sound:かんろく.mp3]&lt;/div&gt;</v>
      </c>
      <c r="H6784" s="3" t="str">
        <f t="shared" si="1"/>
        <v>(n): uy nghiêm</v>
      </c>
      <c r="I6784" s="6" t="s">
        <v>36909</v>
      </c>
      <c r="J6784" s="6" t="s">
        <v>36910</v>
      </c>
      <c r="K6784" s="7">
        <f t="shared" si="2"/>
        <v>0.2481436228</v>
      </c>
    </row>
    <row r="6785">
      <c r="A6785" s="4">
        <v>6785.0</v>
      </c>
      <c r="B6785" s="5" t="s">
        <v>36911</v>
      </c>
      <c r="C6785" s="5" t="s">
        <v>36912</v>
      </c>
      <c r="D6785" s="5" t="s">
        <v>36913</v>
      </c>
      <c r="E6785" s="6" t="s">
        <v>24</v>
      </c>
      <c r="F6785" s="6" t="s">
        <v>36914</v>
      </c>
      <c r="G6785" s="3" t="str">
        <f>IFERROR(__xludf.DUMMYFUNCTION("REGEXREPLACE(
D6785,
""([一-龯々]+)\[([^\]]+)\]"",
""&lt;ruby&gt;$1&lt;rt&gt;$2&lt;/rt&gt;&lt;/ruby&gt;""
)&amp;""&lt;br&gt;&lt;div class=""""audio""""&gt;[sound:""&amp;C6785&amp;"".mp3]&lt;/div&gt;"""),"&lt;ruby&gt;賜&lt;rt&gt;たまわ&lt;/rt&gt;&lt;/ruby&gt;る&lt;br&gt;&lt;div class=""audio""&gt;[sound:たまわる.mp3]&lt;/div&gt;")</f>
        <v>&lt;ruby&gt;賜&lt;rt&gt;たまわ&lt;/rt&gt;&lt;/ruby&gt;る&lt;br&gt;&lt;div class="audio"&gt;[sound:たまわる.mp3]&lt;/div&gt;</v>
      </c>
      <c r="H6785" s="3" t="str">
        <f t="shared" si="1"/>
        <v>(v): nhận được</v>
      </c>
      <c r="I6785" s="6" t="s">
        <v>36915</v>
      </c>
      <c r="J6785" s="6" t="s">
        <v>36916</v>
      </c>
      <c r="K6785" s="7">
        <f t="shared" si="2"/>
        <v>0.9151317888</v>
      </c>
    </row>
    <row r="6786">
      <c r="A6786" s="4">
        <v>6786.0</v>
      </c>
      <c r="B6786" s="5" t="s">
        <v>36917</v>
      </c>
      <c r="C6786" s="5" t="s">
        <v>36918</v>
      </c>
      <c r="D6786" s="5" t="s">
        <v>36919</v>
      </c>
      <c r="E6786" s="6" t="s">
        <v>74</v>
      </c>
      <c r="F6786" s="6" t="s">
        <v>3640</v>
      </c>
      <c r="G6786" s="3" t="str">
        <f>IFERROR(__xludf.DUMMYFUNCTION("REGEXREPLACE(
D6786,
""([一-龯々]+)\[([^\]]+)\]"",
""&lt;ruby&gt;$1&lt;rt&gt;$2&lt;/rt&gt;&lt;/ruby&gt;""
)&amp;""&lt;br&gt;&lt;div class=""""audio""""&gt;[sound:""&amp;C6786&amp;"".mp3]&lt;/div&gt;"""),"&lt;ruby&gt;身&lt;rt&gt;み&lt;/rt&gt;&lt;/ruby&gt;の&lt;ruby&gt;上&lt;rt&gt;うえ&lt;/rt&gt;&lt;/ruby&gt;&lt;br&gt;&lt;div class=""audio""&gt;[sound:みのうえ.mp3]&lt;/div&gt;")</f>
        <v>&lt;ruby&gt;身&lt;rt&gt;み&lt;/rt&gt;&lt;/ruby&gt;の&lt;ruby&gt;上&lt;rt&gt;うえ&lt;/rt&gt;&lt;/ruby&gt;&lt;br&gt;&lt;div class="audio"&gt;[sound:みのうえ.mp3]&lt;/div&gt;</v>
      </c>
      <c r="H6786" s="3" t="str">
        <f t="shared" si="1"/>
        <v>(n): hoàn cảnh</v>
      </c>
      <c r="I6786" s="6" t="s">
        <v>36920</v>
      </c>
      <c r="J6786" s="6" t="s">
        <v>36921</v>
      </c>
      <c r="K6786" s="7">
        <f t="shared" si="2"/>
        <v>0.4278676003</v>
      </c>
    </row>
    <row r="6787">
      <c r="A6787" s="4">
        <v>6787.0</v>
      </c>
      <c r="B6787" s="5" t="s">
        <v>36922</v>
      </c>
      <c r="C6787" s="5" t="s">
        <v>17500</v>
      </c>
      <c r="D6787" s="5" t="s">
        <v>36923</v>
      </c>
      <c r="E6787" s="6" t="s">
        <v>74</v>
      </c>
      <c r="F6787" s="6" t="s">
        <v>36924</v>
      </c>
      <c r="G6787" s="3" t="str">
        <f>IFERROR(__xludf.DUMMYFUNCTION("REGEXREPLACE(
D6787,
""([一-龯々]+)\[([^\]]+)\]"",
""&lt;ruby&gt;$1&lt;rt&gt;$2&lt;/rt&gt;&lt;/ruby&gt;""
)&amp;""&lt;br&gt;&lt;div class=""""audio""""&gt;[sound:""&amp;C6787&amp;"".mp3]&lt;/div&gt;"""),"&lt;ruby&gt;閉口&lt;rt&gt;へいこう&lt;/rt&gt;&lt;/ruby&gt;&lt;br&gt;&lt;div class=""audio""&gt;[sound:へいこう.mp3]&lt;/div&gt;")</f>
        <v>&lt;ruby&gt;閉口&lt;rt&gt;へいこう&lt;/rt&gt;&lt;/ruby&gt;&lt;br&gt;&lt;div class="audio"&gt;[sound:へいこう.mp3]&lt;/div&gt;</v>
      </c>
      <c r="H6787" s="3" t="str">
        <f t="shared" si="1"/>
        <v>(n): sự bó tay</v>
      </c>
      <c r="I6787" s="6" t="s">
        <v>36925</v>
      </c>
      <c r="J6787" s="6" t="s">
        <v>36926</v>
      </c>
      <c r="K6787" s="7">
        <f t="shared" si="2"/>
        <v>0.5806804945</v>
      </c>
    </row>
    <row r="6788">
      <c r="A6788" s="4">
        <v>6788.0</v>
      </c>
      <c r="B6788" s="5" t="s">
        <v>36927</v>
      </c>
      <c r="C6788" s="5" t="s">
        <v>36928</v>
      </c>
      <c r="D6788" s="5" t="s">
        <v>36929</v>
      </c>
      <c r="E6788" s="6" t="s">
        <v>74</v>
      </c>
      <c r="F6788" s="6" t="s">
        <v>36930</v>
      </c>
      <c r="G6788" s="3" t="str">
        <f>IFERROR(__xludf.DUMMYFUNCTION("REGEXREPLACE(
D6788,
""([一-龯々]+)\[([^\]]+)\]"",
""&lt;ruby&gt;$1&lt;rt&gt;$2&lt;/rt&gt;&lt;/ruby&gt;""
)&amp;""&lt;br&gt;&lt;div class=""""audio""""&gt;[sound:""&amp;C6788&amp;"".mp3]&lt;/div&gt;"""),"&lt;ruby&gt;隔週&lt;rt&gt;かくしゅう&lt;/rt&gt;&lt;/ruby&gt;&lt;br&gt;&lt;div class=""audio""&gt;[sound:かくしゅう.mp3]&lt;/div&gt;")</f>
        <v>&lt;ruby&gt;隔週&lt;rt&gt;かくしゅう&lt;/rt&gt;&lt;/ruby&gt;&lt;br&gt;&lt;div class="audio"&gt;[sound:かくしゅう.mp3]&lt;/div&gt;</v>
      </c>
      <c r="H6788" s="3" t="str">
        <f t="shared" si="1"/>
        <v>(n): cách tuần</v>
      </c>
      <c r="I6788" s="6" t="s">
        <v>36931</v>
      </c>
      <c r="J6788" s="6" t="s">
        <v>36932</v>
      </c>
      <c r="K6788" s="7">
        <f t="shared" si="2"/>
        <v>0.5582833284</v>
      </c>
    </row>
    <row r="6789">
      <c r="A6789" s="4">
        <v>6789.0</v>
      </c>
      <c r="B6789" s="5" t="s">
        <v>36933</v>
      </c>
      <c r="C6789" s="5" t="s">
        <v>36933</v>
      </c>
      <c r="D6789" s="5" t="s">
        <v>36933</v>
      </c>
      <c r="E6789" s="6" t="s">
        <v>11</v>
      </c>
      <c r="F6789" s="6" t="s">
        <v>19717</v>
      </c>
      <c r="G6789" s="3" t="str">
        <f>IFERROR(__xludf.DUMMYFUNCTION("REGEXREPLACE(
D6789,
""([一-龯々]+)\[([^\]]+)\]"",
""&lt;ruby&gt;$1&lt;rt&gt;$2&lt;/rt&gt;&lt;/ruby&gt;""
)&amp;""&lt;br&gt;&lt;div class=""""audio""""&gt;[sound:""&amp;C6789&amp;"".mp3]&lt;/div&gt;"""),"きらびやか&lt;br&gt;&lt;div class=""audio""&gt;[sound:きらびやか.mp3]&lt;/div&gt;")</f>
        <v>きらびやか&lt;br&gt;&lt;div class="audio"&gt;[sound:きらびやか.mp3]&lt;/div&gt;</v>
      </c>
      <c r="H6789" s="3" t="str">
        <f t="shared" si="1"/>
        <v>(adj): lộng lẫy</v>
      </c>
      <c r="I6789" s="6" t="s">
        <v>36934</v>
      </c>
      <c r="J6789" s="6" t="s">
        <v>19719</v>
      </c>
      <c r="K6789" s="7">
        <f t="shared" si="2"/>
        <v>0.2914931966</v>
      </c>
    </row>
    <row r="6790">
      <c r="A6790" s="4">
        <v>6790.0</v>
      </c>
      <c r="B6790" s="5" t="s">
        <v>36935</v>
      </c>
      <c r="C6790" s="5" t="s">
        <v>36936</v>
      </c>
      <c r="D6790" s="5" t="s">
        <v>36935</v>
      </c>
      <c r="E6790" s="6" t="s">
        <v>74</v>
      </c>
      <c r="F6790" s="6" t="s">
        <v>36937</v>
      </c>
      <c r="G6790" s="3" t="str">
        <f>IFERROR(__xludf.DUMMYFUNCTION("REGEXREPLACE(
D6790,
""([一-龯々]+)\[([^\]]+)\]"",
""&lt;ruby&gt;$1&lt;rt&gt;$2&lt;/rt&gt;&lt;/ruby&gt;""
)&amp;""&lt;br&gt;&lt;div class=""""audio""""&gt;[sound:""&amp;C6790&amp;"".mp3]&lt;/div&gt;"""),"モーテル&lt;br&gt;&lt;div class=""audio""&gt;[sound:もーてる.mp3]&lt;/div&gt;")</f>
        <v>モーテル&lt;br&gt;&lt;div class="audio"&gt;[sound:もーてる.mp3]&lt;/div&gt;</v>
      </c>
      <c r="H6790" s="3" t="str">
        <f t="shared" si="1"/>
        <v>(n): nhà nghỉ</v>
      </c>
      <c r="I6790" s="6" t="s">
        <v>36938</v>
      </c>
      <c r="J6790" s="6" t="s">
        <v>36939</v>
      </c>
      <c r="K6790" s="7">
        <f t="shared" si="2"/>
        <v>0.1325811138</v>
      </c>
    </row>
    <row r="6791">
      <c r="A6791" s="4">
        <v>6791.0</v>
      </c>
      <c r="B6791" s="5" t="s">
        <v>36940</v>
      </c>
      <c r="C6791" s="5" t="s">
        <v>36941</v>
      </c>
      <c r="D6791" s="5" t="s">
        <v>36942</v>
      </c>
      <c r="E6791" s="6" t="s">
        <v>74</v>
      </c>
      <c r="F6791" s="6" t="s">
        <v>36943</v>
      </c>
      <c r="G6791" s="3" t="str">
        <f>IFERROR(__xludf.DUMMYFUNCTION("REGEXREPLACE(
D6791,
""([一-龯々]+)\[([^\]]+)\]"",
""&lt;ruby&gt;$1&lt;rt&gt;$2&lt;/rt&gt;&lt;/ruby&gt;""
)&amp;""&lt;br&gt;&lt;div class=""""audio""""&gt;[sound:""&amp;C6791&amp;"".mp3]&lt;/div&gt;"""),"&lt;ruby&gt;世辞&lt;rt&gt;せじ&lt;/rt&gt;&lt;/ruby&gt;&lt;br&gt;&lt;div class=""audio""&gt;[sound:せじ.mp3]&lt;/div&gt;")</f>
        <v>&lt;ruby&gt;世辞&lt;rt&gt;せじ&lt;/rt&gt;&lt;/ruby&gt;&lt;br&gt;&lt;div class="audio"&gt;[sound:せじ.mp3]&lt;/div&gt;</v>
      </c>
      <c r="H6791" s="3" t="str">
        <f t="shared" si="1"/>
        <v>(n): nịnh nọt</v>
      </c>
      <c r="I6791" s="6" t="s">
        <v>36944</v>
      </c>
      <c r="J6791" s="6" t="s">
        <v>36945</v>
      </c>
      <c r="K6791" s="7">
        <f t="shared" si="2"/>
        <v>0.9143208684</v>
      </c>
    </row>
    <row r="6792">
      <c r="A6792" s="4">
        <v>6792.0</v>
      </c>
      <c r="B6792" s="5" t="s">
        <v>36946</v>
      </c>
      <c r="C6792" s="5" t="s">
        <v>36947</v>
      </c>
      <c r="D6792" s="5" t="s">
        <v>36948</v>
      </c>
      <c r="E6792" s="6" t="s">
        <v>24</v>
      </c>
      <c r="F6792" s="6" t="s">
        <v>36949</v>
      </c>
      <c r="G6792" s="3" t="str">
        <f>IFERROR(__xludf.DUMMYFUNCTION("REGEXREPLACE(
D6792,
""([一-龯々]+)\[([^\]]+)\]"",
""&lt;ruby&gt;$1&lt;rt&gt;$2&lt;/rt&gt;&lt;/ruby&gt;""
)&amp;""&lt;br&gt;&lt;div class=""""audio""""&gt;[sound:""&amp;C6792&amp;"".mp3]&lt;/div&gt;"""),"&lt;ruby&gt;口吟&lt;rt&gt;くちずさ&lt;/rt&gt;&lt;/ruby&gt;む&lt;br&gt;&lt;div class=""audio""&gt;[sound:くちずさむ.mp3]&lt;/div&gt;")</f>
        <v>&lt;ruby&gt;口吟&lt;rt&gt;くちずさ&lt;/rt&gt;&lt;/ruby&gt;む&lt;br&gt;&lt;div class="audio"&gt;[sound:くちずさむ.mp3]&lt;/div&gt;</v>
      </c>
      <c r="H6792" s="3" t="str">
        <f t="shared" si="1"/>
        <v>(v): ngâm nga</v>
      </c>
      <c r="I6792" s="6" t="s">
        <v>36950</v>
      </c>
      <c r="J6792" s="6" t="s">
        <v>36951</v>
      </c>
      <c r="K6792" s="7">
        <f t="shared" si="2"/>
        <v>0.5598855893</v>
      </c>
    </row>
    <row r="6793">
      <c r="A6793" s="4">
        <v>6793.0</v>
      </c>
      <c r="B6793" s="5" t="s">
        <v>36952</v>
      </c>
      <c r="C6793" s="5" t="s">
        <v>36953</v>
      </c>
      <c r="D6793" s="5" t="s">
        <v>36954</v>
      </c>
      <c r="E6793" s="6" t="s">
        <v>74</v>
      </c>
      <c r="F6793" s="6" t="s">
        <v>36955</v>
      </c>
      <c r="G6793" s="3" t="str">
        <f>IFERROR(__xludf.DUMMYFUNCTION("REGEXREPLACE(
D6793,
""([一-龯々]+)\[([^\]]+)\]"",
""&lt;ruby&gt;$1&lt;rt&gt;$2&lt;/rt&gt;&lt;/ruby&gt;""
)&amp;""&lt;br&gt;&lt;div class=""""audio""""&gt;[sound:""&amp;C6793&amp;"".mp3]&lt;/div&gt;"""),"&lt;ruby&gt;夜具&lt;rt&gt;やぐ&lt;/rt&gt;&lt;/ruby&gt;&lt;br&gt;&lt;div class=""audio""&gt;[sound:やぐ.mp3]&lt;/div&gt;")</f>
        <v>&lt;ruby&gt;夜具&lt;rt&gt;やぐ&lt;/rt&gt;&lt;/ruby&gt;&lt;br&gt;&lt;div class="audio"&gt;[sound:やぐ.mp3]&lt;/div&gt;</v>
      </c>
      <c r="H6793" s="3" t="str">
        <f t="shared" si="1"/>
        <v>(n): chăn đệm</v>
      </c>
      <c r="I6793" s="6" t="s">
        <v>36956</v>
      </c>
      <c r="J6793" s="6" t="s">
        <v>36957</v>
      </c>
      <c r="K6793" s="7">
        <f t="shared" si="2"/>
        <v>0.57971956</v>
      </c>
    </row>
    <row r="6794">
      <c r="A6794" s="4">
        <v>6794.0</v>
      </c>
      <c r="B6794" s="5" t="s">
        <v>36958</v>
      </c>
      <c r="C6794" s="5" t="s">
        <v>36959</v>
      </c>
      <c r="D6794" s="5" t="s">
        <v>36960</v>
      </c>
      <c r="E6794" s="6" t="s">
        <v>24</v>
      </c>
      <c r="F6794" s="6" t="s">
        <v>36961</v>
      </c>
      <c r="G6794" s="3" t="str">
        <f>IFERROR(__xludf.DUMMYFUNCTION("REGEXREPLACE(
D6794,
""([一-龯々]+)\[([^\]]+)\]"",
""&lt;ruby&gt;$1&lt;rt&gt;$2&lt;/rt&gt;&lt;/ruby&gt;""
)&amp;""&lt;br&gt;&lt;div class=""""audio""""&gt;[sound:""&amp;C6794&amp;"".mp3]&lt;/div&gt;"""),"&lt;ruby&gt;滲&lt;rt&gt;にじ&lt;/rt&gt;&lt;/ruby&gt;む&lt;br&gt;&lt;div class=""audio""&gt;[sound:にじむ.mp3]&lt;/div&gt;")</f>
        <v>&lt;ruby&gt;滲&lt;rt&gt;にじ&lt;/rt&gt;&lt;/ruby&gt;む&lt;br&gt;&lt;div class="audio"&gt;[sound:にじむ.mp3]&lt;/div&gt;</v>
      </c>
      <c r="H6794" s="3" t="str">
        <f t="shared" si="1"/>
        <v>(v): loang ra</v>
      </c>
      <c r="I6794" s="6" t="s">
        <v>36962</v>
      </c>
      <c r="J6794" s="6" t="s">
        <v>36963</v>
      </c>
      <c r="K6794" s="7">
        <f t="shared" si="2"/>
        <v>0.3415326945</v>
      </c>
    </row>
    <row r="6795">
      <c r="A6795" s="4">
        <v>6795.0</v>
      </c>
      <c r="B6795" s="5" t="s">
        <v>36964</v>
      </c>
      <c r="C6795" s="5" t="s">
        <v>33809</v>
      </c>
      <c r="D6795" s="5" t="s">
        <v>36965</v>
      </c>
      <c r="E6795" s="6" t="s">
        <v>24</v>
      </c>
      <c r="F6795" s="6" t="s">
        <v>22236</v>
      </c>
      <c r="G6795" s="3" t="str">
        <f>IFERROR(__xludf.DUMMYFUNCTION("REGEXREPLACE(
D6795,
""([一-龯々]+)\[([^\]]+)\]"",
""&lt;ruby&gt;$1&lt;rt&gt;$2&lt;/rt&gt;&lt;/ruby&gt;""
)&amp;""&lt;br&gt;&lt;div class=""""audio""""&gt;[sound:""&amp;C6795&amp;"".mp3]&lt;/div&gt;"""),"&lt;ruby&gt;漏&lt;rt&gt;も&lt;/rt&gt;&lt;/ruby&gt;る&lt;br&gt;&lt;div class=""audio""&gt;[sound:もる.mp3]&lt;/div&gt;")</f>
        <v>&lt;ruby&gt;漏&lt;rt&gt;も&lt;/rt&gt;&lt;/ruby&gt;る&lt;br&gt;&lt;div class="audio"&gt;[sound:もる.mp3]&lt;/div&gt;</v>
      </c>
      <c r="H6795" s="3" t="str">
        <f t="shared" si="1"/>
        <v>(v): bị rò rỉ</v>
      </c>
      <c r="I6795" s="6" t="s">
        <v>36966</v>
      </c>
      <c r="J6795" s="6" t="s">
        <v>36967</v>
      </c>
      <c r="K6795" s="7">
        <f t="shared" si="2"/>
        <v>0.7704883523</v>
      </c>
    </row>
    <row r="6796">
      <c r="A6796" s="4">
        <v>6796.0</v>
      </c>
      <c r="B6796" s="5" t="s">
        <v>36968</v>
      </c>
      <c r="C6796" s="5" t="s">
        <v>36969</v>
      </c>
      <c r="D6796" s="5" t="s">
        <v>36970</v>
      </c>
      <c r="E6796" s="6" t="s">
        <v>11</v>
      </c>
      <c r="F6796" s="6" t="s">
        <v>36971</v>
      </c>
      <c r="G6796" s="3" t="str">
        <f>IFERROR(__xludf.DUMMYFUNCTION("REGEXREPLACE(
D6796,
""([一-龯々]+)\[([^\]]+)\]"",
""&lt;ruby&gt;$1&lt;rt&gt;$2&lt;/rt&gt;&lt;/ruby&gt;""
)&amp;""&lt;br&gt;&lt;div class=""""audio""""&gt;[sound:""&amp;C6796&amp;"".mp3]&lt;/div&gt;"""),"&lt;ruby&gt;無邪気&lt;rt&gt;むじゃき&lt;/rt&gt;&lt;/ruby&gt;&lt;br&gt;&lt;div class=""audio""&gt;[sound:むじゃき.mp3]&lt;/div&gt;")</f>
        <v>&lt;ruby&gt;無邪気&lt;rt&gt;むじゃき&lt;/rt&gt;&lt;/ruby&gt;&lt;br&gt;&lt;div class="audio"&gt;[sound:むじゃき.mp3]&lt;/div&gt;</v>
      </c>
      <c r="H6796" s="3" t="str">
        <f t="shared" si="1"/>
        <v>(adj): ngây thơ</v>
      </c>
      <c r="I6796" s="6" t="s">
        <v>36972</v>
      </c>
      <c r="J6796" s="6" t="s">
        <v>36973</v>
      </c>
      <c r="K6796" s="7">
        <f t="shared" si="2"/>
        <v>0.3654476545</v>
      </c>
    </row>
    <row r="6797">
      <c r="A6797" s="4">
        <v>6797.0</v>
      </c>
      <c r="B6797" s="5" t="s">
        <v>36974</v>
      </c>
      <c r="C6797" s="5" t="s">
        <v>36975</v>
      </c>
      <c r="D6797" s="5" t="s">
        <v>36976</v>
      </c>
      <c r="E6797" s="6" t="s">
        <v>74</v>
      </c>
      <c r="F6797" s="6" t="s">
        <v>2326</v>
      </c>
      <c r="G6797" s="3" t="str">
        <f>IFERROR(__xludf.DUMMYFUNCTION("REGEXREPLACE(
D6797,
""([一-龯々]+)\[([^\]]+)\]"",
""&lt;ruby&gt;$1&lt;rt&gt;$2&lt;/rt&gt;&lt;/ruby&gt;""
)&amp;""&lt;br&gt;&lt;div class=""""audio""""&gt;[sound:""&amp;C6797&amp;"".mp3]&lt;/div&gt;"""),"&lt;ruby&gt;目論見&lt;rt&gt;もくろみ&lt;/rt&gt;&lt;/ruby&gt;&lt;br&gt;&lt;div class=""audio""&gt;[sound:もくろみ.mp3]&lt;/div&gt;")</f>
        <v>&lt;ruby&gt;目論見&lt;rt&gt;もくろみ&lt;/rt&gt;&lt;/ruby&gt;&lt;br&gt;&lt;div class="audio"&gt;[sound:もくろみ.mp3]&lt;/div&gt;</v>
      </c>
      <c r="H6797" s="3" t="str">
        <f t="shared" si="1"/>
        <v>(n): kế hoạch</v>
      </c>
      <c r="I6797" s="6" t="s">
        <v>36977</v>
      </c>
      <c r="J6797" s="6" t="s">
        <v>36978</v>
      </c>
      <c r="K6797" s="7">
        <f t="shared" si="2"/>
        <v>0.6185405107</v>
      </c>
    </row>
    <row r="6798">
      <c r="A6798" s="4">
        <v>6798.0</v>
      </c>
      <c r="B6798" s="5" t="s">
        <v>36979</v>
      </c>
      <c r="C6798" s="5" t="s">
        <v>36980</v>
      </c>
      <c r="D6798" s="5" t="s">
        <v>36981</v>
      </c>
      <c r="E6798" s="6" t="s">
        <v>11</v>
      </c>
      <c r="F6798" s="6" t="s">
        <v>16503</v>
      </c>
      <c r="G6798" s="3" t="str">
        <f>IFERROR(__xludf.DUMMYFUNCTION("REGEXREPLACE(
D6798,
""([一-龯々]+)\[([^\]]+)\]"",
""&lt;ruby&gt;$1&lt;rt&gt;$2&lt;/rt&gt;&lt;/ruby&gt;""
)&amp;""&lt;br&gt;&lt;div class=""""audio""""&gt;[sound:""&amp;C6798&amp;"".mp3]&lt;/div&gt;"""),"&lt;ruby&gt;眠&lt;rt&gt;ねむ&lt;/rt&gt;&lt;/ruby&gt;たい&lt;br&gt;&lt;div class=""audio""&gt;[sound:ねむたい.mp3]&lt;/div&gt;")</f>
        <v>&lt;ruby&gt;眠&lt;rt&gt;ねむ&lt;/rt&gt;&lt;/ruby&gt;たい&lt;br&gt;&lt;div class="audio"&gt;[sound:ねむたい.mp3]&lt;/div&gt;</v>
      </c>
      <c r="H6798" s="3" t="str">
        <f t="shared" si="1"/>
        <v>(adj): buồn ngủ</v>
      </c>
      <c r="I6798" s="6" t="s">
        <v>36982</v>
      </c>
      <c r="J6798" s="6" t="s">
        <v>36983</v>
      </c>
      <c r="K6798" s="7">
        <f t="shared" si="2"/>
        <v>0.8941374156</v>
      </c>
    </row>
    <row r="6799">
      <c r="A6799" s="4">
        <v>6799.0</v>
      </c>
      <c r="B6799" s="5" t="s">
        <v>36984</v>
      </c>
      <c r="C6799" s="5" t="s">
        <v>36985</v>
      </c>
      <c r="D6799" s="5" t="s">
        <v>36986</v>
      </c>
      <c r="E6799" s="6" t="s">
        <v>74</v>
      </c>
      <c r="F6799" s="6" t="s">
        <v>36987</v>
      </c>
      <c r="G6799" s="3" t="str">
        <f>IFERROR(__xludf.DUMMYFUNCTION("REGEXREPLACE(
D6799,
""([一-龯々]+)\[([^\]]+)\]"",
""&lt;ruby&gt;$1&lt;rt&gt;$2&lt;/rt&gt;&lt;/ruby&gt;""
)&amp;""&lt;br&gt;&lt;div class=""""audio""""&gt;[sound:""&amp;C6799&amp;"".mp3]&lt;/div&gt;"""),"&lt;ruby&gt;眼球&lt;rt&gt;がんきゅう&lt;/rt&gt;&lt;/ruby&gt;&lt;br&gt;&lt;div class=""audio""&gt;[sound:がんきゅう.mp3]&lt;/div&gt;")</f>
        <v>&lt;ruby&gt;眼球&lt;rt&gt;がんきゅう&lt;/rt&gt;&lt;/ruby&gt;&lt;br&gt;&lt;div class="audio"&gt;[sound:がんきゅう.mp3]&lt;/div&gt;</v>
      </c>
      <c r="H6799" s="3" t="str">
        <f t="shared" si="1"/>
        <v>(n): nhãn cầu</v>
      </c>
      <c r="I6799" s="6" t="s">
        <v>36988</v>
      </c>
      <c r="J6799" s="6" t="s">
        <v>36989</v>
      </c>
      <c r="K6799" s="7">
        <f t="shared" si="2"/>
        <v>0.6526847547</v>
      </c>
    </row>
    <row r="6800">
      <c r="A6800" s="4">
        <v>6800.0</v>
      </c>
      <c r="B6800" s="5" t="s">
        <v>36990</v>
      </c>
      <c r="C6800" s="5" t="s">
        <v>36991</v>
      </c>
      <c r="D6800" s="5" t="s">
        <v>36992</v>
      </c>
      <c r="E6800" s="6" t="s">
        <v>74</v>
      </c>
      <c r="F6800" s="6" t="s">
        <v>26608</v>
      </c>
      <c r="G6800" s="3" t="str">
        <f>IFERROR(__xludf.DUMMYFUNCTION("REGEXREPLACE(
D6800,
""([一-龯々]+)\[([^\]]+)\]"",
""&lt;ruby&gt;$1&lt;rt&gt;$2&lt;/rt&gt;&lt;/ruby&gt;""
)&amp;""&lt;br&gt;&lt;div class=""""audio""""&gt;[sound:""&amp;C6800&amp;"".mp3]&lt;/div&gt;"""),"&lt;ruby&gt;聴診器&lt;rt&gt;ちょうしんき&lt;/rt&gt;&lt;/ruby&gt;&lt;br&gt;&lt;div class=""audio""&gt;[sound:ちょうしんき.mp3]&lt;/div&gt;")</f>
        <v>&lt;ruby&gt;聴診器&lt;rt&gt;ちょうしんき&lt;/rt&gt;&lt;/ruby&gt;&lt;br&gt;&lt;div class="audio"&gt;[sound:ちょうしんき.mp3]&lt;/div&gt;</v>
      </c>
      <c r="H6800" s="3" t="str">
        <f t="shared" si="1"/>
        <v>(n): ống nghe</v>
      </c>
      <c r="I6800" s="6" t="s">
        <v>36993</v>
      </c>
      <c r="J6800" s="6" t="s">
        <v>36994</v>
      </c>
      <c r="K6800" s="7">
        <f t="shared" si="2"/>
        <v>0.9467075585</v>
      </c>
    </row>
    <row r="6801">
      <c r="A6801" s="4">
        <v>6801.0</v>
      </c>
      <c r="B6801" s="5" t="s">
        <v>36995</v>
      </c>
      <c r="C6801" s="5" t="s">
        <v>36996</v>
      </c>
      <c r="D6801" s="5" t="s">
        <v>36997</v>
      </c>
      <c r="E6801" s="6" t="s">
        <v>74</v>
      </c>
      <c r="F6801" s="6" t="s">
        <v>36998</v>
      </c>
      <c r="G6801" s="3" t="str">
        <f>IFERROR(__xludf.DUMMYFUNCTION("REGEXREPLACE(
D6801,
""([一-龯々]+)\[([^\]]+)\]"",
""&lt;ruby&gt;$1&lt;rt&gt;$2&lt;/rt&gt;&lt;/ruby&gt;""
)&amp;""&lt;br&gt;&lt;div class=""""audio""""&gt;[sound:""&amp;C6801&amp;"".mp3]&lt;/div&gt;"""),"&lt;ruby&gt;凶作&lt;rt&gt;きょうさく&lt;/rt&gt;&lt;/ruby&gt;&lt;br&gt;&lt;div class=""audio""&gt;[sound:きょうさく.mp3]&lt;/div&gt;")</f>
        <v>&lt;ruby&gt;凶作&lt;rt&gt;きょうさく&lt;/rt&gt;&lt;/ruby&gt;&lt;br&gt;&lt;div class="audio"&gt;[sound:きょうさく.mp3]&lt;/div&gt;</v>
      </c>
      <c r="H6801" s="3" t="str">
        <f t="shared" si="1"/>
        <v>(n): mất mùa</v>
      </c>
      <c r="I6801" s="6" t="s">
        <v>36999</v>
      </c>
      <c r="J6801" s="6" t="s">
        <v>37000</v>
      </c>
      <c r="K6801" s="7">
        <f t="shared" si="2"/>
        <v>0.09030676498</v>
      </c>
    </row>
    <row r="6802">
      <c r="A6802" s="4">
        <v>6802.0</v>
      </c>
      <c r="B6802" s="5" t="s">
        <v>37001</v>
      </c>
      <c r="C6802" s="5" t="s">
        <v>37002</v>
      </c>
      <c r="D6802" s="5" t="s">
        <v>37003</v>
      </c>
      <c r="E6802" s="6" t="s">
        <v>74</v>
      </c>
      <c r="F6802" s="6" t="s">
        <v>37004</v>
      </c>
      <c r="G6802" s="3" t="str">
        <f>IFERROR(__xludf.DUMMYFUNCTION("REGEXREPLACE(
D6802,
""([一-龯々]+)\[([^\]]+)\]"",
""&lt;ruby&gt;$1&lt;rt&gt;$2&lt;/rt&gt;&lt;/ruby&gt;""
)&amp;""&lt;br&gt;&lt;div class=""""audio""""&gt;[sound:""&amp;C6802&amp;"".mp3]&lt;/div&gt;"""),"&lt;ruby&gt;火花&lt;rt&gt;ひばな&lt;/rt&gt;&lt;/ruby&gt;&lt;br&gt;&lt;div class=""audio""&gt;[sound:ひばな.mp3]&lt;/div&gt;")</f>
        <v>&lt;ruby&gt;火花&lt;rt&gt;ひばな&lt;/rt&gt;&lt;/ruby&gt;&lt;br&gt;&lt;div class="audio"&gt;[sound:ひばな.mp3]&lt;/div&gt;</v>
      </c>
      <c r="H6802" s="3" t="str">
        <f t="shared" si="1"/>
        <v>(n): tia lửa</v>
      </c>
      <c r="I6802" s="6" t="s">
        <v>37005</v>
      </c>
      <c r="J6802" s="6" t="s">
        <v>37006</v>
      </c>
      <c r="K6802" s="7">
        <f t="shared" si="2"/>
        <v>0.3936798021</v>
      </c>
    </row>
    <row r="6803">
      <c r="A6803" s="4">
        <v>6803.0</v>
      </c>
      <c r="B6803" s="5" t="s">
        <v>37007</v>
      </c>
      <c r="C6803" s="5" t="s">
        <v>37008</v>
      </c>
      <c r="D6803" s="5" t="s">
        <v>37009</v>
      </c>
      <c r="E6803" s="6" t="s">
        <v>85</v>
      </c>
      <c r="F6803" s="6" t="s">
        <v>604</v>
      </c>
      <c r="G6803" s="3" t="str">
        <f>IFERROR(__xludf.DUMMYFUNCTION("REGEXREPLACE(
D6803,
""([一-龯々]+)\[([^\]]+)\]"",
""&lt;ruby&gt;$1&lt;rt&gt;$2&lt;/rt&gt;&lt;/ruby&gt;""
)&amp;""&lt;br&gt;&lt;div class=""""audio""""&gt;[sound:""&amp;C6803&amp;"".mp3]&lt;/div&gt;"""),"&lt;ruby&gt;甚&lt;rt&gt;はなは&lt;/rt&gt;&lt;/ruby&gt;だ&lt;br&gt;&lt;div class=""audio""&gt;[sound:はなはだ.mp3]&lt;/div&gt;")</f>
        <v>&lt;ruby&gt;甚&lt;rt&gt;はなは&lt;/rt&gt;&lt;/ruby&gt;だ&lt;br&gt;&lt;div class="audio"&gt;[sound:はなはだ.mp3]&lt;/div&gt;</v>
      </c>
      <c r="H6803" s="3" t="str">
        <f t="shared" si="1"/>
        <v>(adv): rất</v>
      </c>
      <c r="I6803" s="6" t="s">
        <v>37010</v>
      </c>
      <c r="J6803" s="6" t="s">
        <v>37011</v>
      </c>
      <c r="K6803" s="7">
        <f t="shared" si="2"/>
        <v>0.7119745469</v>
      </c>
    </row>
    <row r="6804">
      <c r="A6804" s="4">
        <v>6804.0</v>
      </c>
      <c r="B6804" s="5" t="s">
        <v>37012</v>
      </c>
      <c r="C6804" s="5" t="s">
        <v>37013</v>
      </c>
      <c r="D6804" s="5" t="s">
        <v>37014</v>
      </c>
      <c r="E6804" s="6" t="s">
        <v>74</v>
      </c>
      <c r="F6804" s="6" t="s">
        <v>37015</v>
      </c>
      <c r="G6804" s="3" t="str">
        <f>IFERROR(__xludf.DUMMYFUNCTION("REGEXREPLACE(
D6804,
""([一-龯々]+)\[([^\]]+)\]"",
""&lt;ruby&gt;$1&lt;rt&gt;$2&lt;/rt&gt;&lt;/ruby&gt;""
)&amp;""&lt;br&gt;&lt;div class=""""audio""""&gt;[sound:""&amp;C6804&amp;"".mp3]&lt;/div&gt;"""),"&lt;ruby&gt;生計&lt;rt&gt;せいけい&lt;/rt&gt;&lt;/ruby&gt;&lt;br&gt;&lt;div class=""audio""&gt;[sound:せいけい.mp3]&lt;/div&gt;")</f>
        <v>&lt;ruby&gt;生計&lt;rt&gt;せいけい&lt;/rt&gt;&lt;/ruby&gt;&lt;br&gt;&lt;div class="audio"&gt;[sound:せいけい.mp3]&lt;/div&gt;</v>
      </c>
      <c r="H6804" s="3" t="str">
        <f t="shared" si="1"/>
        <v>(n): sinh kế</v>
      </c>
      <c r="I6804" s="6" t="s">
        <v>37016</v>
      </c>
      <c r="J6804" s="6" t="s">
        <v>37017</v>
      </c>
      <c r="K6804" s="7">
        <f t="shared" si="2"/>
        <v>0.2626052755</v>
      </c>
    </row>
    <row r="6805">
      <c r="A6805" s="4">
        <v>6805.0</v>
      </c>
      <c r="B6805" s="5" t="s">
        <v>37018</v>
      </c>
      <c r="C6805" s="5" t="s">
        <v>37019</v>
      </c>
      <c r="D6805" s="5" t="s">
        <v>37020</v>
      </c>
      <c r="E6805" s="6" t="s">
        <v>74</v>
      </c>
      <c r="F6805" s="6" t="s">
        <v>7610</v>
      </c>
      <c r="G6805" s="3" t="str">
        <f>IFERROR(__xludf.DUMMYFUNCTION("REGEXREPLACE(
D6805,
""([一-龯々]+)\[([^\]]+)\]"",
""&lt;ruby&gt;$1&lt;rt&gt;$2&lt;/rt&gt;&lt;/ruby&gt;""
)&amp;""&lt;br&gt;&lt;div class=""""audio""""&gt;[sound:""&amp;C6805&amp;"".mp3]&lt;/div&gt;"""),"&lt;ruby&gt;神殿&lt;rt&gt;しんでん&lt;/rt&gt;&lt;/ruby&gt;&lt;br&gt;&lt;div class=""audio""&gt;[sound:しんでん.mp3]&lt;/div&gt;")</f>
        <v>&lt;ruby&gt;神殿&lt;rt&gt;しんでん&lt;/rt&gt;&lt;/ruby&gt;&lt;br&gt;&lt;div class="audio"&gt;[sound:しんでん.mp3]&lt;/div&gt;</v>
      </c>
      <c r="H6805" s="3" t="str">
        <f t="shared" si="1"/>
        <v>(n): đền thờ</v>
      </c>
      <c r="I6805" s="6" t="s">
        <v>37021</v>
      </c>
      <c r="J6805" s="6" t="s">
        <v>37022</v>
      </c>
      <c r="K6805" s="7">
        <f t="shared" si="2"/>
        <v>0.9747399564</v>
      </c>
    </row>
    <row r="6806">
      <c r="A6806" s="4">
        <v>6806.0</v>
      </c>
      <c r="B6806" s="5" t="s">
        <v>37023</v>
      </c>
      <c r="C6806" s="5" t="s">
        <v>37024</v>
      </c>
      <c r="D6806" s="5" t="s">
        <v>37025</v>
      </c>
      <c r="E6806" s="6" t="s">
        <v>74</v>
      </c>
      <c r="F6806" s="6" t="s">
        <v>37026</v>
      </c>
      <c r="G6806" s="3" t="str">
        <f>IFERROR(__xludf.DUMMYFUNCTION("REGEXREPLACE(
D6806,
""([一-龯々]+)\[([^\]]+)\]"",
""&lt;ruby&gt;$1&lt;rt&gt;$2&lt;/rt&gt;&lt;/ruby&gt;""
)&amp;""&lt;br&gt;&lt;div class=""""audio""""&gt;[sound:""&amp;C6806&amp;"".mp3]&lt;/div&gt;"""),"&lt;ruby&gt;粉々&lt;rt&gt;こなごな&lt;/rt&gt;&lt;/ruby&gt;&lt;br&gt;&lt;div class=""audio""&gt;[sound:こなごな.mp3]&lt;/div&gt;")</f>
        <v>&lt;ruby&gt;粉々&lt;rt&gt;こなごな&lt;/rt&gt;&lt;/ruby&gt;&lt;br&gt;&lt;div class="audio"&gt;[sound:こなごな.mp3]&lt;/div&gt;</v>
      </c>
      <c r="H6806" s="3" t="str">
        <f t="shared" si="1"/>
        <v>(n): vụn nát</v>
      </c>
      <c r="I6806" s="6" t="s">
        <v>37027</v>
      </c>
      <c r="J6806" s="6" t="s">
        <v>37028</v>
      </c>
      <c r="K6806" s="7">
        <f t="shared" si="2"/>
        <v>0.3880458786</v>
      </c>
    </row>
    <row r="6807">
      <c r="A6807" s="4">
        <v>6807.0</v>
      </c>
      <c r="B6807" s="5" t="s">
        <v>37029</v>
      </c>
      <c r="C6807" s="5" t="s">
        <v>37030</v>
      </c>
      <c r="D6807" s="5" t="s">
        <v>37031</v>
      </c>
      <c r="E6807" s="6" t="s">
        <v>74</v>
      </c>
      <c r="F6807" s="6" t="s">
        <v>33706</v>
      </c>
      <c r="G6807" s="3" t="str">
        <f>IFERROR(__xludf.DUMMYFUNCTION("REGEXREPLACE(
D6807,
""([一-龯々]+)\[([^\]]+)\]"",
""&lt;ruby&gt;$1&lt;rt&gt;$2&lt;/rt&gt;&lt;/ruby&gt;""
)&amp;""&lt;br&gt;&lt;div class=""""audio""""&gt;[sound:""&amp;C6807&amp;"".mp3]&lt;/div&gt;"""),"&lt;ruby&gt;近眼&lt;rt&gt;きんがん&lt;/rt&gt;&lt;/ruby&gt;&lt;br&gt;&lt;div class=""audio""&gt;[sound:きんがん.mp3]&lt;/div&gt;")</f>
        <v>&lt;ruby&gt;近眼&lt;rt&gt;きんがん&lt;/rt&gt;&lt;/ruby&gt;&lt;br&gt;&lt;div class="audio"&gt;[sound:きんがん.mp3]&lt;/div&gt;</v>
      </c>
      <c r="H6807" s="3" t="str">
        <f t="shared" si="1"/>
        <v>(n): cận thị</v>
      </c>
      <c r="I6807" s="6" t="s">
        <v>37032</v>
      </c>
      <c r="J6807" s="6" t="s">
        <v>33708</v>
      </c>
      <c r="K6807" s="7">
        <f t="shared" si="2"/>
        <v>0.83569358</v>
      </c>
    </row>
    <row r="6808">
      <c r="A6808" s="4">
        <v>6808.0</v>
      </c>
      <c r="B6808" s="5" t="s">
        <v>37033</v>
      </c>
      <c r="C6808" s="5" t="s">
        <v>37034</v>
      </c>
      <c r="D6808" s="5" t="s">
        <v>37035</v>
      </c>
      <c r="E6808" s="6" t="s">
        <v>74</v>
      </c>
      <c r="F6808" s="6" t="s">
        <v>37036</v>
      </c>
      <c r="G6808" s="3" t="str">
        <f>IFERROR(__xludf.DUMMYFUNCTION("REGEXREPLACE(
D6808,
""([一-龯々]+)\[([^\]]+)\]"",
""&lt;ruby&gt;$1&lt;rt&gt;$2&lt;/rt&gt;&lt;/ruby&gt;""
)&amp;""&lt;br&gt;&lt;div class=""""audio""""&gt;[sound:""&amp;C6808&amp;"".mp3]&lt;/div&gt;"""),"&lt;ruby&gt;金槌&lt;rt&gt;かなづち&lt;/rt&gt;&lt;/ruby&gt;&lt;br&gt;&lt;div class=""audio""&gt;[sound:かなづち.mp3]&lt;/div&gt;")</f>
        <v>&lt;ruby&gt;金槌&lt;rt&gt;かなづち&lt;/rt&gt;&lt;/ruby&gt;&lt;br&gt;&lt;div class="audio"&gt;[sound:かなづち.mp3]&lt;/div&gt;</v>
      </c>
      <c r="H6808" s="3" t="str">
        <f t="shared" si="1"/>
        <v>(n): cái búa</v>
      </c>
      <c r="I6808" s="6" t="s">
        <v>37037</v>
      </c>
      <c r="J6808" s="6" t="s">
        <v>37038</v>
      </c>
      <c r="K6808" s="7">
        <f t="shared" si="2"/>
        <v>0.6050677202</v>
      </c>
    </row>
    <row r="6809">
      <c r="A6809" s="4">
        <v>6809.0</v>
      </c>
      <c r="B6809" s="5" t="s">
        <v>37039</v>
      </c>
      <c r="C6809" s="5" t="s">
        <v>37040</v>
      </c>
      <c r="D6809" s="5" t="s">
        <v>37041</v>
      </c>
      <c r="E6809" s="6" t="s">
        <v>74</v>
      </c>
      <c r="F6809" s="6" t="s">
        <v>37042</v>
      </c>
      <c r="G6809" s="3" t="str">
        <f>IFERROR(__xludf.DUMMYFUNCTION("REGEXREPLACE(
D6809,
""([一-龯々]+)\[([^\]]+)\]"",
""&lt;ruby&gt;$1&lt;rt&gt;$2&lt;/rt&gt;&lt;/ruby&gt;""
)&amp;""&lt;br&gt;&lt;div class=""""audio""""&gt;[sound:""&amp;C6809&amp;"".mp3]&lt;/div&gt;"""),"&lt;ruby&gt;雑木&lt;rt&gt;ぞうき&lt;/rt&gt;&lt;/ruby&gt;&lt;br&gt;&lt;div class=""audio""&gt;[sound:ぞうき.mp3]&lt;/div&gt;")</f>
        <v>&lt;ruby&gt;雑木&lt;rt&gt;ぞうき&lt;/rt&gt;&lt;/ruby&gt;&lt;br&gt;&lt;div class="audio"&gt;[sound:ぞうき.mp3]&lt;/div&gt;</v>
      </c>
      <c r="H6809" s="3" t="str">
        <f t="shared" si="1"/>
        <v>(n): cây tạp</v>
      </c>
      <c r="I6809" s="6" t="s">
        <v>37043</v>
      </c>
      <c r="J6809" s="6" t="s">
        <v>37044</v>
      </c>
      <c r="K6809" s="7">
        <f t="shared" si="2"/>
        <v>0.5035950461</v>
      </c>
    </row>
    <row r="6810">
      <c r="A6810" s="4">
        <v>6810.0</v>
      </c>
      <c r="B6810" s="5" t="s">
        <v>37045</v>
      </c>
      <c r="C6810" s="5" t="s">
        <v>37045</v>
      </c>
      <c r="D6810" s="5" t="s">
        <v>37045</v>
      </c>
      <c r="E6810" s="6" t="s">
        <v>74</v>
      </c>
      <c r="F6810" s="6" t="s">
        <v>37046</v>
      </c>
      <c r="G6810" s="3" t="str">
        <f>IFERROR(__xludf.DUMMYFUNCTION("REGEXREPLACE(
D6810,
""([一-龯々]+)\[([^\]]+)\]"",
""&lt;ruby&gt;$1&lt;rt&gt;$2&lt;/rt&gt;&lt;/ruby&gt;""
)&amp;""&lt;br&gt;&lt;div class=""""audio""""&gt;[sound:""&amp;C6810&amp;"".mp3]&lt;/div&gt;"""),"うぬぼれ&lt;br&gt;&lt;div class=""audio""&gt;[sound:うぬぼれ.mp3]&lt;/div&gt;")</f>
        <v>うぬぼれ&lt;br&gt;&lt;div class="audio"&gt;[sound:うぬぼれ.mp3]&lt;/div&gt;</v>
      </c>
      <c r="H6810" s="3" t="str">
        <f t="shared" si="1"/>
        <v>(n): tự mãn</v>
      </c>
      <c r="I6810" s="6" t="s">
        <v>37047</v>
      </c>
      <c r="J6810" s="6" t="s">
        <v>37048</v>
      </c>
      <c r="K6810" s="7">
        <f t="shared" si="2"/>
        <v>0.4827112695</v>
      </c>
    </row>
    <row r="6811">
      <c r="A6811" s="4">
        <v>6811.0</v>
      </c>
      <c r="B6811" s="5" t="s">
        <v>37049</v>
      </c>
      <c r="C6811" s="5" t="s">
        <v>37049</v>
      </c>
      <c r="D6811" s="5" t="s">
        <v>37049</v>
      </c>
      <c r="E6811" s="6" t="s">
        <v>11</v>
      </c>
      <c r="F6811" s="6" t="s">
        <v>29375</v>
      </c>
      <c r="G6811" s="3" t="str">
        <f>IFERROR(__xludf.DUMMYFUNCTION("REGEXREPLACE(
D6811,
""([一-龯々]+)\[([^\]]+)\]"",
""&lt;ruby&gt;$1&lt;rt&gt;$2&lt;/rt&gt;&lt;/ruby&gt;""
)&amp;""&lt;br&gt;&lt;div class=""""audio""""&gt;[sound:""&amp;C6811&amp;"".mp3]&lt;/div&gt;"""),"ぞんざい&lt;br&gt;&lt;div class=""audio""&gt;[sound:ぞんざい.mp3]&lt;/div&gt;")</f>
        <v>ぞんざい&lt;br&gt;&lt;div class="audio"&gt;[sound:ぞんざい.mp3]&lt;/div&gt;</v>
      </c>
      <c r="H6811" s="3" t="str">
        <f t="shared" si="1"/>
        <v>(adj): thô lỗ</v>
      </c>
      <c r="I6811" s="6" t="s">
        <v>37050</v>
      </c>
      <c r="J6811" s="6" t="s">
        <v>37051</v>
      </c>
      <c r="K6811" s="7">
        <f t="shared" si="2"/>
        <v>0.1977178096</v>
      </c>
    </row>
    <row r="6812">
      <c r="A6812" s="4">
        <v>6812.0</v>
      </c>
      <c r="B6812" s="5" t="s">
        <v>37052</v>
      </c>
      <c r="C6812" s="5" t="s">
        <v>37053</v>
      </c>
      <c r="D6812" s="5" t="s">
        <v>37054</v>
      </c>
      <c r="E6812" s="6" t="s">
        <v>11</v>
      </c>
      <c r="F6812" s="6" t="s">
        <v>16791</v>
      </c>
      <c r="G6812" s="3" t="str">
        <f>IFERROR(__xludf.DUMMYFUNCTION("REGEXREPLACE(
D6812,
""([一-龯々]+)\[([^\]]+)\]"",
""&lt;ruby&gt;$1&lt;rt&gt;$2&lt;/rt&gt;&lt;/ruby&gt;""
)&amp;""&lt;br&gt;&lt;div class=""""audio""""&gt;[sound:""&amp;C6812&amp;"".mp3]&lt;/div&gt;"""),"&lt;ruby&gt;温和&lt;rt&gt;おんわ&lt;/rt&gt;&lt;/ruby&gt;&lt;br&gt;&lt;div class=""audio""&gt;[sound:おんわ.mp3]&lt;/div&gt;")</f>
        <v>&lt;ruby&gt;温和&lt;rt&gt;おんわ&lt;/rt&gt;&lt;/ruby&gt;&lt;br&gt;&lt;div class="audio"&gt;[sound:おんわ.mp3]&lt;/div&gt;</v>
      </c>
      <c r="H6812" s="3" t="str">
        <f t="shared" si="1"/>
        <v>(adj): ôn hòa</v>
      </c>
      <c r="I6812" s="6" t="s">
        <v>37055</v>
      </c>
      <c r="J6812" s="6" t="s">
        <v>37056</v>
      </c>
      <c r="K6812" s="7">
        <f t="shared" si="2"/>
        <v>0.002858269087</v>
      </c>
    </row>
    <row r="6813">
      <c r="A6813" s="4">
        <v>6813.0</v>
      </c>
      <c r="B6813" s="5" t="s">
        <v>37057</v>
      </c>
      <c r="C6813" s="5" t="s">
        <v>37058</v>
      </c>
      <c r="D6813" s="5" t="s">
        <v>37059</v>
      </c>
      <c r="E6813" s="6" t="s">
        <v>74</v>
      </c>
      <c r="F6813" s="6" t="s">
        <v>37060</v>
      </c>
      <c r="G6813" s="3" t="str">
        <f>IFERROR(__xludf.DUMMYFUNCTION("REGEXREPLACE(
D6813,
""([一-龯々]+)\[([^\]]+)\]"",
""&lt;ruby&gt;$1&lt;rt&gt;$2&lt;/rt&gt;&lt;/ruby&gt;""
)&amp;""&lt;br&gt;&lt;div class=""""audio""""&gt;[sound:""&amp;C6813&amp;"".mp3]&lt;/div&gt;"""),"&lt;ruby&gt;潜水&lt;rt&gt;せんすい&lt;/rt&gt;&lt;/ruby&gt;&lt;br&gt;&lt;div class=""audio""&gt;[sound:せんすい.mp3]&lt;/div&gt;")</f>
        <v>&lt;ruby&gt;潜水&lt;rt&gt;せんすい&lt;/rt&gt;&lt;/ruby&gt;&lt;br&gt;&lt;div class="audio"&gt;[sound:せんすい.mp3]&lt;/div&gt;</v>
      </c>
      <c r="H6813" s="3" t="str">
        <f t="shared" si="1"/>
        <v>(n): sự lặn</v>
      </c>
      <c r="I6813" s="6" t="s">
        <v>37061</v>
      </c>
      <c r="J6813" s="6" t="s">
        <v>37062</v>
      </c>
      <c r="K6813" s="7">
        <f t="shared" si="2"/>
        <v>0.8571107647</v>
      </c>
    </row>
    <row r="6814">
      <c r="A6814" s="4">
        <v>6814.0</v>
      </c>
      <c r="B6814" s="5" t="s">
        <v>37063</v>
      </c>
      <c r="C6814" s="5" t="s">
        <v>37064</v>
      </c>
      <c r="D6814" s="5" t="s">
        <v>37065</v>
      </c>
      <c r="E6814" s="6" t="s">
        <v>11</v>
      </c>
      <c r="F6814" s="6" t="s">
        <v>37066</v>
      </c>
      <c r="G6814" s="3" t="str">
        <f>IFERROR(__xludf.DUMMYFUNCTION("REGEXREPLACE(
D6814,
""([一-龯々]+)\[([^\]]+)\]"",
""&lt;ruby&gt;$1&lt;rt&gt;$2&lt;/rt&gt;&lt;/ruby&gt;""
)&amp;""&lt;br&gt;&lt;div class=""""audio""""&gt;[sound:""&amp;C6814&amp;"".mp3]&lt;/div&gt;"""),"&lt;ruby&gt;無礼&lt;rt&gt;ぶれい&lt;/rt&gt;&lt;/ruby&gt;&lt;br&gt;&lt;div class=""audio""&gt;[sound:ぶれい.mp3]&lt;/div&gt;")</f>
        <v>&lt;ruby&gt;無礼&lt;rt&gt;ぶれい&lt;/rt&gt;&lt;/ruby&gt;&lt;br&gt;&lt;div class="audio"&gt;[sound:ぶれい.mp3]&lt;/div&gt;</v>
      </c>
      <c r="H6814" s="3" t="str">
        <f t="shared" si="1"/>
        <v>(adj): vô lễ</v>
      </c>
      <c r="I6814" s="6" t="s">
        <v>37067</v>
      </c>
      <c r="J6814" s="6" t="s">
        <v>37068</v>
      </c>
      <c r="K6814" s="7">
        <f t="shared" si="2"/>
        <v>0.3185102666</v>
      </c>
    </row>
    <row r="6815">
      <c r="A6815" s="4">
        <v>6815.0</v>
      </c>
      <c r="B6815" s="5" t="s">
        <v>37069</v>
      </c>
      <c r="C6815" s="5" t="s">
        <v>37070</v>
      </c>
      <c r="D6815" s="5" t="s">
        <v>37071</v>
      </c>
      <c r="E6815" s="6" t="s">
        <v>24</v>
      </c>
      <c r="F6815" s="6" t="s">
        <v>32373</v>
      </c>
      <c r="G6815" s="3" t="str">
        <f>IFERROR(__xludf.DUMMYFUNCTION("REGEXREPLACE(
D6815,
""([一-龯々]+)\[([^\]]+)\]"",
""&lt;ruby&gt;$1&lt;rt&gt;$2&lt;/rt&gt;&lt;/ruby&gt;""
)&amp;""&lt;br&gt;&lt;div class=""""audio""""&gt;[sound:""&amp;C6815&amp;"".mp3]&lt;/div&gt;"""),"&lt;ruby&gt;霞&lt;rt&gt;かす&lt;/rt&gt;&lt;/ruby&gt;む&lt;br&gt;&lt;div class=""audio""&gt;[sound:かすむ.mp3]&lt;/div&gt;")</f>
        <v>&lt;ruby&gt;霞&lt;rt&gt;かす&lt;/rt&gt;&lt;/ruby&gt;む&lt;br&gt;&lt;div class="audio"&gt;[sound:かすむ.mp3]&lt;/div&gt;</v>
      </c>
      <c r="H6815" s="3" t="str">
        <f t="shared" si="1"/>
        <v>(v): mờ đi</v>
      </c>
      <c r="I6815" s="6" t="s">
        <v>37072</v>
      </c>
      <c r="J6815" s="6" t="s">
        <v>37073</v>
      </c>
      <c r="K6815" s="7">
        <f t="shared" si="2"/>
        <v>0.4511089784</v>
      </c>
    </row>
    <row r="6816">
      <c r="A6816" s="4">
        <v>6816.0</v>
      </c>
      <c r="B6816" s="5" t="s">
        <v>37074</v>
      </c>
      <c r="C6816" s="5" t="s">
        <v>37074</v>
      </c>
      <c r="D6816" s="5" t="s">
        <v>37074</v>
      </c>
      <c r="E6816" s="6" t="s">
        <v>74</v>
      </c>
      <c r="F6816" s="6" t="s">
        <v>37075</v>
      </c>
      <c r="G6816" s="3" t="str">
        <f>IFERROR(__xludf.DUMMYFUNCTION("REGEXREPLACE(
D6816,
""([一-龯々]+)\[([^\]]+)\]"",
""&lt;ruby&gt;$1&lt;rt&gt;$2&lt;/rt&gt;&lt;/ruby&gt;""
)&amp;""&lt;br&gt;&lt;div class=""""audio""""&gt;[sound:""&amp;C6816&amp;"".mp3]&lt;/div&gt;"""),"おんぶ&lt;br&gt;&lt;div class=""audio""&gt;[sound:おんぶ.mp3]&lt;/div&gt;")</f>
        <v>おんぶ&lt;br&gt;&lt;div class="audio"&gt;[sound:おんぶ.mp3]&lt;/div&gt;</v>
      </c>
      <c r="H6816" s="3" t="str">
        <f t="shared" si="1"/>
        <v>(n): cõng</v>
      </c>
      <c r="I6816" s="6" t="s">
        <v>37076</v>
      </c>
      <c r="J6816" s="6" t="s">
        <v>37077</v>
      </c>
      <c r="K6816" s="7">
        <f t="shared" si="2"/>
        <v>0.5598640512</v>
      </c>
    </row>
    <row r="6817">
      <c r="A6817" s="4">
        <v>6817.0</v>
      </c>
      <c r="B6817" s="5" t="s">
        <v>37078</v>
      </c>
      <c r="C6817" s="5" t="s">
        <v>37078</v>
      </c>
      <c r="D6817" s="5" t="s">
        <v>37078</v>
      </c>
      <c r="E6817" s="6" t="s">
        <v>24</v>
      </c>
      <c r="F6817" s="6" t="s">
        <v>6644</v>
      </c>
      <c r="G6817" s="3" t="str">
        <f>IFERROR(__xludf.DUMMYFUNCTION("REGEXREPLACE(
D6817,
""([一-龯々]+)\[([^\]]+)\]"",
""&lt;ruby&gt;$1&lt;rt&gt;$2&lt;/rt&gt;&lt;/ruby&gt;""
)&amp;""&lt;br&gt;&lt;div class=""""audio""""&gt;[sound:""&amp;C6817&amp;"".mp3]&lt;/div&gt;"""),"むしる&lt;br&gt;&lt;div class=""audio""&gt;[sound:むしる.mp3]&lt;/div&gt;")</f>
        <v>むしる&lt;br&gt;&lt;div class="audio"&gt;[sound:むしる.mp3]&lt;/div&gt;</v>
      </c>
      <c r="H6817" s="3" t="str">
        <f t="shared" si="1"/>
        <v>(v): nhổ</v>
      </c>
      <c r="I6817" s="6" t="s">
        <v>37079</v>
      </c>
      <c r="J6817" s="6" t="s">
        <v>6646</v>
      </c>
      <c r="K6817" s="7">
        <f t="shared" si="2"/>
        <v>0.1370684407</v>
      </c>
    </row>
    <row r="6818">
      <c r="A6818" s="4">
        <v>6818.0</v>
      </c>
      <c r="B6818" s="5" t="s">
        <v>37080</v>
      </c>
      <c r="C6818" s="5" t="s">
        <v>37081</v>
      </c>
      <c r="D6818" s="5" t="s">
        <v>37082</v>
      </c>
      <c r="E6818" s="6" t="s">
        <v>24</v>
      </c>
      <c r="F6818" s="6" t="s">
        <v>37083</v>
      </c>
      <c r="G6818" s="3" t="str">
        <f>IFERROR(__xludf.DUMMYFUNCTION("REGEXREPLACE(
D6818,
""([一-龯々]+)\[([^\]]+)\]"",
""&lt;ruby&gt;$1&lt;rt&gt;$2&lt;/rt&gt;&lt;/ruby&gt;""
)&amp;""&lt;br&gt;&lt;div class=""""audio""""&gt;[sound:""&amp;C6818&amp;"".mp3]&lt;/div&gt;"""),"&lt;ruby&gt;研&lt;rt&gt;と&lt;/rt&gt;&lt;/ruby&gt;ぐ&lt;br&gt;&lt;div class=""audio""&gt;[sound:とぐ.mp3]&lt;/div&gt;")</f>
        <v>&lt;ruby&gt;研&lt;rt&gt;と&lt;/rt&gt;&lt;/ruby&gt;ぐ&lt;br&gt;&lt;div class="audio"&gt;[sound:とぐ.mp3]&lt;/div&gt;</v>
      </c>
      <c r="H6818" s="3" t="str">
        <f t="shared" si="1"/>
        <v>(v): mài</v>
      </c>
      <c r="I6818" s="6" t="s">
        <v>37084</v>
      </c>
      <c r="J6818" s="6" t="s">
        <v>37085</v>
      </c>
      <c r="K6818" s="7">
        <f t="shared" si="2"/>
        <v>0.7109701598</v>
      </c>
    </row>
    <row r="6819">
      <c r="A6819" s="4">
        <v>6819.0</v>
      </c>
      <c r="B6819" s="5" t="s">
        <v>37086</v>
      </c>
      <c r="C6819" s="5" t="s">
        <v>37087</v>
      </c>
      <c r="D6819" s="5" t="s">
        <v>37086</v>
      </c>
      <c r="E6819" s="6" t="s">
        <v>74</v>
      </c>
      <c r="F6819" s="6" t="s">
        <v>291</v>
      </c>
      <c r="G6819" s="3" t="str">
        <f>IFERROR(__xludf.DUMMYFUNCTION("REGEXREPLACE(
D6819,
""([一-龯々]+)\[([^\]]+)\]"",
""&lt;ruby&gt;$1&lt;rt&gt;$2&lt;/rt&gt;&lt;/ruby&gt;""
)&amp;""&lt;br&gt;&lt;div class=""""audio""""&gt;[sound:""&amp;C6819&amp;"".mp3]&lt;/div&gt;"""),"イェス&lt;br&gt;&lt;div class=""audio""&gt;[sound:いえす.mp3]&lt;/div&gt;")</f>
        <v>イェス&lt;br&gt;&lt;div class="audio"&gt;[sound:いえす.mp3]&lt;/div&gt;</v>
      </c>
      <c r="H6819" s="3" t="str">
        <f t="shared" si="1"/>
        <v>(n): có</v>
      </c>
      <c r="I6819" s="6" t="s">
        <v>37088</v>
      </c>
      <c r="J6819" s="6" t="s">
        <v>37089</v>
      </c>
      <c r="K6819" s="7">
        <f t="shared" si="2"/>
        <v>0.4910242808</v>
      </c>
    </row>
    <row r="6820">
      <c r="A6820" s="4">
        <v>6820.0</v>
      </c>
      <c r="B6820" s="5" t="s">
        <v>37090</v>
      </c>
      <c r="C6820" s="5" t="s">
        <v>37091</v>
      </c>
      <c r="D6820" s="5" t="s">
        <v>37092</v>
      </c>
      <c r="E6820" s="6" t="s">
        <v>74</v>
      </c>
      <c r="F6820" s="6" t="s">
        <v>37093</v>
      </c>
      <c r="G6820" s="3" t="str">
        <f>IFERROR(__xludf.DUMMYFUNCTION("REGEXREPLACE(
D6820,
""([一-龯々]+)\[([^\]]+)\]"",
""&lt;ruby&gt;$1&lt;rt&gt;$2&lt;/rt&gt;&lt;/ruby&gt;""
)&amp;""&lt;br&gt;&lt;div class=""""audio""""&gt;[sound:""&amp;C6820&amp;"".mp3]&lt;/div&gt;"""),"&lt;ruby&gt;杉&lt;rt&gt;すぎ&lt;/rt&gt;&lt;/ruby&gt;&lt;br&gt;&lt;div class=""audio""&gt;[sound:すぎ.mp3]&lt;/div&gt;")</f>
        <v>&lt;ruby&gt;杉&lt;rt&gt;すぎ&lt;/rt&gt;&lt;/ruby&gt;&lt;br&gt;&lt;div class="audio"&gt;[sound:すぎ.mp3]&lt;/div&gt;</v>
      </c>
      <c r="H6820" s="3" t="str">
        <f t="shared" si="1"/>
        <v>(n): cây tuyết tùng</v>
      </c>
      <c r="I6820" s="6" t="s">
        <v>37094</v>
      </c>
      <c r="J6820" s="6" t="s">
        <v>37095</v>
      </c>
      <c r="K6820" s="7">
        <f t="shared" si="2"/>
        <v>0.5465770493</v>
      </c>
    </row>
    <row r="6821">
      <c r="A6821" s="4">
        <v>6821.0</v>
      </c>
      <c r="B6821" s="5" t="s">
        <v>37096</v>
      </c>
      <c r="C6821" s="5" t="s">
        <v>37097</v>
      </c>
      <c r="D6821" s="5" t="s">
        <v>37098</v>
      </c>
      <c r="E6821" s="6" t="s">
        <v>74</v>
      </c>
      <c r="F6821" s="6" t="s">
        <v>28181</v>
      </c>
      <c r="G6821" s="3" t="str">
        <f>IFERROR(__xludf.DUMMYFUNCTION("REGEXREPLACE(
D6821,
""([一-龯々]+)\[([^\]]+)\]"",
""&lt;ruby&gt;$1&lt;rt&gt;$2&lt;/rt&gt;&lt;/ruby&gt;""
)&amp;""&lt;br&gt;&lt;div class=""""audio""""&gt;[sound:""&amp;C6821&amp;"".mp3]&lt;/div&gt;"""),"&lt;ruby&gt;日&lt;rt&gt;ひ&lt;/rt&gt;&lt;/ruby&gt;の&lt;ruby&gt;出&lt;rt&gt;で&lt;/rt&gt;&lt;/ruby&gt;&lt;br&gt;&lt;div class=""audio""&gt;[sound:ひので.mp3]&lt;/div&gt;")</f>
        <v>&lt;ruby&gt;日&lt;rt&gt;ひ&lt;/rt&gt;&lt;/ruby&gt;の&lt;ruby&gt;出&lt;rt&gt;で&lt;/rt&gt;&lt;/ruby&gt;&lt;br&gt;&lt;div class="audio"&gt;[sound:ひので.mp3]&lt;/div&gt;</v>
      </c>
      <c r="H6821" s="3" t="str">
        <f t="shared" si="1"/>
        <v>(n): bình minh</v>
      </c>
      <c r="I6821" s="6" t="s">
        <v>37099</v>
      </c>
      <c r="J6821" s="6" t="s">
        <v>37100</v>
      </c>
      <c r="K6821" s="7">
        <f t="shared" si="2"/>
        <v>0.6014751752</v>
      </c>
    </row>
    <row r="6822">
      <c r="A6822" s="4">
        <v>6822.0</v>
      </c>
      <c r="B6822" s="5" t="s">
        <v>37101</v>
      </c>
      <c r="C6822" s="5" t="s">
        <v>26452</v>
      </c>
      <c r="D6822" s="5" t="s">
        <v>37102</v>
      </c>
      <c r="E6822" s="6" t="s">
        <v>24</v>
      </c>
      <c r="F6822" s="6" t="s">
        <v>37103</v>
      </c>
      <c r="G6822" s="3" t="str">
        <f>IFERROR(__xludf.DUMMYFUNCTION("REGEXREPLACE(
D6822,
""([一-龯々]+)\[([^\]]+)\]"",
""&lt;ruby&gt;$1&lt;rt&gt;$2&lt;/rt&gt;&lt;/ruby&gt;""
)&amp;""&lt;br&gt;&lt;div class=""""audio""""&gt;[sound:""&amp;C6822&amp;"".mp3]&lt;/div&gt;"""),"&lt;ruby&gt;接&lt;rt&gt;つ&lt;/rt&gt;&lt;/ruby&gt;ぐ&lt;br&gt;&lt;div class=""audio""&gt;[sound:つぐ.mp3]&lt;/div&gt;")</f>
        <v>&lt;ruby&gt;接&lt;rt&gt;つ&lt;/rt&gt;&lt;/ruby&gt;ぐ&lt;br&gt;&lt;div class="audio"&gt;[sound:つぐ.mp3]&lt;/div&gt;</v>
      </c>
      <c r="H6822" s="3" t="str">
        <f t="shared" si="1"/>
        <v>(v): chắp nối</v>
      </c>
      <c r="I6822" s="6" t="s">
        <v>37104</v>
      </c>
      <c r="J6822" s="6" t="s">
        <v>37105</v>
      </c>
      <c r="K6822" s="7">
        <f t="shared" si="2"/>
        <v>0.01850123449</v>
      </c>
    </row>
    <row r="6823">
      <c r="A6823" s="4">
        <v>6823.0</v>
      </c>
      <c r="B6823" s="5" t="s">
        <v>37106</v>
      </c>
      <c r="C6823" s="5" t="s">
        <v>11399</v>
      </c>
      <c r="D6823" s="5" t="s">
        <v>37107</v>
      </c>
      <c r="E6823" s="6" t="s">
        <v>74</v>
      </c>
      <c r="F6823" s="6" t="s">
        <v>37108</v>
      </c>
      <c r="G6823" s="3" t="str">
        <f>IFERROR(__xludf.DUMMYFUNCTION("REGEXREPLACE(
D6823,
""([一-龯々]+)\[([^\]]+)\]"",
""&lt;ruby&gt;$1&lt;rt&gt;$2&lt;/rt&gt;&lt;/ruby&gt;""
)&amp;""&lt;br&gt;&lt;div class=""""audio""""&gt;[sound:""&amp;C6823&amp;"".mp3]&lt;/div&gt;"""),"&lt;ruby&gt;歌謡&lt;rt&gt;かよう&lt;/rt&gt;&lt;/ruby&gt;&lt;br&gt;&lt;div class=""audio""&gt;[sound:かよう.mp3]&lt;/div&gt;")</f>
        <v>&lt;ruby&gt;歌謡&lt;rt&gt;かよう&lt;/rt&gt;&lt;/ruby&gt;&lt;br&gt;&lt;div class="audio"&gt;[sound:かよう.mp3]&lt;/div&gt;</v>
      </c>
      <c r="H6823" s="3" t="str">
        <f t="shared" si="1"/>
        <v>(n): ca khúc</v>
      </c>
      <c r="I6823" s="6" t="s">
        <v>37109</v>
      </c>
      <c r="J6823" s="6" t="s">
        <v>37110</v>
      </c>
      <c r="K6823" s="7">
        <f t="shared" si="2"/>
        <v>0.1190968776</v>
      </c>
    </row>
    <row r="6824">
      <c r="A6824" s="4">
        <v>6824.0</v>
      </c>
      <c r="B6824" s="5" t="s">
        <v>37111</v>
      </c>
      <c r="C6824" s="5" t="s">
        <v>37112</v>
      </c>
      <c r="D6824" s="5" t="s">
        <v>37113</v>
      </c>
      <c r="E6824" s="6" t="s">
        <v>74</v>
      </c>
      <c r="F6824" s="6" t="s">
        <v>37114</v>
      </c>
      <c r="G6824" s="3" t="str">
        <f>IFERROR(__xludf.DUMMYFUNCTION("REGEXREPLACE(
D6824,
""([一-龯々]+)\[([^\]]+)\]"",
""&lt;ruby&gt;$1&lt;rt&gt;$2&lt;/rt&gt;&lt;/ruby&gt;""
)&amp;""&lt;br&gt;&lt;div class=""""audio""""&gt;[sound:""&amp;C6824&amp;"".mp3]&lt;/div&gt;"""),"&lt;ruby&gt;毛布&lt;rt&gt;もうふ&lt;/rt&gt;&lt;/ruby&gt;&lt;br&gt;&lt;div class=""audio""&gt;[sound:もうふ.mp3]&lt;/div&gt;")</f>
        <v>&lt;ruby&gt;毛布&lt;rt&gt;もうふ&lt;/rt&gt;&lt;/ruby&gt;&lt;br&gt;&lt;div class="audio"&gt;[sound:もうふ.mp3]&lt;/div&gt;</v>
      </c>
      <c r="H6824" s="3" t="str">
        <f t="shared" si="1"/>
        <v>(n): chăn</v>
      </c>
      <c r="I6824" s="6" t="s">
        <v>37115</v>
      </c>
      <c r="J6824" s="6" t="s">
        <v>37116</v>
      </c>
      <c r="K6824" s="7">
        <f t="shared" si="2"/>
        <v>0.9121579347</v>
      </c>
    </row>
    <row r="6825">
      <c r="A6825" s="4">
        <v>6825.0</v>
      </c>
      <c r="B6825" s="5" t="s">
        <v>37117</v>
      </c>
      <c r="C6825" s="5" t="s">
        <v>37118</v>
      </c>
      <c r="D6825" s="5" t="s">
        <v>37119</v>
      </c>
      <c r="E6825" s="6" t="s">
        <v>74</v>
      </c>
      <c r="F6825" s="6" t="s">
        <v>37120</v>
      </c>
      <c r="G6825" s="3" t="str">
        <f>IFERROR(__xludf.DUMMYFUNCTION("REGEXREPLACE(
D6825,
""([一-龯々]+)\[([^\]]+)\]"",
""&lt;ruby&gt;$1&lt;rt&gt;$2&lt;/rt&gt;&lt;/ruby&gt;""
)&amp;""&lt;br&gt;&lt;div class=""""audio""""&gt;[sound:""&amp;C6825&amp;"".mp3]&lt;/div&gt;"""),"&lt;ruby&gt;徐行&lt;rt&gt;じょこう&lt;/rt&gt;&lt;/ruby&gt;&lt;br&gt;&lt;div class=""audio""&gt;[sound:じょこう.mp3]&lt;/div&gt;")</f>
        <v>&lt;ruby&gt;徐行&lt;rt&gt;じょこう&lt;/rt&gt;&lt;/ruby&gt;&lt;br&gt;&lt;div class="audio"&gt;[sound:じょこう.mp3]&lt;/div&gt;</v>
      </c>
      <c r="H6825" s="3" t="str">
        <f t="shared" si="1"/>
        <v>(n): đi chậm</v>
      </c>
      <c r="I6825" s="6" t="s">
        <v>37121</v>
      </c>
      <c r="J6825" s="6" t="s">
        <v>37122</v>
      </c>
      <c r="K6825" s="7">
        <f t="shared" si="2"/>
        <v>0.7523325562</v>
      </c>
    </row>
    <row r="6826">
      <c r="A6826" s="4">
        <v>6826.0</v>
      </c>
      <c r="B6826" s="5" t="s">
        <v>37123</v>
      </c>
      <c r="C6826" s="5" t="s">
        <v>37124</v>
      </c>
      <c r="D6826" s="5" t="s">
        <v>37125</v>
      </c>
      <c r="E6826" s="6" t="s">
        <v>74</v>
      </c>
      <c r="F6826" s="6" t="s">
        <v>37126</v>
      </c>
      <c r="G6826" s="3" t="str">
        <f>IFERROR(__xludf.DUMMYFUNCTION("REGEXREPLACE(
D6826,
""([一-龯々]+)\[([^\]]+)\]"",
""&lt;ruby&gt;$1&lt;rt&gt;$2&lt;/rt&gt;&lt;/ruby&gt;""
)&amp;""&lt;br&gt;&lt;div class=""""audio""""&gt;[sound:""&amp;C6826&amp;"".mp3]&lt;/div&gt;"""),"&lt;ruby&gt;暗記&lt;rt&gt;あんき&lt;/rt&gt;&lt;/ruby&gt;&lt;br&gt;&lt;div class=""audio""&gt;[sound:あんき.mp3]&lt;/div&gt;")</f>
        <v>&lt;ruby&gt;暗記&lt;rt&gt;あんき&lt;/rt&gt;&lt;/ruby&gt;&lt;br&gt;&lt;div class="audio"&gt;[sound:あんき.mp3]&lt;/div&gt;</v>
      </c>
      <c r="H6826" s="3" t="str">
        <f t="shared" si="1"/>
        <v>(n): học thuộc lòng</v>
      </c>
      <c r="I6826" s="6" t="s">
        <v>37127</v>
      </c>
      <c r="J6826" s="6" t="s">
        <v>37128</v>
      </c>
      <c r="K6826" s="7">
        <f t="shared" si="2"/>
        <v>0.9834922832</v>
      </c>
    </row>
    <row r="6827">
      <c r="A6827" s="4">
        <v>6827.0</v>
      </c>
      <c r="B6827" s="5" t="s">
        <v>37129</v>
      </c>
      <c r="C6827" s="5" t="s">
        <v>37130</v>
      </c>
      <c r="D6827" s="5" t="s">
        <v>37131</v>
      </c>
      <c r="E6827" s="6" t="s">
        <v>74</v>
      </c>
      <c r="F6827" s="6" t="s">
        <v>37132</v>
      </c>
      <c r="G6827" s="3" t="str">
        <f>IFERROR(__xludf.DUMMYFUNCTION("REGEXREPLACE(
D6827,
""([一-龯々]+)\[([^\]]+)\]"",
""&lt;ruby&gt;$1&lt;rt&gt;$2&lt;/rt&gt;&lt;/ruby&gt;""
)&amp;""&lt;br&gt;&lt;div class=""""audio""""&gt;[sound:""&amp;C6827&amp;"".mp3]&lt;/div&gt;"""),"&lt;ruby&gt;植木&lt;rt&gt;うえき&lt;/rt&gt;&lt;/ruby&gt;&lt;br&gt;&lt;div class=""audio""&gt;[sound:うえき.mp3]&lt;/div&gt;")</f>
        <v>&lt;ruby&gt;植木&lt;rt&gt;うえき&lt;/rt&gt;&lt;/ruby&gt;&lt;br&gt;&lt;div class="audio"&gt;[sound:うえき.mp3]&lt;/div&gt;</v>
      </c>
      <c r="H6827" s="3" t="str">
        <f t="shared" si="1"/>
        <v>(n): cây cảnh</v>
      </c>
      <c r="I6827" s="6" t="s">
        <v>37133</v>
      </c>
      <c r="J6827" s="6" t="s">
        <v>37134</v>
      </c>
      <c r="K6827" s="7">
        <f t="shared" si="2"/>
        <v>0.00006555632457</v>
      </c>
    </row>
    <row r="6828">
      <c r="A6828" s="4">
        <v>6828.0</v>
      </c>
      <c r="B6828" s="5" t="s">
        <v>37135</v>
      </c>
      <c r="C6828" s="5" t="s">
        <v>37136</v>
      </c>
      <c r="D6828" s="5" t="s">
        <v>37137</v>
      </c>
      <c r="E6828" s="6" t="s">
        <v>74</v>
      </c>
      <c r="F6828" s="6" t="s">
        <v>36298</v>
      </c>
      <c r="G6828" s="3" t="str">
        <f>IFERROR(__xludf.DUMMYFUNCTION("REGEXREPLACE(
D6828,
""([一-龯々]+)\[([^\]]+)\]"",
""&lt;ruby&gt;$1&lt;rt&gt;$2&lt;/rt&gt;&lt;/ruby&gt;""
)&amp;""&lt;br&gt;&lt;div class=""""audio""""&gt;[sound:""&amp;C6828&amp;"".mp3]&lt;/div&gt;"""),"&lt;ruby&gt;損得&lt;rt&gt;そんとく&lt;/rt&gt;&lt;/ruby&gt;&lt;br&gt;&lt;div class=""audio""&gt;[sound:そんとく.mp3]&lt;/div&gt;")</f>
        <v>&lt;ruby&gt;損得&lt;rt&gt;そんとく&lt;/rt&gt;&lt;/ruby&gt;&lt;br&gt;&lt;div class="audio"&gt;[sound:そんとく.mp3]&lt;/div&gt;</v>
      </c>
      <c r="H6828" s="3" t="str">
        <f t="shared" si="1"/>
        <v>(n): lợi hại</v>
      </c>
      <c r="I6828" s="6" t="s">
        <v>37138</v>
      </c>
      <c r="J6828" s="6" t="s">
        <v>37139</v>
      </c>
      <c r="K6828" s="7">
        <f t="shared" si="2"/>
        <v>0.6393545644</v>
      </c>
    </row>
    <row r="6829">
      <c r="A6829" s="4">
        <v>6829.0</v>
      </c>
      <c r="B6829" s="5" t="s">
        <v>37140</v>
      </c>
      <c r="C6829" s="5" t="s">
        <v>37141</v>
      </c>
      <c r="D6829" s="5" t="s">
        <v>37142</v>
      </c>
      <c r="E6829" s="6" t="s">
        <v>11</v>
      </c>
      <c r="F6829" s="6" t="s">
        <v>31548</v>
      </c>
      <c r="G6829" s="3" t="str">
        <f>IFERROR(__xludf.DUMMYFUNCTION("REGEXREPLACE(
D6829,
""([一-龯々]+)\[([^\]]+)\]"",
""&lt;ruby&gt;$1&lt;rt&gt;$2&lt;/rt&gt;&lt;/ruby&gt;""
)&amp;""&lt;br&gt;&lt;div class=""""audio""""&gt;[sound:""&amp;C6829&amp;"".mp3]&lt;/div&gt;"""),"&lt;ruby&gt;架空&lt;rt&gt;かくう&lt;/rt&gt;&lt;/ruby&gt;&lt;br&gt;&lt;div class=""audio""&gt;[sound:かくう.mp3]&lt;/div&gt;")</f>
        <v>&lt;ruby&gt;架空&lt;rt&gt;かくう&lt;/rt&gt;&lt;/ruby&gt;&lt;br&gt;&lt;div class="audio"&gt;[sound:かくう.mp3]&lt;/div&gt;</v>
      </c>
      <c r="H6829" s="3" t="str">
        <f t="shared" si="1"/>
        <v>(adj): hư cấu</v>
      </c>
      <c r="I6829" s="6" t="s">
        <v>37143</v>
      </c>
      <c r="J6829" s="6" t="s">
        <v>37144</v>
      </c>
      <c r="K6829" s="7">
        <f t="shared" si="2"/>
        <v>0.6306474107</v>
      </c>
    </row>
    <row r="6830">
      <c r="A6830" s="4">
        <v>6830.0</v>
      </c>
      <c r="B6830" s="5" t="s">
        <v>37145</v>
      </c>
      <c r="C6830" s="5" t="s">
        <v>37146</v>
      </c>
      <c r="D6830" s="5" t="s">
        <v>37147</v>
      </c>
      <c r="E6830" s="6" t="s">
        <v>85</v>
      </c>
      <c r="F6830" s="6" t="s">
        <v>4743</v>
      </c>
      <c r="G6830" s="3" t="str">
        <f>IFERROR(__xludf.DUMMYFUNCTION("REGEXREPLACE(
D6830,
""([一-龯々]+)\[([^\]]+)\]"",
""&lt;ruby&gt;$1&lt;rt&gt;$2&lt;/rt&gt;&lt;/ruby&gt;""
)&amp;""&lt;br&gt;&lt;div class=""""audio""""&gt;[sound:""&amp;C6830&amp;"".mp3]&lt;/div&gt;"""),"&lt;ruby&gt;残&lt;rt&gt;のこ&lt;/rt&gt;&lt;/ruby&gt;らず&lt;br&gt;&lt;div class=""audio""&gt;[sound:のこらず.mp3]&lt;/div&gt;")</f>
        <v>&lt;ruby&gt;残&lt;rt&gt;のこ&lt;/rt&gt;&lt;/ruby&gt;らず&lt;br&gt;&lt;div class="audio"&gt;[sound:のこらず.mp3]&lt;/div&gt;</v>
      </c>
      <c r="H6830" s="3" t="str">
        <f t="shared" si="1"/>
        <v>(adv): hoàn toàn</v>
      </c>
      <c r="I6830" s="6" t="s">
        <v>37148</v>
      </c>
      <c r="J6830" s="6" t="s">
        <v>37149</v>
      </c>
      <c r="K6830" s="7">
        <f t="shared" si="2"/>
        <v>0.8733678829</v>
      </c>
    </row>
    <row r="6831">
      <c r="A6831" s="4">
        <v>6831.0</v>
      </c>
      <c r="B6831" s="5" t="s">
        <v>37150</v>
      </c>
      <c r="C6831" s="5" t="s">
        <v>8131</v>
      </c>
      <c r="D6831" s="5" t="s">
        <v>37151</v>
      </c>
      <c r="E6831" s="6" t="s">
        <v>74</v>
      </c>
      <c r="F6831" s="6" t="s">
        <v>37152</v>
      </c>
      <c r="G6831" s="3" t="str">
        <f>IFERROR(__xludf.DUMMYFUNCTION("REGEXREPLACE(
D6831,
""([一-龯々]+)\[([^\]]+)\]"",
""&lt;ruby&gt;$1&lt;rt&gt;$2&lt;/rt&gt;&lt;/ruby&gt;""
)&amp;""&lt;br&gt;&lt;div class=""""audio""""&gt;[sound:""&amp;C6831&amp;"".mp3]&lt;/div&gt;"""),"&lt;ruby&gt;専修&lt;rt&gt;せんしゅう&lt;/rt&gt;&lt;/ruby&gt;&lt;br&gt;&lt;div class=""audio""&gt;[sound:せんしゅう.mp3]&lt;/div&gt;")</f>
        <v>&lt;ruby&gt;専修&lt;rt&gt;せんしゅう&lt;/rt&gt;&lt;/ruby&gt;&lt;br&gt;&lt;div class="audio"&gt;[sound:せんしゅう.mp3]&lt;/div&gt;</v>
      </c>
      <c r="H6831" s="3" t="str">
        <f t="shared" si="1"/>
        <v>(n): chuyên tu</v>
      </c>
      <c r="I6831" s="6" t="s">
        <v>37153</v>
      </c>
      <c r="J6831" s="6" t="s">
        <v>37154</v>
      </c>
      <c r="K6831" s="7">
        <f t="shared" si="2"/>
        <v>0.01725056123</v>
      </c>
    </row>
    <row r="6832">
      <c r="A6832" s="4">
        <v>6832.0</v>
      </c>
      <c r="B6832" s="5" t="s">
        <v>37155</v>
      </c>
      <c r="C6832" s="5" t="s">
        <v>37156</v>
      </c>
      <c r="D6832" s="5" t="s">
        <v>37157</v>
      </c>
      <c r="E6832" s="6" t="s">
        <v>24</v>
      </c>
      <c r="F6832" s="6" t="s">
        <v>37158</v>
      </c>
      <c r="G6832" s="3" t="str">
        <f>IFERROR(__xludf.DUMMYFUNCTION("REGEXREPLACE(
D6832,
""([一-龯々]+)\[([^\]]+)\]"",
""&lt;ruby&gt;$1&lt;rt&gt;$2&lt;/rt&gt;&lt;/ruby&gt;""
)&amp;""&lt;br&gt;&lt;div class=""""audio""""&gt;[sound:""&amp;C6832&amp;"".mp3]&lt;/div&gt;"""),"&lt;ruby&gt;恥&lt;rt&gt;は&lt;/rt&gt;&lt;/ruby&gt;じらう&lt;br&gt;&lt;div class=""audio""&gt;[sound:はじらう.mp3]&lt;/div&gt;")</f>
        <v>&lt;ruby&gt;恥&lt;rt&gt;は&lt;/rt&gt;&lt;/ruby&gt;じらう&lt;br&gt;&lt;div class="audio"&gt;[sound:はじらう.mp3]&lt;/div&gt;</v>
      </c>
      <c r="H6832" s="3" t="str">
        <f t="shared" si="1"/>
        <v>(v): e thẹn</v>
      </c>
      <c r="I6832" s="6" t="s">
        <v>37159</v>
      </c>
      <c r="J6832" s="6" t="s">
        <v>37160</v>
      </c>
      <c r="K6832" s="7">
        <f t="shared" si="2"/>
        <v>0.02567935232</v>
      </c>
    </row>
    <row r="6833">
      <c r="A6833" s="4">
        <v>6833.0</v>
      </c>
      <c r="B6833" s="5" t="s">
        <v>37161</v>
      </c>
      <c r="C6833" s="5" t="s">
        <v>37162</v>
      </c>
      <c r="D6833" s="5" t="s">
        <v>37163</v>
      </c>
      <c r="E6833" s="6" t="s">
        <v>24</v>
      </c>
      <c r="F6833" s="6" t="s">
        <v>37164</v>
      </c>
      <c r="G6833" s="3" t="str">
        <f>IFERROR(__xludf.DUMMYFUNCTION("REGEXREPLACE(
D6833,
""([一-龯々]+)\[([^\]]+)\]"",
""&lt;ruby&gt;$1&lt;rt&gt;$2&lt;/rt&gt;&lt;/ruby&gt;""
)&amp;""&lt;br&gt;&lt;div class=""""audio""""&gt;[sound:""&amp;C6833&amp;"".mp3]&lt;/div&gt;"""),"&lt;ruby&gt;散&lt;rt&gt;ち&lt;/rt&gt;&lt;/ruby&gt;らかす&lt;br&gt;&lt;div class=""audio""&gt;[sound:ちらかす.mp3]&lt;/div&gt;")</f>
        <v>&lt;ruby&gt;散&lt;rt&gt;ち&lt;/rt&gt;&lt;/ruby&gt;らかす&lt;br&gt;&lt;div class="audio"&gt;[sound:ちらかす.mp3]&lt;/div&gt;</v>
      </c>
      <c r="H6833" s="3" t="str">
        <f t="shared" si="1"/>
        <v>(v): làm bừa</v>
      </c>
      <c r="I6833" s="6" t="s">
        <v>37165</v>
      </c>
      <c r="J6833" s="6" t="s">
        <v>37166</v>
      </c>
      <c r="K6833" s="7">
        <f t="shared" si="2"/>
        <v>0.5917862376</v>
      </c>
    </row>
    <row r="6834">
      <c r="A6834" s="4">
        <v>6834.0</v>
      </c>
      <c r="B6834" s="5" t="s">
        <v>37167</v>
      </c>
      <c r="C6834" s="5" t="s">
        <v>37168</v>
      </c>
      <c r="D6834" s="5" t="s">
        <v>37169</v>
      </c>
      <c r="E6834" s="6" t="s">
        <v>74</v>
      </c>
      <c r="F6834" s="6" t="s">
        <v>37170</v>
      </c>
      <c r="G6834" s="3" t="str">
        <f>IFERROR(__xludf.DUMMYFUNCTION("REGEXREPLACE(
D6834,
""([一-龯々]+)\[([^\]]+)\]"",
""&lt;ruby&gt;$1&lt;rt&gt;$2&lt;/rt&gt;&lt;/ruby&gt;""
)&amp;""&lt;br&gt;&lt;div class=""""audio""""&gt;[sound:""&amp;C6834&amp;"".mp3]&lt;/div&gt;"""),"&lt;ruby&gt;日当&lt;rt&gt;ひあ&lt;/rt&gt;&lt;/ruby&gt;たり&lt;br&gt;&lt;div class=""audio""&gt;[sound:ひあたり.mp3]&lt;/div&gt;")</f>
        <v>&lt;ruby&gt;日当&lt;rt&gt;ひあ&lt;/rt&gt;&lt;/ruby&gt;たり&lt;br&gt;&lt;div class="audio"&gt;[sound:ひあたり.mp3]&lt;/div&gt;</v>
      </c>
      <c r="H6834" s="3" t="str">
        <f t="shared" si="1"/>
        <v>(n): hướng nắng</v>
      </c>
      <c r="I6834" s="6" t="s">
        <v>37171</v>
      </c>
      <c r="J6834" s="6" t="s">
        <v>37172</v>
      </c>
      <c r="K6834" s="7">
        <f t="shared" si="2"/>
        <v>0.7379226917</v>
      </c>
    </row>
    <row r="6835">
      <c r="A6835" s="4">
        <v>6835.0</v>
      </c>
      <c r="B6835" s="5" t="s">
        <v>37173</v>
      </c>
      <c r="C6835" s="5" t="s">
        <v>37174</v>
      </c>
      <c r="D6835" s="5" t="s">
        <v>37175</v>
      </c>
      <c r="E6835" s="6" t="s">
        <v>74</v>
      </c>
      <c r="F6835" s="6" t="s">
        <v>37176</v>
      </c>
      <c r="G6835" s="3" t="str">
        <f>IFERROR(__xludf.DUMMYFUNCTION("REGEXREPLACE(
D6835,
""([一-龯々]+)\[([^\]]+)\]"",
""&lt;ruby&gt;$1&lt;rt&gt;$2&lt;/rt&gt;&lt;/ruby&gt;""
)&amp;""&lt;br&gt;&lt;div class=""""audio""""&gt;[sound:""&amp;C6835&amp;"".mp3]&lt;/div&gt;"""),"&lt;ruby&gt;気圧&lt;rt&gt;きあつ&lt;/rt&gt;&lt;/ruby&gt;&lt;br&gt;&lt;div class=""audio""&gt;[sound:きあつ.mp3]&lt;/div&gt;")</f>
        <v>&lt;ruby&gt;気圧&lt;rt&gt;きあつ&lt;/rt&gt;&lt;/ruby&gt;&lt;br&gt;&lt;div class="audio"&gt;[sound:きあつ.mp3]&lt;/div&gt;</v>
      </c>
      <c r="H6835" s="3" t="str">
        <f t="shared" si="1"/>
        <v>(n): khí áp</v>
      </c>
      <c r="I6835" s="6" t="s">
        <v>37177</v>
      </c>
      <c r="J6835" s="6" t="s">
        <v>37178</v>
      </c>
      <c r="K6835" s="7">
        <f t="shared" si="2"/>
        <v>0.5055446265</v>
      </c>
    </row>
    <row r="6836">
      <c r="A6836" s="4">
        <v>6836.0</v>
      </c>
      <c r="B6836" s="5" t="s">
        <v>37179</v>
      </c>
      <c r="C6836" s="5" t="s">
        <v>37180</v>
      </c>
      <c r="D6836" s="5" t="s">
        <v>37181</v>
      </c>
      <c r="E6836" s="6" t="s">
        <v>74</v>
      </c>
      <c r="F6836" s="6" t="s">
        <v>33623</v>
      </c>
      <c r="G6836" s="3" t="str">
        <f>IFERROR(__xludf.DUMMYFUNCTION("REGEXREPLACE(
D6836,
""([一-龯々]+)\[([^\]]+)\]"",
""&lt;ruby&gt;$1&lt;rt&gt;$2&lt;/rt&gt;&lt;/ruby&gt;""
)&amp;""&lt;br&gt;&lt;div class=""""audio""""&gt;[sound:""&amp;C6836&amp;"".mp3]&lt;/div&gt;"""),"&lt;ruby&gt;材木&lt;rt&gt;ざいもく&lt;/rt&gt;&lt;/ruby&gt;&lt;br&gt;&lt;div class=""audio""&gt;[sound:ざいもく.mp3]&lt;/div&gt;")</f>
        <v>&lt;ruby&gt;材木&lt;rt&gt;ざいもく&lt;/rt&gt;&lt;/ruby&gt;&lt;br&gt;&lt;div class="audio"&gt;[sound:ざいもく.mp3]&lt;/div&gt;</v>
      </c>
      <c r="H6836" s="3" t="str">
        <f t="shared" si="1"/>
        <v>(n): gỗ</v>
      </c>
      <c r="I6836" s="6" t="s">
        <v>37182</v>
      </c>
      <c r="J6836" s="6" t="s">
        <v>37183</v>
      </c>
      <c r="K6836" s="7">
        <f t="shared" si="2"/>
        <v>0.5416331122</v>
      </c>
    </row>
    <row r="6837">
      <c r="A6837" s="4">
        <v>6837.0</v>
      </c>
      <c r="B6837" s="5" t="s">
        <v>37184</v>
      </c>
      <c r="C6837" s="5" t="s">
        <v>37185</v>
      </c>
      <c r="D6837" s="5" t="s">
        <v>37186</v>
      </c>
      <c r="E6837" s="6" t="s">
        <v>74</v>
      </c>
      <c r="F6837" s="6" t="s">
        <v>37187</v>
      </c>
      <c r="G6837" s="3" t="str">
        <f>IFERROR(__xludf.DUMMYFUNCTION("REGEXREPLACE(
D6837,
""([一-龯々]+)\[([^\]]+)\]"",
""&lt;ruby&gt;$1&lt;rt&gt;$2&lt;/rt&gt;&lt;/ruby&gt;""
)&amp;""&lt;br&gt;&lt;div class=""""audio""""&gt;[sound:""&amp;C6837&amp;"".mp3]&lt;/div&gt;"""),"&lt;ruby&gt;機関車&lt;rt&gt;きかんしゃ&lt;/rt&gt;&lt;/ruby&gt;&lt;br&gt;&lt;div class=""audio""&gt;[sound:きかんしゃ.mp3]&lt;/div&gt;")</f>
        <v>&lt;ruby&gt;機関車&lt;rt&gt;きかんしゃ&lt;/rt&gt;&lt;/ruby&gt;&lt;br&gt;&lt;div class="audio"&gt;[sound:きかんしゃ.mp3]&lt;/div&gt;</v>
      </c>
      <c r="H6837" s="3" t="str">
        <f t="shared" si="1"/>
        <v>(n): đầu tàu</v>
      </c>
      <c r="I6837" s="6" t="s">
        <v>37188</v>
      </c>
      <c r="J6837" s="6" t="s">
        <v>37189</v>
      </c>
      <c r="K6837" s="7">
        <f t="shared" si="2"/>
        <v>0.9094707938</v>
      </c>
    </row>
    <row r="6838">
      <c r="A6838" s="4">
        <v>6838.0</v>
      </c>
      <c r="B6838" s="5" t="s">
        <v>37190</v>
      </c>
      <c r="C6838" s="5" t="s">
        <v>34183</v>
      </c>
      <c r="D6838" s="5" t="s">
        <v>37191</v>
      </c>
      <c r="E6838" s="6" t="s">
        <v>74</v>
      </c>
      <c r="F6838" s="6" t="s">
        <v>5602</v>
      </c>
      <c r="G6838" s="3" t="str">
        <f>IFERROR(__xludf.DUMMYFUNCTION("REGEXREPLACE(
D6838,
""([一-龯々]+)\[([^\]]+)\]"",
""&lt;ruby&gt;$1&lt;rt&gt;$2&lt;/rt&gt;&lt;/ruby&gt;""
)&amp;""&lt;br&gt;&lt;div class=""""audio""""&gt;[sound:""&amp;C6838&amp;"".mp3]&lt;/div&gt;"""),"&lt;ruby&gt;方角&lt;rt&gt;ほうがく&lt;/rt&gt;&lt;/ruby&gt;&lt;br&gt;&lt;div class=""audio""&gt;[sound:ほうがく.mp3]&lt;/div&gt;")</f>
        <v>&lt;ruby&gt;方角&lt;rt&gt;ほうがく&lt;/rt&gt;&lt;/ruby&gt;&lt;br&gt;&lt;div class="audio"&gt;[sound:ほうがく.mp3]&lt;/div&gt;</v>
      </c>
      <c r="H6838" s="3" t="str">
        <f t="shared" si="1"/>
        <v>(n): phương hướng</v>
      </c>
      <c r="I6838" s="6" t="s">
        <v>37192</v>
      </c>
      <c r="J6838" s="6" t="s">
        <v>37193</v>
      </c>
      <c r="K6838" s="7">
        <f t="shared" si="2"/>
        <v>0.9947546701</v>
      </c>
    </row>
    <row r="6839">
      <c r="A6839" s="4">
        <v>6839.0</v>
      </c>
      <c r="B6839" s="5" t="s">
        <v>37194</v>
      </c>
      <c r="C6839" s="5" t="s">
        <v>37195</v>
      </c>
      <c r="D6839" s="5" t="s">
        <v>37196</v>
      </c>
      <c r="E6839" s="6" t="s">
        <v>74</v>
      </c>
      <c r="F6839" s="6" t="s">
        <v>7334</v>
      </c>
      <c r="G6839" s="3" t="str">
        <f>IFERROR(__xludf.DUMMYFUNCTION("REGEXREPLACE(
D6839,
""([一-龯々]+)\[([^\]]+)\]"",
""&lt;ruby&gt;$1&lt;rt&gt;$2&lt;/rt&gt;&lt;/ruby&gt;""
)&amp;""&lt;br&gt;&lt;div class=""""audio""""&gt;[sound:""&amp;C6839&amp;"".mp3]&lt;/div&gt;"""),"&lt;ruby&gt;桁&lt;rt&gt;けた&lt;/rt&gt;&lt;/ruby&gt;&lt;br&gt;&lt;div class=""audio""&gt;[sound:けた.mp3]&lt;/div&gt;")</f>
        <v>&lt;ruby&gt;桁&lt;rt&gt;けた&lt;/rt&gt;&lt;/ruby&gt;&lt;br&gt;&lt;div class="audio"&gt;[sound:けた.mp3]&lt;/div&gt;</v>
      </c>
      <c r="H6839" s="3" t="str">
        <f t="shared" si="1"/>
        <v>(n): chữ số</v>
      </c>
      <c r="I6839" s="6" t="s">
        <v>37197</v>
      </c>
      <c r="J6839" s="6" t="s">
        <v>37198</v>
      </c>
      <c r="K6839" s="7">
        <f t="shared" si="2"/>
        <v>0.8689071838</v>
      </c>
    </row>
    <row r="6840">
      <c r="A6840" s="4">
        <v>6840.0</v>
      </c>
      <c r="B6840" s="5" t="s">
        <v>37199</v>
      </c>
      <c r="C6840" s="5" t="s">
        <v>5281</v>
      </c>
      <c r="D6840" s="5" t="s">
        <v>37200</v>
      </c>
      <c r="E6840" s="6" t="s">
        <v>24</v>
      </c>
      <c r="F6840" s="6" t="s">
        <v>12562</v>
      </c>
      <c r="G6840" s="3" t="str">
        <f>IFERROR(__xludf.DUMMYFUNCTION("REGEXREPLACE(
D6840,
""([一-龯々]+)\[([^\]]+)\]"",
""&lt;ruby&gt;$1&lt;rt&gt;$2&lt;/rt&gt;&lt;/ruby&gt;""
)&amp;""&lt;br&gt;&lt;div class=""""audio""""&gt;[sound:""&amp;C6840&amp;"".mp3]&lt;/div&gt;"""),"&lt;ruby&gt;放&lt;rt&gt;はな&lt;/rt&gt;&lt;/ruby&gt;れる&lt;br&gt;&lt;div class=""audio""&gt;[sound:はなれる.mp3]&lt;/div&gt;")</f>
        <v>&lt;ruby&gt;放&lt;rt&gt;はな&lt;/rt&gt;&lt;/ruby&gt;れる&lt;br&gt;&lt;div class="audio"&gt;[sound:はなれる.mp3]&lt;/div&gt;</v>
      </c>
      <c r="H6840" s="3" t="str">
        <f t="shared" si="1"/>
        <v>(v): thoát khỏi</v>
      </c>
      <c r="I6840" s="6" t="s">
        <v>37201</v>
      </c>
      <c r="J6840" s="6" t="s">
        <v>37202</v>
      </c>
      <c r="K6840" s="7">
        <f t="shared" si="2"/>
        <v>0.3903953945</v>
      </c>
    </row>
    <row r="6841">
      <c r="A6841" s="4">
        <v>6841.0</v>
      </c>
      <c r="B6841" s="5" t="s">
        <v>37203</v>
      </c>
      <c r="C6841" s="5" t="s">
        <v>37204</v>
      </c>
      <c r="D6841" s="5" t="s">
        <v>37205</v>
      </c>
      <c r="E6841" s="6" t="s">
        <v>74</v>
      </c>
      <c r="F6841" s="6" t="s">
        <v>20072</v>
      </c>
      <c r="G6841" s="3" t="str">
        <f>IFERROR(__xludf.DUMMYFUNCTION("REGEXREPLACE(
D6841,
""([一-龯々]+)\[([^\]]+)\]"",
""&lt;ruby&gt;$1&lt;rt&gt;$2&lt;/rt&gt;&lt;/ruby&gt;""
)&amp;""&lt;br&gt;&lt;div class=""""audio""""&gt;[sound:""&amp;C6841&amp;"".mp3]&lt;/div&gt;"""),"&lt;ruby&gt;武士&lt;rt&gt;ぶし&lt;/rt&gt;&lt;/ruby&gt;&lt;br&gt;&lt;div class=""audio""&gt;[sound:ぶし.mp3]&lt;/div&gt;")</f>
        <v>&lt;ruby&gt;武士&lt;rt&gt;ぶし&lt;/rt&gt;&lt;/ruby&gt;&lt;br&gt;&lt;div class="audio"&gt;[sound:ぶし.mp3]&lt;/div&gt;</v>
      </c>
      <c r="H6841" s="3" t="str">
        <f t="shared" si="1"/>
        <v>(n): võ sĩ</v>
      </c>
      <c r="I6841" s="6" t="s">
        <v>37206</v>
      </c>
      <c r="J6841" s="6" t="s">
        <v>37207</v>
      </c>
      <c r="K6841" s="7">
        <f t="shared" si="2"/>
        <v>0.7881568542</v>
      </c>
    </row>
    <row r="6842">
      <c r="A6842" s="4">
        <v>6842.0</v>
      </c>
      <c r="B6842" s="5" t="s">
        <v>37208</v>
      </c>
      <c r="C6842" s="5" t="s">
        <v>37209</v>
      </c>
      <c r="D6842" s="5" t="s">
        <v>37210</v>
      </c>
      <c r="E6842" s="6" t="s">
        <v>74</v>
      </c>
      <c r="F6842" s="6" t="s">
        <v>37211</v>
      </c>
      <c r="G6842" s="3" t="str">
        <f>IFERROR(__xludf.DUMMYFUNCTION("REGEXREPLACE(
D6842,
""([一-龯々]+)\[([^\]]+)\]"",
""&lt;ruby&gt;$1&lt;rt&gt;$2&lt;/rt&gt;&lt;/ruby&gt;""
)&amp;""&lt;br&gt;&lt;div class=""""audio""""&gt;[sound:""&amp;C6842&amp;"".mp3]&lt;/div&gt;"""),"&lt;ruby&gt;書道&lt;rt&gt;しょどう&lt;/rt&gt;&lt;/ruby&gt;&lt;br&gt;&lt;div class=""audio""&gt;[sound:しょどう.mp3]&lt;/div&gt;")</f>
        <v>&lt;ruby&gt;書道&lt;rt&gt;しょどう&lt;/rt&gt;&lt;/ruby&gt;&lt;br&gt;&lt;div class="audio"&gt;[sound:しょどう.mp3]&lt;/div&gt;</v>
      </c>
      <c r="H6842" s="3" t="str">
        <f t="shared" si="1"/>
        <v>(n): thư pháp</v>
      </c>
      <c r="I6842" s="6" t="s">
        <v>37212</v>
      </c>
      <c r="J6842" s="6" t="s">
        <v>37213</v>
      </c>
      <c r="K6842" s="7">
        <f t="shared" si="2"/>
        <v>0.3563781583</v>
      </c>
    </row>
    <row r="6843">
      <c r="A6843" s="4">
        <v>6843.0</v>
      </c>
      <c r="B6843" s="5" t="s">
        <v>37214</v>
      </c>
      <c r="C6843" s="5" t="s">
        <v>37215</v>
      </c>
      <c r="D6843" s="5" t="s">
        <v>37216</v>
      </c>
      <c r="E6843" s="6" t="s">
        <v>74</v>
      </c>
      <c r="F6843" s="6" t="s">
        <v>37217</v>
      </c>
      <c r="G6843" s="3" t="str">
        <f>IFERROR(__xludf.DUMMYFUNCTION("REGEXREPLACE(
D6843,
""([一-龯々]+)\[([^\]]+)\]"",
""&lt;ruby&gt;$1&lt;rt&gt;$2&lt;/rt&gt;&lt;/ruby&gt;""
)&amp;""&lt;br&gt;&lt;div class=""""audio""""&gt;[sound:""&amp;C6843&amp;"".mp3]&lt;/div&gt;"""),"&lt;ruby&gt;左利&lt;rt&gt;ひだり&lt;/rt&gt;&lt;/ruby&gt;き&lt;br&gt;&lt;div class=""audio""&gt;[sound:ひだりきき.mp3]&lt;/div&gt;")</f>
        <v>&lt;ruby&gt;左利&lt;rt&gt;ひだり&lt;/rt&gt;&lt;/ruby&gt;き&lt;br&gt;&lt;div class="audio"&gt;[sound:ひだりきき.mp3]&lt;/div&gt;</v>
      </c>
      <c r="H6843" s="3" t="str">
        <f t="shared" si="1"/>
        <v>(n): thuận tay trái</v>
      </c>
      <c r="I6843" s="6" t="s">
        <v>37218</v>
      </c>
      <c r="J6843" s="6" t="s">
        <v>37219</v>
      </c>
      <c r="K6843" s="7">
        <f t="shared" si="2"/>
        <v>0.7739208336</v>
      </c>
    </row>
    <row r="6844">
      <c r="A6844" s="4">
        <v>6844.0</v>
      </c>
      <c r="B6844" s="5" t="s">
        <v>37220</v>
      </c>
      <c r="C6844" s="5" t="s">
        <v>37221</v>
      </c>
      <c r="D6844" s="5" t="s">
        <v>37222</v>
      </c>
      <c r="E6844" s="6" t="s">
        <v>74</v>
      </c>
      <c r="F6844" s="6" t="s">
        <v>37223</v>
      </c>
      <c r="G6844" s="3" t="str">
        <f>IFERROR(__xludf.DUMMYFUNCTION("REGEXREPLACE(
D6844,
""([一-龯々]+)\[([^\]]+)\]"",
""&lt;ruby&gt;$1&lt;rt&gt;$2&lt;/rt&gt;&lt;/ruby&gt;""
)&amp;""&lt;br&gt;&lt;div class=""""audio""""&gt;[sound:""&amp;C6844&amp;"".mp3]&lt;/div&gt;"""),"&lt;ruby&gt;宣教&lt;rt&gt;せんきょう&lt;/rt&gt;&lt;/ruby&gt;&lt;br&gt;&lt;div class=""audio""&gt;[sound:せんきょう.mp3]&lt;/div&gt;")</f>
        <v>&lt;ruby&gt;宣教&lt;rt&gt;せんきょう&lt;/rt&gt;&lt;/ruby&gt;&lt;br&gt;&lt;div class="audio"&gt;[sound:せんきょう.mp3]&lt;/div&gt;</v>
      </c>
      <c r="H6844" s="3" t="str">
        <f t="shared" si="1"/>
        <v>(n): truyền giáo</v>
      </c>
      <c r="I6844" s="6" t="s">
        <v>37224</v>
      </c>
      <c r="J6844" s="6" t="s">
        <v>37225</v>
      </c>
      <c r="K6844" s="7">
        <f t="shared" si="2"/>
        <v>0.2732844791</v>
      </c>
    </row>
    <row r="6845">
      <c r="A6845" s="4">
        <v>6845.0</v>
      </c>
      <c r="B6845" s="5" t="s">
        <v>37226</v>
      </c>
      <c r="C6845" s="5" t="s">
        <v>37227</v>
      </c>
      <c r="D6845" s="5" t="s">
        <v>37228</v>
      </c>
      <c r="E6845" s="6" t="s">
        <v>74</v>
      </c>
      <c r="F6845" s="6" t="s">
        <v>37229</v>
      </c>
      <c r="G6845" s="3" t="str">
        <f>IFERROR(__xludf.DUMMYFUNCTION("REGEXREPLACE(
D6845,
""([一-龯々]+)\[([^\]]+)\]"",
""&lt;ruby&gt;$1&lt;rt&gt;$2&lt;/rt&gt;&lt;/ruby&gt;""
)&amp;""&lt;br&gt;&lt;div class=""""audio""""&gt;[sound:""&amp;C6845&amp;"".mp3]&lt;/div&gt;"""),"&lt;ruby&gt;弛&lt;rt&gt;たる&lt;/rt&gt;&lt;/ruby&gt;み&lt;br&gt;&lt;div class=""audio""&gt;[sound:たるみ.mp3]&lt;/div&gt;")</f>
        <v>&lt;ruby&gt;弛&lt;rt&gt;たる&lt;/rt&gt;&lt;/ruby&gt;み&lt;br&gt;&lt;div class="audio"&gt;[sound:たるみ.mp3]&lt;/div&gt;</v>
      </c>
      <c r="H6845" s="3" t="str">
        <f t="shared" si="1"/>
        <v>(n): sự chùng</v>
      </c>
      <c r="I6845" s="6" t="s">
        <v>37230</v>
      </c>
      <c r="J6845" s="6" t="s">
        <v>37231</v>
      </c>
      <c r="K6845" s="7">
        <f t="shared" si="2"/>
        <v>0.7512342351</v>
      </c>
    </row>
    <row r="6846">
      <c r="A6846" s="4">
        <v>6846.0</v>
      </c>
      <c r="B6846" s="5" t="s">
        <v>37232</v>
      </c>
      <c r="C6846" s="5" t="s">
        <v>36504</v>
      </c>
      <c r="D6846" s="5" t="s">
        <v>37233</v>
      </c>
      <c r="E6846" s="6" t="s">
        <v>74</v>
      </c>
      <c r="F6846" s="6" t="s">
        <v>22345</v>
      </c>
      <c r="G6846" s="3" t="str">
        <f>IFERROR(__xludf.DUMMYFUNCTION("REGEXREPLACE(
D6846,
""([一-龯々]+)\[([^\]]+)\]"",
""&lt;ruby&gt;$1&lt;rt&gt;$2&lt;/rt&gt;&lt;/ruby&gt;""
)&amp;""&lt;br&gt;&lt;div class=""""audio""""&gt;[sound:""&amp;C6846&amp;"".mp3]&lt;/div&gt;"""),"&lt;ruby&gt;寝間着&lt;rt&gt;ねまき&lt;/rt&gt;&lt;/ruby&gt;&lt;br&gt;&lt;div class=""audio""&gt;[sound:ねまき.mp3]&lt;/div&gt;")</f>
        <v>&lt;ruby&gt;寝間着&lt;rt&gt;ねまき&lt;/rt&gt;&lt;/ruby&gt;&lt;br&gt;&lt;div class="audio"&gt;[sound:ねまき.mp3]&lt;/div&gt;</v>
      </c>
      <c r="H6846" s="3" t="str">
        <f t="shared" si="1"/>
        <v>(n): đồ ngủ</v>
      </c>
      <c r="I6846" s="6" t="s">
        <v>37234</v>
      </c>
      <c r="J6846" s="6" t="s">
        <v>37235</v>
      </c>
      <c r="K6846" s="7">
        <f t="shared" si="2"/>
        <v>0.3206045483</v>
      </c>
    </row>
    <row r="6847">
      <c r="A6847" s="4">
        <v>6847.0</v>
      </c>
      <c r="B6847" s="5" t="s">
        <v>37236</v>
      </c>
      <c r="C6847" s="5" t="s">
        <v>37237</v>
      </c>
      <c r="D6847" s="5" t="s">
        <v>37238</v>
      </c>
      <c r="E6847" s="6" t="s">
        <v>74</v>
      </c>
      <c r="F6847" s="6" t="s">
        <v>37239</v>
      </c>
      <c r="G6847" s="3" t="str">
        <f>IFERROR(__xludf.DUMMYFUNCTION("REGEXREPLACE(
D6847,
""([一-龯々]+)\[([^\]]+)\]"",
""&lt;ruby&gt;$1&lt;rt&gt;$2&lt;/rt&gt;&lt;/ruby&gt;""
)&amp;""&lt;br&gt;&lt;div class=""""audio""""&gt;[sound:""&amp;C6847&amp;"".mp3]&lt;/div&gt;"""),"&lt;ruby&gt;売行&lt;rt&gt;うりゆ&lt;/rt&gt;&lt;/ruby&gt;き&lt;br&gt;&lt;div class=""audio""&gt;[sound:うりゆき.mp3]&lt;/div&gt;")</f>
        <v>&lt;ruby&gt;売行&lt;rt&gt;うりゆ&lt;/rt&gt;&lt;/ruby&gt;き&lt;br&gt;&lt;div class="audio"&gt;[sound:うりゆき.mp3]&lt;/div&gt;</v>
      </c>
      <c r="H6847" s="3" t="str">
        <f t="shared" si="1"/>
        <v>(n): sức bán</v>
      </c>
      <c r="I6847" s="6" t="s">
        <v>37240</v>
      </c>
      <c r="J6847" s="6" t="s">
        <v>37241</v>
      </c>
      <c r="K6847" s="7">
        <f t="shared" si="2"/>
        <v>0.4517890877</v>
      </c>
    </row>
    <row r="6848">
      <c r="A6848" s="4">
        <v>6848.0</v>
      </c>
      <c r="B6848" s="5" t="s">
        <v>37242</v>
      </c>
      <c r="C6848" s="5" t="s">
        <v>37243</v>
      </c>
      <c r="D6848" s="5" t="s">
        <v>37244</v>
      </c>
      <c r="E6848" s="6" t="s">
        <v>11</v>
      </c>
      <c r="F6848" s="6" t="s">
        <v>37245</v>
      </c>
      <c r="G6848" s="3" t="str">
        <f>IFERROR(__xludf.DUMMYFUNCTION("REGEXREPLACE(
D6848,
""([一-龯々]+)\[([^\]]+)\]"",
""&lt;ruby&gt;$1&lt;rt&gt;$2&lt;/rt&gt;&lt;/ruby&gt;""
)&amp;""&lt;br&gt;&lt;div class=""""audio""""&gt;[sound:""&amp;C6848&amp;"".mp3]&lt;/div&gt;"""),"&lt;ruby&gt;馴々&lt;rt&gt;なれなれ&lt;/rt&gt;&lt;/ruby&gt;しい&lt;br&gt;&lt;div class=""audio""&gt;[sound:なれなれしい.mp3]&lt;/div&gt;")</f>
        <v>&lt;ruby&gt;馴々&lt;rt&gt;なれなれ&lt;/rt&gt;&lt;/ruby&gt;しい&lt;br&gt;&lt;div class="audio"&gt;[sound:なれなれしい.mp3]&lt;/div&gt;</v>
      </c>
      <c r="H6848" s="3" t="str">
        <f t="shared" si="1"/>
        <v>(adj): thân thiết quá mức</v>
      </c>
      <c r="I6848" s="6" t="s">
        <v>37246</v>
      </c>
      <c r="J6848" s="6" t="s">
        <v>37247</v>
      </c>
      <c r="K6848" s="7">
        <f t="shared" si="2"/>
        <v>0.1514225635</v>
      </c>
    </row>
    <row r="6849">
      <c r="A6849" s="4">
        <v>6849.0</v>
      </c>
      <c r="B6849" s="5" t="s">
        <v>37248</v>
      </c>
      <c r="C6849" s="5" t="s">
        <v>37249</v>
      </c>
      <c r="D6849" s="5" t="s">
        <v>37250</v>
      </c>
      <c r="E6849" s="6" t="s">
        <v>74</v>
      </c>
      <c r="F6849" s="6" t="s">
        <v>37251</v>
      </c>
      <c r="G6849" s="3" t="str">
        <f>IFERROR(__xludf.DUMMYFUNCTION("REGEXREPLACE(
D6849,
""([一-龯々]+)\[([^\]]+)\]"",
""&lt;ruby&gt;$1&lt;rt&gt;$2&lt;/rt&gt;&lt;/ruby&gt;""
)&amp;""&lt;br&gt;&lt;div class=""""audio""""&gt;[sound:""&amp;C6849&amp;"".mp3]&lt;/div&gt;"""),"&lt;ruby&gt;真&lt;rt&gt;ま&lt;/rt&gt;&lt;/ruby&gt;ん&lt;ruby&gt;前&lt;rt&gt;まえ&lt;/rt&gt;&lt;/ruby&gt;&lt;br&gt;&lt;div class=""audio""&gt;[sound:まんまえ.mp3]&lt;/div&gt;")</f>
        <v>&lt;ruby&gt;真&lt;rt&gt;ま&lt;/rt&gt;&lt;/ruby&gt;ん&lt;ruby&gt;前&lt;rt&gt;まえ&lt;/rt&gt;&lt;/ruby&gt;&lt;br&gt;&lt;div class="audio"&gt;[sound:まんまえ.mp3]&lt;/div&gt;</v>
      </c>
      <c r="H6849" s="3" t="str">
        <f t="shared" si="1"/>
        <v>(n): ngay trước mặt</v>
      </c>
      <c r="I6849" s="6" t="s">
        <v>37252</v>
      </c>
      <c r="J6849" s="6" t="s">
        <v>37253</v>
      </c>
      <c r="K6849" s="7">
        <f t="shared" si="2"/>
        <v>0.9164308694</v>
      </c>
    </row>
    <row r="6850">
      <c r="A6850" s="4">
        <v>6850.0</v>
      </c>
      <c r="B6850" s="5" t="s">
        <v>37254</v>
      </c>
      <c r="C6850" s="5" t="s">
        <v>37255</v>
      </c>
      <c r="D6850" s="5" t="s">
        <v>37256</v>
      </c>
      <c r="E6850" s="6" t="s">
        <v>74</v>
      </c>
      <c r="F6850" s="6" t="s">
        <v>37257</v>
      </c>
      <c r="G6850" s="3" t="str">
        <f>IFERROR(__xludf.DUMMYFUNCTION("REGEXREPLACE(
D6850,
""([一-龯々]+)\[([^\]]+)\]"",
""&lt;ruby&gt;$1&lt;rt&gt;$2&lt;/rt&gt;&lt;/ruby&gt;""
)&amp;""&lt;br&gt;&lt;div class=""""audio""""&gt;[sound:""&amp;C6850&amp;"".mp3]&lt;/div&gt;"""),"&lt;ruby&gt;甘口&lt;rt&gt;あまくち&lt;/rt&gt;&lt;/ruby&gt;&lt;br&gt;&lt;div class=""audio""&gt;[sound:あまくち.mp3]&lt;/div&gt;")</f>
        <v>&lt;ruby&gt;甘口&lt;rt&gt;あまくち&lt;/rt&gt;&lt;/ruby&gt;&lt;br&gt;&lt;div class="audio"&gt;[sound:あまくち.mp3]&lt;/div&gt;</v>
      </c>
      <c r="H6850" s="3" t="str">
        <f t="shared" si="1"/>
        <v>(n): vị ngọt</v>
      </c>
      <c r="I6850" s="6" t="s">
        <v>37258</v>
      </c>
      <c r="J6850" s="6" t="s">
        <v>37259</v>
      </c>
      <c r="K6850" s="7">
        <f t="shared" si="2"/>
        <v>0.06003656676</v>
      </c>
    </row>
    <row r="6851">
      <c r="A6851" s="4">
        <v>6851.0</v>
      </c>
      <c r="B6851" s="5" t="s">
        <v>37260</v>
      </c>
      <c r="C6851" s="5" t="s">
        <v>37261</v>
      </c>
      <c r="D6851" s="5" t="s">
        <v>37262</v>
      </c>
      <c r="E6851" s="6" t="s">
        <v>74</v>
      </c>
      <c r="F6851" s="6" t="s">
        <v>37263</v>
      </c>
      <c r="G6851" s="3" t="str">
        <f>IFERROR(__xludf.DUMMYFUNCTION("REGEXREPLACE(
D6851,
""([一-龯々]+)\[([^\]]+)\]"",
""&lt;ruby&gt;$1&lt;rt&gt;$2&lt;/rt&gt;&lt;/ruby&gt;""
)&amp;""&lt;br&gt;&lt;div class=""""audio""""&gt;[sound:""&amp;C6851&amp;"".mp3]&lt;/div&gt;"""),"&lt;ruby&gt;障子&lt;rt&gt;しょうじ&lt;/rt&gt;&lt;/ruby&gt;&lt;br&gt;&lt;div class=""audio""&gt;[sound:しょうじ.mp3]&lt;/div&gt;")</f>
        <v>&lt;ruby&gt;障子&lt;rt&gt;しょうじ&lt;/rt&gt;&lt;/ruby&gt;&lt;br&gt;&lt;div class="audio"&gt;[sound:しょうじ.mp3]&lt;/div&gt;</v>
      </c>
      <c r="H6851" s="3" t="str">
        <f t="shared" si="1"/>
        <v>(n): cửa giấy</v>
      </c>
      <c r="I6851" s="6" t="s">
        <v>37264</v>
      </c>
      <c r="J6851" s="6" t="s">
        <v>37265</v>
      </c>
      <c r="K6851" s="7">
        <f t="shared" si="2"/>
        <v>0.6382251271</v>
      </c>
    </row>
    <row r="6852">
      <c r="A6852" s="4">
        <v>6852.0</v>
      </c>
      <c r="B6852" s="5" t="s">
        <v>37266</v>
      </c>
      <c r="C6852" s="5" t="s">
        <v>37267</v>
      </c>
      <c r="D6852" s="5" t="s">
        <v>37268</v>
      </c>
      <c r="E6852" s="6" t="s">
        <v>11</v>
      </c>
      <c r="F6852" s="6" t="s">
        <v>37269</v>
      </c>
      <c r="G6852" s="3" t="str">
        <f>IFERROR(__xludf.DUMMYFUNCTION("REGEXREPLACE(
D6852,
""([一-龯々]+)\[([^\]]+)\]"",
""&lt;ruby&gt;$1&lt;rt&gt;$2&lt;/rt&gt;&lt;/ruby&gt;""
)&amp;""&lt;br&gt;&lt;div class=""""audio""""&gt;[sound:""&amp;C6852&amp;"".mp3]&lt;/div&gt;"""),"&lt;ruby&gt;頼&lt;rt&gt;たの&lt;/rt&gt;&lt;/ruby&gt;もしい&lt;br&gt;&lt;div class=""audio""&gt;[sound:たのもしい.mp3]&lt;/div&gt;")</f>
        <v>&lt;ruby&gt;頼&lt;rt&gt;たの&lt;/rt&gt;&lt;/ruby&gt;もしい&lt;br&gt;&lt;div class="audio"&gt;[sound:たのもしい.mp3]&lt;/div&gt;</v>
      </c>
      <c r="H6852" s="3" t="str">
        <f t="shared" si="1"/>
        <v>(adj): đáng tin cậy</v>
      </c>
      <c r="I6852" s="6" t="s">
        <v>37270</v>
      </c>
      <c r="J6852" s="6" t="s">
        <v>37271</v>
      </c>
      <c r="K6852" s="7">
        <f t="shared" si="2"/>
        <v>0.9864250682</v>
      </c>
    </row>
    <row r="6853">
      <c r="A6853" s="4">
        <v>6853.0</v>
      </c>
      <c r="B6853" s="5" t="s">
        <v>37272</v>
      </c>
      <c r="C6853" s="5" t="s">
        <v>37273</v>
      </c>
      <c r="D6853" s="5" t="s">
        <v>37274</v>
      </c>
      <c r="E6853" s="6" t="s">
        <v>74</v>
      </c>
      <c r="F6853" s="6" t="s">
        <v>37275</v>
      </c>
      <c r="G6853" s="3" t="str">
        <f>IFERROR(__xludf.DUMMYFUNCTION("REGEXREPLACE(
D6853,
""([一-龯々]+)\[([^\]]+)\]"",
""&lt;ruby&gt;$1&lt;rt&gt;$2&lt;/rt&gt;&lt;/ruby&gt;""
)&amp;""&lt;br&gt;&lt;div class=""""audio""""&gt;[sound:""&amp;C6853&amp;"".mp3]&lt;/div&gt;"""),"&lt;ruby&gt;雑音&lt;rt&gt;ざつおん&lt;/rt&gt;&lt;/ruby&gt;&lt;br&gt;&lt;div class=""audio""&gt;[sound:ざつおん.mp3]&lt;/div&gt;")</f>
        <v>&lt;ruby&gt;雑音&lt;rt&gt;ざつおん&lt;/rt&gt;&lt;/ruby&gt;&lt;br&gt;&lt;div class="audio"&gt;[sound:ざつおん.mp3]&lt;/div&gt;</v>
      </c>
      <c r="H6853" s="3" t="str">
        <f t="shared" si="1"/>
        <v>(n): tạp âm</v>
      </c>
      <c r="I6853" s="6" t="s">
        <v>37276</v>
      </c>
      <c r="J6853" s="6" t="s">
        <v>37277</v>
      </c>
      <c r="K6853" s="7">
        <f t="shared" si="2"/>
        <v>0.3699994634</v>
      </c>
    </row>
    <row r="6854">
      <c r="A6854" s="4">
        <v>6854.0</v>
      </c>
      <c r="B6854" s="5" t="s">
        <v>37278</v>
      </c>
      <c r="C6854" s="5" t="s">
        <v>37279</v>
      </c>
      <c r="D6854" s="5" t="s">
        <v>37280</v>
      </c>
      <c r="E6854" s="6" t="s">
        <v>74</v>
      </c>
      <c r="F6854" s="6" t="s">
        <v>37281</v>
      </c>
      <c r="G6854" s="3" t="str">
        <f>IFERROR(__xludf.DUMMYFUNCTION("REGEXREPLACE(
D6854,
""([一-龯々]+)\[([^\]]+)\]"",
""&lt;ruby&gt;$1&lt;rt&gt;$2&lt;/rt&gt;&lt;/ruby&gt;""
)&amp;""&lt;br&gt;&lt;div class=""""audio""""&gt;[sound:""&amp;C6854&amp;"".mp3]&lt;/div&gt;"""),"&lt;ruby&gt;夕立&lt;rt&gt;ゆうだち&lt;/rt&gt;&lt;/ruby&gt;&lt;br&gt;&lt;div class=""audio""&gt;[sound:ゆうだち.mp3]&lt;/div&gt;")</f>
        <v>&lt;ruby&gt;夕立&lt;rt&gt;ゆうだち&lt;/rt&gt;&lt;/ruby&gt;&lt;br&gt;&lt;div class="audio"&gt;[sound:ゆうだち.mp3]&lt;/div&gt;</v>
      </c>
      <c r="H6854" s="3" t="str">
        <f t="shared" si="1"/>
        <v>(n): mưa rào buổi chiều</v>
      </c>
      <c r="I6854" s="6" t="s">
        <v>37282</v>
      </c>
      <c r="J6854" s="6" t="s">
        <v>37283</v>
      </c>
      <c r="K6854" s="7">
        <f t="shared" si="2"/>
        <v>0.5670300256</v>
      </c>
    </row>
    <row r="6855">
      <c r="A6855" s="4">
        <v>6855.0</v>
      </c>
      <c r="B6855" s="5" t="s">
        <v>37284</v>
      </c>
      <c r="C6855" s="5" t="s">
        <v>37285</v>
      </c>
      <c r="D6855" s="5" t="s">
        <v>37286</v>
      </c>
      <c r="E6855" s="6" t="s">
        <v>85</v>
      </c>
      <c r="F6855" s="6" t="s">
        <v>37287</v>
      </c>
      <c r="G6855" s="3" t="str">
        <f>IFERROR(__xludf.DUMMYFUNCTION("REGEXREPLACE(
D6855,
""([一-龯々]+)\[([^\]]+)\]"",
""&lt;ruby&gt;$1&lt;rt&gt;$2&lt;/rt&gt;&lt;/ruby&gt;""
)&amp;""&lt;br&gt;&lt;div class=""""audio""""&gt;[sound:""&amp;C6855&amp;"".mp3]&lt;/div&gt;"""),"&lt;ruby&gt;着々&lt;rt&gt;ちゃくちゃく&lt;/rt&gt;&lt;/ruby&gt;&lt;br&gt;&lt;div class=""audio""&gt;[sound:ちゃくちゃく.mp3]&lt;/div&gt;")</f>
        <v>&lt;ruby&gt;着々&lt;rt&gt;ちゃくちゃく&lt;/rt&gt;&lt;/ruby&gt;&lt;br&gt;&lt;div class="audio"&gt;[sound:ちゃくちゃく.mp3]&lt;/div&gt;</v>
      </c>
      <c r="H6855" s="3" t="str">
        <f t="shared" si="1"/>
        <v>(adv): vững chắc</v>
      </c>
      <c r="I6855" s="6" t="s">
        <v>37288</v>
      </c>
      <c r="J6855" s="6" t="s">
        <v>37289</v>
      </c>
      <c r="K6855" s="7">
        <f t="shared" si="2"/>
        <v>0.3340009213</v>
      </c>
    </row>
    <row r="6856">
      <c r="A6856" s="4">
        <v>6856.0</v>
      </c>
      <c r="B6856" s="5" t="s">
        <v>37290</v>
      </c>
      <c r="C6856" s="5" t="s">
        <v>37291</v>
      </c>
      <c r="D6856" s="5" t="s">
        <v>37292</v>
      </c>
      <c r="E6856" s="6" t="s">
        <v>74</v>
      </c>
      <c r="F6856" s="6" t="s">
        <v>37293</v>
      </c>
      <c r="G6856" s="3" t="str">
        <f>IFERROR(__xludf.DUMMYFUNCTION("REGEXREPLACE(
D6856,
""([一-龯々]+)\[([^\]]+)\]"",
""&lt;ruby&gt;$1&lt;rt&gt;$2&lt;/rt&gt;&lt;/ruby&gt;""
)&amp;""&lt;br&gt;&lt;div class=""""audio""""&gt;[sound:""&amp;C6856&amp;"".mp3]&lt;/div&gt;"""),"&lt;ruby&gt;活気&lt;rt&gt;かっき&lt;/rt&gt;&lt;/ruby&gt;&lt;br&gt;&lt;div class=""audio""&gt;[sound:かっき.mp3]&lt;/div&gt;")</f>
        <v>&lt;ruby&gt;活気&lt;rt&gt;かっき&lt;/rt&gt;&lt;/ruby&gt;&lt;br&gt;&lt;div class="audio"&gt;[sound:かっき.mp3]&lt;/div&gt;</v>
      </c>
      <c r="H6856" s="3" t="str">
        <f t="shared" si="1"/>
        <v>(n): sôi nổi</v>
      </c>
      <c r="I6856" s="6" t="s">
        <v>37294</v>
      </c>
      <c r="J6856" s="6" t="s">
        <v>37295</v>
      </c>
      <c r="K6856" s="7">
        <f t="shared" si="2"/>
        <v>0.5415650255</v>
      </c>
    </row>
    <row r="6857">
      <c r="A6857" s="4">
        <v>6857.0</v>
      </c>
      <c r="B6857" s="5" t="s">
        <v>37296</v>
      </c>
      <c r="C6857" s="5" t="s">
        <v>23941</v>
      </c>
      <c r="D6857" s="5" t="s">
        <v>37297</v>
      </c>
      <c r="E6857" s="6" t="s">
        <v>74</v>
      </c>
      <c r="F6857" s="6" t="s">
        <v>37298</v>
      </c>
      <c r="G6857" s="3" t="str">
        <f>IFERROR(__xludf.DUMMYFUNCTION("REGEXREPLACE(
D6857,
""([一-龯々]+)\[([^\]]+)\]"",
""&lt;ruby&gt;$1&lt;rt&gt;$2&lt;/rt&gt;&lt;/ruby&gt;""
)&amp;""&lt;br&gt;&lt;div class=""""audio""""&gt;[sound:""&amp;C6857&amp;"".mp3]&lt;/div&gt;"""),"&lt;ruby&gt;禅&lt;rt&gt;ぜん&lt;/rt&gt;&lt;/ruby&gt;&lt;br&gt;&lt;div class=""audio""&gt;[sound:ぜん.mp3]&lt;/div&gt;")</f>
        <v>&lt;ruby&gt;禅&lt;rt&gt;ぜん&lt;/rt&gt;&lt;/ruby&gt;&lt;br&gt;&lt;div class="audio"&gt;[sound:ぜん.mp3]&lt;/div&gt;</v>
      </c>
      <c r="H6857" s="3" t="str">
        <f t="shared" si="1"/>
        <v>(n): thiền</v>
      </c>
      <c r="I6857" s="6" t="s">
        <v>37299</v>
      </c>
      <c r="J6857" s="6" t="s">
        <v>37300</v>
      </c>
      <c r="K6857" s="7">
        <f t="shared" si="2"/>
        <v>0.7077104406</v>
      </c>
    </row>
    <row r="6858">
      <c r="A6858" s="4">
        <v>6858.0</v>
      </c>
      <c r="B6858" s="5" t="s">
        <v>37301</v>
      </c>
      <c r="C6858" s="5" t="s">
        <v>37302</v>
      </c>
      <c r="D6858" s="5" t="s">
        <v>37303</v>
      </c>
      <c r="E6858" s="6" t="s">
        <v>74</v>
      </c>
      <c r="F6858" s="6" t="s">
        <v>37304</v>
      </c>
      <c r="G6858" s="3" t="str">
        <f>IFERROR(__xludf.DUMMYFUNCTION("REGEXREPLACE(
D6858,
""([一-龯々]+)\[([^\]]+)\]"",
""&lt;ruby&gt;$1&lt;rt&gt;$2&lt;/rt&gt;&lt;/ruby&gt;""
)&amp;""&lt;br&gt;&lt;div class=""""audio""""&gt;[sound:""&amp;C6858&amp;"".mp3]&lt;/div&gt;"""),"&lt;ruby&gt;紺&lt;rt&gt;こん&lt;/rt&gt;&lt;/ruby&gt;&lt;br&gt;&lt;div class=""audio""&gt;[sound:こん.mp3]&lt;/div&gt;")</f>
        <v>&lt;ruby&gt;紺&lt;rt&gt;こん&lt;/rt&gt;&lt;/ruby&gt;&lt;br&gt;&lt;div class="audio"&gt;[sound:こん.mp3]&lt;/div&gt;</v>
      </c>
      <c r="H6858" s="3" t="str">
        <f t="shared" si="1"/>
        <v>(n): màu xanh đậm</v>
      </c>
      <c r="I6858" s="6" t="s">
        <v>37305</v>
      </c>
      <c r="J6858" s="6" t="s">
        <v>37306</v>
      </c>
      <c r="K6858" s="7">
        <f t="shared" si="2"/>
        <v>0.337234559</v>
      </c>
    </row>
    <row r="6859">
      <c r="A6859" s="4">
        <v>6859.0</v>
      </c>
      <c r="B6859" s="5" t="s">
        <v>37307</v>
      </c>
      <c r="C6859" s="5" t="s">
        <v>26769</v>
      </c>
      <c r="D6859" s="5" t="s">
        <v>37308</v>
      </c>
      <c r="E6859" s="6" t="s">
        <v>74</v>
      </c>
      <c r="F6859" s="6" t="s">
        <v>26771</v>
      </c>
      <c r="G6859" s="3" t="str">
        <f>IFERROR(__xludf.DUMMYFUNCTION("REGEXREPLACE(
D6859,
""([一-龯々]+)\[([^\]]+)\]"",
""&lt;ruby&gt;$1&lt;rt&gt;$2&lt;/rt&gt;&lt;/ruby&gt;""
)&amp;""&lt;br&gt;&lt;div class=""""audio""""&gt;[sound:""&amp;C6859&amp;"".mp3]&lt;/div&gt;"""),"&lt;ruby&gt;食糧&lt;rt&gt;しょくりょう&lt;/rt&gt;&lt;/ruby&gt;&lt;br&gt;&lt;div class=""audio""&gt;[sound:しょくりょう.mp3]&lt;/div&gt;")</f>
        <v>&lt;ruby&gt;食糧&lt;rt&gt;しょくりょう&lt;/rt&gt;&lt;/ruby&gt;&lt;br&gt;&lt;div class="audio"&gt;[sound:しょくりょう.mp3]&lt;/div&gt;</v>
      </c>
      <c r="H6859" s="3" t="str">
        <f t="shared" si="1"/>
        <v>(n): lương thực</v>
      </c>
      <c r="I6859" s="6" t="s">
        <v>37309</v>
      </c>
      <c r="J6859" s="6" t="s">
        <v>37310</v>
      </c>
      <c r="K6859" s="7">
        <f t="shared" si="2"/>
        <v>0.8784971225</v>
      </c>
    </row>
    <row r="6860">
      <c r="A6860" s="4">
        <v>6860.0</v>
      </c>
      <c r="B6860" s="5" t="s">
        <v>37311</v>
      </c>
      <c r="C6860" s="5" t="s">
        <v>5689</v>
      </c>
      <c r="D6860" s="5" t="s">
        <v>37312</v>
      </c>
      <c r="E6860" s="6" t="s">
        <v>11</v>
      </c>
      <c r="F6860" s="6" t="s">
        <v>37313</v>
      </c>
      <c r="G6860" s="3" t="str">
        <f>IFERROR(__xludf.DUMMYFUNCTION("REGEXREPLACE(
D6860,
""([一-龯々]+)\[([^\]]+)\]"",
""&lt;ruby&gt;$1&lt;rt&gt;$2&lt;/rt&gt;&lt;/ruby&gt;""
)&amp;""&lt;br&gt;&lt;div class=""""audio""""&gt;[sound:""&amp;C6860&amp;"".mp3]&lt;/div&gt;"""),"&lt;ruby&gt;精巧&lt;rt&gt;せいこう&lt;/rt&gt;&lt;/ruby&gt;&lt;br&gt;&lt;div class=""audio""&gt;[sound:せいこう.mp3]&lt;/div&gt;")</f>
        <v>&lt;ruby&gt;精巧&lt;rt&gt;せいこう&lt;/rt&gt;&lt;/ruby&gt;&lt;br&gt;&lt;div class="audio"&gt;[sound:せいこう.mp3]&lt;/div&gt;</v>
      </c>
      <c r="H6860" s="3" t="str">
        <f t="shared" si="1"/>
        <v>(adj): tinh xảo</v>
      </c>
      <c r="I6860" s="6" t="s">
        <v>37314</v>
      </c>
      <c r="J6860" s="6" t="s">
        <v>37315</v>
      </c>
      <c r="K6860" s="7">
        <f t="shared" si="2"/>
        <v>0.3297472834</v>
      </c>
    </row>
    <row r="6861">
      <c r="A6861" s="4">
        <v>6861.0</v>
      </c>
      <c r="B6861" s="5" t="s">
        <v>37316</v>
      </c>
      <c r="C6861" s="5" t="s">
        <v>37317</v>
      </c>
      <c r="D6861" s="5" t="s">
        <v>37318</v>
      </c>
      <c r="E6861" s="6" t="s">
        <v>74</v>
      </c>
      <c r="F6861" s="6" t="s">
        <v>37319</v>
      </c>
      <c r="G6861" s="3" t="str">
        <f>IFERROR(__xludf.DUMMYFUNCTION("REGEXREPLACE(
D6861,
""([一-龯々]+)\[([^\]]+)\]"",
""&lt;ruby&gt;$1&lt;rt&gt;$2&lt;/rt&gt;&lt;/ruby&gt;""
)&amp;""&lt;br&gt;&lt;div class=""""audio""""&gt;[sound:""&amp;C6861&amp;"".mp3]&lt;/div&gt;"""),"&lt;ruby&gt;宛名&lt;rt&gt;あてな&lt;/rt&gt;&lt;/ruby&gt;&lt;br&gt;&lt;div class=""audio""&gt;[sound:あてな.mp3]&lt;/div&gt;")</f>
        <v>&lt;ruby&gt;宛名&lt;rt&gt;あてな&lt;/rt&gt;&lt;/ruby&gt;&lt;br&gt;&lt;div class="audio"&gt;[sound:あてな.mp3]&lt;/div&gt;</v>
      </c>
      <c r="H6861" s="3" t="str">
        <f t="shared" si="1"/>
        <v>(n): địa chỉ người nhận</v>
      </c>
      <c r="I6861" s="6" t="s">
        <v>37320</v>
      </c>
      <c r="J6861" s="6" t="s">
        <v>37321</v>
      </c>
      <c r="K6861" s="7">
        <f t="shared" si="2"/>
        <v>0.8233699534</v>
      </c>
    </row>
    <row r="6862">
      <c r="A6862" s="4">
        <v>6862.0</v>
      </c>
      <c r="B6862" s="5" t="s">
        <v>37322</v>
      </c>
      <c r="C6862" s="5" t="s">
        <v>37323</v>
      </c>
      <c r="D6862" s="5" t="s">
        <v>37324</v>
      </c>
      <c r="E6862" s="6" t="s">
        <v>11</v>
      </c>
      <c r="F6862" s="6" t="s">
        <v>37325</v>
      </c>
      <c r="G6862" s="3" t="str">
        <f>IFERROR(__xludf.DUMMYFUNCTION("REGEXREPLACE(
D6862,
""([一-龯々]+)\[([^\]]+)\]"",
""&lt;ruby&gt;$1&lt;rt&gt;$2&lt;/rt&gt;&lt;/ruby&gt;""
)&amp;""&lt;br&gt;&lt;div class=""""audio""""&gt;[sound:""&amp;C6862&amp;"".mp3]&lt;/div&gt;"""),"&lt;ruby&gt;図々&lt;rt&gt;ずうずう&lt;/rt&gt;&lt;/ruby&gt;しい&lt;br&gt;&lt;div class=""audio""&gt;[sound:ずうずうしい.mp3]&lt;/div&gt;")</f>
        <v>&lt;ruby&gt;図々&lt;rt&gt;ずうずう&lt;/rt&gt;&lt;/ruby&gt;しい&lt;br&gt;&lt;div class="audio"&gt;[sound:ずうずうしい.mp3]&lt;/div&gt;</v>
      </c>
      <c r="H6862" s="3" t="str">
        <f t="shared" si="1"/>
        <v>(adj): trơ trẽn</v>
      </c>
      <c r="I6862" s="6" t="s">
        <v>37326</v>
      </c>
      <c r="J6862" s="6" t="s">
        <v>37327</v>
      </c>
      <c r="K6862" s="7">
        <f t="shared" si="2"/>
        <v>0.7078328038</v>
      </c>
    </row>
    <row r="6863">
      <c r="A6863" s="4">
        <v>6863.0</v>
      </c>
      <c r="B6863" s="5" t="s">
        <v>37328</v>
      </c>
      <c r="C6863" s="5" t="s">
        <v>37329</v>
      </c>
      <c r="D6863" s="5" t="s">
        <v>37330</v>
      </c>
      <c r="E6863" s="6" t="s">
        <v>74</v>
      </c>
      <c r="F6863" s="6" t="s">
        <v>37331</v>
      </c>
      <c r="G6863" s="3" t="str">
        <f>IFERROR(__xludf.DUMMYFUNCTION("REGEXREPLACE(
D6863,
""([一-龯々]+)\[([^\]]+)\]"",
""&lt;ruby&gt;$1&lt;rt&gt;$2&lt;/rt&gt;&lt;/ruby&gt;""
)&amp;""&lt;br&gt;&lt;div class=""""audio""""&gt;[sound:""&amp;C6863&amp;"".mp3]&lt;/div&gt;"""),"&lt;ruby&gt;浴衣&lt;rt&gt;ゆかた&lt;/rt&gt;&lt;/ruby&gt;&lt;br&gt;&lt;div class=""audio""&gt;[sound:ゆかた.mp3]&lt;/div&gt;")</f>
        <v>&lt;ruby&gt;浴衣&lt;rt&gt;ゆかた&lt;/rt&gt;&lt;/ruby&gt;&lt;br&gt;&lt;div class="audio"&gt;[sound:ゆかた.mp3]&lt;/div&gt;</v>
      </c>
      <c r="H6863" s="3" t="str">
        <f t="shared" si="1"/>
        <v>(n): yukata</v>
      </c>
      <c r="I6863" s="6" t="s">
        <v>37332</v>
      </c>
      <c r="J6863" s="6" t="s">
        <v>37333</v>
      </c>
      <c r="K6863" s="7">
        <f t="shared" si="2"/>
        <v>0.7944140949</v>
      </c>
    </row>
    <row r="6864">
      <c r="A6864" s="4">
        <v>6864.0</v>
      </c>
      <c r="B6864" s="5" t="s">
        <v>37334</v>
      </c>
      <c r="C6864" s="5" t="s">
        <v>37335</v>
      </c>
      <c r="D6864" s="5" t="s">
        <v>37336</v>
      </c>
      <c r="E6864" s="6" t="s">
        <v>11</v>
      </c>
      <c r="F6864" s="6" t="s">
        <v>37337</v>
      </c>
      <c r="G6864" s="3" t="str">
        <f>IFERROR(__xludf.DUMMYFUNCTION("REGEXREPLACE(
D6864,
""([一-龯々]+)\[([^\]]+)\]"",
""&lt;ruby&gt;$1&lt;rt&gt;$2&lt;/rt&gt;&lt;/ruby&gt;""
)&amp;""&lt;br&gt;&lt;div class=""""audio""""&gt;[sound:""&amp;C6864&amp;"".mp3]&lt;/div&gt;"""),"&lt;ruby&gt;清&lt;rt&gt;きよ&lt;/rt&gt;&lt;/ruby&gt;い&lt;br&gt;&lt;div class=""audio""&gt;[sound:きよい.mp3]&lt;/div&gt;")</f>
        <v>&lt;ruby&gt;清&lt;rt&gt;きよ&lt;/rt&gt;&lt;/ruby&gt;い&lt;br&gt;&lt;div class="audio"&gt;[sound:きよい.mp3]&lt;/div&gt;</v>
      </c>
      <c r="H6864" s="3" t="str">
        <f t="shared" si="1"/>
        <v>(adj): trong sạch</v>
      </c>
      <c r="I6864" s="6" t="s">
        <v>37338</v>
      </c>
      <c r="J6864" s="6" t="s">
        <v>37339</v>
      </c>
      <c r="K6864" s="7">
        <f t="shared" si="2"/>
        <v>0.705759216</v>
      </c>
    </row>
    <row r="6865">
      <c r="A6865" s="4">
        <v>6865.0</v>
      </c>
      <c r="B6865" s="5" t="s">
        <v>37340</v>
      </c>
      <c r="C6865" s="5" t="s">
        <v>9079</v>
      </c>
      <c r="D6865" s="5" t="s">
        <v>37341</v>
      </c>
      <c r="E6865" s="6" t="s">
        <v>11</v>
      </c>
      <c r="F6865" s="6" t="s">
        <v>37342</v>
      </c>
      <c r="G6865" s="3" t="str">
        <f>IFERROR(__xludf.DUMMYFUNCTION("REGEXREPLACE(
D6865,
""([一-龯々]+)\[([^\]]+)\]"",
""&lt;ruby&gt;$1&lt;rt&gt;$2&lt;/rt&gt;&lt;/ruby&gt;""
)&amp;""&lt;br&gt;&lt;div class=""""audio""""&gt;[sound:""&amp;C6865&amp;"".mp3]&lt;/div&gt;"""),"&lt;ruby&gt;粋&lt;rt&gt;いき&lt;/rt&gt;&lt;/ruby&gt;&lt;br&gt;&lt;div class=""audio""&gt;[sound:いき.mp3]&lt;/div&gt;")</f>
        <v>&lt;ruby&gt;粋&lt;rt&gt;いき&lt;/rt&gt;&lt;/ruby&gt;&lt;br&gt;&lt;div class="audio"&gt;[sound:いき.mp3]&lt;/div&gt;</v>
      </c>
      <c r="H6865" s="3" t="str">
        <f t="shared" si="1"/>
        <v>(adj): tao nhã</v>
      </c>
      <c r="I6865" s="6" t="s">
        <v>37343</v>
      </c>
      <c r="J6865" s="6" t="s">
        <v>37344</v>
      </c>
      <c r="K6865" s="7">
        <f t="shared" si="2"/>
        <v>0.1945276456</v>
      </c>
    </row>
    <row r="6866">
      <c r="A6866" s="4">
        <v>6866.0</v>
      </c>
      <c r="B6866" s="5" t="s">
        <v>37345</v>
      </c>
      <c r="C6866" s="5" t="s">
        <v>37346</v>
      </c>
      <c r="D6866" s="5" t="s">
        <v>37347</v>
      </c>
      <c r="E6866" s="6" t="s">
        <v>11</v>
      </c>
      <c r="F6866" s="6" t="s">
        <v>17895</v>
      </c>
      <c r="G6866" s="3" t="str">
        <f>IFERROR(__xludf.DUMMYFUNCTION("REGEXREPLACE(
D6866,
""([一-龯々]+)\[([^\]]+)\]"",
""&lt;ruby&gt;$1&lt;rt&gt;$2&lt;/rt&gt;&lt;/ruby&gt;""
)&amp;""&lt;br&gt;&lt;div class=""""audio""""&gt;[sound:""&amp;C6866&amp;"".mp3]&lt;/div&gt;"""),"&lt;ruby&gt;稀&lt;rt&gt;まれ&lt;/rt&gt;&lt;/ruby&gt;&lt;br&gt;&lt;div class=""audio""&gt;[sound:まれ.mp3]&lt;/div&gt;")</f>
        <v>&lt;ruby&gt;稀&lt;rt&gt;まれ&lt;/rt&gt;&lt;/ruby&gt;&lt;br&gt;&lt;div class="audio"&gt;[sound:まれ.mp3]&lt;/div&gt;</v>
      </c>
      <c r="H6866" s="3" t="str">
        <f t="shared" si="1"/>
        <v>(adj): hiếm</v>
      </c>
      <c r="I6866" s="6" t="s">
        <v>37348</v>
      </c>
      <c r="J6866" s="6" t="s">
        <v>37349</v>
      </c>
      <c r="K6866" s="7">
        <f t="shared" si="2"/>
        <v>0.2058549259</v>
      </c>
    </row>
    <row r="6867">
      <c r="A6867" s="4">
        <v>6867.0</v>
      </c>
      <c r="B6867" s="5" t="s">
        <v>37350</v>
      </c>
      <c r="C6867" s="5" t="s">
        <v>37351</v>
      </c>
      <c r="D6867" s="5" t="s">
        <v>37352</v>
      </c>
      <c r="E6867" s="6" t="s">
        <v>74</v>
      </c>
      <c r="F6867" s="6" t="s">
        <v>37353</v>
      </c>
      <c r="G6867" s="3" t="str">
        <f>IFERROR(__xludf.DUMMYFUNCTION("REGEXREPLACE(
D6867,
""([一-龯々]+)\[([^\]]+)\]"",
""&lt;ruby&gt;$1&lt;rt&gt;$2&lt;/rt&gt;&lt;/ruby&gt;""
)&amp;""&lt;br&gt;&lt;div class=""""audio""""&gt;[sound:""&amp;C6867&amp;"".mp3]&lt;/div&gt;"""),"&lt;ruby&gt;和英&lt;rt&gt;わえい&lt;/rt&gt;&lt;/ruby&gt;&lt;br&gt;&lt;div class=""audio""&gt;[sound:わえい.mp3]&lt;/div&gt;")</f>
        <v>&lt;ruby&gt;和英&lt;rt&gt;わえい&lt;/rt&gt;&lt;/ruby&gt;&lt;br&gt;&lt;div class="audio"&gt;[sound:わえい.mp3]&lt;/div&gt;</v>
      </c>
      <c r="H6867" s="3" t="str">
        <f t="shared" si="1"/>
        <v>(n): nhật-anh</v>
      </c>
      <c r="I6867" s="6" t="s">
        <v>37354</v>
      </c>
      <c r="J6867" s="6" t="s">
        <v>37355</v>
      </c>
      <c r="K6867" s="7">
        <f t="shared" si="2"/>
        <v>0.4838746393</v>
      </c>
    </row>
    <row r="6868">
      <c r="A6868" s="4">
        <v>6868.0</v>
      </c>
      <c r="B6868" s="5" t="s">
        <v>37356</v>
      </c>
      <c r="C6868" s="5" t="s">
        <v>37357</v>
      </c>
      <c r="D6868" s="5" t="s">
        <v>37358</v>
      </c>
      <c r="E6868" s="6" t="s">
        <v>74</v>
      </c>
      <c r="F6868" s="6" t="s">
        <v>37359</v>
      </c>
      <c r="G6868" s="3" t="str">
        <f>IFERROR(__xludf.DUMMYFUNCTION("REGEXREPLACE(
D6868,
""([一-龯々]+)\[([^\]]+)\]"",
""&lt;ruby&gt;$1&lt;rt&gt;$2&lt;/rt&gt;&lt;/ruby&gt;""
)&amp;""&lt;br&gt;&lt;div class=""""audio""""&gt;[sound:""&amp;C6868&amp;"".mp3]&lt;/div&gt;"""),"&lt;ruby&gt;洒落&lt;rt&gt;しゃれ&lt;/rt&gt;&lt;/ruby&gt;&lt;br&gt;&lt;div class=""audio""&gt;[sound:しゃれ.mp3]&lt;/div&gt;")</f>
        <v>&lt;ruby&gt;洒落&lt;rt&gt;しゃれ&lt;/rt&gt;&lt;/ruby&gt;&lt;br&gt;&lt;div class="audio"&gt;[sound:しゃれ.mp3]&lt;/div&gt;</v>
      </c>
      <c r="H6868" s="3" t="str">
        <f t="shared" si="1"/>
        <v>(n): chơi chữ</v>
      </c>
      <c r="I6868" s="6" t="s">
        <v>37360</v>
      </c>
      <c r="J6868" s="6" t="s">
        <v>37361</v>
      </c>
      <c r="K6868" s="7">
        <f t="shared" si="2"/>
        <v>0.9176479617</v>
      </c>
    </row>
    <row r="6869">
      <c r="A6869" s="4">
        <v>6869.0</v>
      </c>
      <c r="B6869" s="5" t="s">
        <v>37362</v>
      </c>
      <c r="C6869" s="5" t="s">
        <v>37363</v>
      </c>
      <c r="D6869" s="5" t="s">
        <v>37364</v>
      </c>
      <c r="E6869" s="6" t="s">
        <v>74</v>
      </c>
      <c r="F6869" s="6" t="s">
        <v>37365</v>
      </c>
      <c r="G6869" s="3" t="str">
        <f>IFERROR(__xludf.DUMMYFUNCTION("REGEXREPLACE(
D6869,
""([一-龯々]+)\[([^\]]+)\]"",
""&lt;ruby&gt;$1&lt;rt&gt;$2&lt;/rt&gt;&lt;/ruby&gt;""
)&amp;""&lt;br&gt;&lt;div class=""""audio""""&gt;[sound:""&amp;C6869&amp;"".mp3]&lt;/div&gt;"""),"&lt;ruby&gt;黒板&lt;rt&gt;こくばん&lt;/rt&gt;&lt;/ruby&gt;&lt;br&gt;&lt;div class=""audio""&gt;[sound:こくばん.mp3]&lt;/div&gt;")</f>
        <v>&lt;ruby&gt;黒板&lt;rt&gt;こくばん&lt;/rt&gt;&lt;/ruby&gt;&lt;br&gt;&lt;div class="audio"&gt;[sound:こくばん.mp3]&lt;/div&gt;</v>
      </c>
      <c r="H6869" s="3" t="str">
        <f t="shared" si="1"/>
        <v>(n): bảng đen</v>
      </c>
      <c r="I6869" s="6" t="s">
        <v>37366</v>
      </c>
      <c r="J6869" s="6" t="s">
        <v>37367</v>
      </c>
      <c r="K6869" s="7">
        <f t="shared" si="2"/>
        <v>0.2402332559</v>
      </c>
    </row>
    <row r="6870">
      <c r="A6870" s="4">
        <v>6870.0</v>
      </c>
      <c r="B6870" s="5" t="s">
        <v>37368</v>
      </c>
      <c r="C6870" s="5" t="s">
        <v>27987</v>
      </c>
      <c r="D6870" s="5" t="s">
        <v>37369</v>
      </c>
      <c r="E6870" s="6" t="s">
        <v>74</v>
      </c>
      <c r="F6870" s="6" t="s">
        <v>12849</v>
      </c>
      <c r="G6870" s="3" t="str">
        <f>IFERROR(__xludf.DUMMYFUNCTION("REGEXREPLACE(
D6870,
""([一-龯々]+)\[([^\]]+)\]"",
""&lt;ruby&gt;$1&lt;rt&gt;$2&lt;/rt&gt;&lt;/ruby&gt;""
)&amp;""&lt;br&gt;&lt;div class=""""audio""""&gt;[sound:""&amp;C6870&amp;"".mp3]&lt;/div&gt;"""),"&lt;ruby&gt;斜&lt;rt&gt;ななめ&lt;/rt&gt;&lt;/ruby&gt;&lt;br&gt;&lt;div class=""audio""&gt;[sound:ななめ.mp3]&lt;/div&gt;")</f>
        <v>&lt;ruby&gt;斜&lt;rt&gt;ななめ&lt;/rt&gt;&lt;/ruby&gt;&lt;br&gt;&lt;div class="audio"&gt;[sound:ななめ.mp3]&lt;/div&gt;</v>
      </c>
      <c r="H6870" s="3" t="str">
        <f t="shared" si="1"/>
        <v>(n): nghiêng</v>
      </c>
      <c r="I6870" s="6" t="s">
        <v>37370</v>
      </c>
      <c r="J6870" s="6" t="s">
        <v>37371</v>
      </c>
      <c r="K6870" s="7">
        <f t="shared" si="2"/>
        <v>0.9074540147</v>
      </c>
    </row>
    <row r="6871">
      <c r="A6871" s="4">
        <v>6871.0</v>
      </c>
      <c r="B6871" s="5" t="s">
        <v>37372</v>
      </c>
      <c r="C6871" s="5" t="s">
        <v>37373</v>
      </c>
      <c r="D6871" s="5" t="s">
        <v>37374</v>
      </c>
      <c r="E6871" s="6" t="s">
        <v>74</v>
      </c>
      <c r="F6871" s="6" t="s">
        <v>37375</v>
      </c>
      <c r="G6871" s="3" t="str">
        <f>IFERROR(__xludf.DUMMYFUNCTION("REGEXREPLACE(
D6871,
""([一-龯々]+)\[([^\]]+)\]"",
""&lt;ruby&gt;$1&lt;rt&gt;$2&lt;/rt&gt;&lt;/ruby&gt;""
)&amp;""&lt;br&gt;&lt;div class=""""audio""""&gt;[sound:""&amp;C6871&amp;"".mp3]&lt;/div&gt;"""),"&lt;ruby&gt;耕地&lt;rt&gt;こうち&lt;/rt&gt;&lt;/ruby&gt;&lt;br&gt;&lt;div class=""audio""&gt;[sound:こうち.mp3]&lt;/div&gt;")</f>
        <v>&lt;ruby&gt;耕地&lt;rt&gt;こうち&lt;/rt&gt;&lt;/ruby&gt;&lt;br&gt;&lt;div class="audio"&gt;[sound:こうち.mp3]&lt;/div&gt;</v>
      </c>
      <c r="H6871" s="3" t="str">
        <f t="shared" si="1"/>
        <v>(n): đất canh tác</v>
      </c>
      <c r="I6871" s="6" t="s">
        <v>37376</v>
      </c>
      <c r="J6871" s="6" t="s">
        <v>37377</v>
      </c>
      <c r="K6871" s="7">
        <f t="shared" si="2"/>
        <v>0.1344696258</v>
      </c>
    </row>
    <row r="6872">
      <c r="A6872" s="4">
        <v>6872.0</v>
      </c>
      <c r="B6872" s="5" t="s">
        <v>37378</v>
      </c>
      <c r="C6872" s="5" t="s">
        <v>37379</v>
      </c>
      <c r="D6872" s="5" t="s">
        <v>37380</v>
      </c>
      <c r="E6872" s="6" t="s">
        <v>74</v>
      </c>
      <c r="F6872" s="6" t="s">
        <v>37381</v>
      </c>
      <c r="G6872" s="3" t="str">
        <f>IFERROR(__xludf.DUMMYFUNCTION("REGEXREPLACE(
D6872,
""([一-龯々]+)\[([^\]]+)\]"",
""&lt;ruby&gt;$1&lt;rt&gt;$2&lt;/rt&gt;&lt;/ruby&gt;""
)&amp;""&lt;br&gt;&lt;div class=""""audio""""&gt;[sound:""&amp;C6872&amp;"".mp3]&lt;/div&gt;"""),"&lt;ruby&gt;風船&lt;rt&gt;ふうせん&lt;/rt&gt;&lt;/ruby&gt;&lt;br&gt;&lt;div class=""audio""&gt;[sound:ふうせん.mp3]&lt;/div&gt;")</f>
        <v>&lt;ruby&gt;風船&lt;rt&gt;ふうせん&lt;/rt&gt;&lt;/ruby&gt;&lt;br&gt;&lt;div class="audio"&gt;[sound:ふうせん.mp3]&lt;/div&gt;</v>
      </c>
      <c r="H6872" s="3" t="str">
        <f t="shared" si="1"/>
        <v>(n): bong bóng</v>
      </c>
      <c r="I6872" s="6" t="s">
        <v>37382</v>
      </c>
      <c r="J6872" s="6" t="s">
        <v>37383</v>
      </c>
      <c r="K6872" s="7">
        <f t="shared" si="2"/>
        <v>0.6557067124</v>
      </c>
    </row>
    <row r="6873">
      <c r="A6873" s="4">
        <v>6873.0</v>
      </c>
      <c r="B6873" s="5" t="s">
        <v>37384</v>
      </c>
      <c r="C6873" s="5" t="s">
        <v>37385</v>
      </c>
      <c r="D6873" s="5" t="s">
        <v>37386</v>
      </c>
      <c r="E6873" s="6" t="s">
        <v>74</v>
      </c>
      <c r="F6873" s="6" t="s">
        <v>37387</v>
      </c>
      <c r="G6873" s="3" t="str">
        <f>IFERROR(__xludf.DUMMYFUNCTION("REGEXREPLACE(
D6873,
""([一-龯々]+)\[([^\]]+)\]"",
""&lt;ruby&gt;$1&lt;rt&gt;$2&lt;/rt&gt;&lt;/ruby&gt;""
)&amp;""&lt;br&gt;&lt;div class=""""audio""""&gt;[sound:""&amp;C6873&amp;"".mp3]&lt;/div&gt;"""),"&lt;ruby&gt;英和&lt;rt&gt;えいわ&lt;/rt&gt;&lt;/ruby&gt;&lt;br&gt;&lt;div class=""audio""&gt;[sound:えいわ.mp3]&lt;/div&gt;")</f>
        <v>&lt;ruby&gt;英和&lt;rt&gt;えいわ&lt;/rt&gt;&lt;/ruby&gt;&lt;br&gt;&lt;div class="audio"&gt;[sound:えいわ.mp3]&lt;/div&gt;</v>
      </c>
      <c r="H6873" s="3" t="str">
        <f t="shared" si="1"/>
        <v>(n): anh-nhật</v>
      </c>
      <c r="I6873" s="6" t="s">
        <v>37388</v>
      </c>
      <c r="J6873" s="6" t="s">
        <v>37389</v>
      </c>
      <c r="K6873" s="7">
        <f t="shared" si="2"/>
        <v>0.8071475518</v>
      </c>
    </row>
    <row r="6874">
      <c r="A6874" s="4">
        <v>6874.0</v>
      </c>
      <c r="B6874" s="5" t="s">
        <v>37390</v>
      </c>
      <c r="C6874" s="5" t="s">
        <v>37391</v>
      </c>
      <c r="D6874" s="5" t="s">
        <v>37392</v>
      </c>
      <c r="E6874" s="6" t="s">
        <v>74</v>
      </c>
      <c r="F6874" s="6" t="s">
        <v>23244</v>
      </c>
      <c r="G6874" s="3" t="str">
        <f>IFERROR(__xludf.DUMMYFUNCTION("REGEXREPLACE(
D6874,
""([一-龯々]+)\[([^\]]+)\]"",
""&lt;ruby&gt;$1&lt;rt&gt;$2&lt;/rt&gt;&lt;/ruby&gt;""
)&amp;""&lt;br&gt;&lt;div class=""""audio""""&gt;[sound:""&amp;C6874&amp;"".mp3]&lt;/div&gt;"""),"&lt;ruby&gt;客間&lt;rt&gt;きゃくま&lt;/rt&gt;&lt;/ruby&gt;&lt;br&gt;&lt;div class=""audio""&gt;[sound:きゃくま.mp3]&lt;/div&gt;")</f>
        <v>&lt;ruby&gt;客間&lt;rt&gt;きゃくま&lt;/rt&gt;&lt;/ruby&gt;&lt;br&gt;&lt;div class="audio"&gt;[sound:きゃくま.mp3]&lt;/div&gt;</v>
      </c>
      <c r="H6874" s="3" t="str">
        <f t="shared" si="1"/>
        <v>(n): phòng khách</v>
      </c>
      <c r="I6874" s="6" t="s">
        <v>37393</v>
      </c>
      <c r="J6874" s="6" t="s">
        <v>37394</v>
      </c>
      <c r="K6874" s="7">
        <f t="shared" si="2"/>
        <v>0.8607846337</v>
      </c>
    </row>
    <row r="6875">
      <c r="A6875" s="4">
        <v>6875.0</v>
      </c>
      <c r="B6875" s="5" t="s">
        <v>37395</v>
      </c>
      <c r="C6875" s="5" t="s">
        <v>16547</v>
      </c>
      <c r="D6875" s="5" t="s">
        <v>37396</v>
      </c>
      <c r="E6875" s="6" t="s">
        <v>74</v>
      </c>
      <c r="F6875" s="6" t="s">
        <v>28974</v>
      </c>
      <c r="G6875" s="3" t="str">
        <f>IFERROR(__xludf.DUMMYFUNCTION("REGEXREPLACE(
D6875,
""([一-龯々]+)\[([^\]]+)\]"",
""&lt;ruby&gt;$1&lt;rt&gt;$2&lt;/rt&gt;&lt;/ruby&gt;""
)&amp;""&lt;br&gt;&lt;div class=""""audio""""&gt;[sound:""&amp;C6875&amp;"".mp3]&lt;/div&gt;"""),"&lt;ruby&gt;伯父&lt;rt&gt;おじ&lt;/rt&gt;&lt;/ruby&gt;&lt;br&gt;&lt;div class=""audio""&gt;[sound:おじ.mp3]&lt;/div&gt;")</f>
        <v>&lt;ruby&gt;伯父&lt;rt&gt;おじ&lt;/rt&gt;&lt;/ruby&gt;&lt;br&gt;&lt;div class="audio"&gt;[sound:おじ.mp3]&lt;/div&gt;</v>
      </c>
      <c r="H6875" s="3" t="str">
        <f t="shared" si="1"/>
        <v>(n): bác trai</v>
      </c>
      <c r="I6875" s="6" t="s">
        <v>37397</v>
      </c>
      <c r="J6875" s="6" t="s">
        <v>37398</v>
      </c>
      <c r="K6875" s="7">
        <f t="shared" si="2"/>
        <v>0.1283676487</v>
      </c>
    </row>
    <row r="6876">
      <c r="A6876" s="4">
        <v>6876.0</v>
      </c>
      <c r="B6876" s="5" t="s">
        <v>37399</v>
      </c>
      <c r="C6876" s="5" t="s">
        <v>37400</v>
      </c>
      <c r="D6876" s="5" t="s">
        <v>37401</v>
      </c>
      <c r="E6876" s="6" t="s">
        <v>74</v>
      </c>
      <c r="F6876" s="6" t="s">
        <v>37402</v>
      </c>
      <c r="G6876" s="3" t="str">
        <f>IFERROR(__xludf.DUMMYFUNCTION("REGEXREPLACE(
D6876,
""([一-龯々]+)\[([^\]]+)\]"",
""&lt;ruby&gt;$1&lt;rt&gt;$2&lt;/rt&gt;&lt;/ruby&gt;""
)&amp;""&lt;br&gt;&lt;div class=""""audio""""&gt;[sound:""&amp;C6876&amp;"".mp3]&lt;/div&gt;"""),"&lt;ruby&gt;停電&lt;rt&gt;ていでん&lt;/rt&gt;&lt;/ruby&gt;&lt;br&gt;&lt;div class=""audio""&gt;[sound:ていでん.mp3]&lt;/div&gt;")</f>
        <v>&lt;ruby&gt;停電&lt;rt&gt;ていでん&lt;/rt&gt;&lt;/ruby&gt;&lt;br&gt;&lt;div class="audio"&gt;[sound:ていでん.mp3]&lt;/div&gt;</v>
      </c>
      <c r="H6876" s="3" t="str">
        <f t="shared" si="1"/>
        <v>(n): mất điện</v>
      </c>
      <c r="I6876" s="6" t="s">
        <v>37403</v>
      </c>
      <c r="J6876" s="6" t="s">
        <v>37404</v>
      </c>
      <c r="K6876" s="7">
        <f t="shared" si="2"/>
        <v>0.2674357245</v>
      </c>
    </row>
    <row r="6877">
      <c r="A6877" s="4">
        <v>6877.0</v>
      </c>
      <c r="B6877" s="5" t="s">
        <v>37405</v>
      </c>
      <c r="C6877" s="5" t="s">
        <v>37406</v>
      </c>
      <c r="D6877" s="5" t="s">
        <v>37407</v>
      </c>
      <c r="E6877" s="6" t="s">
        <v>74</v>
      </c>
      <c r="F6877" s="6" t="s">
        <v>37408</v>
      </c>
      <c r="G6877" s="3" t="str">
        <f>IFERROR(__xludf.DUMMYFUNCTION("REGEXREPLACE(
D6877,
""([一-龯々]+)\[([^\]]+)\]"",
""&lt;ruby&gt;$1&lt;rt&gt;$2&lt;/rt&gt;&lt;/ruby&gt;""
)&amp;""&lt;br&gt;&lt;div class=""""audio""""&gt;[sound:""&amp;C6877&amp;"".mp3]&lt;/div&gt;"""),"&lt;ruby&gt;毛皮&lt;rt&gt;けがわ&lt;/rt&gt;&lt;/ruby&gt;&lt;br&gt;&lt;div class=""audio""&gt;[sound:けがわ.mp3]&lt;/div&gt;")</f>
        <v>&lt;ruby&gt;毛皮&lt;rt&gt;けがわ&lt;/rt&gt;&lt;/ruby&gt;&lt;br&gt;&lt;div class="audio"&gt;[sound:けがわ.mp3]&lt;/div&gt;</v>
      </c>
      <c r="H6877" s="3" t="str">
        <f t="shared" si="1"/>
        <v>(n): lông thú</v>
      </c>
      <c r="I6877" s="6" t="s">
        <v>37409</v>
      </c>
      <c r="J6877" s="6" t="s">
        <v>37410</v>
      </c>
      <c r="K6877" s="7">
        <f t="shared" si="2"/>
        <v>0.4780074536</v>
      </c>
    </row>
    <row r="6878">
      <c r="A6878" s="4">
        <v>6878.0</v>
      </c>
      <c r="B6878" s="5" t="s">
        <v>37411</v>
      </c>
      <c r="C6878" s="5" t="s">
        <v>37412</v>
      </c>
      <c r="D6878" s="5" t="s">
        <v>37413</v>
      </c>
      <c r="E6878" s="6" t="s">
        <v>74</v>
      </c>
      <c r="F6878" s="6" t="s">
        <v>6899</v>
      </c>
      <c r="G6878" s="3" t="str">
        <f>IFERROR(__xludf.DUMMYFUNCTION("REGEXREPLACE(
D6878,
""([一-龯々]+)\[([^\]]+)\]"",
""&lt;ruby&gt;$1&lt;rt&gt;$2&lt;/rt&gt;&lt;/ruby&gt;""
)&amp;""&lt;br&gt;&lt;div class=""""audio""""&gt;[sound:""&amp;C6878&amp;"".mp3]&lt;/div&gt;"""),"&lt;ruby&gt;目印&lt;rt&gt;めじるし&lt;/rt&gt;&lt;/ruby&gt;&lt;br&gt;&lt;div class=""audio""&gt;[sound:めじるし.mp3]&lt;/div&gt;")</f>
        <v>&lt;ruby&gt;目印&lt;rt&gt;めじるし&lt;/rt&gt;&lt;/ruby&gt;&lt;br&gt;&lt;div class="audio"&gt;[sound:めじるし.mp3]&lt;/div&gt;</v>
      </c>
      <c r="H6878" s="3" t="str">
        <f t="shared" si="1"/>
        <v>(n): dấu hiệu</v>
      </c>
      <c r="I6878" s="6" t="s">
        <v>37414</v>
      </c>
      <c r="J6878" s="6" t="s">
        <v>37415</v>
      </c>
      <c r="K6878" s="7">
        <f t="shared" si="2"/>
        <v>0.08313553326</v>
      </c>
    </row>
    <row r="6879">
      <c r="A6879" s="4">
        <v>6879.0</v>
      </c>
      <c r="B6879" s="5" t="s">
        <v>37416</v>
      </c>
      <c r="C6879" s="5" t="s">
        <v>37417</v>
      </c>
      <c r="D6879" s="5" t="s">
        <v>37418</v>
      </c>
      <c r="E6879" s="6" t="s">
        <v>74</v>
      </c>
      <c r="F6879" s="6" t="s">
        <v>37419</v>
      </c>
      <c r="G6879" s="3" t="str">
        <f>IFERROR(__xludf.DUMMYFUNCTION("REGEXREPLACE(
D6879,
""([一-龯々]+)\[([^\]]+)\]"",
""&lt;ruby&gt;$1&lt;rt&gt;$2&lt;/rt&gt;&lt;/ruby&gt;""
)&amp;""&lt;br&gt;&lt;div class=""""audio""""&gt;[sound:""&amp;C6879&amp;"".mp3]&lt;/div&gt;"""),"&lt;ruby&gt;洗面&lt;rt&gt;せんめん&lt;/rt&gt;&lt;/ruby&gt;&lt;br&gt;&lt;div class=""audio""&gt;[sound:せんめん.mp3]&lt;/div&gt;")</f>
        <v>&lt;ruby&gt;洗面&lt;rt&gt;せんめん&lt;/rt&gt;&lt;/ruby&gt;&lt;br&gt;&lt;div class="audio"&gt;[sound:せんめん.mp3]&lt;/div&gt;</v>
      </c>
      <c r="H6879" s="3" t="str">
        <f t="shared" si="1"/>
        <v>(n): rửa mặt</v>
      </c>
      <c r="I6879" s="6" t="s">
        <v>37420</v>
      </c>
      <c r="J6879" s="6" t="s">
        <v>37421</v>
      </c>
      <c r="K6879" s="7">
        <f t="shared" si="2"/>
        <v>0.8384306924</v>
      </c>
    </row>
    <row r="6880">
      <c r="A6880" s="4">
        <v>6880.0</v>
      </c>
      <c r="B6880" s="5" t="s">
        <v>37422</v>
      </c>
      <c r="C6880" s="5" t="s">
        <v>37423</v>
      </c>
      <c r="D6880" s="5" t="s">
        <v>37424</v>
      </c>
      <c r="E6880" s="6" t="s">
        <v>74</v>
      </c>
      <c r="F6880" s="6" t="s">
        <v>9692</v>
      </c>
      <c r="G6880" s="3" t="str">
        <f>IFERROR(__xludf.DUMMYFUNCTION("REGEXREPLACE(
D6880,
""([一-龯々]+)\[([^\]]+)\]"",
""&lt;ruby&gt;$1&lt;rt&gt;$2&lt;/rt&gt;&lt;/ruby&gt;""
)&amp;""&lt;br&gt;&lt;div class=""""audio""""&gt;[sound:""&amp;C6880&amp;"".mp3]&lt;/div&gt;"""),"&lt;ruby&gt;灰色&lt;rt&gt;はいいろ&lt;/rt&gt;&lt;/ruby&gt;&lt;br&gt;&lt;div class=""audio""&gt;[sound:はいいろ.mp3]&lt;/div&gt;")</f>
        <v>&lt;ruby&gt;灰色&lt;rt&gt;はいいろ&lt;/rt&gt;&lt;/ruby&gt;&lt;br&gt;&lt;div class="audio"&gt;[sound:はいいろ.mp3]&lt;/div&gt;</v>
      </c>
      <c r="H6880" s="3" t="str">
        <f t="shared" si="1"/>
        <v>(n): màu xám</v>
      </c>
      <c r="I6880" s="6" t="s">
        <v>37425</v>
      </c>
      <c r="J6880" s="6" t="s">
        <v>37426</v>
      </c>
      <c r="K6880" s="7">
        <f t="shared" si="2"/>
        <v>0.3429761557</v>
      </c>
    </row>
    <row r="6881">
      <c r="A6881" s="4">
        <v>6881.0</v>
      </c>
      <c r="B6881" s="5" t="s">
        <v>37427</v>
      </c>
      <c r="C6881" s="5" t="s">
        <v>37428</v>
      </c>
      <c r="D6881" s="5" t="s">
        <v>37429</v>
      </c>
      <c r="E6881" s="6" t="s">
        <v>74</v>
      </c>
      <c r="F6881" s="6" t="s">
        <v>21380</v>
      </c>
      <c r="G6881" s="3" t="str">
        <f>IFERROR(__xludf.DUMMYFUNCTION("REGEXREPLACE(
D6881,
""([一-龯々]+)\[([^\]]+)\]"",
""&lt;ruby&gt;$1&lt;rt&gt;$2&lt;/rt&gt;&lt;/ruby&gt;""
)&amp;""&lt;br&gt;&lt;div class=""""audio""""&gt;[sound:""&amp;C6881&amp;"".mp3]&lt;/div&gt;"""),"&lt;ruby&gt;演説&lt;rt&gt;えんぜつ&lt;/rt&gt;&lt;/ruby&gt;&lt;br&gt;&lt;div class=""audio""&gt;[sound:えんぜつ.mp3]&lt;/div&gt;")</f>
        <v>&lt;ruby&gt;演説&lt;rt&gt;えんぜつ&lt;/rt&gt;&lt;/ruby&gt;&lt;br&gt;&lt;div class="audio"&gt;[sound:えんぜつ.mp3]&lt;/div&gt;</v>
      </c>
      <c r="H6881" s="3" t="str">
        <f t="shared" si="1"/>
        <v>(n): diễn thuyết</v>
      </c>
      <c r="I6881" s="6" t="s">
        <v>37430</v>
      </c>
      <c r="J6881" s="6" t="s">
        <v>37431</v>
      </c>
      <c r="K6881" s="7">
        <f t="shared" si="2"/>
        <v>0.1903911078</v>
      </c>
    </row>
    <row r="6882">
      <c r="A6882" s="4">
        <v>6882.0</v>
      </c>
      <c r="B6882" s="5" t="s">
        <v>37432</v>
      </c>
      <c r="C6882" s="5" t="s">
        <v>37433</v>
      </c>
      <c r="D6882" s="5" t="s">
        <v>37434</v>
      </c>
      <c r="E6882" s="6" t="s">
        <v>74</v>
      </c>
      <c r="F6882" s="6" t="s">
        <v>37435</v>
      </c>
      <c r="G6882" s="3" t="str">
        <f>IFERROR(__xludf.DUMMYFUNCTION("REGEXREPLACE(
D6882,
""([一-龯々]+)\[([^\]]+)\]"",
""&lt;ruby&gt;$1&lt;rt&gt;$2&lt;/rt&gt;&lt;/ruby&gt;""
)&amp;""&lt;br&gt;&lt;div class=""""audio""""&gt;[sound:""&amp;C6882&amp;"".mp3]&lt;/div&gt;"""),"&lt;ruby&gt;図鑑&lt;rt&gt;ずかん&lt;/rt&gt;&lt;/ruby&gt;&lt;br&gt;&lt;div class=""audio""&gt;[sound:ずかん.mp3]&lt;/div&gt;")</f>
        <v>&lt;ruby&gt;図鑑&lt;rt&gt;ずかん&lt;/rt&gt;&lt;/ruby&gt;&lt;br&gt;&lt;div class="audio"&gt;[sound:ずかん.mp3]&lt;/div&gt;</v>
      </c>
      <c r="H6882" s="3" t="str">
        <f t="shared" si="1"/>
        <v>(n): sách tranh</v>
      </c>
      <c r="I6882" s="6" t="s">
        <v>37436</v>
      </c>
      <c r="J6882" s="6" t="s">
        <v>37437</v>
      </c>
      <c r="K6882" s="7">
        <f t="shared" si="2"/>
        <v>0.5072248899</v>
      </c>
    </row>
    <row r="6883">
      <c r="A6883" s="4">
        <v>6883.0</v>
      </c>
      <c r="B6883" s="5" t="s">
        <v>37438</v>
      </c>
      <c r="C6883" s="5" t="s">
        <v>3188</v>
      </c>
      <c r="D6883" s="5" t="s">
        <v>37439</v>
      </c>
      <c r="E6883" s="6" t="s">
        <v>74</v>
      </c>
      <c r="F6883" s="6" t="s">
        <v>37440</v>
      </c>
      <c r="G6883" s="3" t="str">
        <f>IFERROR(__xludf.DUMMYFUNCTION("REGEXREPLACE(
D6883,
""([一-龯々]+)\[([^\]]+)\]"",
""&lt;ruby&gt;$1&lt;rt&gt;$2&lt;/rt&gt;&lt;/ruby&gt;""
)&amp;""&lt;br&gt;&lt;div class=""""audio""""&gt;[sound:""&amp;C6883&amp;"".mp3]&lt;/div&gt;"""),"&lt;ruby&gt;年鑑&lt;rt&gt;ねんかん&lt;/rt&gt;&lt;/ruby&gt;&lt;br&gt;&lt;div class=""audio""&gt;[sound:ねんかん.mp3]&lt;/div&gt;")</f>
        <v>&lt;ruby&gt;年鑑&lt;rt&gt;ねんかん&lt;/rt&gt;&lt;/ruby&gt;&lt;br&gt;&lt;div class="audio"&gt;[sound:ねんかん.mp3]&lt;/div&gt;</v>
      </c>
      <c r="H6883" s="3" t="str">
        <f t="shared" si="1"/>
        <v>(n): niên giám</v>
      </c>
      <c r="I6883" s="6" t="s">
        <v>37441</v>
      </c>
      <c r="J6883" s="6" t="s">
        <v>37442</v>
      </c>
      <c r="K6883" s="7">
        <f t="shared" si="2"/>
        <v>0.9423473747</v>
      </c>
    </row>
    <row r="6884">
      <c r="A6884" s="4">
        <v>6884.0</v>
      </c>
      <c r="B6884" s="5" t="s">
        <v>37443</v>
      </c>
      <c r="C6884" s="5" t="s">
        <v>37444</v>
      </c>
      <c r="D6884" s="5" t="s">
        <v>37445</v>
      </c>
      <c r="E6884" s="6" t="s">
        <v>74</v>
      </c>
      <c r="F6884" s="6" t="s">
        <v>34744</v>
      </c>
      <c r="G6884" s="3" t="str">
        <f>IFERROR(__xludf.DUMMYFUNCTION("REGEXREPLACE(
D6884,
""([一-龯々]+)\[([^\]]+)\]"",
""&lt;ruby&gt;$1&lt;rt&gt;$2&lt;/rt&gt;&lt;/ruby&gt;""
)&amp;""&lt;br&gt;&lt;div class=""""audio""""&gt;[sound:""&amp;C6884&amp;"".mp3]&lt;/div&gt;"""),"&lt;ruby&gt;先祖&lt;rt&gt;せんぞ&lt;/rt&gt;&lt;/ruby&gt;&lt;br&gt;&lt;div class=""audio""&gt;[sound:せんぞ.mp3]&lt;/div&gt;")</f>
        <v>&lt;ruby&gt;先祖&lt;rt&gt;せんぞ&lt;/rt&gt;&lt;/ruby&gt;&lt;br&gt;&lt;div class="audio"&gt;[sound:せんぞ.mp3]&lt;/div&gt;</v>
      </c>
      <c r="H6884" s="3" t="str">
        <f t="shared" si="1"/>
        <v>(n): tổ tiên</v>
      </c>
      <c r="I6884" s="6" t="s">
        <v>37446</v>
      </c>
      <c r="J6884" s="6" t="s">
        <v>37447</v>
      </c>
      <c r="K6884" s="7">
        <f t="shared" si="2"/>
        <v>0.8178980031</v>
      </c>
    </row>
    <row r="6885">
      <c r="A6885" s="4">
        <v>6885.0</v>
      </c>
      <c r="B6885" s="5" t="s">
        <v>37448</v>
      </c>
      <c r="C6885" s="5" t="s">
        <v>37449</v>
      </c>
      <c r="D6885" s="5" t="s">
        <v>37450</v>
      </c>
      <c r="E6885" s="6" t="s">
        <v>24</v>
      </c>
      <c r="F6885" s="6" t="s">
        <v>33245</v>
      </c>
      <c r="G6885" s="3" t="str">
        <f>IFERROR(__xludf.DUMMYFUNCTION("REGEXREPLACE(
D6885,
""([一-龯々]+)\[([^\]]+)\]"",
""&lt;ruby&gt;$1&lt;rt&gt;$2&lt;/rt&gt;&lt;/ruby&gt;""
)&amp;""&lt;br&gt;&lt;div class=""""audio""""&gt;[sound:""&amp;C6885&amp;"".mp3]&lt;/div&gt;"""),"&lt;ruby&gt;凍&lt;rt&gt;こご&lt;/rt&gt;&lt;/ruby&gt;える&lt;br&gt;&lt;div class=""audio""&gt;[sound:こごえる.mp3]&lt;/div&gt;")</f>
        <v>&lt;ruby&gt;凍&lt;rt&gt;こご&lt;/rt&gt;&lt;/ruby&gt;える&lt;br&gt;&lt;div class="audio"&gt;[sound:こごえる.mp3]&lt;/div&gt;</v>
      </c>
      <c r="H6885" s="3" t="str">
        <f t="shared" si="1"/>
        <v>(v): đóng băng</v>
      </c>
      <c r="I6885" s="6" t="s">
        <v>37451</v>
      </c>
      <c r="J6885" s="6" t="s">
        <v>37452</v>
      </c>
      <c r="K6885" s="7">
        <f t="shared" si="2"/>
        <v>0.6039235464</v>
      </c>
    </row>
    <row r="6886">
      <c r="A6886" s="4">
        <v>6886.0</v>
      </c>
      <c r="B6886" s="5" t="s">
        <v>37453</v>
      </c>
      <c r="C6886" s="5" t="s">
        <v>13686</v>
      </c>
      <c r="D6886" s="5" t="s">
        <v>37454</v>
      </c>
      <c r="E6886" s="6" t="s">
        <v>24</v>
      </c>
      <c r="F6886" s="6" t="s">
        <v>37455</v>
      </c>
      <c r="G6886" s="3" t="str">
        <f>IFERROR(__xludf.DUMMYFUNCTION("REGEXREPLACE(
D6886,
""([一-龯々]+)\[([^\]]+)\]"",
""&lt;ruby&gt;$1&lt;rt&gt;$2&lt;/rt&gt;&lt;/ruby&gt;""
)&amp;""&lt;br&gt;&lt;div class=""""audio""""&gt;[sound:""&amp;C6886&amp;"".mp3]&lt;/div&gt;"""),"&lt;ruby&gt;卸&lt;rt&gt;おろ&lt;/rt&gt;&lt;/ruby&gt;す&lt;br&gt;&lt;div class=""audio""&gt;[sound:おろす.mp3]&lt;/div&gt;")</f>
        <v>&lt;ruby&gt;卸&lt;rt&gt;おろ&lt;/rt&gt;&lt;/ruby&gt;す&lt;br&gt;&lt;div class="audio"&gt;[sound:おろす.mp3]&lt;/div&gt;</v>
      </c>
      <c r="H6886" s="3" t="str">
        <f t="shared" si="1"/>
        <v>(v): bán buôn</v>
      </c>
      <c r="I6886" s="6" t="s">
        <v>37456</v>
      </c>
      <c r="J6886" s="6" t="s">
        <v>37457</v>
      </c>
      <c r="K6886" s="7">
        <f t="shared" si="2"/>
        <v>0.5220741442</v>
      </c>
    </row>
    <row r="6887">
      <c r="A6887" s="4">
        <v>6887.0</v>
      </c>
      <c r="B6887" s="5" t="s">
        <v>37458</v>
      </c>
      <c r="C6887" s="5" t="s">
        <v>29267</v>
      </c>
      <c r="D6887" s="5" t="s">
        <v>37459</v>
      </c>
      <c r="E6887" s="6" t="s">
        <v>74</v>
      </c>
      <c r="F6887" s="6" t="s">
        <v>37460</v>
      </c>
      <c r="G6887" s="3" t="str">
        <f>IFERROR(__xludf.DUMMYFUNCTION("REGEXREPLACE(
D6887,
""([一-龯々]+)\[([^\]]+)\]"",
""&lt;ruby&gt;$1&lt;rt&gt;$2&lt;/rt&gt;&lt;/ruby&gt;""
)&amp;""&lt;br&gt;&lt;div class=""""audio""""&gt;[sound:""&amp;C6887&amp;"".mp3]&lt;/div&gt;"""),"&lt;ruby&gt;字体&lt;rt&gt;じたい&lt;/rt&gt;&lt;/ruby&gt;&lt;br&gt;&lt;div class=""audio""&gt;[sound:じたい.mp3]&lt;/div&gt;")</f>
        <v>&lt;ruby&gt;字体&lt;rt&gt;じたい&lt;/rt&gt;&lt;/ruby&gt;&lt;br&gt;&lt;div class="audio"&gt;[sound:じたい.mp3]&lt;/div&gt;</v>
      </c>
      <c r="H6887" s="3" t="str">
        <f t="shared" si="1"/>
        <v>(n): kiểu chữ</v>
      </c>
      <c r="I6887" s="6" t="s">
        <v>37461</v>
      </c>
      <c r="J6887" s="6" t="s">
        <v>37462</v>
      </c>
      <c r="K6887" s="7">
        <f t="shared" si="2"/>
        <v>0.2891162542</v>
      </c>
    </row>
    <row r="6888">
      <c r="A6888" s="4">
        <v>6888.0</v>
      </c>
      <c r="B6888" s="5" t="s">
        <v>37463</v>
      </c>
      <c r="C6888" s="5" t="s">
        <v>17528</v>
      </c>
      <c r="D6888" s="5" t="s">
        <v>37464</v>
      </c>
      <c r="E6888" s="6" t="s">
        <v>74</v>
      </c>
      <c r="F6888" s="6" t="s">
        <v>37465</v>
      </c>
      <c r="G6888" s="3" t="str">
        <f>IFERROR(__xludf.DUMMYFUNCTION("REGEXREPLACE(
D6888,
""([一-龯々]+)\[([^\]]+)\]"",
""&lt;ruby&gt;$1&lt;rt&gt;$2&lt;/rt&gt;&lt;/ruby&gt;""
)&amp;""&lt;br&gt;&lt;div class=""""audio""""&gt;[sound:""&amp;C6888&amp;"".mp3]&lt;/div&gt;"""),"&lt;ruby&gt;霧&lt;rt&gt;きり&lt;/rt&gt;&lt;/ruby&gt;&lt;br&gt;&lt;div class=""audio""&gt;[sound:きり.mp3]&lt;/div&gt;")</f>
        <v>&lt;ruby&gt;霧&lt;rt&gt;きり&lt;/rt&gt;&lt;/ruby&gt;&lt;br&gt;&lt;div class="audio"&gt;[sound:きり.mp3]&lt;/div&gt;</v>
      </c>
      <c r="H6888" s="3" t="str">
        <f t="shared" si="1"/>
        <v>(n): sương mù</v>
      </c>
      <c r="I6888" s="6" t="s">
        <v>37466</v>
      </c>
      <c r="J6888" s="6" t="s">
        <v>37467</v>
      </c>
      <c r="K6888" s="7">
        <f t="shared" si="2"/>
        <v>0.0888558161</v>
      </c>
    </row>
    <row r="6889">
      <c r="A6889" s="4">
        <v>6889.0</v>
      </c>
      <c r="B6889" s="5" t="s">
        <v>37468</v>
      </c>
      <c r="C6889" s="5" t="s">
        <v>37469</v>
      </c>
      <c r="D6889" s="5" t="s">
        <v>37470</v>
      </c>
      <c r="E6889" s="6" t="s">
        <v>74</v>
      </c>
      <c r="F6889" s="6" t="s">
        <v>37471</v>
      </c>
      <c r="G6889" s="3" t="str">
        <f>IFERROR(__xludf.DUMMYFUNCTION("REGEXREPLACE(
D6889,
""([一-龯々]+)\[([^\]]+)\]"",
""&lt;ruby&gt;$1&lt;rt&gt;$2&lt;/rt&gt;&lt;/ruby&gt;""
)&amp;""&lt;br&gt;&lt;div class=""""audio""""&gt;[sound:""&amp;C6889&amp;"".mp3]&lt;/div&gt;"""),"&lt;ruby&gt;消防署&lt;rt&gt;しょうぼうしょ&lt;/rt&gt;&lt;/ruby&gt;&lt;br&gt;&lt;div class=""audio""&gt;[sound:しょうぼうしょ.mp3]&lt;/div&gt;")</f>
        <v>&lt;ruby&gt;消防署&lt;rt&gt;しょうぼうしょ&lt;/rt&gt;&lt;/ruby&gt;&lt;br&gt;&lt;div class="audio"&gt;[sound:しょうぼうしょ.mp3]&lt;/div&gt;</v>
      </c>
      <c r="H6889" s="3" t="str">
        <f t="shared" si="1"/>
        <v>(n): trạm cứu hỏa</v>
      </c>
      <c r="I6889" s="6" t="s">
        <v>37472</v>
      </c>
      <c r="J6889" s="6" t="s">
        <v>37473</v>
      </c>
      <c r="K6889" s="7">
        <f t="shared" si="2"/>
        <v>0.7605094958</v>
      </c>
    </row>
    <row r="6890">
      <c r="A6890" s="4">
        <v>6890.0</v>
      </c>
      <c r="B6890" s="5" t="s">
        <v>37474</v>
      </c>
      <c r="C6890" s="5" t="s">
        <v>15855</v>
      </c>
      <c r="D6890" s="5" t="s">
        <v>37475</v>
      </c>
      <c r="E6890" s="6" t="s">
        <v>74</v>
      </c>
      <c r="F6890" s="6" t="s">
        <v>37476</v>
      </c>
      <c r="G6890" s="3" t="str">
        <f>IFERROR(__xludf.DUMMYFUNCTION("REGEXREPLACE(
D6890,
""([一-龯々]+)\[([^\]]+)\]"",
""&lt;ruby&gt;$1&lt;rt&gt;$2&lt;/rt&gt;&lt;/ruby&gt;""
)&amp;""&lt;br&gt;&lt;div class=""""audio""""&gt;[sound:""&amp;C6890&amp;"".mp3]&lt;/div&gt;"""),"&lt;ruby&gt;原始&lt;rt&gt;げんし&lt;/rt&gt;&lt;/ruby&gt;&lt;br&gt;&lt;div class=""audio""&gt;[sound:げんし.mp3]&lt;/div&gt;")</f>
        <v>&lt;ruby&gt;原始&lt;rt&gt;げんし&lt;/rt&gt;&lt;/ruby&gt;&lt;br&gt;&lt;div class="audio"&gt;[sound:げんし.mp3]&lt;/div&gt;</v>
      </c>
      <c r="H6890" s="3" t="str">
        <f t="shared" si="1"/>
        <v>(n): nguyên thủy</v>
      </c>
      <c r="I6890" s="6" t="s">
        <v>37477</v>
      </c>
      <c r="J6890" s="6" t="s">
        <v>37478</v>
      </c>
      <c r="K6890" s="7">
        <f t="shared" si="2"/>
        <v>0.4306347154</v>
      </c>
    </row>
    <row r="6891">
      <c r="A6891" s="4">
        <v>6891.0</v>
      </c>
      <c r="B6891" s="5" t="s">
        <v>37479</v>
      </c>
      <c r="C6891" s="5" t="s">
        <v>37480</v>
      </c>
      <c r="D6891" s="5" t="s">
        <v>37481</v>
      </c>
      <c r="E6891" s="6" t="s">
        <v>74</v>
      </c>
      <c r="F6891" s="6" t="s">
        <v>37482</v>
      </c>
      <c r="G6891" s="3" t="str">
        <f>IFERROR(__xludf.DUMMYFUNCTION("REGEXREPLACE(
D6891,
""([一-龯々]+)\[([^\]]+)\]"",
""&lt;ruby&gt;$1&lt;rt&gt;$2&lt;/rt&gt;&lt;/ruby&gt;""
)&amp;""&lt;br&gt;&lt;div class=""""audio""""&gt;[sound:""&amp;C6891&amp;"".mp3]&lt;/div&gt;"""),"&lt;ruby&gt;月給&lt;rt&gt;げっきゅう&lt;/rt&gt;&lt;/ruby&gt;&lt;br&gt;&lt;div class=""audio""&gt;[sound:げっきゅう.mp3]&lt;/div&gt;")</f>
        <v>&lt;ruby&gt;月給&lt;rt&gt;げっきゅう&lt;/rt&gt;&lt;/ruby&gt;&lt;br&gt;&lt;div class="audio"&gt;[sound:げっきゅう.mp3]&lt;/div&gt;</v>
      </c>
      <c r="H6891" s="3" t="str">
        <f t="shared" si="1"/>
        <v>(n): lương tháng</v>
      </c>
      <c r="I6891" s="6" t="s">
        <v>37483</v>
      </c>
      <c r="J6891" s="6" t="s">
        <v>37484</v>
      </c>
      <c r="K6891" s="7">
        <f t="shared" si="2"/>
        <v>0.9117819784</v>
      </c>
    </row>
    <row r="6892">
      <c r="A6892" s="4">
        <v>6892.0</v>
      </c>
      <c r="B6892" s="5" t="s">
        <v>37485</v>
      </c>
      <c r="C6892" s="5" t="s">
        <v>37486</v>
      </c>
      <c r="D6892" s="5" t="s">
        <v>37487</v>
      </c>
      <c r="E6892" s="6" t="s">
        <v>74</v>
      </c>
      <c r="F6892" s="6" t="s">
        <v>37488</v>
      </c>
      <c r="G6892" s="3" t="str">
        <f>IFERROR(__xludf.DUMMYFUNCTION("REGEXREPLACE(
D6892,
""([一-龯々]+)\[([^\]]+)\]"",
""&lt;ruby&gt;$1&lt;rt&gt;$2&lt;/rt&gt;&lt;/ruby&gt;""
)&amp;""&lt;br&gt;&lt;div class=""""audio""""&gt;[sound:""&amp;C6892&amp;"".mp3]&lt;/div&gt;"""),"&lt;ruby&gt;糊&lt;rt&gt;のり&lt;/rt&gt;&lt;/ruby&gt;&lt;br&gt;&lt;div class=""audio""&gt;[sound:のり.mp3]&lt;/div&gt;")</f>
        <v>&lt;ruby&gt;糊&lt;rt&gt;のり&lt;/rt&gt;&lt;/ruby&gt;&lt;br&gt;&lt;div class="audio"&gt;[sound:のり.mp3]&lt;/div&gt;</v>
      </c>
      <c r="H6892" s="3" t="str">
        <f t="shared" si="1"/>
        <v>(n): hồ dán</v>
      </c>
      <c r="I6892" s="6" t="s">
        <v>37489</v>
      </c>
      <c r="J6892" s="6" t="s">
        <v>37490</v>
      </c>
      <c r="K6892" s="7">
        <f t="shared" si="2"/>
        <v>0.8925092442</v>
      </c>
    </row>
    <row r="6893">
      <c r="A6893" s="4">
        <v>6893.0</v>
      </c>
      <c r="B6893" s="5" t="s">
        <v>37491</v>
      </c>
      <c r="C6893" s="5" t="s">
        <v>37492</v>
      </c>
      <c r="D6893" s="5" t="s">
        <v>37493</v>
      </c>
      <c r="E6893" s="6" t="s">
        <v>11</v>
      </c>
      <c r="F6893" s="6" t="s">
        <v>4036</v>
      </c>
      <c r="G6893" s="3" t="str">
        <f>IFERROR(__xludf.DUMMYFUNCTION("REGEXREPLACE(
D6893,
""([一-龯々]+)\[([^\]]+)\]"",
""&lt;ruby&gt;$1&lt;rt&gt;$2&lt;/rt&gt;&lt;/ruby&gt;""
)&amp;""&lt;br&gt;&lt;div class=""""audio""""&gt;[sound:""&amp;C6893&amp;"".mp3]&lt;/div&gt;"""),"&lt;ruby&gt;騒々&lt;rt&gt;そうぞう&lt;/rt&gt;&lt;/ruby&gt;しい&lt;br&gt;&lt;div class=""audio""&gt;[sound:そうぞうしい.mp3]&lt;/div&gt;")</f>
        <v>&lt;ruby&gt;騒々&lt;rt&gt;そうぞう&lt;/rt&gt;&lt;/ruby&gt;しい&lt;br&gt;&lt;div class="audio"&gt;[sound:そうぞうしい.mp3]&lt;/div&gt;</v>
      </c>
      <c r="H6893" s="3" t="str">
        <f t="shared" si="1"/>
        <v>(adj): ồn ào</v>
      </c>
      <c r="I6893" s="6" t="s">
        <v>37494</v>
      </c>
      <c r="J6893" s="6" t="s">
        <v>37495</v>
      </c>
      <c r="K6893" s="7">
        <f t="shared" si="2"/>
        <v>0.8448744223</v>
      </c>
    </row>
    <row r="6894">
      <c r="A6894" s="4">
        <v>6894.0</v>
      </c>
      <c r="B6894" s="5" t="s">
        <v>37496</v>
      </c>
      <c r="C6894" s="5" t="s">
        <v>37497</v>
      </c>
      <c r="D6894" s="5" t="s">
        <v>37498</v>
      </c>
      <c r="E6894" s="6" t="s">
        <v>11</v>
      </c>
      <c r="F6894" s="6" t="s">
        <v>37499</v>
      </c>
      <c r="G6894" s="3" t="str">
        <f>IFERROR(__xludf.DUMMYFUNCTION("REGEXREPLACE(
D6894,
""([一-龯々]+)\[([^\]]+)\]"",
""&lt;ruby&gt;$1&lt;rt&gt;$2&lt;/rt&gt;&lt;/ruby&gt;""
)&amp;""&lt;br&gt;&lt;div class=""""audio""""&gt;[sound:""&amp;C6894&amp;"".mp3]&lt;/div&gt;"""),"&lt;ruby&gt;粗&lt;rt&gt;あら&lt;/rt&gt;&lt;/ruby&gt;&lt;br&gt;&lt;div class=""audio""&gt;[sound:あら.mp3]&lt;/div&gt;")</f>
        <v>&lt;ruby&gt;粗&lt;rt&gt;あら&lt;/rt&gt;&lt;/ruby&gt;&lt;br&gt;&lt;div class="audio"&gt;[sound:あら.mp3]&lt;/div&gt;</v>
      </c>
      <c r="H6894" s="3" t="str">
        <f t="shared" si="1"/>
        <v>(adj): thô</v>
      </c>
      <c r="I6894" s="6" t="s">
        <v>37500</v>
      </c>
      <c r="J6894" s="6" t="s">
        <v>37501</v>
      </c>
      <c r="K6894" s="7">
        <f t="shared" si="2"/>
        <v>0.2293495101</v>
      </c>
    </row>
    <row r="6895">
      <c r="A6895" s="4">
        <v>6895.0</v>
      </c>
      <c r="B6895" s="5" t="s">
        <v>37502</v>
      </c>
      <c r="C6895" s="5" t="s">
        <v>37503</v>
      </c>
      <c r="D6895" s="5" t="s">
        <v>37504</v>
      </c>
      <c r="E6895" s="6" t="s">
        <v>74</v>
      </c>
      <c r="F6895" s="6" t="s">
        <v>37505</v>
      </c>
      <c r="G6895" s="3" t="str">
        <f>IFERROR(__xludf.DUMMYFUNCTION("REGEXREPLACE(
D6895,
""([一-龯々]+)\[([^\]]+)\]"",
""&lt;ruby&gt;$1&lt;rt&gt;$2&lt;/rt&gt;&lt;/ruby&gt;""
)&amp;""&lt;br&gt;&lt;div class=""""audio""""&gt;[sound:""&amp;C6895&amp;"".mp3]&lt;/div&gt;"""),"&lt;ruby&gt;純情&lt;rt&gt;じゅんじょう&lt;/rt&gt;&lt;/ruby&gt;&lt;br&gt;&lt;div class=""audio""&gt;[sound:じゅんじょう.mp3]&lt;/div&gt;")</f>
        <v>&lt;ruby&gt;純情&lt;rt&gt;じゅんじょう&lt;/rt&gt;&lt;/ruby&gt;&lt;br&gt;&lt;div class="audio"&gt;[sound:じゅんじょう.mp3]&lt;/div&gt;</v>
      </c>
      <c r="H6895" s="3" t="str">
        <f t="shared" si="1"/>
        <v>(n): thuần khiết</v>
      </c>
      <c r="I6895" s="6" t="s">
        <v>37506</v>
      </c>
      <c r="J6895" s="6" t="s">
        <v>37507</v>
      </c>
      <c r="K6895" s="7">
        <f t="shared" si="2"/>
        <v>0.9961466491</v>
      </c>
    </row>
    <row r="6896">
      <c r="A6896" s="4">
        <v>6896.0</v>
      </c>
      <c r="B6896" s="5" t="s">
        <v>37508</v>
      </c>
      <c r="C6896" s="5" t="s">
        <v>37509</v>
      </c>
      <c r="D6896" s="5" t="s">
        <v>37510</v>
      </c>
      <c r="E6896" s="6" t="s">
        <v>74</v>
      </c>
      <c r="F6896" s="6" t="s">
        <v>37511</v>
      </c>
      <c r="G6896" s="3" t="str">
        <f>IFERROR(__xludf.DUMMYFUNCTION("REGEXREPLACE(
D6896,
""([一-龯々]+)\[([^\]]+)\]"",
""&lt;ruby&gt;$1&lt;rt&gt;$2&lt;/rt&gt;&lt;/ruby&gt;""
)&amp;""&lt;br&gt;&lt;div class=""""audio""""&gt;[sound:""&amp;C6896&amp;"".mp3]&lt;/div&gt;"""),"&lt;ruby&gt;電球&lt;rt&gt;でんきゅう&lt;/rt&gt;&lt;/ruby&gt;&lt;br&gt;&lt;div class=""audio""&gt;[sound:でんきゅう.mp3]&lt;/div&gt;")</f>
        <v>&lt;ruby&gt;電球&lt;rt&gt;でんきゅう&lt;/rt&gt;&lt;/ruby&gt;&lt;br&gt;&lt;div class="audio"&gt;[sound:でんきゅう.mp3]&lt;/div&gt;</v>
      </c>
      <c r="H6896" s="3" t="str">
        <f t="shared" si="1"/>
        <v>(n): bóng đèn</v>
      </c>
      <c r="I6896" s="6" t="s">
        <v>37512</v>
      </c>
      <c r="J6896" s="6" t="s">
        <v>37513</v>
      </c>
      <c r="K6896" s="7">
        <f t="shared" si="2"/>
        <v>0.8592376806</v>
      </c>
    </row>
    <row r="6897">
      <c r="A6897" s="4">
        <v>6897.0</v>
      </c>
      <c r="B6897" s="5" t="s">
        <v>37514</v>
      </c>
      <c r="C6897" s="5" t="s">
        <v>37515</v>
      </c>
      <c r="D6897" s="5" t="s">
        <v>37516</v>
      </c>
      <c r="E6897" s="6" t="s">
        <v>74</v>
      </c>
      <c r="F6897" s="6" t="s">
        <v>22682</v>
      </c>
      <c r="G6897" s="3" t="str">
        <f>IFERROR(__xludf.DUMMYFUNCTION("REGEXREPLACE(
D6897,
""([一-龯々]+)\[([^\]]+)\]"",
""&lt;ruby&gt;$1&lt;rt&gt;$2&lt;/rt&gt;&lt;/ruby&gt;""
)&amp;""&lt;br&gt;&lt;div class=""""audio""""&gt;[sound:""&amp;C6897&amp;"".mp3]&lt;/div&gt;"""),"&lt;ruby&gt;修繕&lt;rt&gt;しゅうぜん&lt;/rt&gt;&lt;/ruby&gt;&lt;br&gt;&lt;div class=""audio""&gt;[sound:しゅうぜん.mp3]&lt;/div&gt;")</f>
        <v>&lt;ruby&gt;修繕&lt;rt&gt;しゅうぜん&lt;/rt&gt;&lt;/ruby&gt;&lt;br&gt;&lt;div class="audio"&gt;[sound:しゅうぜん.mp3]&lt;/div&gt;</v>
      </c>
      <c r="H6897" s="3" t="str">
        <f t="shared" si="1"/>
        <v>(n): tu sửa</v>
      </c>
      <c r="I6897" s="6" t="s">
        <v>37517</v>
      </c>
      <c r="J6897" s="6" t="s">
        <v>37518</v>
      </c>
      <c r="K6897" s="7">
        <f t="shared" si="2"/>
        <v>0.2716408889</v>
      </c>
    </row>
    <row r="6898">
      <c r="A6898" s="4">
        <v>6898.0</v>
      </c>
      <c r="B6898" s="5" t="s">
        <v>37519</v>
      </c>
      <c r="C6898" s="5" t="s">
        <v>37520</v>
      </c>
      <c r="D6898" s="5" t="s">
        <v>37521</v>
      </c>
      <c r="E6898" s="6" t="s">
        <v>74</v>
      </c>
      <c r="F6898" s="6" t="s">
        <v>37522</v>
      </c>
      <c r="G6898" s="3" t="str">
        <f>IFERROR(__xludf.DUMMYFUNCTION("REGEXREPLACE(
D6898,
""([一-龯々]+)\[([^\]]+)\]"",
""&lt;ruby&gt;$1&lt;rt&gt;$2&lt;/rt&gt;&lt;/ruby&gt;""
)&amp;""&lt;br&gt;&lt;div class=""""audio""""&gt;[sound:""&amp;C6898&amp;"".mp3]&lt;/div&gt;"""),"&lt;ruby&gt;内線&lt;rt&gt;ないせん&lt;/rt&gt;&lt;/ruby&gt;&lt;br&gt;&lt;div class=""audio""&gt;[sound:ないせん.mp3]&lt;/div&gt;")</f>
        <v>&lt;ruby&gt;内線&lt;rt&gt;ないせん&lt;/rt&gt;&lt;/ruby&gt;&lt;br&gt;&lt;div class="audio"&gt;[sound:ないせん.mp3]&lt;/div&gt;</v>
      </c>
      <c r="H6898" s="3" t="str">
        <f t="shared" si="1"/>
        <v>(n): máy lẻ</v>
      </c>
      <c r="I6898" s="6" t="s">
        <v>37523</v>
      </c>
      <c r="J6898" s="6" t="s">
        <v>37524</v>
      </c>
      <c r="K6898" s="7">
        <f t="shared" si="2"/>
        <v>0.6040887615</v>
      </c>
    </row>
    <row r="6899">
      <c r="A6899" s="4">
        <v>6899.0</v>
      </c>
      <c r="B6899" s="5" t="s">
        <v>37525</v>
      </c>
      <c r="C6899" s="5" t="s">
        <v>37526</v>
      </c>
      <c r="D6899" s="5" t="s">
        <v>37527</v>
      </c>
      <c r="E6899" s="6" t="s">
        <v>74</v>
      </c>
      <c r="F6899" s="6" t="s">
        <v>37528</v>
      </c>
      <c r="G6899" s="3" t="str">
        <f>IFERROR(__xludf.DUMMYFUNCTION("REGEXREPLACE(
D6899,
""([一-龯々]+)\[([^\]]+)\]"",
""&lt;ruby&gt;$1&lt;rt&gt;$2&lt;/rt&gt;&lt;/ruby&gt;""
)&amp;""&lt;br&gt;&lt;div class=""""audio""""&gt;[sound:""&amp;C6899&amp;"".mp3]&lt;/div&gt;"""),"&lt;ruby&gt;湿気&lt;rt&gt;しっけ&lt;/rt&gt;&lt;/ruby&gt;&lt;br&gt;&lt;div class=""audio""&gt;[sound:しっけ.mp3]&lt;/div&gt;")</f>
        <v>&lt;ruby&gt;湿気&lt;rt&gt;しっけ&lt;/rt&gt;&lt;/ruby&gt;&lt;br&gt;&lt;div class="audio"&gt;[sound:しっけ.mp3]&lt;/div&gt;</v>
      </c>
      <c r="H6899" s="3" t="str">
        <f t="shared" si="1"/>
        <v>(n): hơi ẩm</v>
      </c>
      <c r="I6899" s="6" t="s">
        <v>37529</v>
      </c>
      <c r="J6899" s="6" t="s">
        <v>37530</v>
      </c>
      <c r="K6899" s="7">
        <f t="shared" si="2"/>
        <v>0.4872501875</v>
      </c>
    </row>
    <row r="6900">
      <c r="A6900" s="4">
        <v>6900.0</v>
      </c>
      <c r="B6900" s="5" t="s">
        <v>37531</v>
      </c>
      <c r="C6900" s="5" t="s">
        <v>6213</v>
      </c>
      <c r="D6900" s="5" t="s">
        <v>37532</v>
      </c>
      <c r="E6900" s="6" t="s">
        <v>74</v>
      </c>
      <c r="F6900" s="6" t="s">
        <v>37533</v>
      </c>
      <c r="G6900" s="3" t="str">
        <f>IFERROR(__xludf.DUMMYFUNCTION("REGEXREPLACE(
D6900,
""([一-龯々]+)\[([^\]]+)\]"",
""&lt;ruby&gt;$1&lt;rt&gt;$2&lt;/rt&gt;&lt;/ruby&gt;""
)&amp;""&lt;br&gt;&lt;div class=""""audio""""&gt;[sound:""&amp;C6900&amp;"".mp3]&lt;/div&gt;"""),"&lt;ruby&gt;飴&lt;rt&gt;あめ&lt;/rt&gt;&lt;/ruby&gt;&lt;br&gt;&lt;div class=""audio""&gt;[sound:あめ.mp3]&lt;/div&gt;")</f>
        <v>&lt;ruby&gt;飴&lt;rt&gt;あめ&lt;/rt&gt;&lt;/ruby&gt;&lt;br&gt;&lt;div class="audio"&gt;[sound:あめ.mp3]&lt;/div&gt;</v>
      </c>
      <c r="H6900" s="3" t="str">
        <f t="shared" si="1"/>
        <v>(n): kẹo</v>
      </c>
      <c r="I6900" s="6" t="s">
        <v>37534</v>
      </c>
      <c r="J6900" s="6" t="s">
        <v>37535</v>
      </c>
      <c r="K6900" s="7">
        <f t="shared" si="2"/>
        <v>0.7205614893</v>
      </c>
    </row>
    <row r="6901">
      <c r="A6901" s="4">
        <v>6901.0</v>
      </c>
      <c r="B6901" s="5" t="s">
        <v>37536</v>
      </c>
      <c r="C6901" s="5" t="s">
        <v>37537</v>
      </c>
      <c r="D6901" s="5" t="s">
        <v>37538</v>
      </c>
      <c r="E6901" s="6" t="s">
        <v>74</v>
      </c>
      <c r="F6901" s="6" t="s">
        <v>37539</v>
      </c>
      <c r="G6901" s="3" t="str">
        <f>IFERROR(__xludf.DUMMYFUNCTION("REGEXREPLACE(
D6901,
""([一-龯々]+)\[([^\]]+)\]"",
""&lt;ruby&gt;$1&lt;rt&gt;$2&lt;/rt&gt;&lt;/ruby&gt;""
)&amp;""&lt;br&gt;&lt;div class=""""audio""""&gt;[sound:""&amp;C6901&amp;"".mp3]&lt;/div&gt;"""),"&lt;ruby&gt;好&lt;rt&gt;す&lt;/rt&gt;&lt;/ruby&gt;き&lt;ruby&gt;好&lt;rt&gt;ず&lt;/rt&gt;&lt;/ruby&gt;き&lt;br&gt;&lt;div class=""audio""&gt;[sound:すきずき.mp3]&lt;/div&gt;")</f>
        <v>&lt;ruby&gt;好&lt;rt&gt;す&lt;/rt&gt;&lt;/ruby&gt;き&lt;ruby&gt;好&lt;rt&gt;ず&lt;/rt&gt;&lt;/ruby&gt;き&lt;br&gt;&lt;div class="audio"&gt;[sound:すきずき.mp3]&lt;/div&gt;</v>
      </c>
      <c r="H6901" s="3" t="str">
        <f t="shared" si="1"/>
        <v>(n): tùy sở thích</v>
      </c>
      <c r="I6901" s="6" t="s">
        <v>37540</v>
      </c>
      <c r="J6901" s="6" t="s">
        <v>37541</v>
      </c>
      <c r="K6901" s="7">
        <f t="shared" si="2"/>
        <v>0.9003622524</v>
      </c>
    </row>
    <row r="6902">
      <c r="A6902" s="4">
        <v>6902.0</v>
      </c>
      <c r="B6902" s="5" t="s">
        <v>37542</v>
      </c>
      <c r="C6902" s="5" t="s">
        <v>37543</v>
      </c>
      <c r="D6902" s="5" t="s">
        <v>37544</v>
      </c>
      <c r="E6902" s="6" t="s">
        <v>74</v>
      </c>
      <c r="F6902" s="6" t="s">
        <v>37545</v>
      </c>
      <c r="G6902" s="3" t="str">
        <f>IFERROR(__xludf.DUMMYFUNCTION("REGEXREPLACE(
D6902,
""([一-龯々]+)\[([^\]]+)\]"",
""&lt;ruby&gt;$1&lt;rt&gt;$2&lt;/rt&gt;&lt;/ruby&gt;""
)&amp;""&lt;br&gt;&lt;div class=""""audio""""&gt;[sound:""&amp;C6902&amp;"".mp3]&lt;/div&gt;"""),"&lt;ruby&gt;兵隊&lt;rt&gt;へいたい&lt;/rt&gt;&lt;/ruby&gt;&lt;br&gt;&lt;div class=""audio""&gt;[sound:へいたい.mp3]&lt;/div&gt;")</f>
        <v>&lt;ruby&gt;兵隊&lt;rt&gt;へいたい&lt;/rt&gt;&lt;/ruby&gt;&lt;br&gt;&lt;div class="audio"&gt;[sound:へいたい.mp3]&lt;/div&gt;</v>
      </c>
      <c r="H6902" s="3" t="str">
        <f t="shared" si="1"/>
        <v>(n): người lính</v>
      </c>
      <c r="I6902" s="6" t="s">
        <v>37546</v>
      </c>
      <c r="J6902" s="6" t="s">
        <v>37547</v>
      </c>
      <c r="K6902" s="7">
        <f t="shared" si="2"/>
        <v>0.932407591</v>
      </c>
    </row>
    <row r="6903">
      <c r="A6903" s="4">
        <v>6903.0</v>
      </c>
      <c r="B6903" s="5" t="s">
        <v>37548</v>
      </c>
      <c r="C6903" s="5" t="s">
        <v>37549</v>
      </c>
      <c r="D6903" s="5" t="s">
        <v>37550</v>
      </c>
      <c r="E6903" s="6" t="s">
        <v>11</v>
      </c>
      <c r="F6903" s="6" t="s">
        <v>17480</v>
      </c>
      <c r="G6903" s="3" t="str">
        <f>IFERROR(__xludf.DUMMYFUNCTION("REGEXREPLACE(
D6903,
""([一-龯々]+)\[([^\]]+)\]"",
""&lt;ruby&gt;$1&lt;rt&gt;$2&lt;/rt&gt;&lt;/ruby&gt;""
)&amp;""&lt;br&gt;&lt;div class=""""audio""""&gt;[sound:""&amp;C6903&amp;"".mp3]&lt;/div&gt;"""),"&lt;ruby&gt;利口&lt;rt&gt;りこう&lt;/rt&gt;&lt;/ruby&gt;&lt;br&gt;&lt;div class=""audio""&gt;[sound:りこう.mp3]&lt;/div&gt;")</f>
        <v>&lt;ruby&gt;利口&lt;rt&gt;りこう&lt;/rt&gt;&lt;/ruby&gt;&lt;br&gt;&lt;div class="audio"&gt;[sound:りこう.mp3]&lt;/div&gt;</v>
      </c>
      <c r="H6903" s="3" t="str">
        <f t="shared" si="1"/>
        <v>(adj): thông minh</v>
      </c>
      <c r="I6903" s="6" t="s">
        <v>37551</v>
      </c>
      <c r="J6903" s="6" t="s">
        <v>37552</v>
      </c>
      <c r="K6903" s="7">
        <f t="shared" si="2"/>
        <v>0.5437328432</v>
      </c>
    </row>
    <row r="6904">
      <c r="A6904" s="4">
        <v>6904.0</v>
      </c>
      <c r="B6904" s="5" t="s">
        <v>37553</v>
      </c>
      <c r="C6904" s="5" t="s">
        <v>17875</v>
      </c>
      <c r="D6904" s="5" t="s">
        <v>37554</v>
      </c>
      <c r="E6904" s="6" t="s">
        <v>74</v>
      </c>
      <c r="F6904" s="6" t="s">
        <v>37555</v>
      </c>
      <c r="G6904" s="3" t="str">
        <f>IFERROR(__xludf.DUMMYFUNCTION("REGEXREPLACE(
D6904,
""([一-龯々]+)\[([^\]]+)\]"",
""&lt;ruby&gt;$1&lt;rt&gt;$2&lt;/rt&gt;&lt;/ruby&gt;""
)&amp;""&lt;br&gt;&lt;div class=""""audio""""&gt;[sound:""&amp;C6904&amp;"".mp3]&lt;/div&gt;"""),"&lt;ruby&gt;荒廃&lt;rt&gt;こうはい&lt;/rt&gt;&lt;/ruby&gt;&lt;br&gt;&lt;div class=""audio""&gt;[sound:こうはい.mp3]&lt;/div&gt;")</f>
        <v>&lt;ruby&gt;荒廃&lt;rt&gt;こうはい&lt;/rt&gt;&lt;/ruby&gt;&lt;br&gt;&lt;div class="audio"&gt;[sound:こうはい.mp3]&lt;/div&gt;</v>
      </c>
      <c r="H6904" s="3" t="str">
        <f t="shared" si="1"/>
        <v>(n): hoang tàn</v>
      </c>
      <c r="I6904" s="6" t="s">
        <v>37556</v>
      </c>
      <c r="J6904" s="6" t="s">
        <v>37557</v>
      </c>
      <c r="K6904" s="7">
        <f t="shared" si="2"/>
        <v>0.1228148438</v>
      </c>
    </row>
    <row r="6905">
      <c r="A6905" s="4">
        <v>6905.0</v>
      </c>
      <c r="B6905" s="5" t="s">
        <v>37558</v>
      </c>
      <c r="C6905" s="5" t="s">
        <v>37559</v>
      </c>
      <c r="D6905" s="5" t="s">
        <v>37560</v>
      </c>
      <c r="E6905" s="6" t="s">
        <v>11</v>
      </c>
      <c r="F6905" s="6" t="s">
        <v>28912</v>
      </c>
      <c r="G6905" s="3" t="str">
        <f>IFERROR(__xludf.DUMMYFUNCTION("REGEXREPLACE(
D6905,
""([一-龯々]+)\[([^\]]+)\]"",
""&lt;ruby&gt;$1&lt;rt&gt;$2&lt;/rt&gt;&lt;/ruby&gt;""
)&amp;""&lt;br&gt;&lt;div class=""""audio""""&gt;[sound:""&amp;C6905&amp;"".mp3]&lt;/div&gt;"""),"&lt;ruby&gt;鈍&lt;rt&gt;にぶ&lt;/rt&gt;&lt;/ruby&gt;い&lt;br&gt;&lt;div class=""audio""&gt;[sound:にぶい.mp3]&lt;/div&gt;")</f>
        <v>&lt;ruby&gt;鈍&lt;rt&gt;にぶ&lt;/rt&gt;&lt;/ruby&gt;い&lt;br&gt;&lt;div class="audio"&gt;[sound:にぶい.mp3]&lt;/div&gt;</v>
      </c>
      <c r="H6905" s="3" t="str">
        <f t="shared" si="1"/>
        <v>(adj): chậm chạp</v>
      </c>
      <c r="I6905" s="6" t="s">
        <v>37561</v>
      </c>
      <c r="J6905" s="6" t="s">
        <v>37562</v>
      </c>
      <c r="K6905" s="7">
        <f t="shared" si="2"/>
        <v>0.9113810503</v>
      </c>
    </row>
    <row r="6906">
      <c r="A6906" s="4">
        <v>6906.0</v>
      </c>
      <c r="B6906" s="5" t="s">
        <v>37563</v>
      </c>
      <c r="C6906" s="5" t="s">
        <v>37564</v>
      </c>
      <c r="D6906" s="5" t="s">
        <v>37565</v>
      </c>
      <c r="E6906" s="6" t="s">
        <v>74</v>
      </c>
      <c r="F6906" s="6" t="s">
        <v>37566</v>
      </c>
      <c r="G6906" s="3" t="str">
        <f>IFERROR(__xludf.DUMMYFUNCTION("REGEXREPLACE(
D6906,
""([一-龯々]+)\[([^\]]+)\]"",
""&lt;ruby&gt;$1&lt;rt&gt;$2&lt;/rt&gt;&lt;/ruby&gt;""
)&amp;""&lt;br&gt;&lt;div class=""""audio""""&gt;[sound:""&amp;C6906&amp;"".mp3]&lt;/div&gt;"""),"&lt;ruby&gt;片仮名&lt;rt&gt;かたかな&lt;/rt&gt;&lt;/ruby&gt;&lt;br&gt;&lt;div class=""audio""&gt;[sound:かたかな.mp3]&lt;/div&gt;")</f>
        <v>&lt;ruby&gt;片仮名&lt;rt&gt;かたかな&lt;/rt&gt;&lt;/ruby&gt;&lt;br&gt;&lt;div class="audio"&gt;[sound:かたかな.mp3]&lt;/div&gt;</v>
      </c>
      <c r="H6906" s="3" t="str">
        <f t="shared" si="1"/>
        <v>(n): katakana</v>
      </c>
      <c r="I6906" s="6" t="s">
        <v>37567</v>
      </c>
      <c r="J6906" s="6" t="s">
        <v>37568</v>
      </c>
      <c r="K6906" s="7">
        <f t="shared" si="2"/>
        <v>0.3838312062</v>
      </c>
    </row>
    <row r="6907">
      <c r="A6907" s="4">
        <v>6907.0</v>
      </c>
      <c r="B6907" s="5" t="s">
        <v>37569</v>
      </c>
      <c r="C6907" s="5" t="s">
        <v>37570</v>
      </c>
      <c r="D6907" s="5" t="s">
        <v>37571</v>
      </c>
      <c r="E6907" s="6" t="s">
        <v>74</v>
      </c>
      <c r="F6907" s="6" t="s">
        <v>4869</v>
      </c>
      <c r="G6907" s="3" t="str">
        <f>IFERROR(__xludf.DUMMYFUNCTION("REGEXREPLACE(
D6907,
""([一-龯々]+)\[([^\]]+)\]"",
""&lt;ruby&gt;$1&lt;rt&gt;$2&lt;/rt&gt;&lt;/ruby&gt;""
)&amp;""&lt;br&gt;&lt;div class=""""audio""""&gt;[sound:""&amp;C6907&amp;"".mp3]&lt;/div&gt;"""),"&lt;ruby&gt;飛行場&lt;rt&gt;ひこうじょう&lt;/rt&gt;&lt;/ruby&gt;&lt;br&gt;&lt;div class=""audio""&gt;[sound:ひこうじょう.mp3]&lt;/div&gt;")</f>
        <v>&lt;ruby&gt;飛行場&lt;rt&gt;ひこうじょう&lt;/rt&gt;&lt;/ruby&gt;&lt;br&gt;&lt;div class="audio"&gt;[sound:ひこうじょう.mp3]&lt;/div&gt;</v>
      </c>
      <c r="H6907" s="3" t="str">
        <f t="shared" si="1"/>
        <v>(n): sân bay</v>
      </c>
      <c r="I6907" s="6" t="s">
        <v>37572</v>
      </c>
      <c r="J6907" s="6" t="s">
        <v>37573</v>
      </c>
      <c r="K6907" s="7">
        <f t="shared" si="2"/>
        <v>0.2347638785</v>
      </c>
    </row>
    <row r="6908">
      <c r="A6908" s="4">
        <v>6908.0</v>
      </c>
      <c r="B6908" s="5" t="s">
        <v>37574</v>
      </c>
      <c r="C6908" s="5" t="s">
        <v>37575</v>
      </c>
      <c r="D6908" s="5" t="s">
        <v>37576</v>
      </c>
      <c r="E6908" s="6" t="s">
        <v>74</v>
      </c>
      <c r="F6908" s="6" t="s">
        <v>37577</v>
      </c>
      <c r="G6908" s="3" t="str">
        <f>IFERROR(__xludf.DUMMYFUNCTION("REGEXREPLACE(
D6908,
""([一-龯々]+)\[([^\]]+)\]"",
""&lt;ruby&gt;$1&lt;rt&gt;$2&lt;/rt&gt;&lt;/ruby&gt;""
)&amp;""&lt;br&gt;&lt;div class=""""audio""""&gt;[sound:""&amp;C6908&amp;"".mp3]&lt;/div&gt;"""),"&lt;ruby&gt;体積&lt;rt&gt;たいせき&lt;/rt&gt;&lt;/ruby&gt;&lt;br&gt;&lt;div class=""audio""&gt;[sound:たいせき.mp3]&lt;/div&gt;")</f>
        <v>&lt;ruby&gt;体積&lt;rt&gt;たいせき&lt;/rt&gt;&lt;/ruby&gt;&lt;br&gt;&lt;div class="audio"&gt;[sound:たいせき.mp3]&lt;/div&gt;</v>
      </c>
      <c r="H6908" s="3" t="str">
        <f t="shared" si="1"/>
        <v>(n): thể tích</v>
      </c>
      <c r="I6908" s="6" t="s">
        <v>37578</v>
      </c>
      <c r="J6908" s="6" t="s">
        <v>37579</v>
      </c>
      <c r="K6908" s="7">
        <f t="shared" si="2"/>
        <v>0.8794984997</v>
      </c>
    </row>
    <row r="6909">
      <c r="A6909" s="4">
        <v>6909.0</v>
      </c>
      <c r="B6909" s="5" t="s">
        <v>37580</v>
      </c>
      <c r="C6909" s="5" t="s">
        <v>37581</v>
      </c>
      <c r="D6909" s="5" t="s">
        <v>37582</v>
      </c>
      <c r="E6909" s="6" t="s">
        <v>74</v>
      </c>
      <c r="F6909" s="6" t="s">
        <v>37583</v>
      </c>
      <c r="G6909" s="3" t="str">
        <f>IFERROR(__xludf.DUMMYFUNCTION("REGEXREPLACE(
D6909,
""([一-龯々]+)\[([^\]]+)\]"",
""&lt;ruby&gt;$1&lt;rt&gt;$2&lt;/rt&gt;&lt;/ruby&gt;""
)&amp;""&lt;br&gt;&lt;div class=""""audio""""&gt;[sound:""&amp;C6909&amp;"".mp3]&lt;/div&gt;"""),"&lt;ruby&gt;列島&lt;rt&gt;れっとう&lt;/rt&gt;&lt;/ruby&gt;&lt;br&gt;&lt;div class=""audio""&gt;[sound:れっとう.mp3]&lt;/div&gt;")</f>
        <v>&lt;ruby&gt;列島&lt;rt&gt;れっとう&lt;/rt&gt;&lt;/ruby&gt;&lt;br&gt;&lt;div class="audio"&gt;[sound:れっとう.mp3]&lt;/div&gt;</v>
      </c>
      <c r="H6909" s="3" t="str">
        <f t="shared" si="1"/>
        <v>(n): quần đảo</v>
      </c>
      <c r="I6909" s="6" t="s">
        <v>37584</v>
      </c>
      <c r="J6909" s="6" t="s">
        <v>37585</v>
      </c>
      <c r="K6909" s="7">
        <f t="shared" si="2"/>
        <v>0.7630750807</v>
      </c>
    </row>
    <row r="6910">
      <c r="A6910" s="4">
        <v>6910.0</v>
      </c>
      <c r="B6910" s="5" t="s">
        <v>37586</v>
      </c>
      <c r="C6910" s="5" t="s">
        <v>37587</v>
      </c>
      <c r="D6910" s="5" t="s">
        <v>37588</v>
      </c>
      <c r="E6910" s="6" t="s">
        <v>74</v>
      </c>
      <c r="F6910" s="6" t="s">
        <v>37589</v>
      </c>
      <c r="G6910" s="3" t="str">
        <f>IFERROR(__xludf.DUMMYFUNCTION("REGEXREPLACE(
D6910,
""([一-龯々]+)\[([^\]]+)\]"",
""&lt;ruby&gt;$1&lt;rt&gt;$2&lt;/rt&gt;&lt;/ruby&gt;""
)&amp;""&lt;br&gt;&lt;div class=""""audio""""&gt;[sound:""&amp;C6910&amp;"".mp3]&lt;/div&gt;"""),"&lt;ruby&gt;羊毛&lt;rt&gt;ようもう&lt;/rt&gt;&lt;/ruby&gt;&lt;br&gt;&lt;div class=""audio""&gt;[sound:ようもう.mp3]&lt;/div&gt;")</f>
        <v>&lt;ruby&gt;羊毛&lt;rt&gt;ようもう&lt;/rt&gt;&lt;/ruby&gt;&lt;br&gt;&lt;div class="audio"&gt;[sound:ようもう.mp3]&lt;/div&gt;</v>
      </c>
      <c r="H6910" s="3" t="str">
        <f t="shared" si="1"/>
        <v>(n): lông cừu</v>
      </c>
      <c r="I6910" s="6" t="s">
        <v>37590</v>
      </c>
      <c r="J6910" s="6" t="s">
        <v>37591</v>
      </c>
      <c r="K6910" s="7">
        <f t="shared" si="2"/>
        <v>0.9178800685</v>
      </c>
    </row>
    <row r="6911">
      <c r="A6911" s="4">
        <v>6911.0</v>
      </c>
      <c r="B6911" s="5" t="s">
        <v>37592</v>
      </c>
      <c r="C6911" s="5" t="s">
        <v>30410</v>
      </c>
      <c r="D6911" s="5" t="s">
        <v>37593</v>
      </c>
      <c r="E6911" s="6" t="s">
        <v>74</v>
      </c>
      <c r="F6911" s="6" t="s">
        <v>37594</v>
      </c>
      <c r="G6911" s="3" t="str">
        <f>IFERROR(__xludf.DUMMYFUNCTION("REGEXREPLACE(
D6911,
""([一-龯々]+)\[([^\]]+)\]"",
""&lt;ruby&gt;$1&lt;rt&gt;$2&lt;/rt&gt;&lt;/ruby&gt;""
)&amp;""&lt;br&gt;&lt;div class=""""audio""""&gt;[sound:""&amp;C6911&amp;"".mp3]&lt;/div&gt;"""),"&lt;ruby&gt;香水&lt;rt&gt;こうすい&lt;/rt&gt;&lt;/ruby&gt;&lt;br&gt;&lt;div class=""audio""&gt;[sound:こうすい.mp3]&lt;/div&gt;")</f>
        <v>&lt;ruby&gt;香水&lt;rt&gt;こうすい&lt;/rt&gt;&lt;/ruby&gt;&lt;br&gt;&lt;div class="audio"&gt;[sound:こうすい.mp3]&lt;/div&gt;</v>
      </c>
      <c r="H6911" s="3" t="str">
        <f t="shared" si="1"/>
        <v>(n): nước hoa</v>
      </c>
      <c r="I6911" s="6" t="s">
        <v>37595</v>
      </c>
      <c r="J6911" s="6" t="s">
        <v>37596</v>
      </c>
      <c r="K6911" s="7">
        <f t="shared" si="2"/>
        <v>0.7150404175</v>
      </c>
    </row>
    <row r="6912">
      <c r="A6912" s="4">
        <v>6912.0</v>
      </c>
      <c r="B6912" s="5" t="s">
        <v>37597</v>
      </c>
      <c r="C6912" s="5" t="s">
        <v>37598</v>
      </c>
      <c r="D6912" s="5" t="s">
        <v>37599</v>
      </c>
      <c r="E6912" s="6" t="s">
        <v>74</v>
      </c>
      <c r="F6912" s="6" t="s">
        <v>37600</v>
      </c>
      <c r="G6912" s="3" t="str">
        <f>IFERROR(__xludf.DUMMYFUNCTION("REGEXREPLACE(
D6912,
""([一-龯々]+)\[([^\]]+)\]"",
""&lt;ruby&gt;$1&lt;rt&gt;$2&lt;/rt&gt;&lt;/ruby&gt;""
)&amp;""&lt;br&gt;&lt;div class=""""audio""""&gt;[sound:""&amp;C6912&amp;"".mp3]&lt;/div&gt;"""),"&lt;ruby&gt;凸凹&lt;rt&gt;でこぼこ&lt;/rt&gt;&lt;/ruby&gt;&lt;br&gt;&lt;div class=""audio""&gt;[sound:でこぼこ.mp3]&lt;/div&gt;")</f>
        <v>&lt;ruby&gt;凸凹&lt;rt&gt;でこぼこ&lt;/rt&gt;&lt;/ruby&gt;&lt;br&gt;&lt;div class="audio"&gt;[sound:でこぼこ.mp3]&lt;/div&gt;</v>
      </c>
      <c r="H6912" s="3" t="str">
        <f t="shared" si="1"/>
        <v>(n): lồi lõm</v>
      </c>
      <c r="I6912" s="6" t="s">
        <v>37601</v>
      </c>
      <c r="J6912" s="6" t="s">
        <v>37602</v>
      </c>
      <c r="K6912" s="7">
        <f t="shared" si="2"/>
        <v>0.2808728197</v>
      </c>
    </row>
    <row r="6913">
      <c r="A6913" s="4">
        <v>6913.0</v>
      </c>
      <c r="B6913" s="5" t="s">
        <v>37603</v>
      </c>
      <c r="C6913" s="5" t="s">
        <v>37604</v>
      </c>
      <c r="D6913" s="5" t="s">
        <v>37605</v>
      </c>
      <c r="E6913" s="6" t="s">
        <v>74</v>
      </c>
      <c r="F6913" s="6" t="s">
        <v>37606</v>
      </c>
      <c r="G6913" s="3" t="str">
        <f>IFERROR(__xludf.DUMMYFUNCTION("REGEXREPLACE(
D6913,
""([一-龯々]+)\[([^\]]+)\]"",
""&lt;ruby&gt;$1&lt;rt&gt;$2&lt;/rt&gt;&lt;/ruby&gt;""
)&amp;""&lt;br&gt;&lt;div class=""""audio""""&gt;[sound:""&amp;C6913&amp;"".mp3]&lt;/div&gt;"""),"&lt;ruby&gt;南米&lt;rt&gt;なんべい&lt;/rt&gt;&lt;/ruby&gt;&lt;br&gt;&lt;div class=""audio""&gt;[sound:なんべい.mp3]&lt;/div&gt;")</f>
        <v>&lt;ruby&gt;南米&lt;rt&gt;なんべい&lt;/rt&gt;&lt;/ruby&gt;&lt;br&gt;&lt;div class="audio"&gt;[sound:なんべい.mp3]&lt;/div&gt;</v>
      </c>
      <c r="H6913" s="3" t="str">
        <f t="shared" si="1"/>
        <v>(n): nam mỹ</v>
      </c>
      <c r="I6913" s="6" t="s">
        <v>37607</v>
      </c>
      <c r="J6913" s="6" t="s">
        <v>37608</v>
      </c>
      <c r="K6913" s="7">
        <f t="shared" si="2"/>
        <v>0.6949988747</v>
      </c>
    </row>
    <row r="6914">
      <c r="A6914" s="4">
        <v>6914.0</v>
      </c>
      <c r="B6914" s="5" t="s">
        <v>37609</v>
      </c>
      <c r="C6914" s="5" t="s">
        <v>37610</v>
      </c>
      <c r="D6914" s="5" t="s">
        <v>37611</v>
      </c>
      <c r="E6914" s="6" t="s">
        <v>74</v>
      </c>
      <c r="F6914" s="6" t="s">
        <v>37612</v>
      </c>
      <c r="G6914" s="3" t="str">
        <f>IFERROR(__xludf.DUMMYFUNCTION("REGEXREPLACE(
D6914,
""([一-龯々]+)\[([^\]]+)\]"",
""&lt;ruby&gt;$1&lt;rt&gt;$2&lt;/rt&gt;&lt;/ruby&gt;""
)&amp;""&lt;br&gt;&lt;div class=""""audio""""&gt;[sound:""&amp;C6914&amp;"".mp3]&lt;/div&gt;"""),"&lt;ruby&gt;無数&lt;rt&gt;むすう&lt;/rt&gt;&lt;/ruby&gt;&lt;br&gt;&lt;div class=""audio""&gt;[sound:むすう.mp3]&lt;/div&gt;")</f>
        <v>&lt;ruby&gt;無数&lt;rt&gt;むすう&lt;/rt&gt;&lt;/ruby&gt;&lt;br&gt;&lt;div class="audio"&gt;[sound:むすう.mp3]&lt;/div&gt;</v>
      </c>
      <c r="H6914" s="3" t="str">
        <f t="shared" si="1"/>
        <v>(n): vô số</v>
      </c>
      <c r="I6914" s="6" t="s">
        <v>37613</v>
      </c>
      <c r="J6914" s="6" t="s">
        <v>37614</v>
      </c>
      <c r="K6914" s="7">
        <f t="shared" si="2"/>
        <v>0.09380656334</v>
      </c>
    </row>
    <row r="6915">
      <c r="A6915" s="4">
        <v>6915.0</v>
      </c>
      <c r="B6915" s="5" t="s">
        <v>37615</v>
      </c>
      <c r="C6915" s="5" t="s">
        <v>37616</v>
      </c>
      <c r="D6915" s="5" t="s">
        <v>37617</v>
      </c>
      <c r="E6915" s="6" t="s">
        <v>74</v>
      </c>
      <c r="F6915" s="6" t="s">
        <v>37618</v>
      </c>
      <c r="G6915" s="3" t="str">
        <f>IFERROR(__xludf.DUMMYFUNCTION("REGEXREPLACE(
D6915,
""([一-龯々]+)\[([^\]]+)\]"",
""&lt;ruby&gt;$1&lt;rt&gt;$2&lt;/rt&gt;&lt;/ruby&gt;""
)&amp;""&lt;br&gt;&lt;div class=""""audio""""&gt;[sound:""&amp;C6915&amp;"".mp3]&lt;/div&gt;"""),"&lt;ruby&gt;鎖&lt;rt&gt;くさり&lt;/rt&gt;&lt;/ruby&gt;&lt;br&gt;&lt;div class=""audio""&gt;[sound:くさり.mp3]&lt;/div&gt;")</f>
        <v>&lt;ruby&gt;鎖&lt;rt&gt;くさり&lt;/rt&gt;&lt;/ruby&gt;&lt;br&gt;&lt;div class="audio"&gt;[sound:くさり.mp3]&lt;/div&gt;</v>
      </c>
      <c r="H6915" s="3" t="str">
        <f t="shared" si="1"/>
        <v>(n): xích</v>
      </c>
      <c r="I6915" s="6" t="s">
        <v>37619</v>
      </c>
      <c r="J6915" s="6" t="s">
        <v>37620</v>
      </c>
      <c r="K6915" s="7">
        <f t="shared" si="2"/>
        <v>0.6104311129</v>
      </c>
    </row>
    <row r="6916">
      <c r="A6916" s="4">
        <v>6916.0</v>
      </c>
      <c r="B6916" s="5" t="s">
        <v>37621</v>
      </c>
      <c r="C6916" s="5" t="s">
        <v>37622</v>
      </c>
      <c r="D6916" s="5" t="s">
        <v>37623</v>
      </c>
      <c r="E6916" s="6" t="s">
        <v>74</v>
      </c>
      <c r="F6916" s="6" t="s">
        <v>37624</v>
      </c>
      <c r="G6916" s="3" t="str">
        <f>IFERROR(__xludf.DUMMYFUNCTION("REGEXREPLACE(
D6916,
""([一-龯々]+)\[([^\]]+)\]"",
""&lt;ruby&gt;$1&lt;rt&gt;$2&lt;/rt&gt;&lt;/ruby&gt;""
)&amp;""&lt;br&gt;&lt;div class=""""audio""""&gt;[sound:""&amp;C6916&amp;"".mp3]&lt;/div&gt;"""),"&lt;ruby&gt;水分&lt;rt&gt;すいぶん&lt;/rt&gt;&lt;/ruby&gt;&lt;br&gt;&lt;div class=""audio""&gt;[sound:すいぶん.mp3]&lt;/div&gt;")</f>
        <v>&lt;ruby&gt;水分&lt;rt&gt;すいぶん&lt;/rt&gt;&lt;/ruby&gt;&lt;br&gt;&lt;div class="audio"&gt;[sound:すいぶん.mp3]&lt;/div&gt;</v>
      </c>
      <c r="H6916" s="3" t="str">
        <f t="shared" si="1"/>
        <v>(n): hàm lượng nước</v>
      </c>
      <c r="I6916" s="6" t="s">
        <v>37625</v>
      </c>
      <c r="J6916" s="6" t="s">
        <v>37626</v>
      </c>
      <c r="K6916" s="7">
        <f t="shared" si="2"/>
        <v>0.7717349112</v>
      </c>
    </row>
    <row r="6917">
      <c r="A6917" s="4">
        <v>6917.0</v>
      </c>
      <c r="B6917" s="5" t="s">
        <v>37627</v>
      </c>
      <c r="C6917" s="5" t="s">
        <v>37628</v>
      </c>
      <c r="D6917" s="5" t="s">
        <v>37629</v>
      </c>
      <c r="E6917" s="6" t="s">
        <v>74</v>
      </c>
      <c r="F6917" s="6" t="s">
        <v>37630</v>
      </c>
      <c r="G6917" s="3" t="str">
        <f>IFERROR(__xludf.DUMMYFUNCTION("REGEXREPLACE(
D6917,
""([一-龯々]+)\[([^\]]+)\]"",
""&lt;ruby&gt;$1&lt;rt&gt;$2&lt;/rt&gt;&lt;/ruby&gt;""
)&amp;""&lt;br&gt;&lt;div class=""""audio""""&gt;[sound:""&amp;C6917&amp;"".mp3]&lt;/div&gt;"""),"&lt;ruby&gt;初歩&lt;rt&gt;しょほ&lt;/rt&gt;&lt;/ruby&gt;&lt;br&gt;&lt;div class=""audio""&gt;[sound:しょほ.mp3]&lt;/div&gt;")</f>
        <v>&lt;ruby&gt;初歩&lt;rt&gt;しょほ&lt;/rt&gt;&lt;/ruby&gt;&lt;br&gt;&lt;div class="audio"&gt;[sound:しょほ.mp3]&lt;/div&gt;</v>
      </c>
      <c r="H6917" s="3" t="str">
        <f t="shared" si="1"/>
        <v>(n): bước đầu</v>
      </c>
      <c r="I6917" s="6" t="s">
        <v>37631</v>
      </c>
      <c r="J6917" s="6" t="s">
        <v>37632</v>
      </c>
      <c r="K6917" s="7">
        <f t="shared" si="2"/>
        <v>0.4416242003</v>
      </c>
    </row>
    <row r="6918">
      <c r="A6918" s="4">
        <v>6918.0</v>
      </c>
      <c r="B6918" s="5" t="s">
        <v>37633</v>
      </c>
      <c r="C6918" s="5" t="s">
        <v>37634</v>
      </c>
      <c r="D6918" s="5" t="s">
        <v>37635</v>
      </c>
      <c r="E6918" s="6" t="s">
        <v>11</v>
      </c>
      <c r="F6918" s="6" t="s">
        <v>30516</v>
      </c>
      <c r="G6918" s="3" t="str">
        <f>IFERROR(__xludf.DUMMYFUNCTION("REGEXREPLACE(
D6918,
""([一-龯々]+)\[([^\]]+)\]"",
""&lt;ruby&gt;$1&lt;rt&gt;$2&lt;/rt&gt;&lt;/ruby&gt;""
)&amp;""&lt;br&gt;&lt;div class=""""audio""""&gt;[sound:""&amp;C6918&amp;"".mp3]&lt;/div&gt;"""),"&lt;ruby&gt;勇&lt;rt&gt;いさ&lt;/rt&gt;&lt;/ruby&gt;ましい&lt;br&gt;&lt;div class=""audio""&gt;[sound:いさましい.mp3]&lt;/div&gt;")</f>
        <v>&lt;ruby&gt;勇&lt;rt&gt;いさ&lt;/rt&gt;&lt;/ruby&gt;ましい&lt;br&gt;&lt;div class="audio"&gt;[sound:いさましい.mp3]&lt;/div&gt;</v>
      </c>
      <c r="H6918" s="3" t="str">
        <f t="shared" si="1"/>
        <v>(adj): dũng cảm</v>
      </c>
      <c r="I6918" s="6" t="s">
        <v>37636</v>
      </c>
      <c r="J6918" s="6" t="s">
        <v>37637</v>
      </c>
      <c r="K6918" s="7">
        <f t="shared" si="2"/>
        <v>0.1265217594</v>
      </c>
    </row>
    <row r="6919">
      <c r="A6919" s="4">
        <v>6919.0</v>
      </c>
      <c r="B6919" s="5" t="s">
        <v>37638</v>
      </c>
      <c r="C6919" s="5" t="s">
        <v>37639</v>
      </c>
      <c r="D6919" s="5" t="s">
        <v>37640</v>
      </c>
      <c r="E6919" s="6" t="s">
        <v>74</v>
      </c>
      <c r="F6919" s="6" t="s">
        <v>37641</v>
      </c>
      <c r="G6919" s="3" t="str">
        <f>IFERROR(__xludf.DUMMYFUNCTION("REGEXREPLACE(
D6919,
""([一-龯々]+)\[([^\]]+)\]"",
""&lt;ruby&gt;$1&lt;rt&gt;$2&lt;/rt&gt;&lt;/ruby&gt;""
)&amp;""&lt;br&gt;&lt;div class=""""audio""""&gt;[sound:""&amp;C6919&amp;"".mp3]&lt;/div&gt;"""),"&lt;ruby&gt;垣根&lt;rt&gt;かきね&lt;/rt&gt;&lt;/ruby&gt;&lt;br&gt;&lt;div class=""audio""&gt;[sound:かきね.mp3]&lt;/div&gt;")</f>
        <v>&lt;ruby&gt;垣根&lt;rt&gt;かきね&lt;/rt&gt;&lt;/ruby&gt;&lt;br&gt;&lt;div class="audio"&gt;[sound:かきね.mp3]&lt;/div&gt;</v>
      </c>
      <c r="H6919" s="3" t="str">
        <f t="shared" si="1"/>
        <v>(n): hàng rào</v>
      </c>
      <c r="I6919" s="6" t="s">
        <v>37642</v>
      </c>
      <c r="J6919" s="6" t="s">
        <v>37643</v>
      </c>
      <c r="K6919" s="7">
        <f t="shared" si="2"/>
        <v>0.5001592884</v>
      </c>
    </row>
    <row r="6920">
      <c r="A6920" s="4">
        <v>6920.0</v>
      </c>
      <c r="B6920" s="5" t="s">
        <v>37644</v>
      </c>
      <c r="C6920" s="5" t="s">
        <v>37645</v>
      </c>
      <c r="D6920" s="5" t="s">
        <v>37646</v>
      </c>
      <c r="E6920" s="6" t="s">
        <v>74</v>
      </c>
      <c r="F6920" s="6" t="s">
        <v>37647</v>
      </c>
      <c r="G6920" s="3" t="str">
        <f>IFERROR(__xludf.DUMMYFUNCTION("REGEXREPLACE(
D6920,
""([一-龯々]+)\[([^\]]+)\]"",
""&lt;ruby&gt;$1&lt;rt&gt;$2&lt;/rt&gt;&lt;/ruby&gt;""
)&amp;""&lt;br&gt;&lt;div class=""""audio""""&gt;[sound:""&amp;C6920&amp;"".mp3]&lt;/div&gt;"""),"&lt;ruby&gt;寒帯&lt;rt&gt;かんたい&lt;/rt&gt;&lt;/ruby&gt;&lt;br&gt;&lt;div class=""audio""&gt;[sound:かんたい.mp3]&lt;/div&gt;")</f>
        <v>&lt;ruby&gt;寒帯&lt;rt&gt;かんたい&lt;/rt&gt;&lt;/ruby&gt;&lt;br&gt;&lt;div class="audio"&gt;[sound:かんたい.mp3]&lt;/div&gt;</v>
      </c>
      <c r="H6920" s="3" t="str">
        <f t="shared" si="1"/>
        <v>(n): đới lạnh</v>
      </c>
      <c r="I6920" s="6" t="s">
        <v>37648</v>
      </c>
      <c r="J6920" s="6" t="s">
        <v>37649</v>
      </c>
      <c r="K6920" s="7">
        <f t="shared" si="2"/>
        <v>0.9069565023</v>
      </c>
    </row>
    <row r="6921">
      <c r="A6921" s="4">
        <v>6921.0</v>
      </c>
      <c r="B6921" s="5" t="s">
        <v>37650</v>
      </c>
      <c r="C6921" s="5" t="s">
        <v>37651</v>
      </c>
      <c r="D6921" s="5" t="s">
        <v>37652</v>
      </c>
      <c r="E6921" s="6" t="s">
        <v>74</v>
      </c>
      <c r="F6921" s="6" t="s">
        <v>37653</v>
      </c>
      <c r="G6921" s="3" t="str">
        <f>IFERROR(__xludf.DUMMYFUNCTION("REGEXREPLACE(
D6921,
""([一-龯々]+)\[([^\]]+)\]"",
""&lt;ruby&gt;$1&lt;rt&gt;$2&lt;/rt&gt;&lt;/ruby&gt;""
)&amp;""&lt;br&gt;&lt;div class=""""audio""""&gt;[sound:""&amp;C6921&amp;"".mp3]&lt;/div&gt;"""),"&lt;ruby&gt;水産&lt;rt&gt;すいさん&lt;/rt&gt;&lt;/ruby&gt;&lt;br&gt;&lt;div class=""audio""&gt;[sound:すいさん.mp3]&lt;/div&gt;")</f>
        <v>&lt;ruby&gt;水産&lt;rt&gt;すいさん&lt;/rt&gt;&lt;/ruby&gt;&lt;br&gt;&lt;div class="audio"&gt;[sound:すいさん.mp3]&lt;/div&gt;</v>
      </c>
      <c r="H6921" s="3" t="str">
        <f t="shared" si="1"/>
        <v>(n): thủy sản</v>
      </c>
      <c r="I6921" s="6" t="s">
        <v>37654</v>
      </c>
      <c r="J6921" s="6" t="s">
        <v>37655</v>
      </c>
      <c r="K6921" s="7">
        <f t="shared" si="2"/>
        <v>0.177828242</v>
      </c>
    </row>
    <row r="6922">
      <c r="A6922" s="4">
        <v>6922.0</v>
      </c>
      <c r="B6922" s="5" t="s">
        <v>37656</v>
      </c>
      <c r="C6922" s="5" t="s">
        <v>37657</v>
      </c>
      <c r="D6922" s="5" t="s">
        <v>37658</v>
      </c>
      <c r="E6922" s="6" t="s">
        <v>24</v>
      </c>
      <c r="F6922" s="6" t="s">
        <v>37659</v>
      </c>
      <c r="G6922" s="3" t="str">
        <f>IFERROR(__xludf.DUMMYFUNCTION("REGEXREPLACE(
D6922,
""([一-龯々]+)\[([^\]]+)\]"",
""&lt;ruby&gt;$1&lt;rt&gt;$2&lt;/rt&gt;&lt;/ruby&gt;""
)&amp;""&lt;br&gt;&lt;div class=""""audio""""&gt;[sound:""&amp;C6922&amp;"".mp3]&lt;/div&gt;"""),"&lt;ruby&gt;焦&lt;rt&gt;こ&lt;/rt&gt;&lt;/ruby&gt;がす&lt;br&gt;&lt;div class=""audio""&gt;[sound:こがす.mp3]&lt;/div&gt;")</f>
        <v>&lt;ruby&gt;焦&lt;rt&gt;こ&lt;/rt&gt;&lt;/ruby&gt;がす&lt;br&gt;&lt;div class="audio"&gt;[sound:こがす.mp3]&lt;/div&gt;</v>
      </c>
      <c r="H6922" s="3" t="str">
        <f t="shared" si="1"/>
        <v>(v): làm cháy</v>
      </c>
      <c r="I6922" s="6" t="s">
        <v>37660</v>
      </c>
      <c r="J6922" s="6" t="s">
        <v>37661</v>
      </c>
      <c r="K6922" s="7">
        <f t="shared" si="2"/>
        <v>0.5499487408</v>
      </c>
    </row>
    <row r="6923">
      <c r="A6923" s="4">
        <v>6923.0</v>
      </c>
      <c r="B6923" s="5" t="s">
        <v>37662</v>
      </c>
      <c r="C6923" s="5" t="s">
        <v>37663</v>
      </c>
      <c r="D6923" s="5" t="s">
        <v>37664</v>
      </c>
      <c r="E6923" s="6" t="s">
        <v>74</v>
      </c>
      <c r="F6923" s="6" t="s">
        <v>4100</v>
      </c>
      <c r="G6923" s="3" t="str">
        <f>IFERROR(__xludf.DUMMYFUNCTION("REGEXREPLACE(
D6923,
""([一-龯々]+)\[([^\]]+)\]"",
""&lt;ruby&gt;$1&lt;rt&gt;$2&lt;/rt&gt;&lt;/ruby&gt;""
)&amp;""&lt;br&gt;&lt;div class=""""audio""""&gt;[sound:""&amp;C6923&amp;"".mp3]&lt;/div&gt;"""),"&lt;ruby&gt;献立&lt;rt&gt;こんだて&lt;/rt&gt;&lt;/ruby&gt;&lt;br&gt;&lt;div class=""audio""&gt;[sound:こんだて.mp3]&lt;/div&gt;")</f>
        <v>&lt;ruby&gt;献立&lt;rt&gt;こんだて&lt;/rt&gt;&lt;/ruby&gt;&lt;br&gt;&lt;div class="audio"&gt;[sound:こんだて.mp3]&lt;/div&gt;</v>
      </c>
      <c r="H6923" s="3" t="str">
        <f t="shared" si="1"/>
        <v>(n): thực đơn</v>
      </c>
      <c r="I6923" s="6" t="s">
        <v>37665</v>
      </c>
      <c r="J6923" s="6" t="s">
        <v>37666</v>
      </c>
      <c r="K6923" s="7">
        <f t="shared" si="2"/>
        <v>0.1909905971</v>
      </c>
    </row>
    <row r="6924">
      <c r="A6924" s="4">
        <v>6924.0</v>
      </c>
      <c r="B6924" s="5" t="s">
        <v>37667</v>
      </c>
      <c r="C6924" s="5" t="s">
        <v>37668</v>
      </c>
      <c r="D6924" s="5" t="s">
        <v>37669</v>
      </c>
      <c r="E6924" s="6" t="s">
        <v>11</v>
      </c>
      <c r="F6924" s="6" t="s">
        <v>37670</v>
      </c>
      <c r="G6924" s="3" t="str">
        <f>IFERROR(__xludf.DUMMYFUNCTION("REGEXREPLACE(
D6924,
""([一-龯々]+)\[([^\]]+)\]"",
""&lt;ruby&gt;$1&lt;rt&gt;$2&lt;/rt&gt;&lt;/ruby&gt;""
)&amp;""&lt;br&gt;&lt;div class=""""audio""""&gt;[sound:""&amp;C6924&amp;"".mp3]&lt;/div&gt;"""),"&lt;ruby&gt;生意気&lt;rt&gt;なまいき&lt;/rt&gt;&lt;/ruby&gt;&lt;br&gt;&lt;div class=""audio""&gt;[sound:なまいき.mp3]&lt;/div&gt;")</f>
        <v>&lt;ruby&gt;生意気&lt;rt&gt;なまいき&lt;/rt&gt;&lt;/ruby&gt;&lt;br&gt;&lt;div class="audio"&gt;[sound:なまいき.mp3]&lt;/div&gt;</v>
      </c>
      <c r="H6924" s="3" t="str">
        <f t="shared" si="1"/>
        <v>(adj): xấc xược</v>
      </c>
      <c r="I6924" s="6" t="s">
        <v>37671</v>
      </c>
      <c r="J6924" s="6" t="s">
        <v>37672</v>
      </c>
      <c r="K6924" s="7">
        <f t="shared" si="2"/>
        <v>0.9992412393</v>
      </c>
    </row>
    <row r="6925">
      <c r="A6925" s="4">
        <v>6925.0</v>
      </c>
      <c r="B6925" s="5" t="s">
        <v>37673</v>
      </c>
      <c r="C6925" s="5" t="s">
        <v>37674</v>
      </c>
      <c r="D6925" s="5" t="s">
        <v>37675</v>
      </c>
      <c r="E6925" s="6" t="s">
        <v>24</v>
      </c>
      <c r="F6925" s="6" t="s">
        <v>27011</v>
      </c>
      <c r="G6925" s="3" t="str">
        <f>IFERROR(__xludf.DUMMYFUNCTION("REGEXREPLACE(
D6925,
""([一-龯々]+)\[([^\]]+)\]"",
""&lt;ruby&gt;$1&lt;rt&gt;$2&lt;/rt&gt;&lt;/ruby&gt;""
)&amp;""&lt;br&gt;&lt;div class=""""audio""""&gt;[sound:""&amp;C6925&amp;"".mp3]&lt;/div&gt;"""),"&lt;ruby&gt;略&lt;rt&gt;りゃく&lt;/rt&gt;&lt;/ruby&gt;す&lt;br&gt;&lt;div class=""audio""&gt;[sound:りゃくす.mp3]&lt;/div&gt;")</f>
        <v>&lt;ruby&gt;略&lt;rt&gt;りゃく&lt;/rt&gt;&lt;/ruby&gt;す&lt;br&gt;&lt;div class="audio"&gt;[sound:りゃくす.mp3]&lt;/div&gt;</v>
      </c>
      <c r="H6925" s="3" t="str">
        <f t="shared" si="1"/>
        <v>(v): lược bớt</v>
      </c>
      <c r="I6925" s="6" t="s">
        <v>37676</v>
      </c>
      <c r="J6925" s="6" t="s">
        <v>37677</v>
      </c>
      <c r="K6925" s="7">
        <f t="shared" si="2"/>
        <v>0.2299733024</v>
      </c>
    </row>
    <row r="6926">
      <c r="A6926" s="4">
        <v>6926.0</v>
      </c>
      <c r="B6926" s="5" t="s">
        <v>37678</v>
      </c>
      <c r="C6926" s="5" t="s">
        <v>37679</v>
      </c>
      <c r="D6926" s="5" t="s">
        <v>37680</v>
      </c>
      <c r="E6926" s="6" t="s">
        <v>74</v>
      </c>
      <c r="F6926" s="6" t="s">
        <v>37681</v>
      </c>
      <c r="G6926" s="3" t="str">
        <f>IFERROR(__xludf.DUMMYFUNCTION("REGEXREPLACE(
D6926,
""([一-龯々]+)\[([^\]]+)\]"",
""&lt;ruby&gt;$1&lt;rt&gt;$2&lt;/rt&gt;&lt;/ruby&gt;""
)&amp;""&lt;br&gt;&lt;div class=""""audio""""&gt;[sound:""&amp;C6926&amp;"".mp3]&lt;/div&gt;"""),"&lt;ruby&gt;半径&lt;rt&gt;はんけい&lt;/rt&gt;&lt;/ruby&gt;&lt;br&gt;&lt;div class=""audio""&gt;[sound:はんけい.mp3]&lt;/div&gt;")</f>
        <v>&lt;ruby&gt;半径&lt;rt&gt;はんけい&lt;/rt&gt;&lt;/ruby&gt;&lt;br&gt;&lt;div class="audio"&gt;[sound:はんけい.mp3]&lt;/div&gt;</v>
      </c>
      <c r="H6926" s="3" t="str">
        <f t="shared" si="1"/>
        <v>(n): bán kính</v>
      </c>
      <c r="I6926" s="6" t="s">
        <v>37682</v>
      </c>
      <c r="J6926" s="6" t="s">
        <v>37683</v>
      </c>
      <c r="K6926" s="7">
        <f t="shared" si="2"/>
        <v>0.1820469376</v>
      </c>
    </row>
    <row r="6927">
      <c r="A6927" s="4">
        <v>6927.0</v>
      </c>
      <c r="B6927" s="5" t="s">
        <v>37684</v>
      </c>
      <c r="C6927" s="5" t="s">
        <v>37685</v>
      </c>
      <c r="D6927" s="5" t="s">
        <v>37686</v>
      </c>
      <c r="E6927" s="6" t="s">
        <v>74</v>
      </c>
      <c r="F6927" s="6" t="s">
        <v>37687</v>
      </c>
      <c r="G6927" s="3" t="str">
        <f>IFERROR(__xludf.DUMMYFUNCTION("REGEXREPLACE(
D6927,
""([一-龯々]+)\[([^\]]+)\]"",
""&lt;ruby&gt;$1&lt;rt&gt;$2&lt;/rt&gt;&lt;/ruby&gt;""
)&amp;""&lt;br&gt;&lt;div class=""""audio""""&gt;[sound:""&amp;C6927&amp;"".mp3]&lt;/div&gt;"""),"&lt;ruby&gt;双子&lt;rt&gt;ふたご&lt;/rt&gt;&lt;/ruby&gt;&lt;br&gt;&lt;div class=""audio""&gt;[sound:ふたご.mp3]&lt;/div&gt;")</f>
        <v>&lt;ruby&gt;双子&lt;rt&gt;ふたご&lt;/rt&gt;&lt;/ruby&gt;&lt;br&gt;&lt;div class="audio"&gt;[sound:ふたご.mp3]&lt;/div&gt;</v>
      </c>
      <c r="H6927" s="3" t="str">
        <f t="shared" si="1"/>
        <v>(n): sinh đôi</v>
      </c>
      <c r="I6927" s="6" t="s">
        <v>37688</v>
      </c>
      <c r="J6927" s="6" t="s">
        <v>37689</v>
      </c>
      <c r="K6927" s="7">
        <f t="shared" si="2"/>
        <v>0.9447108187</v>
      </c>
    </row>
    <row r="6928">
      <c r="A6928" s="4">
        <v>6928.0</v>
      </c>
      <c r="B6928" s="5" t="s">
        <v>37690</v>
      </c>
      <c r="C6928" s="5" t="s">
        <v>14830</v>
      </c>
      <c r="D6928" s="5" t="s">
        <v>37691</v>
      </c>
      <c r="E6928" s="6" t="s">
        <v>74</v>
      </c>
      <c r="F6928" s="6" t="s">
        <v>28693</v>
      </c>
      <c r="G6928" s="3" t="str">
        <f>IFERROR(__xludf.DUMMYFUNCTION("REGEXREPLACE(
D6928,
""([一-龯々]+)\[([^\]]+)\]"",
""&lt;ruby&gt;$1&lt;rt&gt;$2&lt;/rt&gt;&lt;/ruby&gt;""
)&amp;""&lt;br&gt;&lt;div class=""""audio""""&gt;[sound:""&amp;C6928&amp;"".mp3]&lt;/div&gt;"""),"&lt;ruby&gt;伯母&lt;rt&gt;おば&lt;/rt&gt;&lt;/ruby&gt;&lt;br&gt;&lt;div class=""audio""&gt;[sound:おば.mp3]&lt;/div&gt;")</f>
        <v>&lt;ruby&gt;伯母&lt;rt&gt;おば&lt;/rt&gt;&lt;/ruby&gt;&lt;br&gt;&lt;div class="audio"&gt;[sound:おば.mp3]&lt;/div&gt;</v>
      </c>
      <c r="H6928" s="3" t="str">
        <f t="shared" si="1"/>
        <v>(n): bác gái</v>
      </c>
      <c r="I6928" s="6" t="s">
        <v>37692</v>
      </c>
      <c r="J6928" s="6" t="s">
        <v>37693</v>
      </c>
      <c r="K6928" s="7">
        <f t="shared" si="2"/>
        <v>0.2846939389</v>
      </c>
    </row>
    <row r="6929">
      <c r="A6929" s="4">
        <v>6929.0</v>
      </c>
      <c r="B6929" s="5" t="s">
        <v>37694</v>
      </c>
      <c r="C6929" s="5" t="s">
        <v>37695</v>
      </c>
      <c r="D6929" s="5" t="s">
        <v>37696</v>
      </c>
      <c r="E6929" s="6" t="s">
        <v>74</v>
      </c>
      <c r="F6929" s="6" t="s">
        <v>19843</v>
      </c>
      <c r="G6929" s="3" t="str">
        <f>IFERROR(__xludf.DUMMYFUNCTION("REGEXREPLACE(
D6929,
""([一-龯々]+)\[([^\]]+)\]"",
""&lt;ruby&gt;$1&lt;rt&gt;$2&lt;/rt&gt;&lt;/ruby&gt;""
)&amp;""&lt;br&gt;&lt;div class=""""audio""""&gt;[sound:""&amp;C6929&amp;"".mp3]&lt;/div&gt;"""),"&lt;ruby&gt;判子&lt;rt&gt;はんこ&lt;/rt&gt;&lt;/ruby&gt;&lt;br&gt;&lt;div class=""audio""&gt;[sound:はんこ.mp3]&lt;/div&gt;")</f>
        <v>&lt;ruby&gt;判子&lt;rt&gt;はんこ&lt;/rt&gt;&lt;/ruby&gt;&lt;br&gt;&lt;div class="audio"&gt;[sound:はんこ.mp3]&lt;/div&gt;</v>
      </c>
      <c r="H6929" s="3" t="str">
        <f t="shared" si="1"/>
        <v>(n): con dấu</v>
      </c>
      <c r="I6929" s="6" t="s">
        <v>37697</v>
      </c>
      <c r="J6929" s="6" t="s">
        <v>37698</v>
      </c>
      <c r="K6929" s="7">
        <f t="shared" si="2"/>
        <v>0.755367484</v>
      </c>
    </row>
    <row r="6930">
      <c r="A6930" s="4">
        <v>6930.0</v>
      </c>
      <c r="B6930" s="5" t="s">
        <v>37699</v>
      </c>
      <c r="C6930" s="5" t="s">
        <v>37700</v>
      </c>
      <c r="D6930" s="5" t="s">
        <v>37701</v>
      </c>
      <c r="E6930" s="6" t="s">
        <v>74</v>
      </c>
      <c r="F6930" s="6" t="s">
        <v>37702</v>
      </c>
      <c r="G6930" s="3" t="str">
        <f>IFERROR(__xludf.DUMMYFUNCTION("REGEXREPLACE(
D6930,
""([一-龯々]+)\[([^\]]+)\]"",
""&lt;ruby&gt;$1&lt;rt&gt;$2&lt;/rt&gt;&lt;/ruby&gt;""
)&amp;""&lt;br&gt;&lt;div class=""""audio""""&gt;[sound:""&amp;C6930&amp;"".mp3]&lt;/div&gt;"""),"&lt;ruby&gt;標本&lt;rt&gt;ひょうほん&lt;/rt&gt;&lt;/ruby&gt;&lt;br&gt;&lt;div class=""audio""&gt;[sound:ひょうほん.mp3]&lt;/div&gt;")</f>
        <v>&lt;ruby&gt;標本&lt;rt&gt;ひょうほん&lt;/rt&gt;&lt;/ruby&gt;&lt;br&gt;&lt;div class="audio"&gt;[sound:ひょうほん.mp3]&lt;/div&gt;</v>
      </c>
      <c r="H6930" s="3" t="str">
        <f t="shared" si="1"/>
        <v>(n): vật mẫu</v>
      </c>
      <c r="I6930" s="6" t="s">
        <v>37703</v>
      </c>
      <c r="J6930" s="6" t="s">
        <v>37704</v>
      </c>
      <c r="K6930" s="7">
        <f t="shared" si="2"/>
        <v>0.8250098145</v>
      </c>
    </row>
    <row r="6931">
      <c r="A6931" s="4">
        <v>6931.0</v>
      </c>
      <c r="B6931" s="5" t="s">
        <v>37705</v>
      </c>
      <c r="C6931" s="5" t="s">
        <v>21064</v>
      </c>
      <c r="D6931" s="5" t="s">
        <v>37706</v>
      </c>
      <c r="E6931" s="6" t="s">
        <v>74</v>
      </c>
      <c r="F6931" s="6" t="s">
        <v>31792</v>
      </c>
      <c r="G6931" s="3" t="str">
        <f>IFERROR(__xludf.DUMMYFUNCTION("REGEXREPLACE(
D6931,
""([一-龯々]+)\[([^\]]+)\]"",
""&lt;ruby&gt;$1&lt;rt&gt;$2&lt;/rt&gt;&lt;/ruby&gt;""
)&amp;""&lt;br&gt;&lt;div class=""""audio""""&gt;[sound:""&amp;C6931&amp;"".mp3]&lt;/div&gt;"""),"&lt;ruby&gt;姓名&lt;rt&gt;せいめい&lt;/rt&gt;&lt;/ruby&gt;&lt;br&gt;&lt;div class=""audio""&gt;[sound:せいめい.mp3]&lt;/div&gt;")</f>
        <v>&lt;ruby&gt;姓名&lt;rt&gt;せいめい&lt;/rt&gt;&lt;/ruby&gt;&lt;br&gt;&lt;div class="audio"&gt;[sound:せいめい.mp3]&lt;/div&gt;</v>
      </c>
      <c r="H6931" s="3" t="str">
        <f t="shared" si="1"/>
        <v>(n): họ tên</v>
      </c>
      <c r="I6931" s="6" t="s">
        <v>37707</v>
      </c>
      <c r="J6931" s="6" t="s">
        <v>31794</v>
      </c>
      <c r="K6931" s="7">
        <f t="shared" si="2"/>
        <v>0.9422491371</v>
      </c>
    </row>
    <row r="6932">
      <c r="A6932" s="4">
        <v>6932.0</v>
      </c>
      <c r="B6932" s="5" t="s">
        <v>37708</v>
      </c>
      <c r="C6932" s="5" t="s">
        <v>37709</v>
      </c>
      <c r="D6932" s="5" t="s">
        <v>37710</v>
      </c>
      <c r="E6932" s="6" t="s">
        <v>74</v>
      </c>
      <c r="F6932" s="6" t="s">
        <v>37711</v>
      </c>
      <c r="G6932" s="3" t="str">
        <f>IFERROR(__xludf.DUMMYFUNCTION("REGEXREPLACE(
D6932,
""([一-龯々]+)\[([^\]]+)\]"",
""&lt;ruby&gt;$1&lt;rt&gt;$2&lt;/rt&gt;&lt;/ruby&gt;""
)&amp;""&lt;br&gt;&lt;div class=""""audio""""&gt;[sound:""&amp;C6932&amp;"".mp3]&lt;/div&gt;"""),"&lt;ruby&gt;閉会&lt;rt&gt;へいかい&lt;/rt&gt;&lt;/ruby&gt;&lt;br&gt;&lt;div class=""audio""&gt;[sound:へいかい.mp3]&lt;/div&gt;")</f>
        <v>&lt;ruby&gt;閉会&lt;rt&gt;へいかい&lt;/rt&gt;&lt;/ruby&gt;&lt;br&gt;&lt;div class="audio"&gt;[sound:へいかい.mp3]&lt;/div&gt;</v>
      </c>
      <c r="H6932" s="3" t="str">
        <f t="shared" si="1"/>
        <v>(n): bế mạc</v>
      </c>
      <c r="I6932" s="6" t="s">
        <v>37712</v>
      </c>
      <c r="J6932" s="6" t="s">
        <v>37713</v>
      </c>
      <c r="K6932" s="7">
        <f t="shared" si="2"/>
        <v>0.7491764809</v>
      </c>
    </row>
    <row r="6933">
      <c r="A6933" s="4">
        <v>6933.0</v>
      </c>
      <c r="B6933" s="5" t="s">
        <v>37714</v>
      </c>
      <c r="C6933" s="5" t="s">
        <v>37715</v>
      </c>
      <c r="D6933" s="5" t="s">
        <v>37716</v>
      </c>
      <c r="E6933" s="6" t="s">
        <v>24</v>
      </c>
      <c r="F6933" s="6" t="s">
        <v>37717</v>
      </c>
      <c r="G6933" s="3" t="str">
        <f>IFERROR(__xludf.DUMMYFUNCTION("REGEXREPLACE(
D6933,
""([一-龯々]+)\[([^\]]+)\]"",
""&lt;ruby&gt;$1&lt;rt&gt;$2&lt;/rt&gt;&lt;/ruby&gt;""
)&amp;""&lt;br&gt;&lt;div class=""""audio""""&gt;[sound:""&amp;C6933&amp;"".mp3]&lt;/div&gt;"""),"&lt;ruby&gt;凹&lt;rt&gt;へこ&lt;/rt&gt;&lt;/ruby&gt;む&lt;br&gt;&lt;div class=""audio""&gt;[sound:へこむ.mp3]&lt;/div&gt;")</f>
        <v>&lt;ruby&gt;凹&lt;rt&gt;へこ&lt;/rt&gt;&lt;/ruby&gt;む&lt;br&gt;&lt;div class="audio"&gt;[sound:へこむ.mp3]&lt;/div&gt;</v>
      </c>
      <c r="H6933" s="3" t="str">
        <f t="shared" si="1"/>
        <v>(v): lõm</v>
      </c>
      <c r="I6933" s="6" t="s">
        <v>37718</v>
      </c>
      <c r="J6933" s="6" t="s">
        <v>37719</v>
      </c>
      <c r="K6933" s="7">
        <f t="shared" si="2"/>
        <v>0.4180908789</v>
      </c>
    </row>
    <row r="6934">
      <c r="A6934" s="4">
        <v>6934.0</v>
      </c>
      <c r="B6934" s="5" t="s">
        <v>37720</v>
      </c>
      <c r="C6934" s="5" t="s">
        <v>2819</v>
      </c>
      <c r="D6934" s="5" t="s">
        <v>37721</v>
      </c>
      <c r="E6934" s="6" t="s">
        <v>24</v>
      </c>
      <c r="F6934" s="6" t="s">
        <v>37722</v>
      </c>
      <c r="G6934" s="3" t="str">
        <f>IFERROR(__xludf.DUMMYFUNCTION("REGEXREPLACE(
D6934,
""([一-龯々]+)\[([^\]]+)\]"",
""&lt;ruby&gt;$1&lt;rt&gt;$2&lt;/rt&gt;&lt;/ruby&gt;""
)&amp;""&lt;br&gt;&lt;div class=""""audio""""&gt;[sound:""&amp;C6934&amp;"".mp3]&lt;/div&gt;"""),"&lt;ruby&gt;澄&lt;rt&gt;す&lt;/rt&gt;&lt;/ruby&gt;む&lt;br&gt;&lt;div class=""audio""&gt;[sound:すむ.mp3]&lt;/div&gt;")</f>
        <v>&lt;ruby&gt;澄&lt;rt&gt;す&lt;/rt&gt;&lt;/ruby&gt;む&lt;br&gt;&lt;div class="audio"&gt;[sound:すむ.mp3]&lt;/div&gt;</v>
      </c>
      <c r="H6934" s="3" t="str">
        <f t="shared" si="1"/>
        <v>(v): trong vắt</v>
      </c>
      <c r="I6934" s="6" t="s">
        <v>37723</v>
      </c>
      <c r="J6934" s="6" t="s">
        <v>37724</v>
      </c>
      <c r="K6934" s="7">
        <f t="shared" si="2"/>
        <v>0.279645662</v>
      </c>
    </row>
    <row r="6935">
      <c r="A6935" s="4">
        <v>6935.0</v>
      </c>
      <c r="B6935" s="5" t="s">
        <v>37725</v>
      </c>
      <c r="C6935" s="5" t="s">
        <v>11422</v>
      </c>
      <c r="D6935" s="5" t="s">
        <v>37726</v>
      </c>
      <c r="E6935" s="6" t="s">
        <v>24</v>
      </c>
      <c r="F6935" s="6" t="s">
        <v>37727</v>
      </c>
      <c r="G6935" s="3" t="str">
        <f>IFERROR(__xludf.DUMMYFUNCTION("REGEXREPLACE(
D6935,
""([一-龯々]+)\[([^\]]+)\]"",
""&lt;ruby&gt;$1&lt;rt&gt;$2&lt;/rt&gt;&lt;/ruby&gt;""
)&amp;""&lt;br&gt;&lt;div class=""""audio""""&gt;[sound:""&amp;C6935&amp;"".mp3]&lt;/div&gt;"""),"&lt;ruby&gt;溶&lt;rt&gt;と&lt;/rt&gt;&lt;/ruby&gt;く&lt;br&gt;&lt;div class=""audio""&gt;[sound:とく.mp3]&lt;/div&gt;")</f>
        <v>&lt;ruby&gt;溶&lt;rt&gt;と&lt;/rt&gt;&lt;/ruby&gt;く&lt;br&gt;&lt;div class="audio"&gt;[sound:とく.mp3]&lt;/div&gt;</v>
      </c>
      <c r="H6935" s="3" t="str">
        <f t="shared" si="1"/>
        <v>(v): đánh tan</v>
      </c>
      <c r="I6935" s="6" t="s">
        <v>37728</v>
      </c>
      <c r="J6935" s="6" t="s">
        <v>37729</v>
      </c>
      <c r="K6935" s="7">
        <f t="shared" si="2"/>
        <v>0.04612338534</v>
      </c>
    </row>
    <row r="6936">
      <c r="A6936" s="4">
        <v>6936.0</v>
      </c>
      <c r="B6936" s="5" t="s">
        <v>37730</v>
      </c>
      <c r="C6936" s="5" t="s">
        <v>23941</v>
      </c>
      <c r="D6936" s="5" t="s">
        <v>37731</v>
      </c>
      <c r="E6936" s="6" t="s">
        <v>74</v>
      </c>
      <c r="F6936" s="6" t="s">
        <v>36014</v>
      </c>
      <c r="G6936" s="3" t="str">
        <f>IFERROR(__xludf.DUMMYFUNCTION("REGEXREPLACE(
D6936,
""([一-龯々]+)\[([^\]]+)\]"",
""&lt;ruby&gt;$1&lt;rt&gt;$2&lt;/rt&gt;&lt;/ruby&gt;""
)&amp;""&lt;br&gt;&lt;div class=""""audio""""&gt;[sound:""&amp;C6936&amp;"".mp3]&lt;/div&gt;"""),"&lt;ruby&gt;膳&lt;rt&gt;ぜん&lt;/rt&gt;&lt;/ruby&gt;&lt;br&gt;&lt;div class=""audio""&gt;[sound:ぜん.mp3]&lt;/div&gt;")</f>
        <v>&lt;ruby&gt;膳&lt;rt&gt;ぜん&lt;/rt&gt;&lt;/ruby&gt;&lt;br&gt;&lt;div class="audio"&gt;[sound:ぜん.mp3]&lt;/div&gt;</v>
      </c>
      <c r="H6936" s="3" t="str">
        <f t="shared" si="1"/>
        <v>(n): bàn ăn</v>
      </c>
      <c r="I6936" s="6" t="s">
        <v>37732</v>
      </c>
      <c r="J6936" s="6" t="s">
        <v>37733</v>
      </c>
      <c r="K6936" s="7">
        <f t="shared" si="2"/>
        <v>0.9820578737</v>
      </c>
    </row>
    <row r="6937">
      <c r="A6937" s="4">
        <v>6937.0</v>
      </c>
      <c r="B6937" s="5" t="s">
        <v>37734</v>
      </c>
      <c r="C6937" s="5" t="s">
        <v>37735</v>
      </c>
      <c r="D6937" s="5" t="s">
        <v>37736</v>
      </c>
      <c r="E6937" s="6" t="s">
        <v>74</v>
      </c>
      <c r="F6937" s="6" t="s">
        <v>37737</v>
      </c>
      <c r="G6937" s="3" t="str">
        <f>IFERROR(__xludf.DUMMYFUNCTION("REGEXREPLACE(
D6937,
""([一-龯々]+)\[([^\]]+)\]"",
""&lt;ruby&gt;$1&lt;rt&gt;$2&lt;/rt&gt;&lt;/ruby&gt;""
)&amp;""&lt;br&gt;&lt;div class=""""audio""""&gt;[sound:""&amp;C6937&amp;"".mp3]&lt;/div&gt;"""),"&lt;ruby&gt;振&lt;rt&gt;ふ&lt;/rt&gt;&lt;/ruby&gt;り&lt;ruby&gt;仮名&lt;rt&gt;がな&lt;/rt&gt;&lt;/ruby&gt;&lt;br&gt;&lt;div class=""audio""&gt;[sound:ふりがな.mp3]&lt;/div&gt;")</f>
        <v>&lt;ruby&gt;振&lt;rt&gt;ふ&lt;/rt&gt;&lt;/ruby&gt;り&lt;ruby&gt;仮名&lt;rt&gt;がな&lt;/rt&gt;&lt;/ruby&gt;&lt;br&gt;&lt;div class="audio"&gt;[sound:ふりがな.mp3]&lt;/div&gt;</v>
      </c>
      <c r="H6937" s="3" t="str">
        <f t="shared" si="1"/>
        <v>(n): phiên âm</v>
      </c>
      <c r="I6937" s="6" t="s">
        <v>37738</v>
      </c>
      <c r="J6937" s="6" t="s">
        <v>37739</v>
      </c>
      <c r="K6937" s="7">
        <f t="shared" si="2"/>
        <v>0.07061736644</v>
      </c>
    </row>
    <row r="6938">
      <c r="A6938" s="4">
        <v>6938.0</v>
      </c>
      <c r="B6938" s="5" t="s">
        <v>37740</v>
      </c>
      <c r="C6938" s="5" t="s">
        <v>37741</v>
      </c>
      <c r="D6938" s="5" t="s">
        <v>37742</v>
      </c>
      <c r="E6938" s="6" t="s">
        <v>74</v>
      </c>
      <c r="F6938" s="6" t="s">
        <v>37743</v>
      </c>
      <c r="G6938" s="3" t="str">
        <f>IFERROR(__xludf.DUMMYFUNCTION("REGEXREPLACE(
D6938,
""([一-龯々]+)\[([^\]]+)\]"",
""&lt;ruby&gt;$1&lt;rt&gt;$2&lt;/rt&gt;&lt;/ruby&gt;""
)&amp;""&lt;br&gt;&lt;div class=""""audio""""&gt;[sound:""&amp;C6938&amp;"".mp3]&lt;/div&gt;"""),"&lt;ruby&gt;大木&lt;rt&gt;たいぼく&lt;/rt&gt;&lt;/ruby&gt;&lt;br&gt;&lt;div class=""audio""&gt;[sound:たいぼく.mp3]&lt;/div&gt;")</f>
        <v>&lt;ruby&gt;大木&lt;rt&gt;たいぼく&lt;/rt&gt;&lt;/ruby&gt;&lt;br&gt;&lt;div class="audio"&gt;[sound:たいぼく.mp3]&lt;/div&gt;</v>
      </c>
      <c r="H6938" s="3" t="str">
        <f t="shared" si="1"/>
        <v>(n): cây to</v>
      </c>
      <c r="I6938" s="6" t="s">
        <v>37744</v>
      </c>
      <c r="J6938" s="6" t="s">
        <v>37745</v>
      </c>
      <c r="K6938" s="7">
        <f t="shared" si="2"/>
        <v>0.8047094887</v>
      </c>
    </row>
    <row r="6939">
      <c r="A6939" s="4">
        <v>6939.0</v>
      </c>
      <c r="B6939" s="5" t="s">
        <v>37746</v>
      </c>
      <c r="C6939" s="5" t="s">
        <v>36581</v>
      </c>
      <c r="D6939" s="5" t="s">
        <v>37747</v>
      </c>
      <c r="E6939" s="6" t="s">
        <v>74</v>
      </c>
      <c r="F6939" s="6" t="s">
        <v>37748</v>
      </c>
      <c r="G6939" s="3" t="str">
        <f>IFERROR(__xludf.DUMMYFUNCTION("REGEXREPLACE(
D6939,
""([一-龯々]+)\[([^\]]+)\]"",
""&lt;ruby&gt;$1&lt;rt&gt;$2&lt;/rt&gt;&lt;/ruby&gt;""
)&amp;""&lt;br&gt;&lt;div class=""""audio""""&gt;[sound:""&amp;C6939&amp;"".mp3]&lt;/div&gt;"""),"&lt;ruby&gt;発射&lt;rt&gt;はっしゃ&lt;/rt&gt;&lt;/ruby&gt;&lt;br&gt;&lt;div class=""audio""&gt;[sound:はっしゃ.mp3]&lt;/div&gt;")</f>
        <v>&lt;ruby&gt;発射&lt;rt&gt;はっしゃ&lt;/rt&gt;&lt;/ruby&gt;&lt;br&gt;&lt;div class="audio"&gt;[sound:はっしゃ.mp3]&lt;/div&gt;</v>
      </c>
      <c r="H6939" s="3" t="str">
        <f t="shared" si="1"/>
        <v>(n): phóng</v>
      </c>
      <c r="I6939" s="6" t="s">
        <v>37749</v>
      </c>
      <c r="J6939" s="6" t="s">
        <v>37750</v>
      </c>
      <c r="K6939" s="7">
        <f t="shared" si="2"/>
        <v>0.3574531082</v>
      </c>
    </row>
    <row r="6940">
      <c r="A6940" s="4">
        <v>6940.0</v>
      </c>
      <c r="B6940" s="5" t="s">
        <v>37751</v>
      </c>
      <c r="C6940" s="5" t="s">
        <v>37752</v>
      </c>
      <c r="D6940" s="5" t="s">
        <v>37753</v>
      </c>
      <c r="E6940" s="6" t="s">
        <v>24</v>
      </c>
      <c r="F6940" s="6" t="s">
        <v>18415</v>
      </c>
      <c r="G6940" s="3" t="str">
        <f>IFERROR(__xludf.DUMMYFUNCTION("REGEXREPLACE(
D6940,
""([一-龯々]+)\[([^\]]+)\]"",
""&lt;ruby&gt;$1&lt;rt&gt;$2&lt;/rt&gt;&lt;/ruby&gt;""
)&amp;""&lt;br&gt;&lt;div class=""""audio""""&gt;[sound:""&amp;C6940&amp;"".mp3]&lt;/div&gt;"""),"&lt;ruby&gt;焦&lt;rt&gt;こ&lt;/rt&gt;&lt;/ruby&gt;げる&lt;br&gt;&lt;div class=""audio""&gt;[sound:こげる.mp3]&lt;/div&gt;")</f>
        <v>&lt;ruby&gt;焦&lt;rt&gt;こ&lt;/rt&gt;&lt;/ruby&gt;げる&lt;br&gt;&lt;div class="audio"&gt;[sound:こげる.mp3]&lt;/div&gt;</v>
      </c>
      <c r="H6940" s="3" t="str">
        <f t="shared" si="1"/>
        <v>(v): cháy</v>
      </c>
      <c r="I6940" s="6" t="s">
        <v>37754</v>
      </c>
      <c r="J6940" s="6" t="s">
        <v>37755</v>
      </c>
      <c r="K6940" s="7">
        <f t="shared" si="2"/>
        <v>0.5538492288</v>
      </c>
    </row>
    <row r="6941">
      <c r="A6941" s="4">
        <v>6941.0</v>
      </c>
      <c r="B6941" s="5" t="s">
        <v>37756</v>
      </c>
      <c r="C6941" s="5" t="s">
        <v>37757</v>
      </c>
      <c r="D6941" s="5" t="s">
        <v>37758</v>
      </c>
      <c r="E6941" s="6" t="s">
        <v>24</v>
      </c>
      <c r="F6941" s="6" t="s">
        <v>37759</v>
      </c>
      <c r="G6941" s="3" t="str">
        <f>IFERROR(__xludf.DUMMYFUNCTION("REGEXREPLACE(
D6941,
""([一-龯々]+)\[([^\]]+)\]"",
""&lt;ruby&gt;$1&lt;rt&gt;$2&lt;/rt&gt;&lt;/ruby&gt;""
)&amp;""&lt;br&gt;&lt;div class=""""audio""""&gt;[sound:""&amp;C6941&amp;"".mp3]&lt;/div&gt;"""),"&lt;ruby&gt;熱&lt;rt&gt;ねっ&lt;/rt&gt;&lt;/ruby&gt;する&lt;br&gt;&lt;div class=""audio""&gt;[sound:ねっする.mp3]&lt;/div&gt;")</f>
        <v>&lt;ruby&gt;熱&lt;rt&gt;ねっ&lt;/rt&gt;&lt;/ruby&gt;する&lt;br&gt;&lt;div class="audio"&gt;[sound:ねっする.mp3]&lt;/div&gt;</v>
      </c>
      <c r="H6941" s="3" t="str">
        <f t="shared" si="1"/>
        <v>(v): làm nóng</v>
      </c>
      <c r="I6941" s="6" t="s">
        <v>37760</v>
      </c>
      <c r="J6941" s="6" t="s">
        <v>37761</v>
      </c>
      <c r="K6941" s="7">
        <f t="shared" si="2"/>
        <v>0.5883569154</v>
      </c>
    </row>
    <row r="6942">
      <c r="A6942" s="4">
        <v>6942.0</v>
      </c>
      <c r="B6942" s="5" t="s">
        <v>37762</v>
      </c>
      <c r="C6942" s="5" t="s">
        <v>37763</v>
      </c>
      <c r="D6942" s="5" t="s">
        <v>37764</v>
      </c>
      <c r="E6942" s="6" t="s">
        <v>74</v>
      </c>
      <c r="F6942" s="6" t="s">
        <v>37765</v>
      </c>
      <c r="G6942" s="3" t="str">
        <f>IFERROR(__xludf.DUMMYFUNCTION("REGEXREPLACE(
D6942,
""([一-龯々]+)\[([^\]]+)\]"",
""&lt;ruby&gt;$1&lt;rt&gt;$2&lt;/rt&gt;&lt;/ruby&gt;""
)&amp;""&lt;br&gt;&lt;div class=""""audio""""&gt;[sound:""&amp;C6942&amp;"".mp3]&lt;/div&gt;"""),"&lt;ruby&gt;兎&lt;rt&gt;うさぎ&lt;/rt&gt;&lt;/ruby&gt;&lt;br&gt;&lt;div class=""audio""&gt;[sound:うさぎ.mp3]&lt;/div&gt;")</f>
        <v>&lt;ruby&gt;兎&lt;rt&gt;うさぎ&lt;/rt&gt;&lt;/ruby&gt;&lt;br&gt;&lt;div class="audio"&gt;[sound:うさぎ.mp3]&lt;/div&gt;</v>
      </c>
      <c r="H6942" s="3" t="str">
        <f t="shared" si="1"/>
        <v>(n): con thỏ</v>
      </c>
      <c r="I6942" s="6" t="s">
        <v>37766</v>
      </c>
      <c r="J6942" s="6" t="s">
        <v>24776</v>
      </c>
      <c r="K6942" s="7">
        <f t="shared" si="2"/>
        <v>0.1099616478</v>
      </c>
    </row>
    <row r="6943">
      <c r="A6943" s="4">
        <v>6943.0</v>
      </c>
      <c r="B6943" s="5" t="s">
        <v>37767</v>
      </c>
      <c r="C6943" s="5" t="s">
        <v>37768</v>
      </c>
      <c r="D6943" s="5" t="s">
        <v>37769</v>
      </c>
      <c r="E6943" s="6" t="s">
        <v>74</v>
      </c>
      <c r="F6943" s="6" t="s">
        <v>37770</v>
      </c>
      <c r="G6943" s="3" t="str">
        <f>IFERROR(__xludf.DUMMYFUNCTION("REGEXREPLACE(
D6943,
""([一-龯々]+)\[([^\]]+)\]"",
""&lt;ruby&gt;$1&lt;rt&gt;$2&lt;/rt&gt;&lt;/ruby&gt;""
)&amp;""&lt;br&gt;&lt;div class=""""audio""""&gt;[sound:""&amp;C6943&amp;"".mp3]&lt;/div&gt;"""),"&lt;ruby&gt;金魚&lt;rt&gt;きんぎょ&lt;/rt&gt;&lt;/ruby&gt;&lt;br&gt;&lt;div class=""audio""&gt;[sound:きんぎょ.mp3]&lt;/div&gt;")</f>
        <v>&lt;ruby&gt;金魚&lt;rt&gt;きんぎょ&lt;/rt&gt;&lt;/ruby&gt;&lt;br&gt;&lt;div class="audio"&gt;[sound:きんぎょ.mp3]&lt;/div&gt;</v>
      </c>
      <c r="H6943" s="3" t="str">
        <f t="shared" si="1"/>
        <v>(n): cá vàng</v>
      </c>
      <c r="I6943" s="6" t="s">
        <v>37771</v>
      </c>
      <c r="J6943" s="6" t="s">
        <v>37772</v>
      </c>
      <c r="K6943" s="7">
        <f t="shared" si="2"/>
        <v>0.1546075598</v>
      </c>
    </row>
    <row r="6944">
      <c r="A6944" s="4">
        <v>6944.0</v>
      </c>
      <c r="B6944" s="5" t="s">
        <v>37773</v>
      </c>
      <c r="C6944" s="5" t="s">
        <v>32</v>
      </c>
      <c r="D6944" s="5" t="s">
        <v>37774</v>
      </c>
      <c r="E6944" s="6" t="s">
        <v>74</v>
      </c>
      <c r="F6944" s="6" t="s">
        <v>37775</v>
      </c>
      <c r="G6944" s="3" t="str">
        <f>IFERROR(__xludf.DUMMYFUNCTION("REGEXREPLACE(
D6944,
""([一-龯々]+)\[([^\]]+)\]"",
""&lt;ruby&gt;$1&lt;rt&gt;$2&lt;/rt&gt;&lt;/ruby&gt;""
)&amp;""&lt;br&gt;&lt;div class=""""audio""""&gt;[sound:""&amp;C6944&amp;"".mp3]&lt;/div&gt;"""),"&lt;ruby&gt;灰&lt;rt&gt;はい&lt;/rt&gt;&lt;/ruby&gt;&lt;br&gt;&lt;div class=""audio""&gt;[sound:はい.mp3]&lt;/div&gt;")</f>
        <v>&lt;ruby&gt;灰&lt;rt&gt;はい&lt;/rt&gt;&lt;/ruby&gt;&lt;br&gt;&lt;div class="audio"&gt;[sound:はい.mp3]&lt;/div&gt;</v>
      </c>
      <c r="H6944" s="3" t="str">
        <f t="shared" si="1"/>
        <v>(n): tàn tro</v>
      </c>
      <c r="I6944" s="6" t="s">
        <v>37776</v>
      </c>
      <c r="J6944" s="6" t="s">
        <v>37777</v>
      </c>
      <c r="K6944" s="7">
        <f t="shared" si="2"/>
        <v>0.4503466972</v>
      </c>
    </row>
    <row r="6945">
      <c r="A6945" s="4">
        <v>6945.0</v>
      </c>
      <c r="B6945" s="5" t="s">
        <v>37778</v>
      </c>
      <c r="C6945" s="5" t="s">
        <v>37779</v>
      </c>
      <c r="D6945" s="5" t="s">
        <v>37780</v>
      </c>
      <c r="E6945" s="6" t="s">
        <v>74</v>
      </c>
      <c r="F6945" s="6" t="s">
        <v>37781</v>
      </c>
      <c r="G6945" s="3" t="str">
        <f>IFERROR(__xludf.DUMMYFUNCTION("REGEXREPLACE(
D6945,
""([一-龯々]+)\[([^\]]+)\]"",
""&lt;ruby&gt;$1&lt;rt&gt;$2&lt;/rt&gt;&lt;/ruby&gt;""
)&amp;""&lt;br&gt;&lt;div class=""""audio""""&gt;[sound:""&amp;C6945&amp;"".mp3]&lt;/div&gt;"""),"&lt;ruby&gt;留守番&lt;rt&gt;るすばん&lt;/rt&gt;&lt;/ruby&gt;&lt;br&gt;&lt;div class=""audio""&gt;[sound:るすばん.mp3]&lt;/div&gt;")</f>
        <v>&lt;ruby&gt;留守番&lt;rt&gt;るすばん&lt;/rt&gt;&lt;/ruby&gt;&lt;br&gt;&lt;div class="audio"&gt;[sound:るすばん.mp3]&lt;/div&gt;</v>
      </c>
      <c r="H6945" s="3" t="str">
        <f t="shared" si="1"/>
        <v>(n): giữ nhà</v>
      </c>
      <c r="I6945" s="6" t="s">
        <v>37782</v>
      </c>
      <c r="J6945" s="6" t="s">
        <v>37783</v>
      </c>
      <c r="K6945" s="7">
        <f t="shared" si="2"/>
        <v>0.2981893999</v>
      </c>
    </row>
    <row r="6946">
      <c r="A6946" s="4">
        <v>6946.0</v>
      </c>
      <c r="B6946" s="5" t="s">
        <v>37784</v>
      </c>
      <c r="C6946" s="5" t="s">
        <v>37785</v>
      </c>
      <c r="D6946" s="5" t="s">
        <v>37786</v>
      </c>
      <c r="E6946" s="6" t="s">
        <v>24</v>
      </c>
      <c r="F6946" s="6" t="s">
        <v>37787</v>
      </c>
      <c r="G6946" s="3" t="str">
        <f>IFERROR(__xludf.DUMMYFUNCTION("REGEXREPLACE(
D6946,
""([一-龯々]+)\[([^\]]+)\]"",
""&lt;ruby&gt;$1&lt;rt&gt;$2&lt;/rt&gt;&lt;/ruby&gt;""
)&amp;""&lt;br&gt;&lt;div class=""""audio""""&gt;[sound:""&amp;C6946&amp;"".mp3]&lt;/div&gt;"""),"&lt;ruby&gt;縮&lt;rt&gt;ちぢ&lt;/rt&gt;&lt;/ruby&gt;れる&lt;br&gt;&lt;div class=""audio""&gt;[sound:ちぢれる.mp3]&lt;/div&gt;")</f>
        <v>&lt;ruby&gt;縮&lt;rt&gt;ちぢ&lt;/rt&gt;&lt;/ruby&gt;れる&lt;br&gt;&lt;div class="audio"&gt;[sound:ちぢれる.mp3]&lt;/div&gt;</v>
      </c>
      <c r="H6946" s="3" t="str">
        <f t="shared" si="1"/>
        <v>(v): xoăn</v>
      </c>
      <c r="I6946" s="6" t="s">
        <v>37788</v>
      </c>
      <c r="J6946" s="6" t="s">
        <v>37789</v>
      </c>
      <c r="K6946" s="7">
        <f t="shared" si="2"/>
        <v>0.3359865837</v>
      </c>
    </row>
    <row r="6947">
      <c r="A6947" s="4">
        <v>6947.0</v>
      </c>
      <c r="B6947" s="5" t="s">
        <v>37790</v>
      </c>
      <c r="C6947" s="5" t="s">
        <v>37791</v>
      </c>
      <c r="D6947" s="5" t="s">
        <v>37792</v>
      </c>
      <c r="E6947" s="6" t="s">
        <v>24</v>
      </c>
      <c r="F6947" s="6" t="s">
        <v>8116</v>
      </c>
      <c r="G6947" s="3" t="str">
        <f>IFERROR(__xludf.DUMMYFUNCTION("REGEXREPLACE(
D6947,
""([一-龯々]+)\[([^\]]+)\]"",
""&lt;ruby&gt;$1&lt;rt&gt;$2&lt;/rt&gt;&lt;/ruby&gt;""
)&amp;""&lt;br&gt;&lt;div class=""""audio""""&gt;[sound:""&amp;C6947&amp;"".mp3]&lt;/div&gt;"""),"&lt;ruby&gt;畳&lt;rt&gt;たた&lt;/rt&gt;&lt;/ruby&gt;む&lt;br&gt;&lt;div class=""audio""&gt;[sound:たたむ.mp3]&lt;/div&gt;")</f>
        <v>&lt;ruby&gt;畳&lt;rt&gt;たた&lt;/rt&gt;&lt;/ruby&gt;む&lt;br&gt;&lt;div class="audio"&gt;[sound:たたむ.mp3]&lt;/div&gt;</v>
      </c>
      <c r="H6947" s="3" t="str">
        <f t="shared" si="1"/>
        <v>(v): gấp</v>
      </c>
      <c r="I6947" s="6" t="s">
        <v>37793</v>
      </c>
      <c r="J6947" s="6" t="s">
        <v>37794</v>
      </c>
      <c r="K6947" s="7">
        <f t="shared" si="2"/>
        <v>0.547625204</v>
      </c>
    </row>
    <row r="6948">
      <c r="A6948" s="4">
        <v>6948.0</v>
      </c>
      <c r="B6948" s="5" t="s">
        <v>37795</v>
      </c>
      <c r="C6948" s="5" t="s">
        <v>2036</v>
      </c>
      <c r="D6948" s="5" t="s">
        <v>37796</v>
      </c>
      <c r="E6948" s="6" t="s">
        <v>24</v>
      </c>
      <c r="F6948" s="6" t="s">
        <v>37797</v>
      </c>
      <c r="G6948" s="3" t="str">
        <f>IFERROR(__xludf.DUMMYFUNCTION("REGEXREPLACE(
D6948,
""([一-龯々]+)\[([^\]]+)\]"",
""&lt;ruby&gt;$1&lt;rt&gt;$2&lt;/rt&gt;&lt;/ruby&gt;""
)&amp;""&lt;br&gt;&lt;div class=""""audio""""&gt;[sound:""&amp;C6948&amp;"".mp3]&lt;/div&gt;"""),"&lt;ruby&gt;剥&lt;rt&gt;む&lt;/rt&gt;&lt;/ruby&gt;く&lt;br&gt;&lt;div class=""audio""&gt;[sound:むく.mp3]&lt;/div&gt;")</f>
        <v>&lt;ruby&gt;剥&lt;rt&gt;む&lt;/rt&gt;&lt;/ruby&gt;く&lt;br&gt;&lt;div class="audio"&gt;[sound:むく.mp3]&lt;/div&gt;</v>
      </c>
      <c r="H6948" s="3" t="str">
        <f t="shared" si="1"/>
        <v>(v): bóc</v>
      </c>
      <c r="I6948" s="6" t="s">
        <v>37798</v>
      </c>
      <c r="J6948" s="6" t="s">
        <v>37799</v>
      </c>
      <c r="K6948" s="7">
        <f t="shared" si="2"/>
        <v>0.03828866679</v>
      </c>
    </row>
    <row r="6949">
      <c r="A6949" s="4">
        <v>6949.0</v>
      </c>
      <c r="B6949" s="5" t="s">
        <v>37800</v>
      </c>
      <c r="C6949" s="5" t="s">
        <v>8707</v>
      </c>
      <c r="D6949" s="5" t="s">
        <v>37801</v>
      </c>
      <c r="E6949" s="6" t="s">
        <v>74</v>
      </c>
      <c r="F6949" s="6" t="s">
        <v>37802</v>
      </c>
      <c r="G6949" s="3" t="str">
        <f>IFERROR(__xludf.DUMMYFUNCTION("REGEXREPLACE(
D6949,
""([一-龯々]+)\[([^\]]+)\]"",
""&lt;ruby&gt;$1&lt;rt&gt;$2&lt;/rt&gt;&lt;/ruby&gt;""
)&amp;""&lt;br&gt;&lt;div class=""""audio""""&gt;[sound:""&amp;C6949&amp;"".mp3]&lt;/div&gt;"""),"&lt;ruby&gt;磁器&lt;rt&gt;じき&lt;/rt&gt;&lt;/ruby&gt;&lt;br&gt;&lt;div class=""audio""&gt;[sound:じき.mp3]&lt;/div&gt;")</f>
        <v>&lt;ruby&gt;磁器&lt;rt&gt;じき&lt;/rt&gt;&lt;/ruby&gt;&lt;br&gt;&lt;div class="audio"&gt;[sound:じき.mp3]&lt;/div&gt;</v>
      </c>
      <c r="H6949" s="3" t="str">
        <f t="shared" si="1"/>
        <v>(n): đồ sứ</v>
      </c>
      <c r="I6949" s="6" t="s">
        <v>37803</v>
      </c>
      <c r="J6949" s="6" t="s">
        <v>37804</v>
      </c>
      <c r="K6949" s="7">
        <f t="shared" si="2"/>
        <v>0.892255335</v>
      </c>
    </row>
    <row r="6950">
      <c r="A6950" s="4">
        <v>6950.0</v>
      </c>
      <c r="B6950" s="5" t="s">
        <v>37805</v>
      </c>
      <c r="C6950" s="5" t="s">
        <v>37806</v>
      </c>
      <c r="D6950" s="5" t="s">
        <v>37807</v>
      </c>
      <c r="E6950" s="6" t="s">
        <v>74</v>
      </c>
      <c r="F6950" s="6" t="s">
        <v>37808</v>
      </c>
      <c r="G6950" s="3" t="str">
        <f>IFERROR(__xludf.DUMMYFUNCTION("REGEXREPLACE(
D6950,
""([一-龯々]+)\[([^\]]+)\]"",
""&lt;ruby&gt;$1&lt;rt&gt;$2&lt;/rt&gt;&lt;/ruby&gt;""
)&amp;""&lt;br&gt;&lt;div class=""""audio""""&gt;[sound:""&amp;C6950&amp;"".mp3]&lt;/div&gt;"""),"&lt;ruby&gt;盆&lt;rt&gt;ぼん&lt;/rt&gt;&lt;/ruby&gt;&lt;br&gt;&lt;div class=""audio""&gt;[sound:ぼん.mp3]&lt;/div&gt;")</f>
        <v>&lt;ruby&gt;盆&lt;rt&gt;ぼん&lt;/rt&gt;&lt;/ruby&gt;&lt;br&gt;&lt;div class="audio"&gt;[sound:ぼん.mp3]&lt;/div&gt;</v>
      </c>
      <c r="H6950" s="3" t="str">
        <f t="shared" si="1"/>
        <v>(n): khay</v>
      </c>
      <c r="I6950" s="6" t="s">
        <v>37809</v>
      </c>
      <c r="J6950" s="6" t="s">
        <v>37810</v>
      </c>
      <c r="K6950" s="7">
        <f t="shared" si="2"/>
        <v>0.2443128467</v>
      </c>
    </row>
    <row r="6951">
      <c r="A6951" s="4">
        <v>6951.0</v>
      </c>
      <c r="B6951" s="5" t="s">
        <v>37811</v>
      </c>
      <c r="C6951" s="5" t="s">
        <v>37812</v>
      </c>
      <c r="D6951" s="5" t="s">
        <v>37813</v>
      </c>
      <c r="E6951" s="6" t="s">
        <v>74</v>
      </c>
      <c r="F6951" s="6" t="s">
        <v>37814</v>
      </c>
      <c r="G6951" s="3" t="str">
        <f>IFERROR(__xludf.DUMMYFUNCTION("REGEXREPLACE(
D6951,
""([一-龯々]+)\[([^\]]+)\]"",
""&lt;ruby&gt;$1&lt;rt&gt;$2&lt;/rt&gt;&lt;/ruby&gt;""
)&amp;""&lt;br&gt;&lt;div class=""""audio""""&gt;[sound:""&amp;C6951&amp;"".mp3]&lt;/div&gt;"""),"&lt;ruby&gt;釘&lt;rt&gt;くぎ&lt;/rt&gt;&lt;/ruby&gt;&lt;br&gt;&lt;div class=""audio""&gt;[sound:くぎ.mp3]&lt;/div&gt;")</f>
        <v>&lt;ruby&gt;釘&lt;rt&gt;くぎ&lt;/rt&gt;&lt;/ruby&gt;&lt;br&gt;&lt;div class="audio"&gt;[sound:くぎ.mp3]&lt;/div&gt;</v>
      </c>
      <c r="H6951" s="3" t="str">
        <f t="shared" si="1"/>
        <v>(n): đinh</v>
      </c>
      <c r="I6951" s="6" t="s">
        <v>37815</v>
      </c>
      <c r="J6951" s="6" t="s">
        <v>37816</v>
      </c>
      <c r="K6951" s="7">
        <f t="shared" si="2"/>
        <v>0.585862288</v>
      </c>
    </row>
    <row r="6952">
      <c r="A6952" s="4">
        <v>6952.0</v>
      </c>
      <c r="B6952" s="5" t="s">
        <v>37817</v>
      </c>
      <c r="C6952" s="5" t="s">
        <v>22870</v>
      </c>
      <c r="D6952" s="5" t="s">
        <v>37818</v>
      </c>
      <c r="E6952" s="6" t="s">
        <v>24</v>
      </c>
      <c r="F6952" s="6" t="s">
        <v>35159</v>
      </c>
      <c r="G6952" s="3" t="str">
        <f>IFERROR(__xludf.DUMMYFUNCTION("REGEXREPLACE(
D6952,
""([一-龯々]+)\[([^\]]+)\]"",
""&lt;ruby&gt;$1&lt;rt&gt;$2&lt;/rt&gt;&lt;/ruby&gt;""
)&amp;""&lt;br&gt;&lt;div class=""""audio""""&gt;[sound:""&amp;C6952&amp;"".mp3]&lt;/div&gt;"""),"&lt;ruby&gt;湧&lt;rt&gt;わ&lt;/rt&gt;&lt;/ruby&gt;く&lt;br&gt;&lt;div class=""audio""&gt;[sound:わく.mp3]&lt;/div&gt;")</f>
        <v>&lt;ruby&gt;湧&lt;rt&gt;わ&lt;/rt&gt;&lt;/ruby&gt;く&lt;br&gt;&lt;div class="audio"&gt;[sound:わく.mp3]&lt;/div&gt;</v>
      </c>
      <c r="H6952" s="3" t="str">
        <f t="shared" si="1"/>
        <v>(v): sôi</v>
      </c>
      <c r="I6952" s="6" t="s">
        <v>37819</v>
      </c>
      <c r="J6952" s="6" t="s">
        <v>32341</v>
      </c>
      <c r="K6952" s="7">
        <f t="shared" si="2"/>
        <v>0.8861658998</v>
      </c>
    </row>
    <row r="6953">
      <c r="A6953" s="4">
        <v>6953.0</v>
      </c>
      <c r="B6953" s="5" t="s">
        <v>37820</v>
      </c>
      <c r="C6953" s="5" t="s">
        <v>37821</v>
      </c>
      <c r="D6953" s="5" t="s">
        <v>37822</v>
      </c>
      <c r="E6953" s="6" t="s">
        <v>74</v>
      </c>
      <c r="F6953" s="6" t="s">
        <v>37823</v>
      </c>
      <c r="G6953" s="3" t="str">
        <f>IFERROR(__xludf.DUMMYFUNCTION("REGEXREPLACE(
D6953,
""([一-龯々]+)\[([^\]]+)\]"",
""&lt;ruby&gt;$1&lt;rt&gt;$2&lt;/rt&gt;&lt;/ruby&gt;""
)&amp;""&lt;br&gt;&lt;div class=""""audio""""&gt;[sound:""&amp;C6953&amp;"".mp3]&lt;/div&gt;"""),"&lt;ruby&gt;溜息&lt;rt&gt;ためいき&lt;/rt&gt;&lt;/ruby&gt;&lt;br&gt;&lt;div class=""audio""&gt;[sound:ためいき.mp3]&lt;/div&gt;")</f>
        <v>&lt;ruby&gt;溜息&lt;rt&gt;ためいき&lt;/rt&gt;&lt;/ruby&gt;&lt;br&gt;&lt;div class="audio"&gt;[sound:ためいき.mp3]&lt;/div&gt;</v>
      </c>
      <c r="H6953" s="3" t="str">
        <f t="shared" si="1"/>
        <v>(n): tiếng thở dài</v>
      </c>
      <c r="I6953" s="6" t="s">
        <v>37824</v>
      </c>
      <c r="J6953" s="6" t="s">
        <v>37825</v>
      </c>
      <c r="K6953" s="7">
        <f t="shared" si="2"/>
        <v>0.3247151809</v>
      </c>
    </row>
    <row r="6954">
      <c r="A6954" s="4">
        <v>6954.0</v>
      </c>
      <c r="B6954" s="5" t="s">
        <v>37826</v>
      </c>
      <c r="C6954" s="5" t="s">
        <v>37827</v>
      </c>
      <c r="D6954" s="5" t="s">
        <v>37828</v>
      </c>
      <c r="E6954" s="6" t="s">
        <v>24</v>
      </c>
      <c r="F6954" s="6" t="s">
        <v>37829</v>
      </c>
      <c r="G6954" s="3" t="str">
        <f>IFERROR(__xludf.DUMMYFUNCTION("REGEXREPLACE(
D6954,
""([一-龯々]+)\[([^\]]+)\]"",
""&lt;ruby&gt;$1&lt;rt&gt;$2&lt;/rt&gt;&lt;/ruby&gt;""
)&amp;""&lt;br&gt;&lt;div class=""""audio""""&gt;[sound:""&amp;C6954&amp;"".mp3]&lt;/div&gt;"""),"&lt;ruby&gt;生&lt;rt&gt;は&lt;/rt&gt;&lt;/ruby&gt;やす&lt;br&gt;&lt;div class=""audio""&gt;[sound:はやす.mp3]&lt;/div&gt;")</f>
        <v>&lt;ruby&gt;生&lt;rt&gt;は&lt;/rt&gt;&lt;/ruby&gt;やす&lt;br&gt;&lt;div class="audio"&gt;[sound:はやす.mp3]&lt;/div&gt;</v>
      </c>
      <c r="H6954" s="3" t="str">
        <f t="shared" si="1"/>
        <v>(v): để mọc</v>
      </c>
      <c r="I6954" s="6" t="s">
        <v>37830</v>
      </c>
      <c r="J6954" s="6" t="s">
        <v>37831</v>
      </c>
      <c r="K6954" s="7">
        <f t="shared" si="2"/>
        <v>0.01813388528</v>
      </c>
    </row>
    <row r="6955">
      <c r="A6955" s="4">
        <v>6955.0</v>
      </c>
      <c r="B6955" s="5" t="s">
        <v>37832</v>
      </c>
      <c r="C6955" s="5" t="s">
        <v>37833</v>
      </c>
      <c r="D6955" s="5" t="s">
        <v>37834</v>
      </c>
      <c r="E6955" s="6" t="s">
        <v>74</v>
      </c>
      <c r="F6955" s="6" t="s">
        <v>37835</v>
      </c>
      <c r="G6955" s="3" t="str">
        <f>IFERROR(__xludf.DUMMYFUNCTION("REGEXREPLACE(
D6955,
""([一-龯々]+)\[([^\]]+)\]"",
""&lt;ruby&gt;$1&lt;rt&gt;$2&lt;/rt&gt;&lt;/ruby&gt;""
)&amp;""&lt;br&gt;&lt;div class=""""audio""""&gt;[sound:""&amp;C6955&amp;"".mp3]&lt;/div&gt;"""),"&lt;ruby&gt;気品&lt;rt&gt;きひん&lt;/rt&gt;&lt;/ruby&gt;&lt;br&gt;&lt;div class=""audio""&gt;[sound:きひん.mp3]&lt;/div&gt;")</f>
        <v>&lt;ruby&gt;気品&lt;rt&gt;きひん&lt;/rt&gt;&lt;/ruby&gt;&lt;br&gt;&lt;div class="audio"&gt;[sound:きひん.mp3]&lt;/div&gt;</v>
      </c>
      <c r="H6955" s="3" t="str">
        <f t="shared" si="1"/>
        <v>(n): khí chất sang trọng</v>
      </c>
      <c r="I6955" s="6" t="s">
        <v>37836</v>
      </c>
      <c r="J6955" s="6" t="s">
        <v>37837</v>
      </c>
      <c r="K6955" s="7">
        <f t="shared" si="2"/>
        <v>0.6158978676</v>
      </c>
    </row>
    <row r="6956">
      <c r="A6956" s="4">
        <v>6956.0</v>
      </c>
      <c r="B6956" s="5" t="s">
        <v>37838</v>
      </c>
      <c r="C6956" s="5" t="s">
        <v>37839</v>
      </c>
      <c r="D6956" s="5" t="s">
        <v>37840</v>
      </c>
      <c r="E6956" s="6" t="s">
        <v>74</v>
      </c>
      <c r="F6956" s="6" t="s">
        <v>37841</v>
      </c>
      <c r="G6956" s="3" t="str">
        <f>IFERROR(__xludf.DUMMYFUNCTION("REGEXREPLACE(
D6956,
""([一-龯々]+)\[([^\]]+)\]"",
""&lt;ruby&gt;$1&lt;rt&gt;$2&lt;/rt&gt;&lt;/ruby&gt;""
)&amp;""&lt;br&gt;&lt;div class=""""audio""""&gt;[sound:""&amp;C6956&amp;"".mp3]&lt;/div&gt;"""),"&lt;ruby&gt;没落&lt;rt&gt;ぼつらく&lt;/rt&gt;&lt;/ruby&gt;&lt;br&gt;&lt;div class=""audio""&gt;[sound:ぼつらく.mp3]&lt;/div&gt;")</f>
        <v>&lt;ruby&gt;没落&lt;rt&gt;ぼつらく&lt;/rt&gt;&lt;/ruby&gt;&lt;br&gt;&lt;div class="audio"&gt;[sound:ぼつらく.mp3]&lt;/div&gt;</v>
      </c>
      <c r="H6956" s="3" t="str">
        <f t="shared" si="1"/>
        <v>(n): suy tàn</v>
      </c>
      <c r="I6956" s="6" t="s">
        <v>37842</v>
      </c>
      <c r="J6956" s="6" t="s">
        <v>37843</v>
      </c>
      <c r="K6956" s="7">
        <f t="shared" si="2"/>
        <v>0.518706651</v>
      </c>
    </row>
    <row r="6957">
      <c r="A6957" s="4">
        <v>6957.0</v>
      </c>
      <c r="B6957" s="5" t="s">
        <v>37844</v>
      </c>
      <c r="C6957" s="5" t="s">
        <v>37845</v>
      </c>
      <c r="D6957" s="5" t="s">
        <v>37846</v>
      </c>
      <c r="E6957" s="6" t="s">
        <v>74</v>
      </c>
      <c r="F6957" s="6" t="s">
        <v>37847</v>
      </c>
      <c r="G6957" s="3" t="str">
        <f>IFERROR(__xludf.DUMMYFUNCTION("REGEXREPLACE(
D6957,
""([一-龯々]+)\[([^\]]+)\]"",
""&lt;ruby&gt;$1&lt;rt&gt;$2&lt;/rt&gt;&lt;/ruby&gt;""
)&amp;""&lt;br&gt;&lt;div class=""""audio""""&gt;[sound:""&amp;C6957&amp;"".mp3]&lt;/div&gt;"""),"&lt;ruby&gt;玄人&lt;rt&gt;くろうと&lt;/rt&gt;&lt;/ruby&gt;&lt;br&gt;&lt;div class=""audio""&gt;[sound:くろうと.mp3]&lt;/div&gt;")</f>
        <v>&lt;ruby&gt;玄人&lt;rt&gt;くろうと&lt;/rt&gt;&lt;/ruby&gt;&lt;br&gt;&lt;div class="audio"&gt;[sound:くろうと.mp3]&lt;/div&gt;</v>
      </c>
      <c r="H6957" s="3" t="str">
        <f t="shared" si="1"/>
        <v>(n): người chuyên nghiệp</v>
      </c>
      <c r="I6957" s="6" t="s">
        <v>37848</v>
      </c>
      <c r="J6957" s="6" t="s">
        <v>37849</v>
      </c>
      <c r="K6957" s="7">
        <f t="shared" si="2"/>
        <v>0.9518832222</v>
      </c>
    </row>
    <row r="6958">
      <c r="A6958" s="4">
        <v>6958.0</v>
      </c>
      <c r="B6958" s="5" t="s">
        <v>37850</v>
      </c>
      <c r="C6958" s="5" t="s">
        <v>37851</v>
      </c>
      <c r="D6958" s="5" t="s">
        <v>37852</v>
      </c>
      <c r="E6958" s="6" t="s">
        <v>85</v>
      </c>
      <c r="F6958" s="6" t="s">
        <v>35443</v>
      </c>
      <c r="G6958" s="3" t="str">
        <f>IFERROR(__xludf.DUMMYFUNCTION("REGEXREPLACE(
D6958,
""([一-龯々]+)\[([^\]]+)\]"",
""&lt;ruby&gt;$1&lt;rt&gt;$2&lt;/rt&gt;&lt;/ruby&gt;""
)&amp;""&lt;br&gt;&lt;div class=""""audio""""&gt;[sound:""&amp;C6958&amp;"".mp3]&lt;/div&gt;"""),"&lt;ruby&gt;無闇&lt;rt&gt;むやみ&lt;/rt&gt;&lt;/ruby&gt;に&lt;br&gt;&lt;div class=""audio""&gt;[sound:むやみに.mp3]&lt;/div&gt;")</f>
        <v>&lt;ruby&gt;無闇&lt;rt&gt;むやみ&lt;/rt&gt;&lt;/ruby&gt;に&lt;br&gt;&lt;div class="audio"&gt;[sound:むやみに.mp3]&lt;/div&gt;</v>
      </c>
      <c r="H6958" s="3" t="str">
        <f t="shared" si="1"/>
        <v>(adv): khinh suất</v>
      </c>
      <c r="I6958" s="6" t="s">
        <v>37853</v>
      </c>
      <c r="J6958" s="6" t="s">
        <v>37854</v>
      </c>
      <c r="K6958" s="7">
        <f t="shared" si="2"/>
        <v>0.6569358169</v>
      </c>
    </row>
    <row r="6959">
      <c r="A6959" s="4">
        <v>6959.0</v>
      </c>
      <c r="B6959" s="5" t="s">
        <v>37855</v>
      </c>
      <c r="C6959" s="5" t="s">
        <v>37855</v>
      </c>
      <c r="D6959" s="5" t="s">
        <v>37855</v>
      </c>
      <c r="E6959" s="6" t="s">
        <v>11</v>
      </c>
      <c r="F6959" s="6" t="s">
        <v>37856</v>
      </c>
      <c r="G6959" s="3" t="str">
        <f>IFERROR(__xludf.DUMMYFUNCTION("REGEXREPLACE(
D6959,
""([一-龯々]+)\[([^\]]+)\]"",
""&lt;ruby&gt;$1&lt;rt&gt;$2&lt;/rt&gt;&lt;/ruby&gt;""
)&amp;""&lt;br&gt;&lt;div class=""""audio""""&gt;[sound:""&amp;C6959&amp;"".mp3]&lt;/div&gt;"""),"だぶだぶ&lt;br&gt;&lt;div class=""audio""&gt;[sound:だぶだぶ.mp3]&lt;/div&gt;")</f>
        <v>だぶだぶ&lt;br&gt;&lt;div class="audio"&gt;[sound:だぶだぶ.mp3]&lt;/div&gt;</v>
      </c>
      <c r="H6959" s="3" t="str">
        <f t="shared" si="1"/>
        <v>(adj): rộng thùng thình</v>
      </c>
      <c r="I6959" s="6" t="s">
        <v>37857</v>
      </c>
      <c r="J6959" s="6" t="s">
        <v>37858</v>
      </c>
      <c r="K6959" s="7">
        <f t="shared" si="2"/>
        <v>0.4025433081</v>
      </c>
    </row>
    <row r="6960">
      <c r="A6960" s="4">
        <v>6960.0</v>
      </c>
      <c r="B6960" s="5" t="s">
        <v>37859</v>
      </c>
      <c r="C6960" s="5" t="s">
        <v>37859</v>
      </c>
      <c r="D6960" s="5" t="s">
        <v>37859</v>
      </c>
      <c r="E6960" s="6" t="s">
        <v>11</v>
      </c>
      <c r="F6960" s="6" t="s">
        <v>37856</v>
      </c>
      <c r="G6960" s="3" t="str">
        <f>IFERROR(__xludf.DUMMYFUNCTION("REGEXREPLACE(
D6960,
""([一-龯々]+)\[([^\]]+)\]"",
""&lt;ruby&gt;$1&lt;rt&gt;$2&lt;/rt&gt;&lt;/ruby&gt;""
)&amp;""&lt;br&gt;&lt;div class=""""audio""""&gt;[sound:""&amp;C6960&amp;"".mp3]&lt;/div&gt;"""),"ぶかぶか&lt;br&gt;&lt;div class=""audio""&gt;[sound:ぶかぶか.mp3]&lt;/div&gt;")</f>
        <v>ぶかぶか&lt;br&gt;&lt;div class="audio"&gt;[sound:ぶかぶか.mp3]&lt;/div&gt;</v>
      </c>
      <c r="H6960" s="3" t="str">
        <f t="shared" si="1"/>
        <v>(adj): rộng thùng thình</v>
      </c>
      <c r="I6960" s="6" t="s">
        <v>37860</v>
      </c>
      <c r="J6960" s="6" t="s">
        <v>37861</v>
      </c>
      <c r="K6960" s="7">
        <f t="shared" si="2"/>
        <v>0.8446910613</v>
      </c>
    </row>
    <row r="6961">
      <c r="A6961" s="4">
        <v>6961.0</v>
      </c>
      <c r="B6961" s="5" t="s">
        <v>37862</v>
      </c>
      <c r="C6961" s="5" t="s">
        <v>37863</v>
      </c>
      <c r="D6961" s="5" t="s">
        <v>37864</v>
      </c>
      <c r="E6961" s="6" t="s">
        <v>24</v>
      </c>
      <c r="F6961" s="6" t="s">
        <v>37865</v>
      </c>
      <c r="G6961" s="3" t="str">
        <f>IFERROR(__xludf.DUMMYFUNCTION("REGEXREPLACE(
D6961,
""([一-龯々]+)\[([^\]]+)\]"",
""&lt;ruby&gt;$1&lt;rt&gt;$2&lt;/rt&gt;&lt;/ruby&gt;""
)&amp;""&lt;br&gt;&lt;div class=""""audio""""&gt;[sound:""&amp;C6961&amp;"".mp3]&lt;/div&gt;"""),"&lt;ruby&gt;煙&lt;rt&gt;けむ&lt;/rt&gt;&lt;/ruby&gt;る&lt;br&gt;&lt;div class=""audio""&gt;[sound:けむる.mp3]&lt;/div&gt;")</f>
        <v>&lt;ruby&gt;煙&lt;rt&gt;けむ&lt;/rt&gt;&lt;/ruby&gt;る&lt;br&gt;&lt;div class="audio"&gt;[sound:けむる.mp3]&lt;/div&gt;</v>
      </c>
      <c r="H6961" s="3" t="str">
        <f t="shared" si="1"/>
        <v>(v): bị khói bao phủ</v>
      </c>
      <c r="I6961" s="6" t="s">
        <v>37866</v>
      </c>
      <c r="J6961" s="6" t="s">
        <v>37867</v>
      </c>
      <c r="K6961" s="7">
        <f t="shared" si="2"/>
        <v>0.09508836052</v>
      </c>
    </row>
    <row r="6962">
      <c r="A6962" s="4">
        <v>6962.0</v>
      </c>
      <c r="B6962" s="5" t="s">
        <v>37868</v>
      </c>
      <c r="C6962" s="5" t="s">
        <v>21885</v>
      </c>
      <c r="D6962" s="5" t="s">
        <v>37869</v>
      </c>
      <c r="E6962" s="6" t="s">
        <v>24</v>
      </c>
      <c r="F6962" s="6" t="s">
        <v>37870</v>
      </c>
      <c r="G6962" s="3" t="str">
        <f>IFERROR(__xludf.DUMMYFUNCTION("REGEXREPLACE(
D6962,
""([一-龯々]+)\[([^\]]+)\]"",
""&lt;ruby&gt;$1&lt;rt&gt;$2&lt;/rt&gt;&lt;/ruby&gt;""
)&amp;""&lt;br&gt;&lt;div class=""""audio""""&gt;[sound:""&amp;C6962&amp;"".mp3]&lt;/div&gt;"""),"&lt;ruby&gt;清&lt;rt&gt;す&lt;/rt&gt;&lt;/ruby&gt;ます&lt;br&gt;&lt;div class=""audio""&gt;[sound:すます.mp3]&lt;/div&gt;")</f>
        <v>&lt;ruby&gt;清&lt;rt&gt;す&lt;/rt&gt;&lt;/ruby&gt;ます&lt;br&gt;&lt;div class="audio"&gt;[sound:すます.mp3]&lt;/div&gt;</v>
      </c>
      <c r="H6962" s="3" t="str">
        <f t="shared" si="1"/>
        <v>(v): làm trong sạch</v>
      </c>
      <c r="I6962" s="6" t="s">
        <v>37871</v>
      </c>
      <c r="J6962" s="6" t="s">
        <v>37872</v>
      </c>
      <c r="K6962" s="7">
        <f t="shared" si="2"/>
        <v>0.9375976019</v>
      </c>
    </row>
    <row r="6963">
      <c r="A6963" s="4">
        <v>6963.0</v>
      </c>
      <c r="B6963" s="5" t="s">
        <v>37873</v>
      </c>
      <c r="C6963" s="5" t="s">
        <v>37874</v>
      </c>
      <c r="D6963" s="5" t="s">
        <v>37875</v>
      </c>
      <c r="E6963" s="6" t="s">
        <v>11</v>
      </c>
      <c r="F6963" s="6" t="s">
        <v>37876</v>
      </c>
      <c r="G6963" s="3" t="str">
        <f>IFERROR(__xludf.DUMMYFUNCTION("REGEXREPLACE(
D6963,
""([一-龯々]+)\[([^\]]+)\]"",
""&lt;ruby&gt;$1&lt;rt&gt;$2&lt;/rt&gt;&lt;/ruby&gt;""
)&amp;""&lt;br&gt;&lt;div class=""""audio""""&gt;[sound:""&amp;C6963&amp;"".mp3]&lt;/div&gt;"""),"&lt;ruby&gt;生真面目&lt;rt&gt;きまじめ&lt;/rt&gt;&lt;/ruby&gt;&lt;br&gt;&lt;div class=""audio""&gt;[sound:きまじめ.mp3]&lt;/div&gt;")</f>
        <v>&lt;ruby&gt;生真面目&lt;rt&gt;きまじめ&lt;/rt&gt;&lt;/ruby&gt;&lt;br&gt;&lt;div class="audio"&gt;[sound:きまじめ.mp3]&lt;/div&gt;</v>
      </c>
      <c r="H6963" s="3" t="str">
        <f t="shared" si="1"/>
        <v>(adj): rất nghiêm túc</v>
      </c>
      <c r="I6963" s="6" t="s">
        <v>37877</v>
      </c>
      <c r="J6963" s="6" t="s">
        <v>37878</v>
      </c>
      <c r="K6963" s="7">
        <f t="shared" si="2"/>
        <v>0.8978744816</v>
      </c>
    </row>
    <row r="6964">
      <c r="A6964" s="4">
        <v>6964.0</v>
      </c>
      <c r="B6964" s="5" t="s">
        <v>37879</v>
      </c>
      <c r="C6964" s="5" t="s">
        <v>37880</v>
      </c>
      <c r="D6964" s="5" t="s">
        <v>37881</v>
      </c>
      <c r="E6964" s="6" t="s">
        <v>74</v>
      </c>
      <c r="F6964" s="6" t="s">
        <v>37882</v>
      </c>
      <c r="G6964" s="3" t="str">
        <f>IFERROR(__xludf.DUMMYFUNCTION("REGEXREPLACE(
D6964,
""([一-龯々]+)\[([^\]]+)\]"",
""&lt;ruby&gt;$1&lt;rt&gt;$2&lt;/rt&gt;&lt;/ruby&gt;""
)&amp;""&lt;br&gt;&lt;div class=""""audio""""&gt;[sound:""&amp;C6964&amp;"".mp3]&lt;/div&gt;"""),"&lt;ruby&gt;申&lt;rt&gt;もう&lt;/rt&gt;&lt;/ruby&gt;し&lt;ruby&gt;分&lt;rt&gt;ぶん&lt;/rt&gt;&lt;/ruby&gt;&lt;br&gt;&lt;div class=""audio""&gt;[sound:もうしぶん.mp3]&lt;/div&gt;")</f>
        <v>&lt;ruby&gt;申&lt;rt&gt;もう&lt;/rt&gt;&lt;/ruby&gt;し&lt;ruby&gt;分&lt;rt&gt;ぶん&lt;/rt&gt;&lt;/ruby&gt;&lt;br&gt;&lt;div class="audio"&gt;[sound:もうしぶん.mp3]&lt;/div&gt;</v>
      </c>
      <c r="H6964" s="3" t="str">
        <f t="shared" si="1"/>
        <v>(n): điểm chê trách</v>
      </c>
      <c r="I6964" s="6" t="s">
        <v>37883</v>
      </c>
      <c r="J6964" s="6" t="s">
        <v>37884</v>
      </c>
      <c r="K6964" s="7">
        <f t="shared" si="2"/>
        <v>0.5651322226</v>
      </c>
    </row>
    <row r="6965">
      <c r="A6965" s="4">
        <v>6965.0</v>
      </c>
      <c r="B6965" s="5" t="s">
        <v>37885</v>
      </c>
      <c r="C6965" s="5" t="s">
        <v>37885</v>
      </c>
      <c r="D6965" s="5" t="s">
        <v>37885</v>
      </c>
      <c r="E6965" s="6" t="s">
        <v>85</v>
      </c>
      <c r="F6965" s="6" t="s">
        <v>37886</v>
      </c>
      <c r="G6965" s="3" t="str">
        <f>IFERROR(__xludf.DUMMYFUNCTION("REGEXREPLACE(
D6965,
""([一-龯々]+)\[([^\]]+)\]"",
""&lt;ruby&gt;$1&lt;rt&gt;$2&lt;/rt&gt;&lt;/ruby&gt;""
)&amp;""&lt;br&gt;&lt;div class=""""audio""""&gt;[sound:""&amp;C6965&amp;"".mp3]&lt;/div&gt;"""),"なんなり&lt;br&gt;&lt;div class=""audio""&gt;[sound:なんなり.mp3]&lt;/div&gt;")</f>
        <v>なんなり&lt;br&gt;&lt;div class="audio"&gt;[sound:なんなり.mp3]&lt;/div&gt;</v>
      </c>
      <c r="H6965" s="3" t="str">
        <f t="shared" si="1"/>
        <v>(adv): bất cứ thứ gì</v>
      </c>
      <c r="I6965" s="6" t="s">
        <v>37887</v>
      </c>
      <c r="J6965" s="6" t="s">
        <v>37888</v>
      </c>
      <c r="K6965" s="7">
        <f t="shared" si="2"/>
        <v>0.2808083367</v>
      </c>
    </row>
    <row r="6966">
      <c r="A6966" s="4">
        <v>6966.0</v>
      </c>
      <c r="B6966" s="5" t="s">
        <v>37889</v>
      </c>
      <c r="C6966" s="5" t="s">
        <v>37890</v>
      </c>
      <c r="D6966" s="5" t="s">
        <v>37891</v>
      </c>
      <c r="E6966" s="6" t="s">
        <v>74</v>
      </c>
      <c r="F6966" s="6" t="s">
        <v>37892</v>
      </c>
      <c r="G6966" s="3" t="str">
        <f>IFERROR(__xludf.DUMMYFUNCTION("REGEXREPLACE(
D6966,
""([一-龯々]+)\[([^\]]+)\]"",
""&lt;ruby&gt;$1&lt;rt&gt;$2&lt;/rt&gt;&lt;/ruby&gt;""
)&amp;""&lt;br&gt;&lt;div class=""""audio""""&gt;[sound:""&amp;C6966&amp;"".mp3]&lt;/div&gt;"""),"&lt;ruby&gt;仲人&lt;rt&gt;なこうど&lt;/rt&gt;&lt;/ruby&gt;&lt;br&gt;&lt;div class=""audio""&gt;[sound:なこうど.mp3]&lt;/div&gt;")</f>
        <v>&lt;ruby&gt;仲人&lt;rt&gt;なこうど&lt;/rt&gt;&lt;/ruby&gt;&lt;br&gt;&lt;div class="audio"&gt;[sound:なこうど.mp3]&lt;/div&gt;</v>
      </c>
      <c r="H6966" s="3" t="str">
        <f t="shared" si="1"/>
        <v>(n): người mai mối</v>
      </c>
      <c r="I6966" s="6" t="s">
        <v>37893</v>
      </c>
      <c r="J6966" s="6" t="s">
        <v>37894</v>
      </c>
      <c r="K6966" s="7">
        <f t="shared" si="2"/>
        <v>0.3100354457</v>
      </c>
    </row>
    <row r="6967">
      <c r="A6967" s="4">
        <v>6967.0</v>
      </c>
      <c r="B6967" s="5" t="s">
        <v>37895</v>
      </c>
      <c r="C6967" s="5" t="s">
        <v>37896</v>
      </c>
      <c r="D6967" s="5" t="s">
        <v>37897</v>
      </c>
      <c r="E6967" s="6" t="s">
        <v>74</v>
      </c>
      <c r="F6967" s="6" t="s">
        <v>37898</v>
      </c>
      <c r="G6967" s="3" t="str">
        <f>IFERROR(__xludf.DUMMYFUNCTION("REGEXREPLACE(
D6967,
""([一-龯々]+)\[([^\]]+)\]"",
""&lt;ruby&gt;$1&lt;rt&gt;$2&lt;/rt&gt;&lt;/ruby&gt;""
)&amp;""&lt;br&gt;&lt;div class=""""audio""""&gt;[sound:""&amp;C6967&amp;"".mp3]&lt;/div&gt;"""),"&lt;ruby&gt;沈殿&lt;rt&gt;ちんでん&lt;/rt&gt;&lt;/ruby&gt;&lt;br&gt;&lt;div class=""audio""&gt;[sound:ちんでん.mp3]&lt;/div&gt;")</f>
        <v>&lt;ruby&gt;沈殿&lt;rt&gt;ちんでん&lt;/rt&gt;&lt;/ruby&gt;&lt;br&gt;&lt;div class="audio"&gt;[sound:ちんでん.mp3]&lt;/div&gt;</v>
      </c>
      <c r="H6967" s="3" t="str">
        <f t="shared" si="1"/>
        <v>(n): sự lắng xuống</v>
      </c>
      <c r="I6967" s="6" t="s">
        <v>37899</v>
      </c>
      <c r="J6967" s="6" t="s">
        <v>37900</v>
      </c>
      <c r="K6967" s="7">
        <f t="shared" si="2"/>
        <v>0.5715250062</v>
      </c>
    </row>
    <row r="6968">
      <c r="A6968" s="4">
        <v>6968.0</v>
      </c>
      <c r="B6968" s="5" t="s">
        <v>37901</v>
      </c>
      <c r="C6968" s="5" t="s">
        <v>37902</v>
      </c>
      <c r="D6968" s="5" t="s">
        <v>37903</v>
      </c>
      <c r="E6968" s="6" t="s">
        <v>74</v>
      </c>
      <c r="F6968" s="6" t="s">
        <v>37904</v>
      </c>
      <c r="G6968" s="3" t="str">
        <f>IFERROR(__xludf.DUMMYFUNCTION("REGEXREPLACE(
D6968,
""([一-龯々]+)\[([^\]]+)\]"",
""&lt;ruby&gt;$1&lt;rt&gt;$2&lt;/rt&gt;&lt;/ruby&gt;""
)&amp;""&lt;br&gt;&lt;div class=""""audio""""&gt;[sound:""&amp;C6968&amp;"".mp3]&lt;/div&gt;"""),"&lt;ruby&gt;油絵&lt;rt&gt;あぶらえ&lt;/rt&gt;&lt;/ruby&gt;&lt;br&gt;&lt;div class=""audio""&gt;[sound:あぶらえ.mp3]&lt;/div&gt;")</f>
        <v>&lt;ruby&gt;油絵&lt;rt&gt;あぶらえ&lt;/rt&gt;&lt;/ruby&gt;&lt;br&gt;&lt;div class="audio"&gt;[sound:あぶらえ.mp3]&lt;/div&gt;</v>
      </c>
      <c r="H6968" s="3" t="str">
        <f t="shared" si="1"/>
        <v>(n): tranh sơn dầu</v>
      </c>
      <c r="I6968" s="6" t="s">
        <v>37905</v>
      </c>
      <c r="J6968" s="6" t="s">
        <v>37906</v>
      </c>
      <c r="K6968" s="7">
        <f t="shared" si="2"/>
        <v>0.3424941383</v>
      </c>
    </row>
    <row r="6969">
      <c r="A6969" s="4">
        <v>6969.0</v>
      </c>
      <c r="B6969" s="5" t="s">
        <v>37907</v>
      </c>
      <c r="C6969" s="5" t="s">
        <v>37908</v>
      </c>
      <c r="D6969" s="5" t="s">
        <v>37909</v>
      </c>
      <c r="E6969" s="6" t="s">
        <v>74</v>
      </c>
      <c r="F6969" s="6" t="s">
        <v>28899</v>
      </c>
      <c r="G6969" s="3" t="str">
        <f>IFERROR(__xludf.DUMMYFUNCTION("REGEXREPLACE(
D6969,
""([一-龯々]+)\[([^\]]+)\]"",
""&lt;ruby&gt;$1&lt;rt&gt;$2&lt;/rt&gt;&lt;/ruby&gt;""
)&amp;""&lt;br&gt;&lt;div class=""""audio""""&gt;[sound:""&amp;C6969&amp;"".mp3]&lt;/div&gt;"""),"&lt;ruby&gt;穂&lt;rt&gt;ほ&lt;/rt&gt;&lt;/ruby&gt;&lt;br&gt;&lt;div class=""audio""&gt;[sound:ほ.mp3]&lt;/div&gt;")</f>
        <v>&lt;ruby&gt;穂&lt;rt&gt;ほ&lt;/rt&gt;&lt;/ruby&gt;&lt;br&gt;&lt;div class="audio"&gt;[sound:ほ.mp3]&lt;/div&gt;</v>
      </c>
      <c r="H6969" s="3" t="str">
        <f t="shared" si="1"/>
        <v>(n): bông</v>
      </c>
      <c r="I6969" s="6" t="s">
        <v>37910</v>
      </c>
      <c r="J6969" s="6" t="s">
        <v>37911</v>
      </c>
      <c r="K6969" s="7">
        <f t="shared" si="2"/>
        <v>0.6440704123</v>
      </c>
    </row>
    <row r="6970">
      <c r="A6970" s="4">
        <v>6970.0</v>
      </c>
      <c r="B6970" s="5" t="s">
        <v>37912</v>
      </c>
      <c r="C6970" s="5" t="s">
        <v>37913</v>
      </c>
      <c r="D6970" s="5" t="s">
        <v>37914</v>
      </c>
      <c r="E6970" s="6" t="s">
        <v>74</v>
      </c>
      <c r="F6970" s="6" t="s">
        <v>37915</v>
      </c>
      <c r="G6970" s="3" t="str">
        <f>IFERROR(__xludf.DUMMYFUNCTION("REGEXREPLACE(
D6970,
""([一-龯々]+)\[([^\]]+)\]"",
""&lt;ruby&gt;$1&lt;rt&gt;$2&lt;/rt&gt;&lt;/ruby&gt;""
)&amp;""&lt;br&gt;&lt;div class=""""audio""""&gt;[sound:""&amp;C6970&amp;"".mp3]&lt;/div&gt;"""),"&lt;ruby&gt;紡績&lt;rt&gt;ぼうせき&lt;/rt&gt;&lt;/ruby&gt;&lt;br&gt;&lt;div class=""audio""&gt;[sound:ぼうせき.mp3]&lt;/div&gt;")</f>
        <v>&lt;ruby&gt;紡績&lt;rt&gt;ぼうせき&lt;/rt&gt;&lt;/ruby&gt;&lt;br&gt;&lt;div class="audio"&gt;[sound:ぼうせき.mp3]&lt;/div&gt;</v>
      </c>
      <c r="H6970" s="3" t="str">
        <f t="shared" si="1"/>
        <v>(n): ngành dệt sợi</v>
      </c>
      <c r="I6970" s="6" t="s">
        <v>37916</v>
      </c>
      <c r="J6970" s="6" t="s">
        <v>37917</v>
      </c>
      <c r="K6970" s="7">
        <f t="shared" si="2"/>
        <v>0.8972224264</v>
      </c>
    </row>
    <row r="6971">
      <c r="A6971" s="4">
        <v>6971.0</v>
      </c>
      <c r="B6971" s="5" t="s">
        <v>37918</v>
      </c>
      <c r="C6971" s="5" t="s">
        <v>37919</v>
      </c>
      <c r="D6971" s="5" t="s">
        <v>37920</v>
      </c>
      <c r="E6971" s="6" t="s">
        <v>24</v>
      </c>
      <c r="F6971" s="6" t="s">
        <v>37921</v>
      </c>
      <c r="G6971" s="3" t="str">
        <f>IFERROR(__xludf.DUMMYFUNCTION("REGEXREPLACE(
D6971,
""([一-龯々]+)\[([^\]]+)\]"",
""&lt;ruby&gt;$1&lt;rt&gt;$2&lt;/rt&gt;&lt;/ruby&gt;""
)&amp;""&lt;br&gt;&lt;div class=""""audio""""&gt;[sound:""&amp;C6971&amp;"".mp3]&lt;/div&gt;"""),"&lt;ruby&gt;綻&lt;rt&gt;ほころ&lt;/rt&gt;&lt;/ruby&gt;びる&lt;br&gt;&lt;div class=""audio""&gt;[sound:ほころびる.mp3]&lt;/div&gt;")</f>
        <v>&lt;ruby&gt;綻&lt;rt&gt;ほころ&lt;/rt&gt;&lt;/ruby&gt;びる&lt;br&gt;&lt;div class="audio"&gt;[sound:ほころびる.mp3]&lt;/div&gt;</v>
      </c>
      <c r="H6971" s="3" t="str">
        <f t="shared" si="1"/>
        <v>(v): hé nở</v>
      </c>
      <c r="I6971" s="6" t="s">
        <v>37922</v>
      </c>
      <c r="J6971" s="6" t="s">
        <v>37923</v>
      </c>
      <c r="K6971" s="7">
        <f t="shared" si="2"/>
        <v>0.900049682</v>
      </c>
    </row>
    <row r="6972">
      <c r="A6972" s="4">
        <v>6972.0</v>
      </c>
      <c r="B6972" s="5" t="s">
        <v>37924</v>
      </c>
      <c r="C6972" s="5" t="s">
        <v>37925</v>
      </c>
      <c r="D6972" s="5" t="s">
        <v>37926</v>
      </c>
      <c r="E6972" s="6" t="s">
        <v>74</v>
      </c>
      <c r="F6972" s="6" t="s">
        <v>37927</v>
      </c>
      <c r="G6972" s="3" t="str">
        <f>IFERROR(__xludf.DUMMYFUNCTION("REGEXREPLACE(
D6972,
""([一-龯々]+)\[([^\]]+)\]"",
""&lt;ruby&gt;$1&lt;rt&gt;$2&lt;/rt&gt;&lt;/ruby&gt;""
)&amp;""&lt;br&gt;&lt;div class=""""audio""""&gt;[sound:""&amp;C6972&amp;"".mp3]&lt;/div&gt;"""),"&lt;ruby&gt;跡継&lt;rt&gt;あとつ&lt;/rt&gt;&lt;/ruby&gt;ぎ&lt;br&gt;&lt;div class=""audio""&gt;[sound:あとつぎ.mp3]&lt;/div&gt;")</f>
        <v>&lt;ruby&gt;跡継&lt;rt&gt;あとつ&lt;/rt&gt;&lt;/ruby&gt;ぎ&lt;br&gt;&lt;div class="audio"&gt;[sound:あとつぎ.mp3]&lt;/div&gt;</v>
      </c>
      <c r="H6972" s="3" t="str">
        <f t="shared" si="1"/>
        <v>(n): người thừa kế</v>
      </c>
      <c r="I6972" s="6" t="s">
        <v>37928</v>
      </c>
      <c r="J6972" s="6" t="s">
        <v>37929</v>
      </c>
      <c r="K6972" s="7">
        <f t="shared" si="2"/>
        <v>0.8914996016</v>
      </c>
    </row>
    <row r="6973">
      <c r="A6973" s="4">
        <v>6973.0</v>
      </c>
      <c r="B6973" s="5" t="s">
        <v>37930</v>
      </c>
      <c r="C6973" s="5" t="s">
        <v>37931</v>
      </c>
      <c r="D6973" s="5" t="s">
        <v>37932</v>
      </c>
      <c r="E6973" s="6" t="s">
        <v>74</v>
      </c>
      <c r="F6973" s="6" t="s">
        <v>37933</v>
      </c>
      <c r="G6973" s="3" t="str">
        <f>IFERROR(__xludf.DUMMYFUNCTION("REGEXREPLACE(
D6973,
""([一-龯々]+)\[([^\]]+)\]"",
""&lt;ruby&gt;$1&lt;rt&gt;$2&lt;/rt&gt;&lt;/ruby&gt;""
)&amp;""&lt;br&gt;&lt;div class=""""audio""""&gt;[sound:""&amp;C6973&amp;"".mp3]&lt;/div&gt;"""),"&lt;ruby&gt;欠乏&lt;rt&gt;けつぼう&lt;/rt&gt;&lt;/ruby&gt;&lt;br&gt;&lt;div class=""audio""&gt;[sound:けつぼう.mp3]&lt;/div&gt;")</f>
        <v>&lt;ruby&gt;欠乏&lt;rt&gt;けつぼう&lt;/rt&gt;&lt;/ruby&gt;&lt;br&gt;&lt;div class="audio"&gt;[sound:けつぼう.mp3]&lt;/div&gt;</v>
      </c>
      <c r="H6973" s="3" t="str">
        <f t="shared" si="1"/>
        <v>(n): sự thiếu hụt</v>
      </c>
      <c r="I6973" s="6" t="s">
        <v>37934</v>
      </c>
      <c r="J6973" s="6" t="s">
        <v>37935</v>
      </c>
      <c r="K6973" s="7">
        <f t="shared" si="2"/>
        <v>0.3688058382</v>
      </c>
    </row>
    <row r="6974">
      <c r="A6974" s="4">
        <v>6974.0</v>
      </c>
      <c r="B6974" s="5" t="s">
        <v>37936</v>
      </c>
      <c r="C6974" s="5" t="s">
        <v>37937</v>
      </c>
      <c r="D6974" s="5" t="s">
        <v>37938</v>
      </c>
      <c r="E6974" s="6" t="s">
        <v>74</v>
      </c>
      <c r="F6974" s="6" t="s">
        <v>37939</v>
      </c>
      <c r="G6974" s="3" t="str">
        <f>IFERROR(__xludf.DUMMYFUNCTION("REGEXREPLACE(
D6974,
""([一-龯々]+)\[([^\]]+)\]"",
""&lt;ruby&gt;$1&lt;rt&gt;$2&lt;/rt&gt;&lt;/ruby&gt;""
)&amp;""&lt;br&gt;&lt;div class=""""audio""""&gt;[sound:""&amp;C6974&amp;"".mp3]&lt;/div&gt;"""),"&lt;ruby&gt;気兼&lt;rt&gt;きが&lt;/rt&gt;&lt;/ruby&gt;ね&lt;br&gt;&lt;div class=""audio""&gt;[sound:きがね.mp3]&lt;/div&gt;")</f>
        <v>&lt;ruby&gt;気兼&lt;rt&gt;きが&lt;/rt&gt;&lt;/ruby&gt;ね&lt;br&gt;&lt;div class="audio"&gt;[sound:きがね.mp3]&lt;/div&gt;</v>
      </c>
      <c r="H6974" s="3" t="str">
        <f t="shared" si="1"/>
        <v>(n): sự khách khí</v>
      </c>
      <c r="I6974" s="6" t="s">
        <v>37940</v>
      </c>
      <c r="J6974" s="6" t="s">
        <v>37941</v>
      </c>
      <c r="K6974" s="7">
        <f t="shared" si="2"/>
        <v>0.9774209033</v>
      </c>
    </row>
    <row r="6975">
      <c r="A6975" s="4">
        <v>6975.0</v>
      </c>
      <c r="B6975" s="5" t="s">
        <v>37942</v>
      </c>
      <c r="C6975" s="5" t="s">
        <v>37943</v>
      </c>
      <c r="D6975" s="5" t="s">
        <v>37944</v>
      </c>
      <c r="E6975" s="6" t="s">
        <v>74</v>
      </c>
      <c r="F6975" s="6" t="s">
        <v>37945</v>
      </c>
      <c r="G6975" s="3" t="str">
        <f>IFERROR(__xludf.DUMMYFUNCTION("REGEXREPLACE(
D6975,
""([一-龯々]+)\[([^\]]+)\]"",
""&lt;ruby&gt;$1&lt;rt&gt;$2&lt;/rt&gt;&lt;/ruby&gt;""
)&amp;""&lt;br&gt;&lt;div class=""""audio""""&gt;[sound:""&amp;C6975&amp;"".mp3]&lt;/div&gt;"""),"&lt;ruby&gt;駄作&lt;rt&gt;ださく&lt;/rt&gt;&lt;/ruby&gt;&lt;br&gt;&lt;div class=""audio""&gt;[sound:ださく.mp3]&lt;/div&gt;")</f>
        <v>&lt;ruby&gt;駄作&lt;rt&gt;ださく&lt;/rt&gt;&lt;/ruby&gt;&lt;br&gt;&lt;div class="audio"&gt;[sound:ださく.mp3]&lt;/div&gt;</v>
      </c>
      <c r="H6975" s="3" t="str">
        <f t="shared" si="1"/>
        <v>(n): tác phẩm kém</v>
      </c>
      <c r="I6975" s="6" t="s">
        <v>37946</v>
      </c>
      <c r="J6975" s="6" t="s">
        <v>37947</v>
      </c>
      <c r="K6975" s="7">
        <f t="shared" si="2"/>
        <v>0.9539869115</v>
      </c>
    </row>
    <row r="6976">
      <c r="A6976" s="4">
        <v>6976.0</v>
      </c>
      <c r="B6976" s="5" t="s">
        <v>37948</v>
      </c>
      <c r="C6976" s="5" t="s">
        <v>37948</v>
      </c>
      <c r="D6976" s="5" t="s">
        <v>37948</v>
      </c>
      <c r="E6976" s="6" t="s">
        <v>74</v>
      </c>
      <c r="F6976" s="6" t="s">
        <v>37949</v>
      </c>
      <c r="G6976" s="3" t="str">
        <f>IFERROR(__xludf.DUMMYFUNCTION("REGEXREPLACE(
D6976,
""([一-龯々]+)\[([^\]]+)\]"",
""&lt;ruby&gt;$1&lt;rt&gt;$2&lt;/rt&gt;&lt;/ruby&gt;""
)&amp;""&lt;br&gt;&lt;div class=""""audio""""&gt;[sound:""&amp;C6976&amp;"".mp3]&lt;/div&gt;"""),"ねじまわし&lt;br&gt;&lt;div class=""audio""&gt;[sound:ねじまわし.mp3]&lt;/div&gt;")</f>
        <v>ねじまわし&lt;br&gt;&lt;div class="audio"&gt;[sound:ねじまわし.mp3]&lt;/div&gt;</v>
      </c>
      <c r="H6976" s="3" t="str">
        <f t="shared" si="1"/>
        <v>(n): tuốc nơ vít</v>
      </c>
      <c r="I6976" s="6" t="s">
        <v>37950</v>
      </c>
      <c r="J6976" s="6" t="s">
        <v>37951</v>
      </c>
      <c r="K6976" s="7">
        <f t="shared" si="2"/>
        <v>0.4382136557</v>
      </c>
    </row>
    <row r="6977">
      <c r="A6977" s="4">
        <v>6977.0</v>
      </c>
      <c r="B6977" s="5" t="s">
        <v>37952</v>
      </c>
      <c r="C6977" s="5" t="s">
        <v>37953</v>
      </c>
      <c r="D6977" s="5" t="s">
        <v>37954</v>
      </c>
      <c r="E6977" s="6" t="s">
        <v>74</v>
      </c>
      <c r="F6977" s="6" t="s">
        <v>37955</v>
      </c>
      <c r="G6977" s="3" t="str">
        <f>IFERROR(__xludf.DUMMYFUNCTION("REGEXREPLACE(
D6977,
""([一-龯々]+)\[([^\]]+)\]"",
""&lt;ruby&gt;$1&lt;rt&gt;$2&lt;/rt&gt;&lt;/ruby&gt;""
)&amp;""&lt;br&gt;&lt;div class=""""audio""""&gt;[sound:""&amp;C6977&amp;"".mp3]&lt;/div&gt;"""),"&lt;ruby&gt;滞納&lt;rt&gt;たいのう&lt;/rt&gt;&lt;/ruby&gt;&lt;br&gt;&lt;div class=""audio""&gt;[sound:たいのう.mp3]&lt;/div&gt;")</f>
        <v>&lt;ruby&gt;滞納&lt;rt&gt;たいのう&lt;/rt&gt;&lt;/ruby&gt;&lt;br&gt;&lt;div class="audio"&gt;[sound:たいのう.mp3]&lt;/div&gt;</v>
      </c>
      <c r="H6977" s="3" t="str">
        <f t="shared" si="1"/>
        <v>(n): sự chậm nộp</v>
      </c>
      <c r="I6977" s="6" t="s">
        <v>37956</v>
      </c>
      <c r="J6977" s="6" t="s">
        <v>37957</v>
      </c>
      <c r="K6977" s="7">
        <f t="shared" si="2"/>
        <v>0.5827913113</v>
      </c>
    </row>
    <row r="6978">
      <c r="A6978" s="4">
        <v>6978.0</v>
      </c>
      <c r="B6978" s="5" t="s">
        <v>37958</v>
      </c>
      <c r="C6978" s="5" t="s">
        <v>37959</v>
      </c>
      <c r="D6978" s="5" t="s">
        <v>37960</v>
      </c>
      <c r="E6978" s="6" t="s">
        <v>74</v>
      </c>
      <c r="F6978" s="6" t="s">
        <v>37961</v>
      </c>
      <c r="G6978" s="3" t="str">
        <f>IFERROR(__xludf.DUMMYFUNCTION("REGEXREPLACE(
D6978,
""([一-龯々]+)\[([^\]]+)\]"",
""&lt;ruby&gt;$1&lt;rt&gt;$2&lt;/rt&gt;&lt;/ruby&gt;""
)&amp;""&lt;br&gt;&lt;div class=""""audio""""&gt;[sound:""&amp;C6978&amp;"".mp3]&lt;/div&gt;"""),"&lt;ruby&gt;無念&lt;rt&gt;むねん&lt;/rt&gt;&lt;/ruby&gt;&lt;br&gt;&lt;div class=""audio""&gt;[sound:むねん.mp3]&lt;/div&gt;")</f>
        <v>&lt;ruby&gt;無念&lt;rt&gt;むねん&lt;/rt&gt;&lt;/ruby&gt;&lt;br&gt;&lt;div class="audio"&gt;[sound:むねん.mp3]&lt;/div&gt;</v>
      </c>
      <c r="H6978" s="3" t="str">
        <f t="shared" si="1"/>
        <v>(n): sự hối tiếc</v>
      </c>
      <c r="I6978" s="6" t="s">
        <v>37962</v>
      </c>
      <c r="J6978" s="6" t="s">
        <v>37963</v>
      </c>
      <c r="K6978" s="7">
        <f t="shared" si="2"/>
        <v>0.9407239198</v>
      </c>
    </row>
    <row r="6979">
      <c r="A6979" s="4">
        <v>6979.0</v>
      </c>
      <c r="B6979" s="5" t="s">
        <v>37964</v>
      </c>
      <c r="C6979" s="5" t="s">
        <v>37965</v>
      </c>
      <c r="D6979" s="5" t="s">
        <v>37966</v>
      </c>
      <c r="E6979" s="6" t="s">
        <v>74</v>
      </c>
      <c r="F6979" s="6" t="s">
        <v>37967</v>
      </c>
      <c r="G6979" s="3" t="str">
        <f>IFERROR(__xludf.DUMMYFUNCTION("REGEXREPLACE(
D6979,
""([一-龯々]+)\[([^\]]+)\]"",
""&lt;ruby&gt;$1&lt;rt&gt;$2&lt;/rt&gt;&lt;/ruby&gt;""
)&amp;""&lt;br&gt;&lt;div class=""""audio""""&gt;[sound:""&amp;C6979&amp;"".mp3]&lt;/div&gt;"""),"&lt;ruby&gt;縁談&lt;rt&gt;えんだん&lt;/rt&gt;&lt;/ruby&gt;&lt;br&gt;&lt;div class=""audio""&gt;[sound:えんだん.mp3]&lt;/div&gt;")</f>
        <v>&lt;ruby&gt;縁談&lt;rt&gt;えんだん&lt;/rt&gt;&lt;/ruby&gt;&lt;br&gt;&lt;div class="audio"&gt;[sound:えんだん.mp3]&lt;/div&gt;</v>
      </c>
      <c r="H6979" s="3" t="str">
        <f t="shared" si="1"/>
        <v>(n): lời mai mối</v>
      </c>
      <c r="I6979" s="6" t="s">
        <v>37968</v>
      </c>
      <c r="J6979" s="6" t="s">
        <v>37969</v>
      </c>
      <c r="K6979" s="7">
        <f t="shared" si="2"/>
        <v>0.01831992608</v>
      </c>
    </row>
    <row r="6980">
      <c r="A6980" s="4">
        <v>6980.0</v>
      </c>
      <c r="B6980" s="5" t="s">
        <v>37970</v>
      </c>
      <c r="C6980" s="5" t="s">
        <v>37970</v>
      </c>
      <c r="D6980" s="5" t="s">
        <v>37970</v>
      </c>
      <c r="E6980" s="6" t="s">
        <v>85</v>
      </c>
      <c r="F6980" s="6" t="s">
        <v>37971</v>
      </c>
      <c r="G6980" s="3" t="str">
        <f>IFERROR(__xludf.DUMMYFUNCTION("REGEXREPLACE(
D6980,
""([一-龯々]+)\[([^\]]+)\]"",
""&lt;ruby&gt;$1&lt;rt&gt;$2&lt;/rt&gt;&lt;/ruby&gt;""
)&amp;""&lt;br&gt;&lt;div class=""""audio""""&gt;[sound:""&amp;C6980&amp;"".mp3]&lt;/div&gt;"""),"げっそり&lt;br&gt;&lt;div class=""audio""&gt;[sound:げっそり.mp3]&lt;/div&gt;")</f>
        <v>げっそり&lt;br&gt;&lt;div class="audio"&gt;[sound:げっそり.mp3]&lt;/div&gt;</v>
      </c>
      <c r="H6980" s="3" t="str">
        <f t="shared" si="1"/>
        <v>(adv): gầy sọp đi</v>
      </c>
      <c r="I6980" s="6" t="s">
        <v>37972</v>
      </c>
      <c r="J6980" s="6" t="s">
        <v>37973</v>
      </c>
      <c r="K6980" s="7">
        <f t="shared" si="2"/>
        <v>0.1864712542</v>
      </c>
    </row>
    <row r="6981">
      <c r="A6981" s="4">
        <v>6981.0</v>
      </c>
      <c r="B6981" s="5" t="s">
        <v>37974</v>
      </c>
      <c r="C6981" s="5" t="s">
        <v>37974</v>
      </c>
      <c r="D6981" s="5" t="s">
        <v>37974</v>
      </c>
      <c r="E6981" s="6" t="s">
        <v>11</v>
      </c>
      <c r="F6981" s="6" t="s">
        <v>32133</v>
      </c>
      <c r="G6981" s="3" t="str">
        <f>IFERROR(__xludf.DUMMYFUNCTION("REGEXREPLACE(
D6981,
""([一-龯々]+)\[([^\]]+)\]"",
""&lt;ruby&gt;$1&lt;rt&gt;$2&lt;/rt&gt;&lt;/ruby&gt;""
)&amp;""&lt;br&gt;&lt;div class=""""audio""""&gt;[sound:""&amp;C6981&amp;"".mp3]&lt;/div&gt;"""),"すばしこい&lt;br&gt;&lt;div class=""audio""&gt;[sound:すばしこい.mp3]&lt;/div&gt;")</f>
        <v>すばしこい&lt;br&gt;&lt;div class="audio"&gt;[sound:すばしこい.mp3]&lt;/div&gt;</v>
      </c>
      <c r="H6981" s="3" t="str">
        <f t="shared" si="1"/>
        <v>(adj): nhanh nhẹn</v>
      </c>
      <c r="I6981" s="6" t="s">
        <v>37975</v>
      </c>
      <c r="J6981" s="6" t="s">
        <v>37976</v>
      </c>
      <c r="K6981" s="7">
        <f t="shared" si="2"/>
        <v>0.8250058272</v>
      </c>
    </row>
    <row r="6982">
      <c r="A6982" s="4">
        <v>6982.0</v>
      </c>
      <c r="B6982" s="5" t="s">
        <v>37977</v>
      </c>
      <c r="C6982" s="5" t="s">
        <v>37977</v>
      </c>
      <c r="D6982" s="5" t="s">
        <v>37977</v>
      </c>
      <c r="E6982" s="6" t="s">
        <v>11</v>
      </c>
      <c r="F6982" s="6" t="s">
        <v>37978</v>
      </c>
      <c r="G6982" s="3" t="str">
        <f>IFERROR(__xludf.DUMMYFUNCTION("REGEXREPLACE(
D6982,
""([一-龯々]+)\[([^\]]+)\]"",
""&lt;ruby&gt;$1&lt;rt&gt;$2&lt;/rt&gt;&lt;/ruby&gt;""
)&amp;""&lt;br&gt;&lt;div class=""""audio""""&gt;[sound:""&amp;C6982&amp;"".mp3]&lt;/div&gt;"""),"つぶら&lt;br&gt;&lt;div class=""audio""&gt;[sound:つぶら.mp3]&lt;/div&gt;")</f>
        <v>つぶら&lt;br&gt;&lt;div class="audio"&gt;[sound:つぶら.mp3]&lt;/div&gt;</v>
      </c>
      <c r="H6982" s="3" t="str">
        <f t="shared" si="1"/>
        <v>(adj): tròn trĩnh</v>
      </c>
      <c r="I6982" s="6" t="s">
        <v>37979</v>
      </c>
      <c r="J6982" s="6" t="s">
        <v>37980</v>
      </c>
      <c r="K6982" s="7">
        <f t="shared" si="2"/>
        <v>0.7325094569</v>
      </c>
    </row>
    <row r="6983">
      <c r="A6983" s="4">
        <v>6983.0</v>
      </c>
      <c r="B6983" s="5" t="s">
        <v>37981</v>
      </c>
      <c r="C6983" s="5" t="s">
        <v>37982</v>
      </c>
      <c r="D6983" s="5" t="s">
        <v>37983</v>
      </c>
      <c r="E6983" s="6" t="s">
        <v>24</v>
      </c>
      <c r="F6983" s="6" t="s">
        <v>37984</v>
      </c>
      <c r="G6983" s="3" t="str">
        <f>IFERROR(__xludf.DUMMYFUNCTION("REGEXREPLACE(
D6983,
""([一-龯々]+)\[([^\]]+)\]"",
""&lt;ruby&gt;$1&lt;rt&gt;$2&lt;/rt&gt;&lt;/ruby&gt;""
)&amp;""&lt;br&gt;&lt;div class=""""audio""""&gt;[sound:""&amp;C6983&amp;"".mp3]&lt;/div&gt;"""),"&lt;ruby&gt;余所見&lt;rt&gt;よそみ&lt;/rt&gt;&lt;/ruby&gt;&lt;br&gt;&lt;div class=""audio""&gt;[sound:よそみ.mp3]&lt;/div&gt;")</f>
        <v>&lt;ruby&gt;余所見&lt;rt&gt;よそみ&lt;/rt&gt;&lt;/ruby&gt;&lt;br&gt;&lt;div class="audio"&gt;[sound:よそみ.mp3]&lt;/div&gt;</v>
      </c>
      <c r="H6983" s="3" t="str">
        <f t="shared" si="1"/>
        <v>(v): nhìn ngang</v>
      </c>
      <c r="I6983" s="6" t="s">
        <v>37985</v>
      </c>
      <c r="J6983" s="6" t="s">
        <v>37986</v>
      </c>
      <c r="K6983" s="7">
        <f t="shared" si="2"/>
        <v>0.8353562762</v>
      </c>
    </row>
    <row r="6984">
      <c r="A6984" s="4">
        <v>6984.0</v>
      </c>
      <c r="B6984" s="5" t="s">
        <v>37987</v>
      </c>
      <c r="C6984" s="5" t="s">
        <v>16609</v>
      </c>
      <c r="D6984" s="5" t="s">
        <v>37988</v>
      </c>
      <c r="E6984" s="6" t="s">
        <v>74</v>
      </c>
      <c r="F6984" s="6" t="s">
        <v>37989</v>
      </c>
      <c r="G6984" s="3" t="str">
        <f>IFERROR(__xludf.DUMMYFUNCTION("REGEXREPLACE(
D6984,
""([一-龯々]+)\[([^\]]+)\]"",
""&lt;ruby&gt;$1&lt;rt&gt;$2&lt;/rt&gt;&lt;/ruby&gt;""
)&amp;""&lt;br&gt;&lt;div class=""""audio""""&gt;[sound:""&amp;C6984&amp;"".mp3]&lt;/div&gt;"""),"&lt;ruby&gt;檻&lt;rt&gt;おり&lt;/rt&gt;&lt;/ruby&gt;&lt;br&gt;&lt;div class=""audio""&gt;[sound:おり.mp3]&lt;/div&gt;")</f>
        <v>&lt;ruby&gt;檻&lt;rt&gt;おり&lt;/rt&gt;&lt;/ruby&gt;&lt;br&gt;&lt;div class="audio"&gt;[sound:おり.mp3]&lt;/div&gt;</v>
      </c>
      <c r="H6984" s="3" t="str">
        <f t="shared" si="1"/>
        <v>(n): cái chuồng</v>
      </c>
      <c r="I6984" s="6" t="s">
        <v>37990</v>
      </c>
      <c r="J6984" s="6" t="s">
        <v>37991</v>
      </c>
      <c r="K6984" s="7">
        <f t="shared" si="2"/>
        <v>0.5293506928</v>
      </c>
    </row>
    <row r="6985">
      <c r="A6985" s="4">
        <v>6985.0</v>
      </c>
      <c r="B6985" s="5" t="s">
        <v>37992</v>
      </c>
      <c r="C6985" s="5" t="s">
        <v>37993</v>
      </c>
      <c r="D6985" s="5" t="s">
        <v>37994</v>
      </c>
      <c r="E6985" s="6" t="s">
        <v>74</v>
      </c>
      <c r="F6985" s="6" t="s">
        <v>37995</v>
      </c>
      <c r="G6985" s="3" t="str">
        <f>IFERROR(__xludf.DUMMYFUNCTION("REGEXREPLACE(
D6985,
""([一-龯々]+)\[([^\]]+)\]"",
""&lt;ruby&gt;$1&lt;rt&gt;$2&lt;/rt&gt;&lt;/ruby&gt;""
)&amp;""&lt;br&gt;&lt;div class=""""audio""""&gt;[sound:""&amp;C6985&amp;"".mp3]&lt;/div&gt;"""),"&lt;ruby&gt;渡&lt;rt&gt;わた&lt;/rt&gt;&lt;/ruby&gt;り&lt;ruby&gt;鳥&lt;rt&gt;どり&lt;/rt&gt;&lt;/ruby&gt;&lt;br&gt;&lt;div class=""audio""&gt;[sound:わたりどり.mp3]&lt;/div&gt;")</f>
        <v>&lt;ruby&gt;渡&lt;rt&gt;わた&lt;/rt&gt;&lt;/ruby&gt;り&lt;ruby&gt;鳥&lt;rt&gt;どり&lt;/rt&gt;&lt;/ruby&gt;&lt;br&gt;&lt;div class="audio"&gt;[sound:わたりどり.mp3]&lt;/div&gt;</v>
      </c>
      <c r="H6985" s="3" t="str">
        <f t="shared" si="1"/>
        <v>(n): chim di cư</v>
      </c>
      <c r="I6985" s="6" t="s">
        <v>37996</v>
      </c>
      <c r="J6985" s="6" t="s">
        <v>37997</v>
      </c>
      <c r="K6985" s="7">
        <f t="shared" si="2"/>
        <v>0.05967655727</v>
      </c>
    </row>
    <row r="6986">
      <c r="A6986" s="4">
        <v>6986.0</v>
      </c>
      <c r="B6986" s="5" t="s">
        <v>37998</v>
      </c>
      <c r="C6986" s="5" t="s">
        <v>37999</v>
      </c>
      <c r="D6986" s="5" t="s">
        <v>38000</v>
      </c>
      <c r="E6986" s="6" t="s">
        <v>74</v>
      </c>
      <c r="F6986" s="6" t="s">
        <v>38001</v>
      </c>
      <c r="G6986" s="3" t="str">
        <f>IFERROR(__xludf.DUMMYFUNCTION("REGEXREPLACE(
D6986,
""([一-龯々]+)\[([^\]]+)\]"",
""&lt;ruby&gt;$1&lt;rt&gt;$2&lt;/rt&gt;&lt;/ruby&gt;""
)&amp;""&lt;br&gt;&lt;div class=""""audio""""&gt;[sound:""&amp;C6986&amp;"".mp3]&lt;/div&gt;"""),"&lt;ruby&gt;聴講&lt;rt&gt;ちょうこう&lt;/rt&gt;&lt;/ruby&gt;&lt;br&gt;&lt;div class=""audio""&gt;[sound:ちょうこう.mp3]&lt;/div&gt;")</f>
        <v>&lt;ruby&gt;聴講&lt;rt&gt;ちょうこう&lt;/rt&gt;&lt;/ruby&gt;&lt;br&gt;&lt;div class="audio"&gt;[sound:ちょうこう.mp3]&lt;/div&gt;</v>
      </c>
      <c r="H6986" s="3" t="str">
        <f t="shared" si="1"/>
        <v>(n): sự dự nghe</v>
      </c>
      <c r="I6986" s="6" t="s">
        <v>38002</v>
      </c>
      <c r="J6986" s="6" t="s">
        <v>38003</v>
      </c>
      <c r="K6986" s="7">
        <f t="shared" si="2"/>
        <v>0.2231688923</v>
      </c>
    </row>
    <row r="6987">
      <c r="A6987" s="4">
        <v>6987.0</v>
      </c>
      <c r="B6987" s="5" t="s">
        <v>38004</v>
      </c>
      <c r="C6987" s="5" t="s">
        <v>38005</v>
      </c>
      <c r="D6987" s="5" t="s">
        <v>38006</v>
      </c>
      <c r="E6987" s="6" t="s">
        <v>74</v>
      </c>
      <c r="F6987" s="6" t="s">
        <v>38007</v>
      </c>
      <c r="G6987" s="3" t="str">
        <f>IFERROR(__xludf.DUMMYFUNCTION("REGEXREPLACE(
D6987,
""([一-龯々]+)\[([^\]]+)\]"",
""&lt;ruby&gt;$1&lt;rt&gt;$2&lt;/rt&gt;&lt;/ruby&gt;""
)&amp;""&lt;br&gt;&lt;div class=""""audio""""&gt;[sound:""&amp;C6987&amp;"".mp3]&lt;/div&gt;"""),"&lt;ruby&gt;肉親&lt;rt&gt;にくしん&lt;/rt&gt;&lt;/ruby&gt;&lt;br&gt;&lt;div class=""audio""&gt;[sound:にくしん.mp3]&lt;/div&gt;")</f>
        <v>&lt;ruby&gt;肉親&lt;rt&gt;にくしん&lt;/rt&gt;&lt;/ruby&gt;&lt;br&gt;&lt;div class="audio"&gt;[sound:にくしん.mp3]&lt;/div&gt;</v>
      </c>
      <c r="H6987" s="3" t="str">
        <f t="shared" si="1"/>
        <v>(n): người thân</v>
      </c>
      <c r="I6987" s="6" t="s">
        <v>38008</v>
      </c>
      <c r="J6987" s="6" t="s">
        <v>38009</v>
      </c>
      <c r="K6987" s="7">
        <f t="shared" si="2"/>
        <v>0.3686158348</v>
      </c>
    </row>
    <row r="6988">
      <c r="A6988" s="4">
        <v>6988.0</v>
      </c>
      <c r="B6988" s="5" t="s">
        <v>38010</v>
      </c>
      <c r="C6988" s="5" t="s">
        <v>38011</v>
      </c>
      <c r="D6988" s="5" t="s">
        <v>38012</v>
      </c>
      <c r="E6988" s="6" t="s">
        <v>74</v>
      </c>
      <c r="F6988" s="6" t="s">
        <v>38013</v>
      </c>
      <c r="G6988" s="3" t="str">
        <f>IFERROR(__xludf.DUMMYFUNCTION("REGEXREPLACE(
D6988,
""([一-龯々]+)\[([^\]]+)\]"",
""&lt;ruby&gt;$1&lt;rt&gt;$2&lt;/rt&gt;&lt;/ruby&gt;""
)&amp;""&lt;br&gt;&lt;div class=""""audio""""&gt;[sound:""&amp;C6988&amp;"".mp3]&lt;/div&gt;"""),"&lt;ruby&gt;西日&lt;rt&gt;にしび&lt;/rt&gt;&lt;/ruby&gt;&lt;br&gt;&lt;div class=""audio""&gt;[sound:にしび.mp3]&lt;/div&gt;")</f>
        <v>&lt;ruby&gt;西日&lt;rt&gt;にしび&lt;/rt&gt;&lt;/ruby&gt;&lt;br&gt;&lt;div class="audio"&gt;[sound:にしび.mp3]&lt;/div&gt;</v>
      </c>
      <c r="H6988" s="3" t="str">
        <f t="shared" si="1"/>
        <v>(n): nắng chiều</v>
      </c>
      <c r="I6988" s="6" t="s">
        <v>38014</v>
      </c>
      <c r="J6988" s="6" t="s">
        <v>38015</v>
      </c>
      <c r="K6988" s="7">
        <f t="shared" si="2"/>
        <v>0.7482768492</v>
      </c>
    </row>
    <row r="6989">
      <c r="A6989" s="4">
        <v>6989.0</v>
      </c>
      <c r="B6989" s="5" t="s">
        <v>38016</v>
      </c>
      <c r="C6989" s="5" t="s">
        <v>38016</v>
      </c>
      <c r="D6989" s="5" t="s">
        <v>38016</v>
      </c>
      <c r="E6989" s="6" t="s">
        <v>24</v>
      </c>
      <c r="F6989" s="6" t="s">
        <v>28948</v>
      </c>
      <c r="G6989" s="3" t="str">
        <f>IFERROR(__xludf.DUMMYFUNCTION("REGEXREPLACE(
D6989,
""([一-龯々]+)\[([^\]]+)\]"",
""&lt;ruby&gt;$1&lt;rt&gt;$2&lt;/rt&gt;&lt;/ruby&gt;""
)&amp;""&lt;br&gt;&lt;div class=""""audio""""&gt;[sound:""&amp;C6989&amp;"".mp3]&lt;/div&gt;"""),"へりくだる&lt;br&gt;&lt;div class=""audio""&gt;[sound:へりくだる.mp3]&lt;/div&gt;")</f>
        <v>へりくだる&lt;br&gt;&lt;div class="audio"&gt;[sound:へりくだる.mp3]&lt;/div&gt;</v>
      </c>
      <c r="H6989" s="3" t="str">
        <f t="shared" si="1"/>
        <v>(v): khiêm tốn</v>
      </c>
      <c r="I6989" s="6" t="s">
        <v>38017</v>
      </c>
      <c r="J6989" s="6" t="s">
        <v>28950</v>
      </c>
      <c r="K6989" s="7">
        <f t="shared" si="2"/>
        <v>0.2239826893</v>
      </c>
    </row>
    <row r="6990">
      <c r="A6990" s="4">
        <v>6990.0</v>
      </c>
      <c r="B6990" s="5" t="s">
        <v>38018</v>
      </c>
      <c r="C6990" s="5" t="s">
        <v>38019</v>
      </c>
      <c r="D6990" s="5" t="s">
        <v>38020</v>
      </c>
      <c r="E6990" s="6" t="s">
        <v>74</v>
      </c>
      <c r="F6990" s="6" t="s">
        <v>18186</v>
      </c>
      <c r="G6990" s="3" t="str">
        <f>IFERROR(__xludf.DUMMYFUNCTION("REGEXREPLACE(
D6990,
""([一-龯々]+)\[([^\]]+)\]"",
""&lt;ruby&gt;$1&lt;rt&gt;$2&lt;/rt&gt;&lt;/ruby&gt;""
)&amp;""&lt;br&gt;&lt;div class=""""audio""""&gt;[sound:""&amp;C6990&amp;"".mp3]&lt;/div&gt;"""),"&lt;ruby&gt;残金&lt;rt&gt;ざんきん&lt;/rt&gt;&lt;/ruby&gt;&lt;br&gt;&lt;div class=""audio""&gt;[sound:ざんきん.mp3]&lt;/div&gt;")</f>
        <v>&lt;ruby&gt;残金&lt;rt&gt;ざんきん&lt;/rt&gt;&lt;/ruby&gt;&lt;br&gt;&lt;div class="audio"&gt;[sound:ざんきん.mp3]&lt;/div&gt;</v>
      </c>
      <c r="H6990" s="3" t="str">
        <f t="shared" si="1"/>
        <v>(n): tiền thừa</v>
      </c>
      <c r="I6990" s="6" t="s">
        <v>38021</v>
      </c>
      <c r="J6990" s="6" t="s">
        <v>38022</v>
      </c>
      <c r="K6990" s="7">
        <f t="shared" si="2"/>
        <v>0.7764791225</v>
      </c>
    </row>
    <row r="6991">
      <c r="A6991" s="4">
        <v>6991.0</v>
      </c>
      <c r="B6991" s="5" t="s">
        <v>38023</v>
      </c>
      <c r="C6991" s="5" t="s">
        <v>38024</v>
      </c>
      <c r="D6991" s="5" t="s">
        <v>38025</v>
      </c>
      <c r="E6991" s="6" t="s">
        <v>11</v>
      </c>
      <c r="F6991" s="6" t="s">
        <v>38026</v>
      </c>
      <c r="G6991" s="3" t="str">
        <f>IFERROR(__xludf.DUMMYFUNCTION("REGEXREPLACE(
D6991,
""([一-龯々]+)\[([^\]]+)\]"",
""&lt;ruby&gt;$1&lt;rt&gt;$2&lt;/rt&gt;&lt;/ruby&gt;""
)&amp;""&lt;br&gt;&lt;div class=""""audio""""&gt;[sound:""&amp;C6991&amp;"".mp3]&lt;/div&gt;"""),"&lt;ruby&gt;滑稽&lt;rt&gt;こっけい&lt;/rt&gt;&lt;/ruby&gt;&lt;br&gt;&lt;div class=""audio""&gt;[sound:こっけい.mp3]&lt;/div&gt;")</f>
        <v>&lt;ruby&gt;滑稽&lt;rt&gt;こっけい&lt;/rt&gt;&lt;/ruby&gt;&lt;br&gt;&lt;div class="audio"&gt;[sound:こっけい.mp3]&lt;/div&gt;</v>
      </c>
      <c r="H6991" s="3" t="str">
        <f t="shared" si="1"/>
        <v>(adj): buồn cười</v>
      </c>
      <c r="I6991" s="6" t="s">
        <v>38027</v>
      </c>
      <c r="J6991" s="6" t="s">
        <v>38028</v>
      </c>
      <c r="K6991" s="7">
        <f t="shared" si="2"/>
        <v>0.9521377568</v>
      </c>
    </row>
    <row r="6992">
      <c r="A6992" s="4">
        <v>6992.0</v>
      </c>
      <c r="B6992" s="5" t="s">
        <v>38029</v>
      </c>
      <c r="C6992" s="5" t="s">
        <v>38030</v>
      </c>
      <c r="D6992" s="5" t="s">
        <v>38031</v>
      </c>
      <c r="E6992" s="6" t="s">
        <v>11</v>
      </c>
      <c r="F6992" s="6" t="s">
        <v>38032</v>
      </c>
      <c r="G6992" s="3" t="str">
        <f>IFERROR(__xludf.DUMMYFUNCTION("REGEXREPLACE(
D6992,
""([一-龯々]+)\[([^\]]+)\]"",
""&lt;ruby&gt;$1&lt;rt&gt;$2&lt;/rt&gt;&lt;/ruby&gt;""
)&amp;""&lt;br&gt;&lt;div class=""""audio""""&gt;[sound:""&amp;C6992&amp;"".mp3]&lt;/div&gt;"""),"&lt;ruby&gt;煙&lt;rt&gt;けむ&lt;/rt&gt;&lt;/ruby&gt;たい&lt;br&gt;&lt;div class=""audio""&gt;[sound:けむたい.mp3]&lt;/div&gt;")</f>
        <v>&lt;ruby&gt;煙&lt;rt&gt;けむ&lt;/rt&gt;&lt;/ruby&gt;たい&lt;br&gt;&lt;div class="audio"&gt;[sound:けむたい.mp3]&lt;/div&gt;</v>
      </c>
      <c r="H6992" s="3" t="str">
        <f t="shared" si="1"/>
        <v>(adj): ngộp khói</v>
      </c>
      <c r="I6992" s="6" t="s">
        <v>38033</v>
      </c>
      <c r="J6992" s="6" t="s">
        <v>38034</v>
      </c>
      <c r="K6992" s="7">
        <f t="shared" si="2"/>
        <v>0.8534713946</v>
      </c>
    </row>
    <row r="6993">
      <c r="A6993" s="4">
        <v>6993.0</v>
      </c>
      <c r="B6993" s="5" t="s">
        <v>38035</v>
      </c>
      <c r="C6993" s="5" t="s">
        <v>38036</v>
      </c>
      <c r="D6993" s="5" t="s">
        <v>38037</v>
      </c>
      <c r="E6993" s="6" t="s">
        <v>74</v>
      </c>
      <c r="F6993" s="6" t="s">
        <v>38038</v>
      </c>
      <c r="G6993" s="3" t="str">
        <f>IFERROR(__xludf.DUMMYFUNCTION("REGEXREPLACE(
D6993,
""([一-龯々]+)\[([^\]]+)\]"",
""&lt;ruby&gt;$1&lt;rt&gt;$2&lt;/rt&gt;&lt;/ruby&gt;""
)&amp;""&lt;br&gt;&lt;div class=""""audio""""&gt;[sound:""&amp;C6993&amp;"".mp3]&lt;/div&gt;"""),"&lt;ruby&gt;目盛&lt;rt&gt;めもり&lt;/rt&gt;&lt;/ruby&gt;&lt;br&gt;&lt;div class=""audio""&gt;[sound:めもり.mp3]&lt;/div&gt;")</f>
        <v>&lt;ruby&gt;目盛&lt;rt&gt;めもり&lt;/rt&gt;&lt;/ruby&gt;&lt;br&gt;&lt;div class="audio"&gt;[sound:めもり.mp3]&lt;/div&gt;</v>
      </c>
      <c r="H6993" s="3" t="str">
        <f t="shared" si="1"/>
        <v>(n): vạch chia</v>
      </c>
      <c r="I6993" s="6" t="s">
        <v>38039</v>
      </c>
      <c r="J6993" s="6" t="s">
        <v>38040</v>
      </c>
      <c r="K6993" s="7">
        <f t="shared" si="2"/>
        <v>0.4653317208</v>
      </c>
    </row>
    <row r="6994">
      <c r="A6994" s="4">
        <v>6994.0</v>
      </c>
      <c r="B6994" s="5" t="s">
        <v>38041</v>
      </c>
      <c r="C6994" s="5" t="s">
        <v>38042</v>
      </c>
      <c r="D6994" s="5" t="s">
        <v>38043</v>
      </c>
      <c r="E6994" s="6" t="s">
        <v>24</v>
      </c>
      <c r="F6994" s="6" t="s">
        <v>38044</v>
      </c>
      <c r="G6994" s="3" t="str">
        <f>IFERROR(__xludf.DUMMYFUNCTION("REGEXREPLACE(
D6994,
""([一-龯々]+)\[([^\]]+)\]"",
""&lt;ruby&gt;$1&lt;rt&gt;$2&lt;/rt&gt;&lt;/ruby&gt;""
)&amp;""&lt;br&gt;&lt;div class=""""audio""""&gt;[sound:""&amp;C6994&amp;"".mp3]&lt;/div&gt;"""),"&lt;ruby&gt;詰&lt;rt&gt;なじ&lt;/rt&gt;&lt;/ruby&gt;る&lt;br&gt;&lt;div class=""audio""&gt;[sound:なじる.mp3]&lt;/div&gt;")</f>
        <v>&lt;ruby&gt;詰&lt;rt&gt;なじ&lt;/rt&gt;&lt;/ruby&gt;る&lt;br&gt;&lt;div class="audio"&gt;[sound:なじる.mp3]&lt;/div&gt;</v>
      </c>
      <c r="H6994" s="3" t="str">
        <f t="shared" si="1"/>
        <v>(v): quở trách</v>
      </c>
      <c r="I6994" s="6" t="s">
        <v>38045</v>
      </c>
      <c r="J6994" s="6" t="s">
        <v>38046</v>
      </c>
      <c r="K6994" s="7">
        <f t="shared" si="2"/>
        <v>0.5282456105</v>
      </c>
    </row>
    <row r="6995">
      <c r="A6995" s="4">
        <v>6995.0</v>
      </c>
      <c r="B6995" s="5" t="s">
        <v>38047</v>
      </c>
      <c r="C6995" s="5" t="s">
        <v>38048</v>
      </c>
      <c r="D6995" s="5" t="s">
        <v>38049</v>
      </c>
      <c r="E6995" s="6" t="s">
        <v>24</v>
      </c>
      <c r="F6995" s="6" t="s">
        <v>19511</v>
      </c>
      <c r="G6995" s="3" t="str">
        <f>IFERROR(__xludf.DUMMYFUNCTION("REGEXREPLACE(
D6995,
""([一-龯々]+)\[([^\]]+)\]"",
""&lt;ruby&gt;$1&lt;rt&gt;$2&lt;/rt&gt;&lt;/ruby&gt;""
)&amp;""&lt;br&gt;&lt;div class=""""audio""""&gt;[sound:""&amp;C6995&amp;"".mp3]&lt;/div&gt;"""),"&lt;ruby&gt;躾&lt;rt&gt;しつ&lt;/rt&gt;&lt;/ruby&gt;ける&lt;br&gt;&lt;div class=""audio""&gt;[sound:しつける.mp3]&lt;/div&gt;")</f>
        <v>&lt;ruby&gt;躾&lt;rt&gt;しつ&lt;/rt&gt;&lt;/ruby&gt;ける&lt;br&gt;&lt;div class="audio"&gt;[sound:しつける.mp3]&lt;/div&gt;</v>
      </c>
      <c r="H6995" s="3" t="str">
        <f t="shared" si="1"/>
        <v>(v): rèn luyện</v>
      </c>
      <c r="I6995" s="6" t="s">
        <v>38050</v>
      </c>
      <c r="J6995" s="6" t="s">
        <v>38051</v>
      </c>
      <c r="K6995" s="7">
        <f t="shared" si="2"/>
        <v>0.3116870604</v>
      </c>
    </row>
    <row r="6996">
      <c r="A6996" s="4">
        <v>6996.0</v>
      </c>
      <c r="B6996" s="5" t="s">
        <v>38052</v>
      </c>
      <c r="C6996" s="5" t="s">
        <v>38052</v>
      </c>
      <c r="D6996" s="5" t="s">
        <v>38052</v>
      </c>
      <c r="E6996" s="6" t="s">
        <v>11</v>
      </c>
      <c r="F6996" s="6" t="s">
        <v>38053</v>
      </c>
      <c r="G6996" s="3" t="str">
        <f>IFERROR(__xludf.DUMMYFUNCTION("REGEXREPLACE(
D6996,
""([一-龯々]+)\[([^\]]+)\]"",
""&lt;ruby&gt;$1&lt;rt&gt;$2&lt;/rt&gt;&lt;/ruby&gt;""
)&amp;""&lt;br&gt;&lt;div class=""""audio""""&gt;[sound:""&amp;C6996&amp;"".mp3]&lt;/div&gt;"""),"あくどい&lt;br&gt;&lt;div class=""audio""&gt;[sound:あくどい.mp3]&lt;/div&gt;")</f>
        <v>あくどい&lt;br&gt;&lt;div class="audio"&gt;[sound:あくどい.mp3]&lt;/div&gt;</v>
      </c>
      <c r="H6996" s="3" t="str">
        <f t="shared" si="1"/>
        <v>(adj): gian xảo</v>
      </c>
      <c r="I6996" s="6" t="s">
        <v>38054</v>
      </c>
      <c r="J6996" s="6" t="s">
        <v>38055</v>
      </c>
      <c r="K6996" s="7">
        <f t="shared" si="2"/>
        <v>0.03684973576</v>
      </c>
    </row>
    <row r="6997">
      <c r="A6997" s="4">
        <v>6997.0</v>
      </c>
      <c r="B6997" s="5" t="s">
        <v>38056</v>
      </c>
      <c r="C6997" s="5" t="s">
        <v>38056</v>
      </c>
      <c r="D6997" s="5" t="s">
        <v>38056</v>
      </c>
      <c r="E6997" s="6" t="s">
        <v>74</v>
      </c>
      <c r="F6997" s="6" t="s">
        <v>38057</v>
      </c>
      <c r="G6997" s="3" t="str">
        <f>IFERROR(__xludf.DUMMYFUNCTION("REGEXREPLACE(
D6997,
""([一-龯々]+)\[([^\]]+)\]"",
""&lt;ruby&gt;$1&lt;rt&gt;$2&lt;/rt&gt;&lt;/ruby&gt;""
)&amp;""&lt;br&gt;&lt;div class=""""audio""""&gt;[sound:""&amp;C6997&amp;"".mp3]&lt;/div&gt;"""),"ずぶぬれ&lt;br&gt;&lt;div class=""audio""&gt;[sound:ずぶぬれ.mp3]&lt;/div&gt;")</f>
        <v>ずぶぬれ&lt;br&gt;&lt;div class="audio"&gt;[sound:ずぶぬれ.mp3]&lt;/div&gt;</v>
      </c>
      <c r="H6997" s="3" t="str">
        <f t="shared" si="1"/>
        <v>(n): ướt sũng</v>
      </c>
      <c r="I6997" s="6" t="s">
        <v>38058</v>
      </c>
      <c r="J6997" s="6" t="s">
        <v>38059</v>
      </c>
      <c r="K6997" s="7">
        <f t="shared" si="2"/>
        <v>0.5493176031</v>
      </c>
    </row>
    <row r="6998">
      <c r="A6998" s="4">
        <v>6998.0</v>
      </c>
      <c r="B6998" s="5" t="s">
        <v>38060</v>
      </c>
      <c r="C6998" s="5" t="s">
        <v>38061</v>
      </c>
      <c r="D6998" s="5" t="s">
        <v>38062</v>
      </c>
      <c r="E6998" s="6" t="s">
        <v>11</v>
      </c>
      <c r="F6998" s="6" t="s">
        <v>38063</v>
      </c>
      <c r="G6998" s="3" t="str">
        <f>IFERROR(__xludf.DUMMYFUNCTION("REGEXREPLACE(
D6998,
""([一-龯々]+)\[([^\]]+)\]"",
""&lt;ruby&gt;$1&lt;rt&gt;$2&lt;/rt&gt;&lt;/ruby&gt;""
)&amp;""&lt;br&gt;&lt;div class=""""audio""""&gt;[sound:""&amp;C6998&amp;"".mp3]&lt;/div&gt;"""),"&lt;ruby&gt;欲深&lt;rt&gt;よくぶか&lt;/rt&gt;&lt;/ruby&gt;い&lt;br&gt;&lt;div class=""audio""&gt;[sound:よくぶかい.mp3]&lt;/div&gt;")</f>
        <v>&lt;ruby&gt;欲深&lt;rt&gt;よくぶか&lt;/rt&gt;&lt;/ruby&gt;い&lt;br&gt;&lt;div class="audio"&gt;[sound:よくぶかい.mp3]&lt;/div&gt;</v>
      </c>
      <c r="H6998" s="3" t="str">
        <f t="shared" si="1"/>
        <v>(adj): tham lam</v>
      </c>
      <c r="I6998" s="6" t="s">
        <v>38064</v>
      </c>
      <c r="J6998" s="6" t="s">
        <v>38065</v>
      </c>
      <c r="K6998" s="7">
        <f t="shared" si="2"/>
        <v>0.5323514011</v>
      </c>
    </row>
    <row r="6999">
      <c r="A6999" s="4">
        <v>6999.0</v>
      </c>
      <c r="B6999" s="5" t="s">
        <v>38066</v>
      </c>
      <c r="C6999" s="5" t="s">
        <v>38067</v>
      </c>
      <c r="D6999" s="5" t="s">
        <v>38068</v>
      </c>
      <c r="E6999" s="6" t="s">
        <v>74</v>
      </c>
      <c r="F6999" s="6" t="s">
        <v>38069</v>
      </c>
      <c r="G6999" s="3" t="str">
        <f>IFERROR(__xludf.DUMMYFUNCTION("REGEXREPLACE(
D6999,
""([一-龯々]+)\[([^\]]+)\]"",
""&lt;ruby&gt;$1&lt;rt&gt;$2&lt;/rt&gt;&lt;/ruby&gt;""
)&amp;""&lt;br&gt;&lt;div class=""""audio""""&gt;[sound:""&amp;C6999&amp;"".mp3]&lt;/div&gt;"""),"&lt;ruby&gt;焚火&lt;rt&gt;たきび&lt;/rt&gt;&lt;/ruby&gt;&lt;br&gt;&lt;div class=""audio""&gt;[sound:たきび.mp3]&lt;/div&gt;")</f>
        <v>&lt;ruby&gt;焚火&lt;rt&gt;たきび&lt;/rt&gt;&lt;/ruby&gt;&lt;br&gt;&lt;div class="audio"&gt;[sound:たきび.mp3]&lt;/div&gt;</v>
      </c>
      <c r="H6999" s="3" t="str">
        <f t="shared" si="1"/>
        <v>(n): lửa trại</v>
      </c>
      <c r="I6999" s="6" t="s">
        <v>38070</v>
      </c>
      <c r="J6999" s="6" t="s">
        <v>38071</v>
      </c>
      <c r="K6999" s="7">
        <f t="shared" si="2"/>
        <v>0.2226616329</v>
      </c>
    </row>
    <row r="7000">
      <c r="A7000" s="4">
        <v>7000.0</v>
      </c>
      <c r="B7000" s="5" t="s">
        <v>38072</v>
      </c>
      <c r="C7000" s="5" t="s">
        <v>38073</v>
      </c>
      <c r="D7000" s="5" t="s">
        <v>38074</v>
      </c>
      <c r="E7000" s="6" t="s">
        <v>74</v>
      </c>
      <c r="F7000" s="6" t="s">
        <v>38075</v>
      </c>
      <c r="G7000" s="3" t="str">
        <f>IFERROR(__xludf.DUMMYFUNCTION("REGEXREPLACE(
D7000,
""([一-龯々]+)\[([^\]]+)\]"",
""&lt;ruby&gt;$1&lt;rt&gt;$2&lt;/rt&gt;&lt;/ruby&gt;""
)&amp;""&lt;br&gt;&lt;div class=""""audio""""&gt;[sound:""&amp;C7000&amp;"".mp3]&lt;/div&gt;"""),"&lt;ruby&gt;熱湯&lt;rt&gt;ねっとう&lt;/rt&gt;&lt;/ruby&gt;&lt;br&gt;&lt;div class=""audio""&gt;[sound:ねっとう.mp3]&lt;/div&gt;")</f>
        <v>&lt;ruby&gt;熱湯&lt;rt&gt;ねっとう&lt;/rt&gt;&lt;/ruby&gt;&lt;br&gt;&lt;div class="audio"&gt;[sound:ねっとう.mp3]&lt;/div&gt;</v>
      </c>
      <c r="H7000" s="3" t="str">
        <f t="shared" si="1"/>
        <v>(n): nước sôi</v>
      </c>
      <c r="I7000" s="6" t="s">
        <v>38076</v>
      </c>
      <c r="J7000" s="6" t="s">
        <v>38077</v>
      </c>
      <c r="K7000" s="7">
        <f t="shared" si="2"/>
        <v>0.9320975198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v>1.0</v>
      </c>
      <c r="B1" s="3" t="s">
        <v>38078</v>
      </c>
      <c r="C1" s="6" t="s">
        <v>44</v>
      </c>
      <c r="D1" s="6" t="s">
        <v>45</v>
      </c>
      <c r="E1" s="3" t="str">
        <f t="shared" ref="E1:E5000" si="1">B1
&amp;"&lt;br&gt;&lt;div class=""audio""&gt;[sound:"&amp;B1&amp;".mp3]&lt;/div&gt;"</f>
        <v>i&lt;br&gt;&lt;div class="audio"&gt;[sound:i.mp3]&lt;/div&gt;</v>
      </c>
      <c r="F1" s="3" t="str">
        <f t="shared" ref="F1:F5000" si="2">"("&amp;C1&amp;"): "&amp;D1</f>
        <v>(pron): tôi</v>
      </c>
      <c r="G1" s="6" t="s">
        <v>38079</v>
      </c>
      <c r="H1" s="6" t="s">
        <v>38080</v>
      </c>
      <c r="I1" s="7">
        <f t="shared" ref="I1:I5000" si="3">rand()</f>
        <v>0.4846728666</v>
      </c>
    </row>
    <row r="2">
      <c r="A2" s="4">
        <v>2.0</v>
      </c>
      <c r="B2" s="3" t="s">
        <v>38081</v>
      </c>
      <c r="C2" s="6" t="s">
        <v>24</v>
      </c>
      <c r="D2" s="8" t="s">
        <v>38082</v>
      </c>
      <c r="E2" s="3" t="str">
        <f t="shared" si="1"/>
        <v>see&lt;br&gt;&lt;div class="audio"&gt;[sound:see.mp3]&lt;/div&gt;</v>
      </c>
      <c r="F2" s="3" t="str">
        <f t="shared" si="2"/>
        <v>(v): nhìn thấy</v>
      </c>
      <c r="G2" s="8" t="s">
        <v>38083</v>
      </c>
      <c r="H2" s="8" t="s">
        <v>38084</v>
      </c>
      <c r="I2" s="7">
        <f t="shared" si="3"/>
        <v>0.8151234688</v>
      </c>
    </row>
    <row r="3">
      <c r="A3" s="4">
        <v>3.0</v>
      </c>
      <c r="B3" s="3" t="s">
        <v>36449</v>
      </c>
      <c r="C3" s="6" t="s">
        <v>63</v>
      </c>
      <c r="D3" s="6" t="s">
        <v>38085</v>
      </c>
      <c r="E3" s="3" t="str">
        <f t="shared" si="1"/>
        <v>in&lt;br&gt;&lt;div class="audio"&gt;[sound:in.mp3]&lt;/div&gt;</v>
      </c>
      <c r="F3" s="3" t="str">
        <f t="shared" si="2"/>
        <v>(prep): trong</v>
      </c>
      <c r="G3" s="6" t="s">
        <v>38086</v>
      </c>
      <c r="H3" s="6" t="s">
        <v>38087</v>
      </c>
      <c r="I3" s="7">
        <f t="shared" si="3"/>
        <v>0.4832354552</v>
      </c>
    </row>
    <row r="4">
      <c r="A4" s="4">
        <v>4.0</v>
      </c>
      <c r="B4" s="3" t="s">
        <v>228</v>
      </c>
      <c r="C4" s="6" t="s">
        <v>63</v>
      </c>
      <c r="D4" s="6" t="s">
        <v>769</v>
      </c>
      <c r="E4" s="3" t="str">
        <f t="shared" si="1"/>
        <v>to&lt;br&gt;&lt;div class="audio"&gt;[sound:to.mp3]&lt;/div&gt;</v>
      </c>
      <c r="F4" s="3" t="str">
        <f t="shared" si="2"/>
        <v>(prep): đến</v>
      </c>
      <c r="G4" s="6" t="s">
        <v>38088</v>
      </c>
      <c r="H4" s="6" t="s">
        <v>38089</v>
      </c>
      <c r="I4" s="7">
        <f t="shared" si="3"/>
        <v>0.4659825101</v>
      </c>
    </row>
    <row r="5">
      <c r="A5" s="4">
        <v>5.0</v>
      </c>
      <c r="B5" s="3" t="s">
        <v>38090</v>
      </c>
      <c r="C5" s="6" t="s">
        <v>63</v>
      </c>
      <c r="D5" s="6" t="s">
        <v>38091</v>
      </c>
      <c r="E5" s="3" t="str">
        <f t="shared" si="1"/>
        <v>of&lt;br&gt;&lt;div class="audio"&gt;[sound:of.mp3]&lt;/div&gt;</v>
      </c>
      <c r="F5" s="3" t="str">
        <f t="shared" si="2"/>
        <v>(prep): của</v>
      </c>
      <c r="G5" s="6" t="s">
        <v>38092</v>
      </c>
      <c r="H5" s="6" t="s">
        <v>38093</v>
      </c>
      <c r="I5" s="7">
        <f t="shared" si="3"/>
        <v>0.7368133131</v>
      </c>
    </row>
    <row r="6">
      <c r="A6" s="4">
        <v>6.0</v>
      </c>
      <c r="B6" s="3" t="s">
        <v>38094</v>
      </c>
      <c r="C6" s="6" t="s">
        <v>24</v>
      </c>
      <c r="D6" s="6" t="s">
        <v>291</v>
      </c>
      <c r="E6" s="3" t="str">
        <f t="shared" si="1"/>
        <v>have&lt;br&gt;&lt;div class="audio"&gt;[sound:have.mp3]&lt;/div&gt;</v>
      </c>
      <c r="F6" s="3" t="str">
        <f t="shared" si="2"/>
        <v>(v): có</v>
      </c>
      <c r="G6" s="6" t="s">
        <v>38095</v>
      </c>
      <c r="H6" s="6" t="s">
        <v>38096</v>
      </c>
      <c r="I6" s="7">
        <f t="shared" si="3"/>
        <v>0.6084899655</v>
      </c>
    </row>
    <row r="7">
      <c r="A7" s="4">
        <v>7.0</v>
      </c>
      <c r="B7" s="3" t="s">
        <v>38097</v>
      </c>
      <c r="C7" s="6" t="s">
        <v>44</v>
      </c>
      <c r="D7" s="6" t="s">
        <v>38098</v>
      </c>
      <c r="E7" s="3" t="str">
        <f t="shared" si="1"/>
        <v>it&lt;br&gt;&lt;div class="audio"&gt;[sound:it.mp3]&lt;/div&gt;</v>
      </c>
      <c r="F7" s="3" t="str">
        <f t="shared" si="2"/>
        <v>(pron): nó</v>
      </c>
      <c r="G7" s="6" t="s">
        <v>38099</v>
      </c>
      <c r="H7" s="6" t="s">
        <v>38100</v>
      </c>
      <c r="I7" s="7">
        <f t="shared" si="3"/>
        <v>0.6385775685</v>
      </c>
    </row>
    <row r="8">
      <c r="A8" s="4">
        <v>8.0</v>
      </c>
      <c r="B8" s="3" t="s">
        <v>38101</v>
      </c>
      <c r="C8" s="6" t="s">
        <v>24</v>
      </c>
      <c r="D8" s="6" t="s">
        <v>140</v>
      </c>
      <c r="E8" s="3" t="str">
        <f t="shared" si="1"/>
        <v>go&lt;br&gt;&lt;div class="audio"&gt;[sound:go.mp3]&lt;/div&gt;</v>
      </c>
      <c r="F8" s="3" t="str">
        <f t="shared" si="2"/>
        <v>(v): đi</v>
      </c>
      <c r="G8" s="6" t="s">
        <v>38102</v>
      </c>
      <c r="H8" s="6" t="s">
        <v>38103</v>
      </c>
      <c r="I8" s="7">
        <f t="shared" si="3"/>
        <v>0.7729027537</v>
      </c>
    </row>
    <row r="9">
      <c r="A9" s="4">
        <v>9.0</v>
      </c>
      <c r="B9" s="3" t="s">
        <v>38104</v>
      </c>
      <c r="C9" s="6" t="s">
        <v>24</v>
      </c>
      <c r="D9" s="6" t="s">
        <v>95</v>
      </c>
      <c r="E9" s="3" t="str">
        <f t="shared" si="1"/>
        <v>could&lt;br&gt;&lt;div class="audio"&gt;[sound:could.mp3]&lt;/div&gt;</v>
      </c>
      <c r="F9" s="3" t="str">
        <f t="shared" si="2"/>
        <v>(v): có thể</v>
      </c>
      <c r="G9" s="6" t="s">
        <v>38105</v>
      </c>
      <c r="H9" s="6" t="s">
        <v>38106</v>
      </c>
      <c r="I9" s="7">
        <f t="shared" si="3"/>
        <v>0.5861822306</v>
      </c>
    </row>
    <row r="10">
      <c r="A10" s="4">
        <v>10.0</v>
      </c>
      <c r="B10" s="3" t="s">
        <v>38107</v>
      </c>
      <c r="C10" s="6" t="s">
        <v>58</v>
      </c>
      <c r="D10" s="8" t="s">
        <v>7295</v>
      </c>
      <c r="E10" s="3" t="str">
        <f t="shared" si="1"/>
        <v>second&lt;br&gt;&lt;div class="audio"&gt;[sound:second.mp3]&lt;/div&gt;</v>
      </c>
      <c r="F10" s="3" t="str">
        <f t="shared" si="2"/>
        <v>(num): thứ hai</v>
      </c>
      <c r="G10" s="8" t="s">
        <v>38108</v>
      </c>
      <c r="H10" s="8" t="s">
        <v>38109</v>
      </c>
      <c r="I10" s="7">
        <f t="shared" si="3"/>
        <v>0.7457194403</v>
      </c>
    </row>
    <row r="11">
      <c r="A11" s="4">
        <v>11.0</v>
      </c>
      <c r="B11" s="3" t="s">
        <v>38110</v>
      </c>
      <c r="C11" s="6" t="s">
        <v>85</v>
      </c>
      <c r="D11" s="8" t="s">
        <v>38111</v>
      </c>
      <c r="E11" s="3" t="str">
        <f t="shared" si="1"/>
        <v>so&lt;br&gt;&lt;div class="audio"&gt;[sound:so.mp3]&lt;/div&gt;</v>
      </c>
      <c r="F11" s="3" t="str">
        <f t="shared" si="2"/>
        <v>(adv): vậy nên</v>
      </c>
      <c r="G11" s="8" t="s">
        <v>38112</v>
      </c>
      <c r="H11" s="8" t="s">
        <v>38113</v>
      </c>
      <c r="I11" s="7">
        <f t="shared" si="3"/>
        <v>0.5409696635</v>
      </c>
    </row>
    <row r="12">
      <c r="A12" s="4">
        <v>12.0</v>
      </c>
      <c r="B12" s="3" t="s">
        <v>38114</v>
      </c>
      <c r="C12" s="6" t="s">
        <v>44</v>
      </c>
      <c r="D12" s="8" t="s">
        <v>38115</v>
      </c>
      <c r="E12" s="3" t="str">
        <f t="shared" si="1"/>
        <v>some&lt;br&gt;&lt;div class="audio"&gt;[sound:some.mp3]&lt;/div&gt;</v>
      </c>
      <c r="F12" s="3" t="str">
        <f t="shared" si="2"/>
        <v>(pron): một vài</v>
      </c>
      <c r="G12" s="8" t="s">
        <v>38116</v>
      </c>
      <c r="H12" s="8" t="s">
        <v>38117</v>
      </c>
      <c r="I12" s="7">
        <f t="shared" si="3"/>
        <v>0.5849171306</v>
      </c>
    </row>
    <row r="13">
      <c r="A13" s="4">
        <v>13.0</v>
      </c>
      <c r="B13" s="3" t="s">
        <v>38118</v>
      </c>
      <c r="C13" s="6" t="s">
        <v>44</v>
      </c>
      <c r="D13" s="6" t="s">
        <v>1063</v>
      </c>
      <c r="E13" s="3" t="str">
        <f t="shared" si="1"/>
        <v>he&lt;br&gt;&lt;div class="audio"&gt;[sound:he.mp3]&lt;/div&gt;</v>
      </c>
      <c r="F13" s="3" t="str">
        <f t="shared" si="2"/>
        <v>(pron): anh ấy</v>
      </c>
      <c r="G13" s="6" t="s">
        <v>38119</v>
      </c>
      <c r="H13" s="6" t="s">
        <v>38120</v>
      </c>
      <c r="I13" s="7">
        <f t="shared" si="3"/>
        <v>0.5384179417</v>
      </c>
    </row>
    <row r="14">
      <c r="A14" s="4">
        <v>14.0</v>
      </c>
      <c r="B14" s="3" t="s">
        <v>38121</v>
      </c>
      <c r="C14" s="6" t="s">
        <v>24</v>
      </c>
      <c r="D14" s="6" t="s">
        <v>95</v>
      </c>
      <c r="E14" s="3" t="str">
        <f t="shared" si="1"/>
        <v>can&lt;br&gt;&lt;div class="audio"&gt;[sound:can.mp3]&lt;/div&gt;</v>
      </c>
      <c r="F14" s="3" t="str">
        <f t="shared" si="2"/>
        <v>(v): có thể</v>
      </c>
      <c r="G14" s="6" t="s">
        <v>38122</v>
      </c>
      <c r="H14" s="6" t="s">
        <v>38123</v>
      </c>
      <c r="I14" s="7">
        <f t="shared" si="3"/>
        <v>0.913034007</v>
      </c>
    </row>
    <row r="15">
      <c r="A15" s="4">
        <v>15.0</v>
      </c>
      <c r="B15" s="3" t="s">
        <v>38124</v>
      </c>
      <c r="C15" s="6" t="s">
        <v>85</v>
      </c>
      <c r="D15" s="6" t="s">
        <v>20</v>
      </c>
      <c r="E15" s="3" t="str">
        <f t="shared" si="1"/>
        <v>not&lt;br&gt;&lt;div class="audio"&gt;[sound:not.mp3]&lt;/div&gt;</v>
      </c>
      <c r="F15" s="3" t="str">
        <f t="shared" si="2"/>
        <v>(adv): không</v>
      </c>
      <c r="G15" s="6" t="s">
        <v>38125</v>
      </c>
      <c r="H15" s="6" t="s">
        <v>38126</v>
      </c>
      <c r="I15" s="7">
        <f t="shared" si="3"/>
        <v>0.6261168206</v>
      </c>
    </row>
    <row r="16">
      <c r="A16" s="4">
        <v>16.0</v>
      </c>
      <c r="B16" s="3" t="s">
        <v>38127</v>
      </c>
      <c r="C16" s="6" t="s">
        <v>90</v>
      </c>
      <c r="D16" s="6" t="s">
        <v>91</v>
      </c>
      <c r="E16" s="3" t="str">
        <f t="shared" si="1"/>
        <v>but&lt;br&gt;&lt;div class="audio"&gt;[sound:but.mp3]&lt;/div&gt;</v>
      </c>
      <c r="F16" s="3" t="str">
        <f t="shared" si="2"/>
        <v>(conj): nhưng</v>
      </c>
      <c r="G16" s="6" t="s">
        <v>38128</v>
      </c>
      <c r="H16" s="6" t="s">
        <v>38129</v>
      </c>
      <c r="I16" s="7">
        <f t="shared" si="3"/>
        <v>0.2932897301</v>
      </c>
    </row>
    <row r="17">
      <c r="A17" s="4">
        <v>17.0</v>
      </c>
      <c r="B17" s="3" t="s">
        <v>38130</v>
      </c>
      <c r="C17" s="6" t="s">
        <v>44</v>
      </c>
      <c r="D17" s="8" t="s">
        <v>1479</v>
      </c>
      <c r="E17" s="3" t="str">
        <f t="shared" si="1"/>
        <v>she&lt;br&gt;&lt;div class="audio"&gt;[sound:she.mp3]&lt;/div&gt;</v>
      </c>
      <c r="F17" s="3" t="str">
        <f t="shared" si="2"/>
        <v>(pron): cô ấy</v>
      </c>
      <c r="G17" s="8" t="s">
        <v>38131</v>
      </c>
      <c r="H17" s="8" t="s">
        <v>38132</v>
      </c>
      <c r="I17" s="7">
        <f t="shared" si="3"/>
        <v>0.5665712794</v>
      </c>
    </row>
    <row r="18">
      <c r="A18" s="4">
        <v>18.0</v>
      </c>
      <c r="B18" s="3" t="s">
        <v>38133</v>
      </c>
      <c r="C18" s="6" t="s">
        <v>63</v>
      </c>
      <c r="D18" s="6" t="s">
        <v>763</v>
      </c>
      <c r="E18" s="3" t="str">
        <f t="shared" si="1"/>
        <v>on&lt;br&gt;&lt;div class="audio"&gt;[sound:on.mp3]&lt;/div&gt;</v>
      </c>
      <c r="F18" s="3" t="str">
        <f t="shared" si="2"/>
        <v>(prep): trên</v>
      </c>
      <c r="G18" s="6" t="s">
        <v>38134</v>
      </c>
      <c r="H18" s="6" t="s">
        <v>38135</v>
      </c>
      <c r="I18" s="7">
        <f t="shared" si="3"/>
        <v>0.08959722059</v>
      </c>
    </row>
    <row r="19">
      <c r="A19" s="4">
        <v>19.0</v>
      </c>
      <c r="B19" s="3" t="s">
        <v>38136</v>
      </c>
      <c r="C19" s="6" t="s">
        <v>24</v>
      </c>
      <c r="D19" s="6" t="s">
        <v>212</v>
      </c>
      <c r="E19" s="3" t="str">
        <f t="shared" si="1"/>
        <v>get&lt;br&gt;&lt;div class="audio"&gt;[sound:get.mp3]&lt;/div&gt;</v>
      </c>
      <c r="F19" s="3" t="str">
        <f t="shared" si="2"/>
        <v>(v): lấy</v>
      </c>
      <c r="G19" s="6" t="s">
        <v>38137</v>
      </c>
      <c r="H19" s="6" t="s">
        <v>38138</v>
      </c>
      <c r="I19" s="7">
        <f t="shared" si="3"/>
        <v>0.07913136362</v>
      </c>
    </row>
    <row r="20">
      <c r="A20" s="4">
        <v>20.0</v>
      </c>
      <c r="B20" s="3" t="s">
        <v>14630</v>
      </c>
      <c r="C20" s="6" t="s">
        <v>24</v>
      </c>
      <c r="D20" s="6" t="s">
        <v>68</v>
      </c>
      <c r="E20" s="3" t="str">
        <f t="shared" si="1"/>
        <v>do&lt;br&gt;&lt;div class="audio"&gt;[sound:do.mp3]&lt;/div&gt;</v>
      </c>
      <c r="F20" s="3" t="str">
        <f t="shared" si="2"/>
        <v>(v): làm</v>
      </c>
      <c r="G20" s="6" t="s">
        <v>38139</v>
      </c>
      <c r="H20" s="6" t="s">
        <v>38140</v>
      </c>
      <c r="I20" s="7">
        <f t="shared" si="3"/>
        <v>0.8170511984</v>
      </c>
    </row>
    <row r="21">
      <c r="A21" s="4">
        <v>21.0</v>
      </c>
      <c r="B21" s="3" t="s">
        <v>38141</v>
      </c>
      <c r="C21" s="6" t="s">
        <v>24</v>
      </c>
      <c r="D21" s="6" t="s">
        <v>38142</v>
      </c>
      <c r="E21" s="3" t="str">
        <f t="shared" si="1"/>
        <v>be&lt;br&gt;&lt;div class="audio"&gt;[sound:be.mp3]&lt;/div&gt;</v>
      </c>
      <c r="F21" s="3" t="str">
        <f t="shared" si="2"/>
        <v>(v): thì</v>
      </c>
      <c r="G21" s="6" t="s">
        <v>38143</v>
      </c>
      <c r="H21" s="6" t="s">
        <v>38144</v>
      </c>
      <c r="I21" s="7">
        <f t="shared" si="3"/>
        <v>0.6710316731</v>
      </c>
    </row>
    <row r="22">
      <c r="A22" s="4">
        <v>22.0</v>
      </c>
      <c r="B22" s="3" t="s">
        <v>38145</v>
      </c>
      <c r="C22" s="6" t="s">
        <v>63</v>
      </c>
      <c r="D22" s="6" t="s">
        <v>38146</v>
      </c>
      <c r="E22" s="3" t="str">
        <f t="shared" si="1"/>
        <v>by&lt;br&gt;&lt;div class="audio"&gt;[sound:by.mp3]&lt;/div&gt;</v>
      </c>
      <c r="F22" s="3" t="str">
        <f t="shared" si="2"/>
        <v>(prep): bởi</v>
      </c>
      <c r="G22" s="6" t="s">
        <v>38147</v>
      </c>
      <c r="H22" s="6" t="s">
        <v>38148</v>
      </c>
      <c r="I22" s="7">
        <f t="shared" si="3"/>
        <v>0.6882891454</v>
      </c>
    </row>
    <row r="23">
      <c r="A23" s="4">
        <v>23.0</v>
      </c>
      <c r="B23" s="3" t="s">
        <v>38149</v>
      </c>
      <c r="C23" s="6" t="s">
        <v>90</v>
      </c>
      <c r="D23" s="6" t="s">
        <v>348</v>
      </c>
      <c r="E23" s="3" t="str">
        <f t="shared" si="1"/>
        <v>and&lt;br&gt;&lt;div class="audio"&gt;[sound:and.mp3]&lt;/div&gt;</v>
      </c>
      <c r="F23" s="3" t="str">
        <f t="shared" si="2"/>
        <v>(conj): và</v>
      </c>
      <c r="G23" s="6" t="s">
        <v>38150</v>
      </c>
      <c r="H23" s="6" t="s">
        <v>38151</v>
      </c>
      <c r="I23" s="7">
        <f t="shared" si="3"/>
        <v>0.4377124611</v>
      </c>
    </row>
    <row r="24">
      <c r="A24" s="4">
        <v>24.0</v>
      </c>
      <c r="B24" s="3" t="s">
        <v>38152</v>
      </c>
      <c r="C24" s="6" t="s">
        <v>44</v>
      </c>
      <c r="D24" s="6" t="s">
        <v>16</v>
      </c>
      <c r="E24" s="3" t="str">
        <f t="shared" si="1"/>
        <v>that&lt;br&gt;&lt;div class="audio"&gt;[sound:that.mp3]&lt;/div&gt;</v>
      </c>
      <c r="F24" s="3" t="str">
        <f t="shared" si="2"/>
        <v>(pron): đó</v>
      </c>
      <c r="G24" s="6" t="s">
        <v>38153</v>
      </c>
      <c r="H24" s="6" t="s">
        <v>38154</v>
      </c>
      <c r="I24" s="7">
        <f t="shared" si="3"/>
        <v>0.01414301894</v>
      </c>
    </row>
    <row r="25">
      <c r="A25" s="4">
        <v>25.0</v>
      </c>
      <c r="B25" s="3" t="s">
        <v>38155</v>
      </c>
      <c r="C25" s="6" t="s">
        <v>44</v>
      </c>
      <c r="D25" s="6" t="s">
        <v>38156</v>
      </c>
      <c r="E25" s="3" t="str">
        <f t="shared" si="1"/>
        <v>his&lt;br&gt;&lt;div class="audio"&gt;[sound:his.mp3]&lt;/div&gt;</v>
      </c>
      <c r="F25" s="3" t="str">
        <f t="shared" si="2"/>
        <v>(pron): của anh ấy</v>
      </c>
      <c r="G25" s="6" t="s">
        <v>38157</v>
      </c>
      <c r="H25" s="6" t="s">
        <v>38158</v>
      </c>
      <c r="I25" s="7">
        <f t="shared" si="3"/>
        <v>0.01623284409</v>
      </c>
    </row>
    <row r="26">
      <c r="A26" s="4">
        <v>26.0</v>
      </c>
      <c r="B26" s="3" t="s">
        <v>38159</v>
      </c>
      <c r="C26" s="6" t="s">
        <v>24</v>
      </c>
      <c r="D26" s="6" t="s">
        <v>38160</v>
      </c>
      <c r="E26" s="3" t="str">
        <f t="shared" si="1"/>
        <v>give&lt;br&gt;&lt;div class="audio"&gt;[sound:give.mp3]&lt;/div&gt;</v>
      </c>
      <c r="F26" s="3" t="str">
        <f t="shared" si="2"/>
        <v>(v): đưa</v>
      </c>
      <c r="G26" s="6" t="s">
        <v>38161</v>
      </c>
      <c r="H26" s="6" t="s">
        <v>38162</v>
      </c>
      <c r="I26" s="7">
        <f t="shared" si="3"/>
        <v>0.8134906017</v>
      </c>
    </row>
    <row r="27">
      <c r="A27" s="4">
        <v>27.0</v>
      </c>
      <c r="B27" s="3" t="s">
        <v>38163</v>
      </c>
      <c r="C27" s="6" t="s">
        <v>44</v>
      </c>
      <c r="D27" s="6" t="s">
        <v>38</v>
      </c>
      <c r="E27" s="3" t="str">
        <f t="shared" si="1"/>
        <v>this&lt;br&gt;&lt;div class="audio"&gt;[sound:this.mp3]&lt;/div&gt;</v>
      </c>
      <c r="F27" s="3" t="str">
        <f t="shared" si="2"/>
        <v>(pron): này</v>
      </c>
      <c r="G27" s="6" t="s">
        <v>38164</v>
      </c>
      <c r="H27" s="6" t="s">
        <v>38165</v>
      </c>
      <c r="I27" s="7">
        <f t="shared" si="3"/>
        <v>0.02474495996</v>
      </c>
    </row>
    <row r="28">
      <c r="A28" s="4">
        <v>28.0</v>
      </c>
      <c r="B28" s="3" t="s">
        <v>38166</v>
      </c>
      <c r="C28" s="6" t="s">
        <v>44</v>
      </c>
      <c r="D28" s="6" t="s">
        <v>1479</v>
      </c>
      <c r="E28" s="3" t="str">
        <f t="shared" si="1"/>
        <v>her&lt;br&gt;&lt;div class="audio"&gt;[sound:her.mp3]&lt;/div&gt;</v>
      </c>
      <c r="F28" s="3" t="str">
        <f t="shared" si="2"/>
        <v>(pron): cô ấy</v>
      </c>
      <c r="G28" s="6" t="s">
        <v>38167</v>
      </c>
      <c r="H28" s="6" t="s">
        <v>38168</v>
      </c>
      <c r="I28" s="7">
        <f t="shared" si="3"/>
        <v>0.4945591681</v>
      </c>
    </row>
    <row r="29">
      <c r="A29" s="4">
        <v>29.0</v>
      </c>
      <c r="B29" s="3" t="s">
        <v>38169</v>
      </c>
      <c r="C29" s="6" t="s">
        <v>44</v>
      </c>
      <c r="D29" s="6" t="s">
        <v>3991</v>
      </c>
      <c r="E29" s="3" t="str">
        <f t="shared" si="1"/>
        <v>they&lt;br&gt;&lt;div class="audio"&gt;[sound:they.mp3]&lt;/div&gt;</v>
      </c>
      <c r="F29" s="3" t="str">
        <f t="shared" si="2"/>
        <v>(pron): họ</v>
      </c>
      <c r="G29" s="6" t="s">
        <v>38170</v>
      </c>
      <c r="H29" s="6" t="s">
        <v>38171</v>
      </c>
      <c r="I29" s="7">
        <f t="shared" si="3"/>
        <v>0.3908722101</v>
      </c>
    </row>
    <row r="30">
      <c r="A30" s="4">
        <v>30.0</v>
      </c>
      <c r="B30" s="3" t="s">
        <v>38172</v>
      </c>
      <c r="C30" s="6" t="s">
        <v>44</v>
      </c>
      <c r="D30" s="8" t="s">
        <v>38173</v>
      </c>
      <c r="E30" s="3" t="str">
        <f t="shared" si="1"/>
        <v>something&lt;br&gt;&lt;div class="audio"&gt;[sound:something.mp3]&lt;/div&gt;</v>
      </c>
      <c r="F30" s="3" t="str">
        <f t="shared" si="2"/>
        <v>(pron): thứ gì đó</v>
      </c>
      <c r="G30" s="8" t="s">
        <v>38174</v>
      </c>
      <c r="H30" s="8" t="s">
        <v>38175</v>
      </c>
      <c r="I30" s="7">
        <f t="shared" si="3"/>
        <v>0.6836367683</v>
      </c>
    </row>
    <row r="31">
      <c r="A31" s="4">
        <v>31.0</v>
      </c>
      <c r="B31" s="3" t="s">
        <v>38176</v>
      </c>
      <c r="C31" s="6" t="s">
        <v>85</v>
      </c>
      <c r="D31" s="6" t="s">
        <v>38177</v>
      </c>
      <c r="E31" s="3" t="str">
        <f t="shared" si="1"/>
        <v>just&lt;br&gt;&lt;div class="audio"&gt;[sound:just.mp3]&lt;/div&gt;</v>
      </c>
      <c r="F31" s="3" t="str">
        <f t="shared" si="2"/>
        <v>(adv): vừa mới</v>
      </c>
      <c r="G31" s="6" t="s">
        <v>38178</v>
      </c>
      <c r="H31" s="6" t="s">
        <v>38179</v>
      </c>
      <c r="I31" s="7">
        <f t="shared" si="3"/>
        <v>0.4907431323</v>
      </c>
    </row>
    <row r="32">
      <c r="A32" s="4">
        <v>32.0</v>
      </c>
      <c r="B32" s="3" t="s">
        <v>38180</v>
      </c>
      <c r="C32" s="6" t="s">
        <v>44</v>
      </c>
      <c r="D32" s="6" t="s">
        <v>3957</v>
      </c>
      <c r="E32" s="3" t="str">
        <f t="shared" si="1"/>
        <v>all&lt;br&gt;&lt;div class="audio"&gt;[sound:all.mp3]&lt;/div&gt;</v>
      </c>
      <c r="F32" s="3" t="str">
        <f t="shared" si="2"/>
        <v>(pron): tất cả</v>
      </c>
      <c r="G32" s="6" t="s">
        <v>38181</v>
      </c>
      <c r="H32" s="6" t="s">
        <v>38182</v>
      </c>
      <c r="I32" s="7">
        <f t="shared" si="3"/>
        <v>0.1708431161</v>
      </c>
    </row>
    <row r="33">
      <c r="A33" s="4">
        <v>33.0</v>
      </c>
      <c r="B33" s="3" t="s">
        <v>38183</v>
      </c>
      <c r="C33" s="6" t="s">
        <v>63</v>
      </c>
      <c r="D33" s="6" t="s">
        <v>38184</v>
      </c>
      <c r="E33" s="3" t="str">
        <f t="shared" si="1"/>
        <v>than&lt;br&gt;&lt;div class="audio"&gt;[sound:than.mp3]&lt;/div&gt;</v>
      </c>
      <c r="F33" s="3" t="str">
        <f t="shared" si="2"/>
        <v>(prep): so với</v>
      </c>
      <c r="G33" s="6" t="s">
        <v>38185</v>
      </c>
      <c r="H33" s="6" t="s">
        <v>38186</v>
      </c>
      <c r="I33" s="7">
        <f t="shared" si="3"/>
        <v>0.7198243872</v>
      </c>
    </row>
    <row r="34">
      <c r="A34" s="4">
        <v>34.0</v>
      </c>
      <c r="B34" s="3" t="s">
        <v>38187</v>
      </c>
      <c r="C34" s="6" t="s">
        <v>90</v>
      </c>
      <c r="D34" s="6" t="s">
        <v>2299</v>
      </c>
      <c r="E34" s="3" t="str">
        <f t="shared" si="1"/>
        <v>or&lt;br&gt;&lt;div class="audio"&gt;[sound:or.mp3]&lt;/div&gt;</v>
      </c>
      <c r="F34" s="3" t="str">
        <f t="shared" si="2"/>
        <v>(conj): hoặc</v>
      </c>
      <c r="G34" s="6" t="s">
        <v>38188</v>
      </c>
      <c r="H34" s="6" t="s">
        <v>38189</v>
      </c>
      <c r="I34" s="7">
        <f t="shared" si="3"/>
        <v>0.8180573964</v>
      </c>
    </row>
    <row r="35">
      <c r="A35" s="4">
        <v>35.0</v>
      </c>
      <c r="B35" s="3" t="s">
        <v>38190</v>
      </c>
      <c r="C35" s="6" t="s">
        <v>74</v>
      </c>
      <c r="D35" s="6" t="s">
        <v>456</v>
      </c>
      <c r="E35" s="3" t="str">
        <f t="shared" si="1"/>
        <v>day&lt;br&gt;&lt;div class="audio"&gt;[sound:day.mp3]&lt;/div&gt;</v>
      </c>
      <c r="F35" s="3" t="str">
        <f t="shared" si="2"/>
        <v>(n): ngày</v>
      </c>
      <c r="G35" s="6" t="s">
        <v>38191</v>
      </c>
      <c r="H35" s="6" t="s">
        <v>38192</v>
      </c>
      <c r="I35" s="7">
        <f t="shared" si="3"/>
        <v>0.1811361949</v>
      </c>
    </row>
    <row r="36">
      <c r="A36" s="4">
        <v>36.0</v>
      </c>
      <c r="B36" s="3" t="s">
        <v>38193</v>
      </c>
      <c r="C36" s="6" t="s">
        <v>90</v>
      </c>
      <c r="D36" s="6" t="s">
        <v>2254</v>
      </c>
      <c r="E36" s="3" t="str">
        <f t="shared" si="1"/>
        <v>if&lt;br&gt;&lt;div class="audio"&gt;[sound:if.mp3]&lt;/div&gt;</v>
      </c>
      <c r="F36" s="3" t="str">
        <f t="shared" si="2"/>
        <v>(conj): nếu</v>
      </c>
      <c r="G36" s="6" t="s">
        <v>38194</v>
      </c>
      <c r="H36" s="6" t="s">
        <v>38195</v>
      </c>
      <c r="I36" s="7">
        <f t="shared" si="3"/>
        <v>0.01118051977</v>
      </c>
    </row>
    <row r="37">
      <c r="A37" s="4">
        <v>37.0</v>
      </c>
      <c r="B37" s="3" t="s">
        <v>38196</v>
      </c>
      <c r="C37" s="6" t="s">
        <v>63</v>
      </c>
      <c r="D37" s="6" t="s">
        <v>64</v>
      </c>
      <c r="E37" s="3" t="str">
        <f t="shared" si="1"/>
        <v>with&lt;br&gt;&lt;div class="audio"&gt;[sound:with.mp3]&lt;/div&gt;</v>
      </c>
      <c r="F37" s="3" t="str">
        <f t="shared" si="2"/>
        <v>(prep): với</v>
      </c>
      <c r="G37" s="6" t="s">
        <v>38197</v>
      </c>
      <c r="H37" s="6" t="s">
        <v>38198</v>
      </c>
      <c r="I37" s="7">
        <f t="shared" si="3"/>
        <v>0.4936238109</v>
      </c>
    </row>
    <row r="38">
      <c r="A38" s="4">
        <v>38.0</v>
      </c>
      <c r="B38" s="3" t="s">
        <v>38199</v>
      </c>
      <c r="C38" s="6" t="s">
        <v>44</v>
      </c>
      <c r="D38" s="6" t="s">
        <v>285</v>
      </c>
      <c r="E38" s="3" t="str">
        <f t="shared" si="1"/>
        <v>you&lt;br&gt;&lt;div class="audio"&gt;[sound:you.mp3]&lt;/div&gt;</v>
      </c>
      <c r="F38" s="3" t="str">
        <f t="shared" si="2"/>
        <v>(pron): bạn</v>
      </c>
      <c r="G38" s="6" t="s">
        <v>38200</v>
      </c>
      <c r="H38" s="6" t="s">
        <v>38201</v>
      </c>
      <c r="I38" s="7">
        <f t="shared" si="3"/>
        <v>0.5456300883</v>
      </c>
    </row>
    <row r="39">
      <c r="A39" s="4">
        <v>39.0</v>
      </c>
      <c r="B39" s="3" t="s">
        <v>38202</v>
      </c>
      <c r="C39" s="6" t="s">
        <v>58</v>
      </c>
      <c r="D39" s="6" t="s">
        <v>59</v>
      </c>
      <c r="E39" s="3" t="str">
        <f t="shared" si="1"/>
        <v>one&lt;br&gt;&lt;div class="audio"&gt;[sound:one.mp3]&lt;/div&gt;</v>
      </c>
      <c r="F39" s="3" t="str">
        <f t="shared" si="2"/>
        <v>(num): một</v>
      </c>
      <c r="G39" s="6" t="s">
        <v>38203</v>
      </c>
      <c r="H39" s="6" t="s">
        <v>38204</v>
      </c>
      <c r="I39" s="7">
        <f t="shared" si="3"/>
        <v>0.1342117944</v>
      </c>
    </row>
    <row r="40">
      <c r="A40" s="4">
        <v>40.0</v>
      </c>
      <c r="B40" s="3" t="s">
        <v>38205</v>
      </c>
      <c r="C40" s="6" t="s">
        <v>63</v>
      </c>
      <c r="D40" s="6" t="s">
        <v>4684</v>
      </c>
      <c r="E40" s="3" t="str">
        <f t="shared" si="1"/>
        <v>at&lt;br&gt;&lt;div class="audio"&gt;[sound:at.mp3]&lt;/div&gt;</v>
      </c>
      <c r="F40" s="3" t="str">
        <f t="shared" si="2"/>
        <v>(prep): tại</v>
      </c>
      <c r="G40" s="6" t="s">
        <v>38206</v>
      </c>
      <c r="H40" s="6" t="s">
        <v>38207</v>
      </c>
      <c r="I40" s="7">
        <f t="shared" si="3"/>
        <v>0.4964608138</v>
      </c>
    </row>
    <row r="41">
      <c r="A41" s="4">
        <v>41.0</v>
      </c>
      <c r="B41" s="3" t="s">
        <v>38208</v>
      </c>
      <c r="C41" s="6" t="s">
        <v>11</v>
      </c>
      <c r="D41" s="6" t="s">
        <v>1302</v>
      </c>
      <c r="E41" s="3" t="str">
        <f t="shared" si="1"/>
        <v>new&lt;br&gt;&lt;div class="audio"&gt;[sound:new.mp3]&lt;/div&gt;</v>
      </c>
      <c r="F41" s="3" t="str">
        <f t="shared" si="2"/>
        <v>(adj): mới</v>
      </c>
      <c r="G41" s="6" t="s">
        <v>38209</v>
      </c>
      <c r="H41" s="6" t="s">
        <v>38210</v>
      </c>
      <c r="I41" s="7">
        <f t="shared" si="3"/>
        <v>0.2753370425</v>
      </c>
    </row>
    <row r="42">
      <c r="A42" s="4">
        <v>42.0</v>
      </c>
      <c r="B42" s="3" t="s">
        <v>38211</v>
      </c>
      <c r="C42" s="6" t="s">
        <v>63</v>
      </c>
      <c r="D42" s="6" t="s">
        <v>113</v>
      </c>
      <c r="E42" s="3" t="str">
        <f t="shared" si="1"/>
        <v>for&lt;br&gt;&lt;div class="audio"&gt;[sound:for.mp3]&lt;/div&gt;</v>
      </c>
      <c r="F42" s="3" t="str">
        <f t="shared" si="2"/>
        <v>(prep): cho</v>
      </c>
      <c r="G42" s="6" t="s">
        <v>38212</v>
      </c>
      <c r="H42" s="6" t="s">
        <v>38213</v>
      </c>
      <c r="I42" s="7">
        <f t="shared" si="3"/>
        <v>0.7570293581</v>
      </c>
    </row>
    <row r="43">
      <c r="A43" s="4">
        <v>43.0</v>
      </c>
      <c r="B43" s="3" t="s">
        <v>38214</v>
      </c>
      <c r="C43" s="6" t="s">
        <v>11</v>
      </c>
      <c r="D43" s="6" t="s">
        <v>578</v>
      </c>
      <c r="E43" s="3" t="str">
        <f t="shared" si="1"/>
        <v>good&lt;br&gt;&lt;div class="audio"&gt;[sound:good.mp3]&lt;/div&gt;</v>
      </c>
      <c r="F43" s="3" t="str">
        <f t="shared" si="2"/>
        <v>(adj): tốt</v>
      </c>
      <c r="G43" s="6" t="s">
        <v>38215</v>
      </c>
      <c r="H43" s="6" t="s">
        <v>38216</v>
      </c>
      <c r="I43" s="7">
        <f t="shared" si="3"/>
        <v>0.2626047377</v>
      </c>
    </row>
    <row r="44">
      <c r="A44" s="4">
        <v>44.0</v>
      </c>
      <c r="B44" s="3" t="s">
        <v>38217</v>
      </c>
      <c r="C44" s="6" t="s">
        <v>63</v>
      </c>
      <c r="D44" s="6" t="s">
        <v>38218</v>
      </c>
      <c r="E44" s="3" t="str">
        <f t="shared" si="1"/>
        <v>as&lt;br&gt;&lt;div class="audio"&gt;[sound:as.mp3]&lt;/div&gt;</v>
      </c>
      <c r="F44" s="3" t="str">
        <f t="shared" si="2"/>
        <v>(prep): như</v>
      </c>
      <c r="G44" s="6" t="s">
        <v>38219</v>
      </c>
      <c r="H44" s="6" t="s">
        <v>38220</v>
      </c>
      <c r="I44" s="7">
        <f t="shared" si="3"/>
        <v>0.2250641309</v>
      </c>
    </row>
    <row r="45">
      <c r="A45" s="4">
        <v>45.0</v>
      </c>
      <c r="B45" s="3" t="s">
        <v>38221</v>
      </c>
      <c r="C45" s="6" t="s">
        <v>24</v>
      </c>
      <c r="D45" s="8" t="s">
        <v>38222</v>
      </c>
      <c r="E45" s="3" t="str">
        <f t="shared" si="1"/>
        <v>should&lt;br&gt;&lt;div class="audio"&gt;[sound:should.mp3]&lt;/div&gt;</v>
      </c>
      <c r="F45" s="3" t="str">
        <f t="shared" si="2"/>
        <v>(v): nên</v>
      </c>
      <c r="G45" s="8" t="s">
        <v>38223</v>
      </c>
      <c r="H45" s="8" t="s">
        <v>38224</v>
      </c>
      <c r="I45" s="7">
        <f t="shared" si="3"/>
        <v>0.8948406793</v>
      </c>
    </row>
    <row r="46">
      <c r="A46" s="4">
        <v>46.0</v>
      </c>
      <c r="B46" s="3" t="s">
        <v>38225</v>
      </c>
      <c r="C46" s="6" t="s">
        <v>63</v>
      </c>
      <c r="D46" s="6" t="s">
        <v>38226</v>
      </c>
      <c r="E46" s="3" t="str">
        <f t="shared" si="1"/>
        <v>from&lt;br&gt;&lt;div class="audio"&gt;[sound:from.mp3]&lt;/div&gt;</v>
      </c>
      <c r="F46" s="3" t="str">
        <f t="shared" si="2"/>
        <v>(prep): từ</v>
      </c>
      <c r="G46" s="6" t="s">
        <v>38227</v>
      </c>
      <c r="H46" s="6" t="s">
        <v>38228</v>
      </c>
      <c r="I46" s="7">
        <f t="shared" si="3"/>
        <v>0.5928631305</v>
      </c>
    </row>
    <row r="47">
      <c r="A47" s="4">
        <v>47.0</v>
      </c>
      <c r="B47" s="3" t="s">
        <v>38229</v>
      </c>
      <c r="C47" s="6" t="s">
        <v>24</v>
      </c>
      <c r="D47" s="6" t="s">
        <v>38230</v>
      </c>
      <c r="E47" s="3" t="str">
        <f t="shared" si="1"/>
        <v>will&lt;br&gt;&lt;div class="audio"&gt;[sound:will.mp3]&lt;/div&gt;</v>
      </c>
      <c r="F47" s="3" t="str">
        <f t="shared" si="2"/>
        <v>(v): sẽ</v>
      </c>
      <c r="G47" s="6" t="s">
        <v>38231</v>
      </c>
      <c r="H47" s="6" t="s">
        <v>38232</v>
      </c>
      <c r="I47" s="7">
        <f t="shared" si="3"/>
        <v>0.67453794</v>
      </c>
    </row>
    <row r="48">
      <c r="A48" s="4">
        <v>48.0</v>
      </c>
      <c r="B48" s="3" t="s">
        <v>38233</v>
      </c>
      <c r="C48" s="6" t="s">
        <v>63</v>
      </c>
      <c r="D48" s="6" t="s">
        <v>370</v>
      </c>
      <c r="E48" s="3" t="str">
        <f t="shared" si="1"/>
        <v>about&lt;br&gt;&lt;div class="audio"&gt;[sound:about.mp3]&lt;/div&gt;</v>
      </c>
      <c r="F48" s="3" t="str">
        <f t="shared" si="2"/>
        <v>(prep): về</v>
      </c>
      <c r="G48" s="6" t="s">
        <v>38234</v>
      </c>
      <c r="H48" s="6" t="s">
        <v>38235</v>
      </c>
      <c r="I48" s="7">
        <f t="shared" si="3"/>
        <v>0.9577620137</v>
      </c>
    </row>
    <row r="49">
      <c r="A49" s="4">
        <v>49.0</v>
      </c>
      <c r="B49" s="3" t="s">
        <v>38236</v>
      </c>
      <c r="C49" s="6" t="s">
        <v>44</v>
      </c>
      <c r="D49" s="6" t="s">
        <v>38237</v>
      </c>
      <c r="E49" s="3" t="str">
        <f t="shared" si="1"/>
        <v>their&lt;br&gt;&lt;div class="audio"&gt;[sound:their.mp3]&lt;/div&gt;</v>
      </c>
      <c r="F49" s="3" t="str">
        <f t="shared" si="2"/>
        <v>(pron): của họ</v>
      </c>
      <c r="G49" s="6" t="s">
        <v>38238</v>
      </c>
      <c r="H49" s="6" t="s">
        <v>38239</v>
      </c>
      <c r="I49" s="7">
        <f t="shared" si="3"/>
        <v>0.5469660457</v>
      </c>
    </row>
    <row r="50">
      <c r="A50" s="4">
        <v>50.0</v>
      </c>
      <c r="B50" s="3" t="s">
        <v>38240</v>
      </c>
      <c r="C50" s="6" t="s">
        <v>44</v>
      </c>
      <c r="D50" s="6" t="s">
        <v>264</v>
      </c>
      <c r="E50" s="3" t="str">
        <f t="shared" si="1"/>
        <v>what&lt;br&gt;&lt;div class="audio"&gt;[sound:what.mp3]&lt;/div&gt;</v>
      </c>
      <c r="F50" s="3" t="str">
        <f t="shared" si="2"/>
        <v>(pron): cái gì</v>
      </c>
      <c r="G50" s="6" t="s">
        <v>38241</v>
      </c>
      <c r="H50" s="6" t="s">
        <v>38242</v>
      </c>
      <c r="I50" s="7">
        <f t="shared" si="3"/>
        <v>0.9367456215</v>
      </c>
    </row>
    <row r="51">
      <c r="A51" s="4">
        <v>51.0</v>
      </c>
      <c r="B51" s="3" t="s">
        <v>38243</v>
      </c>
      <c r="C51" s="6" t="s">
        <v>24</v>
      </c>
      <c r="D51" s="6" t="s">
        <v>134</v>
      </c>
      <c r="E51" s="3" t="str">
        <f t="shared" si="1"/>
        <v>think&lt;br&gt;&lt;div class="audio"&gt;[sound:think.mp3]&lt;/div&gt;</v>
      </c>
      <c r="F51" s="3" t="str">
        <f t="shared" si="2"/>
        <v>(v): nghĩ</v>
      </c>
      <c r="G51" s="6" t="s">
        <v>38244</v>
      </c>
      <c r="H51" s="6" t="s">
        <v>38245</v>
      </c>
      <c r="I51" s="7">
        <f t="shared" si="3"/>
        <v>0.1505935477</v>
      </c>
    </row>
    <row r="52">
      <c r="A52" s="4">
        <v>52.0</v>
      </c>
      <c r="B52" s="3" t="s">
        <v>38246</v>
      </c>
      <c r="C52" s="6" t="s">
        <v>85</v>
      </c>
      <c r="D52" s="6" t="s">
        <v>488</v>
      </c>
      <c r="E52" s="3" t="str">
        <f t="shared" si="1"/>
        <v>how&lt;br&gt;&lt;div class="audio"&gt;[sound:how.mp3]&lt;/div&gt;</v>
      </c>
      <c r="F52" s="3" t="str">
        <f t="shared" si="2"/>
        <v>(adv): như thế nào</v>
      </c>
      <c r="G52" s="6" t="s">
        <v>38247</v>
      </c>
      <c r="H52" s="6" t="s">
        <v>38248</v>
      </c>
      <c r="I52" s="7">
        <f t="shared" si="3"/>
        <v>0.1500039382</v>
      </c>
    </row>
    <row r="53">
      <c r="A53" s="4">
        <v>53.0</v>
      </c>
      <c r="B53" s="3" t="s">
        <v>38249</v>
      </c>
      <c r="C53" s="6" t="s">
        <v>74</v>
      </c>
      <c r="D53" s="6" t="s">
        <v>492</v>
      </c>
      <c r="E53" s="3" t="str">
        <f t="shared" si="1"/>
        <v>people&lt;br&gt;&lt;div class="audio"&gt;[sound:people.mp3]&lt;/div&gt;</v>
      </c>
      <c r="F53" s="3" t="str">
        <f t="shared" si="2"/>
        <v>(n): mọi người</v>
      </c>
      <c r="G53" s="6" t="s">
        <v>38250</v>
      </c>
      <c r="H53" s="6" t="s">
        <v>38251</v>
      </c>
      <c r="I53" s="7">
        <f t="shared" si="3"/>
        <v>0.7726671081</v>
      </c>
    </row>
    <row r="54">
      <c r="A54" s="4">
        <v>54.0</v>
      </c>
      <c r="B54" s="3" t="s">
        <v>38252</v>
      </c>
      <c r="C54" s="6" t="s">
        <v>63</v>
      </c>
      <c r="D54" s="6" t="s">
        <v>38253</v>
      </c>
      <c r="E54" s="3" t="str">
        <f t="shared" si="1"/>
        <v>into&lt;br&gt;&lt;div class="audio"&gt;[sound:into.mp3]&lt;/div&gt;</v>
      </c>
      <c r="F54" s="3" t="str">
        <f t="shared" si="2"/>
        <v>(prep): vào trong</v>
      </c>
      <c r="G54" s="6" t="s">
        <v>38254</v>
      </c>
      <c r="H54" s="6" t="s">
        <v>38255</v>
      </c>
      <c r="I54" s="7">
        <f t="shared" si="3"/>
        <v>0.1653635647</v>
      </c>
    </row>
    <row r="55">
      <c r="A55" s="4">
        <v>55.0</v>
      </c>
      <c r="B55" s="3" t="s">
        <v>38256</v>
      </c>
      <c r="C55" s="6" t="s">
        <v>24</v>
      </c>
      <c r="D55" s="8" t="s">
        <v>4499</v>
      </c>
      <c r="E55" s="3" t="str">
        <f t="shared" si="1"/>
        <v>set&lt;br&gt;&lt;div class="audio"&gt;[sound:set.mp3]&lt;/div&gt;</v>
      </c>
      <c r="F55" s="3" t="str">
        <f t="shared" si="2"/>
        <v>(v): thiết lập</v>
      </c>
      <c r="G55" s="8" t="s">
        <v>38257</v>
      </c>
      <c r="H55" s="8" t="s">
        <v>38258</v>
      </c>
      <c r="I55" s="7">
        <f t="shared" si="3"/>
        <v>0.507611811</v>
      </c>
    </row>
    <row r="56">
      <c r="A56" s="4">
        <v>56.0</v>
      </c>
      <c r="B56" s="3" t="s">
        <v>38259</v>
      </c>
      <c r="C56" s="6" t="s">
        <v>44</v>
      </c>
      <c r="D56" s="6" t="s">
        <v>5932</v>
      </c>
      <c r="E56" s="3" t="str">
        <f t="shared" si="1"/>
        <v>we&lt;br&gt;&lt;div class="audio"&gt;[sound:we.mp3]&lt;/div&gt;</v>
      </c>
      <c r="F56" s="3" t="str">
        <f t="shared" si="2"/>
        <v>(pron): chúng tôi</v>
      </c>
      <c r="G56" s="6" t="s">
        <v>38260</v>
      </c>
      <c r="H56" s="6" t="s">
        <v>38261</v>
      </c>
      <c r="I56" s="7">
        <f t="shared" si="3"/>
        <v>0.6799942505</v>
      </c>
    </row>
    <row r="57">
      <c r="A57" s="4">
        <v>57.0</v>
      </c>
      <c r="B57" s="3" t="s">
        <v>38262</v>
      </c>
      <c r="C57" s="6" t="s">
        <v>74</v>
      </c>
      <c r="D57" s="6" t="s">
        <v>915</v>
      </c>
      <c r="E57" s="3" t="str">
        <f t="shared" si="1"/>
        <v>time&lt;br&gt;&lt;div class="audio"&gt;[sound:time.mp3]&lt;/div&gt;</v>
      </c>
      <c r="F57" s="3" t="str">
        <f t="shared" si="2"/>
        <v>(n): thời gian</v>
      </c>
      <c r="G57" s="6" t="s">
        <v>38263</v>
      </c>
      <c r="H57" s="6" t="s">
        <v>124</v>
      </c>
      <c r="I57" s="7">
        <f t="shared" si="3"/>
        <v>0.2213135568</v>
      </c>
    </row>
    <row r="58">
      <c r="A58" s="4">
        <v>58.0</v>
      </c>
      <c r="B58" s="3" t="s">
        <v>38264</v>
      </c>
      <c r="C58" s="6" t="s">
        <v>24</v>
      </c>
      <c r="D58" s="8" t="s">
        <v>5634</v>
      </c>
      <c r="E58" s="3" t="str">
        <f t="shared" si="1"/>
        <v>show&lt;br&gt;&lt;div class="audio"&gt;[sound:show.mp3]&lt;/div&gt;</v>
      </c>
      <c r="F58" s="3" t="str">
        <f t="shared" si="2"/>
        <v>(v): thể hiện</v>
      </c>
      <c r="G58" s="8" t="s">
        <v>38265</v>
      </c>
      <c r="H58" s="8" t="s">
        <v>38266</v>
      </c>
      <c r="I58" s="7">
        <f t="shared" si="3"/>
        <v>0.5968503437</v>
      </c>
    </row>
    <row r="59">
      <c r="A59" s="4">
        <v>59.0</v>
      </c>
      <c r="B59" s="3" t="s">
        <v>38267</v>
      </c>
      <c r="C59" s="6" t="s">
        <v>24</v>
      </c>
      <c r="D59" s="8" t="s">
        <v>303</v>
      </c>
      <c r="E59" s="3" t="str">
        <f t="shared" si="1"/>
        <v>start&lt;br&gt;&lt;div class="audio"&gt;[sound:start.mp3]&lt;/div&gt;</v>
      </c>
      <c r="F59" s="3" t="str">
        <f t="shared" si="2"/>
        <v>(v): bắt đầu</v>
      </c>
      <c r="G59" s="8" t="s">
        <v>38268</v>
      </c>
      <c r="H59" s="8" t="s">
        <v>38269</v>
      </c>
      <c r="I59" s="7">
        <f t="shared" si="3"/>
        <v>0.9533860432</v>
      </c>
    </row>
    <row r="60">
      <c r="A60" s="4">
        <v>60.0</v>
      </c>
      <c r="B60" s="3" t="s">
        <v>38270</v>
      </c>
      <c r="C60" s="6" t="s">
        <v>85</v>
      </c>
      <c r="D60" s="6" t="s">
        <v>258</v>
      </c>
      <c r="E60" s="3" t="str">
        <f t="shared" si="1"/>
        <v>when&lt;br&gt;&lt;div class="audio"&gt;[sound:when.mp3]&lt;/div&gt;</v>
      </c>
      <c r="F60" s="3" t="str">
        <f t="shared" si="2"/>
        <v>(adv): khi nào</v>
      </c>
      <c r="G60" s="6" t="s">
        <v>38271</v>
      </c>
      <c r="H60" s="6" t="s">
        <v>38272</v>
      </c>
      <c r="I60" s="7">
        <f t="shared" si="3"/>
        <v>0.04834660911</v>
      </c>
    </row>
    <row r="61">
      <c r="A61" s="4">
        <v>61.0</v>
      </c>
      <c r="B61" s="3" t="s">
        <v>38273</v>
      </c>
      <c r="C61" s="6" t="s">
        <v>44</v>
      </c>
      <c r="D61" s="6" t="s">
        <v>2341</v>
      </c>
      <c r="E61" s="3" t="str">
        <f t="shared" si="1"/>
        <v>which&lt;br&gt;&lt;div class="audio"&gt;[sound:which.mp3]&lt;/div&gt;</v>
      </c>
      <c r="F61" s="3" t="str">
        <f t="shared" si="2"/>
        <v>(pron): cái nào</v>
      </c>
      <c r="G61" s="6" t="s">
        <v>38274</v>
      </c>
      <c r="H61" s="6" t="s">
        <v>38275</v>
      </c>
      <c r="I61" s="7">
        <f t="shared" si="3"/>
        <v>0.1674059153</v>
      </c>
    </row>
    <row r="62">
      <c r="A62" s="4">
        <v>62.0</v>
      </c>
      <c r="B62" s="3" t="s">
        <v>38276</v>
      </c>
      <c r="C62" s="6" t="s">
        <v>44</v>
      </c>
      <c r="D62" s="6" t="s">
        <v>38277</v>
      </c>
      <c r="E62" s="3" t="str">
        <f t="shared" si="1"/>
        <v>its&lt;br&gt;&lt;div class="audio"&gt;[sound:its.mp3]&lt;/div&gt;</v>
      </c>
      <c r="F62" s="3" t="str">
        <f t="shared" si="2"/>
        <v>(pron): của nó</v>
      </c>
      <c r="G62" s="6" t="s">
        <v>38278</v>
      </c>
      <c r="H62" s="6" t="s">
        <v>38279</v>
      </c>
      <c r="I62" s="7">
        <f t="shared" si="3"/>
        <v>0.4742907516</v>
      </c>
    </row>
    <row r="63">
      <c r="A63" s="4">
        <v>63.0</v>
      </c>
      <c r="B63" s="3" t="s">
        <v>38280</v>
      </c>
      <c r="C63" s="6" t="s">
        <v>44</v>
      </c>
      <c r="D63" s="6" t="s">
        <v>1063</v>
      </c>
      <c r="E63" s="3" t="str">
        <f t="shared" si="1"/>
        <v>him&lt;br&gt;&lt;div class="audio"&gt;[sound:him.mp3]&lt;/div&gt;</v>
      </c>
      <c r="F63" s="3" t="str">
        <f t="shared" si="2"/>
        <v>(pron): anh ấy</v>
      </c>
      <c r="G63" s="6" t="s">
        <v>38281</v>
      </c>
      <c r="H63" s="6" t="s">
        <v>38282</v>
      </c>
      <c r="I63" s="7">
        <f t="shared" si="3"/>
        <v>0.5641423092</v>
      </c>
    </row>
    <row r="64">
      <c r="A64" s="4">
        <v>64.0</v>
      </c>
      <c r="B64" s="3" t="s">
        <v>38283</v>
      </c>
      <c r="C64" s="6" t="s">
        <v>63</v>
      </c>
      <c r="D64" s="8" t="s">
        <v>38284</v>
      </c>
      <c r="E64" s="3" t="str">
        <f t="shared" si="1"/>
        <v>since&lt;br&gt;&lt;div class="audio"&gt;[sound:since.mp3]&lt;/div&gt;</v>
      </c>
      <c r="F64" s="3" t="str">
        <f t="shared" si="2"/>
        <v>(prep): từ khi</v>
      </c>
      <c r="G64" s="8" t="s">
        <v>38285</v>
      </c>
      <c r="H64" s="8" t="s">
        <v>38286</v>
      </c>
      <c r="I64" s="7">
        <f t="shared" si="3"/>
        <v>0.7987363291</v>
      </c>
    </row>
    <row r="65">
      <c r="A65" s="4">
        <v>65.0</v>
      </c>
      <c r="B65" s="3" t="s">
        <v>38287</v>
      </c>
      <c r="C65" s="6" t="s">
        <v>85</v>
      </c>
      <c r="D65" s="6" t="s">
        <v>20</v>
      </c>
      <c r="E65" s="3" t="str">
        <f t="shared" si="1"/>
        <v>no&lt;br&gt;&lt;div class="audio"&gt;[sound:no.mp3]&lt;/div&gt;</v>
      </c>
      <c r="F65" s="3" t="str">
        <f t="shared" si="2"/>
        <v>(adv): không</v>
      </c>
      <c r="G65" s="6" t="s">
        <v>38288</v>
      </c>
      <c r="H65" s="6" t="s">
        <v>38289</v>
      </c>
      <c r="I65" s="7">
        <f t="shared" si="3"/>
        <v>0.9864554039</v>
      </c>
    </row>
    <row r="66">
      <c r="A66" s="4">
        <v>66.0</v>
      </c>
      <c r="B66" s="3" t="s">
        <v>38290</v>
      </c>
      <c r="C66" s="6" t="s">
        <v>24</v>
      </c>
      <c r="D66" s="6" t="s">
        <v>769</v>
      </c>
      <c r="E66" s="3" t="str">
        <f t="shared" si="1"/>
        <v>come&lt;br&gt;&lt;div class="audio"&gt;[sound:come.mp3]&lt;/div&gt;</v>
      </c>
      <c r="F66" s="3" t="str">
        <f t="shared" si="2"/>
        <v>(v): đến</v>
      </c>
      <c r="G66" s="6" t="s">
        <v>38291</v>
      </c>
      <c r="H66" s="6" t="s">
        <v>38292</v>
      </c>
      <c r="I66" s="7">
        <f t="shared" si="3"/>
        <v>0.1229364228</v>
      </c>
    </row>
    <row r="67">
      <c r="A67" s="4">
        <v>67.0</v>
      </c>
      <c r="B67" s="3" t="s">
        <v>38293</v>
      </c>
      <c r="C67" s="6" t="s">
        <v>85</v>
      </c>
      <c r="D67" s="8" t="s">
        <v>16360</v>
      </c>
      <c r="E67" s="3" t="str">
        <f t="shared" si="1"/>
        <v>still&lt;br&gt;&lt;div class="audio"&gt;[sound:still.mp3]&lt;/div&gt;</v>
      </c>
      <c r="F67" s="3" t="str">
        <f t="shared" si="2"/>
        <v>(adv): vẫn</v>
      </c>
      <c r="G67" s="8" t="s">
        <v>38294</v>
      </c>
      <c r="H67" s="8" t="s">
        <v>38295</v>
      </c>
      <c r="I67" s="7">
        <f t="shared" si="3"/>
        <v>0.7013623828</v>
      </c>
    </row>
    <row r="68">
      <c r="A68" s="4">
        <v>68.0</v>
      </c>
      <c r="B68" s="3" t="s">
        <v>38296</v>
      </c>
      <c r="C68" s="6" t="s">
        <v>24</v>
      </c>
      <c r="D68" s="6" t="s">
        <v>8345</v>
      </c>
      <c r="E68" s="3" t="str">
        <f t="shared" si="1"/>
        <v>need&lt;br&gt;&lt;div class="audio"&gt;[sound:need.mp3]&lt;/div&gt;</v>
      </c>
      <c r="F68" s="3" t="str">
        <f t="shared" si="2"/>
        <v>(v): cần</v>
      </c>
      <c r="G68" s="6" t="s">
        <v>38297</v>
      </c>
      <c r="H68" s="6" t="s">
        <v>38298</v>
      </c>
      <c r="I68" s="7">
        <f t="shared" si="3"/>
        <v>0.2888533463</v>
      </c>
    </row>
    <row r="69">
      <c r="A69" s="4">
        <v>69.0</v>
      </c>
      <c r="B69" s="3" t="s">
        <v>38299</v>
      </c>
      <c r="C69" s="6" t="s">
        <v>24</v>
      </c>
      <c r="D69" s="6" t="s">
        <v>212</v>
      </c>
      <c r="E69" s="3" t="str">
        <f t="shared" si="1"/>
        <v>take&lt;br&gt;&lt;div class="audio"&gt;[sound:take.mp3]&lt;/div&gt;</v>
      </c>
      <c r="F69" s="3" t="str">
        <f t="shared" si="2"/>
        <v>(v): lấy</v>
      </c>
      <c r="G69" s="6" t="s">
        <v>38300</v>
      </c>
      <c r="H69" s="6" t="s">
        <v>38301</v>
      </c>
      <c r="I69" s="7">
        <f t="shared" si="3"/>
        <v>0.1824661237</v>
      </c>
    </row>
    <row r="70">
      <c r="A70" s="4">
        <v>70.0</v>
      </c>
      <c r="B70" s="3" t="s">
        <v>38302</v>
      </c>
      <c r="C70" s="6" t="s">
        <v>85</v>
      </c>
      <c r="D70" s="6" t="s">
        <v>604</v>
      </c>
      <c r="E70" s="3" t="str">
        <f t="shared" si="1"/>
        <v>very&lt;br&gt;&lt;div class="audio"&gt;[sound:very.mp3]&lt;/div&gt;</v>
      </c>
      <c r="F70" s="3" t="str">
        <f t="shared" si="2"/>
        <v>(adv): rất</v>
      </c>
      <c r="G70" s="6" t="s">
        <v>38303</v>
      </c>
      <c r="H70" s="6" t="s">
        <v>38304</v>
      </c>
      <c r="I70" s="7">
        <f t="shared" si="3"/>
        <v>0.127720328</v>
      </c>
    </row>
    <row r="71">
      <c r="A71" s="4">
        <v>71.0</v>
      </c>
      <c r="B71" s="3" t="s">
        <v>38305</v>
      </c>
      <c r="C71" s="6" t="s">
        <v>44</v>
      </c>
      <c r="D71" s="6" t="s">
        <v>3991</v>
      </c>
      <c r="E71" s="3" t="str">
        <f t="shared" si="1"/>
        <v>them&lt;br&gt;&lt;div class="audio"&gt;[sound:them.mp3]&lt;/div&gt;</v>
      </c>
      <c r="F71" s="3" t="str">
        <f t="shared" si="2"/>
        <v>(pron): họ</v>
      </c>
      <c r="G71" s="6" t="s">
        <v>38306</v>
      </c>
      <c r="H71" s="6" t="s">
        <v>38307</v>
      </c>
      <c r="I71" s="7">
        <f t="shared" si="3"/>
        <v>0.5253294457</v>
      </c>
    </row>
    <row r="72">
      <c r="A72" s="4">
        <v>72.0</v>
      </c>
      <c r="B72" s="3" t="s">
        <v>38308</v>
      </c>
      <c r="C72" s="6" t="s">
        <v>44</v>
      </c>
      <c r="D72" s="6" t="s">
        <v>38309</v>
      </c>
      <c r="E72" s="3" t="str">
        <f t="shared" si="1"/>
        <v>our&lt;br&gt;&lt;div class="audio"&gt;[sound:our.mp3]&lt;/div&gt;</v>
      </c>
      <c r="F72" s="3" t="str">
        <f t="shared" si="2"/>
        <v>(pron): của chúng tôi</v>
      </c>
      <c r="G72" s="6" t="s">
        <v>38310</v>
      </c>
      <c r="H72" s="6" t="s">
        <v>38311</v>
      </c>
      <c r="I72" s="7">
        <f t="shared" si="3"/>
        <v>0.2270920412</v>
      </c>
    </row>
    <row r="73">
      <c r="A73" s="4">
        <v>73.0</v>
      </c>
      <c r="B73" s="3" t="s">
        <v>38312</v>
      </c>
      <c r="C73" s="6" t="s">
        <v>24</v>
      </c>
      <c r="D73" s="6" t="s">
        <v>28853</v>
      </c>
      <c r="E73" s="3" t="str">
        <f t="shared" si="1"/>
        <v>bring&lt;br&gt;&lt;div class="audio"&gt;[sound:bring.mp3]&lt;/div&gt;</v>
      </c>
      <c r="F73" s="3" t="str">
        <f t="shared" si="2"/>
        <v>(v): mang theo</v>
      </c>
      <c r="G73" s="6" t="s">
        <v>38313</v>
      </c>
      <c r="H73" s="6" t="s">
        <v>38314</v>
      </c>
      <c r="I73" s="7">
        <f t="shared" si="3"/>
        <v>0.1034026816</v>
      </c>
    </row>
    <row r="74">
      <c r="A74" s="4">
        <v>74.0</v>
      </c>
      <c r="B74" s="3" t="s">
        <v>38315</v>
      </c>
      <c r="C74" s="6" t="s">
        <v>74</v>
      </c>
      <c r="D74" s="6" t="s">
        <v>38316</v>
      </c>
      <c r="E74" s="3" t="str">
        <f t="shared" si="1"/>
        <v>book&lt;br&gt;&lt;div class="audio"&gt;[sound:book.mp3]&lt;/div&gt;</v>
      </c>
      <c r="F74" s="3" t="str">
        <f t="shared" si="2"/>
        <v>(n): cuốn sách</v>
      </c>
      <c r="G74" s="6" t="s">
        <v>38317</v>
      </c>
      <c r="H74" s="6" t="s">
        <v>38318</v>
      </c>
      <c r="I74" s="7">
        <f t="shared" si="3"/>
        <v>0.9919161753</v>
      </c>
    </row>
    <row r="75">
      <c r="A75" s="4">
        <v>75.0</v>
      </c>
      <c r="B75" s="3" t="s">
        <v>38319</v>
      </c>
      <c r="C75" s="6" t="s">
        <v>11</v>
      </c>
      <c r="D75" s="6" t="s">
        <v>2032</v>
      </c>
      <c r="E75" s="3" t="str">
        <f t="shared" si="1"/>
        <v>great&lt;br&gt;&lt;div class="audio"&gt;[sound:great.mp3]&lt;/div&gt;</v>
      </c>
      <c r="F75" s="3" t="str">
        <f t="shared" si="2"/>
        <v>(adj): tuyệt vời</v>
      </c>
      <c r="G75" s="6" t="s">
        <v>38320</v>
      </c>
      <c r="H75" s="6" t="s">
        <v>38321</v>
      </c>
      <c r="I75" s="7">
        <f t="shared" si="3"/>
        <v>0.7598458694</v>
      </c>
    </row>
    <row r="76">
      <c r="A76" s="4">
        <v>76.0</v>
      </c>
      <c r="B76" s="3" t="s">
        <v>38322</v>
      </c>
      <c r="C76" s="6" t="s">
        <v>85</v>
      </c>
      <c r="D76" s="6" t="s">
        <v>38323</v>
      </c>
      <c r="E76" s="3" t="str">
        <f t="shared" si="1"/>
        <v>here&lt;br&gt;&lt;div class="audio"&gt;[sound:here.mp3]&lt;/div&gt;</v>
      </c>
      <c r="F76" s="3" t="str">
        <f t="shared" si="2"/>
        <v>(adv): tại đây</v>
      </c>
      <c r="G76" s="6" t="s">
        <v>38324</v>
      </c>
      <c r="H76" s="6" t="s">
        <v>38325</v>
      </c>
      <c r="I76" s="7">
        <f t="shared" si="3"/>
        <v>0.5827960137</v>
      </c>
    </row>
    <row r="77">
      <c r="A77" s="4">
        <v>77.0</v>
      </c>
      <c r="B77" s="3" t="s">
        <v>38326</v>
      </c>
      <c r="C77" s="6" t="s">
        <v>85</v>
      </c>
      <c r="D77" s="6" t="s">
        <v>122</v>
      </c>
      <c r="E77" s="3" t="str">
        <f t="shared" si="1"/>
        <v>now&lt;br&gt;&lt;div class="audio"&gt;[sound:now.mp3]&lt;/div&gt;</v>
      </c>
      <c r="F77" s="3" t="str">
        <f t="shared" si="2"/>
        <v>(adv): bây giờ</v>
      </c>
      <c r="G77" s="6" t="s">
        <v>38327</v>
      </c>
      <c r="H77" s="6" t="s">
        <v>38328</v>
      </c>
      <c r="I77" s="7">
        <f t="shared" si="3"/>
        <v>0.1812214741</v>
      </c>
    </row>
    <row r="78">
      <c r="A78" s="4">
        <v>78.0</v>
      </c>
      <c r="B78" s="3" t="s">
        <v>38329</v>
      </c>
      <c r="C78" s="6" t="s">
        <v>74</v>
      </c>
      <c r="D78" s="6" t="s">
        <v>38330</v>
      </c>
      <c r="E78" s="3" t="str">
        <f t="shared" si="1"/>
        <v>car&lt;br&gt;&lt;div class="audio"&gt;[sound:car.mp3]&lt;/div&gt;</v>
      </c>
      <c r="F78" s="3" t="str">
        <f t="shared" si="2"/>
        <v>(n): xe hơi</v>
      </c>
      <c r="G78" s="6" t="s">
        <v>38331</v>
      </c>
      <c r="H78" s="6" t="s">
        <v>38332</v>
      </c>
      <c r="I78" s="7">
        <f t="shared" si="3"/>
        <v>0.7582963355</v>
      </c>
    </row>
    <row r="79">
      <c r="A79" s="4">
        <v>79.0</v>
      </c>
      <c r="B79" s="3" t="s">
        <v>38333</v>
      </c>
      <c r="C79" s="6" t="s">
        <v>24</v>
      </c>
      <c r="D79" s="6" t="s">
        <v>8328</v>
      </c>
      <c r="E79" s="3" t="str">
        <f t="shared" si="1"/>
        <v>make&lt;br&gt;&lt;div class="audio"&gt;[sound:make.mp3]&lt;/div&gt;</v>
      </c>
      <c r="F79" s="3" t="str">
        <f t="shared" si="2"/>
        <v>(v): tạo ra</v>
      </c>
      <c r="G79" s="6" t="s">
        <v>38334</v>
      </c>
      <c r="H79" s="6" t="s">
        <v>38335</v>
      </c>
      <c r="I79" s="7">
        <f t="shared" si="3"/>
        <v>0.5158927433</v>
      </c>
    </row>
    <row r="80">
      <c r="A80" s="4">
        <v>80.0</v>
      </c>
      <c r="B80" s="3" t="s">
        <v>38336</v>
      </c>
      <c r="C80" s="6" t="s">
        <v>24</v>
      </c>
      <c r="D80" s="8" t="s">
        <v>38337</v>
      </c>
      <c r="E80" s="3" t="str">
        <f t="shared" si="1"/>
        <v>seem&lt;br&gt;&lt;div class="audio"&gt;[sound:seem.mp3]&lt;/div&gt;</v>
      </c>
      <c r="F80" s="3" t="str">
        <f t="shared" si="2"/>
        <v>(v): có vẻ</v>
      </c>
      <c r="G80" s="8" t="s">
        <v>38338</v>
      </c>
      <c r="H80" s="8" t="s">
        <v>38339</v>
      </c>
      <c r="I80" s="7">
        <f t="shared" si="3"/>
        <v>0.5765095211</v>
      </c>
    </row>
    <row r="81">
      <c r="A81" s="4">
        <v>81.0</v>
      </c>
      <c r="B81" s="3" t="s">
        <v>38340</v>
      </c>
      <c r="C81" s="6" t="s">
        <v>24</v>
      </c>
      <c r="D81" s="6" t="s">
        <v>178</v>
      </c>
      <c r="E81" s="3" t="str">
        <f t="shared" si="1"/>
        <v>know&lt;br&gt;&lt;div class="audio"&gt;[sound:know.mp3]&lt;/div&gt;</v>
      </c>
      <c r="F81" s="3" t="str">
        <f t="shared" si="2"/>
        <v>(v): biết</v>
      </c>
      <c r="G81" s="6" t="s">
        <v>38341</v>
      </c>
      <c r="H81" s="6" t="s">
        <v>38342</v>
      </c>
      <c r="I81" s="7">
        <f t="shared" si="3"/>
        <v>0.3894897399</v>
      </c>
    </row>
    <row r="82">
      <c r="A82" s="4">
        <v>82.0</v>
      </c>
      <c r="B82" s="3" t="s">
        <v>38343</v>
      </c>
      <c r="C82" s="6" t="s">
        <v>85</v>
      </c>
      <c r="D82" s="6" t="s">
        <v>38344</v>
      </c>
      <c r="E82" s="3" t="str">
        <f t="shared" si="1"/>
        <v>also&lt;br&gt;&lt;div class="audio"&gt;[sound:also.mp3]&lt;/div&gt;</v>
      </c>
      <c r="F82" s="3" t="str">
        <f t="shared" si="2"/>
        <v>(adv): cũng</v>
      </c>
      <c r="G82" s="6" t="s">
        <v>38345</v>
      </c>
      <c r="H82" s="6" t="s">
        <v>38346</v>
      </c>
      <c r="I82" s="7">
        <f t="shared" si="3"/>
        <v>0.5009002454</v>
      </c>
    </row>
    <row r="83">
      <c r="A83" s="4">
        <v>83.0</v>
      </c>
      <c r="B83" s="3" t="s">
        <v>38347</v>
      </c>
      <c r="C83" s="6" t="s">
        <v>24</v>
      </c>
      <c r="D83" s="8" t="s">
        <v>7114</v>
      </c>
      <c r="E83" s="3" t="str">
        <f t="shared" si="1"/>
        <v>stop&lt;br&gt;&lt;div class="audio"&gt;[sound:stop.mp3]&lt;/div&gt;</v>
      </c>
      <c r="F83" s="3" t="str">
        <f t="shared" si="2"/>
        <v>(v): dừng</v>
      </c>
      <c r="G83" s="8" t="s">
        <v>38348</v>
      </c>
      <c r="H83" s="8" t="s">
        <v>38349</v>
      </c>
      <c r="I83" s="7">
        <f t="shared" si="3"/>
        <v>0.2915713098</v>
      </c>
    </row>
    <row r="84">
      <c r="A84" s="4">
        <v>84.0</v>
      </c>
      <c r="B84" s="3" t="s">
        <v>38350</v>
      </c>
      <c r="C84" s="6" t="s">
        <v>58</v>
      </c>
      <c r="D84" s="6" t="s">
        <v>158</v>
      </c>
      <c r="E84" s="3" t="str">
        <f t="shared" si="1"/>
        <v>two&lt;br&gt;&lt;div class="audio"&gt;[sound:two.mp3]&lt;/div&gt;</v>
      </c>
      <c r="F84" s="3" t="str">
        <f t="shared" si="2"/>
        <v>(num): hai</v>
      </c>
      <c r="G84" s="6" t="s">
        <v>38351</v>
      </c>
      <c r="H84" s="6" t="s">
        <v>38352</v>
      </c>
      <c r="I84" s="7">
        <f t="shared" si="3"/>
        <v>0.4615698055</v>
      </c>
    </row>
    <row r="85">
      <c r="A85" s="4">
        <v>85.0</v>
      </c>
      <c r="B85" s="3" t="s">
        <v>38353</v>
      </c>
      <c r="C85" s="6" t="s">
        <v>24</v>
      </c>
      <c r="D85" s="6" t="s">
        <v>734</v>
      </c>
      <c r="E85" s="3" t="str">
        <f t="shared" si="1"/>
        <v>put&lt;br&gt;&lt;div class="audio"&gt;[sound:put.mp3]&lt;/div&gt;</v>
      </c>
      <c r="F85" s="3" t="str">
        <f t="shared" si="2"/>
        <v>(v): đặt</v>
      </c>
      <c r="G85" s="6" t="s">
        <v>38354</v>
      </c>
      <c r="H85" s="6" t="s">
        <v>38355</v>
      </c>
      <c r="I85" s="7">
        <f t="shared" si="3"/>
        <v>0.6243106409</v>
      </c>
    </row>
    <row r="86">
      <c r="A86" s="4">
        <v>86.0</v>
      </c>
      <c r="B86" s="3" t="s">
        <v>38356</v>
      </c>
      <c r="C86" s="6" t="s">
        <v>11</v>
      </c>
      <c r="D86" s="8" t="s">
        <v>484</v>
      </c>
      <c r="E86" s="3" t="str">
        <f t="shared" si="1"/>
        <v>small&lt;br&gt;&lt;div class="audio"&gt;[sound:small.mp3]&lt;/div&gt;</v>
      </c>
      <c r="F86" s="3" t="str">
        <f t="shared" si="2"/>
        <v>(adj): nhỏ</v>
      </c>
      <c r="G86" s="8" t="s">
        <v>38357</v>
      </c>
      <c r="H86" s="8" t="s">
        <v>38358</v>
      </c>
      <c r="I86" s="7">
        <f t="shared" si="3"/>
        <v>0.4285322557</v>
      </c>
    </row>
    <row r="87">
      <c r="A87" s="4">
        <v>87.0</v>
      </c>
      <c r="B87" s="3" t="s">
        <v>21848</v>
      </c>
      <c r="C87" s="6" t="s">
        <v>24</v>
      </c>
      <c r="D87" s="6" t="s">
        <v>184</v>
      </c>
      <c r="E87" s="3" t="str">
        <f t="shared" si="1"/>
        <v>say&lt;br&gt;&lt;div class="audio"&gt;[sound:say.mp3]&lt;/div&gt;</v>
      </c>
      <c r="F87" s="3" t="str">
        <f t="shared" si="2"/>
        <v>(v): nói</v>
      </c>
      <c r="G87" s="6" t="s">
        <v>38359</v>
      </c>
      <c r="H87" s="6" t="s">
        <v>38360</v>
      </c>
      <c r="I87" s="7">
        <f t="shared" si="3"/>
        <v>0.2314869211</v>
      </c>
    </row>
    <row r="88">
      <c r="A88" s="4">
        <v>88.0</v>
      </c>
      <c r="B88" s="3" t="s">
        <v>38361</v>
      </c>
      <c r="C88" s="6" t="s">
        <v>24</v>
      </c>
      <c r="D88" s="6" t="s">
        <v>38230</v>
      </c>
      <c r="E88" s="3" t="str">
        <f t="shared" si="1"/>
        <v>would&lt;br&gt;&lt;div class="audio"&gt;[sound:would.mp3]&lt;/div&gt;</v>
      </c>
      <c r="F88" s="3" t="str">
        <f t="shared" si="2"/>
        <v>(v): sẽ</v>
      </c>
      <c r="G88" s="6" t="s">
        <v>38362</v>
      </c>
      <c r="H88" s="6" t="s">
        <v>38363</v>
      </c>
      <c r="I88" s="7">
        <f t="shared" si="3"/>
        <v>0.7195072135</v>
      </c>
    </row>
    <row r="89">
      <c r="A89" s="4">
        <v>89.0</v>
      </c>
      <c r="B89" s="3" t="s">
        <v>38364</v>
      </c>
      <c r="C89" s="6" t="s">
        <v>24</v>
      </c>
      <c r="D89" s="6" t="s">
        <v>5988</v>
      </c>
      <c r="E89" s="3" t="str">
        <f t="shared" si="1"/>
        <v>tell&lt;br&gt;&lt;div class="audio"&gt;[sound:tell.mp3]&lt;/div&gt;</v>
      </c>
      <c r="F89" s="3" t="str">
        <f t="shared" si="2"/>
        <v>(v): kể</v>
      </c>
      <c r="G89" s="6" t="s">
        <v>38365</v>
      </c>
      <c r="H89" s="6" t="s">
        <v>38366</v>
      </c>
      <c r="I89" s="7">
        <f t="shared" si="3"/>
        <v>0.883219611</v>
      </c>
    </row>
    <row r="90">
      <c r="A90" s="4">
        <v>90.0</v>
      </c>
      <c r="B90" s="3" t="s">
        <v>38367</v>
      </c>
      <c r="C90" s="6" t="s">
        <v>44</v>
      </c>
      <c r="D90" s="6" t="s">
        <v>4090</v>
      </c>
      <c r="E90" s="3" t="str">
        <f t="shared" si="1"/>
        <v>who&lt;br&gt;&lt;div class="audio"&gt;[sound:who.mp3]&lt;/div&gt;</v>
      </c>
      <c r="F90" s="3" t="str">
        <f t="shared" si="2"/>
        <v>(pron): ai</v>
      </c>
      <c r="G90" s="6" t="s">
        <v>38368</v>
      </c>
      <c r="H90" s="6" t="s">
        <v>38369</v>
      </c>
      <c r="I90" s="7">
        <f t="shared" si="3"/>
        <v>0.580366246</v>
      </c>
    </row>
    <row r="91">
      <c r="A91" s="4">
        <v>91.0</v>
      </c>
      <c r="B91" s="3" t="s">
        <v>38370</v>
      </c>
      <c r="C91" s="6" t="s">
        <v>85</v>
      </c>
      <c r="D91" s="6" t="s">
        <v>38371</v>
      </c>
      <c r="E91" s="3" t="str">
        <f t="shared" si="1"/>
        <v>there&lt;br&gt;&lt;div class="audio"&gt;[sound:there.mp3]&lt;/div&gt;</v>
      </c>
      <c r="F91" s="3" t="str">
        <f t="shared" si="2"/>
        <v>(adv): ở đó</v>
      </c>
      <c r="G91" s="6" t="s">
        <v>38372</v>
      </c>
      <c r="H91" s="6" t="s">
        <v>38373</v>
      </c>
      <c r="I91" s="7">
        <f t="shared" si="3"/>
        <v>0.3508058134</v>
      </c>
    </row>
    <row r="92">
      <c r="A92" s="4">
        <v>92.0</v>
      </c>
      <c r="B92" s="3" t="s">
        <v>38374</v>
      </c>
      <c r="C92" s="6" t="s">
        <v>74</v>
      </c>
      <c r="D92" s="6" t="s">
        <v>38375</v>
      </c>
      <c r="E92" s="3" t="str">
        <f t="shared" si="1"/>
        <v>way&lt;br&gt;&lt;div class="audio"&gt;[sound:way.mp3]&lt;/div&gt;</v>
      </c>
      <c r="F92" s="3" t="str">
        <f t="shared" si="2"/>
        <v>(n): cách</v>
      </c>
      <c r="G92" s="6" t="s">
        <v>38376</v>
      </c>
      <c r="H92" s="6" t="s">
        <v>38377</v>
      </c>
      <c r="I92" s="7">
        <f t="shared" si="3"/>
        <v>0.1091030417</v>
      </c>
    </row>
    <row r="93">
      <c r="A93" s="4">
        <v>93.0</v>
      </c>
      <c r="B93" s="3" t="s">
        <v>38378</v>
      </c>
      <c r="C93" s="6" t="s">
        <v>44</v>
      </c>
      <c r="D93" s="6" t="s">
        <v>5932</v>
      </c>
      <c r="E93" s="3" t="str">
        <f t="shared" si="1"/>
        <v>us&lt;br&gt;&lt;div class="audio"&gt;[sound:us.mp3]&lt;/div&gt;</v>
      </c>
      <c r="F93" s="3" t="str">
        <f t="shared" si="2"/>
        <v>(pron): chúng tôi</v>
      </c>
      <c r="G93" s="6" t="s">
        <v>38379</v>
      </c>
      <c r="H93" s="6" t="s">
        <v>38380</v>
      </c>
      <c r="I93" s="7">
        <f t="shared" si="3"/>
        <v>0.4419106738</v>
      </c>
    </row>
    <row r="94">
      <c r="A94" s="4">
        <v>94.0</v>
      </c>
      <c r="B94" s="3" t="s">
        <v>38381</v>
      </c>
      <c r="C94" s="6" t="s">
        <v>24</v>
      </c>
      <c r="D94" s="6" t="s">
        <v>38382</v>
      </c>
      <c r="E94" s="3" t="str">
        <f t="shared" si="1"/>
        <v>call&lt;br&gt;&lt;div class="audio"&gt;[sound:call.mp3]&lt;/div&gt;</v>
      </c>
      <c r="F94" s="3" t="str">
        <f t="shared" si="2"/>
        <v>(v): gọi điện</v>
      </c>
      <c r="G94" s="6" t="s">
        <v>38383</v>
      </c>
      <c r="H94" s="6" t="s">
        <v>38384</v>
      </c>
      <c r="I94" s="7">
        <f t="shared" si="3"/>
        <v>0.7395423351</v>
      </c>
    </row>
    <row r="95">
      <c r="A95" s="4">
        <v>95.0</v>
      </c>
      <c r="B95" s="3" t="s">
        <v>38385</v>
      </c>
      <c r="C95" s="6" t="s">
        <v>74</v>
      </c>
      <c r="D95" s="6" t="s">
        <v>196</v>
      </c>
      <c r="E95" s="3" t="str">
        <f t="shared" si="1"/>
        <v>country&lt;br&gt;&lt;div class="audio"&gt;[sound:country.mp3]&lt;/div&gt;</v>
      </c>
      <c r="F95" s="3" t="str">
        <f t="shared" si="2"/>
        <v>(n): quốc gia</v>
      </c>
      <c r="G95" s="6" t="s">
        <v>38386</v>
      </c>
      <c r="H95" s="6" t="s">
        <v>38387</v>
      </c>
      <c r="I95" s="7">
        <f t="shared" si="3"/>
        <v>0.707536061</v>
      </c>
    </row>
    <row r="96">
      <c r="A96" s="4">
        <v>96.0</v>
      </c>
      <c r="B96" s="3" t="s">
        <v>38388</v>
      </c>
      <c r="C96" s="6" t="s">
        <v>74</v>
      </c>
      <c r="D96" s="6" t="s">
        <v>2201</v>
      </c>
      <c r="E96" s="3" t="str">
        <f t="shared" si="1"/>
        <v>body&lt;br&gt;&lt;div class="audio"&gt;[sound:body.mp3]&lt;/div&gt;</v>
      </c>
      <c r="F96" s="3" t="str">
        <f t="shared" si="2"/>
        <v>(n): cơ thể</v>
      </c>
      <c r="G96" s="6" t="s">
        <v>38389</v>
      </c>
      <c r="H96" s="6" t="s">
        <v>38390</v>
      </c>
      <c r="I96" s="7">
        <f t="shared" si="3"/>
        <v>0.7325878865</v>
      </c>
    </row>
    <row r="97">
      <c r="A97" s="4">
        <v>97.0</v>
      </c>
      <c r="B97" s="3" t="s">
        <v>38391</v>
      </c>
      <c r="C97" s="6" t="s">
        <v>85</v>
      </c>
      <c r="D97" s="6" t="s">
        <v>956</v>
      </c>
      <c r="E97" s="3" t="str">
        <f t="shared" si="1"/>
        <v>then&lt;br&gt;&lt;div class="audio"&gt;[sound:then.mp3]&lt;/div&gt;</v>
      </c>
      <c r="F97" s="3" t="str">
        <f t="shared" si="2"/>
        <v>(adv): sau đó</v>
      </c>
      <c r="G97" s="6" t="s">
        <v>38392</v>
      </c>
      <c r="H97" s="6" t="s">
        <v>38393</v>
      </c>
      <c r="I97" s="7">
        <f t="shared" si="3"/>
        <v>0.7100983417</v>
      </c>
    </row>
    <row r="98">
      <c r="A98" s="4">
        <v>98.0</v>
      </c>
      <c r="B98" s="3" t="s">
        <v>38394</v>
      </c>
      <c r="C98" s="6" t="s">
        <v>24</v>
      </c>
      <c r="D98" s="6" t="s">
        <v>8459</v>
      </c>
      <c r="E98" s="3" t="str">
        <f t="shared" si="1"/>
        <v>want&lt;br&gt;&lt;div class="audio"&gt;[sound:want.mp3]&lt;/div&gt;</v>
      </c>
      <c r="F98" s="3" t="str">
        <f t="shared" si="2"/>
        <v>(v): muốn</v>
      </c>
      <c r="G98" s="6" t="s">
        <v>38395</v>
      </c>
      <c r="H98" s="6" t="s">
        <v>38396</v>
      </c>
      <c r="I98" s="7">
        <f t="shared" si="3"/>
        <v>0.2423979204</v>
      </c>
    </row>
    <row r="99">
      <c r="A99" s="4">
        <v>99.0</v>
      </c>
      <c r="B99" s="3" t="s">
        <v>38397</v>
      </c>
      <c r="C99" s="6" t="s">
        <v>11</v>
      </c>
      <c r="D99" s="6" t="s">
        <v>2353</v>
      </c>
      <c r="E99" s="3" t="str">
        <f t="shared" si="1"/>
        <v>other&lt;br&gt;&lt;div class="audio"&gt;[sound:other.mp3]&lt;/div&gt;</v>
      </c>
      <c r="F99" s="3" t="str">
        <f t="shared" si="2"/>
        <v>(adj): khác</v>
      </c>
      <c r="G99" s="6" t="s">
        <v>38398</v>
      </c>
      <c r="H99" s="6" t="s">
        <v>38399</v>
      </c>
      <c r="I99" s="7">
        <f t="shared" si="3"/>
        <v>0.4411539594</v>
      </c>
    </row>
    <row r="100">
      <c r="A100" s="4">
        <v>100.0</v>
      </c>
      <c r="B100" s="3" t="s">
        <v>38400</v>
      </c>
      <c r="C100" s="6" t="s">
        <v>24</v>
      </c>
      <c r="D100" s="6" t="s">
        <v>6498</v>
      </c>
      <c r="E100" s="3" t="str">
        <f t="shared" si="1"/>
        <v>keep&lt;br&gt;&lt;div class="audio"&gt;[sound:keep.mp3]&lt;/div&gt;</v>
      </c>
      <c r="F100" s="3" t="str">
        <f t="shared" si="2"/>
        <v>(v): giữ</v>
      </c>
      <c r="G100" s="6" t="s">
        <v>38401</v>
      </c>
      <c r="H100" s="6" t="s">
        <v>38402</v>
      </c>
      <c r="I100" s="7">
        <f t="shared" si="3"/>
        <v>0.9123456332</v>
      </c>
    </row>
    <row r="101">
      <c r="A101" s="4">
        <v>101.0</v>
      </c>
      <c r="B101" s="3" t="s">
        <v>38403</v>
      </c>
      <c r="C101" s="6" t="s">
        <v>85</v>
      </c>
      <c r="D101" s="6" t="s">
        <v>1156</v>
      </c>
      <c r="E101" s="3" t="str">
        <f t="shared" si="1"/>
        <v>up&lt;br&gt;&lt;div class="audio"&gt;[sound:up.mp3]&lt;/div&gt;</v>
      </c>
      <c r="F101" s="3" t="str">
        <f t="shared" si="2"/>
        <v>(adv): lên</v>
      </c>
      <c r="G101" s="6" t="s">
        <v>38404</v>
      </c>
      <c r="H101" s="6" t="s">
        <v>38405</v>
      </c>
      <c r="I101" s="7">
        <f t="shared" si="3"/>
        <v>0.08551492788</v>
      </c>
    </row>
    <row r="102">
      <c r="A102" s="4">
        <v>102.0</v>
      </c>
      <c r="B102" s="3" t="s">
        <v>38406</v>
      </c>
      <c r="C102" s="6" t="s">
        <v>24</v>
      </c>
      <c r="D102" s="8" t="s">
        <v>3985</v>
      </c>
      <c r="E102" s="3" t="str">
        <f t="shared" si="1"/>
        <v>send&lt;br&gt;&lt;div class="audio"&gt;[sound:send.mp3]&lt;/div&gt;</v>
      </c>
      <c r="F102" s="3" t="str">
        <f t="shared" si="2"/>
        <v>(v): gửi</v>
      </c>
      <c r="G102" s="8" t="s">
        <v>38407</v>
      </c>
      <c r="H102" s="8" t="s">
        <v>38408</v>
      </c>
      <c r="I102" s="7">
        <f t="shared" si="3"/>
        <v>0.8189842884</v>
      </c>
    </row>
    <row r="103">
      <c r="A103" s="4">
        <v>103.0</v>
      </c>
      <c r="B103" s="3" t="s">
        <v>38409</v>
      </c>
      <c r="C103" s="6" t="s">
        <v>74</v>
      </c>
      <c r="D103" s="6" t="s">
        <v>16694</v>
      </c>
      <c r="E103" s="3" t="str">
        <f t="shared" si="1"/>
        <v>thing&lt;br&gt;&lt;div class="audio"&gt;[sound:thing.mp3]&lt;/div&gt;</v>
      </c>
      <c r="F103" s="3" t="str">
        <f t="shared" si="2"/>
        <v>(n): thứ</v>
      </c>
      <c r="G103" s="6" t="s">
        <v>38410</v>
      </c>
      <c r="H103" s="6" t="s">
        <v>38411</v>
      </c>
      <c r="I103" s="7">
        <f t="shared" si="3"/>
        <v>0.1865173687</v>
      </c>
    </row>
    <row r="104">
      <c r="A104" s="4">
        <v>104.0</v>
      </c>
      <c r="B104" s="3" t="s">
        <v>38412</v>
      </c>
      <c r="C104" s="6" t="s">
        <v>74</v>
      </c>
      <c r="D104" s="6" t="s">
        <v>1216</v>
      </c>
      <c r="E104" s="3" t="str">
        <f t="shared" si="1"/>
        <v>business&lt;br&gt;&lt;div class="audio"&gt;[sound:business.mp3]&lt;/div&gt;</v>
      </c>
      <c r="F104" s="3" t="str">
        <f t="shared" si="2"/>
        <v>(n): kinh doanh</v>
      </c>
      <c r="G104" s="6" t="s">
        <v>38413</v>
      </c>
      <c r="H104" s="6" t="s">
        <v>38414</v>
      </c>
      <c r="I104" s="7">
        <f t="shared" si="3"/>
        <v>0.2076218932</v>
      </c>
    </row>
    <row r="105">
      <c r="A105" s="4">
        <v>105.0</v>
      </c>
      <c r="B105" s="3" t="s">
        <v>38415</v>
      </c>
      <c r="C105" s="6" t="s">
        <v>11</v>
      </c>
      <c r="D105" s="6" t="s">
        <v>38416</v>
      </c>
      <c r="E105" s="3" t="str">
        <f t="shared" si="1"/>
        <v>most&lt;br&gt;&lt;div class="audio"&gt;[sound:most.mp3]&lt;/div&gt;</v>
      </c>
      <c r="F105" s="3" t="str">
        <f t="shared" si="2"/>
        <v>(adj): nhiều nhất</v>
      </c>
      <c r="G105" s="6" t="s">
        <v>38417</v>
      </c>
      <c r="H105" s="6" t="s">
        <v>38418</v>
      </c>
      <c r="I105" s="7">
        <f t="shared" si="3"/>
        <v>0.9189891363</v>
      </c>
    </row>
    <row r="106">
      <c r="A106" s="4">
        <v>106.0</v>
      </c>
      <c r="B106" s="3" t="s">
        <v>38419</v>
      </c>
      <c r="C106" s="6" t="s">
        <v>74</v>
      </c>
      <c r="D106" s="8" t="s">
        <v>2081</v>
      </c>
      <c r="E106" s="3" t="str">
        <f t="shared" si="1"/>
        <v>story&lt;br&gt;&lt;div class="audio"&gt;[sound:story.mp3]&lt;/div&gt;</v>
      </c>
      <c r="F106" s="3" t="str">
        <f t="shared" si="2"/>
        <v>(n): câu chuyện</v>
      </c>
      <c r="G106" s="8" t="s">
        <v>38420</v>
      </c>
      <c r="H106" s="8" t="s">
        <v>38421</v>
      </c>
      <c r="I106" s="7">
        <f t="shared" si="3"/>
        <v>0.4647767196</v>
      </c>
    </row>
    <row r="107">
      <c r="A107" s="4">
        <v>107.0</v>
      </c>
      <c r="B107" s="3" t="s">
        <v>38422</v>
      </c>
      <c r="C107" s="6" t="s">
        <v>74</v>
      </c>
      <c r="D107" s="8" t="s">
        <v>5479</v>
      </c>
      <c r="E107" s="3" t="str">
        <f t="shared" si="1"/>
        <v>state&lt;br&gt;&lt;div class="audio"&gt;[sound:state.mp3]&lt;/div&gt;</v>
      </c>
      <c r="F107" s="3" t="str">
        <f t="shared" si="2"/>
        <v>(n): trạng thái</v>
      </c>
      <c r="G107" s="8" t="s">
        <v>38423</v>
      </c>
      <c r="H107" s="8" t="s">
        <v>38424</v>
      </c>
      <c r="I107" s="7">
        <f t="shared" si="3"/>
        <v>0.6190781649</v>
      </c>
    </row>
    <row r="108">
      <c r="A108" s="4">
        <v>108.0</v>
      </c>
      <c r="B108" s="3" t="s">
        <v>38425</v>
      </c>
      <c r="C108" s="6" t="s">
        <v>11</v>
      </c>
      <c r="D108" s="6" t="s">
        <v>1438</v>
      </c>
      <c r="E108" s="3" t="str">
        <f t="shared" si="1"/>
        <v>important&lt;br&gt;&lt;div class="audio"&gt;[sound:important.mp3]&lt;/div&gt;</v>
      </c>
      <c r="F108" s="3" t="str">
        <f t="shared" si="2"/>
        <v>(adj): quan trọng</v>
      </c>
      <c r="G108" s="6" t="s">
        <v>38426</v>
      </c>
      <c r="H108" s="6" t="s">
        <v>38427</v>
      </c>
      <c r="I108" s="7">
        <f t="shared" si="3"/>
        <v>0.3431174182</v>
      </c>
    </row>
    <row r="109">
      <c r="A109" s="4">
        <v>109.0</v>
      </c>
      <c r="B109" s="3" t="s">
        <v>38428</v>
      </c>
      <c r="C109" s="6" t="s">
        <v>74</v>
      </c>
      <c r="D109" s="6" t="s">
        <v>2320</v>
      </c>
      <c r="E109" s="3" t="str">
        <f t="shared" si="1"/>
        <v>life&lt;br&gt;&lt;div class="audio"&gt;[sound:life.mp3]&lt;/div&gt;</v>
      </c>
      <c r="F109" s="3" t="str">
        <f t="shared" si="2"/>
        <v>(n): cuộc sống</v>
      </c>
      <c r="G109" s="6" t="s">
        <v>38429</v>
      </c>
      <c r="H109" s="6" t="s">
        <v>38430</v>
      </c>
      <c r="I109" s="7">
        <f t="shared" si="3"/>
        <v>0.653746449</v>
      </c>
    </row>
    <row r="110">
      <c r="A110" s="4">
        <v>110.0</v>
      </c>
      <c r="B110" s="3" t="s">
        <v>38431</v>
      </c>
      <c r="C110" s="6" t="s">
        <v>85</v>
      </c>
      <c r="D110" s="6" t="s">
        <v>438</v>
      </c>
      <c r="E110" s="3" t="str">
        <f t="shared" si="1"/>
        <v>however&lt;br&gt;&lt;div class="audio"&gt;[sound:however.mp3]&lt;/div&gt;</v>
      </c>
      <c r="F110" s="3" t="str">
        <f t="shared" si="2"/>
        <v>(adv): tuy nhiên</v>
      </c>
      <c r="G110" s="6" t="s">
        <v>38432</v>
      </c>
      <c r="H110" s="6" t="s">
        <v>38433</v>
      </c>
      <c r="I110" s="7">
        <f t="shared" si="3"/>
        <v>0.613994695</v>
      </c>
    </row>
    <row r="111">
      <c r="A111" s="4">
        <v>111.0</v>
      </c>
      <c r="B111" s="3" t="s">
        <v>38434</v>
      </c>
      <c r="C111" s="6" t="s">
        <v>11</v>
      </c>
      <c r="D111" s="6" t="s">
        <v>38435</v>
      </c>
      <c r="E111" s="3" t="str">
        <f t="shared" si="1"/>
        <v>more&lt;br&gt;&lt;div class="audio"&gt;[sound:more.mp3]&lt;/div&gt;</v>
      </c>
      <c r="F111" s="3" t="str">
        <f t="shared" si="2"/>
        <v>(adj): nhiều hơn</v>
      </c>
      <c r="G111" s="6" t="s">
        <v>38436</v>
      </c>
      <c r="H111" s="6" t="s">
        <v>38437</v>
      </c>
      <c r="I111" s="7">
        <f t="shared" si="3"/>
        <v>0.7907259439</v>
      </c>
    </row>
    <row r="112">
      <c r="A112" s="4">
        <v>112.0</v>
      </c>
      <c r="B112" s="3" t="s">
        <v>38438</v>
      </c>
      <c r="C112" s="6" t="s">
        <v>74</v>
      </c>
      <c r="D112" s="6" t="s">
        <v>1996</v>
      </c>
      <c r="E112" s="3" t="str">
        <f t="shared" si="1"/>
        <v>city&lt;br&gt;&lt;div class="audio"&gt;[sound:city.mp3]&lt;/div&gt;</v>
      </c>
      <c r="F112" s="3" t="str">
        <f t="shared" si="2"/>
        <v>(n): thành phố</v>
      </c>
      <c r="G112" s="6" t="s">
        <v>38439</v>
      </c>
      <c r="H112" s="6" t="s">
        <v>38440</v>
      </c>
      <c r="I112" s="7">
        <f t="shared" si="3"/>
        <v>0.1699809155</v>
      </c>
    </row>
    <row r="113">
      <c r="A113" s="4">
        <v>113.0</v>
      </c>
      <c r="B113" s="3" t="s">
        <v>38441</v>
      </c>
      <c r="C113" s="6" t="s">
        <v>11</v>
      </c>
      <c r="D113" s="6" t="s">
        <v>2262</v>
      </c>
      <c r="E113" s="3" t="str">
        <f t="shared" si="1"/>
        <v>last&lt;br&gt;&lt;div class="audio"&gt;[sound:last.mp3]&lt;/div&gt;</v>
      </c>
      <c r="F113" s="3" t="str">
        <f t="shared" si="2"/>
        <v>(adj): cuối cùng</v>
      </c>
      <c r="G113" s="6" t="s">
        <v>38442</v>
      </c>
      <c r="H113" s="6" t="s">
        <v>38443</v>
      </c>
      <c r="I113" s="7">
        <f t="shared" si="3"/>
        <v>0.3085179057</v>
      </c>
    </row>
    <row r="114">
      <c r="A114" s="4">
        <v>114.0</v>
      </c>
      <c r="B114" s="3" t="s">
        <v>38444</v>
      </c>
      <c r="C114" s="6" t="s">
        <v>63</v>
      </c>
      <c r="D114" s="6" t="s">
        <v>13580</v>
      </c>
      <c r="E114" s="3" t="str">
        <f t="shared" si="1"/>
        <v>through&lt;br&gt;&lt;div class="audio"&gt;[sound:through.mp3]&lt;/div&gt;</v>
      </c>
      <c r="F114" s="3" t="str">
        <f t="shared" si="2"/>
        <v>(prep): thông qua</v>
      </c>
      <c r="G114" s="6" t="s">
        <v>38445</v>
      </c>
      <c r="H114" s="6" t="s">
        <v>38446</v>
      </c>
      <c r="I114" s="7">
        <f t="shared" si="3"/>
        <v>0.5617062631</v>
      </c>
    </row>
    <row r="115">
      <c r="A115" s="4">
        <v>115.0</v>
      </c>
      <c r="B115" s="3" t="s">
        <v>38447</v>
      </c>
      <c r="C115" s="6" t="s">
        <v>11</v>
      </c>
      <c r="D115" s="6" t="s">
        <v>4903</v>
      </c>
      <c r="E115" s="3" t="str">
        <f t="shared" si="1"/>
        <v>next&lt;br&gt;&lt;div class="audio"&gt;[sound:next.mp3]&lt;/div&gt;</v>
      </c>
      <c r="F115" s="3" t="str">
        <f t="shared" si="2"/>
        <v>(adj): tiếp theo</v>
      </c>
      <c r="G115" s="6" t="s">
        <v>38448</v>
      </c>
      <c r="H115" s="6" t="s">
        <v>38449</v>
      </c>
      <c r="I115" s="7">
        <f t="shared" si="3"/>
        <v>0.4751656115</v>
      </c>
    </row>
    <row r="116">
      <c r="A116" s="4">
        <v>116.0</v>
      </c>
      <c r="B116" s="3" t="s">
        <v>38450</v>
      </c>
      <c r="C116" s="6" t="s">
        <v>24</v>
      </c>
      <c r="D116" s="6" t="s">
        <v>824</v>
      </c>
      <c r="E116" s="3" t="str">
        <f t="shared" si="1"/>
        <v>change&lt;br&gt;&lt;div class="audio"&gt;[sound:change.mp3]&lt;/div&gt;</v>
      </c>
      <c r="F116" s="3" t="str">
        <f t="shared" si="2"/>
        <v>(v): thay đổi</v>
      </c>
      <c r="G116" s="6" t="s">
        <v>38451</v>
      </c>
      <c r="H116" s="6" t="s">
        <v>38452</v>
      </c>
      <c r="I116" s="7">
        <f t="shared" si="3"/>
        <v>0.03459762268</v>
      </c>
    </row>
    <row r="117">
      <c r="A117" s="4">
        <v>117.0</v>
      </c>
      <c r="B117" s="3" t="s">
        <v>38453</v>
      </c>
      <c r="C117" s="6" t="s">
        <v>85</v>
      </c>
      <c r="D117" s="6" t="s">
        <v>38454</v>
      </c>
      <c r="E117" s="3" t="str">
        <f t="shared" si="1"/>
        <v>even&lt;br&gt;&lt;div class="audio"&gt;[sound:even.mp3]&lt;/div&gt;</v>
      </c>
      <c r="F117" s="3" t="str">
        <f t="shared" si="2"/>
        <v>(adv): thậm chí</v>
      </c>
      <c r="G117" s="6" t="s">
        <v>38455</v>
      </c>
      <c r="H117" s="6" t="s">
        <v>38456</v>
      </c>
      <c r="I117" s="7">
        <f t="shared" si="3"/>
        <v>0.7367383808</v>
      </c>
    </row>
    <row r="118">
      <c r="A118" s="4">
        <v>118.0</v>
      </c>
      <c r="B118" s="3" t="s">
        <v>38457</v>
      </c>
      <c r="C118" s="6" t="s">
        <v>85</v>
      </c>
      <c r="D118" s="6" t="s">
        <v>5366</v>
      </c>
      <c r="E118" s="3" t="str">
        <f t="shared" si="1"/>
        <v>out&lt;br&gt;&lt;div class="audio"&gt;[sound:out.mp3]&lt;/div&gt;</v>
      </c>
      <c r="F118" s="3" t="str">
        <f t="shared" si="2"/>
        <v>(adv): ra ngoài</v>
      </c>
      <c r="G118" s="6" t="s">
        <v>38458</v>
      </c>
      <c r="H118" s="6" t="s">
        <v>38459</v>
      </c>
      <c r="I118" s="7">
        <f t="shared" si="3"/>
        <v>0.1648981863</v>
      </c>
    </row>
    <row r="119">
      <c r="A119" s="4">
        <v>119.0</v>
      </c>
      <c r="B119" s="3" t="s">
        <v>38460</v>
      </c>
      <c r="C119" s="6" t="s">
        <v>11</v>
      </c>
      <c r="D119" s="6" t="s">
        <v>4886</v>
      </c>
      <c r="E119" s="3" t="str">
        <f t="shared" si="1"/>
        <v>first&lt;br&gt;&lt;div class="audio"&gt;[sound:first.mp3]&lt;/div&gt;</v>
      </c>
      <c r="F119" s="3" t="str">
        <f t="shared" si="2"/>
        <v>(adj): đầu tiên</v>
      </c>
      <c r="G119" s="6" t="s">
        <v>38461</v>
      </c>
      <c r="H119" s="6" t="s">
        <v>38462</v>
      </c>
      <c r="I119" s="7">
        <f t="shared" si="3"/>
        <v>0.9575517994</v>
      </c>
    </row>
    <row r="120">
      <c r="A120" s="4">
        <v>120.0</v>
      </c>
      <c r="B120" s="3" t="s">
        <v>38463</v>
      </c>
      <c r="C120" s="6" t="s">
        <v>74</v>
      </c>
      <c r="D120" s="6" t="s">
        <v>38464</v>
      </c>
      <c r="E120" s="3" t="str">
        <f t="shared" si="1"/>
        <v>house&lt;br&gt;&lt;div class="audio"&gt;[sound:house.mp3]&lt;/div&gt;</v>
      </c>
      <c r="F120" s="3" t="str">
        <f t="shared" si="2"/>
        <v>(n): ngôi nhà</v>
      </c>
      <c r="G120" s="6" t="s">
        <v>38465</v>
      </c>
      <c r="H120" s="6" t="s">
        <v>38466</v>
      </c>
      <c r="I120" s="7">
        <f t="shared" si="3"/>
        <v>0.09170344326</v>
      </c>
    </row>
    <row r="121">
      <c r="A121" s="4">
        <v>121.0</v>
      </c>
      <c r="B121" s="3" t="s">
        <v>38467</v>
      </c>
      <c r="C121" s="6" t="s">
        <v>24</v>
      </c>
      <c r="D121" s="6" t="s">
        <v>11556</v>
      </c>
      <c r="E121" s="3" t="str">
        <f t="shared" si="1"/>
        <v>help&lt;br&gt;&lt;div class="audio"&gt;[sound:help.mp3]&lt;/div&gt;</v>
      </c>
      <c r="F121" s="3" t="str">
        <f t="shared" si="2"/>
        <v>(v): giúp đỡ</v>
      </c>
      <c r="G121" s="6" t="s">
        <v>38468</v>
      </c>
      <c r="H121" s="6" t="s">
        <v>38469</v>
      </c>
      <c r="I121" s="7">
        <f t="shared" si="3"/>
        <v>0.5130614026</v>
      </c>
    </row>
    <row r="122">
      <c r="A122" s="4">
        <v>122.0</v>
      </c>
      <c r="B122" s="3" t="s">
        <v>38470</v>
      </c>
      <c r="C122" s="6" t="s">
        <v>11</v>
      </c>
      <c r="D122" s="8" t="s">
        <v>38471</v>
      </c>
      <c r="E122" s="3" t="str">
        <f t="shared" si="1"/>
        <v>such&lt;br&gt;&lt;div class="audio"&gt;[sound:such.mp3]&lt;/div&gt;</v>
      </c>
      <c r="F122" s="3" t="str">
        <f t="shared" si="2"/>
        <v>(adj): như vậy</v>
      </c>
      <c r="G122" s="8" t="s">
        <v>38472</v>
      </c>
      <c r="H122" s="8" t="s">
        <v>38473</v>
      </c>
      <c r="I122" s="7">
        <f t="shared" si="3"/>
        <v>0.3419517797</v>
      </c>
    </row>
    <row r="123">
      <c r="A123" s="4">
        <v>123.0</v>
      </c>
      <c r="B123" s="3" t="s">
        <v>38474</v>
      </c>
      <c r="C123" s="6" t="s">
        <v>74</v>
      </c>
      <c r="D123" s="6" t="s">
        <v>622</v>
      </c>
      <c r="E123" s="3" t="str">
        <f t="shared" si="1"/>
        <v>company&lt;br&gt;&lt;div class="audio"&gt;[sound:company.mp3]&lt;/div&gt;</v>
      </c>
      <c r="F123" s="3" t="str">
        <f t="shared" si="2"/>
        <v>(n): công ty</v>
      </c>
      <c r="G123" s="6" t="s">
        <v>38475</v>
      </c>
      <c r="H123" s="6" t="s">
        <v>38476</v>
      </c>
      <c r="I123" s="7">
        <f t="shared" si="3"/>
        <v>0.5751731649</v>
      </c>
    </row>
    <row r="124">
      <c r="A124" s="4">
        <v>124.0</v>
      </c>
      <c r="B124" s="3" t="s">
        <v>38477</v>
      </c>
      <c r="C124" s="6" t="s">
        <v>44</v>
      </c>
      <c r="D124" s="6" t="s">
        <v>38478</v>
      </c>
      <c r="E124" s="3" t="str">
        <f t="shared" si="1"/>
        <v>your&lt;br&gt;&lt;div class="audio"&gt;[sound:your.mp3]&lt;/div&gt;</v>
      </c>
      <c r="F124" s="3" t="str">
        <f t="shared" si="2"/>
        <v>(pron): của bạn</v>
      </c>
      <c r="G124" s="6" t="s">
        <v>38479</v>
      </c>
      <c r="H124" s="6" t="s">
        <v>38480</v>
      </c>
      <c r="I124" s="7">
        <f t="shared" si="3"/>
        <v>0.1657366993</v>
      </c>
    </row>
    <row r="125">
      <c r="A125" s="4">
        <v>125.0</v>
      </c>
      <c r="B125" s="3" t="s">
        <v>38481</v>
      </c>
      <c r="C125" s="6" t="s">
        <v>24</v>
      </c>
      <c r="D125" s="6" t="s">
        <v>2803</v>
      </c>
      <c r="E125" s="3" t="str">
        <f t="shared" si="1"/>
        <v>try&lt;br&gt;&lt;div class="audio"&gt;[sound:try.mp3]&lt;/div&gt;</v>
      </c>
      <c r="F125" s="3" t="str">
        <f t="shared" si="2"/>
        <v>(v): cố gắng</v>
      </c>
      <c r="G125" s="6" t="s">
        <v>38482</v>
      </c>
      <c r="H125" s="6" t="s">
        <v>38483</v>
      </c>
      <c r="I125" s="7">
        <f t="shared" si="3"/>
        <v>0.8736125322</v>
      </c>
    </row>
    <row r="126">
      <c r="A126" s="4">
        <v>126.0</v>
      </c>
      <c r="B126" s="3" t="s">
        <v>38484</v>
      </c>
      <c r="C126" s="6" t="s">
        <v>24</v>
      </c>
      <c r="D126" s="6" t="s">
        <v>675</v>
      </c>
      <c r="E126" s="3" t="str">
        <f t="shared" si="1"/>
        <v>use&lt;br&gt;&lt;div class="audio"&gt;[sound:use.mp3]&lt;/div&gt;</v>
      </c>
      <c r="F126" s="3" t="str">
        <f t="shared" si="2"/>
        <v>(v): sử dụng</v>
      </c>
      <c r="G126" s="6" t="s">
        <v>38485</v>
      </c>
      <c r="H126" s="6" t="s">
        <v>38486</v>
      </c>
      <c r="I126" s="7">
        <f t="shared" si="3"/>
        <v>0.7854720131</v>
      </c>
    </row>
    <row r="127">
      <c r="A127" s="4">
        <v>127.0</v>
      </c>
      <c r="B127" s="3" t="s">
        <v>38487</v>
      </c>
      <c r="C127" s="6" t="s">
        <v>74</v>
      </c>
      <c r="D127" s="8" t="s">
        <v>2451</v>
      </c>
      <c r="E127" s="3" t="str">
        <f t="shared" si="1"/>
        <v>service&lt;br&gt;&lt;div class="audio"&gt;[sound:service.mp3]&lt;/div&gt;</v>
      </c>
      <c r="F127" s="3" t="str">
        <f t="shared" si="2"/>
        <v>(n): dịch vụ</v>
      </c>
      <c r="G127" s="8" t="s">
        <v>38488</v>
      </c>
      <c r="H127" s="8" t="s">
        <v>38489</v>
      </c>
      <c r="I127" s="7">
        <f t="shared" si="3"/>
        <v>0.8443003293</v>
      </c>
    </row>
    <row r="128">
      <c r="A128" s="4">
        <v>128.0</v>
      </c>
      <c r="B128" s="3" t="s">
        <v>38490</v>
      </c>
      <c r="C128" s="6" t="s">
        <v>44</v>
      </c>
      <c r="D128" s="6" t="s">
        <v>38491</v>
      </c>
      <c r="E128" s="3" t="str">
        <f t="shared" si="1"/>
        <v>my&lt;br&gt;&lt;div class="audio"&gt;[sound:my.mp3]&lt;/div&gt;</v>
      </c>
      <c r="F128" s="3" t="str">
        <f t="shared" si="2"/>
        <v>(pron): của tôi</v>
      </c>
      <c r="G128" s="6" t="s">
        <v>38492</v>
      </c>
      <c r="H128" s="6" t="s">
        <v>38493</v>
      </c>
      <c r="I128" s="7">
        <f t="shared" si="3"/>
        <v>0.7379731575</v>
      </c>
    </row>
    <row r="129">
      <c r="A129" s="4">
        <v>129.0</v>
      </c>
      <c r="B129" s="3" t="s">
        <v>38494</v>
      </c>
      <c r="C129" s="6" t="s">
        <v>85</v>
      </c>
      <c r="D129" s="6" t="s">
        <v>14740</v>
      </c>
      <c r="E129" s="3" t="str">
        <f t="shared" si="1"/>
        <v>really&lt;br&gt;&lt;div class="audio"&gt;[sound:really.mp3]&lt;/div&gt;</v>
      </c>
      <c r="F129" s="3" t="str">
        <f t="shared" si="2"/>
        <v>(adv): thực sự</v>
      </c>
      <c r="G129" s="6" t="s">
        <v>38495</v>
      </c>
      <c r="H129" s="6" t="s">
        <v>38496</v>
      </c>
      <c r="I129" s="7">
        <f t="shared" si="3"/>
        <v>0.867848876</v>
      </c>
    </row>
    <row r="130">
      <c r="A130" s="4">
        <v>130.0</v>
      </c>
      <c r="B130" s="3" t="s">
        <v>38497</v>
      </c>
      <c r="C130" s="6" t="s">
        <v>44</v>
      </c>
      <c r="D130" s="6" t="s">
        <v>6476</v>
      </c>
      <c r="E130" s="3" t="str">
        <f t="shared" si="1"/>
        <v>both&lt;br&gt;&lt;div class="audio"&gt;[sound:both.mp3]&lt;/div&gt;</v>
      </c>
      <c r="F130" s="3" t="str">
        <f t="shared" si="2"/>
        <v>(pron): cả hai</v>
      </c>
      <c r="G130" s="6" t="s">
        <v>38498</v>
      </c>
      <c r="H130" s="6" t="s">
        <v>38499</v>
      </c>
      <c r="I130" s="7">
        <f t="shared" si="3"/>
        <v>0.6051749591</v>
      </c>
    </row>
    <row r="131">
      <c r="A131" s="4">
        <v>131.0</v>
      </c>
      <c r="B131" s="3" t="s">
        <v>38500</v>
      </c>
      <c r="C131" s="6" t="s">
        <v>90</v>
      </c>
      <c r="D131" s="6" t="s">
        <v>16973</v>
      </c>
      <c r="E131" s="3" t="str">
        <f t="shared" si="1"/>
        <v>because&lt;br&gt;&lt;div class="audio"&gt;[sound:because.mp3]&lt;/div&gt;</v>
      </c>
      <c r="F131" s="3" t="str">
        <f t="shared" si="2"/>
        <v>(conj): bởi vì</v>
      </c>
      <c r="G131" s="6" t="s">
        <v>38501</v>
      </c>
      <c r="H131" s="6" t="s">
        <v>38502</v>
      </c>
      <c r="I131" s="7">
        <f t="shared" si="3"/>
        <v>0.1928811316</v>
      </c>
    </row>
    <row r="132">
      <c r="A132" s="4">
        <v>132.0</v>
      </c>
      <c r="B132" s="3" t="s">
        <v>38503</v>
      </c>
      <c r="C132" s="6" t="s">
        <v>24</v>
      </c>
      <c r="D132" s="8" t="s">
        <v>38504</v>
      </c>
      <c r="E132" s="3" t="str">
        <f t="shared" si="1"/>
        <v>support&lt;br&gt;&lt;div class="audio"&gt;[sound:support.mp3]&lt;/div&gt;</v>
      </c>
      <c r="F132" s="3" t="str">
        <f t="shared" si="2"/>
        <v>(v): hỗ trợ</v>
      </c>
      <c r="G132" s="8" t="s">
        <v>38505</v>
      </c>
      <c r="H132" s="8" t="s">
        <v>38506</v>
      </c>
      <c r="I132" s="7">
        <f t="shared" si="3"/>
        <v>0.5168716696</v>
      </c>
    </row>
    <row r="133">
      <c r="A133" s="4">
        <v>133.0</v>
      </c>
      <c r="B133" s="3" t="s">
        <v>38507</v>
      </c>
      <c r="C133" s="6" t="s">
        <v>11</v>
      </c>
      <c r="D133" s="8" t="s">
        <v>554</v>
      </c>
      <c r="E133" s="3" t="str">
        <f t="shared" si="1"/>
        <v>social&lt;br&gt;&lt;div class="audio"&gt;[sound:social.mp3]&lt;/div&gt;</v>
      </c>
      <c r="F133" s="3" t="str">
        <f t="shared" si="2"/>
        <v>(adj): xã hội</v>
      </c>
      <c r="G133" s="8" t="s">
        <v>38508</v>
      </c>
      <c r="H133" s="8" t="s">
        <v>38509</v>
      </c>
      <c r="I133" s="7">
        <f t="shared" si="3"/>
        <v>0.7675872314</v>
      </c>
    </row>
    <row r="134">
      <c r="A134" s="4">
        <v>134.0</v>
      </c>
      <c r="B134" s="3" t="s">
        <v>38510</v>
      </c>
      <c r="C134" s="6" t="s">
        <v>74</v>
      </c>
      <c r="D134" s="6" t="s">
        <v>20639</v>
      </c>
      <c r="E134" s="3" t="str">
        <f t="shared" si="1"/>
        <v>child&lt;br&gt;&lt;div class="audio"&gt;[sound:child.mp3]&lt;/div&gt;</v>
      </c>
      <c r="F134" s="3" t="str">
        <f t="shared" si="2"/>
        <v>(n): trẻ em</v>
      </c>
      <c r="G134" s="6" t="s">
        <v>38511</v>
      </c>
      <c r="H134" s="6" t="s">
        <v>38512</v>
      </c>
      <c r="I134" s="7">
        <f t="shared" si="3"/>
        <v>0.3255469344</v>
      </c>
    </row>
    <row r="135">
      <c r="A135" s="4">
        <v>135.0</v>
      </c>
      <c r="B135" s="3" t="s">
        <v>38513</v>
      </c>
      <c r="C135" s="6" t="s">
        <v>74</v>
      </c>
      <c r="D135" s="6" t="s">
        <v>38514</v>
      </c>
      <c r="E135" s="3" t="str">
        <f t="shared" si="1"/>
        <v>girl&lt;br&gt;&lt;div class="audio"&gt;[sound:girl.mp3]&lt;/div&gt;</v>
      </c>
      <c r="F135" s="3" t="str">
        <f t="shared" si="2"/>
        <v>(n): cô gái</v>
      </c>
      <c r="G135" s="6" t="s">
        <v>38515</v>
      </c>
      <c r="H135" s="6" t="s">
        <v>38516</v>
      </c>
      <c r="I135" s="7">
        <f t="shared" si="3"/>
        <v>0.1595873671</v>
      </c>
    </row>
    <row r="136">
      <c r="A136" s="4">
        <v>136.0</v>
      </c>
      <c r="B136" s="3" t="s">
        <v>38517</v>
      </c>
      <c r="C136" s="6" t="s">
        <v>24</v>
      </c>
      <c r="D136" s="8" t="s">
        <v>29419</v>
      </c>
      <c r="E136" s="3" t="str">
        <f t="shared" si="1"/>
        <v>stay&lt;br&gt;&lt;div class="audio"&gt;[sound:stay.mp3]&lt;/div&gt;</v>
      </c>
      <c r="F136" s="3" t="str">
        <f t="shared" si="2"/>
        <v>(v): ở lại</v>
      </c>
      <c r="G136" s="8" t="s">
        <v>38518</v>
      </c>
      <c r="H136" s="8" t="s">
        <v>38519</v>
      </c>
      <c r="I136" s="7">
        <f t="shared" si="3"/>
        <v>0.8351917748</v>
      </c>
    </row>
    <row r="137">
      <c r="A137" s="4">
        <v>137.0</v>
      </c>
      <c r="B137" s="3" t="s">
        <v>38520</v>
      </c>
      <c r="C137" s="6" t="s">
        <v>85</v>
      </c>
      <c r="D137" s="6" t="s">
        <v>594</v>
      </c>
      <c r="E137" s="3" t="str">
        <f t="shared" si="1"/>
        <v>where&lt;br&gt;&lt;div class="audio"&gt;[sound:where.mp3]&lt;/div&gt;</v>
      </c>
      <c r="F137" s="3" t="str">
        <f t="shared" si="2"/>
        <v>(adv): ở đâu</v>
      </c>
      <c r="G137" s="6" t="s">
        <v>38521</v>
      </c>
      <c r="H137" s="6" t="s">
        <v>38522</v>
      </c>
      <c r="I137" s="7">
        <f t="shared" si="3"/>
        <v>0.8227091021</v>
      </c>
    </row>
    <row r="138">
      <c r="A138" s="4">
        <v>138.0</v>
      </c>
      <c r="B138" s="3" t="s">
        <v>38523</v>
      </c>
      <c r="C138" s="6" t="s">
        <v>24</v>
      </c>
      <c r="D138" s="6" t="s">
        <v>560</v>
      </c>
      <c r="E138" s="3" t="str">
        <f t="shared" si="1"/>
        <v>hear&lt;br&gt;&lt;div class="audio"&gt;[sound:hear.mp3]&lt;/div&gt;</v>
      </c>
      <c r="F138" s="3" t="str">
        <f t="shared" si="2"/>
        <v>(v): nghe</v>
      </c>
      <c r="G138" s="6" t="s">
        <v>38524</v>
      </c>
      <c r="H138" s="6" t="s">
        <v>38525</v>
      </c>
      <c r="I138" s="7">
        <f t="shared" si="3"/>
        <v>0.7772461543</v>
      </c>
    </row>
    <row r="139">
      <c r="A139" s="4">
        <v>139.0</v>
      </c>
      <c r="B139" s="3" t="s">
        <v>38526</v>
      </c>
      <c r="C139" s="6" t="s">
        <v>74</v>
      </c>
      <c r="D139" s="8" t="s">
        <v>18237</v>
      </c>
      <c r="E139" s="3" t="str">
        <f t="shared" si="1"/>
        <v>side&lt;br&gt;&lt;div class="audio"&gt;[sound:side.mp3]&lt;/div&gt;</v>
      </c>
      <c r="F139" s="3" t="str">
        <f t="shared" si="2"/>
        <v>(n): phía</v>
      </c>
      <c r="G139" s="8" t="s">
        <v>38527</v>
      </c>
      <c r="H139" s="8" t="s">
        <v>38528</v>
      </c>
      <c r="I139" s="7">
        <f t="shared" si="3"/>
        <v>0.4167875474</v>
      </c>
    </row>
    <row r="140">
      <c r="A140" s="4">
        <v>140.0</v>
      </c>
      <c r="B140" s="3" t="s">
        <v>38529</v>
      </c>
      <c r="C140" s="6" t="s">
        <v>24</v>
      </c>
      <c r="D140" s="6" t="s">
        <v>38530</v>
      </c>
      <c r="E140" s="3" t="str">
        <f t="shared" si="1"/>
        <v>look&lt;br&gt;&lt;div class="audio"&gt;[sound:look.mp3]&lt;/div&gt;</v>
      </c>
      <c r="F140" s="3" t="str">
        <f t="shared" si="2"/>
        <v>(v): nhìn</v>
      </c>
      <c r="G140" s="6" t="s">
        <v>38531</v>
      </c>
      <c r="H140" s="6" t="s">
        <v>38532</v>
      </c>
      <c r="I140" s="7">
        <f t="shared" si="3"/>
        <v>0.809826516</v>
      </c>
    </row>
    <row r="141">
      <c r="A141" s="4">
        <v>141.0</v>
      </c>
      <c r="B141" s="3" t="s">
        <v>38533</v>
      </c>
      <c r="C141" s="6" t="s">
        <v>24</v>
      </c>
      <c r="D141" s="8" t="s">
        <v>1747</v>
      </c>
      <c r="E141" s="3" t="str">
        <f t="shared" si="1"/>
        <v>sit&lt;br&gt;&lt;div class="audio"&gt;[sound:sit.mp3]&lt;/div&gt;</v>
      </c>
      <c r="F141" s="3" t="str">
        <f t="shared" si="2"/>
        <v>(v): ngồi</v>
      </c>
      <c r="G141" s="8" t="s">
        <v>38534</v>
      </c>
      <c r="H141" s="8" t="s">
        <v>38535</v>
      </c>
      <c r="I141" s="7">
        <f t="shared" si="3"/>
        <v>0.6532459564</v>
      </c>
    </row>
    <row r="142">
      <c r="A142" s="4">
        <v>142.0</v>
      </c>
      <c r="B142" s="3" t="s">
        <v>38536</v>
      </c>
      <c r="C142" s="6" t="s">
        <v>24</v>
      </c>
      <c r="D142" s="8" t="s">
        <v>1021</v>
      </c>
      <c r="E142" s="3" t="str">
        <f t="shared" si="1"/>
        <v>stand&lt;br&gt;&lt;div class="audio"&gt;[sound:stand.mp3]&lt;/div&gt;</v>
      </c>
      <c r="F142" s="3" t="str">
        <f t="shared" si="2"/>
        <v>(v): đứng</v>
      </c>
      <c r="G142" s="8" t="s">
        <v>38537</v>
      </c>
      <c r="H142" s="8" t="s">
        <v>38538</v>
      </c>
      <c r="I142" s="7">
        <f t="shared" si="3"/>
        <v>0.9417257721</v>
      </c>
    </row>
    <row r="143">
      <c r="A143" s="4">
        <v>143.0</v>
      </c>
      <c r="B143" s="3" t="s">
        <v>38539</v>
      </c>
      <c r="C143" s="6" t="s">
        <v>74</v>
      </c>
      <c r="D143" s="6" t="s">
        <v>2494</v>
      </c>
      <c r="E143" s="3" t="str">
        <f t="shared" si="1"/>
        <v>group&lt;br&gt;&lt;div class="audio"&gt;[sound:group.mp3]&lt;/div&gt;</v>
      </c>
      <c r="F143" s="3" t="str">
        <f t="shared" si="2"/>
        <v>(n): nhóm</v>
      </c>
      <c r="G143" s="6" t="s">
        <v>38540</v>
      </c>
      <c r="H143" s="6" t="s">
        <v>38541</v>
      </c>
      <c r="I143" s="7">
        <f t="shared" si="3"/>
        <v>0.1283403699</v>
      </c>
    </row>
    <row r="144">
      <c r="A144" s="4">
        <v>144.0</v>
      </c>
      <c r="B144" s="3" t="s">
        <v>38542</v>
      </c>
      <c r="C144" s="6" t="s">
        <v>11</v>
      </c>
      <c r="D144" s="6" t="s">
        <v>2353</v>
      </c>
      <c r="E144" s="3" t="str">
        <f t="shared" si="1"/>
        <v>different&lt;br&gt;&lt;div class="audio"&gt;[sound:different.mp3]&lt;/div&gt;</v>
      </c>
      <c r="F144" s="3" t="str">
        <f t="shared" si="2"/>
        <v>(adj): khác</v>
      </c>
      <c r="G144" s="6" t="s">
        <v>38543</v>
      </c>
      <c r="H144" s="6" t="s">
        <v>38544</v>
      </c>
      <c r="I144" s="7">
        <f t="shared" si="3"/>
        <v>0.7989271124</v>
      </c>
    </row>
    <row r="145">
      <c r="A145" s="4">
        <v>145.0</v>
      </c>
      <c r="B145" s="3" t="s">
        <v>38545</v>
      </c>
      <c r="C145" s="6" t="s">
        <v>74</v>
      </c>
      <c r="D145" s="6" t="s">
        <v>332</v>
      </c>
      <c r="E145" s="3" t="str">
        <f t="shared" si="1"/>
        <v>home&lt;br&gt;&lt;div class="audio"&gt;[sound:home.mp3]&lt;/div&gt;</v>
      </c>
      <c r="F145" s="3" t="str">
        <f t="shared" si="2"/>
        <v>(n): nhà</v>
      </c>
      <c r="G145" s="6" t="s">
        <v>38546</v>
      </c>
      <c r="H145" s="6" t="s">
        <v>38547</v>
      </c>
      <c r="I145" s="7">
        <f t="shared" si="3"/>
        <v>0.9239933155</v>
      </c>
    </row>
    <row r="146">
      <c r="A146" s="4">
        <v>146.0</v>
      </c>
      <c r="B146" s="3" t="s">
        <v>38548</v>
      </c>
      <c r="C146" s="6" t="s">
        <v>44</v>
      </c>
      <c r="D146" s="6" t="s">
        <v>38549</v>
      </c>
      <c r="E146" s="3" t="str">
        <f t="shared" si="1"/>
        <v>each&lt;br&gt;&lt;div class="audio"&gt;[sound:each.mp3]&lt;/div&gt;</v>
      </c>
      <c r="F146" s="3" t="str">
        <f t="shared" si="2"/>
        <v>(pron): mỗi</v>
      </c>
      <c r="G146" s="6" t="s">
        <v>38550</v>
      </c>
      <c r="H146" s="6" t="s">
        <v>38551</v>
      </c>
      <c r="I146" s="7">
        <f t="shared" si="3"/>
        <v>0.7353147151</v>
      </c>
    </row>
    <row r="147">
      <c r="A147" s="4">
        <v>147.0</v>
      </c>
      <c r="B147" s="3" t="s">
        <v>38552</v>
      </c>
      <c r="C147" s="6" t="s">
        <v>85</v>
      </c>
      <c r="D147" s="6" t="s">
        <v>6545</v>
      </c>
      <c r="E147" s="3" t="str">
        <f t="shared" si="1"/>
        <v>only&lt;br&gt;&lt;div class="audio"&gt;[sound:only.mp3]&lt;/div&gt;</v>
      </c>
      <c r="F147" s="3" t="str">
        <f t="shared" si="2"/>
        <v>(adv): chỉ</v>
      </c>
      <c r="G147" s="6" t="s">
        <v>38553</v>
      </c>
      <c r="H147" s="6" t="s">
        <v>38554</v>
      </c>
      <c r="I147" s="7">
        <f t="shared" si="3"/>
        <v>0.9626740292</v>
      </c>
    </row>
    <row r="148">
      <c r="A148" s="4">
        <v>148.0</v>
      </c>
      <c r="B148" s="3" t="s">
        <v>38555</v>
      </c>
      <c r="C148" s="6" t="s">
        <v>24</v>
      </c>
      <c r="D148" s="6" t="s">
        <v>1199</v>
      </c>
      <c r="E148" s="3" t="str">
        <f t="shared" si="1"/>
        <v>buy&lt;br&gt;&lt;div class="audio"&gt;[sound:buy.mp3]&lt;/div&gt;</v>
      </c>
      <c r="F148" s="3" t="str">
        <f t="shared" si="2"/>
        <v>(v): mua</v>
      </c>
      <c r="G148" s="6" t="s">
        <v>38556</v>
      </c>
      <c r="H148" s="6" t="s">
        <v>38557</v>
      </c>
      <c r="I148" s="7">
        <f t="shared" si="3"/>
        <v>0.1957785012</v>
      </c>
    </row>
    <row r="149">
      <c r="A149" s="4">
        <v>149.0</v>
      </c>
      <c r="B149" s="3" t="s">
        <v>38558</v>
      </c>
      <c r="C149" s="6" t="s">
        <v>85</v>
      </c>
      <c r="D149" s="6" t="s">
        <v>38559</v>
      </c>
      <c r="E149" s="3" t="str">
        <f t="shared" si="1"/>
        <v>again&lt;br&gt;&lt;div class="audio"&gt;[sound:again.mp3]&lt;/div&gt;</v>
      </c>
      <c r="F149" s="3" t="str">
        <f t="shared" si="2"/>
        <v>(adv): lại</v>
      </c>
      <c r="G149" s="6" t="s">
        <v>38560</v>
      </c>
      <c r="H149" s="6" t="s">
        <v>38561</v>
      </c>
      <c r="I149" s="7">
        <f t="shared" si="3"/>
        <v>0.4604977117</v>
      </c>
    </row>
    <row r="150">
      <c r="A150" s="4">
        <v>150.0</v>
      </c>
      <c r="B150" s="3" t="s">
        <v>38562</v>
      </c>
      <c r="C150" s="6" t="s">
        <v>63</v>
      </c>
      <c r="D150" s="6" t="s">
        <v>450</v>
      </c>
      <c r="E150" s="3" t="str">
        <f t="shared" si="1"/>
        <v>after&lt;br&gt;&lt;div class="audio"&gt;[sound:after.mp3]&lt;/div&gt;</v>
      </c>
      <c r="F150" s="3" t="str">
        <f t="shared" si="2"/>
        <v>(prep): sau</v>
      </c>
      <c r="G150" s="6" t="s">
        <v>38563</v>
      </c>
      <c r="H150" s="6" t="s">
        <v>38564</v>
      </c>
      <c r="I150" s="7">
        <f t="shared" si="3"/>
        <v>0.05200090642</v>
      </c>
    </row>
    <row r="151">
      <c r="A151" s="4">
        <v>151.0</v>
      </c>
      <c r="B151" s="3" t="s">
        <v>38565</v>
      </c>
      <c r="C151" s="6" t="s">
        <v>11</v>
      </c>
      <c r="D151" s="6" t="s">
        <v>472</v>
      </c>
      <c r="E151" s="3" t="str">
        <f t="shared" si="1"/>
        <v>old&lt;br&gt;&lt;div class="audio"&gt;[sound:old.mp3]&lt;/div&gt;</v>
      </c>
      <c r="F151" s="3" t="str">
        <f t="shared" si="2"/>
        <v>(adj): cũ</v>
      </c>
      <c r="G151" s="6" t="s">
        <v>38566</v>
      </c>
      <c r="H151" s="6" t="s">
        <v>38567</v>
      </c>
      <c r="I151" s="7">
        <f t="shared" si="3"/>
        <v>0.5474367431</v>
      </c>
    </row>
    <row r="152">
      <c r="A152" s="4">
        <v>152.0</v>
      </c>
      <c r="B152" s="3" t="s">
        <v>38568</v>
      </c>
      <c r="C152" s="6" t="s">
        <v>11</v>
      </c>
      <c r="D152" s="6" t="s">
        <v>13693</v>
      </c>
      <c r="E152" s="3" t="str">
        <f t="shared" si="1"/>
        <v>blue&lt;br&gt;&lt;div class="audio"&gt;[sound:blue.mp3]&lt;/div&gt;</v>
      </c>
      <c r="F152" s="3" t="str">
        <f t="shared" si="2"/>
        <v>(adj): màu xanh dương</v>
      </c>
      <c r="G152" s="6" t="s">
        <v>38569</v>
      </c>
      <c r="H152" s="6" t="s">
        <v>38570</v>
      </c>
      <c r="I152" s="7">
        <f t="shared" si="3"/>
        <v>0.01001802906</v>
      </c>
    </row>
    <row r="153">
      <c r="A153" s="4">
        <v>153.0</v>
      </c>
      <c r="B153" s="3" t="s">
        <v>38571</v>
      </c>
      <c r="C153" s="6" t="s">
        <v>85</v>
      </c>
      <c r="D153" s="6" t="s">
        <v>38572</v>
      </c>
      <c r="E153" s="3" t="str">
        <f t="shared" si="1"/>
        <v>never&lt;br&gt;&lt;div class="audio"&gt;[sound:never.mp3]&lt;/div&gt;</v>
      </c>
      <c r="F153" s="3" t="str">
        <f t="shared" si="2"/>
        <v>(adv): không bao giờ</v>
      </c>
      <c r="G153" s="6" t="s">
        <v>38573</v>
      </c>
      <c r="H153" s="6" t="s">
        <v>38574</v>
      </c>
      <c r="I153" s="7">
        <f t="shared" si="3"/>
        <v>0.6342059051</v>
      </c>
    </row>
    <row r="154">
      <c r="A154" s="4">
        <v>154.0</v>
      </c>
      <c r="B154" s="3" t="s">
        <v>38575</v>
      </c>
      <c r="C154" s="6" t="s">
        <v>74</v>
      </c>
      <c r="D154" s="6" t="s">
        <v>15567</v>
      </c>
      <c r="E154" s="3" t="str">
        <f t="shared" si="1"/>
        <v>control&lt;br&gt;&lt;div class="audio"&gt;[sound:control.mp3]&lt;/div&gt;</v>
      </c>
      <c r="F154" s="3" t="str">
        <f t="shared" si="2"/>
        <v>(n): sự kiểm soát</v>
      </c>
      <c r="G154" s="6" t="s">
        <v>38576</v>
      </c>
      <c r="H154" s="6" t="s">
        <v>38577</v>
      </c>
      <c r="I154" s="7">
        <f t="shared" si="3"/>
        <v>0.1234188944</v>
      </c>
    </row>
    <row r="155">
      <c r="A155" s="4">
        <v>155.0</v>
      </c>
      <c r="B155" s="3" t="s">
        <v>38578</v>
      </c>
      <c r="C155" s="6" t="s">
        <v>74</v>
      </c>
      <c r="D155" s="6" t="s">
        <v>746</v>
      </c>
      <c r="E155" s="3" t="str">
        <f t="shared" si="1"/>
        <v>job&lt;br&gt;&lt;div class="audio"&gt;[sound:job.mp3]&lt;/div&gt;</v>
      </c>
      <c r="F155" s="3" t="str">
        <f t="shared" si="2"/>
        <v>(n): công việc</v>
      </c>
      <c r="G155" s="6" t="s">
        <v>38579</v>
      </c>
      <c r="H155" s="6" t="s">
        <v>38580</v>
      </c>
      <c r="I155" s="7">
        <f t="shared" si="3"/>
        <v>0.2740742952</v>
      </c>
    </row>
    <row r="156">
      <c r="A156" s="4">
        <v>156.0</v>
      </c>
      <c r="B156" s="3" t="s">
        <v>38581</v>
      </c>
      <c r="C156" s="6" t="s">
        <v>85</v>
      </c>
      <c r="D156" s="6" t="s">
        <v>250</v>
      </c>
      <c r="E156" s="3" t="str">
        <f t="shared" si="1"/>
        <v>often&lt;br&gt;&lt;div class="audio"&gt;[sound:often.mp3]&lt;/div&gt;</v>
      </c>
      <c r="F156" s="3" t="str">
        <f t="shared" si="2"/>
        <v>(adv): thường</v>
      </c>
      <c r="G156" s="6" t="s">
        <v>38582</v>
      </c>
      <c r="H156" s="6" t="s">
        <v>38583</v>
      </c>
      <c r="I156" s="7">
        <f t="shared" si="3"/>
        <v>0.004171954229</v>
      </c>
    </row>
    <row r="157">
      <c r="A157" s="4">
        <v>157.0</v>
      </c>
      <c r="B157" s="3" t="s">
        <v>38584</v>
      </c>
      <c r="C157" s="6" t="s">
        <v>85</v>
      </c>
      <c r="D157" s="6" t="s">
        <v>1526</v>
      </c>
      <c r="E157" s="3" t="str">
        <f t="shared" si="1"/>
        <v>down&lt;br&gt;&lt;div class="audio"&gt;[sound:down.mp3]&lt;/div&gt;</v>
      </c>
      <c r="F157" s="3" t="str">
        <f t="shared" si="2"/>
        <v>(adv): xuống</v>
      </c>
      <c r="G157" s="6" t="s">
        <v>38585</v>
      </c>
      <c r="H157" s="6" t="s">
        <v>38586</v>
      </c>
      <c r="I157" s="7">
        <f t="shared" si="3"/>
        <v>0.6697606915</v>
      </c>
    </row>
    <row r="158">
      <c r="A158" s="4">
        <v>158.0</v>
      </c>
      <c r="B158" s="3" t="s">
        <v>38587</v>
      </c>
      <c r="C158" s="6" t="s">
        <v>85</v>
      </c>
      <c r="D158" s="6" t="s">
        <v>578</v>
      </c>
      <c r="E158" s="3" t="str">
        <f t="shared" si="1"/>
        <v>well&lt;br&gt;&lt;div class="audio"&gt;[sound:well.mp3]&lt;/div&gt;</v>
      </c>
      <c r="F158" s="3" t="str">
        <f t="shared" si="2"/>
        <v>(adv): tốt</v>
      </c>
      <c r="G158" s="6" t="s">
        <v>38588</v>
      </c>
      <c r="H158" s="6" t="s">
        <v>38589</v>
      </c>
      <c r="I158" s="7">
        <f t="shared" si="3"/>
        <v>0.4000519759</v>
      </c>
    </row>
    <row r="159">
      <c r="A159" s="4">
        <v>159.0</v>
      </c>
      <c r="B159" s="3" t="s">
        <v>38590</v>
      </c>
      <c r="C159" s="6" t="s">
        <v>85</v>
      </c>
      <c r="D159" s="6" t="s">
        <v>3751</v>
      </c>
      <c r="E159" s="3" t="str">
        <f t="shared" si="1"/>
        <v>too&lt;br&gt;&lt;div class="audio"&gt;[sound:too.mp3]&lt;/div&gt;</v>
      </c>
      <c r="F159" s="3" t="str">
        <f t="shared" si="2"/>
        <v>(adv): quá</v>
      </c>
      <c r="G159" s="6" t="s">
        <v>38591</v>
      </c>
      <c r="H159" s="6" t="s">
        <v>38592</v>
      </c>
      <c r="I159" s="7">
        <f t="shared" si="3"/>
        <v>0.1390104913</v>
      </c>
    </row>
    <row r="160">
      <c r="A160" s="4">
        <v>160.0</v>
      </c>
      <c r="B160" s="3" t="s">
        <v>38593</v>
      </c>
      <c r="C160" s="6" t="s">
        <v>24</v>
      </c>
      <c r="D160" s="8" t="s">
        <v>1839</v>
      </c>
      <c r="E160" s="3" t="str">
        <f t="shared" si="1"/>
        <v>sell&lt;br&gt;&lt;div class="audio"&gt;[sound:sell.mp3]&lt;/div&gt;</v>
      </c>
      <c r="F160" s="3" t="str">
        <f t="shared" si="2"/>
        <v>(v): bán</v>
      </c>
      <c r="G160" s="8" t="s">
        <v>38594</v>
      </c>
      <c r="H160" s="8" t="s">
        <v>38595</v>
      </c>
      <c r="I160" s="7">
        <f t="shared" si="3"/>
        <v>0.3771174529</v>
      </c>
    </row>
    <row r="161">
      <c r="A161" s="4">
        <v>161.0</v>
      </c>
      <c r="B161" s="3" t="s">
        <v>38596</v>
      </c>
      <c r="C161" s="6" t="s">
        <v>85</v>
      </c>
      <c r="D161" s="8" t="s">
        <v>38597</v>
      </c>
      <c r="E161" s="3" t="str">
        <f t="shared" si="1"/>
        <v>simply&lt;br&gt;&lt;div class="audio"&gt;[sound:simply.mp3]&lt;/div&gt;</v>
      </c>
      <c r="F161" s="3" t="str">
        <f t="shared" si="2"/>
        <v>(adv): một cách đơn giản</v>
      </c>
      <c r="G161" s="8" t="s">
        <v>38598</v>
      </c>
      <c r="H161" s="8" t="s">
        <v>38599</v>
      </c>
      <c r="I161" s="7">
        <f t="shared" si="3"/>
        <v>0.5088737785</v>
      </c>
    </row>
    <row r="162">
      <c r="A162" s="4">
        <v>162.0</v>
      </c>
      <c r="B162" s="3" t="s">
        <v>38600</v>
      </c>
      <c r="C162" s="6" t="s">
        <v>85</v>
      </c>
      <c r="D162" s="8" t="s">
        <v>5287</v>
      </c>
      <c r="E162" s="3" t="str">
        <f t="shared" si="1"/>
        <v>sometimes&lt;br&gt;&lt;div class="audio"&gt;[sound:sometimes.mp3]&lt;/div&gt;</v>
      </c>
      <c r="F162" s="3" t="str">
        <f t="shared" si="2"/>
        <v>(adv): thỉnh thoảng</v>
      </c>
      <c r="G162" s="8" t="s">
        <v>38601</v>
      </c>
      <c r="H162" s="8" t="s">
        <v>38602</v>
      </c>
      <c r="I162" s="7">
        <f t="shared" si="3"/>
        <v>0.7094166369</v>
      </c>
    </row>
    <row r="163">
      <c r="A163" s="4">
        <v>163.0</v>
      </c>
      <c r="B163" s="3" t="s">
        <v>38603</v>
      </c>
      <c r="C163" s="6" t="s">
        <v>74</v>
      </c>
      <c r="D163" s="8" t="s">
        <v>38604</v>
      </c>
      <c r="E163" s="3" t="str">
        <f t="shared" si="1"/>
        <v>situation&lt;br&gt;&lt;div class="audio"&gt;[sound:situation.mp3]&lt;/div&gt;</v>
      </c>
      <c r="F163" s="3" t="str">
        <f t="shared" si="2"/>
        <v>(n): tình huống</v>
      </c>
      <c r="G163" s="8" t="s">
        <v>38605</v>
      </c>
      <c r="H163" s="8" t="s">
        <v>38606</v>
      </c>
      <c r="I163" s="7">
        <f t="shared" si="3"/>
        <v>0.7426769734</v>
      </c>
    </row>
    <row r="164">
      <c r="A164" s="4">
        <v>164.0</v>
      </c>
      <c r="B164" s="3" t="s">
        <v>38607</v>
      </c>
      <c r="C164" s="6" t="s">
        <v>74</v>
      </c>
      <c r="D164" s="6" t="s">
        <v>394</v>
      </c>
      <c r="E164" s="3" t="str">
        <f t="shared" si="1"/>
        <v>case&lt;br&gt;&lt;div class="audio"&gt;[sound:case.mp3]&lt;/div&gt;</v>
      </c>
      <c r="F164" s="3" t="str">
        <f t="shared" si="2"/>
        <v>(n): trường hợp</v>
      </c>
      <c r="G164" s="6" t="s">
        <v>38608</v>
      </c>
      <c r="H164" s="6" t="s">
        <v>38609</v>
      </c>
      <c r="I164" s="7">
        <f t="shared" si="3"/>
        <v>0.1159607079</v>
      </c>
    </row>
    <row r="165">
      <c r="A165" s="4">
        <v>165.0</v>
      </c>
      <c r="B165" s="3" t="s">
        <v>38610</v>
      </c>
      <c r="C165" s="6" t="s">
        <v>63</v>
      </c>
      <c r="D165" s="6" t="s">
        <v>1348</v>
      </c>
      <c r="E165" s="3" t="str">
        <f t="shared" si="1"/>
        <v>around&lt;br&gt;&lt;div class="audio"&gt;[sound:around.mp3]&lt;/div&gt;</v>
      </c>
      <c r="F165" s="3" t="str">
        <f t="shared" si="2"/>
        <v>(prep): xung quanh</v>
      </c>
      <c r="G165" s="6" t="s">
        <v>38611</v>
      </c>
      <c r="H165" s="6" t="s">
        <v>38612</v>
      </c>
      <c r="I165" s="7">
        <f t="shared" si="3"/>
        <v>0.002900268322</v>
      </c>
    </row>
    <row r="166">
      <c r="A166" s="4">
        <v>166.0</v>
      </c>
      <c r="B166" s="3" t="s">
        <v>38613</v>
      </c>
      <c r="C166" s="6" t="s">
        <v>24</v>
      </c>
      <c r="D166" s="6" t="s">
        <v>2314</v>
      </c>
      <c r="E166" s="3" t="str">
        <f t="shared" si="1"/>
        <v>talk&lt;br&gt;&lt;div class="audio"&gt;[sound:talk.mp3]&lt;/div&gt;</v>
      </c>
      <c r="F166" s="3" t="str">
        <f t="shared" si="2"/>
        <v>(v): nói chuyện</v>
      </c>
      <c r="G166" s="6" t="s">
        <v>38614</v>
      </c>
      <c r="H166" s="6" t="s">
        <v>38615</v>
      </c>
      <c r="I166" s="7">
        <f t="shared" si="3"/>
        <v>0.405004945</v>
      </c>
    </row>
    <row r="167">
      <c r="A167" s="4">
        <v>167.0</v>
      </c>
      <c r="B167" s="3" t="s">
        <v>38616</v>
      </c>
      <c r="C167" s="6" t="s">
        <v>63</v>
      </c>
      <c r="D167" s="6" t="s">
        <v>24304</v>
      </c>
      <c r="E167" s="3" t="str">
        <f t="shared" si="1"/>
        <v>during&lt;br&gt;&lt;div class="audio"&gt;[sound:during.mp3]&lt;/div&gt;</v>
      </c>
      <c r="F167" s="3" t="str">
        <f t="shared" si="2"/>
        <v>(prep): trong suốt</v>
      </c>
      <c r="G167" s="6" t="s">
        <v>38617</v>
      </c>
      <c r="H167" s="6" t="s">
        <v>38618</v>
      </c>
      <c r="I167" s="7">
        <f t="shared" si="3"/>
        <v>0.6584589034</v>
      </c>
    </row>
    <row r="168">
      <c r="A168" s="4">
        <v>168.0</v>
      </c>
      <c r="B168" s="3" t="s">
        <v>38619</v>
      </c>
      <c r="C168" s="6" t="s">
        <v>11</v>
      </c>
      <c r="D168" s="8" t="s">
        <v>874</v>
      </c>
      <c r="E168" s="3" t="str">
        <f t="shared" si="1"/>
        <v>sure&lt;br&gt;&lt;div class="audio"&gt;[sound:sure.mp3]&lt;/div&gt;</v>
      </c>
      <c r="F168" s="3" t="str">
        <f t="shared" si="2"/>
        <v>(adj): chắc chắn</v>
      </c>
      <c r="G168" s="8" t="s">
        <v>38620</v>
      </c>
      <c r="H168" s="8" t="s">
        <v>38621</v>
      </c>
      <c r="I168" s="7">
        <f t="shared" si="3"/>
        <v>0.1739543567</v>
      </c>
    </row>
    <row r="169">
      <c r="A169" s="4">
        <v>169.0</v>
      </c>
      <c r="B169" s="3" t="s">
        <v>38622</v>
      </c>
      <c r="C169" s="6" t="s">
        <v>24</v>
      </c>
      <c r="D169" s="6" t="s">
        <v>38623</v>
      </c>
      <c r="E169" s="3" t="str">
        <f t="shared" si="1"/>
        <v>cannot&lt;br&gt;&lt;div class="audio"&gt;[sound:cannot.mp3]&lt;/div&gt;</v>
      </c>
      <c r="F169" s="3" t="str">
        <f t="shared" si="2"/>
        <v>(v): không thể</v>
      </c>
      <c r="G169" s="6" t="s">
        <v>38624</v>
      </c>
      <c r="H169" s="6" t="s">
        <v>38625</v>
      </c>
      <c r="I169" s="7">
        <f t="shared" si="3"/>
        <v>0.5001858654</v>
      </c>
    </row>
    <row r="170">
      <c r="A170" s="4">
        <v>170.0</v>
      </c>
      <c r="B170" s="3" t="s">
        <v>38626</v>
      </c>
      <c r="C170" s="6" t="s">
        <v>74</v>
      </c>
      <c r="D170" s="6" t="s">
        <v>746</v>
      </c>
      <c r="E170" s="3" t="str">
        <f t="shared" si="1"/>
        <v>work&lt;br&gt;&lt;div class="audio"&gt;[sound:work.mp3]&lt;/div&gt;</v>
      </c>
      <c r="F170" s="3" t="str">
        <f t="shared" si="2"/>
        <v>(n): công việc</v>
      </c>
      <c r="G170" s="6" t="s">
        <v>38627</v>
      </c>
      <c r="H170" s="6" t="s">
        <v>38628</v>
      </c>
      <c r="I170" s="7">
        <f t="shared" si="3"/>
        <v>0.5840183098</v>
      </c>
    </row>
    <row r="171">
      <c r="A171" s="4">
        <v>171.0</v>
      </c>
      <c r="B171" s="3" t="s">
        <v>38629</v>
      </c>
      <c r="C171" s="6" t="s">
        <v>11</v>
      </c>
      <c r="D171" s="6" t="s">
        <v>38630</v>
      </c>
      <c r="E171" s="3" t="str">
        <f t="shared" si="1"/>
        <v>own&lt;br&gt;&lt;div class="audio"&gt;[sound:own.mp3]&lt;/div&gt;</v>
      </c>
      <c r="F171" s="3" t="str">
        <f t="shared" si="2"/>
        <v>(adj): của riêng</v>
      </c>
      <c r="G171" s="6" t="s">
        <v>38631</v>
      </c>
      <c r="H171" s="6" t="s">
        <v>38632</v>
      </c>
      <c r="I171" s="7">
        <f t="shared" si="3"/>
        <v>0.1306936487</v>
      </c>
    </row>
    <row r="172">
      <c r="A172" s="4">
        <v>172.0</v>
      </c>
      <c r="B172" s="3" t="s">
        <v>38633</v>
      </c>
      <c r="C172" s="6" t="s">
        <v>11</v>
      </c>
      <c r="D172" s="6" t="s">
        <v>939</v>
      </c>
      <c r="E172" s="3" t="str">
        <f t="shared" si="1"/>
        <v>necessary&lt;br&gt;&lt;div class="audio"&gt;[sound:necessary.mp3]&lt;/div&gt;</v>
      </c>
      <c r="F172" s="3" t="str">
        <f t="shared" si="2"/>
        <v>(adj): cần thiết</v>
      </c>
      <c r="G172" s="6" t="s">
        <v>38634</v>
      </c>
      <c r="H172" s="6" t="s">
        <v>38635</v>
      </c>
      <c r="I172" s="7">
        <f t="shared" si="3"/>
        <v>0.5744602405</v>
      </c>
    </row>
    <row r="173">
      <c r="A173" s="4">
        <v>173.0</v>
      </c>
      <c r="B173" s="3" t="s">
        <v>38636</v>
      </c>
      <c r="C173" s="6" t="s">
        <v>90</v>
      </c>
      <c r="D173" s="6" t="s">
        <v>38637</v>
      </c>
      <c r="E173" s="3" t="str">
        <f t="shared" si="1"/>
        <v>while&lt;br&gt;&lt;div class="audio"&gt;[sound:while.mp3]&lt;/div&gt;</v>
      </c>
      <c r="F173" s="3" t="str">
        <f t="shared" si="2"/>
        <v>(conj): trong khi</v>
      </c>
      <c r="G173" s="6" t="s">
        <v>38638</v>
      </c>
      <c r="H173" s="6" t="s">
        <v>38639</v>
      </c>
      <c r="I173" s="7">
        <f t="shared" si="3"/>
        <v>0.3444525709</v>
      </c>
    </row>
    <row r="174">
      <c r="A174" s="4">
        <v>174.0</v>
      </c>
      <c r="B174" s="3" t="s">
        <v>38640</v>
      </c>
      <c r="C174" s="6" t="s">
        <v>85</v>
      </c>
      <c r="D174" s="6" t="s">
        <v>86</v>
      </c>
      <c r="E174" s="3" t="str">
        <f t="shared" si="1"/>
        <v>always&lt;br&gt;&lt;div class="audio"&gt;[sound:always.mp3]&lt;/div&gt;</v>
      </c>
      <c r="F174" s="3" t="str">
        <f t="shared" si="2"/>
        <v>(adv): luôn luôn</v>
      </c>
      <c r="G174" s="6" t="s">
        <v>38641</v>
      </c>
      <c r="H174" s="6" t="s">
        <v>38642</v>
      </c>
      <c r="I174" s="7">
        <f t="shared" si="3"/>
        <v>0.2224339141</v>
      </c>
    </row>
    <row r="175">
      <c r="A175" s="4">
        <v>175.0</v>
      </c>
      <c r="B175" s="3" t="s">
        <v>38643</v>
      </c>
      <c r="C175" s="6" t="s">
        <v>74</v>
      </c>
      <c r="D175" s="6" t="s">
        <v>2980</v>
      </c>
      <c r="E175" s="3" t="str">
        <f t="shared" si="1"/>
        <v>government&lt;br&gt;&lt;div class="audio"&gt;[sound:government.mp3]&lt;/div&gt;</v>
      </c>
      <c r="F175" s="3" t="str">
        <f t="shared" si="2"/>
        <v>(n): chính phủ</v>
      </c>
      <c r="G175" s="6" t="s">
        <v>38644</v>
      </c>
      <c r="H175" s="6" t="s">
        <v>38645</v>
      </c>
      <c r="I175" s="7">
        <f t="shared" si="3"/>
        <v>0.4641797483</v>
      </c>
    </row>
    <row r="176">
      <c r="A176" s="4">
        <v>176.0</v>
      </c>
      <c r="B176" s="3" t="s">
        <v>38646</v>
      </c>
      <c r="C176" s="6" t="s">
        <v>63</v>
      </c>
      <c r="D176" s="6" t="s">
        <v>38647</v>
      </c>
      <c r="E176" s="3" t="str">
        <f t="shared" si="1"/>
        <v>against&lt;br&gt;&lt;div class="audio"&gt;[sound:against.mp3]&lt;/div&gt;</v>
      </c>
      <c r="F176" s="3" t="str">
        <f t="shared" si="2"/>
        <v>(prep): chống lại</v>
      </c>
      <c r="G176" s="6" t="s">
        <v>38648</v>
      </c>
      <c r="H176" s="6" t="s">
        <v>38649</v>
      </c>
      <c r="I176" s="7">
        <f t="shared" si="3"/>
        <v>0.3895965848</v>
      </c>
    </row>
    <row r="177">
      <c r="A177" s="4">
        <v>177.0</v>
      </c>
      <c r="B177" s="3" t="s">
        <v>38650</v>
      </c>
      <c r="C177" s="6" t="s">
        <v>24</v>
      </c>
      <c r="D177" s="6" t="s">
        <v>10925</v>
      </c>
      <c r="E177" s="3" t="str">
        <f t="shared" si="1"/>
        <v>check&lt;br&gt;&lt;div class="audio"&gt;[sound:check.mp3]&lt;/div&gt;</v>
      </c>
      <c r="F177" s="3" t="str">
        <f t="shared" si="2"/>
        <v>(v): kiểm tra</v>
      </c>
      <c r="G177" s="6" t="s">
        <v>38651</v>
      </c>
      <c r="H177" s="6" t="s">
        <v>38652</v>
      </c>
      <c r="I177" s="7">
        <f t="shared" si="3"/>
        <v>0.4069336693</v>
      </c>
    </row>
    <row r="178">
      <c r="A178" s="4">
        <v>178.0</v>
      </c>
      <c r="B178" s="3" t="s">
        <v>38653</v>
      </c>
      <c r="C178" s="6" t="s">
        <v>24</v>
      </c>
      <c r="D178" s="6" t="s">
        <v>3910</v>
      </c>
      <c r="E178" s="3" t="str">
        <f t="shared" si="1"/>
        <v>find&lt;br&gt;&lt;div class="audio"&gt;[sound:find.mp3]&lt;/div&gt;</v>
      </c>
      <c r="F178" s="3" t="str">
        <f t="shared" si="2"/>
        <v>(v): tìm thấy</v>
      </c>
      <c r="G178" s="6" t="s">
        <v>38654</v>
      </c>
      <c r="H178" s="6" t="s">
        <v>38655</v>
      </c>
      <c r="I178" s="7">
        <f t="shared" si="3"/>
        <v>0.2527028589</v>
      </c>
    </row>
    <row r="179">
      <c r="A179" s="4">
        <v>179.0</v>
      </c>
      <c r="B179" s="3" t="s">
        <v>38656</v>
      </c>
      <c r="C179" s="6" t="s">
        <v>24</v>
      </c>
      <c r="D179" s="6" t="s">
        <v>1718</v>
      </c>
      <c r="E179" s="3" t="str">
        <f t="shared" si="1"/>
        <v>feel&lt;br&gt;&lt;div class="audio"&gt;[sound:feel.mp3]&lt;/div&gt;</v>
      </c>
      <c r="F179" s="3" t="str">
        <f t="shared" si="2"/>
        <v>(v): cảm thấy</v>
      </c>
      <c r="G179" s="6" t="s">
        <v>38657</v>
      </c>
      <c r="H179" s="6" t="s">
        <v>38658</v>
      </c>
      <c r="I179" s="7">
        <f t="shared" si="3"/>
        <v>0.5272234307</v>
      </c>
    </row>
    <row r="180">
      <c r="A180" s="4">
        <v>180.0</v>
      </c>
      <c r="B180" s="3" t="s">
        <v>38659</v>
      </c>
      <c r="C180" s="6" t="s">
        <v>74</v>
      </c>
      <c r="D180" s="6" t="s">
        <v>1408</v>
      </c>
      <c r="E180" s="3" t="str">
        <f t="shared" si="1"/>
        <v>family&lt;br&gt;&lt;div class="audio"&gt;[sound:family.mp3]&lt;/div&gt;</v>
      </c>
      <c r="F180" s="3" t="str">
        <f t="shared" si="2"/>
        <v>(n): gia đình</v>
      </c>
      <c r="G180" s="6" t="s">
        <v>38660</v>
      </c>
      <c r="H180" s="6" t="s">
        <v>38661</v>
      </c>
      <c r="I180" s="7">
        <f t="shared" si="3"/>
        <v>0.2970911312</v>
      </c>
    </row>
    <row r="181">
      <c r="A181" s="4">
        <v>181.0</v>
      </c>
      <c r="B181" s="3" t="s">
        <v>38662</v>
      </c>
      <c r="C181" s="6" t="s">
        <v>11</v>
      </c>
      <c r="D181" s="8" t="s">
        <v>2844</v>
      </c>
      <c r="E181" s="3" t="str">
        <f t="shared" si="1"/>
        <v>simple&lt;br&gt;&lt;div class="audio"&gt;[sound:simple.mp3]&lt;/div&gt;</v>
      </c>
      <c r="F181" s="3" t="str">
        <f t="shared" si="2"/>
        <v>(adj): đơn giản</v>
      </c>
      <c r="G181" s="8" t="s">
        <v>38663</v>
      </c>
      <c r="H181" s="8" t="s">
        <v>38664</v>
      </c>
      <c r="I181" s="7">
        <f t="shared" si="3"/>
        <v>0.5376651145</v>
      </c>
    </row>
    <row r="182">
      <c r="A182" s="4">
        <v>182.0</v>
      </c>
      <c r="B182" s="3" t="s">
        <v>38665</v>
      </c>
      <c r="C182" s="6" t="s">
        <v>24</v>
      </c>
      <c r="D182" s="6" t="s">
        <v>8072</v>
      </c>
      <c r="E182" s="3" t="str">
        <f t="shared" si="1"/>
        <v>let&lt;br&gt;&lt;div class="audio"&gt;[sound:let.mp3]&lt;/div&gt;</v>
      </c>
      <c r="F182" s="3" t="str">
        <f t="shared" si="2"/>
        <v>(v): cho phép</v>
      </c>
      <c r="G182" s="6" t="s">
        <v>38666</v>
      </c>
      <c r="H182" s="6" t="s">
        <v>38667</v>
      </c>
      <c r="I182" s="7">
        <f t="shared" si="3"/>
        <v>0.1923868282</v>
      </c>
    </row>
    <row r="183">
      <c r="A183" s="4">
        <v>183.0</v>
      </c>
      <c r="B183" s="3" t="s">
        <v>38668</v>
      </c>
      <c r="C183" s="6" t="s">
        <v>74</v>
      </c>
      <c r="D183" s="6" t="s">
        <v>3711</v>
      </c>
      <c r="E183" s="3" t="str">
        <f t="shared" si="1"/>
        <v>seat&lt;br&gt;&lt;div class="audio"&gt;[sound:seat.mp3]&lt;/div&gt;</v>
      </c>
      <c r="F183" s="3" t="str">
        <f t="shared" si="2"/>
        <v>(n): chỗ ngồi</v>
      </c>
      <c r="G183" s="6" t="s">
        <v>38669</v>
      </c>
      <c r="H183" s="6" t="s">
        <v>38670</v>
      </c>
      <c r="I183" s="7">
        <f t="shared" si="3"/>
        <v>0.5060710859</v>
      </c>
    </row>
    <row r="184">
      <c r="A184" s="4">
        <v>184.0</v>
      </c>
      <c r="B184" s="3" t="s">
        <v>38671</v>
      </c>
      <c r="C184" s="6" t="s">
        <v>63</v>
      </c>
      <c r="D184" s="6" t="s">
        <v>11905</v>
      </c>
      <c r="E184" s="3" t="str">
        <f t="shared" si="1"/>
        <v>across&lt;br&gt;&lt;div class="audio"&gt;[sound:across.mp3]&lt;/div&gt;</v>
      </c>
      <c r="F184" s="3" t="str">
        <f t="shared" si="2"/>
        <v>(prep): băng qua</v>
      </c>
      <c r="G184" s="6" t="s">
        <v>38672</v>
      </c>
      <c r="H184" s="6" t="s">
        <v>38673</v>
      </c>
      <c r="I184" s="7">
        <f t="shared" si="3"/>
        <v>0.07999505367</v>
      </c>
    </row>
    <row r="185">
      <c r="A185" s="4">
        <v>185.0</v>
      </c>
      <c r="B185" s="3" t="s">
        <v>38674</v>
      </c>
      <c r="C185" s="6" t="s">
        <v>74</v>
      </c>
      <c r="D185" s="8" t="s">
        <v>38675</v>
      </c>
      <c r="E185" s="3" t="str">
        <f t="shared" si="1"/>
        <v>study&lt;br&gt;&lt;div class="audio"&gt;[sound:study.mp3]&lt;/div&gt;</v>
      </c>
      <c r="F185" s="3" t="str">
        <f t="shared" si="2"/>
        <v>(n): việc học</v>
      </c>
      <c r="G185" s="8" t="s">
        <v>38676</v>
      </c>
      <c r="H185" s="8" t="s">
        <v>38677</v>
      </c>
      <c r="I185" s="7">
        <f t="shared" si="3"/>
        <v>0.7402845555</v>
      </c>
    </row>
    <row r="186">
      <c r="A186" s="4">
        <v>186.0</v>
      </c>
      <c r="B186" s="3" t="s">
        <v>38678</v>
      </c>
      <c r="C186" s="6" t="s">
        <v>74</v>
      </c>
      <c r="D186" s="8" t="s">
        <v>11504</v>
      </c>
      <c r="E186" s="3" t="str">
        <f t="shared" si="1"/>
        <v>student&lt;br&gt;&lt;div class="audio"&gt;[sound:student.mp3]&lt;/div&gt;</v>
      </c>
      <c r="F186" s="3" t="str">
        <f t="shared" si="2"/>
        <v>(n): học sinh</v>
      </c>
      <c r="G186" s="8" t="s">
        <v>38679</v>
      </c>
      <c r="H186" s="8" t="s">
        <v>38680</v>
      </c>
      <c r="I186" s="7">
        <f t="shared" si="3"/>
        <v>0.921298322</v>
      </c>
    </row>
    <row r="187">
      <c r="A187" s="4">
        <v>187.0</v>
      </c>
      <c r="B187" s="3" t="s">
        <v>38681</v>
      </c>
      <c r="C187" s="6" t="s">
        <v>24</v>
      </c>
      <c r="D187" s="6" t="s">
        <v>2939</v>
      </c>
      <c r="E187" s="3" t="str">
        <f t="shared" si="1"/>
        <v>build&lt;br&gt;&lt;div class="audio"&gt;[sound:build.mp3]&lt;/div&gt;</v>
      </c>
      <c r="F187" s="3" t="str">
        <f t="shared" si="2"/>
        <v>(v): xây dựng</v>
      </c>
      <c r="G187" s="6" t="s">
        <v>38682</v>
      </c>
      <c r="H187" s="6" t="s">
        <v>38683</v>
      </c>
      <c r="I187" s="7">
        <f t="shared" si="3"/>
        <v>0.4206454492</v>
      </c>
    </row>
    <row r="188">
      <c r="A188" s="4">
        <v>188.0</v>
      </c>
      <c r="B188" s="3" t="s">
        <v>38684</v>
      </c>
      <c r="C188" s="6" t="s">
        <v>74</v>
      </c>
      <c r="D188" s="6" t="s">
        <v>38685</v>
      </c>
      <c r="E188" s="3" t="str">
        <f t="shared" si="1"/>
        <v>place&lt;br&gt;&lt;div class="audio"&gt;[sound:place.mp3]&lt;/div&gt;</v>
      </c>
      <c r="F188" s="3" t="str">
        <f t="shared" si="2"/>
        <v>(n): nơi chốn</v>
      </c>
      <c r="G188" s="6" t="s">
        <v>38686</v>
      </c>
      <c r="H188" s="6" t="s">
        <v>38687</v>
      </c>
      <c r="I188" s="7">
        <f t="shared" si="3"/>
        <v>0.001294668561</v>
      </c>
    </row>
    <row r="189">
      <c r="A189" s="4">
        <v>189.0</v>
      </c>
      <c r="B189" s="3" t="s">
        <v>38688</v>
      </c>
      <c r="C189" s="6" t="s">
        <v>85</v>
      </c>
      <c r="D189" s="6" t="s">
        <v>30658</v>
      </c>
      <c r="E189" s="3" t="str">
        <f t="shared" si="1"/>
        <v>back&lt;br&gt;&lt;div class="audio"&gt;[sound:back.mp3]&lt;/div&gt;</v>
      </c>
      <c r="F189" s="3" t="str">
        <f t="shared" si="2"/>
        <v>(adv): trở lại</v>
      </c>
      <c r="G189" s="6" t="s">
        <v>38689</v>
      </c>
      <c r="H189" s="6" t="s">
        <v>38690</v>
      </c>
      <c r="I189" s="7">
        <f t="shared" si="3"/>
        <v>0.949885472</v>
      </c>
    </row>
    <row r="190">
      <c r="A190" s="4">
        <v>190.0</v>
      </c>
      <c r="B190" s="3" t="s">
        <v>38691</v>
      </c>
      <c r="C190" s="6" t="s">
        <v>24</v>
      </c>
      <c r="D190" s="8" t="s">
        <v>38692</v>
      </c>
      <c r="E190" s="3" t="str">
        <f t="shared" si="1"/>
        <v>share&lt;br&gt;&lt;div class="audio"&gt;[sound:share.mp3]&lt;/div&gt;</v>
      </c>
      <c r="F190" s="3" t="str">
        <f t="shared" si="2"/>
        <v>(v): chia sẻ</v>
      </c>
      <c r="G190" s="8" t="s">
        <v>38693</v>
      </c>
      <c r="H190" s="8" t="s">
        <v>38694</v>
      </c>
      <c r="I190" s="7">
        <f t="shared" si="3"/>
        <v>0.6002163173</v>
      </c>
    </row>
    <row r="191">
      <c r="A191" s="4">
        <v>191.0</v>
      </c>
      <c r="B191" s="3" t="s">
        <v>38695</v>
      </c>
      <c r="C191" s="6" t="s">
        <v>24</v>
      </c>
      <c r="D191" s="8" t="s">
        <v>38696</v>
      </c>
      <c r="E191" s="3" t="str">
        <f t="shared" si="1"/>
        <v>serve&lt;br&gt;&lt;div class="audio"&gt;[sound:serve.mp3]&lt;/div&gt;</v>
      </c>
      <c r="F191" s="3" t="str">
        <f t="shared" si="2"/>
        <v>(v): phục vụ</v>
      </c>
      <c r="G191" s="8" t="s">
        <v>38697</v>
      </c>
      <c r="H191" s="8" t="s">
        <v>38698</v>
      </c>
      <c r="I191" s="7">
        <f t="shared" si="3"/>
        <v>0.9398243244</v>
      </c>
    </row>
    <row r="192">
      <c r="A192" s="4">
        <v>192.0</v>
      </c>
      <c r="B192" s="3" t="s">
        <v>38699</v>
      </c>
      <c r="C192" s="6" t="s">
        <v>44</v>
      </c>
      <c r="D192" s="6" t="s">
        <v>38700</v>
      </c>
      <c r="E192" s="3" t="str">
        <f t="shared" si="1"/>
        <v>any&lt;br&gt;&lt;div class="audio"&gt;[sound:any.mp3]&lt;/div&gt;</v>
      </c>
      <c r="F192" s="3" t="str">
        <f t="shared" si="2"/>
        <v>(pron): bất kỳ</v>
      </c>
      <c r="G192" s="6" t="s">
        <v>38701</v>
      </c>
      <c r="H192" s="6" t="s">
        <v>38702</v>
      </c>
      <c r="I192" s="7">
        <f t="shared" si="3"/>
        <v>0.4590913012</v>
      </c>
    </row>
    <row r="193">
      <c r="A193" s="4">
        <v>193.0</v>
      </c>
      <c r="B193" s="3" t="s">
        <v>38703</v>
      </c>
      <c r="C193" s="6" t="s">
        <v>24</v>
      </c>
      <c r="D193" s="6" t="s">
        <v>17889</v>
      </c>
      <c r="E193" s="3" t="str">
        <f t="shared" si="1"/>
        <v>leave&lt;br&gt;&lt;div class="audio"&gt;[sound:leave.mp3]&lt;/div&gt;</v>
      </c>
      <c r="F193" s="3" t="str">
        <f t="shared" si="2"/>
        <v>(v): rời đi</v>
      </c>
      <c r="G193" s="6" t="s">
        <v>38704</v>
      </c>
      <c r="H193" s="6" t="s">
        <v>38705</v>
      </c>
      <c r="I193" s="7">
        <f t="shared" si="3"/>
        <v>0.5249186775</v>
      </c>
    </row>
    <row r="194">
      <c r="A194" s="4">
        <v>194.0</v>
      </c>
      <c r="B194" s="3" t="s">
        <v>38706</v>
      </c>
      <c r="C194" s="6" t="s">
        <v>74</v>
      </c>
      <c r="D194" s="8" t="s">
        <v>554</v>
      </c>
      <c r="E194" s="3" t="str">
        <f t="shared" si="1"/>
        <v>society&lt;br&gt;&lt;div class="audio"&gt;[sound:society.mp3]&lt;/div&gt;</v>
      </c>
      <c r="F194" s="3" t="str">
        <f t="shared" si="2"/>
        <v>(n): xã hội</v>
      </c>
      <c r="G194" s="8" t="s">
        <v>38707</v>
      </c>
      <c r="H194" s="8" t="s">
        <v>38708</v>
      </c>
      <c r="I194" s="7">
        <f t="shared" si="3"/>
        <v>0.5260084141</v>
      </c>
    </row>
    <row r="195">
      <c r="A195" s="4">
        <v>195.0</v>
      </c>
      <c r="B195" s="3" t="s">
        <v>38709</v>
      </c>
      <c r="C195" s="6" t="s">
        <v>74</v>
      </c>
      <c r="D195" s="6" t="s">
        <v>34903</v>
      </c>
      <c r="E195" s="3" t="str">
        <f t="shared" si="1"/>
        <v>boy&lt;br&gt;&lt;div class="audio"&gt;[sound:boy.mp3]&lt;/div&gt;</v>
      </c>
      <c r="F195" s="3" t="str">
        <f t="shared" si="2"/>
        <v>(n): cậu bé</v>
      </c>
      <c r="G195" s="6" t="s">
        <v>38710</v>
      </c>
      <c r="H195" s="6" t="s">
        <v>38711</v>
      </c>
      <c r="I195" s="7">
        <f t="shared" si="3"/>
        <v>0.7190704618</v>
      </c>
    </row>
    <row r="196">
      <c r="A196" s="4">
        <v>196.0</v>
      </c>
      <c r="B196" s="3" t="s">
        <v>38712</v>
      </c>
      <c r="C196" s="6" t="s">
        <v>74</v>
      </c>
      <c r="D196" s="6" t="s">
        <v>109</v>
      </c>
      <c r="E196" s="3" t="str">
        <f t="shared" si="1"/>
        <v>problem&lt;br&gt;&lt;div class="audio"&gt;[sound:problem.mp3]&lt;/div&gt;</v>
      </c>
      <c r="F196" s="3" t="str">
        <f t="shared" si="2"/>
        <v>(n): vấn đề</v>
      </c>
      <c r="G196" s="6" t="s">
        <v>38713</v>
      </c>
      <c r="H196" s="6" t="s">
        <v>38714</v>
      </c>
      <c r="I196" s="7">
        <f t="shared" si="3"/>
        <v>0.7079022854</v>
      </c>
    </row>
    <row r="197">
      <c r="A197" s="4">
        <v>197.0</v>
      </c>
      <c r="B197" s="3" t="s">
        <v>38715</v>
      </c>
      <c r="C197" s="6" t="s">
        <v>74</v>
      </c>
      <c r="D197" s="6" t="s">
        <v>38716</v>
      </c>
      <c r="E197" s="3" t="str">
        <f t="shared" si="1"/>
        <v>number&lt;br&gt;&lt;div class="audio"&gt;[sound:number.mp3]&lt;/div&gt;</v>
      </c>
      <c r="F197" s="3" t="str">
        <f t="shared" si="2"/>
        <v>(n): con số</v>
      </c>
      <c r="G197" s="6" t="s">
        <v>38717</v>
      </c>
      <c r="H197" s="6" t="s">
        <v>38718</v>
      </c>
      <c r="I197" s="7">
        <f t="shared" si="3"/>
        <v>0.9518291891</v>
      </c>
    </row>
    <row r="198">
      <c r="A198" s="4">
        <v>198.0</v>
      </c>
      <c r="B198" s="3" t="s">
        <v>38719</v>
      </c>
      <c r="C198" s="6" t="s">
        <v>11</v>
      </c>
      <c r="D198" s="6" t="s">
        <v>533</v>
      </c>
      <c r="E198" s="3" t="str">
        <f t="shared" si="1"/>
        <v>many&lt;br&gt;&lt;div class="audio"&gt;[sound:many.mp3]&lt;/div&gt;</v>
      </c>
      <c r="F198" s="3" t="str">
        <f t="shared" si="2"/>
        <v>(adj): nhiều</v>
      </c>
      <c r="G198" s="6" t="s">
        <v>38720</v>
      </c>
      <c r="H198" s="6" t="s">
        <v>38721</v>
      </c>
      <c r="I198" s="7">
        <f t="shared" si="3"/>
        <v>0.9259970254</v>
      </c>
    </row>
    <row r="199">
      <c r="A199" s="4">
        <v>199.0</v>
      </c>
      <c r="B199" s="3" t="s">
        <v>38722</v>
      </c>
      <c r="C199" s="6" t="s">
        <v>74</v>
      </c>
      <c r="D199" s="6" t="s">
        <v>6098</v>
      </c>
      <c r="E199" s="3" t="str">
        <f t="shared" si="1"/>
        <v>example&lt;br&gt;&lt;div class="audio"&gt;[sound:example.mp3]&lt;/div&gt;</v>
      </c>
      <c r="F199" s="3" t="str">
        <f t="shared" si="2"/>
        <v>(n): ví dụ</v>
      </c>
      <c r="G199" s="6" t="s">
        <v>38723</v>
      </c>
      <c r="H199" s="6" t="s">
        <v>38724</v>
      </c>
      <c r="I199" s="7">
        <f t="shared" si="3"/>
        <v>0.8240419674</v>
      </c>
    </row>
    <row r="200">
      <c r="A200" s="4">
        <v>200.0</v>
      </c>
      <c r="B200" s="3" t="s">
        <v>38725</v>
      </c>
      <c r="C200" s="6" t="s">
        <v>74</v>
      </c>
      <c r="D200" s="6" t="s">
        <v>75</v>
      </c>
      <c r="E200" s="3" t="str">
        <f t="shared" si="1"/>
        <v>person&lt;br&gt;&lt;div class="audio"&gt;[sound:person.mp3]&lt;/div&gt;</v>
      </c>
      <c r="F200" s="3" t="str">
        <f t="shared" si="2"/>
        <v>(n): người</v>
      </c>
      <c r="G200" s="6" t="s">
        <v>38726</v>
      </c>
      <c r="H200" s="6" t="s">
        <v>38727</v>
      </c>
      <c r="I200" s="7">
        <f t="shared" si="3"/>
        <v>0.7177689126</v>
      </c>
    </row>
    <row r="201">
      <c r="A201" s="4">
        <v>201.0</v>
      </c>
      <c r="B201" s="3" t="s">
        <v>38728</v>
      </c>
      <c r="C201" s="6" t="s">
        <v>11</v>
      </c>
      <c r="D201" s="6" t="s">
        <v>533</v>
      </c>
      <c r="E201" s="3" t="str">
        <f t="shared" si="1"/>
        <v>much&lt;br&gt;&lt;div class="audio"&gt;[sound:much.mp3]&lt;/div&gt;</v>
      </c>
      <c r="F201" s="3" t="str">
        <f t="shared" si="2"/>
        <v>(adj): nhiều</v>
      </c>
      <c r="G201" s="6" t="s">
        <v>38729</v>
      </c>
      <c r="H201" s="6" t="s">
        <v>38730</v>
      </c>
      <c r="I201" s="7">
        <f t="shared" si="3"/>
        <v>0.8050609975</v>
      </c>
    </row>
    <row r="202">
      <c r="A202" s="4">
        <v>202.0</v>
      </c>
      <c r="B202" s="3" t="s">
        <v>38731</v>
      </c>
      <c r="C202" s="6" t="s">
        <v>24</v>
      </c>
      <c r="D202" s="6" t="s">
        <v>628</v>
      </c>
      <c r="E202" s="3" t="str">
        <f t="shared" si="1"/>
        <v>like&lt;br&gt;&lt;div class="audio"&gt;[sound:like.mp3]&lt;/div&gt;</v>
      </c>
      <c r="F202" s="3" t="str">
        <f t="shared" si="2"/>
        <v>(v): thích</v>
      </c>
      <c r="G202" s="6" t="s">
        <v>38732</v>
      </c>
      <c r="H202" s="6" t="s">
        <v>38733</v>
      </c>
      <c r="I202" s="7">
        <f t="shared" si="3"/>
        <v>0.3086659147</v>
      </c>
    </row>
    <row r="203">
      <c r="A203" s="4">
        <v>203.0</v>
      </c>
      <c r="B203" s="3" t="s">
        <v>38734</v>
      </c>
      <c r="C203" s="6" t="s">
        <v>63</v>
      </c>
      <c r="D203" s="6" t="s">
        <v>13008</v>
      </c>
      <c r="E203" s="3" t="str">
        <f t="shared" si="1"/>
        <v>before&lt;br&gt;&lt;div class="audio"&gt;[sound:before.mp3]&lt;/div&gt;</v>
      </c>
      <c r="F203" s="3" t="str">
        <f t="shared" si="2"/>
        <v>(prep): trước</v>
      </c>
      <c r="G203" s="6" t="s">
        <v>38735</v>
      </c>
      <c r="H203" s="6" t="s">
        <v>38736</v>
      </c>
      <c r="I203" s="7">
        <f t="shared" si="3"/>
        <v>0.8008825851</v>
      </c>
    </row>
    <row r="204">
      <c r="A204" s="4">
        <v>204.0</v>
      </c>
      <c r="B204" s="3" t="s">
        <v>38737</v>
      </c>
      <c r="C204" s="6" t="s">
        <v>24</v>
      </c>
      <c r="D204" s="6" t="s">
        <v>11429</v>
      </c>
      <c r="E204" s="3" t="str">
        <f t="shared" si="1"/>
        <v>add&lt;br&gt;&lt;div class="audio"&gt;[sound:add.mp3]&lt;/div&gt;</v>
      </c>
      <c r="F204" s="3" t="str">
        <f t="shared" si="2"/>
        <v>(v): thêm</v>
      </c>
      <c r="G204" s="6" t="s">
        <v>38738</v>
      </c>
      <c r="H204" s="6" t="s">
        <v>38739</v>
      </c>
      <c r="I204" s="7">
        <f t="shared" si="3"/>
        <v>0.4352396983</v>
      </c>
    </row>
    <row r="205">
      <c r="A205" s="4">
        <v>205.0</v>
      </c>
      <c r="B205" s="3" t="s">
        <v>38740</v>
      </c>
      <c r="C205" s="6" t="s">
        <v>44</v>
      </c>
      <c r="D205" s="6" t="s">
        <v>2353</v>
      </c>
      <c r="E205" s="3" t="str">
        <f t="shared" si="1"/>
        <v>another&lt;br&gt;&lt;div class="audio"&gt;[sound:another.mp3]&lt;/div&gt;</v>
      </c>
      <c r="F205" s="3" t="str">
        <f t="shared" si="2"/>
        <v>(pron): khác</v>
      </c>
      <c r="G205" s="6" t="s">
        <v>38741</v>
      </c>
      <c r="H205" s="6" t="s">
        <v>38742</v>
      </c>
      <c r="I205" s="7">
        <f t="shared" si="3"/>
        <v>0.7052587274</v>
      </c>
    </row>
    <row r="206">
      <c r="A206" s="4">
        <v>206.0</v>
      </c>
      <c r="B206" s="3" t="s">
        <v>38743</v>
      </c>
      <c r="C206" s="6" t="s">
        <v>74</v>
      </c>
      <c r="D206" s="6" t="s">
        <v>323</v>
      </c>
      <c r="E206" s="3" t="str">
        <f t="shared" si="1"/>
        <v>water&lt;br&gt;&lt;div class="audio"&gt;[sound:water.mp3]&lt;/div&gt;</v>
      </c>
      <c r="F206" s="3" t="str">
        <f t="shared" si="2"/>
        <v>(n): nước</v>
      </c>
      <c r="G206" s="6" t="s">
        <v>38744</v>
      </c>
      <c r="H206" s="6" t="s">
        <v>38745</v>
      </c>
      <c r="I206" s="7">
        <f t="shared" si="3"/>
        <v>0.008310595814</v>
      </c>
    </row>
    <row r="207">
      <c r="A207" s="4">
        <v>207.0</v>
      </c>
      <c r="B207" s="3" t="s">
        <v>38746</v>
      </c>
      <c r="C207" s="6" t="s">
        <v>24</v>
      </c>
      <c r="D207" s="8" t="s">
        <v>38747</v>
      </c>
      <c r="E207" s="3" t="str">
        <f t="shared" si="1"/>
        <v>spend&lt;br&gt;&lt;div class="audio"&gt;[sound:spend.mp3]&lt;/div&gt;</v>
      </c>
      <c r="F207" s="3" t="str">
        <f t="shared" si="2"/>
        <v>(v): dành</v>
      </c>
      <c r="G207" s="8" t="s">
        <v>38748</v>
      </c>
      <c r="H207" s="8" t="s">
        <v>38749</v>
      </c>
      <c r="I207" s="7">
        <f t="shared" si="3"/>
        <v>0.607211478</v>
      </c>
    </row>
    <row r="208">
      <c r="A208" s="4">
        <v>208.0</v>
      </c>
      <c r="B208" s="3" t="s">
        <v>38750</v>
      </c>
      <c r="C208" s="6" t="s">
        <v>63</v>
      </c>
      <c r="D208" s="6" t="s">
        <v>763</v>
      </c>
      <c r="E208" s="3" t="str">
        <f t="shared" si="1"/>
        <v>over&lt;br&gt;&lt;div class="audio"&gt;[sound:over.mp3]&lt;/div&gt;</v>
      </c>
      <c r="F208" s="3" t="str">
        <f t="shared" si="2"/>
        <v>(prep): trên</v>
      </c>
      <c r="G208" s="6" t="s">
        <v>38751</v>
      </c>
      <c r="H208" s="6" t="s">
        <v>38752</v>
      </c>
      <c r="I208" s="7">
        <f t="shared" si="3"/>
        <v>0.8089307594</v>
      </c>
    </row>
    <row r="209">
      <c r="A209" s="4">
        <v>209.0</v>
      </c>
      <c r="B209" s="3" t="s">
        <v>38753</v>
      </c>
      <c r="C209" s="6" t="s">
        <v>11</v>
      </c>
      <c r="D209" s="8" t="s">
        <v>4151</v>
      </c>
      <c r="E209" s="3" t="str">
        <f t="shared" si="1"/>
        <v>short&lt;br&gt;&lt;div class="audio"&gt;[sound:short.mp3]&lt;/div&gt;</v>
      </c>
      <c r="F209" s="3" t="str">
        <f t="shared" si="2"/>
        <v>(adj): ngắn</v>
      </c>
      <c r="G209" s="8" t="s">
        <v>38754</v>
      </c>
      <c r="H209" s="8" t="s">
        <v>38755</v>
      </c>
      <c r="I209" s="7">
        <f t="shared" si="3"/>
        <v>0.8749395055</v>
      </c>
    </row>
    <row r="210">
      <c r="A210" s="4">
        <v>210.0</v>
      </c>
      <c r="B210" s="3" t="s">
        <v>38756</v>
      </c>
      <c r="C210" s="6" t="s">
        <v>11</v>
      </c>
      <c r="D210" s="8" t="s">
        <v>1187</v>
      </c>
      <c r="E210" s="3" t="str">
        <f t="shared" si="1"/>
        <v>strong&lt;br&gt;&lt;div class="audio"&gt;[sound:strong.mp3]&lt;/div&gt;</v>
      </c>
      <c r="F210" s="3" t="str">
        <f t="shared" si="2"/>
        <v>(adj): mạnh</v>
      </c>
      <c r="G210" s="8" t="s">
        <v>38757</v>
      </c>
      <c r="H210" s="8" t="s">
        <v>38758</v>
      </c>
      <c r="I210" s="7">
        <f t="shared" si="3"/>
        <v>0.9879944456</v>
      </c>
    </row>
    <row r="211">
      <c r="A211" s="4">
        <v>211.0</v>
      </c>
      <c r="B211" s="3" t="s">
        <v>38759</v>
      </c>
      <c r="C211" s="6" t="s">
        <v>74</v>
      </c>
      <c r="D211" s="6" t="s">
        <v>1129</v>
      </c>
      <c r="E211" s="3" t="str">
        <f t="shared" si="1"/>
        <v>part&lt;br&gt;&lt;div class="audio"&gt;[sound:part.mp3]&lt;/div&gt;</v>
      </c>
      <c r="F211" s="3" t="str">
        <f t="shared" si="2"/>
        <v>(n): phần</v>
      </c>
      <c r="G211" s="6" t="s">
        <v>38760</v>
      </c>
      <c r="H211" s="6" t="s">
        <v>38761</v>
      </c>
      <c r="I211" s="7">
        <f t="shared" si="3"/>
        <v>0.9274029535</v>
      </c>
    </row>
    <row r="212">
      <c r="A212" s="4">
        <v>212.0</v>
      </c>
      <c r="B212" s="3" t="s">
        <v>38762</v>
      </c>
      <c r="C212" s="6" t="s">
        <v>11</v>
      </c>
      <c r="D212" s="6" t="s">
        <v>7230</v>
      </c>
      <c r="E212" s="3" t="str">
        <f t="shared" si="1"/>
        <v>hard&lt;br&gt;&lt;div class="audio"&gt;[sound:hard.mp3]&lt;/div&gt;</v>
      </c>
      <c r="F212" s="3" t="str">
        <f t="shared" si="2"/>
        <v>(adj): cứng</v>
      </c>
      <c r="G212" s="6" t="s">
        <v>38763</v>
      </c>
      <c r="H212" s="6" t="s">
        <v>38764</v>
      </c>
      <c r="I212" s="7">
        <f t="shared" si="3"/>
        <v>0.9472472246</v>
      </c>
    </row>
    <row r="213">
      <c r="A213" s="4">
        <v>213.0</v>
      </c>
      <c r="B213" s="3" t="s">
        <v>38765</v>
      </c>
      <c r="C213" s="6" t="s">
        <v>24</v>
      </c>
      <c r="D213" s="6" t="s">
        <v>830</v>
      </c>
      <c r="E213" s="3" t="str">
        <f t="shared" si="1"/>
        <v>must&lt;br&gt;&lt;div class="audio"&gt;[sound:must.mp3]&lt;/div&gt;</v>
      </c>
      <c r="F213" s="3" t="str">
        <f t="shared" si="2"/>
        <v>(v): phải</v>
      </c>
      <c r="G213" s="6" t="s">
        <v>38766</v>
      </c>
      <c r="H213" s="6" t="s">
        <v>38767</v>
      </c>
      <c r="I213" s="7">
        <f t="shared" si="3"/>
        <v>0.9036039775</v>
      </c>
    </row>
    <row r="214">
      <c r="A214" s="4">
        <v>214.0</v>
      </c>
      <c r="B214" s="3" t="s">
        <v>38768</v>
      </c>
      <c r="C214" s="6" t="s">
        <v>24</v>
      </c>
      <c r="D214" s="6" t="s">
        <v>2048</v>
      </c>
      <c r="E214" s="3" t="str">
        <f t="shared" si="1"/>
        <v>ask&lt;br&gt;&lt;div class="audio"&gt;[sound:ask.mp3]&lt;/div&gt;</v>
      </c>
      <c r="F214" s="3" t="str">
        <f t="shared" si="2"/>
        <v>(v): hỏi</v>
      </c>
      <c r="G214" s="6" t="s">
        <v>38769</v>
      </c>
      <c r="H214" s="6" t="s">
        <v>38770</v>
      </c>
      <c r="I214" s="7">
        <f t="shared" si="3"/>
        <v>0.7981795555</v>
      </c>
    </row>
    <row r="215">
      <c r="A215" s="4">
        <v>215.0</v>
      </c>
      <c r="B215" s="3" t="s">
        <v>38771</v>
      </c>
      <c r="C215" s="6" t="s">
        <v>24</v>
      </c>
      <c r="D215" s="8" t="s">
        <v>184</v>
      </c>
      <c r="E215" s="3" t="str">
        <f t="shared" si="1"/>
        <v>speak&lt;br&gt;&lt;div class="audio"&gt;[sound:speak.mp3]&lt;/div&gt;</v>
      </c>
      <c r="F215" s="3" t="str">
        <f t="shared" si="2"/>
        <v>(v): nói</v>
      </c>
      <c r="G215" s="8" t="s">
        <v>38772</v>
      </c>
      <c r="H215" s="8" t="s">
        <v>38773</v>
      </c>
      <c r="I215" s="7">
        <f t="shared" si="3"/>
        <v>0.3615661586</v>
      </c>
    </row>
    <row r="216">
      <c r="A216" s="4">
        <v>216.0</v>
      </c>
      <c r="B216" s="3" t="s">
        <v>38774</v>
      </c>
      <c r="C216" s="6" t="s">
        <v>11</v>
      </c>
      <c r="D216" s="6" t="s">
        <v>38549</v>
      </c>
      <c r="E216" s="3" t="str">
        <f t="shared" si="1"/>
        <v>every&lt;br&gt;&lt;div class="audio"&gt;[sound:every.mp3]&lt;/div&gt;</v>
      </c>
      <c r="F216" s="3" t="str">
        <f t="shared" si="2"/>
        <v>(adj): mỗi</v>
      </c>
      <c r="G216" s="6" t="s">
        <v>38775</v>
      </c>
      <c r="H216" s="6" t="s">
        <v>38776</v>
      </c>
      <c r="I216" s="7">
        <f t="shared" si="3"/>
        <v>0.686982783</v>
      </c>
    </row>
    <row r="217">
      <c r="A217" s="4">
        <v>217.0</v>
      </c>
      <c r="B217" s="3" t="s">
        <v>38777</v>
      </c>
      <c r="C217" s="6" t="s">
        <v>74</v>
      </c>
      <c r="D217" s="6" t="s">
        <v>5015</v>
      </c>
      <c r="E217" s="3" t="str">
        <f t="shared" si="1"/>
        <v>blood&lt;br&gt;&lt;div class="audio"&gt;[sound:blood.mp3]&lt;/div&gt;</v>
      </c>
      <c r="F217" s="3" t="str">
        <f t="shared" si="2"/>
        <v>(n): máu</v>
      </c>
      <c r="G217" s="6" t="s">
        <v>38778</v>
      </c>
      <c r="H217" s="6" t="s">
        <v>38779</v>
      </c>
      <c r="I217" s="7">
        <f t="shared" si="3"/>
        <v>0.5032010696</v>
      </c>
    </row>
    <row r="218">
      <c r="A218" s="4">
        <v>218.0</v>
      </c>
      <c r="B218" s="3" t="s">
        <v>38780</v>
      </c>
      <c r="C218" s="6" t="s">
        <v>24</v>
      </c>
      <c r="D218" s="6" t="s">
        <v>364</v>
      </c>
      <c r="E218" s="3" t="str">
        <f t="shared" si="1"/>
        <v>hold&lt;br&gt;&lt;div class="audio"&gt;[sound:hold.mp3]&lt;/div&gt;</v>
      </c>
      <c r="F218" s="3" t="str">
        <f t="shared" si="2"/>
        <v>(v): cầm</v>
      </c>
      <c r="G218" s="6" t="s">
        <v>38781</v>
      </c>
      <c r="H218" s="6" t="s">
        <v>38782</v>
      </c>
      <c r="I218" s="7">
        <f t="shared" si="3"/>
        <v>0.8276598834</v>
      </c>
    </row>
    <row r="219">
      <c r="A219" s="4">
        <v>219.0</v>
      </c>
      <c r="B219" s="3" t="s">
        <v>38783</v>
      </c>
      <c r="C219" s="6" t="s">
        <v>11</v>
      </c>
      <c r="D219" s="8" t="s">
        <v>38784</v>
      </c>
      <c r="E219" s="3" t="str">
        <f t="shared" si="1"/>
        <v>several&lt;br&gt;&lt;div class="audio"&gt;[sound:several.mp3]&lt;/div&gt;</v>
      </c>
      <c r="F219" s="3" t="str">
        <f t="shared" si="2"/>
        <v>(adj): vài</v>
      </c>
      <c r="G219" s="8" t="s">
        <v>38785</v>
      </c>
      <c r="H219" s="8" t="s">
        <v>38786</v>
      </c>
      <c r="I219" s="7">
        <f t="shared" si="3"/>
        <v>0.5997058022</v>
      </c>
    </row>
    <row r="220">
      <c r="A220" s="4">
        <v>220.0</v>
      </c>
      <c r="B220" s="3" t="s">
        <v>38787</v>
      </c>
      <c r="C220" s="6" t="s">
        <v>74</v>
      </c>
      <c r="D220" s="6" t="s">
        <v>81</v>
      </c>
      <c r="E220" s="3" t="str">
        <f t="shared" si="1"/>
        <v>year&lt;br&gt;&lt;div class="audio"&gt;[sound:year.mp3]&lt;/div&gt;</v>
      </c>
      <c r="F220" s="3" t="str">
        <f t="shared" si="2"/>
        <v>(n): năm</v>
      </c>
      <c r="G220" s="6" t="s">
        <v>38788</v>
      </c>
      <c r="H220" s="6" t="s">
        <v>38789</v>
      </c>
      <c r="I220" s="7">
        <f t="shared" si="3"/>
        <v>0.6688974583</v>
      </c>
    </row>
    <row r="221">
      <c r="A221" s="4">
        <v>221.0</v>
      </c>
      <c r="B221" s="3" t="s">
        <v>38790</v>
      </c>
      <c r="C221" s="6" t="s">
        <v>44</v>
      </c>
      <c r="D221" s="6" t="s">
        <v>45</v>
      </c>
      <c r="E221" s="3" t="str">
        <f t="shared" si="1"/>
        <v>me&lt;br&gt;&lt;div class="audio"&gt;[sound:me.mp3]&lt;/div&gt;</v>
      </c>
      <c r="F221" s="3" t="str">
        <f t="shared" si="2"/>
        <v>(pron): tôi</v>
      </c>
      <c r="G221" s="6" t="s">
        <v>38791</v>
      </c>
      <c r="H221" s="6" t="s">
        <v>38792</v>
      </c>
      <c r="I221" s="7">
        <f t="shared" si="3"/>
        <v>0.3600559235</v>
      </c>
    </row>
    <row r="222">
      <c r="A222" s="4">
        <v>222.0</v>
      </c>
      <c r="B222" s="3" t="s">
        <v>38793</v>
      </c>
      <c r="C222" s="6" t="s">
        <v>74</v>
      </c>
      <c r="D222" s="6" t="s">
        <v>358</v>
      </c>
      <c r="E222" s="3" t="str">
        <f t="shared" si="1"/>
        <v>hand&lt;br&gt;&lt;div class="audio"&gt;[sound:hand.mp3]&lt;/div&gt;</v>
      </c>
      <c r="F222" s="3" t="str">
        <f t="shared" si="2"/>
        <v>(n): tay</v>
      </c>
      <c r="G222" s="6" t="s">
        <v>38794</v>
      </c>
      <c r="H222" s="6" t="s">
        <v>38795</v>
      </c>
      <c r="I222" s="7">
        <f t="shared" si="3"/>
        <v>0.6289314241</v>
      </c>
    </row>
    <row r="223">
      <c r="A223" s="4">
        <v>223.0</v>
      </c>
      <c r="B223" s="3" t="s">
        <v>38796</v>
      </c>
      <c r="C223" s="6" t="s">
        <v>74</v>
      </c>
      <c r="D223" s="6" t="s">
        <v>663</v>
      </c>
      <c r="E223" s="3" t="str">
        <f t="shared" si="1"/>
        <v>night&lt;br&gt;&lt;div class="audio"&gt;[sound:night.mp3]&lt;/div&gt;</v>
      </c>
      <c r="F223" s="3" t="str">
        <f t="shared" si="2"/>
        <v>(n): đêm</v>
      </c>
      <c r="G223" s="6" t="s">
        <v>38797</v>
      </c>
      <c r="H223" s="6" t="s">
        <v>38798</v>
      </c>
      <c r="I223" s="7">
        <f t="shared" si="3"/>
        <v>0.9708646174</v>
      </c>
    </row>
    <row r="224">
      <c r="A224" s="4">
        <v>224.0</v>
      </c>
      <c r="B224" s="3" t="s">
        <v>38799</v>
      </c>
      <c r="C224" s="6" t="s">
        <v>11</v>
      </c>
      <c r="D224" s="6" t="s">
        <v>15091</v>
      </c>
      <c r="E224" s="3" t="str">
        <f t="shared" si="1"/>
        <v>enough&lt;br&gt;&lt;div class="audio"&gt;[sound:enough.mp3]&lt;/div&gt;</v>
      </c>
      <c r="F224" s="3" t="str">
        <f t="shared" si="2"/>
        <v>(adj): đủ</v>
      </c>
      <c r="G224" s="6" t="s">
        <v>38800</v>
      </c>
      <c r="H224" s="6" t="s">
        <v>38801</v>
      </c>
      <c r="I224" s="7">
        <f t="shared" si="3"/>
        <v>0.7400058036</v>
      </c>
    </row>
    <row r="225">
      <c r="A225" s="4">
        <v>225.0</v>
      </c>
      <c r="B225" s="3" t="s">
        <v>38802</v>
      </c>
      <c r="C225" s="6" t="s">
        <v>24</v>
      </c>
      <c r="D225" s="6" t="s">
        <v>1497</v>
      </c>
      <c r="E225" s="3" t="str">
        <f t="shared" si="1"/>
        <v>open&lt;br&gt;&lt;div class="audio"&gt;[sound:open.mp3]&lt;/div&gt;</v>
      </c>
      <c r="F225" s="3" t="str">
        <f t="shared" si="2"/>
        <v>(v): mở</v>
      </c>
      <c r="G225" s="6" t="s">
        <v>38803</v>
      </c>
      <c r="H225" s="6" t="s">
        <v>38804</v>
      </c>
      <c r="I225" s="7">
        <f t="shared" si="3"/>
        <v>0.6708159109</v>
      </c>
    </row>
    <row r="226">
      <c r="A226" s="4">
        <v>226.0</v>
      </c>
      <c r="B226" s="3" t="s">
        <v>38805</v>
      </c>
      <c r="C226" s="6" t="s">
        <v>58</v>
      </c>
      <c r="D226" s="6" t="s">
        <v>584</v>
      </c>
      <c r="E226" s="3" t="str">
        <f t="shared" si="1"/>
        <v>three&lt;br&gt;&lt;div class="audio"&gt;[sound:three.mp3]&lt;/div&gt;</v>
      </c>
      <c r="F226" s="3" t="str">
        <f t="shared" si="2"/>
        <v>(num): ba</v>
      </c>
      <c r="G226" s="6" t="s">
        <v>38806</v>
      </c>
      <c r="H226" s="6" t="s">
        <v>38807</v>
      </c>
      <c r="I226" s="7">
        <f t="shared" si="3"/>
        <v>0.1518924659</v>
      </c>
    </row>
    <row r="227">
      <c r="A227" s="4">
        <v>227.0</v>
      </c>
      <c r="B227" s="3" t="s">
        <v>38808</v>
      </c>
      <c r="C227" s="6" t="s">
        <v>74</v>
      </c>
      <c r="D227" s="6" t="s">
        <v>1233</v>
      </c>
      <c r="E227" s="3" t="str">
        <f t="shared" si="1"/>
        <v>system&lt;br&gt;&lt;div class="audio"&gt;[sound:system.mp3]&lt;/div&gt;</v>
      </c>
      <c r="F227" s="3" t="str">
        <f t="shared" si="2"/>
        <v>(n): hệ thống</v>
      </c>
      <c r="G227" s="6" t="s">
        <v>38809</v>
      </c>
      <c r="H227" s="6" t="s">
        <v>38810</v>
      </c>
      <c r="I227" s="7">
        <f t="shared" si="3"/>
        <v>0.6916190246</v>
      </c>
    </row>
    <row r="228">
      <c r="A228" s="4">
        <v>228.0</v>
      </c>
      <c r="B228" s="3" t="s">
        <v>38811</v>
      </c>
      <c r="C228" s="6" t="s">
        <v>74</v>
      </c>
      <c r="D228" s="6" t="s">
        <v>8715</v>
      </c>
      <c r="E228" s="3" t="str">
        <f t="shared" si="1"/>
        <v>cost&lt;br&gt;&lt;div class="audio"&gt;[sound:cost.mp3]&lt;/div&gt;</v>
      </c>
      <c r="F228" s="3" t="str">
        <f t="shared" si="2"/>
        <v>(n): chi phí</v>
      </c>
      <c r="G228" s="6" t="s">
        <v>38812</v>
      </c>
      <c r="H228" s="6" t="s">
        <v>38813</v>
      </c>
      <c r="I228" s="7">
        <f t="shared" si="3"/>
        <v>0.1321915492</v>
      </c>
    </row>
    <row r="229">
      <c r="A229" s="4">
        <v>229.0</v>
      </c>
      <c r="B229" s="3" t="s">
        <v>38814</v>
      </c>
      <c r="C229" s="6" t="s">
        <v>24</v>
      </c>
      <c r="D229" s="6" t="s">
        <v>4840</v>
      </c>
      <c r="E229" s="3" t="str">
        <f t="shared" si="1"/>
        <v>die&lt;br&gt;&lt;div class="audio"&gt;[sound:die.mp3]&lt;/div&gt;</v>
      </c>
      <c r="F229" s="3" t="str">
        <f t="shared" si="2"/>
        <v>(v): chết</v>
      </c>
      <c r="G229" s="6" t="s">
        <v>38815</v>
      </c>
      <c r="H229" s="6" t="s">
        <v>38816</v>
      </c>
      <c r="I229" s="7">
        <f t="shared" si="3"/>
        <v>0.5876649919</v>
      </c>
    </row>
    <row r="230">
      <c r="A230" s="4">
        <v>230.0</v>
      </c>
      <c r="B230" s="3" t="s">
        <v>38817</v>
      </c>
      <c r="C230" s="6" t="s">
        <v>24</v>
      </c>
      <c r="D230" s="6" t="s">
        <v>728</v>
      </c>
      <c r="E230" s="3" t="str">
        <f t="shared" si="1"/>
        <v>understand&lt;br&gt;&lt;div class="audio"&gt;[sound:understand.mp3]&lt;/div&gt;</v>
      </c>
      <c r="F230" s="3" t="str">
        <f t="shared" si="2"/>
        <v>(v): hiểu</v>
      </c>
      <c r="G230" s="6" t="s">
        <v>38818</v>
      </c>
      <c r="H230" s="6" t="s">
        <v>38819</v>
      </c>
      <c r="I230" s="7">
        <f t="shared" si="3"/>
        <v>0.1777742389</v>
      </c>
    </row>
    <row r="231">
      <c r="A231" s="4">
        <v>231.0</v>
      </c>
      <c r="B231" s="3" t="s">
        <v>38820</v>
      </c>
      <c r="C231" s="6" t="s">
        <v>74</v>
      </c>
      <c r="D231" s="6" t="s">
        <v>3433</v>
      </c>
      <c r="E231" s="3" t="str">
        <f t="shared" si="1"/>
        <v>week&lt;br&gt;&lt;div class="audio"&gt;[sound:week.mp3]&lt;/div&gt;</v>
      </c>
      <c r="F231" s="3" t="str">
        <f t="shared" si="2"/>
        <v>(n): tuần</v>
      </c>
      <c r="G231" s="6" t="s">
        <v>38821</v>
      </c>
      <c r="H231" s="6" t="s">
        <v>38822</v>
      </c>
      <c r="I231" s="7">
        <f t="shared" si="3"/>
        <v>0.7291198748</v>
      </c>
    </row>
    <row r="232">
      <c r="A232" s="4">
        <v>232.0</v>
      </c>
      <c r="B232" s="3" t="s">
        <v>38823</v>
      </c>
      <c r="C232" s="6" t="s">
        <v>24</v>
      </c>
      <c r="D232" s="6" t="s">
        <v>7487</v>
      </c>
      <c r="E232" s="3" t="str">
        <f t="shared" si="1"/>
        <v>turn&lt;br&gt;&lt;div class="audio"&gt;[sound:turn.mp3]&lt;/div&gt;</v>
      </c>
      <c r="F232" s="3" t="str">
        <f t="shared" si="2"/>
        <v>(v): xoay</v>
      </c>
      <c r="G232" s="6" t="s">
        <v>38824</v>
      </c>
      <c r="H232" s="6" t="s">
        <v>38825</v>
      </c>
      <c r="I232" s="7">
        <f t="shared" si="3"/>
        <v>0.40289654</v>
      </c>
    </row>
    <row r="233">
      <c r="A233" s="4">
        <v>233.0</v>
      </c>
      <c r="B233" s="3" t="s">
        <v>38826</v>
      </c>
      <c r="C233" s="6" t="s">
        <v>11</v>
      </c>
      <c r="D233" s="6" t="s">
        <v>3068</v>
      </c>
      <c r="E233" s="3" t="str">
        <f t="shared" si="1"/>
        <v>early&lt;br&gt;&lt;div class="audio"&gt;[sound:early.mp3]&lt;/div&gt;</v>
      </c>
      <c r="F233" s="3" t="str">
        <f t="shared" si="2"/>
        <v>(adj): sớm</v>
      </c>
      <c r="G233" s="6" t="s">
        <v>38827</v>
      </c>
      <c r="H233" s="6" t="s">
        <v>38828</v>
      </c>
      <c r="I233" s="7">
        <f t="shared" si="3"/>
        <v>0.5920022015</v>
      </c>
    </row>
    <row r="234">
      <c r="A234" s="4">
        <v>234.0</v>
      </c>
      <c r="B234" s="3" t="s">
        <v>38829</v>
      </c>
      <c r="C234" s="6" t="s">
        <v>74</v>
      </c>
      <c r="D234" s="6" t="s">
        <v>3092</v>
      </c>
      <c r="E234" s="3" t="str">
        <f t="shared" si="1"/>
        <v>season&lt;br&gt;&lt;div class="audio"&gt;[sound:season.mp3]&lt;/div&gt;</v>
      </c>
      <c r="F234" s="3" t="str">
        <f t="shared" si="2"/>
        <v>(n): mùa</v>
      </c>
      <c r="G234" s="6" t="s">
        <v>38830</v>
      </c>
      <c r="H234" s="6" t="s">
        <v>38831</v>
      </c>
      <c r="I234" s="7">
        <f t="shared" si="3"/>
        <v>0.1094609195</v>
      </c>
    </row>
    <row r="235">
      <c r="A235" s="4">
        <v>235.0</v>
      </c>
      <c r="B235" s="3" t="s">
        <v>38832</v>
      </c>
      <c r="C235" s="6" t="s">
        <v>11</v>
      </c>
      <c r="D235" s="8" t="s">
        <v>28215</v>
      </c>
      <c r="E235" s="3" t="str">
        <f t="shared" si="1"/>
        <v>serious&lt;br&gt;&lt;div class="audio"&gt;[sound:serious.mp3]&lt;/div&gt;</v>
      </c>
      <c r="F235" s="3" t="str">
        <f t="shared" si="2"/>
        <v>(adj): nghiêm trọng</v>
      </c>
      <c r="G235" s="8" t="s">
        <v>38833</v>
      </c>
      <c r="H235" s="8" t="s">
        <v>38834</v>
      </c>
      <c r="I235" s="7">
        <f t="shared" si="3"/>
        <v>0.4409397523</v>
      </c>
    </row>
    <row r="236">
      <c r="A236" s="4">
        <v>236.0</v>
      </c>
      <c r="B236" s="3" t="s">
        <v>38835</v>
      </c>
      <c r="C236" s="6" t="s">
        <v>44</v>
      </c>
      <c r="D236" s="6" t="s">
        <v>38836</v>
      </c>
      <c r="E236" s="3" t="str">
        <f t="shared" si="1"/>
        <v>nothing&lt;br&gt;&lt;div class="audio"&gt;[sound:nothing.mp3]&lt;/div&gt;</v>
      </c>
      <c r="F236" s="3" t="str">
        <f t="shared" si="2"/>
        <v>(pron): không có gì</v>
      </c>
      <c r="G236" s="6" t="s">
        <v>38837</v>
      </c>
      <c r="H236" s="6" t="s">
        <v>38838</v>
      </c>
      <c r="I236" s="7">
        <f t="shared" si="3"/>
        <v>0.5660153469</v>
      </c>
    </row>
    <row r="237">
      <c r="A237" s="4">
        <v>237.0</v>
      </c>
      <c r="B237" s="3" t="s">
        <v>38839</v>
      </c>
      <c r="C237" s="6" t="s">
        <v>24</v>
      </c>
      <c r="D237" s="6" t="s">
        <v>16671</v>
      </c>
      <c r="E237" s="3" t="str">
        <f t="shared" si="1"/>
        <v>pay&lt;br&gt;&lt;div class="audio"&gt;[sound:pay.mp3]&lt;/div&gt;</v>
      </c>
      <c r="F237" s="3" t="str">
        <f t="shared" si="2"/>
        <v>(v): thanh toán</v>
      </c>
      <c r="G237" s="6" t="s">
        <v>38840</v>
      </c>
      <c r="H237" s="6" t="s">
        <v>38841</v>
      </c>
      <c r="I237" s="7">
        <f t="shared" si="3"/>
        <v>0.7659746916</v>
      </c>
    </row>
    <row r="238">
      <c r="A238" s="4">
        <v>238.0</v>
      </c>
      <c r="B238" s="3" t="s">
        <v>38842</v>
      </c>
      <c r="C238" s="6" t="s">
        <v>74</v>
      </c>
      <c r="D238" s="6" t="s">
        <v>400</v>
      </c>
      <c r="E238" s="3" t="str">
        <f t="shared" si="1"/>
        <v>school&lt;br&gt;&lt;div class="audio"&gt;[sound:school.mp3]&lt;/div&gt;</v>
      </c>
      <c r="F238" s="3" t="str">
        <f t="shared" si="2"/>
        <v>(n): trường học</v>
      </c>
      <c r="G238" s="6" t="s">
        <v>38843</v>
      </c>
      <c r="H238" s="6" t="s">
        <v>38844</v>
      </c>
      <c r="I238" s="7">
        <f t="shared" si="3"/>
        <v>0.5448646475</v>
      </c>
    </row>
    <row r="239">
      <c r="A239" s="4">
        <v>239.0</v>
      </c>
      <c r="B239" s="3" t="s">
        <v>38845</v>
      </c>
      <c r="C239" s="6" t="s">
        <v>11</v>
      </c>
      <c r="D239" s="6" t="s">
        <v>32081</v>
      </c>
      <c r="E239" s="3" t="str">
        <f t="shared" si="1"/>
        <v>same&lt;br&gt;&lt;div class="audio"&gt;[sound:same.mp3]&lt;/div&gt;</v>
      </c>
      <c r="F239" s="3" t="str">
        <f t="shared" si="2"/>
        <v>(adj): giống nhau</v>
      </c>
      <c r="G239" s="6" t="s">
        <v>38846</v>
      </c>
      <c r="H239" s="6" t="s">
        <v>38847</v>
      </c>
      <c r="I239" s="7">
        <f t="shared" si="3"/>
        <v>0.05730952519</v>
      </c>
    </row>
    <row r="240">
      <c r="A240" s="4">
        <v>240.0</v>
      </c>
      <c r="B240" s="3" t="s">
        <v>38848</v>
      </c>
      <c r="C240" s="6" t="s">
        <v>74</v>
      </c>
      <c r="D240" s="8" t="s">
        <v>4423</v>
      </c>
      <c r="E240" s="3" t="str">
        <f t="shared" si="1"/>
        <v>space&lt;br&gt;&lt;div class="audio"&gt;[sound:space.mp3]&lt;/div&gt;</v>
      </c>
      <c r="F240" s="3" t="str">
        <f t="shared" si="2"/>
        <v>(n): không gian</v>
      </c>
      <c r="G240" s="8" t="s">
        <v>38849</v>
      </c>
      <c r="H240" s="8" t="s">
        <v>38850</v>
      </c>
      <c r="I240" s="7">
        <f t="shared" si="3"/>
        <v>0.1897592695</v>
      </c>
    </row>
    <row r="241">
      <c r="A241" s="4">
        <v>241.0</v>
      </c>
      <c r="B241" s="3" t="s">
        <v>38851</v>
      </c>
      <c r="C241" s="6" t="s">
        <v>24</v>
      </c>
      <c r="D241" s="6" t="s">
        <v>38852</v>
      </c>
      <c r="E241" s="3" t="str">
        <f t="shared" si="1"/>
        <v>deal&lt;br&gt;&lt;div class="audio"&gt;[sound:deal.mp3]&lt;/div&gt;</v>
      </c>
      <c r="F241" s="3" t="str">
        <f t="shared" si="2"/>
        <v>(v): giao dịch</v>
      </c>
      <c r="G241" s="6" t="s">
        <v>38853</v>
      </c>
      <c r="H241" s="6" t="s">
        <v>38854</v>
      </c>
      <c r="I241" s="7">
        <f t="shared" si="3"/>
        <v>0.03770192197</v>
      </c>
    </row>
    <row r="242">
      <c r="A242" s="4">
        <v>242.0</v>
      </c>
      <c r="B242" s="3" t="s">
        <v>38855</v>
      </c>
      <c r="C242" s="6" t="s">
        <v>74</v>
      </c>
      <c r="D242" s="6" t="s">
        <v>999</v>
      </c>
      <c r="E242" s="3" t="str">
        <f t="shared" si="1"/>
        <v>information&lt;br&gt;&lt;div class="audio"&gt;[sound:information.mp3]&lt;/div&gt;</v>
      </c>
      <c r="F242" s="3" t="str">
        <f t="shared" si="2"/>
        <v>(n): thông tin</v>
      </c>
      <c r="G242" s="6" t="s">
        <v>38856</v>
      </c>
      <c r="H242" s="6" t="s">
        <v>38857</v>
      </c>
      <c r="I242" s="7">
        <f t="shared" si="3"/>
        <v>0.7367800748</v>
      </c>
    </row>
    <row r="243">
      <c r="A243" s="4">
        <v>243.0</v>
      </c>
      <c r="B243" s="3" t="s">
        <v>38858</v>
      </c>
      <c r="C243" s="6" t="s">
        <v>11</v>
      </c>
      <c r="D243" s="6" t="s">
        <v>6850</v>
      </c>
      <c r="E243" s="3" t="str">
        <f t="shared" si="1"/>
        <v>public&lt;br&gt;&lt;div class="audio"&gt;[sound:public.mp3]&lt;/div&gt;</v>
      </c>
      <c r="F243" s="3" t="str">
        <f t="shared" si="2"/>
        <v>(adj): công cộng</v>
      </c>
      <c r="G243" s="6" t="s">
        <v>38859</v>
      </c>
      <c r="H243" s="6" t="s">
        <v>38860</v>
      </c>
      <c r="I243" s="7">
        <f t="shared" si="3"/>
        <v>0.6308966735</v>
      </c>
    </row>
    <row r="244">
      <c r="A244" s="4">
        <v>244.0</v>
      </c>
      <c r="B244" s="3" t="s">
        <v>38861</v>
      </c>
      <c r="C244" s="6" t="s">
        <v>74</v>
      </c>
      <c r="D244" s="8" t="s">
        <v>38862</v>
      </c>
      <c r="E244" s="3" t="str">
        <f t="shared" si="1"/>
        <v>street&lt;br&gt;&lt;div class="audio"&gt;[sound:street.mp3]&lt;/div&gt;</v>
      </c>
      <c r="F244" s="3" t="str">
        <f t="shared" si="2"/>
        <v>(n): đường phố</v>
      </c>
      <c r="G244" s="8" t="s">
        <v>38863</v>
      </c>
      <c r="H244" s="8" t="s">
        <v>38864</v>
      </c>
      <c r="I244" s="7">
        <f t="shared" si="3"/>
        <v>0.4931366925</v>
      </c>
    </row>
    <row r="245">
      <c r="A245" s="4">
        <v>245.0</v>
      </c>
      <c r="B245" s="3" t="s">
        <v>38865</v>
      </c>
      <c r="C245" s="6" t="s">
        <v>24</v>
      </c>
      <c r="D245" s="6" t="s">
        <v>38866</v>
      </c>
      <c r="E245" s="3" t="str">
        <f t="shared" si="1"/>
        <v>carry&lt;br&gt;&lt;div class="audio"&gt;[sound:carry.mp3]&lt;/div&gt;</v>
      </c>
      <c r="F245" s="3" t="str">
        <f t="shared" si="2"/>
        <v>(v): mang vác</v>
      </c>
      <c r="G245" s="6" t="s">
        <v>38867</v>
      </c>
      <c r="H245" s="6" t="s">
        <v>38868</v>
      </c>
      <c r="I245" s="7">
        <f t="shared" si="3"/>
        <v>0.738722337</v>
      </c>
    </row>
    <row r="246">
      <c r="A246" s="4">
        <v>246.0</v>
      </c>
      <c r="B246" s="3" t="s">
        <v>38869</v>
      </c>
      <c r="C246" s="6" t="s">
        <v>24</v>
      </c>
      <c r="D246" s="6" t="s">
        <v>1615</v>
      </c>
      <c r="E246" s="3" t="str">
        <f t="shared" si="1"/>
        <v>continue&lt;br&gt;&lt;div class="audio"&gt;[sound:continue.mp3]&lt;/div&gt;</v>
      </c>
      <c r="F246" s="3" t="str">
        <f t="shared" si="2"/>
        <v>(v): tiếp tục</v>
      </c>
      <c r="G246" s="6" t="s">
        <v>38870</v>
      </c>
      <c r="H246" s="6" t="s">
        <v>38871</v>
      </c>
      <c r="I246" s="7">
        <f t="shared" si="3"/>
        <v>0.1256501421</v>
      </c>
    </row>
    <row r="247">
      <c r="A247" s="4">
        <v>247.0</v>
      </c>
      <c r="B247" s="3" t="s">
        <v>38872</v>
      </c>
      <c r="C247" s="6" t="s">
        <v>74</v>
      </c>
      <c r="D247" s="8" t="s">
        <v>2385</v>
      </c>
      <c r="E247" s="3" t="str">
        <f t="shared" si="1"/>
        <v>sense&lt;br&gt;&lt;div class="audio"&gt;[sound:sense.mp3]&lt;/div&gt;</v>
      </c>
      <c r="F247" s="3" t="str">
        <f t="shared" si="2"/>
        <v>(n): cảm giác</v>
      </c>
      <c r="G247" s="8" t="s">
        <v>38873</v>
      </c>
      <c r="H247" s="8" t="s">
        <v>38874</v>
      </c>
      <c r="I247" s="7">
        <f t="shared" si="3"/>
        <v>0.2950979695</v>
      </c>
    </row>
    <row r="248">
      <c r="A248" s="4">
        <v>248.0</v>
      </c>
      <c r="B248" s="3" t="s">
        <v>38875</v>
      </c>
      <c r="C248" s="6" t="s">
        <v>11</v>
      </c>
      <c r="D248" s="8" t="s">
        <v>3315</v>
      </c>
      <c r="E248" s="3" t="str">
        <f t="shared" si="1"/>
        <v>special&lt;br&gt;&lt;div class="audio"&gt;[sound:special.mp3]&lt;/div&gt;</v>
      </c>
      <c r="F248" s="3" t="str">
        <f t="shared" si="2"/>
        <v>(adj): đặc biệt</v>
      </c>
      <c r="G248" s="8" t="s">
        <v>38876</v>
      </c>
      <c r="H248" s="8" t="s">
        <v>38877</v>
      </c>
      <c r="I248" s="7">
        <f t="shared" si="3"/>
        <v>0.6338290531</v>
      </c>
    </row>
    <row r="249">
      <c r="A249" s="4">
        <v>249.0</v>
      </c>
      <c r="B249" s="3" t="s">
        <v>38878</v>
      </c>
      <c r="C249" s="6" t="s">
        <v>24</v>
      </c>
      <c r="D249" s="6" t="s">
        <v>8072</v>
      </c>
      <c r="E249" s="3" t="str">
        <f t="shared" si="1"/>
        <v>allow&lt;br&gt;&lt;div class="audio"&gt;[sound:allow.mp3]&lt;/div&gt;</v>
      </c>
      <c r="F249" s="3" t="str">
        <f t="shared" si="2"/>
        <v>(v): cho phép</v>
      </c>
      <c r="G249" s="6" t="s">
        <v>38879</v>
      </c>
      <c r="H249" s="6" t="s">
        <v>38880</v>
      </c>
      <c r="I249" s="7">
        <f t="shared" si="3"/>
        <v>0.2311391712</v>
      </c>
    </row>
    <row r="250">
      <c r="A250" s="4">
        <v>250.0</v>
      </c>
      <c r="B250" s="3" t="s">
        <v>38881</v>
      </c>
      <c r="C250" s="6" t="s">
        <v>74</v>
      </c>
      <c r="D250" s="6" t="s">
        <v>1314</v>
      </c>
      <c r="E250" s="3" t="str">
        <f t="shared" si="1"/>
        <v>end&lt;br&gt;&lt;div class="audio"&gt;[sound:end.mp3]&lt;/div&gt;</v>
      </c>
      <c r="F250" s="3" t="str">
        <f t="shared" si="2"/>
        <v>(n): kết thúc</v>
      </c>
      <c r="G250" s="6" t="s">
        <v>38882</v>
      </c>
      <c r="H250" s="6" t="s">
        <v>38883</v>
      </c>
      <c r="I250" s="7">
        <f t="shared" si="3"/>
        <v>0.6209328002</v>
      </c>
    </row>
    <row r="251">
      <c r="A251" s="4">
        <v>251.0</v>
      </c>
      <c r="B251" s="3" t="s">
        <v>38884</v>
      </c>
      <c r="C251" s="6" t="s">
        <v>24</v>
      </c>
      <c r="D251" s="6" t="s">
        <v>4690</v>
      </c>
      <c r="E251" s="3" t="str">
        <f t="shared" si="1"/>
        <v>provide&lt;br&gt;&lt;div class="audio"&gt;[sound:provide.mp3]&lt;/div&gt;</v>
      </c>
      <c r="F251" s="3" t="str">
        <f t="shared" si="2"/>
        <v>(v): cung cấp</v>
      </c>
      <c r="G251" s="6" t="s">
        <v>38885</v>
      </c>
      <c r="H251" s="6" t="s">
        <v>38886</v>
      </c>
      <c r="I251" s="7">
        <f t="shared" si="3"/>
        <v>0.5438901963</v>
      </c>
    </row>
    <row r="252">
      <c r="A252" s="4">
        <v>252.0</v>
      </c>
      <c r="B252" s="3" t="s">
        <v>38887</v>
      </c>
      <c r="C252" s="6" t="s">
        <v>44</v>
      </c>
      <c r="D252" s="6" t="s">
        <v>38888</v>
      </c>
      <c r="E252" s="3" t="str">
        <f t="shared" si="1"/>
        <v>everything&lt;br&gt;&lt;div class="audio"&gt;[sound:everything.mp3]&lt;/div&gt;</v>
      </c>
      <c r="F252" s="3" t="str">
        <f t="shared" si="2"/>
        <v>(pron): mọi thứ</v>
      </c>
      <c r="G252" s="6" t="s">
        <v>38889</v>
      </c>
      <c r="H252" s="6" t="s">
        <v>38890</v>
      </c>
      <c r="I252" s="7">
        <f t="shared" si="3"/>
        <v>0.4476250068</v>
      </c>
    </row>
    <row r="253">
      <c r="A253" s="4">
        <v>253.0</v>
      </c>
      <c r="B253" s="3" t="s">
        <v>38891</v>
      </c>
      <c r="C253" s="6" t="s">
        <v>85</v>
      </c>
      <c r="D253" s="6" t="s">
        <v>4558</v>
      </c>
      <c r="E253" s="3" t="str">
        <f t="shared" si="1"/>
        <v>ever&lt;br&gt;&lt;div class="audio"&gt;[sound:ever.mp3]&lt;/div&gt;</v>
      </c>
      <c r="F253" s="3" t="str">
        <f t="shared" si="2"/>
        <v>(adv): đã từng</v>
      </c>
      <c r="G253" s="6" t="s">
        <v>38892</v>
      </c>
      <c r="H253" s="6" t="s">
        <v>38893</v>
      </c>
      <c r="I253" s="7">
        <f t="shared" si="3"/>
        <v>0.9371379166</v>
      </c>
    </row>
    <row r="254">
      <c r="A254" s="4">
        <v>254.0</v>
      </c>
      <c r="B254" s="3" t="s">
        <v>38894</v>
      </c>
      <c r="C254" s="6" t="s">
        <v>74</v>
      </c>
      <c r="D254" s="6" t="s">
        <v>6171</v>
      </c>
      <c r="E254" s="3" t="str">
        <f t="shared" si="1"/>
        <v>question&lt;br&gt;&lt;div class="audio"&gt;[sound:question.mp3]&lt;/div&gt;</v>
      </c>
      <c r="F254" s="3" t="str">
        <f t="shared" si="2"/>
        <v>(n): câu hỏi</v>
      </c>
      <c r="G254" s="6" t="s">
        <v>38895</v>
      </c>
      <c r="H254" s="6" t="s">
        <v>38896</v>
      </c>
      <c r="I254" s="7">
        <f t="shared" si="3"/>
        <v>0.2022662358</v>
      </c>
    </row>
    <row r="255">
      <c r="A255" s="4">
        <v>255.0</v>
      </c>
      <c r="B255" s="3" t="s">
        <v>38897</v>
      </c>
      <c r="C255" s="6" t="s">
        <v>74</v>
      </c>
      <c r="D255" s="6" t="s">
        <v>3086</v>
      </c>
      <c r="E255" s="3" t="str">
        <f t="shared" si="1"/>
        <v>history&lt;br&gt;&lt;div class="audio"&gt;[sound:history.mp3]&lt;/div&gt;</v>
      </c>
      <c r="F255" s="3" t="str">
        <f t="shared" si="2"/>
        <v>(n): lịch sử</v>
      </c>
      <c r="G255" s="6" t="s">
        <v>38898</v>
      </c>
      <c r="H255" s="6" t="s">
        <v>38899</v>
      </c>
      <c r="I255" s="7">
        <f t="shared" si="3"/>
        <v>0.7746021424</v>
      </c>
    </row>
    <row r="256">
      <c r="A256" s="4">
        <v>256.0</v>
      </c>
      <c r="B256" s="3" t="s">
        <v>38900</v>
      </c>
      <c r="C256" s="6" t="s">
        <v>24</v>
      </c>
      <c r="D256" s="8" t="s">
        <v>30769</v>
      </c>
      <c r="E256" s="3" t="str">
        <f t="shared" si="1"/>
        <v>suggest&lt;br&gt;&lt;div class="audio"&gt;[sound:suggest.mp3]&lt;/div&gt;</v>
      </c>
      <c r="F256" s="3" t="str">
        <f t="shared" si="2"/>
        <v>(v): đề nghị</v>
      </c>
      <c r="G256" s="8" t="s">
        <v>38901</v>
      </c>
      <c r="H256" s="8" t="s">
        <v>38902</v>
      </c>
      <c r="I256" s="7">
        <f t="shared" si="3"/>
        <v>0.873207932</v>
      </c>
    </row>
    <row r="257">
      <c r="A257" s="4">
        <v>257.0</v>
      </c>
      <c r="B257" s="3" t="s">
        <v>38903</v>
      </c>
      <c r="C257" s="6" t="s">
        <v>74</v>
      </c>
      <c r="D257" s="8" t="s">
        <v>21353</v>
      </c>
      <c r="E257" s="3" t="str">
        <f t="shared" si="1"/>
        <v>security&lt;br&gt;&lt;div class="audio"&gt;[sound:security.mp3]&lt;/div&gt;</v>
      </c>
      <c r="F257" s="3" t="str">
        <f t="shared" si="2"/>
        <v>(n): an ninh</v>
      </c>
      <c r="G257" s="8" t="s">
        <v>38904</v>
      </c>
      <c r="H257" s="8" t="s">
        <v>38905</v>
      </c>
      <c r="I257" s="7">
        <f t="shared" si="3"/>
        <v>0.8349923385</v>
      </c>
    </row>
    <row r="258">
      <c r="A258" s="4">
        <v>258.0</v>
      </c>
      <c r="B258" s="3" t="s">
        <v>38906</v>
      </c>
      <c r="C258" s="6" t="s">
        <v>24</v>
      </c>
      <c r="D258" s="6" t="s">
        <v>38907</v>
      </c>
      <c r="E258" s="3" t="str">
        <f t="shared" si="1"/>
        <v>become&lt;br&gt;&lt;div class="audio"&gt;[sound:become.mp3]&lt;/div&gt;</v>
      </c>
      <c r="F258" s="3" t="str">
        <f t="shared" si="2"/>
        <v>(v): trở nên</v>
      </c>
      <c r="G258" s="6" t="s">
        <v>38908</v>
      </c>
      <c r="H258" s="6" t="s">
        <v>38909</v>
      </c>
      <c r="I258" s="7">
        <f t="shared" si="3"/>
        <v>0.7133878758</v>
      </c>
    </row>
    <row r="259">
      <c r="A259" s="4">
        <v>259.0</v>
      </c>
      <c r="B259" s="3" t="s">
        <v>38910</v>
      </c>
      <c r="C259" s="6" t="s">
        <v>74</v>
      </c>
      <c r="D259" s="6" t="s">
        <v>15487</v>
      </c>
      <c r="E259" s="3" t="str">
        <f t="shared" si="1"/>
        <v>idea&lt;br&gt;&lt;div class="audio"&gt;[sound:idea.mp3]&lt;/div&gt;</v>
      </c>
      <c r="F259" s="3" t="str">
        <f t="shared" si="2"/>
        <v>(n): ý tưởng</v>
      </c>
      <c r="G259" s="6" t="s">
        <v>38911</v>
      </c>
      <c r="H259" s="6" t="s">
        <v>38912</v>
      </c>
      <c r="I259" s="7">
        <f t="shared" si="3"/>
        <v>0.5195416288</v>
      </c>
    </row>
    <row r="260">
      <c r="A260" s="4">
        <v>260.0</v>
      </c>
      <c r="B260" s="3" t="s">
        <v>38913</v>
      </c>
      <c r="C260" s="6" t="s">
        <v>74</v>
      </c>
      <c r="D260" s="6" t="s">
        <v>4222</v>
      </c>
      <c r="E260" s="3" t="str">
        <f t="shared" si="1"/>
        <v>fact&lt;br&gt;&lt;div class="audio"&gt;[sound:fact.mp3]&lt;/div&gt;</v>
      </c>
      <c r="F260" s="3" t="str">
        <f t="shared" si="2"/>
        <v>(n): sự thật</v>
      </c>
      <c r="G260" s="6" t="s">
        <v>38914</v>
      </c>
      <c r="H260" s="6" t="s">
        <v>38915</v>
      </c>
      <c r="I260" s="7">
        <f t="shared" si="3"/>
        <v>0.1759745258</v>
      </c>
    </row>
    <row r="261">
      <c r="A261" s="4">
        <v>261.0</v>
      </c>
      <c r="B261" s="3" t="s">
        <v>38916</v>
      </c>
      <c r="C261" s="6" t="s">
        <v>74</v>
      </c>
      <c r="D261" s="6" t="s">
        <v>5112</v>
      </c>
      <c r="E261" s="3" t="str">
        <f t="shared" si="1"/>
        <v>class&lt;br&gt;&lt;div class="audio"&gt;[sound:class.mp3]&lt;/div&gt;</v>
      </c>
      <c r="F261" s="3" t="str">
        <f t="shared" si="2"/>
        <v>(n): lớp học</v>
      </c>
      <c r="G261" s="6" t="s">
        <v>38917</v>
      </c>
      <c r="H261" s="6" t="s">
        <v>38918</v>
      </c>
      <c r="I261" s="7">
        <f t="shared" si="3"/>
        <v>0.3733723397</v>
      </c>
    </row>
    <row r="262">
      <c r="A262" s="4">
        <v>262.0</v>
      </c>
      <c r="B262" s="3" t="s">
        <v>38919</v>
      </c>
      <c r="C262" s="6" t="s">
        <v>24</v>
      </c>
      <c r="D262" s="6" t="s">
        <v>2755</v>
      </c>
      <c r="E262" s="3" t="str">
        <f t="shared" si="1"/>
        <v>include&lt;br&gt;&lt;div class="audio"&gt;[sound:include.mp3]&lt;/div&gt;</v>
      </c>
      <c r="F262" s="3" t="str">
        <f t="shared" si="2"/>
        <v>(v): bao gồm</v>
      </c>
      <c r="G262" s="6" t="s">
        <v>38920</v>
      </c>
      <c r="H262" s="6" t="s">
        <v>38921</v>
      </c>
      <c r="I262" s="7">
        <f t="shared" si="3"/>
        <v>0.4297702513</v>
      </c>
    </row>
    <row r="263">
      <c r="A263" s="4">
        <v>263.0</v>
      </c>
      <c r="B263" s="3" t="s">
        <v>38922</v>
      </c>
      <c r="C263" s="6" t="s">
        <v>11</v>
      </c>
      <c r="D263" s="6" t="s">
        <v>38923</v>
      </c>
      <c r="E263" s="3" t="str">
        <f t="shared" si="1"/>
        <v>better&lt;br&gt;&lt;div class="audio"&gt;[sound:better.mp3]&lt;/div&gt;</v>
      </c>
      <c r="F263" s="3" t="str">
        <f t="shared" si="2"/>
        <v>(adj): tốt hơn</v>
      </c>
      <c r="G263" s="6" t="s">
        <v>38924</v>
      </c>
      <c r="H263" s="6" t="s">
        <v>38925</v>
      </c>
      <c r="I263" s="7">
        <f t="shared" si="3"/>
        <v>0.6332320687</v>
      </c>
    </row>
    <row r="264">
      <c r="A264" s="4">
        <v>264.0</v>
      </c>
      <c r="B264" s="3" t="s">
        <v>38926</v>
      </c>
      <c r="C264" s="6" t="s">
        <v>74</v>
      </c>
      <c r="D264" s="6" t="s">
        <v>945</v>
      </c>
      <c r="E264" s="3" t="str">
        <f t="shared" si="1"/>
        <v>today&lt;br&gt;&lt;div class="audio"&gt;[sound:today.mp3]&lt;/div&gt;</v>
      </c>
      <c r="F264" s="3" t="str">
        <f t="shared" si="2"/>
        <v>(n): hôm nay</v>
      </c>
      <c r="G264" s="6" t="s">
        <v>38927</v>
      </c>
      <c r="H264" s="6" t="s">
        <v>38928</v>
      </c>
      <c r="I264" s="7">
        <f t="shared" si="3"/>
        <v>0.8706955793</v>
      </c>
    </row>
    <row r="265">
      <c r="A265" s="4">
        <v>265.0</v>
      </c>
      <c r="B265" s="3" t="s">
        <v>38929</v>
      </c>
      <c r="C265" s="6" t="s">
        <v>74</v>
      </c>
      <c r="D265" s="6" t="s">
        <v>28232</v>
      </c>
      <c r="E265" s="3" t="str">
        <f t="shared" si="1"/>
        <v>food&lt;br&gt;&lt;div class="audio"&gt;[sound:food.mp3]&lt;/div&gt;</v>
      </c>
      <c r="F265" s="3" t="str">
        <f t="shared" si="2"/>
        <v>(n): thức ăn</v>
      </c>
      <c r="G265" s="6" t="s">
        <v>38930</v>
      </c>
      <c r="H265" s="6" t="s">
        <v>38931</v>
      </c>
      <c r="I265" s="7">
        <f t="shared" si="3"/>
        <v>0.7997112369</v>
      </c>
    </row>
    <row r="266">
      <c r="A266" s="4">
        <v>266.0</v>
      </c>
      <c r="B266" s="3" t="s">
        <v>27621</v>
      </c>
      <c r="C266" s="6" t="s">
        <v>24</v>
      </c>
      <c r="D266" s="6" t="s">
        <v>95</v>
      </c>
      <c r="E266" s="3" t="str">
        <f t="shared" si="1"/>
        <v>may&lt;br&gt;&lt;div class="audio"&gt;[sound:may.mp3]&lt;/div&gt;</v>
      </c>
      <c r="F266" s="3" t="str">
        <f t="shared" si="2"/>
        <v>(v): có thể</v>
      </c>
      <c r="G266" s="6" t="s">
        <v>38932</v>
      </c>
      <c r="H266" s="6" t="s">
        <v>38933</v>
      </c>
      <c r="I266" s="7">
        <f t="shared" si="3"/>
        <v>0.09519489888</v>
      </c>
    </row>
    <row r="267">
      <c r="A267" s="4">
        <v>267.0</v>
      </c>
      <c r="B267" s="3" t="s">
        <v>38934</v>
      </c>
      <c r="C267" s="6" t="s">
        <v>24</v>
      </c>
      <c r="D267" s="6" t="s">
        <v>6291</v>
      </c>
      <c r="E267" s="3" t="str">
        <f t="shared" si="1"/>
        <v>happen&lt;br&gt;&lt;div class="audio"&gt;[sound:happen.mp3]&lt;/div&gt;</v>
      </c>
      <c r="F267" s="3" t="str">
        <f t="shared" si="2"/>
        <v>(v): xảy ra</v>
      </c>
      <c r="G267" s="6" t="s">
        <v>38935</v>
      </c>
      <c r="H267" s="6" t="s">
        <v>38936</v>
      </c>
      <c r="I267" s="7">
        <f t="shared" si="3"/>
        <v>0.199082654</v>
      </c>
    </row>
    <row r="268">
      <c r="A268" s="4">
        <v>268.0</v>
      </c>
      <c r="B268" s="3" t="s">
        <v>38937</v>
      </c>
      <c r="C268" s="6" t="s">
        <v>85</v>
      </c>
      <c r="D268" s="6" t="s">
        <v>38938</v>
      </c>
      <c r="E268" s="3" t="str">
        <f t="shared" si="1"/>
        <v>away&lt;br&gt;&lt;div class="audio"&gt;[sound:away.mp3]&lt;/div&gt;</v>
      </c>
      <c r="F268" s="3" t="str">
        <f t="shared" si="2"/>
        <v>(adv): đi xa</v>
      </c>
      <c r="G268" s="6" t="s">
        <v>38939</v>
      </c>
      <c r="H268" s="6" t="s">
        <v>38940</v>
      </c>
      <c r="I268" s="7">
        <f t="shared" si="3"/>
        <v>0.9352124284</v>
      </c>
    </row>
    <row r="269">
      <c r="A269" s="4">
        <v>269.0</v>
      </c>
      <c r="B269" s="3" t="s">
        <v>38941</v>
      </c>
      <c r="C269" s="6" t="s">
        <v>85</v>
      </c>
      <c r="D269" s="6" t="s">
        <v>7212</v>
      </c>
      <c r="E269" s="3" t="str">
        <f t="shared" si="1"/>
        <v>probably&lt;br&gt;&lt;div class="audio"&gt;[sound:probably.mp3]&lt;/div&gt;</v>
      </c>
      <c r="F269" s="3" t="str">
        <f t="shared" si="2"/>
        <v>(adv): có lẽ</v>
      </c>
      <c r="G269" s="6" t="s">
        <v>38942</v>
      </c>
      <c r="H269" s="6" t="s">
        <v>38943</v>
      </c>
      <c r="I269" s="7">
        <f t="shared" si="3"/>
        <v>0.09858623577</v>
      </c>
    </row>
    <row r="270">
      <c r="A270" s="4">
        <v>270.0</v>
      </c>
      <c r="B270" s="3" t="s">
        <v>38944</v>
      </c>
      <c r="C270" s="6" t="s">
        <v>44</v>
      </c>
      <c r="D270" s="8" t="s">
        <v>11270</v>
      </c>
      <c r="E270" s="3" t="str">
        <f t="shared" si="1"/>
        <v>someone&lt;br&gt;&lt;div class="audio"&gt;[sound:someone.mp3]&lt;/div&gt;</v>
      </c>
      <c r="F270" s="3" t="str">
        <f t="shared" si="2"/>
        <v>(pron): ai đó</v>
      </c>
      <c r="G270" s="8" t="s">
        <v>38945</v>
      </c>
      <c r="H270" s="8" t="s">
        <v>38946</v>
      </c>
      <c r="I270" s="7">
        <f t="shared" si="3"/>
        <v>0.6429926796</v>
      </c>
    </row>
    <row r="271">
      <c r="A271" s="4">
        <v>271.0</v>
      </c>
      <c r="B271" s="3" t="s">
        <v>38947</v>
      </c>
      <c r="C271" s="6" t="s">
        <v>24</v>
      </c>
      <c r="D271" s="6" t="s">
        <v>6448</v>
      </c>
      <c r="E271" s="3" t="str">
        <f t="shared" si="1"/>
        <v>play&lt;br&gt;&lt;div class="audio"&gt;[sound:play.mp3]&lt;/div&gt;</v>
      </c>
      <c r="F271" s="3" t="str">
        <f t="shared" si="2"/>
        <v>(v): chơi</v>
      </c>
      <c r="G271" s="6" t="s">
        <v>38948</v>
      </c>
      <c r="H271" s="6" t="s">
        <v>38949</v>
      </c>
      <c r="I271" s="7">
        <f t="shared" si="3"/>
        <v>0.07263718957</v>
      </c>
    </row>
    <row r="272">
      <c r="A272" s="4">
        <v>272.0</v>
      </c>
      <c r="B272" s="3" t="s">
        <v>38950</v>
      </c>
      <c r="C272" s="6" t="s">
        <v>24</v>
      </c>
      <c r="D272" s="6" t="s">
        <v>3975</v>
      </c>
      <c r="E272" s="3" t="str">
        <f t="shared" si="1"/>
        <v>run&lt;br&gt;&lt;div class="audio"&gt;[sound:run.mp3]&lt;/div&gt;</v>
      </c>
      <c r="F272" s="3" t="str">
        <f t="shared" si="2"/>
        <v>(v): chạy</v>
      </c>
      <c r="G272" s="6" t="s">
        <v>38951</v>
      </c>
      <c r="H272" s="6" t="s">
        <v>38952</v>
      </c>
      <c r="I272" s="7">
        <f t="shared" si="3"/>
        <v>0.5059952702</v>
      </c>
    </row>
    <row r="273">
      <c r="A273" s="4">
        <v>273.0</v>
      </c>
      <c r="B273" s="3" t="s">
        <v>38953</v>
      </c>
      <c r="C273" s="6" t="s">
        <v>63</v>
      </c>
      <c r="D273" s="6" t="s">
        <v>26585</v>
      </c>
      <c r="E273" s="3" t="str">
        <f t="shared" si="1"/>
        <v>between&lt;br&gt;&lt;div class="audio"&gt;[sound:between.mp3]&lt;/div&gt;</v>
      </c>
      <c r="F273" s="3" t="str">
        <f t="shared" si="2"/>
        <v>(prep): giữa</v>
      </c>
      <c r="G273" s="6" t="s">
        <v>38954</v>
      </c>
      <c r="H273" s="6" t="s">
        <v>38955</v>
      </c>
      <c r="I273" s="7">
        <f t="shared" si="3"/>
        <v>0.09251047973</v>
      </c>
    </row>
    <row r="274">
      <c r="A274" s="4">
        <v>274.0</v>
      </c>
      <c r="B274" s="3" t="s">
        <v>38956</v>
      </c>
      <c r="C274" s="6" t="s">
        <v>24</v>
      </c>
      <c r="D274" s="6" t="s">
        <v>2821</v>
      </c>
      <c r="E274" s="3" t="str">
        <f t="shared" si="1"/>
        <v>live&lt;br&gt;&lt;div class="audio"&gt;[sound:live.mp3]&lt;/div&gt;</v>
      </c>
      <c r="F274" s="3" t="str">
        <f t="shared" si="2"/>
        <v>(v): sống</v>
      </c>
      <c r="G274" s="6" t="s">
        <v>38957</v>
      </c>
      <c r="H274" s="6" t="s">
        <v>38958</v>
      </c>
      <c r="I274" s="7">
        <f t="shared" si="3"/>
        <v>0.7444374931</v>
      </c>
    </row>
    <row r="275">
      <c r="A275" s="4">
        <v>275.0</v>
      </c>
      <c r="B275" s="3" t="s">
        <v>38959</v>
      </c>
      <c r="C275" s="6" t="s">
        <v>74</v>
      </c>
      <c r="D275" s="6" t="s">
        <v>8739</v>
      </c>
      <c r="E275" s="3" t="str">
        <f t="shared" si="1"/>
        <v>age&lt;br&gt;&lt;div class="audio"&gt;[sound:age.mp3]&lt;/div&gt;</v>
      </c>
      <c r="F275" s="3" t="str">
        <f t="shared" si="2"/>
        <v>(n): tuổi</v>
      </c>
      <c r="G275" s="6" t="s">
        <v>38960</v>
      </c>
      <c r="H275" s="6" t="s">
        <v>38961</v>
      </c>
      <c r="I275" s="7">
        <f t="shared" si="3"/>
        <v>0.7881165317</v>
      </c>
    </row>
    <row r="276">
      <c r="A276" s="4">
        <v>276.0</v>
      </c>
      <c r="B276" s="3" t="s">
        <v>38962</v>
      </c>
      <c r="C276" s="6" t="s">
        <v>11</v>
      </c>
      <c r="D276" s="6" t="s">
        <v>4897</v>
      </c>
      <c r="E276" s="3" t="str">
        <f t="shared" si="1"/>
        <v>right&lt;br&gt;&lt;div class="audio"&gt;[sound:right.mp3]&lt;/div&gt;</v>
      </c>
      <c r="F276" s="3" t="str">
        <f t="shared" si="2"/>
        <v>(adj): đúng</v>
      </c>
      <c r="G276" s="6" t="s">
        <v>38963</v>
      </c>
      <c r="H276" s="6" t="s">
        <v>38964</v>
      </c>
      <c r="I276" s="7">
        <f t="shared" si="3"/>
        <v>0.7512730508</v>
      </c>
    </row>
    <row r="277">
      <c r="A277" s="4">
        <v>277.0</v>
      </c>
      <c r="B277" s="3" t="s">
        <v>38965</v>
      </c>
      <c r="C277" s="6" t="s">
        <v>11</v>
      </c>
      <c r="D277" s="6" t="s">
        <v>600</v>
      </c>
      <c r="E277" s="3" t="str">
        <f t="shared" si="1"/>
        <v>high&lt;br&gt;&lt;div class="audio"&gt;[sound:high.mp3]&lt;/div&gt;</v>
      </c>
      <c r="F277" s="3" t="str">
        <f t="shared" si="2"/>
        <v>(adj): cao</v>
      </c>
      <c r="G277" s="6" t="s">
        <v>38966</v>
      </c>
      <c r="H277" s="6" t="s">
        <v>38967</v>
      </c>
      <c r="I277" s="7">
        <f t="shared" si="3"/>
        <v>0.7702307998</v>
      </c>
    </row>
    <row r="278">
      <c r="A278" s="4">
        <v>278.0</v>
      </c>
      <c r="B278" s="3" t="s">
        <v>38968</v>
      </c>
      <c r="C278" s="6" t="s">
        <v>11</v>
      </c>
      <c r="D278" s="6" t="s">
        <v>423</v>
      </c>
      <c r="E278" s="3" t="str">
        <f t="shared" si="1"/>
        <v>big&lt;br&gt;&lt;div class="audio"&gt;[sound:big.mp3]&lt;/div&gt;</v>
      </c>
      <c r="F278" s="3" t="str">
        <f t="shared" si="2"/>
        <v>(adj): lớn</v>
      </c>
      <c r="G278" s="6" t="s">
        <v>38969</v>
      </c>
      <c r="H278" s="6" t="s">
        <v>38970</v>
      </c>
      <c r="I278" s="7">
        <f t="shared" si="3"/>
        <v>0.659787473</v>
      </c>
    </row>
    <row r="279">
      <c r="A279" s="4">
        <v>279.0</v>
      </c>
      <c r="B279" s="3" t="s">
        <v>38971</v>
      </c>
      <c r="C279" s="6" t="s">
        <v>74</v>
      </c>
      <c r="D279" s="6" t="s">
        <v>1538</v>
      </c>
      <c r="E279" s="3" t="str">
        <f t="shared" si="1"/>
        <v>head&lt;br&gt;&lt;div class="audio"&gt;[sound:head.mp3]&lt;/div&gt;</v>
      </c>
      <c r="F279" s="3" t="str">
        <f t="shared" si="2"/>
        <v>(n): đầu</v>
      </c>
      <c r="G279" s="6" t="s">
        <v>38972</v>
      </c>
      <c r="H279" s="6" t="s">
        <v>38973</v>
      </c>
      <c r="I279" s="7">
        <f t="shared" si="3"/>
        <v>0.02079008301</v>
      </c>
    </row>
    <row r="280">
      <c r="A280" s="4">
        <v>280.0</v>
      </c>
      <c r="B280" s="3" t="s">
        <v>38974</v>
      </c>
      <c r="C280" s="6" t="s">
        <v>24</v>
      </c>
      <c r="D280" s="6" t="s">
        <v>1193</v>
      </c>
      <c r="E280" s="3" t="str">
        <f t="shared" si="1"/>
        <v>read&lt;br&gt;&lt;div class="audio"&gt;[sound:read.mp3]&lt;/div&gt;</v>
      </c>
      <c r="F280" s="3" t="str">
        <f t="shared" si="2"/>
        <v>(v): đọc</v>
      </c>
      <c r="G280" s="6" t="s">
        <v>38975</v>
      </c>
      <c r="H280" s="6" t="s">
        <v>38976</v>
      </c>
      <c r="I280" s="7">
        <f t="shared" si="3"/>
        <v>0.02857648257</v>
      </c>
    </row>
    <row r="281">
      <c r="A281" s="4">
        <v>281.0</v>
      </c>
      <c r="B281" s="3" t="s">
        <v>38977</v>
      </c>
      <c r="C281" s="6" t="s">
        <v>85</v>
      </c>
      <c r="D281" s="8" t="s">
        <v>3068</v>
      </c>
      <c r="E281" s="3" t="str">
        <f t="shared" si="1"/>
        <v>soon&lt;br&gt;&lt;div class="audio"&gt;[sound:soon.mp3]&lt;/div&gt;</v>
      </c>
      <c r="F281" s="3" t="str">
        <f t="shared" si="2"/>
        <v>(adv): sớm</v>
      </c>
      <c r="G281" s="8" t="s">
        <v>38978</v>
      </c>
      <c r="H281" s="8" t="s">
        <v>38979</v>
      </c>
      <c r="I281" s="7">
        <f t="shared" si="3"/>
        <v>0.576570489</v>
      </c>
    </row>
    <row r="282">
      <c r="A282" s="4">
        <v>282.0</v>
      </c>
      <c r="B282" s="3" t="s">
        <v>38980</v>
      </c>
      <c r="C282" s="6" t="s">
        <v>11</v>
      </c>
      <c r="D282" s="6" t="s">
        <v>610</v>
      </c>
      <c r="E282" s="3" t="str">
        <f t="shared" si="1"/>
        <v>long&lt;br&gt;&lt;div class="audio"&gt;[sound:long.mp3]&lt;/div&gt;</v>
      </c>
      <c r="F282" s="3" t="str">
        <f t="shared" si="2"/>
        <v>(adj): dài</v>
      </c>
      <c r="G282" s="6" t="s">
        <v>38981</v>
      </c>
      <c r="H282" s="6" t="s">
        <v>38982</v>
      </c>
      <c r="I282" s="7">
        <f t="shared" si="3"/>
        <v>0.6067260089</v>
      </c>
    </row>
    <row r="283">
      <c r="A283" s="4">
        <v>283.0</v>
      </c>
      <c r="B283" s="3" t="s">
        <v>38983</v>
      </c>
      <c r="C283" s="6" t="s">
        <v>85</v>
      </c>
      <c r="D283" s="6" t="s">
        <v>8980</v>
      </c>
      <c r="E283" s="3" t="str">
        <f t="shared" si="1"/>
        <v>far&lt;br&gt;&lt;div class="audio"&gt;[sound:far.mp3]&lt;/div&gt;</v>
      </c>
      <c r="F283" s="3" t="str">
        <f t="shared" si="2"/>
        <v>(adv): xa</v>
      </c>
      <c r="G283" s="6" t="s">
        <v>38984</v>
      </c>
      <c r="H283" s="6" t="s">
        <v>38985</v>
      </c>
      <c r="I283" s="7">
        <f t="shared" si="3"/>
        <v>0.9197820157</v>
      </c>
    </row>
    <row r="284">
      <c r="A284" s="4">
        <v>284.0</v>
      </c>
      <c r="B284" s="3" t="s">
        <v>38986</v>
      </c>
      <c r="C284" s="6" t="s">
        <v>44</v>
      </c>
      <c r="D284" s="6" t="s">
        <v>38987</v>
      </c>
      <c r="E284" s="3" t="str">
        <f t="shared" si="1"/>
        <v>itself&lt;br&gt;&lt;div class="audio"&gt;[sound:itself.mp3]&lt;/div&gt;</v>
      </c>
      <c r="F284" s="3" t="str">
        <f t="shared" si="2"/>
        <v>(pron): bản thân nó</v>
      </c>
      <c r="G284" s="6" t="s">
        <v>38988</v>
      </c>
      <c r="H284" s="6" t="s">
        <v>38989</v>
      </c>
      <c r="I284" s="7">
        <f t="shared" si="3"/>
        <v>0.7509194112</v>
      </c>
    </row>
    <row r="285">
      <c r="A285" s="4">
        <v>285.0</v>
      </c>
      <c r="B285" s="3" t="s">
        <v>38990</v>
      </c>
      <c r="C285" s="6" t="s">
        <v>74</v>
      </c>
      <c r="D285" s="6" t="s">
        <v>6028</v>
      </c>
      <c r="E285" s="3" t="str">
        <f t="shared" si="1"/>
        <v>course&lt;br&gt;&lt;div class="audio"&gt;[sound:course.mp3]&lt;/div&gt;</v>
      </c>
      <c r="F285" s="3" t="str">
        <f t="shared" si="2"/>
        <v>(n): khóa học</v>
      </c>
      <c r="G285" s="6" t="s">
        <v>38991</v>
      </c>
      <c r="H285" s="6" t="s">
        <v>38992</v>
      </c>
      <c r="I285" s="7">
        <f t="shared" si="3"/>
        <v>0.2230516568</v>
      </c>
    </row>
    <row r="286">
      <c r="A286" s="4">
        <v>286.0</v>
      </c>
      <c r="B286" s="3" t="s">
        <v>38993</v>
      </c>
      <c r="C286" s="6" t="s">
        <v>74</v>
      </c>
      <c r="D286" s="8" t="s">
        <v>38994</v>
      </c>
      <c r="E286" s="3" t="str">
        <f t="shared" si="1"/>
        <v>success&lt;br&gt;&lt;div class="audio"&gt;[sound:success.mp3]&lt;/div&gt;</v>
      </c>
      <c r="F286" s="3" t="str">
        <f t="shared" si="2"/>
        <v>(n): sự thành công</v>
      </c>
      <c r="G286" s="8" t="s">
        <v>38995</v>
      </c>
      <c r="H286" s="8" t="s">
        <v>38996</v>
      </c>
      <c r="I286" s="7">
        <f t="shared" si="3"/>
        <v>0.006462551693</v>
      </c>
    </row>
    <row r="287">
      <c r="A287" s="4">
        <v>287.0</v>
      </c>
      <c r="B287" s="3" t="s">
        <v>38997</v>
      </c>
      <c r="C287" s="6" t="s">
        <v>44</v>
      </c>
      <c r="D287" s="6" t="s">
        <v>37886</v>
      </c>
      <c r="E287" s="3" t="str">
        <f t="shared" si="1"/>
        <v>anything&lt;br&gt;&lt;div class="audio"&gt;[sound:anything.mp3]&lt;/div&gt;</v>
      </c>
      <c r="F287" s="3" t="str">
        <f t="shared" si="2"/>
        <v>(pron): bất cứ thứ gì</v>
      </c>
      <c r="G287" s="6" t="s">
        <v>38998</v>
      </c>
      <c r="H287" s="6" t="s">
        <v>38999</v>
      </c>
      <c r="I287" s="7">
        <f t="shared" si="3"/>
        <v>0.4042384224</v>
      </c>
    </row>
    <row r="288">
      <c r="A288" s="4">
        <v>288.0</v>
      </c>
      <c r="B288" s="3" t="s">
        <v>39000</v>
      </c>
      <c r="C288" s="6" t="s">
        <v>74</v>
      </c>
      <c r="D288" s="6" t="s">
        <v>11296</v>
      </c>
      <c r="E288" s="3" t="str">
        <f t="shared" si="1"/>
        <v>man&lt;br&gt;&lt;div class="audio"&gt;[sound:man.mp3]&lt;/div&gt;</v>
      </c>
      <c r="F288" s="3" t="str">
        <f t="shared" si="2"/>
        <v>(n): người đàn ông</v>
      </c>
      <c r="G288" s="6" t="s">
        <v>39001</v>
      </c>
      <c r="H288" s="6" t="s">
        <v>39002</v>
      </c>
      <c r="I288" s="7">
        <f t="shared" si="3"/>
        <v>0.6094758468</v>
      </c>
    </row>
    <row r="289">
      <c r="A289" s="4">
        <v>289.0</v>
      </c>
      <c r="B289" s="3" t="s">
        <v>39003</v>
      </c>
      <c r="C289" s="6" t="s">
        <v>74</v>
      </c>
      <c r="D289" s="6" t="s">
        <v>6751</v>
      </c>
      <c r="E289" s="3" t="str">
        <f t="shared" si="1"/>
        <v>interest&lt;br&gt;&lt;div class="audio"&gt;[sound:interest.mp3]&lt;/div&gt;</v>
      </c>
      <c r="F289" s="3" t="str">
        <f t="shared" si="2"/>
        <v>(n): sự quan tâm</v>
      </c>
      <c r="G289" s="6" t="s">
        <v>39004</v>
      </c>
      <c r="H289" s="6" t="s">
        <v>39005</v>
      </c>
      <c r="I289" s="7">
        <f t="shared" si="3"/>
        <v>0.5599771583</v>
      </c>
    </row>
    <row r="290">
      <c r="A290" s="4">
        <v>290.0</v>
      </c>
      <c r="B290" s="3" t="s">
        <v>39006</v>
      </c>
      <c r="C290" s="6" t="s">
        <v>24</v>
      </c>
      <c r="D290" s="6" t="s">
        <v>39007</v>
      </c>
      <c r="E290" s="3" t="str">
        <f t="shared" si="1"/>
        <v>mean&lt;br&gt;&lt;div class="audio"&gt;[sound:mean.mp3]&lt;/div&gt;</v>
      </c>
      <c r="F290" s="3" t="str">
        <f t="shared" si="2"/>
        <v>(v): có nghĩa là</v>
      </c>
      <c r="G290" s="6" t="s">
        <v>39008</v>
      </c>
      <c r="H290" s="6" t="s">
        <v>39009</v>
      </c>
      <c r="I290" s="7">
        <f t="shared" si="3"/>
        <v>0.5195110848</v>
      </c>
    </row>
    <row r="291">
      <c r="A291" s="4">
        <v>291.0</v>
      </c>
      <c r="B291" s="3" t="s">
        <v>39010</v>
      </c>
      <c r="C291" s="6" t="s">
        <v>74</v>
      </c>
      <c r="D291" s="6" t="s">
        <v>39011</v>
      </c>
      <c r="E291" s="3" t="str">
        <f t="shared" si="1"/>
        <v>answer&lt;br&gt;&lt;div class="audio"&gt;[sound:answer.mp3]&lt;/div&gt;</v>
      </c>
      <c r="F291" s="3" t="str">
        <f t="shared" si="2"/>
        <v>(n): câu trả lời</v>
      </c>
      <c r="G291" s="6" t="s">
        <v>39012</v>
      </c>
      <c r="H291" s="6" t="s">
        <v>39013</v>
      </c>
      <c r="I291" s="7">
        <f t="shared" si="3"/>
        <v>0.9503513808</v>
      </c>
    </row>
    <row r="292">
      <c r="A292" s="4">
        <v>292.0</v>
      </c>
      <c r="B292" s="3" t="s">
        <v>39014</v>
      </c>
      <c r="C292" s="6" t="s">
        <v>24</v>
      </c>
      <c r="D292" s="6" t="s">
        <v>1211</v>
      </c>
      <c r="E292" s="3" t="str">
        <f t="shared" si="1"/>
        <v>develop&lt;br&gt;&lt;div class="audio"&gt;[sound:develop.mp3]&lt;/div&gt;</v>
      </c>
      <c r="F292" s="3" t="str">
        <f t="shared" si="2"/>
        <v>(v): phát triển</v>
      </c>
      <c r="G292" s="6" t="s">
        <v>39015</v>
      </c>
      <c r="H292" s="6" t="s">
        <v>39016</v>
      </c>
      <c r="I292" s="7">
        <f t="shared" si="3"/>
        <v>0.9304934985</v>
      </c>
    </row>
    <row r="293">
      <c r="A293" s="4">
        <v>293.0</v>
      </c>
      <c r="B293" s="3" t="s">
        <v>39017</v>
      </c>
      <c r="C293" s="6" t="s">
        <v>24</v>
      </c>
      <c r="D293" s="6" t="s">
        <v>1211</v>
      </c>
      <c r="E293" s="3" t="str">
        <f t="shared" si="1"/>
        <v>grow&lt;br&gt;&lt;div class="audio"&gt;[sound:grow.mp3]&lt;/div&gt;</v>
      </c>
      <c r="F293" s="3" t="str">
        <f t="shared" si="2"/>
        <v>(v): phát triển</v>
      </c>
      <c r="G293" s="6" t="s">
        <v>39018</v>
      </c>
      <c r="H293" s="6" t="s">
        <v>39019</v>
      </c>
      <c r="I293" s="7">
        <f t="shared" si="3"/>
        <v>0.1883472161</v>
      </c>
    </row>
    <row r="294">
      <c r="A294" s="4">
        <v>294.0</v>
      </c>
      <c r="B294" s="3" t="s">
        <v>39020</v>
      </c>
      <c r="C294" s="6" t="s">
        <v>74</v>
      </c>
      <c r="D294" s="8" t="s">
        <v>2540</v>
      </c>
      <c r="E294" s="3" t="str">
        <f t="shared" si="1"/>
        <v>size&lt;br&gt;&lt;div class="audio"&gt;[sound:size.mp3]&lt;/div&gt;</v>
      </c>
      <c r="F294" s="3" t="str">
        <f t="shared" si="2"/>
        <v>(n): kích thước</v>
      </c>
      <c r="G294" s="8" t="s">
        <v>39021</v>
      </c>
      <c r="H294" s="8" t="s">
        <v>39022</v>
      </c>
      <c r="I294" s="7">
        <f t="shared" si="3"/>
        <v>0.7411717445</v>
      </c>
    </row>
    <row r="295">
      <c r="A295" s="4">
        <v>295.0</v>
      </c>
      <c r="B295" s="3" t="s">
        <v>39023</v>
      </c>
      <c r="C295" s="6" t="s">
        <v>85</v>
      </c>
      <c r="D295" s="6" t="s">
        <v>3449</v>
      </c>
      <c r="E295" s="3" t="str">
        <f t="shared" si="1"/>
        <v>ago&lt;br&gt;&lt;div class="audio"&gt;[sound:ago.mp3]&lt;/div&gt;</v>
      </c>
      <c r="F295" s="3" t="str">
        <f t="shared" si="2"/>
        <v>(adv): trước đây</v>
      </c>
      <c r="G295" s="6" t="s">
        <v>39024</v>
      </c>
      <c r="H295" s="6" t="s">
        <v>39025</v>
      </c>
      <c r="I295" s="7">
        <f t="shared" si="3"/>
        <v>0.4875569103</v>
      </c>
    </row>
    <row r="296">
      <c r="A296" s="4">
        <v>296.0</v>
      </c>
      <c r="B296" s="3" t="s">
        <v>39026</v>
      </c>
      <c r="C296" s="6" t="s">
        <v>74</v>
      </c>
      <c r="D296" s="6" t="s">
        <v>3443</v>
      </c>
      <c r="E296" s="3" t="str">
        <f t="shared" si="1"/>
        <v>office&lt;br&gt;&lt;div class="audio"&gt;[sound:office.mp3]&lt;/div&gt;</v>
      </c>
      <c r="F296" s="3" t="str">
        <f t="shared" si="2"/>
        <v>(n): văn phòng</v>
      </c>
      <c r="G296" s="6" t="s">
        <v>39027</v>
      </c>
      <c r="H296" s="6" t="s">
        <v>39028</v>
      </c>
      <c r="I296" s="7">
        <f t="shared" si="3"/>
        <v>0.9803169023</v>
      </c>
    </row>
    <row r="297">
      <c r="A297" s="4">
        <v>297.0</v>
      </c>
      <c r="B297" s="3" t="s">
        <v>39029</v>
      </c>
      <c r="C297" s="6" t="s">
        <v>74</v>
      </c>
      <c r="D297" s="6" t="s">
        <v>2181</v>
      </c>
      <c r="E297" s="3" t="str">
        <f t="shared" si="1"/>
        <v>centre&lt;br&gt;&lt;div class="audio"&gt;[sound:centre.mp3]&lt;/div&gt;</v>
      </c>
      <c r="F297" s="3" t="str">
        <f t="shared" si="2"/>
        <v>(n): trung tâm</v>
      </c>
      <c r="G297" s="6" t="s">
        <v>39030</v>
      </c>
      <c r="H297" s="6" t="s">
        <v>39031</v>
      </c>
      <c r="I297" s="7">
        <f t="shared" si="3"/>
        <v>0.7839315361</v>
      </c>
    </row>
    <row r="298">
      <c r="A298" s="4">
        <v>298.0</v>
      </c>
      <c r="B298" s="3" t="s">
        <v>39032</v>
      </c>
      <c r="C298" s="6" t="s">
        <v>74</v>
      </c>
      <c r="D298" s="8" t="s">
        <v>1793</v>
      </c>
      <c r="E298" s="3" t="str">
        <f t="shared" si="1"/>
        <v>staff&lt;br&gt;&lt;div class="audio"&gt;[sound:staff.mp3]&lt;/div&gt;</v>
      </c>
      <c r="F298" s="3" t="str">
        <f t="shared" si="2"/>
        <v>(n): nhân viên</v>
      </c>
      <c r="G298" s="8" t="s">
        <v>39033</v>
      </c>
      <c r="H298" s="8" t="s">
        <v>39034</v>
      </c>
      <c r="I298" s="7">
        <f t="shared" si="3"/>
        <v>0.7909992644</v>
      </c>
    </row>
    <row r="299">
      <c r="A299" s="4">
        <v>299.0</v>
      </c>
      <c r="B299" s="3" t="s">
        <v>39035</v>
      </c>
      <c r="C299" s="6" t="s">
        <v>74</v>
      </c>
      <c r="D299" s="8" t="s">
        <v>39036</v>
      </c>
      <c r="E299" s="3" t="str">
        <f t="shared" si="1"/>
        <v>site&lt;br&gt;&lt;div class="audio"&gt;[sound:site.mp3]&lt;/div&gt;</v>
      </c>
      <c r="F299" s="3" t="str">
        <f t="shared" si="2"/>
        <v>(n): trang web</v>
      </c>
      <c r="G299" s="8" t="s">
        <v>39037</v>
      </c>
      <c r="H299" s="8" t="s">
        <v>39038</v>
      </c>
      <c r="I299" s="7">
        <f t="shared" si="3"/>
        <v>0.7692937337</v>
      </c>
    </row>
    <row r="300">
      <c r="A300" s="4">
        <v>300.0</v>
      </c>
      <c r="B300" s="3" t="s">
        <v>39039</v>
      </c>
      <c r="C300" s="6" t="s">
        <v>24</v>
      </c>
      <c r="D300" s="6" t="s">
        <v>39040</v>
      </c>
      <c r="E300" s="3" t="str">
        <f t="shared" si="1"/>
        <v>consider&lt;br&gt;&lt;div class="audio"&gt;[sound:consider.mp3]&lt;/div&gt;</v>
      </c>
      <c r="F300" s="3" t="str">
        <f t="shared" si="2"/>
        <v>(v): cân nhắc</v>
      </c>
      <c r="G300" s="6" t="s">
        <v>39041</v>
      </c>
      <c r="H300" s="6" t="s">
        <v>39042</v>
      </c>
      <c r="I300" s="7">
        <f t="shared" si="3"/>
        <v>0.9747762139</v>
      </c>
    </row>
    <row r="301">
      <c r="A301" s="4">
        <v>301.0</v>
      </c>
      <c r="B301" s="3" t="s">
        <v>39043</v>
      </c>
      <c r="C301" s="6" t="s">
        <v>74</v>
      </c>
      <c r="D301" s="6" t="s">
        <v>2326</v>
      </c>
      <c r="E301" s="3" t="str">
        <f t="shared" si="1"/>
        <v>plan&lt;br&gt;&lt;div class="audio"&gt;[sound:plan.mp3]&lt;/div&gt;</v>
      </c>
      <c r="F301" s="3" t="str">
        <f t="shared" si="2"/>
        <v>(n): kế hoạch</v>
      </c>
      <c r="G301" s="6" t="s">
        <v>39044</v>
      </c>
      <c r="H301" s="6" t="s">
        <v>39045</v>
      </c>
      <c r="I301" s="7">
        <f t="shared" si="3"/>
        <v>0.5560125267</v>
      </c>
    </row>
    <row r="302">
      <c r="A302" s="4">
        <v>302.0</v>
      </c>
      <c r="B302" s="3" t="s">
        <v>39046</v>
      </c>
      <c r="C302" s="6" t="s">
        <v>74</v>
      </c>
      <c r="D302" s="6" t="s">
        <v>5504</v>
      </c>
      <c r="E302" s="3" t="str">
        <f t="shared" si="1"/>
        <v>health&lt;br&gt;&lt;div class="audio"&gt;[sound:health.mp3]&lt;/div&gt;</v>
      </c>
      <c r="F302" s="3" t="str">
        <f t="shared" si="2"/>
        <v>(n): sức khỏe</v>
      </c>
      <c r="G302" s="6" t="s">
        <v>39047</v>
      </c>
      <c r="H302" s="6" t="s">
        <v>39048</v>
      </c>
      <c r="I302" s="7">
        <f t="shared" si="3"/>
        <v>0.8010493328</v>
      </c>
    </row>
    <row r="303">
      <c r="A303" s="4">
        <v>303.0</v>
      </c>
      <c r="B303" s="3" t="s">
        <v>39049</v>
      </c>
      <c r="C303" s="6" t="s">
        <v>74</v>
      </c>
      <c r="D303" s="8" t="s">
        <v>1162</v>
      </c>
      <c r="E303" s="3" t="str">
        <f t="shared" si="1"/>
        <v>store&lt;br&gt;&lt;div class="audio"&gt;[sound:store.mp3]&lt;/div&gt;</v>
      </c>
      <c r="F303" s="3" t="str">
        <f t="shared" si="2"/>
        <v>(n): cửa hàng</v>
      </c>
      <c r="G303" s="8" t="s">
        <v>39050</v>
      </c>
      <c r="H303" s="8" t="s">
        <v>39051</v>
      </c>
      <c r="I303" s="7">
        <f t="shared" si="3"/>
        <v>0.9870299028</v>
      </c>
    </row>
    <row r="304">
      <c r="A304" s="4">
        <v>304.0</v>
      </c>
      <c r="B304" s="3" t="s">
        <v>39052</v>
      </c>
      <c r="C304" s="6" t="s">
        <v>74</v>
      </c>
      <c r="D304" s="6" t="s">
        <v>39053</v>
      </c>
      <c r="E304" s="3" t="str">
        <f t="shared" si="1"/>
        <v>order&lt;br&gt;&lt;div class="audio"&gt;[sound:order.mp3]&lt;/div&gt;</v>
      </c>
      <c r="F304" s="3" t="str">
        <f t="shared" si="2"/>
        <v>(n): đơn hàng</v>
      </c>
      <c r="G304" s="6" t="s">
        <v>39054</v>
      </c>
      <c r="H304" s="6" t="s">
        <v>39055</v>
      </c>
      <c r="I304" s="7">
        <f t="shared" si="3"/>
        <v>0.3978307128</v>
      </c>
    </row>
    <row r="305">
      <c r="A305" s="4">
        <v>305.0</v>
      </c>
      <c r="B305" s="3" t="s">
        <v>39056</v>
      </c>
      <c r="C305" s="6" t="s">
        <v>11</v>
      </c>
      <c r="D305" s="6" t="s">
        <v>3455</v>
      </c>
      <c r="E305" s="3" t="str">
        <f t="shared" si="1"/>
        <v>common&lt;br&gt;&lt;div class="audio"&gt;[sound:common.mp3]&lt;/div&gt;</v>
      </c>
      <c r="F305" s="3" t="str">
        <f t="shared" si="2"/>
        <v>(adj): phổ biến</v>
      </c>
      <c r="G305" s="6" t="s">
        <v>39057</v>
      </c>
      <c r="H305" s="6" t="s">
        <v>39058</v>
      </c>
      <c r="I305" s="7">
        <f t="shared" si="3"/>
        <v>0.8697609312</v>
      </c>
    </row>
    <row r="306">
      <c r="A306" s="4">
        <v>306.0</v>
      </c>
      <c r="B306" s="3" t="s">
        <v>39059</v>
      </c>
      <c r="C306" s="6" t="s">
        <v>24</v>
      </c>
      <c r="D306" s="6" t="s">
        <v>39060</v>
      </c>
      <c r="E306" s="3" t="str">
        <f t="shared" si="1"/>
        <v>follow&lt;br&gt;&lt;div class="audio"&gt;[sound:follow.mp3]&lt;/div&gt;</v>
      </c>
      <c r="F306" s="3" t="str">
        <f t="shared" si="2"/>
        <v>(v): theo sau</v>
      </c>
      <c r="G306" s="6" t="s">
        <v>39061</v>
      </c>
      <c r="H306" s="6" t="s">
        <v>39062</v>
      </c>
      <c r="I306" s="7">
        <f t="shared" si="3"/>
        <v>0.4844518822</v>
      </c>
    </row>
    <row r="307">
      <c r="A307" s="4">
        <v>307.0</v>
      </c>
      <c r="B307" s="3" t="s">
        <v>39063</v>
      </c>
      <c r="C307" s="6" t="s">
        <v>74</v>
      </c>
      <c r="D307" s="8" t="s">
        <v>3406</v>
      </c>
      <c r="E307" s="3" t="str">
        <f t="shared" si="1"/>
        <v>sound&lt;br&gt;&lt;div class="audio"&gt;[sound:sound.mp3]&lt;/div&gt;</v>
      </c>
      <c r="F307" s="3" t="str">
        <f t="shared" si="2"/>
        <v>(n): âm thanh</v>
      </c>
      <c r="G307" s="8" t="s">
        <v>39064</v>
      </c>
      <c r="H307" s="8" t="s">
        <v>39065</v>
      </c>
      <c r="I307" s="7">
        <f t="shared" si="3"/>
        <v>0.455835085</v>
      </c>
    </row>
    <row r="308">
      <c r="A308" s="4">
        <v>308.0</v>
      </c>
      <c r="B308" s="3" t="s">
        <v>39066</v>
      </c>
      <c r="C308" s="6" t="s">
        <v>74</v>
      </c>
      <c r="D308" s="6" t="s">
        <v>722</v>
      </c>
      <c r="E308" s="3" t="str">
        <f t="shared" si="1"/>
        <v>world&lt;br&gt;&lt;div class="audio"&gt;[sound:world.mp3]&lt;/div&gt;</v>
      </c>
      <c r="F308" s="3" t="str">
        <f t="shared" si="2"/>
        <v>(n): thế giới</v>
      </c>
      <c r="G308" s="6" t="s">
        <v>39067</v>
      </c>
      <c r="H308" s="6" t="s">
        <v>39068</v>
      </c>
      <c r="I308" s="7">
        <f t="shared" si="3"/>
        <v>0.9892386207</v>
      </c>
    </row>
    <row r="309">
      <c r="A309" s="4">
        <v>309.0</v>
      </c>
      <c r="B309" s="3" t="s">
        <v>39069</v>
      </c>
      <c r="C309" s="6" t="s">
        <v>11</v>
      </c>
      <c r="D309" s="6" t="s">
        <v>4515</v>
      </c>
      <c r="E309" s="3" t="str">
        <f t="shared" si="1"/>
        <v>best&lt;br&gt;&lt;div class="audio"&gt;[sound:best.mp3]&lt;/div&gt;</v>
      </c>
      <c r="F309" s="3" t="str">
        <f t="shared" si="2"/>
        <v>(adj): tốt nhất</v>
      </c>
      <c r="G309" s="6" t="s">
        <v>39070</v>
      </c>
      <c r="H309" s="6" t="s">
        <v>39071</v>
      </c>
      <c r="I309" s="7">
        <f t="shared" si="3"/>
        <v>0.8239003054</v>
      </c>
    </row>
    <row r="310">
      <c r="A310" s="4">
        <v>310.0</v>
      </c>
      <c r="B310" s="3" t="s">
        <v>39072</v>
      </c>
      <c r="C310" s="6" t="s">
        <v>74</v>
      </c>
      <c r="D310" s="6" t="s">
        <v>39073</v>
      </c>
      <c r="E310" s="3" t="str">
        <f t="shared" si="1"/>
        <v>board&lt;br&gt;&lt;div class="audio"&gt;[sound:board.mp3]&lt;/div&gt;</v>
      </c>
      <c r="F310" s="3" t="str">
        <f t="shared" si="2"/>
        <v>(n): tấm bảng</v>
      </c>
      <c r="G310" s="6" t="s">
        <v>39074</v>
      </c>
      <c r="H310" s="6" t="s">
        <v>39075</v>
      </c>
      <c r="I310" s="7">
        <f t="shared" si="3"/>
        <v>0.5488685603</v>
      </c>
    </row>
    <row r="311">
      <c r="A311" s="4">
        <v>311.0</v>
      </c>
      <c r="B311" s="3" t="s">
        <v>39076</v>
      </c>
      <c r="C311" s="6" t="s">
        <v>74</v>
      </c>
      <c r="D311" s="6" t="s">
        <v>39077</v>
      </c>
      <c r="E311" s="3" t="str">
        <f t="shared" si="1"/>
        <v>couple&lt;br&gt;&lt;div class="audio"&gt;[sound:couple.mp3]&lt;/div&gt;</v>
      </c>
      <c r="F311" s="3" t="str">
        <f t="shared" si="2"/>
        <v>(n): cặp đôi</v>
      </c>
      <c r="G311" s="6" t="s">
        <v>39078</v>
      </c>
      <c r="H311" s="6" t="s">
        <v>39079</v>
      </c>
      <c r="I311" s="7">
        <f t="shared" si="3"/>
        <v>0.9155963966</v>
      </c>
    </row>
    <row r="312">
      <c r="A312" s="4">
        <v>312.0</v>
      </c>
      <c r="B312" s="3" t="s">
        <v>39080</v>
      </c>
      <c r="C312" s="6" t="s">
        <v>85</v>
      </c>
      <c r="D312" s="6" t="s">
        <v>14740</v>
      </c>
      <c r="E312" s="3" t="str">
        <f t="shared" si="1"/>
        <v>actually&lt;br&gt;&lt;div class="audio"&gt;[sound:actually.mp3]&lt;/div&gt;</v>
      </c>
      <c r="F312" s="3" t="str">
        <f t="shared" si="2"/>
        <v>(adv): thực sự</v>
      </c>
      <c r="G312" s="6" t="s">
        <v>39081</v>
      </c>
      <c r="H312" s="6" t="s">
        <v>39082</v>
      </c>
      <c r="I312" s="7">
        <f t="shared" si="3"/>
        <v>0.422157971</v>
      </c>
    </row>
    <row r="313">
      <c r="A313" s="4">
        <v>313.0</v>
      </c>
      <c r="B313" s="3" t="s">
        <v>39083</v>
      </c>
      <c r="C313" s="6" t="s">
        <v>85</v>
      </c>
      <c r="D313" s="6" t="s">
        <v>1005</v>
      </c>
      <c r="E313" s="3" t="str">
        <f t="shared" si="1"/>
        <v>once&lt;br&gt;&lt;div class="audio"&gt;[sound:once.mp3]&lt;/div&gt;</v>
      </c>
      <c r="F313" s="3" t="str">
        <f t="shared" si="2"/>
        <v>(adv): một lần</v>
      </c>
      <c r="G313" s="6" t="s">
        <v>39084</v>
      </c>
      <c r="H313" s="6" t="s">
        <v>39085</v>
      </c>
      <c r="I313" s="7">
        <f t="shared" si="3"/>
        <v>0.4942623086</v>
      </c>
    </row>
    <row r="314">
      <c r="A314" s="4">
        <v>314.0</v>
      </c>
      <c r="B314" s="3" t="s">
        <v>39086</v>
      </c>
      <c r="C314" s="6" t="s">
        <v>85</v>
      </c>
      <c r="D314" s="6" t="s">
        <v>39087</v>
      </c>
      <c r="E314" s="3" t="str">
        <f t="shared" si="1"/>
        <v>rather&lt;br&gt;&lt;div class="audio"&gt;[sound:rather.mp3]&lt;/div&gt;</v>
      </c>
      <c r="F314" s="3" t="str">
        <f t="shared" si="2"/>
        <v>(adv): thay vì</v>
      </c>
      <c r="G314" s="6" t="s">
        <v>39088</v>
      </c>
      <c r="H314" s="6" t="s">
        <v>39089</v>
      </c>
      <c r="I314" s="7">
        <f t="shared" si="3"/>
        <v>0.7086484945</v>
      </c>
    </row>
    <row r="315">
      <c r="A315" s="4">
        <v>315.0</v>
      </c>
      <c r="B315" s="3" t="s">
        <v>39090</v>
      </c>
      <c r="C315" s="6" t="s">
        <v>74</v>
      </c>
      <c r="D315" s="6" t="s">
        <v>39091</v>
      </c>
      <c r="E315" s="3" t="str">
        <f t="shared" si="1"/>
        <v>team&lt;br&gt;&lt;div class="audio"&gt;[sound:team.mp3]&lt;/div&gt;</v>
      </c>
      <c r="F315" s="3" t="str">
        <f t="shared" si="2"/>
        <v>(n): đội ngũ</v>
      </c>
      <c r="G315" s="6" t="s">
        <v>39092</v>
      </c>
      <c r="H315" s="6" t="s">
        <v>39093</v>
      </c>
      <c r="I315" s="7">
        <f t="shared" si="3"/>
        <v>0.364045976</v>
      </c>
    </row>
    <row r="316">
      <c r="A316" s="4">
        <v>316.0</v>
      </c>
      <c r="B316" s="3" t="s">
        <v>39094</v>
      </c>
      <c r="C316" s="6" t="s">
        <v>11</v>
      </c>
      <c r="D316" s="6" t="s">
        <v>2848</v>
      </c>
      <c r="E316" s="3" t="str">
        <f t="shared" si="1"/>
        <v>clear&lt;br&gt;&lt;div class="audio"&gt;[sound:clear.mp3]&lt;/div&gt;</v>
      </c>
      <c r="F316" s="3" t="str">
        <f t="shared" si="2"/>
        <v>(adj): rõ ràng</v>
      </c>
      <c r="G316" s="6" t="s">
        <v>39095</v>
      </c>
      <c r="H316" s="6" t="s">
        <v>39096</v>
      </c>
      <c r="I316" s="7">
        <f t="shared" si="3"/>
        <v>0.2589654732</v>
      </c>
    </row>
    <row r="317">
      <c r="A317" s="4">
        <v>317.0</v>
      </c>
      <c r="B317" s="3" t="s">
        <v>39097</v>
      </c>
      <c r="C317" s="6" t="s">
        <v>74</v>
      </c>
      <c r="D317" s="6" t="s">
        <v>1845</v>
      </c>
      <c r="E317" s="3" t="str">
        <f t="shared" si="1"/>
        <v>area&lt;br&gt;&lt;div class="audio"&gt;[sound:area.mp3]&lt;/div&gt;</v>
      </c>
      <c r="F317" s="3" t="str">
        <f t="shared" si="2"/>
        <v>(n): khu vực</v>
      </c>
      <c r="G317" s="6" t="s">
        <v>39098</v>
      </c>
      <c r="H317" s="6" t="s">
        <v>39099</v>
      </c>
      <c r="I317" s="7">
        <f t="shared" si="3"/>
        <v>0.6290297083</v>
      </c>
    </row>
    <row r="318">
      <c r="A318" s="4">
        <v>318.0</v>
      </c>
      <c r="B318" s="3" t="s">
        <v>39100</v>
      </c>
      <c r="C318" s="6" t="s">
        <v>11</v>
      </c>
      <c r="D318" s="6" t="s">
        <v>1897</v>
      </c>
      <c r="E318" s="3" t="str">
        <f t="shared" si="1"/>
        <v>real&lt;br&gt;&lt;div class="audio"&gt;[sound:real.mp3]&lt;/div&gt;</v>
      </c>
      <c r="F318" s="3" t="str">
        <f t="shared" si="2"/>
        <v>(adj): thực tế</v>
      </c>
      <c r="G318" s="6" t="s">
        <v>39101</v>
      </c>
      <c r="H318" s="6" t="s">
        <v>39102</v>
      </c>
      <c r="I318" s="7">
        <f t="shared" si="3"/>
        <v>0.4450054025</v>
      </c>
    </row>
    <row r="319">
      <c r="A319" s="4">
        <v>319.0</v>
      </c>
      <c r="B319" s="3" t="s">
        <v>39103</v>
      </c>
      <c r="C319" s="6" t="s">
        <v>74</v>
      </c>
      <c r="D319" s="6" t="s">
        <v>2075</v>
      </c>
      <c r="E319" s="3" t="str">
        <f t="shared" si="1"/>
        <v>building&lt;br&gt;&lt;div class="audio"&gt;[sound:building.mp3]&lt;/div&gt;</v>
      </c>
      <c r="F319" s="3" t="str">
        <f t="shared" si="2"/>
        <v>(n): tòa nhà</v>
      </c>
      <c r="G319" s="6" t="s">
        <v>39104</v>
      </c>
      <c r="H319" s="6" t="s">
        <v>39105</v>
      </c>
      <c r="I319" s="7">
        <f t="shared" si="3"/>
        <v>0.3660885469</v>
      </c>
    </row>
    <row r="320">
      <c r="A320" s="4">
        <v>320.0</v>
      </c>
      <c r="B320" s="3" t="s">
        <v>39106</v>
      </c>
      <c r="C320" s="6" t="s">
        <v>24</v>
      </c>
      <c r="D320" s="6" t="s">
        <v>303</v>
      </c>
      <c r="E320" s="3" t="str">
        <f t="shared" si="1"/>
        <v>begin&lt;br&gt;&lt;div class="audio"&gt;[sound:begin.mp3]&lt;/div&gt;</v>
      </c>
      <c r="F320" s="3" t="str">
        <f t="shared" si="2"/>
        <v>(v): bắt đầu</v>
      </c>
      <c r="G320" s="6" t="s">
        <v>39107</v>
      </c>
      <c r="H320" s="6" t="s">
        <v>39108</v>
      </c>
      <c r="I320" s="7">
        <f t="shared" si="3"/>
        <v>0.2472141732</v>
      </c>
    </row>
    <row r="321">
      <c r="A321" s="4">
        <v>321.0</v>
      </c>
      <c r="B321" s="3" t="s">
        <v>39109</v>
      </c>
      <c r="C321" s="6" t="s">
        <v>11</v>
      </c>
      <c r="D321" s="6" t="s">
        <v>95</v>
      </c>
      <c r="E321" s="3" t="str">
        <f t="shared" si="1"/>
        <v>able&lt;br&gt;&lt;div class="audio"&gt;[sound:able.mp3]&lt;/div&gt;</v>
      </c>
      <c r="F321" s="3" t="str">
        <f t="shared" si="2"/>
        <v>(adj): có thể</v>
      </c>
      <c r="G321" s="6" t="s">
        <v>39110</v>
      </c>
      <c r="H321" s="6" t="s">
        <v>38106</v>
      </c>
      <c r="I321" s="7">
        <f t="shared" si="3"/>
        <v>0.8129096364</v>
      </c>
    </row>
    <row r="322">
      <c r="A322" s="4">
        <v>322.0</v>
      </c>
      <c r="B322" s="3" t="s">
        <v>39111</v>
      </c>
      <c r="C322" s="6" t="s">
        <v>24</v>
      </c>
      <c r="D322" s="6" t="s">
        <v>39112</v>
      </c>
      <c r="E322" s="3" t="str">
        <f t="shared" si="1"/>
        <v>break&lt;br&gt;&lt;div class="audio"&gt;[sound:break.mp3]&lt;/div&gt;</v>
      </c>
      <c r="F322" s="3" t="str">
        <f t="shared" si="2"/>
        <v>(v): làm vỡ</v>
      </c>
      <c r="G322" s="6" t="s">
        <v>39113</v>
      </c>
      <c r="H322" s="6" t="s">
        <v>39114</v>
      </c>
      <c r="I322" s="7">
        <f t="shared" si="3"/>
        <v>0.4652961216</v>
      </c>
    </row>
    <row r="323">
      <c r="A323" s="4">
        <v>323.0</v>
      </c>
      <c r="B323" s="3" t="s">
        <v>39115</v>
      </c>
      <c r="C323" s="6" t="s">
        <v>11</v>
      </c>
      <c r="D323" s="6" t="s">
        <v>23519</v>
      </c>
      <c r="E323" s="3" t="str">
        <f t="shared" si="1"/>
        <v>happy&lt;br&gt;&lt;div class="audio"&gt;[sound:happy.mp3]&lt;/div&gt;</v>
      </c>
      <c r="F323" s="3" t="str">
        <f t="shared" si="2"/>
        <v>(adj): vui vẻ</v>
      </c>
      <c r="G323" s="6" t="s">
        <v>39116</v>
      </c>
      <c r="H323" s="6" t="s">
        <v>39117</v>
      </c>
      <c r="I323" s="7">
        <f t="shared" si="3"/>
        <v>0.4684884431</v>
      </c>
    </row>
    <row r="324">
      <c r="A324" s="4">
        <v>324.0</v>
      </c>
      <c r="B324" s="3" t="s">
        <v>39118</v>
      </c>
      <c r="C324" s="6" t="s">
        <v>58</v>
      </c>
      <c r="D324" s="8" t="s">
        <v>39119</v>
      </c>
      <c r="E324" s="3" t="str">
        <f t="shared" si="1"/>
        <v>seven&lt;br&gt;&lt;div class="audio"&gt;[sound:seven.mp3]&lt;/div&gt;</v>
      </c>
      <c r="F324" s="3" t="str">
        <f t="shared" si="2"/>
        <v>(num): số bảy</v>
      </c>
      <c r="G324" s="8" t="s">
        <v>39120</v>
      </c>
      <c r="H324" s="8" t="s">
        <v>39121</v>
      </c>
      <c r="I324" s="7">
        <f t="shared" si="3"/>
        <v>0.3975322689</v>
      </c>
    </row>
    <row r="325">
      <c r="A325" s="4">
        <v>325.0</v>
      </c>
      <c r="B325" s="3" t="s">
        <v>39122</v>
      </c>
      <c r="C325" s="6" t="s">
        <v>85</v>
      </c>
      <c r="D325" s="6" t="s">
        <v>956</v>
      </c>
      <c r="E325" s="3" t="str">
        <f t="shared" si="1"/>
        <v>later&lt;br&gt;&lt;div class="audio"&gt;[sound:later.mp3]&lt;/div&gt;</v>
      </c>
      <c r="F325" s="3" t="str">
        <f t="shared" si="2"/>
        <v>(adv): sau đó</v>
      </c>
      <c r="G325" s="6" t="s">
        <v>39123</v>
      </c>
      <c r="H325" s="6" t="s">
        <v>39124</v>
      </c>
      <c r="I325" s="7">
        <f t="shared" si="3"/>
        <v>0.5051748986</v>
      </c>
    </row>
    <row r="326">
      <c r="A326" s="4">
        <v>326.0</v>
      </c>
      <c r="B326" s="3" t="s">
        <v>39125</v>
      </c>
      <c r="C326" s="6" t="s">
        <v>74</v>
      </c>
      <c r="D326" s="6" t="s">
        <v>31278</v>
      </c>
      <c r="E326" s="3" t="str">
        <f t="shared" si="1"/>
        <v>monk&lt;br&gt;&lt;div class="audio"&gt;[sound:monk.mp3]&lt;/div&gt;</v>
      </c>
      <c r="F326" s="3" t="str">
        <f t="shared" si="2"/>
        <v>(n): nhà sư</v>
      </c>
      <c r="G326" s="6" t="s">
        <v>39126</v>
      </c>
      <c r="H326" s="6" t="s">
        <v>39127</v>
      </c>
      <c r="I326" s="7">
        <f t="shared" si="3"/>
        <v>0.02048862429</v>
      </c>
    </row>
    <row r="327">
      <c r="A327" s="4">
        <v>327.0</v>
      </c>
      <c r="B327" s="3" t="s">
        <v>39128</v>
      </c>
      <c r="C327" s="6" t="s">
        <v>24</v>
      </c>
      <c r="D327" s="6" t="s">
        <v>95</v>
      </c>
      <c r="E327" s="3" t="str">
        <f t="shared" si="1"/>
        <v>might&lt;br&gt;&lt;div class="audio"&gt;[sound:might.mp3]&lt;/div&gt;</v>
      </c>
      <c r="F327" s="3" t="str">
        <f t="shared" si="2"/>
        <v>(v): có thể</v>
      </c>
      <c r="G327" s="6" t="s">
        <v>39129</v>
      </c>
      <c r="H327" s="6" t="s">
        <v>39130</v>
      </c>
      <c r="I327" s="7">
        <f t="shared" si="3"/>
        <v>0.6897945773</v>
      </c>
    </row>
    <row r="328">
      <c r="A328" s="4">
        <v>328.0</v>
      </c>
      <c r="B328" s="3" t="s">
        <v>39131</v>
      </c>
      <c r="C328" s="6" t="s">
        <v>74</v>
      </c>
      <c r="D328" s="6" t="s">
        <v>6274</v>
      </c>
      <c r="E328" s="3" t="str">
        <f t="shared" si="1"/>
        <v>chance&lt;br&gt;&lt;div class="audio"&gt;[sound:chance.mp3]&lt;/div&gt;</v>
      </c>
      <c r="F328" s="3" t="str">
        <f t="shared" si="2"/>
        <v>(n): cơ hội</v>
      </c>
      <c r="G328" s="6" t="s">
        <v>39132</v>
      </c>
      <c r="H328" s="6" t="s">
        <v>39133</v>
      </c>
      <c r="I328" s="7">
        <f t="shared" si="3"/>
        <v>0.5713991296</v>
      </c>
    </row>
    <row r="329">
      <c r="A329" s="4">
        <v>329.0</v>
      </c>
      <c r="B329" s="3" t="s">
        <v>39134</v>
      </c>
      <c r="C329" s="6" t="s">
        <v>90</v>
      </c>
      <c r="D329" s="6" t="s">
        <v>39135</v>
      </c>
      <c r="E329" s="3" t="str">
        <f t="shared" si="1"/>
        <v>though&lt;br&gt;&lt;div class="audio"&gt;[sound:though.mp3]&lt;/div&gt;</v>
      </c>
      <c r="F329" s="3" t="str">
        <f t="shared" si="2"/>
        <v>(conj): mặc dù</v>
      </c>
      <c r="G329" s="6" t="s">
        <v>39136</v>
      </c>
      <c r="H329" s="6" t="s">
        <v>39137</v>
      </c>
      <c r="I329" s="7">
        <f t="shared" si="3"/>
        <v>0.9004561954</v>
      </c>
    </row>
    <row r="330">
      <c r="A330" s="4">
        <v>330.0</v>
      </c>
      <c r="B330" s="3" t="s">
        <v>39138</v>
      </c>
      <c r="C330" s="6" t="s">
        <v>11</v>
      </c>
      <c r="D330" s="6" t="s">
        <v>2207</v>
      </c>
      <c r="E330" s="3" t="str">
        <f t="shared" si="1"/>
        <v>free&lt;br&gt;&lt;div class="audio"&gt;[sound:free.mp3]&lt;/div&gt;</v>
      </c>
      <c r="F330" s="3" t="str">
        <f t="shared" si="2"/>
        <v>(adj): tự do</v>
      </c>
      <c r="G330" s="6" t="s">
        <v>39139</v>
      </c>
      <c r="H330" s="6" t="s">
        <v>39140</v>
      </c>
      <c r="I330" s="7">
        <f t="shared" si="3"/>
        <v>0.8541656292</v>
      </c>
    </row>
    <row r="331">
      <c r="A331" s="4">
        <v>331.0</v>
      </c>
      <c r="B331" s="3" t="s">
        <v>39141</v>
      </c>
      <c r="C331" s="6" t="s">
        <v>74</v>
      </c>
      <c r="D331" s="8" t="s">
        <v>39142</v>
      </c>
      <c r="E331" s="3" t="str">
        <f t="shared" si="1"/>
        <v>source&lt;br&gt;&lt;div class="audio"&gt;[sound:source.mp3]&lt;/div&gt;</v>
      </c>
      <c r="F331" s="3" t="str">
        <f t="shared" si="2"/>
        <v>(n): nguồn</v>
      </c>
      <c r="G331" s="8" t="s">
        <v>39143</v>
      </c>
      <c r="H331" s="8" t="s">
        <v>39144</v>
      </c>
      <c r="I331" s="7">
        <f t="shared" si="3"/>
        <v>0.05245318086</v>
      </c>
    </row>
    <row r="332">
      <c r="A332" s="4">
        <v>332.0</v>
      </c>
      <c r="B332" s="3" t="s">
        <v>39145</v>
      </c>
      <c r="C332" s="6" t="s">
        <v>24</v>
      </c>
      <c r="D332" s="6" t="s">
        <v>6370</v>
      </c>
      <c r="E332" s="3" t="str">
        <f t="shared" si="1"/>
        <v>choose&lt;br&gt;&lt;div class="audio"&gt;[sound:choose.mp3]&lt;/div&gt;</v>
      </c>
      <c r="F332" s="3" t="str">
        <f t="shared" si="2"/>
        <v>(v): chọn</v>
      </c>
      <c r="G332" s="6" t="s">
        <v>39146</v>
      </c>
      <c r="H332" s="6" t="s">
        <v>39147</v>
      </c>
      <c r="I332" s="7">
        <f t="shared" si="3"/>
        <v>0.4991173557</v>
      </c>
    </row>
    <row r="333">
      <c r="A333" s="4">
        <v>333.0</v>
      </c>
      <c r="B333" s="3" t="s">
        <v>39148</v>
      </c>
      <c r="C333" s="6" t="s">
        <v>24</v>
      </c>
      <c r="D333" s="6" t="s">
        <v>317</v>
      </c>
      <c r="E333" s="3" t="str">
        <f t="shared" si="1"/>
        <v>receive&lt;br&gt;&lt;div class="audio"&gt;[sound:receive.mp3]&lt;/div&gt;</v>
      </c>
      <c r="F333" s="3" t="str">
        <f t="shared" si="2"/>
        <v>(v): nhận</v>
      </c>
      <c r="G333" s="6" t="s">
        <v>39149</v>
      </c>
      <c r="H333" s="6" t="s">
        <v>39150</v>
      </c>
      <c r="I333" s="7">
        <f t="shared" si="3"/>
        <v>0.2613639734</v>
      </c>
    </row>
    <row r="334">
      <c r="A334" s="4">
        <v>334.0</v>
      </c>
      <c r="B334" s="3" t="s">
        <v>39151</v>
      </c>
      <c r="C334" s="6" t="s">
        <v>74</v>
      </c>
      <c r="D334" s="8" t="s">
        <v>5663</v>
      </c>
      <c r="E334" s="3" t="str">
        <f t="shared" si="1"/>
        <v>series&lt;br&gt;&lt;div class="audio"&gt;[sound:series.mp3]&lt;/div&gt;</v>
      </c>
      <c r="F334" s="3" t="str">
        <f t="shared" si="2"/>
        <v>(n): loạt</v>
      </c>
      <c r="G334" s="8" t="s">
        <v>39152</v>
      </c>
      <c r="H334" s="8" t="s">
        <v>39153</v>
      </c>
      <c r="I334" s="7">
        <f t="shared" si="3"/>
        <v>0.576917547</v>
      </c>
    </row>
    <row r="335">
      <c r="A335" s="4">
        <v>335.0</v>
      </c>
      <c r="B335" s="3" t="s">
        <v>39154</v>
      </c>
      <c r="C335" s="6" t="s">
        <v>74</v>
      </c>
      <c r="D335" s="6" t="s">
        <v>240</v>
      </c>
      <c r="E335" s="3" t="str">
        <f t="shared" si="1"/>
        <v>money&lt;br&gt;&lt;div class="audio"&gt;[sound:money.mp3]&lt;/div&gt;</v>
      </c>
      <c r="F335" s="3" t="str">
        <f t="shared" si="2"/>
        <v>(n): tiền</v>
      </c>
      <c r="G335" s="6" t="s">
        <v>39155</v>
      </c>
      <c r="H335" s="6" t="s">
        <v>39156</v>
      </c>
      <c r="I335" s="7">
        <f t="shared" si="3"/>
        <v>0.7773780463</v>
      </c>
    </row>
    <row r="336">
      <c r="A336" s="4">
        <v>336.0</v>
      </c>
      <c r="B336" s="3" t="s">
        <v>39157</v>
      </c>
      <c r="C336" s="6" t="s">
        <v>74</v>
      </c>
      <c r="D336" s="8" t="s">
        <v>1129</v>
      </c>
      <c r="E336" s="3" t="str">
        <f t="shared" si="1"/>
        <v>section&lt;br&gt;&lt;div class="audio"&gt;[sound:section.mp3]&lt;/div&gt;</v>
      </c>
      <c r="F336" s="3" t="str">
        <f t="shared" si="2"/>
        <v>(n): phần</v>
      </c>
      <c r="G336" s="8" t="s">
        <v>39158</v>
      </c>
      <c r="H336" s="8" t="s">
        <v>39159</v>
      </c>
      <c r="I336" s="7">
        <f t="shared" si="3"/>
        <v>0.2469317572</v>
      </c>
    </row>
    <row r="337">
      <c r="A337" s="4">
        <v>337.0</v>
      </c>
      <c r="B337" s="3" t="s">
        <v>39160</v>
      </c>
      <c r="C337" s="6" t="s">
        <v>74</v>
      </c>
      <c r="D337" s="8" t="s">
        <v>39161</v>
      </c>
      <c r="E337" s="3" t="str">
        <f t="shared" si="1"/>
        <v>step&lt;br&gt;&lt;div class="audio"&gt;[sound:step.mp3]&lt;/div&gt;</v>
      </c>
      <c r="F337" s="3" t="str">
        <f t="shared" si="2"/>
        <v>(n): bước</v>
      </c>
      <c r="G337" s="8" t="s">
        <v>39162</v>
      </c>
      <c r="H337" s="8" t="s">
        <v>39163</v>
      </c>
      <c r="I337" s="7">
        <f t="shared" si="3"/>
        <v>0.2284631017</v>
      </c>
    </row>
    <row r="338">
      <c r="A338" s="4">
        <v>338.0</v>
      </c>
      <c r="B338" s="3" t="s">
        <v>39164</v>
      </c>
      <c r="C338" s="6" t="s">
        <v>63</v>
      </c>
      <c r="D338" s="6" t="s">
        <v>26319</v>
      </c>
      <c r="E338" s="3" t="str">
        <f t="shared" si="1"/>
        <v>under&lt;br&gt;&lt;div class="audio"&gt;[sound:under.mp3]&lt;/div&gt;</v>
      </c>
      <c r="F338" s="3" t="str">
        <f t="shared" si="2"/>
        <v>(prep): dưới</v>
      </c>
      <c r="G338" s="6" t="s">
        <v>39165</v>
      </c>
      <c r="H338" s="6" t="s">
        <v>39166</v>
      </c>
      <c r="I338" s="7">
        <f t="shared" si="3"/>
        <v>0.6867362099</v>
      </c>
    </row>
    <row r="339">
      <c r="A339" s="4">
        <v>339.0</v>
      </c>
      <c r="B339" s="3" t="s">
        <v>39167</v>
      </c>
      <c r="C339" s="6" t="s">
        <v>33</v>
      </c>
      <c r="D339" s="6" t="s">
        <v>34</v>
      </c>
      <c r="E339" s="3" t="str">
        <f t="shared" si="1"/>
        <v>yes&lt;br&gt;&lt;div class="audio"&gt;[sound:yes.mp3]&lt;/div&gt;</v>
      </c>
      <c r="F339" s="3" t="str">
        <f t="shared" si="2"/>
        <v>(int): vâng</v>
      </c>
      <c r="G339" s="6" t="s">
        <v>39168</v>
      </c>
      <c r="H339" s="6" t="s">
        <v>39169</v>
      </c>
      <c r="I339" s="7">
        <f t="shared" si="3"/>
        <v>0.07081827576</v>
      </c>
    </row>
    <row r="340">
      <c r="A340" s="4">
        <v>340.0</v>
      </c>
      <c r="B340" s="3" t="s">
        <v>39170</v>
      </c>
      <c r="C340" s="6" t="s">
        <v>11</v>
      </c>
      <c r="D340" s="6" t="s">
        <v>484</v>
      </c>
      <c r="E340" s="3" t="str">
        <f t="shared" si="1"/>
        <v>little&lt;br&gt;&lt;div class="audio"&gt;[sound:little.mp3]&lt;/div&gt;</v>
      </c>
      <c r="F340" s="3" t="str">
        <f t="shared" si="2"/>
        <v>(adj): nhỏ</v>
      </c>
      <c r="G340" s="6" t="s">
        <v>39171</v>
      </c>
      <c r="H340" s="6" t="s">
        <v>39172</v>
      </c>
      <c r="I340" s="7">
        <f t="shared" si="3"/>
        <v>0.1571300308</v>
      </c>
    </row>
    <row r="341">
      <c r="A341" s="4">
        <v>341.0</v>
      </c>
      <c r="B341" s="3" t="s">
        <v>39173</v>
      </c>
      <c r="C341" s="6" t="s">
        <v>24</v>
      </c>
      <c r="D341" s="6" t="s">
        <v>172</v>
      </c>
      <c r="E341" s="3" t="str">
        <f t="shared" si="1"/>
        <v>watch&lt;br&gt;&lt;div class="audio"&gt;[sound:watch.mp3]&lt;/div&gt;</v>
      </c>
      <c r="F341" s="3" t="str">
        <f t="shared" si="2"/>
        <v>(v): xem</v>
      </c>
      <c r="G341" s="6" t="s">
        <v>39174</v>
      </c>
      <c r="H341" s="6" t="s">
        <v>39175</v>
      </c>
      <c r="I341" s="7">
        <f t="shared" si="3"/>
        <v>0.6258199222</v>
      </c>
    </row>
    <row r="342">
      <c r="A342" s="4">
        <v>342.0</v>
      </c>
      <c r="B342" s="3" t="s">
        <v>39176</v>
      </c>
      <c r="C342" s="6" t="s">
        <v>24</v>
      </c>
      <c r="D342" s="6" t="s">
        <v>14620</v>
      </c>
      <c r="E342" s="3" t="str">
        <f t="shared" si="1"/>
        <v>remember&lt;br&gt;&lt;div class="audio"&gt;[sound:remember.mp3]&lt;/div&gt;</v>
      </c>
      <c r="F342" s="3" t="str">
        <f t="shared" si="2"/>
        <v>(v): nhớ</v>
      </c>
      <c r="G342" s="6" t="s">
        <v>39177</v>
      </c>
      <c r="H342" s="6" t="s">
        <v>39178</v>
      </c>
      <c r="I342" s="7">
        <f t="shared" si="3"/>
        <v>0.2890288274</v>
      </c>
    </row>
    <row r="343">
      <c r="A343" s="4">
        <v>343.0</v>
      </c>
      <c r="B343" s="3" t="s">
        <v>39179</v>
      </c>
      <c r="C343" s="6" t="s">
        <v>24</v>
      </c>
      <c r="D343" s="6" t="s">
        <v>344</v>
      </c>
      <c r="E343" s="3" t="str">
        <f t="shared" si="1"/>
        <v>meet&lt;br&gt;&lt;div class="audio"&gt;[sound:meet.mp3]&lt;/div&gt;</v>
      </c>
      <c r="F343" s="3" t="str">
        <f t="shared" si="2"/>
        <v>(v): gặp</v>
      </c>
      <c r="G343" s="6" t="s">
        <v>39180</v>
      </c>
      <c r="H343" s="6" t="s">
        <v>39181</v>
      </c>
      <c r="I343" s="7">
        <f t="shared" si="3"/>
        <v>0.3991840269</v>
      </c>
    </row>
    <row r="344">
      <c r="A344" s="4">
        <v>344.0</v>
      </c>
      <c r="B344" s="3" t="s">
        <v>39182</v>
      </c>
      <c r="C344" s="6" t="s">
        <v>74</v>
      </c>
      <c r="D344" s="6" t="s">
        <v>39183</v>
      </c>
      <c r="E344" s="3" t="str">
        <f t="shared" si="1"/>
        <v>father&lt;br&gt;&lt;div class="audio"&gt;[sound:father.mp3]&lt;/div&gt;</v>
      </c>
      <c r="F344" s="3" t="str">
        <f t="shared" si="2"/>
        <v>(n): cha</v>
      </c>
      <c r="G344" s="6" t="s">
        <v>39184</v>
      </c>
      <c r="H344" s="6" t="s">
        <v>39185</v>
      </c>
      <c r="I344" s="7">
        <f t="shared" si="3"/>
        <v>0.1960917994</v>
      </c>
    </row>
    <row r="345">
      <c r="A345" s="4">
        <v>345.0</v>
      </c>
      <c r="B345" s="3" t="s">
        <v>39186</v>
      </c>
      <c r="C345" s="6" t="s">
        <v>11</v>
      </c>
      <c r="D345" s="6" t="s">
        <v>2489</v>
      </c>
      <c r="E345" s="3" t="str">
        <f t="shared" si="1"/>
        <v>close&lt;br&gt;&lt;div class="audio"&gt;[sound:close.mp3]&lt;/div&gt;</v>
      </c>
      <c r="F345" s="3" t="str">
        <f t="shared" si="2"/>
        <v>(adj): gần</v>
      </c>
      <c r="G345" s="6" t="s">
        <v>39187</v>
      </c>
      <c r="H345" s="6" t="s">
        <v>39188</v>
      </c>
      <c r="I345" s="7">
        <f t="shared" si="3"/>
        <v>0.4492854471</v>
      </c>
    </row>
    <row r="346">
      <c r="A346" s="4">
        <v>346.0</v>
      </c>
      <c r="B346" s="3" t="s">
        <v>39189</v>
      </c>
      <c r="C346" s="6" t="s">
        <v>85</v>
      </c>
      <c r="D346" s="6" t="s">
        <v>9033</v>
      </c>
      <c r="E346" s="3" t="str">
        <f t="shared" si="1"/>
        <v>off&lt;br&gt;&lt;div class="audio"&gt;[sound:off.mp3]&lt;/div&gt;</v>
      </c>
      <c r="F346" s="3" t="str">
        <f t="shared" si="2"/>
        <v>(adv): tắt</v>
      </c>
      <c r="G346" s="6" t="s">
        <v>39190</v>
      </c>
      <c r="H346" s="6" t="s">
        <v>39191</v>
      </c>
      <c r="I346" s="7">
        <f t="shared" si="3"/>
        <v>0.8091295681</v>
      </c>
    </row>
    <row r="347">
      <c r="A347" s="4">
        <v>347.0</v>
      </c>
      <c r="B347" s="3" t="s">
        <v>39192</v>
      </c>
      <c r="C347" s="6" t="s">
        <v>74</v>
      </c>
      <c r="D347" s="6" t="s">
        <v>285</v>
      </c>
      <c r="E347" s="3" t="str">
        <f t="shared" si="1"/>
        <v>friend&lt;br&gt;&lt;div class="audio"&gt;[sound:friend.mp3]&lt;/div&gt;</v>
      </c>
      <c r="F347" s="3" t="str">
        <f t="shared" si="2"/>
        <v>(n): bạn</v>
      </c>
      <c r="G347" s="6" t="s">
        <v>39193</v>
      </c>
      <c r="H347" s="6" t="s">
        <v>39194</v>
      </c>
      <c r="I347" s="7">
        <f t="shared" si="3"/>
        <v>0.7695608869</v>
      </c>
    </row>
    <row r="348">
      <c r="A348" s="4">
        <v>348.0</v>
      </c>
      <c r="B348" s="3" t="s">
        <v>39195</v>
      </c>
      <c r="C348" s="6" t="s">
        <v>85</v>
      </c>
      <c r="D348" s="6" t="s">
        <v>960</v>
      </c>
      <c r="E348" s="3" t="str">
        <f t="shared" si="1"/>
        <v>quite&lt;br&gt;&lt;div class="audio"&gt;[sound:quite.mp3]&lt;/div&gt;</v>
      </c>
      <c r="F348" s="3" t="str">
        <f t="shared" si="2"/>
        <v>(adv): khá</v>
      </c>
      <c r="G348" s="6" t="s">
        <v>39196</v>
      </c>
      <c r="H348" s="6" t="s">
        <v>39197</v>
      </c>
      <c r="I348" s="7">
        <f t="shared" si="3"/>
        <v>0.4626360085</v>
      </c>
    </row>
    <row r="349">
      <c r="A349" s="4">
        <v>349.0</v>
      </c>
      <c r="B349" s="3" t="s">
        <v>39198</v>
      </c>
      <c r="C349" s="6" t="s">
        <v>11</v>
      </c>
      <c r="D349" s="6" t="s">
        <v>423</v>
      </c>
      <c r="E349" s="3" t="str">
        <f t="shared" si="1"/>
        <v>large&lt;br&gt;&lt;div class="audio"&gt;[sound:large.mp3]&lt;/div&gt;</v>
      </c>
      <c r="F349" s="3" t="str">
        <f t="shared" si="2"/>
        <v>(adj): lớn</v>
      </c>
      <c r="G349" s="6" t="s">
        <v>39199</v>
      </c>
      <c r="H349" s="6" t="s">
        <v>39200</v>
      </c>
      <c r="I349" s="7">
        <f t="shared" si="3"/>
        <v>0.04987470904</v>
      </c>
    </row>
    <row r="350">
      <c r="A350" s="4">
        <v>350.0</v>
      </c>
      <c r="B350" s="3" t="s">
        <v>39201</v>
      </c>
      <c r="C350" s="6" t="s">
        <v>74</v>
      </c>
      <c r="D350" s="6" t="s">
        <v>30966</v>
      </c>
      <c r="E350" s="3" t="str">
        <f t="shared" si="1"/>
        <v>hour&lt;br&gt;&lt;div class="audio"&gt;[sound:hour.mp3]&lt;/div&gt;</v>
      </c>
      <c r="F350" s="3" t="str">
        <f t="shared" si="2"/>
        <v>(n): giờ</v>
      </c>
      <c r="G350" s="6" t="s">
        <v>39202</v>
      </c>
      <c r="H350" s="6" t="s">
        <v>39203</v>
      </c>
      <c r="I350" s="7">
        <f t="shared" si="3"/>
        <v>0.6356933205</v>
      </c>
    </row>
    <row r="351">
      <c r="A351" s="4">
        <v>351.0</v>
      </c>
      <c r="B351" s="3" t="s">
        <v>39204</v>
      </c>
      <c r="C351" s="6" t="s">
        <v>11</v>
      </c>
      <c r="D351" s="6" t="s">
        <v>1366</v>
      </c>
      <c r="E351" s="3" t="str">
        <f t="shared" si="1"/>
        <v>few&lt;br&gt;&lt;div class="audio"&gt;[sound:few.mp3]&lt;/div&gt;</v>
      </c>
      <c r="F351" s="3" t="str">
        <f t="shared" si="2"/>
        <v>(adj): ít</v>
      </c>
      <c r="G351" s="6" t="s">
        <v>39205</v>
      </c>
      <c r="H351" s="6" t="s">
        <v>39206</v>
      </c>
      <c r="I351" s="7">
        <f t="shared" si="3"/>
        <v>0.8119639022</v>
      </c>
    </row>
    <row r="352">
      <c r="A352" s="4">
        <v>352.0</v>
      </c>
      <c r="B352" s="3" t="s">
        <v>39207</v>
      </c>
      <c r="C352" s="6" t="s">
        <v>85</v>
      </c>
      <c r="D352" s="6" t="s">
        <v>1736</v>
      </c>
      <c r="E352" s="3" t="str">
        <f t="shared" si="1"/>
        <v>together&lt;br&gt;&lt;div class="audio"&gt;[sound:together.mp3]&lt;/div&gt;</v>
      </c>
      <c r="F352" s="3" t="str">
        <f t="shared" si="2"/>
        <v>(adv): cùng nhau</v>
      </c>
      <c r="G352" s="6" t="s">
        <v>39208</v>
      </c>
      <c r="H352" s="6" t="s">
        <v>39209</v>
      </c>
      <c r="I352" s="7">
        <f t="shared" si="3"/>
        <v>0.3326494001</v>
      </c>
    </row>
    <row r="353">
      <c r="A353" s="4">
        <v>353.0</v>
      </c>
      <c r="B353" s="3" t="s">
        <v>39210</v>
      </c>
      <c r="C353" s="6" t="s">
        <v>74</v>
      </c>
      <c r="D353" s="6" t="s">
        <v>10265</v>
      </c>
      <c r="E353" s="3" t="str">
        <f t="shared" si="1"/>
        <v>death&lt;br&gt;&lt;div class="audio"&gt;[sound:death.mp3]&lt;/div&gt;</v>
      </c>
      <c r="F353" s="3" t="str">
        <f t="shared" si="2"/>
        <v>(n): cái chết</v>
      </c>
      <c r="G353" s="6" t="s">
        <v>39211</v>
      </c>
      <c r="H353" s="6" t="s">
        <v>39212</v>
      </c>
      <c r="I353" s="7">
        <f t="shared" si="3"/>
        <v>0.006047109607</v>
      </c>
    </row>
    <row r="354">
      <c r="A354" s="4">
        <v>354.0</v>
      </c>
      <c r="B354" s="3" t="s">
        <v>39213</v>
      </c>
      <c r="C354" s="6" t="s">
        <v>11</v>
      </c>
      <c r="D354" s="6" t="s">
        <v>3467</v>
      </c>
      <c r="E354" s="3" t="str">
        <f t="shared" si="1"/>
        <v>easy&lt;br&gt;&lt;div class="audio"&gt;[sound:easy.mp3]&lt;/div&gt;</v>
      </c>
      <c r="F354" s="3" t="str">
        <f t="shared" si="2"/>
        <v>(adj): dễ dàng</v>
      </c>
      <c r="G354" s="6" t="s">
        <v>39214</v>
      </c>
      <c r="H354" s="6" t="s">
        <v>39215</v>
      </c>
      <c r="I354" s="7">
        <f t="shared" si="3"/>
        <v>0.6851149555</v>
      </c>
    </row>
    <row r="355">
      <c r="A355" s="4">
        <v>355.0</v>
      </c>
      <c r="B355" s="3" t="s">
        <v>39216</v>
      </c>
      <c r="C355" s="6" t="s">
        <v>74</v>
      </c>
      <c r="D355" s="6" t="s">
        <v>27605</v>
      </c>
      <c r="E355" s="3" t="str">
        <f t="shared" si="1"/>
        <v>top&lt;br&gt;&lt;div class="audio"&gt;[sound:top.mp3]&lt;/div&gt;</v>
      </c>
      <c r="F355" s="3" t="str">
        <f t="shared" si="2"/>
        <v>(n): đỉnh</v>
      </c>
      <c r="G355" s="6" t="s">
        <v>39217</v>
      </c>
      <c r="H355" s="6" t="s">
        <v>39218</v>
      </c>
      <c r="I355" s="7">
        <f t="shared" si="3"/>
        <v>0.3939528207</v>
      </c>
    </row>
    <row r="356">
      <c r="A356" s="4">
        <v>356.0</v>
      </c>
      <c r="B356" s="3" t="s">
        <v>39219</v>
      </c>
      <c r="C356" s="6" t="s">
        <v>44</v>
      </c>
      <c r="D356" s="6" t="s">
        <v>39220</v>
      </c>
      <c r="E356" s="3" t="str">
        <f t="shared" si="1"/>
        <v>himself&lt;br&gt;&lt;div class="audio"&gt;[sound:himself.mp3]&lt;/div&gt;</v>
      </c>
      <c r="F356" s="3" t="str">
        <f t="shared" si="2"/>
        <v>(pron): bản thân anh ấy</v>
      </c>
      <c r="G356" s="6" t="s">
        <v>39221</v>
      </c>
      <c r="H356" s="6" t="s">
        <v>39222</v>
      </c>
      <c r="I356" s="7">
        <f t="shared" si="3"/>
        <v>0.3458614678</v>
      </c>
    </row>
    <row r="357">
      <c r="A357" s="4">
        <v>357.0</v>
      </c>
      <c r="B357" s="3" t="s">
        <v>39223</v>
      </c>
      <c r="C357" s="6" t="s">
        <v>74</v>
      </c>
      <c r="D357" s="6" t="s">
        <v>39224</v>
      </c>
      <c r="E357" s="3" t="str">
        <f t="shared" si="1"/>
        <v>mushroom&lt;br&gt;&lt;div class="audio"&gt;[sound:mushroom.mp3]&lt;/div&gt;</v>
      </c>
      <c r="F357" s="3" t="str">
        <f t="shared" si="2"/>
        <v>(n): nấm</v>
      </c>
      <c r="G357" s="6" t="s">
        <v>39225</v>
      </c>
      <c r="H357" s="6" t="s">
        <v>39226</v>
      </c>
      <c r="I357" s="7">
        <f t="shared" si="3"/>
        <v>0.8163877412</v>
      </c>
    </row>
    <row r="358">
      <c r="A358" s="4">
        <v>358.0</v>
      </c>
      <c r="B358" s="3" t="s">
        <v>39227</v>
      </c>
      <c r="C358" s="6" t="s">
        <v>74</v>
      </c>
      <c r="D358" s="6" t="s">
        <v>39228</v>
      </c>
      <c r="E358" s="3" t="str">
        <f t="shared" si="1"/>
        <v>brother&lt;br&gt;&lt;div class="audio"&gt;[sound:brother.mp3]&lt;/div&gt;</v>
      </c>
      <c r="F358" s="3" t="str">
        <f t="shared" si="2"/>
        <v>(n): anh em trai</v>
      </c>
      <c r="G358" s="6" t="s">
        <v>39229</v>
      </c>
      <c r="H358" s="6" t="s">
        <v>39230</v>
      </c>
      <c r="I358" s="7">
        <f t="shared" si="3"/>
        <v>0.3351244112</v>
      </c>
    </row>
    <row r="359">
      <c r="A359" s="4">
        <v>359.0</v>
      </c>
      <c r="B359" s="3" t="s">
        <v>39231</v>
      </c>
      <c r="C359" s="6" t="s">
        <v>63</v>
      </c>
      <c r="D359" s="6" t="s">
        <v>39232</v>
      </c>
      <c r="E359" s="3" t="str">
        <f t="shared" si="1"/>
        <v>including&lt;br&gt;&lt;div class="audio"&gt;[sound:including.mp3]&lt;/div&gt;</v>
      </c>
      <c r="F359" s="3" t="str">
        <f t="shared" si="2"/>
        <v>(prep): bao gồm cả</v>
      </c>
      <c r="G359" s="6" t="s">
        <v>39233</v>
      </c>
      <c r="H359" s="6" t="s">
        <v>39234</v>
      </c>
      <c r="I359" s="7">
        <f t="shared" si="3"/>
        <v>0.0890497581</v>
      </c>
    </row>
    <row r="360">
      <c r="A360" s="4">
        <v>360.0</v>
      </c>
      <c r="B360" s="3" t="s">
        <v>39235</v>
      </c>
      <c r="C360" s="6" t="s">
        <v>74</v>
      </c>
      <c r="D360" s="6" t="s">
        <v>3366</v>
      </c>
      <c r="E360" s="3" t="str">
        <f t="shared" si="1"/>
        <v>decision&lt;br&gt;&lt;div class="audio"&gt;[sound:decision.mp3]&lt;/div&gt;</v>
      </c>
      <c r="F360" s="3" t="str">
        <f t="shared" si="2"/>
        <v>(n): quyết định</v>
      </c>
      <c r="G360" s="6" t="s">
        <v>39236</v>
      </c>
      <c r="H360" s="6" t="s">
        <v>39237</v>
      </c>
      <c r="I360" s="7">
        <f t="shared" si="3"/>
        <v>0.4767640907</v>
      </c>
    </row>
    <row r="361">
      <c r="A361" s="4">
        <v>361.0</v>
      </c>
      <c r="B361" s="3" t="s">
        <v>39238</v>
      </c>
      <c r="C361" s="6" t="s">
        <v>74</v>
      </c>
      <c r="D361" s="6" t="s">
        <v>39239</v>
      </c>
      <c r="E361" s="3" t="str">
        <f t="shared" si="1"/>
        <v>guy&lt;br&gt;&lt;div class="audio"&gt;[sound:guy.mp3]&lt;/div&gt;</v>
      </c>
      <c r="F361" s="3" t="str">
        <f t="shared" si="2"/>
        <v>(n): chàng trai</v>
      </c>
      <c r="G361" s="6" t="s">
        <v>39240</v>
      </c>
      <c r="H361" s="6" t="s">
        <v>39241</v>
      </c>
      <c r="I361" s="7">
        <f t="shared" si="3"/>
        <v>0.3381357185</v>
      </c>
    </row>
    <row r="362">
      <c r="A362" s="4">
        <v>362.0</v>
      </c>
      <c r="B362" s="3" t="s">
        <v>39242</v>
      </c>
      <c r="C362" s="6" t="s">
        <v>44</v>
      </c>
      <c r="D362" s="6" t="s">
        <v>492</v>
      </c>
      <c r="E362" s="3" t="str">
        <f t="shared" si="1"/>
        <v>everyone&lt;br&gt;&lt;div class="audio"&gt;[sound:everyone.mp3]&lt;/div&gt;</v>
      </c>
      <c r="F362" s="3" t="str">
        <f t="shared" si="2"/>
        <v>(pron): mọi người</v>
      </c>
      <c r="G362" s="6" t="s">
        <v>39243</v>
      </c>
      <c r="H362" s="6" t="s">
        <v>39244</v>
      </c>
      <c r="I362" s="7">
        <f t="shared" si="3"/>
        <v>0.0399661021</v>
      </c>
    </row>
    <row r="363">
      <c r="A363" s="4">
        <v>363.0</v>
      </c>
      <c r="B363" s="3" t="s">
        <v>39245</v>
      </c>
      <c r="C363" s="6" t="s">
        <v>74</v>
      </c>
      <c r="D363" s="6" t="s">
        <v>3303</v>
      </c>
      <c r="E363" s="3" t="str">
        <f t="shared" si="1"/>
        <v>action&lt;br&gt;&lt;div class="audio"&gt;[sound:action.mp3]&lt;/div&gt;</v>
      </c>
      <c r="F363" s="3" t="str">
        <f t="shared" si="2"/>
        <v>(n): hành động</v>
      </c>
      <c r="G363" s="6" t="s">
        <v>39246</v>
      </c>
      <c r="H363" s="6" t="s">
        <v>39247</v>
      </c>
      <c r="I363" s="7">
        <f t="shared" si="3"/>
        <v>0.06747169566</v>
      </c>
    </row>
    <row r="364">
      <c r="A364" s="4">
        <v>364.0</v>
      </c>
      <c r="B364" s="3" t="s">
        <v>39248</v>
      </c>
      <c r="C364" s="6" t="s">
        <v>74</v>
      </c>
      <c r="D364" s="6" t="s">
        <v>39249</v>
      </c>
      <c r="E364" s="3" t="str">
        <f t="shared" si="1"/>
        <v>technology&lt;br&gt;&lt;div class="audio"&gt;[sound:technology.mp3]&lt;/div&gt;</v>
      </c>
      <c r="F364" s="3" t="str">
        <f t="shared" si="2"/>
        <v>(n): công nghệ</v>
      </c>
      <c r="G364" s="6" t="s">
        <v>39250</v>
      </c>
      <c r="H364" s="6" t="s">
        <v>39251</v>
      </c>
      <c r="I364" s="7">
        <f t="shared" si="3"/>
        <v>0.8740571686</v>
      </c>
    </row>
    <row r="365">
      <c r="A365" s="4">
        <v>365.0</v>
      </c>
      <c r="B365" s="3" t="s">
        <v>39252</v>
      </c>
      <c r="C365" s="6" t="s">
        <v>74</v>
      </c>
      <c r="D365" s="6" t="s">
        <v>8436</v>
      </c>
      <c r="E365" s="3" t="str">
        <f t="shared" si="1"/>
        <v>goal&lt;br&gt;&lt;div class="audio"&gt;[sound:goal.mp3]&lt;/div&gt;</v>
      </c>
      <c r="F365" s="3" t="str">
        <f t="shared" si="2"/>
        <v>(n): mục tiêu</v>
      </c>
      <c r="G365" s="6" t="s">
        <v>39253</v>
      </c>
      <c r="H365" s="6" t="s">
        <v>39254</v>
      </c>
      <c r="I365" s="7">
        <f t="shared" si="3"/>
        <v>0.8471999136</v>
      </c>
    </row>
    <row r="366">
      <c r="A366" s="4">
        <v>366.0</v>
      </c>
      <c r="B366" s="3" t="s">
        <v>39255</v>
      </c>
      <c r="C366" s="6" t="s">
        <v>85</v>
      </c>
      <c r="D366" s="6" t="s">
        <v>1585</v>
      </c>
      <c r="E366" s="3" t="str">
        <f t="shared" si="1"/>
        <v>almost&lt;br&gt;&lt;div class="audio"&gt;[sound:almost.mp3]&lt;/div&gt;</v>
      </c>
      <c r="F366" s="3" t="str">
        <f t="shared" si="2"/>
        <v>(adv): gần như</v>
      </c>
      <c r="G366" s="6" t="s">
        <v>39256</v>
      </c>
      <c r="H366" s="6" t="s">
        <v>39257</v>
      </c>
      <c r="I366" s="7">
        <f t="shared" si="3"/>
        <v>0.2100790119</v>
      </c>
    </row>
    <row r="367">
      <c r="A367" s="4">
        <v>367.0</v>
      </c>
      <c r="B367" s="3" t="s">
        <v>39258</v>
      </c>
      <c r="C367" s="6" t="s">
        <v>11</v>
      </c>
      <c r="D367" s="6" t="s">
        <v>6414</v>
      </c>
      <c r="E367" s="3" t="str">
        <f t="shared" si="1"/>
        <v>half&lt;br&gt;&lt;div class="audio"&gt;[sound:half.mp3]&lt;/div&gt;</v>
      </c>
      <c r="F367" s="3" t="str">
        <f t="shared" si="2"/>
        <v>(adj): một nửa</v>
      </c>
      <c r="G367" s="6" t="s">
        <v>39259</v>
      </c>
      <c r="H367" s="6" t="s">
        <v>39260</v>
      </c>
      <c r="I367" s="7">
        <f t="shared" si="3"/>
        <v>0.8810098026</v>
      </c>
    </row>
    <row r="368">
      <c r="A368" s="4">
        <v>368.0</v>
      </c>
      <c r="B368" s="3" t="s">
        <v>39261</v>
      </c>
      <c r="C368" s="6" t="s">
        <v>11</v>
      </c>
      <c r="D368" s="6" t="s">
        <v>1384</v>
      </c>
      <c r="E368" s="3" t="str">
        <f t="shared" si="1"/>
        <v>international&lt;br&gt;&lt;div class="audio"&gt;[sound:international.mp3]&lt;/div&gt;</v>
      </c>
      <c r="F368" s="3" t="str">
        <f t="shared" si="2"/>
        <v>(adj): quốc tế</v>
      </c>
      <c r="G368" s="6" t="s">
        <v>39262</v>
      </c>
      <c r="H368" s="6" t="s">
        <v>39263</v>
      </c>
      <c r="I368" s="7">
        <f t="shared" si="3"/>
        <v>0.5016340088</v>
      </c>
    </row>
    <row r="369">
      <c r="A369" s="4">
        <v>369.0</v>
      </c>
      <c r="B369" s="3" t="s">
        <v>39264</v>
      </c>
      <c r="C369" s="6" t="s">
        <v>63</v>
      </c>
      <c r="D369" s="6" t="s">
        <v>39265</v>
      </c>
      <c r="E369" s="3" t="str">
        <f t="shared" si="1"/>
        <v>until&lt;br&gt;&lt;div class="audio"&gt;[sound:until.mp3]&lt;/div&gt;</v>
      </c>
      <c r="F369" s="3" t="str">
        <f t="shared" si="2"/>
        <v>(prep): cho đến</v>
      </c>
      <c r="G369" s="6" t="s">
        <v>39266</v>
      </c>
      <c r="H369" s="6" t="s">
        <v>39267</v>
      </c>
      <c r="I369" s="7">
        <f t="shared" si="3"/>
        <v>0.7017486695</v>
      </c>
    </row>
    <row r="370">
      <c r="A370" s="4">
        <v>370.0</v>
      </c>
      <c r="B370" s="3" t="s">
        <v>39268</v>
      </c>
      <c r="C370" s="6" t="s">
        <v>24</v>
      </c>
      <c r="D370" s="6" t="s">
        <v>8328</v>
      </c>
      <c r="E370" s="3" t="str">
        <f t="shared" si="1"/>
        <v>create&lt;br&gt;&lt;div class="audio"&gt;[sound:create.mp3]&lt;/div&gt;</v>
      </c>
      <c r="F370" s="3" t="str">
        <f t="shared" si="2"/>
        <v>(v): tạo ra</v>
      </c>
      <c r="G370" s="6" t="s">
        <v>39269</v>
      </c>
      <c r="H370" s="6" t="s">
        <v>39270</v>
      </c>
      <c r="I370" s="7">
        <f t="shared" si="3"/>
        <v>0.6159514505</v>
      </c>
    </row>
    <row r="371">
      <c r="A371" s="4">
        <v>371.0</v>
      </c>
      <c r="B371" s="3" t="s">
        <v>39271</v>
      </c>
      <c r="C371" s="6" t="s">
        <v>24</v>
      </c>
      <c r="D371" s="6" t="s">
        <v>39272</v>
      </c>
      <c r="E371" s="3" t="str">
        <f t="shared" si="1"/>
        <v>agree&lt;br&gt;&lt;div class="audio"&gt;[sound:agree.mp3]&lt;/div&gt;</v>
      </c>
      <c r="F371" s="3" t="str">
        <f t="shared" si="2"/>
        <v>(v): đồng ý</v>
      </c>
      <c r="G371" s="6" t="s">
        <v>39273</v>
      </c>
      <c r="H371" s="6" t="s">
        <v>39274</v>
      </c>
      <c r="I371" s="7">
        <f t="shared" si="3"/>
        <v>0.1734583693</v>
      </c>
    </row>
    <row r="372">
      <c r="A372" s="4">
        <v>372.0</v>
      </c>
      <c r="B372" s="3" t="s">
        <v>39275</v>
      </c>
      <c r="C372" s="6" t="s">
        <v>24</v>
      </c>
      <c r="D372" s="6" t="s">
        <v>39276</v>
      </c>
      <c r="E372" s="3" t="str">
        <f t="shared" si="1"/>
        <v>believe&lt;br&gt;&lt;div class="audio"&gt;[sound:believe.mp3]&lt;/div&gt;</v>
      </c>
      <c r="F372" s="3" t="str">
        <f t="shared" si="2"/>
        <v>(v): tin</v>
      </c>
      <c r="G372" s="6" t="s">
        <v>39277</v>
      </c>
      <c r="H372" s="6" t="s">
        <v>39278</v>
      </c>
      <c r="I372" s="7">
        <f t="shared" si="3"/>
        <v>0.3690033056</v>
      </c>
    </row>
    <row r="373">
      <c r="A373" s="4">
        <v>373.0</v>
      </c>
      <c r="B373" s="3" t="s">
        <v>39279</v>
      </c>
      <c r="C373" s="6" t="s">
        <v>74</v>
      </c>
      <c r="D373" s="6" t="s">
        <v>15441</v>
      </c>
      <c r="E373" s="3" t="str">
        <f t="shared" si="1"/>
        <v>heart&lt;br&gt;&lt;div class="audio"&gt;[sound:heart.mp3]&lt;/div&gt;</v>
      </c>
      <c r="F373" s="3" t="str">
        <f t="shared" si="2"/>
        <v>(n): tim</v>
      </c>
      <c r="G373" s="6" t="s">
        <v>39280</v>
      </c>
      <c r="H373" s="6" t="s">
        <v>39281</v>
      </c>
      <c r="I373" s="7">
        <f t="shared" si="3"/>
        <v>0.8541546771</v>
      </c>
    </row>
    <row r="374">
      <c r="A374" s="4">
        <v>374.0</v>
      </c>
      <c r="B374" s="3" t="s">
        <v>39282</v>
      </c>
      <c r="C374" s="6" t="s">
        <v>85</v>
      </c>
      <c r="D374" s="6" t="s">
        <v>162</v>
      </c>
      <c r="E374" s="3" t="str">
        <f t="shared" si="1"/>
        <v>already&lt;br&gt;&lt;div class="audio"&gt;[sound:already.mp3]&lt;/div&gt;</v>
      </c>
      <c r="F374" s="3" t="str">
        <f t="shared" si="2"/>
        <v>(adv): đã</v>
      </c>
      <c r="G374" s="6" t="s">
        <v>39283</v>
      </c>
      <c r="H374" s="6" t="s">
        <v>39284</v>
      </c>
      <c r="I374" s="7">
        <f t="shared" si="3"/>
        <v>0.6588324419</v>
      </c>
    </row>
    <row r="375">
      <c r="A375" s="4">
        <v>375.0</v>
      </c>
      <c r="B375" s="3" t="s">
        <v>39285</v>
      </c>
      <c r="C375" s="6" t="s">
        <v>74</v>
      </c>
      <c r="D375" s="6" t="s">
        <v>2304</v>
      </c>
      <c r="E375" s="3" t="str">
        <f t="shared" si="1"/>
        <v>test&lt;br&gt;&lt;div class="audio"&gt;[sound:test.mp3]&lt;/div&gt;</v>
      </c>
      <c r="F375" s="3" t="str">
        <f t="shared" si="2"/>
        <v>(n): bài kiểm tra</v>
      </c>
      <c r="G375" s="6" t="s">
        <v>39286</v>
      </c>
      <c r="H375" s="6" t="s">
        <v>39287</v>
      </c>
      <c r="I375" s="7">
        <f t="shared" si="3"/>
        <v>0.5638160053</v>
      </c>
    </row>
    <row r="376">
      <c r="A376" s="4">
        <v>376.0</v>
      </c>
      <c r="B376" s="3" t="s">
        <v>39288</v>
      </c>
      <c r="C376" s="6" t="s">
        <v>24</v>
      </c>
      <c r="D376" s="6" t="s">
        <v>39289</v>
      </c>
      <c r="E376" s="3" t="str">
        <f t="shared" si="1"/>
        <v>cover&lt;br&gt;&lt;div class="audio"&gt;[sound:cover.mp3]&lt;/div&gt;</v>
      </c>
      <c r="F376" s="3" t="str">
        <f t="shared" si="2"/>
        <v>(v): che phủ</v>
      </c>
      <c r="G376" s="6" t="s">
        <v>39290</v>
      </c>
      <c r="H376" s="6" t="s">
        <v>39291</v>
      </c>
      <c r="I376" s="7">
        <f t="shared" si="3"/>
        <v>0.2001770774</v>
      </c>
    </row>
    <row r="377">
      <c r="A377" s="4">
        <v>377.0</v>
      </c>
      <c r="B377" s="3" t="s">
        <v>39292</v>
      </c>
      <c r="C377" s="6" t="s">
        <v>24</v>
      </c>
      <c r="D377" s="6" t="s">
        <v>3321</v>
      </c>
      <c r="E377" s="3" t="str">
        <f t="shared" si="1"/>
        <v>walk&lt;br&gt;&lt;div class="audio"&gt;[sound:walk.mp3]&lt;/div&gt;</v>
      </c>
      <c r="F377" s="3" t="str">
        <f t="shared" si="2"/>
        <v>(v): đi bộ</v>
      </c>
      <c r="G377" s="6" t="s">
        <v>39293</v>
      </c>
      <c r="H377" s="6" t="s">
        <v>39294</v>
      </c>
      <c r="I377" s="7">
        <f t="shared" si="3"/>
        <v>0.8750219824</v>
      </c>
    </row>
    <row r="378">
      <c r="A378" s="4">
        <v>378.0</v>
      </c>
      <c r="B378" s="3" t="s">
        <v>39295</v>
      </c>
      <c r="C378" s="6" t="s">
        <v>24</v>
      </c>
      <c r="D378" s="6" t="s">
        <v>539</v>
      </c>
      <c r="E378" s="3" t="str">
        <f t="shared" si="1"/>
        <v>eat&lt;br&gt;&lt;div class="audio"&gt;[sound:eat.mp3]&lt;/div&gt;</v>
      </c>
      <c r="F378" s="3" t="str">
        <f t="shared" si="2"/>
        <v>(v): ăn</v>
      </c>
      <c r="G378" s="6" t="s">
        <v>39296</v>
      </c>
      <c r="H378" s="6" t="s">
        <v>39297</v>
      </c>
      <c r="I378" s="7">
        <f t="shared" si="3"/>
        <v>0.3402392073</v>
      </c>
    </row>
    <row r="379">
      <c r="A379" s="4">
        <v>379.0</v>
      </c>
      <c r="B379" s="3" t="s">
        <v>39298</v>
      </c>
      <c r="C379" s="6" t="s">
        <v>85</v>
      </c>
      <c r="D379" s="8" t="s">
        <v>39299</v>
      </c>
      <c r="E379" s="3" t="str">
        <f t="shared" si="1"/>
        <v>suddenly&lt;br&gt;&lt;div class="audio"&gt;[sound:suddenly.mp3]&lt;/div&gt;</v>
      </c>
      <c r="F379" s="3" t="str">
        <f t="shared" si="2"/>
        <v>(adv): một cách đột ngột</v>
      </c>
      <c r="G379" s="8" t="s">
        <v>39300</v>
      </c>
      <c r="H379" s="8" t="s">
        <v>39301</v>
      </c>
      <c r="I379" s="7">
        <f t="shared" si="3"/>
        <v>0.8215525687</v>
      </c>
    </row>
    <row r="380">
      <c r="A380" s="4">
        <v>380.0</v>
      </c>
      <c r="B380" s="3" t="s">
        <v>39302</v>
      </c>
      <c r="C380" s="6" t="s">
        <v>85</v>
      </c>
      <c r="D380" s="6" t="s">
        <v>39303</v>
      </c>
      <c r="E380" s="3" t="str">
        <f t="shared" si="1"/>
        <v>clearly&lt;br&gt;&lt;div class="audio"&gt;[sound:clearly.mp3]&lt;/div&gt;</v>
      </c>
      <c r="F380" s="3" t="str">
        <f t="shared" si="2"/>
        <v>(adv): một cách rõ ràng</v>
      </c>
      <c r="G380" s="6" t="s">
        <v>39304</v>
      </c>
      <c r="H380" s="6" t="s">
        <v>39305</v>
      </c>
      <c r="I380" s="7">
        <f t="shared" si="3"/>
        <v>0.4574371301</v>
      </c>
    </row>
    <row r="381">
      <c r="A381" s="4">
        <v>381.0</v>
      </c>
      <c r="B381" s="3" t="s">
        <v>39306</v>
      </c>
      <c r="C381" s="6" t="s">
        <v>74</v>
      </c>
      <c r="D381" s="6" t="s">
        <v>6686</v>
      </c>
      <c r="E381" s="3" t="str">
        <f t="shared" si="1"/>
        <v>development&lt;br&gt;&lt;div class="audio"&gt;[sound:development.mp3]&lt;/div&gt;</v>
      </c>
      <c r="F381" s="3" t="str">
        <f t="shared" si="2"/>
        <v>(n): sự phát triển</v>
      </c>
      <c r="G381" s="6" t="s">
        <v>39307</v>
      </c>
      <c r="H381" s="6" t="s">
        <v>39308</v>
      </c>
      <c r="I381" s="7">
        <f t="shared" si="3"/>
        <v>0.7282172385</v>
      </c>
    </row>
    <row r="382">
      <c r="A382" s="4">
        <v>382.0</v>
      </c>
      <c r="B382" s="3" t="s">
        <v>39309</v>
      </c>
      <c r="C382" s="6" t="s">
        <v>74</v>
      </c>
      <c r="D382" s="6" t="s">
        <v>6686</v>
      </c>
      <c r="E382" s="3" t="str">
        <f t="shared" si="1"/>
        <v>growth&lt;br&gt;&lt;div class="audio"&gt;[sound:growth.mp3]&lt;/div&gt;</v>
      </c>
      <c r="F382" s="3" t="str">
        <f t="shared" si="2"/>
        <v>(n): sự phát triển</v>
      </c>
      <c r="G382" s="6" t="s">
        <v>39310</v>
      </c>
      <c r="H382" s="6" t="s">
        <v>39311</v>
      </c>
      <c r="I382" s="7">
        <f t="shared" si="3"/>
        <v>0.657708629</v>
      </c>
    </row>
    <row r="383">
      <c r="A383" s="4">
        <v>383.0</v>
      </c>
      <c r="B383" s="3" t="s">
        <v>39312</v>
      </c>
      <c r="C383" s="6" t="s">
        <v>74</v>
      </c>
      <c r="D383" s="6" t="s">
        <v>39313</v>
      </c>
      <c r="E383" s="3" t="str">
        <f t="shared" si="1"/>
        <v>power&lt;br&gt;&lt;div class="audio"&gt;[sound:power.mp3]&lt;/div&gt;</v>
      </c>
      <c r="F383" s="3" t="str">
        <f t="shared" si="2"/>
        <v>(n): sự quyền lực</v>
      </c>
      <c r="G383" s="6" t="s">
        <v>39314</v>
      </c>
      <c r="H383" s="6" t="s">
        <v>39315</v>
      </c>
      <c r="I383" s="7">
        <f t="shared" si="3"/>
        <v>0.9815551432</v>
      </c>
    </row>
    <row r="384">
      <c r="A384" s="4">
        <v>384.0</v>
      </c>
      <c r="B384" s="3" t="s">
        <v>39316</v>
      </c>
      <c r="C384" s="6" t="s">
        <v>74</v>
      </c>
      <c r="D384" s="6" t="s">
        <v>5888</v>
      </c>
      <c r="E384" s="3" t="str">
        <f t="shared" si="1"/>
        <v>program&lt;br&gt;&lt;div class="audio"&gt;[sound:program.mp3]&lt;/div&gt;</v>
      </c>
      <c r="F384" s="3" t="str">
        <f t="shared" si="2"/>
        <v>(n): chương trình</v>
      </c>
      <c r="G384" s="6" t="s">
        <v>39317</v>
      </c>
      <c r="H384" s="6" t="s">
        <v>39318</v>
      </c>
      <c r="I384" s="7">
        <f t="shared" si="3"/>
        <v>0.6100251045</v>
      </c>
    </row>
    <row r="385">
      <c r="A385" s="4">
        <v>385.0</v>
      </c>
      <c r="B385" s="3" t="s">
        <v>39319</v>
      </c>
      <c r="C385" s="6" t="s">
        <v>74</v>
      </c>
      <c r="D385" s="6" t="s">
        <v>1550</v>
      </c>
      <c r="E385" s="3" t="str">
        <f t="shared" si="1"/>
        <v>experience&lt;br&gt;&lt;div class="audio"&gt;[sound:experience.mp3]&lt;/div&gt;</v>
      </c>
      <c r="F385" s="3" t="str">
        <f t="shared" si="2"/>
        <v>(n): kinh nghiệm</v>
      </c>
      <c r="G385" s="6" t="s">
        <v>39320</v>
      </c>
      <c r="H385" s="6" t="s">
        <v>39321</v>
      </c>
      <c r="I385" s="7">
        <f t="shared" si="3"/>
        <v>0.267272574</v>
      </c>
    </row>
    <row r="386">
      <c r="A386" s="4">
        <v>386.0</v>
      </c>
      <c r="B386" s="3" t="s">
        <v>39322</v>
      </c>
      <c r="C386" s="6" t="s">
        <v>74</v>
      </c>
      <c r="D386" s="6" t="s">
        <v>39323</v>
      </c>
      <c r="E386" s="3" t="str">
        <f t="shared" si="1"/>
        <v>choice&lt;br&gt;&lt;div class="audio"&gt;[sound:choice.mp3]&lt;/div&gt;</v>
      </c>
      <c r="F386" s="3" t="str">
        <f t="shared" si="2"/>
        <v>(n): sự lựa chọn</v>
      </c>
      <c r="G386" s="6" t="s">
        <v>39324</v>
      </c>
      <c r="H386" s="6" t="s">
        <v>39325</v>
      </c>
      <c r="I386" s="7">
        <f t="shared" si="3"/>
        <v>0.4559977636</v>
      </c>
    </row>
    <row r="387">
      <c r="A387" s="4">
        <v>387.0</v>
      </c>
      <c r="B387" s="3" t="s">
        <v>39326</v>
      </c>
      <c r="C387" s="6" t="s">
        <v>74</v>
      </c>
      <c r="D387" s="6" t="s">
        <v>39327</v>
      </c>
      <c r="E387" s="3" t="str">
        <f t="shared" si="1"/>
        <v>care&lt;br&gt;&lt;div class="audio"&gt;[sound:care.mp3]&lt;/div&gt;</v>
      </c>
      <c r="F387" s="3" t="str">
        <f t="shared" si="2"/>
        <v>(n): sự chăm sóc</v>
      </c>
      <c r="G387" s="6" t="s">
        <v>39328</v>
      </c>
      <c r="H387" s="6" t="s">
        <v>39329</v>
      </c>
      <c r="I387" s="7">
        <f t="shared" si="3"/>
        <v>0.2309371962</v>
      </c>
    </row>
    <row r="388">
      <c r="A388" s="4">
        <v>388.0</v>
      </c>
      <c r="B388" s="3" t="s">
        <v>39330</v>
      </c>
      <c r="C388" s="6" t="s">
        <v>74</v>
      </c>
      <c r="D388" s="8" t="s">
        <v>6229</v>
      </c>
      <c r="E388" s="3" t="str">
        <f t="shared" si="1"/>
        <v>style&lt;br&gt;&lt;div class="audio"&gt;[sound:style.mp3]&lt;/div&gt;</v>
      </c>
      <c r="F388" s="3" t="str">
        <f t="shared" si="2"/>
        <v>(n): phong cách</v>
      </c>
      <c r="G388" s="8" t="s">
        <v>39331</v>
      </c>
      <c r="H388" s="8" t="s">
        <v>39332</v>
      </c>
      <c r="I388" s="7">
        <f t="shared" si="3"/>
        <v>0.4176839429</v>
      </c>
    </row>
    <row r="389">
      <c r="A389" s="4">
        <v>389.0</v>
      </c>
      <c r="B389" s="3" t="s">
        <v>39333</v>
      </c>
      <c r="C389" s="6" t="s">
        <v>24</v>
      </c>
      <c r="D389" s="6" t="s">
        <v>3812</v>
      </c>
      <c r="E389" s="3" t="str">
        <f t="shared" si="1"/>
        <v>explain&lt;br&gt;&lt;div class="audio"&gt;[sound:explain.mp3]&lt;/div&gt;</v>
      </c>
      <c r="F389" s="3" t="str">
        <f t="shared" si="2"/>
        <v>(v): giải thích</v>
      </c>
      <c r="G389" s="6" t="s">
        <v>39334</v>
      </c>
      <c r="H389" s="6" t="s">
        <v>39335</v>
      </c>
      <c r="I389" s="7">
        <f t="shared" si="3"/>
        <v>0.3112229167</v>
      </c>
    </row>
    <row r="390">
      <c r="A390" s="4">
        <v>390.0</v>
      </c>
      <c r="B390" s="3" t="s">
        <v>39336</v>
      </c>
      <c r="C390" s="6" t="s">
        <v>11</v>
      </c>
      <c r="D390" s="8" t="s">
        <v>5691</v>
      </c>
      <c r="E390" s="3" t="str">
        <f t="shared" si="1"/>
        <v>successful&lt;br&gt;&lt;div class="audio"&gt;[sound:successful.mp3]&lt;/div&gt;</v>
      </c>
      <c r="F390" s="3" t="str">
        <f t="shared" si="2"/>
        <v>(adj): thành công</v>
      </c>
      <c r="G390" s="8" t="s">
        <v>39337</v>
      </c>
      <c r="H390" s="8" t="s">
        <v>39338</v>
      </c>
      <c r="I390" s="7">
        <f t="shared" si="3"/>
        <v>0.4709465004</v>
      </c>
    </row>
    <row r="391">
      <c r="A391" s="4">
        <v>391.0</v>
      </c>
      <c r="B391" s="3" t="s">
        <v>39339</v>
      </c>
      <c r="C391" s="6" t="s">
        <v>74</v>
      </c>
      <c r="D391" s="8" t="s">
        <v>39340</v>
      </c>
      <c r="E391" s="3" t="str">
        <f t="shared" si="1"/>
        <v>sister&lt;br&gt;&lt;div class="audio"&gt;[sound:sister.mp3]&lt;/div&gt;</v>
      </c>
      <c r="F391" s="3" t="str">
        <f t="shared" si="2"/>
        <v>(n): chị em gái</v>
      </c>
      <c r="G391" s="8" t="s">
        <v>39341</v>
      </c>
      <c r="H391" s="8" t="s">
        <v>39342</v>
      </c>
      <c r="I391" s="7">
        <f t="shared" si="3"/>
        <v>0.2407145726</v>
      </c>
    </row>
    <row r="392">
      <c r="A392" s="4">
        <v>392.0</v>
      </c>
      <c r="B392" s="3" t="s">
        <v>39343</v>
      </c>
      <c r="C392" s="6" t="s">
        <v>74</v>
      </c>
      <c r="D392" s="6" t="s">
        <v>3757</v>
      </c>
      <c r="E392" s="3" t="str">
        <f t="shared" si="1"/>
        <v>environment&lt;br&gt;&lt;div class="audio"&gt;[sound:environment.mp3]&lt;/div&gt;</v>
      </c>
      <c r="F392" s="3" t="str">
        <f t="shared" si="2"/>
        <v>(n): môi trường</v>
      </c>
      <c r="G392" s="6" t="s">
        <v>39344</v>
      </c>
      <c r="H392" s="6" t="s">
        <v>39345</v>
      </c>
      <c r="I392" s="7">
        <f t="shared" si="3"/>
        <v>0.7851120338</v>
      </c>
    </row>
    <row r="393">
      <c r="A393" s="4">
        <v>393.0</v>
      </c>
      <c r="B393" s="3" t="s">
        <v>39346</v>
      </c>
      <c r="C393" s="6" t="s">
        <v>74</v>
      </c>
      <c r="D393" s="8" t="s">
        <v>5685</v>
      </c>
      <c r="E393" s="3" t="str">
        <f t="shared" si="1"/>
        <v>standard&lt;br&gt;&lt;div class="audio"&gt;[sound:standard.mp3]&lt;/div&gt;</v>
      </c>
      <c r="F393" s="3" t="str">
        <f t="shared" si="2"/>
        <v>(n): tiêu chuẩn</v>
      </c>
      <c r="G393" s="8" t="s">
        <v>39347</v>
      </c>
      <c r="H393" s="8" t="s">
        <v>39348</v>
      </c>
      <c r="I393" s="7">
        <f t="shared" si="3"/>
        <v>0.2018857319</v>
      </c>
    </row>
    <row r="394">
      <c r="A394" s="4">
        <v>394.0</v>
      </c>
      <c r="B394" s="3" t="s">
        <v>39349</v>
      </c>
      <c r="C394" s="6" t="s">
        <v>74</v>
      </c>
      <c r="D394" s="8" t="s">
        <v>9395</v>
      </c>
      <c r="E394" s="3" t="str">
        <f t="shared" si="1"/>
        <v>strategy&lt;br&gt;&lt;div class="audio"&gt;[sound:strategy.mp3]&lt;/div&gt;</v>
      </c>
      <c r="F394" s="3" t="str">
        <f t="shared" si="2"/>
        <v>(n): chiến lược</v>
      </c>
      <c r="G394" s="8" t="s">
        <v>39350</v>
      </c>
      <c r="H394" s="8" t="s">
        <v>39351</v>
      </c>
      <c r="I394" s="7">
        <f t="shared" si="3"/>
        <v>0.4174735562</v>
      </c>
    </row>
    <row r="395">
      <c r="A395" s="4">
        <v>395.0</v>
      </c>
      <c r="B395" s="3" t="s">
        <v>39352</v>
      </c>
      <c r="C395" s="6" t="s">
        <v>74</v>
      </c>
      <c r="D395" s="6" t="s">
        <v>3238</v>
      </c>
      <c r="E395" s="3" t="str">
        <f t="shared" si="1"/>
        <v>energy&lt;br&gt;&lt;div class="audio"&gt;[sound:energy.mp3]&lt;/div&gt;</v>
      </c>
      <c r="F395" s="3" t="str">
        <f t="shared" si="2"/>
        <v>(n): năng lượng</v>
      </c>
      <c r="G395" s="6" t="s">
        <v>39353</v>
      </c>
      <c r="H395" s="6" t="s">
        <v>39354</v>
      </c>
      <c r="I395" s="7">
        <f t="shared" si="3"/>
        <v>0.1124233475</v>
      </c>
    </row>
    <row r="396">
      <c r="A396" s="4">
        <v>396.0</v>
      </c>
      <c r="B396" s="3" t="s">
        <v>39355</v>
      </c>
      <c r="C396" s="6" t="s">
        <v>74</v>
      </c>
      <c r="D396" s="8" t="s">
        <v>39356</v>
      </c>
      <c r="E396" s="3" t="str">
        <f t="shared" si="1"/>
        <v>solution&lt;br&gt;&lt;div class="audio"&gt;[sound:solution.mp3]&lt;/div&gt;</v>
      </c>
      <c r="F396" s="3" t="str">
        <f t="shared" si="2"/>
        <v>(n): giải pháp</v>
      </c>
      <c r="G396" s="8" t="s">
        <v>39357</v>
      </c>
      <c r="H396" s="8" t="s">
        <v>39358</v>
      </c>
      <c r="I396" s="7">
        <f t="shared" si="3"/>
        <v>0.4357729301</v>
      </c>
    </row>
    <row r="397">
      <c r="A397" s="4">
        <v>397.0</v>
      </c>
      <c r="B397" s="3" t="s">
        <v>39359</v>
      </c>
      <c r="C397" s="6" t="s">
        <v>74</v>
      </c>
      <c r="D397" s="6" t="s">
        <v>39360</v>
      </c>
      <c r="E397" s="3" t="str">
        <f t="shared" si="1"/>
        <v>community&lt;br&gt;&lt;div class="audio"&gt;[sound:community.mp3]&lt;/div&gt;</v>
      </c>
      <c r="F397" s="3" t="str">
        <f t="shared" si="2"/>
        <v>(n): cộng đồng</v>
      </c>
      <c r="G397" s="6" t="s">
        <v>39361</v>
      </c>
      <c r="H397" s="6" t="s">
        <v>39362</v>
      </c>
      <c r="I397" s="7">
        <f t="shared" si="3"/>
        <v>0.9447865432</v>
      </c>
    </row>
    <row r="398">
      <c r="A398" s="4">
        <v>398.0</v>
      </c>
      <c r="B398" s="3" t="s">
        <v>39363</v>
      </c>
      <c r="C398" s="6" t="s">
        <v>74</v>
      </c>
      <c r="D398" s="6" t="s">
        <v>3303</v>
      </c>
      <c r="E398" s="3" t="str">
        <f t="shared" si="1"/>
        <v>act&lt;br&gt;&lt;div class="audio"&gt;[sound:act.mp3]&lt;/div&gt;</v>
      </c>
      <c r="F398" s="3" t="str">
        <f t="shared" si="2"/>
        <v>(n): hành động</v>
      </c>
      <c r="G398" s="6" t="s">
        <v>39364</v>
      </c>
      <c r="H398" s="6" t="s">
        <v>39365</v>
      </c>
      <c r="I398" s="7">
        <f t="shared" si="3"/>
        <v>0.4936842946</v>
      </c>
    </row>
    <row r="399">
      <c r="A399" s="4">
        <v>399.0</v>
      </c>
      <c r="B399" s="3" t="s">
        <v>39366</v>
      </c>
      <c r="C399" s="6" t="s">
        <v>24</v>
      </c>
      <c r="D399" s="6" t="s">
        <v>3180</v>
      </c>
      <c r="E399" s="3" t="str">
        <f t="shared" si="1"/>
        <v>move&lt;br&gt;&lt;div class="audio"&gt;[sound:move.mp3]&lt;/div&gt;</v>
      </c>
      <c r="F399" s="3" t="str">
        <f t="shared" si="2"/>
        <v>(v): di chuyển</v>
      </c>
      <c r="G399" s="6" t="s">
        <v>39367</v>
      </c>
      <c r="H399" s="6" t="s">
        <v>39368</v>
      </c>
      <c r="I399" s="7">
        <f t="shared" si="3"/>
        <v>0.2630739502</v>
      </c>
    </row>
    <row r="400">
      <c r="A400" s="4">
        <v>400.0</v>
      </c>
      <c r="B400" s="3" t="s">
        <v>39369</v>
      </c>
      <c r="C400" s="6" t="s">
        <v>74</v>
      </c>
      <c r="D400" s="6" t="s">
        <v>1444</v>
      </c>
      <c r="E400" s="3" t="str">
        <f t="shared" si="1"/>
        <v>future&lt;br&gt;&lt;div class="audio"&gt;[sound:future.mp3]&lt;/div&gt;</v>
      </c>
      <c r="F400" s="3" t="str">
        <f t="shared" si="2"/>
        <v>(n): tương lai</v>
      </c>
      <c r="G400" s="6" t="s">
        <v>39370</v>
      </c>
      <c r="H400" s="6" t="s">
        <v>39371</v>
      </c>
      <c r="I400" s="7">
        <f t="shared" si="3"/>
        <v>0.2521378343</v>
      </c>
    </row>
    <row r="401">
      <c r="A401" s="4">
        <v>401.0</v>
      </c>
      <c r="B401" s="3" t="s">
        <v>39372</v>
      </c>
      <c r="C401" s="6" t="s">
        <v>74</v>
      </c>
      <c r="D401" s="6" t="s">
        <v>39373</v>
      </c>
      <c r="E401" s="3" t="str">
        <f t="shared" si="1"/>
        <v>face&lt;br&gt;&lt;div class="audio"&gt;[sound:face.mp3]&lt;/div&gt;</v>
      </c>
      <c r="F401" s="3" t="str">
        <f t="shared" si="2"/>
        <v>(n): gương mặt</v>
      </c>
      <c r="G401" s="6" t="s">
        <v>39374</v>
      </c>
      <c r="H401" s="6" t="s">
        <v>39375</v>
      </c>
      <c r="I401" s="7">
        <f t="shared" si="3"/>
        <v>0.3923789956</v>
      </c>
    </row>
    <row r="402">
      <c r="A402" s="4">
        <v>402.0</v>
      </c>
      <c r="B402" s="3" t="s">
        <v>39376</v>
      </c>
      <c r="C402" s="6" t="s">
        <v>74</v>
      </c>
      <c r="D402" s="6" t="s">
        <v>1514</v>
      </c>
      <c r="E402" s="3" t="str">
        <f t="shared" si="1"/>
        <v>air&lt;br&gt;&lt;div class="audio"&gt;[sound:air.mp3]&lt;/div&gt;</v>
      </c>
      <c r="F402" s="3" t="str">
        <f t="shared" si="2"/>
        <v>(n): không khí</v>
      </c>
      <c r="G402" s="6" t="s">
        <v>39377</v>
      </c>
      <c r="H402" s="6" t="s">
        <v>39378</v>
      </c>
      <c r="I402" s="7">
        <f t="shared" si="3"/>
        <v>0.5998270925</v>
      </c>
    </row>
    <row r="403">
      <c r="A403" s="4">
        <v>403.0</v>
      </c>
      <c r="B403" s="3" t="s">
        <v>39379</v>
      </c>
      <c r="C403" s="6" t="s">
        <v>74</v>
      </c>
      <c r="D403" s="8" t="s">
        <v>16447</v>
      </c>
      <c r="E403" s="3" t="str">
        <f t="shared" si="1"/>
        <v>stage&lt;br&gt;&lt;div class="audio"&gt;[sound:stage.mp3]&lt;/div&gt;</v>
      </c>
      <c r="F403" s="3" t="str">
        <f t="shared" si="2"/>
        <v>(n): giai đoạn</v>
      </c>
      <c r="G403" s="8" t="s">
        <v>39380</v>
      </c>
      <c r="H403" s="8" t="s">
        <v>39381</v>
      </c>
      <c r="I403" s="7">
        <f t="shared" si="3"/>
        <v>0.3814066712</v>
      </c>
    </row>
    <row r="404">
      <c r="A404" s="4">
        <v>404.0</v>
      </c>
      <c r="B404" s="3" t="s">
        <v>39382</v>
      </c>
      <c r="C404" s="6" t="s">
        <v>74</v>
      </c>
      <c r="D404" s="6" t="s">
        <v>11487</v>
      </c>
      <c r="E404" s="3" t="str">
        <f t="shared" si="1"/>
        <v>light&lt;br&gt;&lt;div class="audio"&gt;[sound:light.mp3]&lt;/div&gt;</v>
      </c>
      <c r="F404" s="3" t="str">
        <f t="shared" si="2"/>
        <v>(n): ánh sáng</v>
      </c>
      <c r="G404" s="6" t="s">
        <v>39383</v>
      </c>
      <c r="H404" s="6" t="s">
        <v>39384</v>
      </c>
      <c r="I404" s="7">
        <f t="shared" si="3"/>
        <v>0.6343193304</v>
      </c>
    </row>
    <row r="405">
      <c r="A405" s="4">
        <v>405.0</v>
      </c>
      <c r="B405" s="3" t="s">
        <v>39385</v>
      </c>
      <c r="C405" s="6" t="s">
        <v>74</v>
      </c>
      <c r="D405" s="8" t="s">
        <v>11633</v>
      </c>
      <c r="E405" s="3" t="str">
        <f t="shared" si="1"/>
        <v>son&lt;br&gt;&lt;div class="audio"&gt;[sound:son.mp3]&lt;/div&gt;</v>
      </c>
      <c r="F405" s="3" t="str">
        <f t="shared" si="2"/>
        <v>(n): con trai</v>
      </c>
      <c r="G405" s="8" t="s">
        <v>39386</v>
      </c>
      <c r="H405" s="8" t="s">
        <v>39387</v>
      </c>
      <c r="I405" s="7">
        <f t="shared" si="3"/>
        <v>0.4409034033</v>
      </c>
    </row>
    <row r="406">
      <c r="A406" s="4">
        <v>406.0</v>
      </c>
      <c r="B406" s="3" t="s">
        <v>39388</v>
      </c>
      <c r="C406" s="6" t="s">
        <v>24</v>
      </c>
      <c r="D406" s="6" t="s">
        <v>26495</v>
      </c>
      <c r="E406" s="3" t="str">
        <f t="shared" si="1"/>
        <v>expect&lt;br&gt;&lt;div class="audio"&gt;[sound:expect.mp3]&lt;/div&gt;</v>
      </c>
      <c r="F406" s="3" t="str">
        <f t="shared" si="2"/>
        <v>(v): mong đợi</v>
      </c>
      <c r="G406" s="6" t="s">
        <v>39389</v>
      </c>
      <c r="H406" s="6" t="s">
        <v>39390</v>
      </c>
      <c r="I406" s="7">
        <f t="shared" si="3"/>
        <v>0.9038426375</v>
      </c>
    </row>
    <row r="407">
      <c r="A407" s="4">
        <v>407.0</v>
      </c>
      <c r="B407" s="3" t="s">
        <v>39391</v>
      </c>
      <c r="C407" s="6" t="s">
        <v>63</v>
      </c>
      <c r="D407" s="6" t="s">
        <v>18059</v>
      </c>
      <c r="E407" s="3" t="str">
        <f t="shared" si="1"/>
        <v>without&lt;br&gt;&lt;div class="audio"&gt;[sound:without.mp3]&lt;/div&gt;</v>
      </c>
      <c r="F407" s="3" t="str">
        <f t="shared" si="2"/>
        <v>(prep): không có</v>
      </c>
      <c r="G407" s="6" t="s">
        <v>39392</v>
      </c>
      <c r="H407" s="6" t="s">
        <v>39393</v>
      </c>
      <c r="I407" s="7">
        <f t="shared" si="3"/>
        <v>0.05423418573</v>
      </c>
    </row>
    <row r="408">
      <c r="A408" s="4">
        <v>408.0</v>
      </c>
      <c r="B408" s="3" t="s">
        <v>39394</v>
      </c>
      <c r="C408" s="6" t="s">
        <v>74</v>
      </c>
      <c r="D408" s="6" t="s">
        <v>39394</v>
      </c>
      <c r="E408" s="3" t="str">
        <f t="shared" si="1"/>
        <v>internet&lt;br&gt;&lt;div class="audio"&gt;[sound:internet.mp3]&lt;/div&gt;</v>
      </c>
      <c r="F408" s="3" t="str">
        <f t="shared" si="2"/>
        <v>(n): internet</v>
      </c>
      <c r="G408" s="6" t="s">
        <v>39395</v>
      </c>
      <c r="H408" s="6" t="s">
        <v>39396</v>
      </c>
      <c r="I408" s="7">
        <f t="shared" si="3"/>
        <v>0.6401890439</v>
      </c>
    </row>
    <row r="409">
      <c r="A409" s="4">
        <v>409.0</v>
      </c>
      <c r="B409" s="3" t="s">
        <v>39397</v>
      </c>
      <c r="C409" s="6" t="s">
        <v>74</v>
      </c>
      <c r="D409" s="6" t="s">
        <v>39398</v>
      </c>
      <c r="E409" s="3" t="str">
        <f t="shared" si="1"/>
        <v>foot&lt;br&gt;&lt;div class="audio"&gt;[sound:foot.mp3]&lt;/div&gt;</v>
      </c>
      <c r="F409" s="3" t="str">
        <f t="shared" si="2"/>
        <v>(n): bàn chân</v>
      </c>
      <c r="G409" s="6" t="s">
        <v>39399</v>
      </c>
      <c r="H409" s="6" t="s">
        <v>39400</v>
      </c>
      <c r="I409" s="7">
        <f t="shared" si="3"/>
        <v>0.8811731803</v>
      </c>
    </row>
    <row r="410">
      <c r="A410" s="4">
        <v>410.0</v>
      </c>
      <c r="B410" s="3" t="s">
        <v>39401</v>
      </c>
      <c r="C410" s="6" t="s">
        <v>24</v>
      </c>
      <c r="D410" s="6" t="s">
        <v>751</v>
      </c>
      <c r="E410" s="3" t="str">
        <f t="shared" si="1"/>
        <v>raise&lt;br&gt;&lt;div class="audio"&gt;[sound:raise.mp3]&lt;/div&gt;</v>
      </c>
      <c r="F410" s="3" t="str">
        <f t="shared" si="2"/>
        <v>(v): nâng lên</v>
      </c>
      <c r="G410" s="6" t="s">
        <v>39402</v>
      </c>
      <c r="H410" s="6" t="s">
        <v>39403</v>
      </c>
      <c r="I410" s="7">
        <f t="shared" si="3"/>
        <v>0.1245083266</v>
      </c>
    </row>
    <row r="411">
      <c r="A411" s="4">
        <v>411.0</v>
      </c>
      <c r="B411" s="3" t="s">
        <v>39404</v>
      </c>
      <c r="C411" s="6" t="s">
        <v>74</v>
      </c>
      <c r="D411" s="6" t="s">
        <v>16682</v>
      </c>
      <c r="E411" s="3" t="str">
        <f t="shared" si="1"/>
        <v>evening&lt;br&gt;&lt;div class="audio"&gt;[sound:evening.mp3]&lt;/div&gt;</v>
      </c>
      <c r="F411" s="3" t="str">
        <f t="shared" si="2"/>
        <v>(n): buổi tối</v>
      </c>
      <c r="G411" s="6" t="s">
        <v>39405</v>
      </c>
      <c r="H411" s="6" t="s">
        <v>39406</v>
      </c>
      <c r="I411" s="7">
        <f t="shared" si="3"/>
        <v>0.7837265777</v>
      </c>
    </row>
    <row r="412">
      <c r="A412" s="4">
        <v>412.0</v>
      </c>
      <c r="B412" s="3" t="s">
        <v>39407</v>
      </c>
      <c r="C412" s="6" t="s">
        <v>63</v>
      </c>
      <c r="D412" s="6" t="s">
        <v>39408</v>
      </c>
      <c r="E412" s="3" t="str">
        <f t="shared" si="1"/>
        <v>among&lt;br&gt;&lt;div class="audio"&gt;[sound:among.mp3]&lt;/div&gt;</v>
      </c>
      <c r="F412" s="3" t="str">
        <f t="shared" si="2"/>
        <v>(prep): trong số</v>
      </c>
      <c r="G412" s="6" t="s">
        <v>39409</v>
      </c>
      <c r="H412" s="6" t="s">
        <v>39410</v>
      </c>
      <c r="I412" s="7">
        <f t="shared" si="3"/>
        <v>0.9874536991</v>
      </c>
    </row>
    <row r="413">
      <c r="A413" s="4">
        <v>413.0</v>
      </c>
      <c r="B413" s="3" t="s">
        <v>39411</v>
      </c>
      <c r="C413" s="6" t="s">
        <v>74</v>
      </c>
      <c r="D413" s="8" t="s">
        <v>14985</v>
      </c>
      <c r="E413" s="3" t="str">
        <f t="shared" si="1"/>
        <v>south&lt;br&gt;&lt;div class="audio"&gt;[sound:south.mp3]&lt;/div&gt;</v>
      </c>
      <c r="F413" s="3" t="str">
        <f t="shared" si="2"/>
        <v>(n): phía nam</v>
      </c>
      <c r="G413" s="8" t="s">
        <v>39412</v>
      </c>
      <c r="H413" s="8" t="s">
        <v>39413</v>
      </c>
      <c r="I413" s="7">
        <f t="shared" si="3"/>
        <v>0.3687735401</v>
      </c>
    </row>
    <row r="414">
      <c r="A414" s="4">
        <v>414.0</v>
      </c>
      <c r="B414" s="3" t="s">
        <v>39414</v>
      </c>
      <c r="C414" s="6" t="s">
        <v>24</v>
      </c>
      <c r="D414" s="8" t="s">
        <v>2134</v>
      </c>
      <c r="E414" s="3" t="str">
        <f t="shared" si="1"/>
        <v>spread&lt;br&gt;&lt;div class="audio"&gt;[sound:spread.mp3]&lt;/div&gt;</v>
      </c>
      <c r="F414" s="3" t="str">
        <f t="shared" si="2"/>
        <v>(v): lan rộng</v>
      </c>
      <c r="G414" s="8" t="s">
        <v>39415</v>
      </c>
      <c r="H414" s="8" t="s">
        <v>39416</v>
      </c>
      <c r="I414" s="7">
        <f t="shared" si="3"/>
        <v>0.0486877944</v>
      </c>
    </row>
    <row r="415">
      <c r="A415" s="4">
        <v>415.0</v>
      </c>
      <c r="B415" s="3" t="s">
        <v>39417</v>
      </c>
      <c r="C415" s="6" t="s">
        <v>74</v>
      </c>
      <c r="D415" s="8" t="s">
        <v>26890</v>
      </c>
      <c r="E415" s="3" t="str">
        <f t="shared" si="1"/>
        <v>statement&lt;br&gt;&lt;div class="audio"&gt;[sound:statement.mp3]&lt;/div&gt;</v>
      </c>
      <c r="F415" s="3" t="str">
        <f t="shared" si="2"/>
        <v>(n): tuyên bố</v>
      </c>
      <c r="G415" s="8" t="s">
        <v>39418</v>
      </c>
      <c r="H415" s="8" t="s">
        <v>39419</v>
      </c>
      <c r="I415" s="7">
        <f t="shared" si="3"/>
        <v>0.894814872</v>
      </c>
    </row>
    <row r="416">
      <c r="A416" s="4">
        <v>416.0</v>
      </c>
      <c r="B416" s="3" t="s">
        <v>39420</v>
      </c>
      <c r="C416" s="6" t="s">
        <v>74</v>
      </c>
      <c r="D416" s="8" t="s">
        <v>1162</v>
      </c>
      <c r="E416" s="3" t="str">
        <f t="shared" si="1"/>
        <v>shop&lt;br&gt;&lt;div class="audio"&gt;[sound:shop.mp3]&lt;/div&gt;</v>
      </c>
      <c r="F416" s="3" t="str">
        <f t="shared" si="2"/>
        <v>(n): cửa hàng</v>
      </c>
      <c r="G416" s="8" t="s">
        <v>39421</v>
      </c>
      <c r="H416" s="8" t="s">
        <v>39422</v>
      </c>
      <c r="I416" s="7">
        <f t="shared" si="3"/>
        <v>0.2217972688</v>
      </c>
    </row>
    <row r="417">
      <c r="A417" s="4">
        <v>417.0</v>
      </c>
      <c r="B417" s="3" t="s">
        <v>39423</v>
      </c>
      <c r="C417" s="6" t="s">
        <v>11</v>
      </c>
      <c r="D417" s="6" t="s">
        <v>8282</v>
      </c>
      <c r="E417" s="3" t="str">
        <f t="shared" si="1"/>
        <v>huge&lt;br&gt;&lt;div class="audio"&gt;[sound:huge.mp3]&lt;/div&gt;</v>
      </c>
      <c r="F417" s="3" t="str">
        <f t="shared" si="2"/>
        <v>(adj): khổng lồ</v>
      </c>
      <c r="G417" s="6" t="s">
        <v>39424</v>
      </c>
      <c r="H417" s="6" t="s">
        <v>39425</v>
      </c>
      <c r="I417" s="7">
        <f t="shared" si="3"/>
        <v>0.9606026204</v>
      </c>
    </row>
    <row r="418">
      <c r="A418" s="4">
        <v>418.0</v>
      </c>
      <c r="B418" s="3" t="s">
        <v>39426</v>
      </c>
      <c r="C418" s="6" t="s">
        <v>11</v>
      </c>
      <c r="D418" s="8" t="s">
        <v>2611</v>
      </c>
      <c r="E418" s="3" t="str">
        <f t="shared" si="1"/>
        <v>similar&lt;br&gt;&lt;div class="audio"&gt;[sound:similar.mp3]&lt;/div&gt;</v>
      </c>
      <c r="F418" s="3" t="str">
        <f t="shared" si="2"/>
        <v>(adj): tương tự</v>
      </c>
      <c r="G418" s="8" t="s">
        <v>39427</v>
      </c>
      <c r="H418" s="8" t="s">
        <v>39428</v>
      </c>
      <c r="I418" s="7">
        <f t="shared" si="3"/>
        <v>0.3509532466</v>
      </c>
    </row>
    <row r="419">
      <c r="A419" s="4">
        <v>419.0</v>
      </c>
      <c r="B419" s="3" t="s">
        <v>39429</v>
      </c>
      <c r="C419" s="6" t="s">
        <v>24</v>
      </c>
      <c r="D419" s="8" t="s">
        <v>3056</v>
      </c>
      <c r="E419" s="3" t="str">
        <f t="shared" si="1"/>
        <v>seek&lt;br&gt;&lt;div class="audio"&gt;[sound:seek.mp3]&lt;/div&gt;</v>
      </c>
      <c r="F419" s="3" t="str">
        <f t="shared" si="2"/>
        <v>(v): tìm kiếm</v>
      </c>
      <c r="G419" s="8" t="s">
        <v>39430</v>
      </c>
      <c r="H419" s="8" t="s">
        <v>39431</v>
      </c>
      <c r="I419" s="7">
        <f t="shared" si="3"/>
        <v>0.2664596786</v>
      </c>
    </row>
    <row r="420">
      <c r="A420" s="4">
        <v>420.0</v>
      </c>
      <c r="B420" s="3" t="s">
        <v>39432</v>
      </c>
      <c r="C420" s="6" t="s">
        <v>74</v>
      </c>
      <c r="D420" s="6" t="s">
        <v>5056</v>
      </c>
      <c r="E420" s="3" t="str">
        <f t="shared" si="1"/>
        <v>love&lt;br&gt;&lt;div class="audio"&gt;[sound:love.mp3]&lt;/div&gt;</v>
      </c>
      <c r="F420" s="3" t="str">
        <f t="shared" si="2"/>
        <v>(n): tình yêu</v>
      </c>
      <c r="G420" s="6" t="s">
        <v>39433</v>
      </c>
      <c r="H420" s="6" t="s">
        <v>39434</v>
      </c>
      <c r="I420" s="7">
        <f t="shared" si="3"/>
        <v>0.4850799584</v>
      </c>
    </row>
    <row r="421">
      <c r="A421" s="4">
        <v>421.0</v>
      </c>
      <c r="B421" s="3" t="s">
        <v>39435</v>
      </c>
      <c r="C421" s="6" t="s">
        <v>74</v>
      </c>
      <c r="D421" s="6" t="s">
        <v>2105</v>
      </c>
      <c r="E421" s="3" t="str">
        <f t="shared" si="1"/>
        <v>game&lt;br&gt;&lt;div class="audio"&gt;[sound:game.mp3]&lt;/div&gt;</v>
      </c>
      <c r="F421" s="3" t="str">
        <f t="shared" si="2"/>
        <v>(n): trò chơi</v>
      </c>
      <c r="G421" s="6" t="s">
        <v>39436</v>
      </c>
      <c r="H421" s="6" t="s">
        <v>39437</v>
      </c>
      <c r="I421" s="7">
        <f t="shared" si="3"/>
        <v>0.8023802963</v>
      </c>
    </row>
    <row r="422">
      <c r="A422" s="4">
        <v>422.0</v>
      </c>
      <c r="B422" s="3" t="s">
        <v>39438</v>
      </c>
      <c r="C422" s="6" t="s">
        <v>74</v>
      </c>
      <c r="D422" s="6" t="s">
        <v>1857</v>
      </c>
      <c r="E422" s="3" t="str">
        <f t="shared" si="1"/>
        <v>product&lt;br&gt;&lt;div class="audio"&gt;[sound:product.mp3]&lt;/div&gt;</v>
      </c>
      <c r="F422" s="3" t="str">
        <f t="shared" si="2"/>
        <v>(n): sản phẩm</v>
      </c>
      <c r="G422" s="6" t="s">
        <v>39439</v>
      </c>
      <c r="H422" s="6" t="s">
        <v>39440</v>
      </c>
      <c r="I422" s="7">
        <f t="shared" si="3"/>
        <v>0.7418565155</v>
      </c>
    </row>
    <row r="423">
      <c r="A423" s="4">
        <v>423.0</v>
      </c>
      <c r="B423" s="3" t="s">
        <v>39441</v>
      </c>
      <c r="C423" s="6" t="s">
        <v>74</v>
      </c>
      <c r="D423" s="6" t="s">
        <v>716</v>
      </c>
      <c r="E423" s="3" t="str">
        <f t="shared" si="1"/>
        <v>computer&lt;br&gt;&lt;div class="audio"&gt;[sound:computer.mp3]&lt;/div&gt;</v>
      </c>
      <c r="F423" s="3" t="str">
        <f t="shared" si="2"/>
        <v>(n): máy tính</v>
      </c>
      <c r="G423" s="6" t="s">
        <v>39442</v>
      </c>
      <c r="H423" s="6" t="s">
        <v>39443</v>
      </c>
      <c r="I423" s="7">
        <f t="shared" si="3"/>
        <v>0.9113513182</v>
      </c>
    </row>
    <row r="424">
      <c r="A424" s="4">
        <v>424.0</v>
      </c>
      <c r="B424" s="3" t="s">
        <v>39444</v>
      </c>
      <c r="C424" s="6" t="s">
        <v>74</v>
      </c>
      <c r="D424" s="6" t="s">
        <v>39445</v>
      </c>
      <c r="E424" s="3" t="str">
        <f t="shared" si="1"/>
        <v>party&lt;br&gt;&lt;div class="audio"&gt;[sound:party.mp3]&lt;/div&gt;</v>
      </c>
      <c r="F424" s="3" t="str">
        <f t="shared" si="2"/>
        <v>(n): bữa tiệc</v>
      </c>
      <c r="G424" s="6" t="s">
        <v>39446</v>
      </c>
      <c r="H424" s="6" t="s">
        <v>39447</v>
      </c>
      <c r="I424" s="7">
        <f t="shared" si="3"/>
        <v>0.3537169443</v>
      </c>
    </row>
    <row r="425">
      <c r="A425" s="4">
        <v>425.0</v>
      </c>
      <c r="B425" s="3" t="s">
        <v>39448</v>
      </c>
      <c r="C425" s="6" t="s">
        <v>24</v>
      </c>
      <c r="D425" s="6" t="s">
        <v>39449</v>
      </c>
      <c r="E425" s="3" t="str">
        <f t="shared" si="1"/>
        <v>catch&lt;br&gt;&lt;div class="audio"&gt;[sound:catch.mp3]&lt;/div&gt;</v>
      </c>
      <c r="F425" s="3" t="str">
        <f t="shared" si="2"/>
        <v>(v): bắt lấy</v>
      </c>
      <c r="G425" s="6" t="s">
        <v>39450</v>
      </c>
      <c r="H425" s="6" t="s">
        <v>39451</v>
      </c>
      <c r="I425" s="7">
        <f t="shared" si="3"/>
        <v>0.8456950335</v>
      </c>
    </row>
    <row r="426">
      <c r="A426" s="4">
        <v>426.0</v>
      </c>
      <c r="B426" s="3" t="s">
        <v>39452</v>
      </c>
      <c r="C426" s="6" t="s">
        <v>24</v>
      </c>
      <c r="D426" s="6" t="s">
        <v>10260</v>
      </c>
      <c r="E426" s="3" t="str">
        <f t="shared" si="1"/>
        <v>compare&lt;br&gt;&lt;div class="audio"&gt;[sound:compare.mp3]&lt;/div&gt;</v>
      </c>
      <c r="F426" s="3" t="str">
        <f t="shared" si="2"/>
        <v>(v): so sánh</v>
      </c>
      <c r="G426" s="6" t="s">
        <v>39453</v>
      </c>
      <c r="H426" s="6" t="s">
        <v>39454</v>
      </c>
      <c r="I426" s="7">
        <f t="shared" si="3"/>
        <v>0.835382094</v>
      </c>
    </row>
    <row r="427">
      <c r="A427" s="4">
        <v>427.0</v>
      </c>
      <c r="B427" s="3" t="s">
        <v>39455</v>
      </c>
      <c r="C427" s="6" t="s">
        <v>74</v>
      </c>
      <c r="D427" s="6" t="s">
        <v>883</v>
      </c>
      <c r="E427" s="3" t="str">
        <f t="shared" si="1"/>
        <v>news&lt;br&gt;&lt;div class="audio"&gt;[sound:news.mp3]&lt;/div&gt;</v>
      </c>
      <c r="F427" s="3" t="str">
        <f t="shared" si="2"/>
        <v>(n): tin tức</v>
      </c>
      <c r="G427" s="6" t="s">
        <v>39456</v>
      </c>
      <c r="H427" s="6" t="s">
        <v>39457</v>
      </c>
      <c r="I427" s="7">
        <f t="shared" si="3"/>
        <v>0.1756784217</v>
      </c>
    </row>
    <row r="428">
      <c r="A428" s="4">
        <v>428.0</v>
      </c>
      <c r="B428" s="3" t="s">
        <v>39458</v>
      </c>
      <c r="C428" s="6" t="s">
        <v>58</v>
      </c>
      <c r="D428" s="6" t="s">
        <v>3922</v>
      </c>
      <c r="E428" s="3" t="str">
        <f t="shared" si="1"/>
        <v>ten&lt;br&gt;&lt;div class="audio"&gt;[sound:ten.mp3]&lt;/div&gt;</v>
      </c>
      <c r="F428" s="3" t="str">
        <f t="shared" si="2"/>
        <v>(num): số mười</v>
      </c>
      <c r="G428" s="6" t="s">
        <v>39459</v>
      </c>
      <c r="H428" s="6" t="s">
        <v>39460</v>
      </c>
      <c r="I428" s="7">
        <f t="shared" si="3"/>
        <v>0.1597433034</v>
      </c>
    </row>
    <row r="429">
      <c r="A429" s="4">
        <v>429.0</v>
      </c>
      <c r="B429" s="3" t="s">
        <v>39461</v>
      </c>
      <c r="C429" s="6" t="s">
        <v>63</v>
      </c>
      <c r="D429" s="6" t="s">
        <v>39462</v>
      </c>
      <c r="E429" s="3" t="str">
        <f t="shared" si="1"/>
        <v>towards&lt;br&gt;&lt;div class="audio"&gt;[sound:towards.mp3]&lt;/div&gt;</v>
      </c>
      <c r="F429" s="3" t="str">
        <f t="shared" si="2"/>
        <v>(prep): về phía</v>
      </c>
      <c r="G429" s="6" t="s">
        <v>39463</v>
      </c>
      <c r="H429" s="6" t="s">
        <v>39464</v>
      </c>
      <c r="I429" s="7">
        <f t="shared" si="3"/>
        <v>0.9233547001</v>
      </c>
    </row>
    <row r="430">
      <c r="A430" s="4">
        <v>430.0</v>
      </c>
      <c r="B430" s="3" t="s">
        <v>39465</v>
      </c>
      <c r="C430" s="6" t="s">
        <v>74</v>
      </c>
      <c r="D430" s="6" t="s">
        <v>39466</v>
      </c>
      <c r="E430" s="3" t="str">
        <f t="shared" si="1"/>
        <v>box&lt;br&gt;&lt;div class="audio"&gt;[sound:box.mp3]&lt;/div&gt;</v>
      </c>
      <c r="F430" s="3" t="str">
        <f t="shared" si="2"/>
        <v>(n): cái hộp</v>
      </c>
      <c r="G430" s="6" t="s">
        <v>39467</v>
      </c>
      <c r="H430" s="6" t="s">
        <v>39468</v>
      </c>
      <c r="I430" s="7">
        <f t="shared" si="3"/>
        <v>0.8966233575</v>
      </c>
    </row>
    <row r="431">
      <c r="A431" s="4">
        <v>431.0</v>
      </c>
      <c r="B431" s="3" t="s">
        <v>39469</v>
      </c>
      <c r="C431" s="6" t="s">
        <v>11</v>
      </c>
      <c r="D431" s="6" t="s">
        <v>20988</v>
      </c>
      <c r="E431" s="3" t="str">
        <f t="shared" si="1"/>
        <v>born&lt;br&gt;&lt;div class="audio"&gt;[sound:born.mp3]&lt;/div&gt;</v>
      </c>
      <c r="F431" s="3" t="str">
        <f t="shared" si="2"/>
        <v>(adj): sinh ra</v>
      </c>
      <c r="G431" s="6" t="s">
        <v>39470</v>
      </c>
      <c r="H431" s="6" t="s">
        <v>39471</v>
      </c>
      <c r="I431" s="7">
        <f t="shared" si="3"/>
        <v>0.7339226183</v>
      </c>
    </row>
    <row r="432">
      <c r="A432" s="4">
        <v>432.0</v>
      </c>
      <c r="B432" s="3" t="s">
        <v>39472</v>
      </c>
      <c r="C432" s="6" t="s">
        <v>74</v>
      </c>
      <c r="D432" s="6" t="s">
        <v>39473</v>
      </c>
      <c r="E432" s="3" t="str">
        <f t="shared" si="1"/>
        <v>table&lt;br&gt;&lt;div class="audio"&gt;[sound:table.mp3]&lt;/div&gt;</v>
      </c>
      <c r="F432" s="3" t="str">
        <f t="shared" si="2"/>
        <v>(n): cái bàn</v>
      </c>
      <c r="G432" s="6" t="s">
        <v>39474</v>
      </c>
      <c r="H432" s="6" t="s">
        <v>39475</v>
      </c>
      <c r="I432" s="7">
        <f t="shared" si="3"/>
        <v>0.05570372536</v>
      </c>
    </row>
    <row r="433">
      <c r="A433" s="4">
        <v>433.0</v>
      </c>
      <c r="B433" s="3" t="s">
        <v>39476</v>
      </c>
      <c r="C433" s="6" t="s">
        <v>74</v>
      </c>
      <c r="D433" s="8" t="s">
        <v>39477</v>
      </c>
      <c r="E433" s="3" t="str">
        <f t="shared" si="1"/>
        <v>structure&lt;br&gt;&lt;div class="audio"&gt;[sound:structure.mp3]&lt;/div&gt;</v>
      </c>
      <c r="F433" s="3" t="str">
        <f t="shared" si="2"/>
        <v>(n): kết cấu</v>
      </c>
      <c r="G433" s="8" t="s">
        <v>39478</v>
      </c>
      <c r="H433" s="8" t="s">
        <v>39479</v>
      </c>
      <c r="I433" s="7">
        <f t="shared" si="3"/>
        <v>0.1182528666</v>
      </c>
    </row>
    <row r="434">
      <c r="A434" s="4">
        <v>434.0</v>
      </c>
      <c r="B434" s="3" t="s">
        <v>39480</v>
      </c>
      <c r="C434" s="6" t="s">
        <v>74</v>
      </c>
      <c r="D434" s="6" t="s">
        <v>4028</v>
      </c>
      <c r="E434" s="3" t="str">
        <f t="shared" si="1"/>
        <v>event&lt;br&gt;&lt;div class="audio"&gt;[sound:event.mp3]&lt;/div&gt;</v>
      </c>
      <c r="F434" s="3" t="str">
        <f t="shared" si="2"/>
        <v>(n): sự kiện</v>
      </c>
      <c r="G434" s="6" t="s">
        <v>39481</v>
      </c>
      <c r="H434" s="6" t="s">
        <v>39482</v>
      </c>
      <c r="I434" s="7">
        <f t="shared" si="3"/>
        <v>0.8074812029</v>
      </c>
    </row>
    <row r="435">
      <c r="A435" s="4">
        <v>435.0</v>
      </c>
      <c r="B435" s="3" t="s">
        <v>39483</v>
      </c>
      <c r="C435" s="6" t="s">
        <v>24</v>
      </c>
      <c r="D435" s="6" t="s">
        <v>30769</v>
      </c>
      <c r="E435" s="3" t="str">
        <f t="shared" si="1"/>
        <v>offer&lt;br&gt;&lt;div class="audio"&gt;[sound:offer.mp3]&lt;/div&gt;</v>
      </c>
      <c r="F435" s="3" t="str">
        <f t="shared" si="2"/>
        <v>(v): đề nghị</v>
      </c>
      <c r="G435" s="6" t="s">
        <v>39484</v>
      </c>
      <c r="H435" s="6" t="s">
        <v>39485</v>
      </c>
      <c r="I435" s="7">
        <f t="shared" si="3"/>
        <v>0.6132063233</v>
      </c>
    </row>
    <row r="436">
      <c r="A436" s="4">
        <v>436.0</v>
      </c>
      <c r="B436" s="3" t="s">
        <v>39486</v>
      </c>
      <c r="C436" s="6" t="s">
        <v>11</v>
      </c>
      <c r="D436" s="8" t="s">
        <v>6989</v>
      </c>
      <c r="E436" s="3" t="str">
        <f t="shared" si="1"/>
        <v>significant&lt;br&gt;&lt;div class="audio"&gt;[sound:significant.mp3]&lt;/div&gt;</v>
      </c>
      <c r="F436" s="3" t="str">
        <f t="shared" si="2"/>
        <v>(adj): đáng kể</v>
      </c>
      <c r="G436" s="8" t="s">
        <v>39487</v>
      </c>
      <c r="H436" s="8" t="s">
        <v>39488</v>
      </c>
      <c r="I436" s="7">
        <f t="shared" si="3"/>
        <v>0.8393891264</v>
      </c>
    </row>
    <row r="437">
      <c r="A437" s="4">
        <v>437.0</v>
      </c>
      <c r="B437" s="3" t="s">
        <v>39489</v>
      </c>
      <c r="C437" s="6" t="s">
        <v>74</v>
      </c>
      <c r="D437" s="8" t="s">
        <v>13646</v>
      </c>
      <c r="E437" s="3" t="str">
        <f t="shared" si="1"/>
        <v>subject&lt;br&gt;&lt;div class="audio"&gt;[sound:subject.mp3]&lt;/div&gt;</v>
      </c>
      <c r="F437" s="3" t="str">
        <f t="shared" si="2"/>
        <v>(n): môn học</v>
      </c>
      <c r="G437" s="8" t="s">
        <v>39490</v>
      </c>
      <c r="H437" s="8" t="s">
        <v>39491</v>
      </c>
      <c r="I437" s="7">
        <f t="shared" si="3"/>
        <v>0.1236564585</v>
      </c>
    </row>
    <row r="438">
      <c r="A438" s="4">
        <v>438.0</v>
      </c>
      <c r="B438" s="3" t="s">
        <v>39492</v>
      </c>
      <c r="C438" s="6" t="s">
        <v>85</v>
      </c>
      <c r="D438" s="6" t="s">
        <v>2150</v>
      </c>
      <c r="E438" s="3" t="str">
        <f t="shared" si="1"/>
        <v>why&lt;br&gt;&lt;div class="audio"&gt;[sound:why.mp3]&lt;/div&gt;</v>
      </c>
      <c r="F438" s="3" t="str">
        <f t="shared" si="2"/>
        <v>(adv): tại sao</v>
      </c>
      <c r="G438" s="6" t="s">
        <v>39493</v>
      </c>
      <c r="H438" s="6" t="s">
        <v>39494</v>
      </c>
      <c r="I438" s="7">
        <f t="shared" si="3"/>
        <v>0.1711919796</v>
      </c>
    </row>
    <row r="439">
      <c r="A439" s="4">
        <v>439.0</v>
      </c>
      <c r="B439" s="3" t="s">
        <v>39495</v>
      </c>
      <c r="C439" s="6" t="s">
        <v>90</v>
      </c>
      <c r="D439" s="6" t="s">
        <v>39135</v>
      </c>
      <c r="E439" s="3" t="str">
        <f t="shared" si="1"/>
        <v>although&lt;br&gt;&lt;div class="audio"&gt;[sound:although.mp3]&lt;/div&gt;</v>
      </c>
      <c r="F439" s="3" t="str">
        <f t="shared" si="2"/>
        <v>(conj): mặc dù</v>
      </c>
      <c r="G439" s="6" t="s">
        <v>39496</v>
      </c>
      <c r="H439" s="6" t="s">
        <v>39497</v>
      </c>
      <c r="I439" s="7">
        <f t="shared" si="3"/>
        <v>0.1975420223</v>
      </c>
    </row>
    <row r="440">
      <c r="A440" s="4">
        <v>440.0</v>
      </c>
      <c r="B440" s="3" t="s">
        <v>39498</v>
      </c>
      <c r="C440" s="6" t="s">
        <v>24</v>
      </c>
      <c r="D440" s="6" t="s">
        <v>9957</v>
      </c>
      <c r="E440" s="3" t="str">
        <f t="shared" si="1"/>
        <v>cause&lt;br&gt;&lt;div class="audio"&gt;[sound:cause.mp3]&lt;/div&gt;</v>
      </c>
      <c r="F440" s="3" t="str">
        <f t="shared" si="2"/>
        <v>(v): gây ra</v>
      </c>
      <c r="G440" s="6" t="s">
        <v>39499</v>
      </c>
      <c r="H440" s="6" t="s">
        <v>39500</v>
      </c>
      <c r="I440" s="7">
        <f t="shared" si="3"/>
        <v>0.2155743281</v>
      </c>
    </row>
    <row r="441">
      <c r="A441" s="4">
        <v>441.0</v>
      </c>
      <c r="B441" s="3" t="s">
        <v>39501</v>
      </c>
      <c r="C441" s="6" t="s">
        <v>58</v>
      </c>
      <c r="D441" s="8" t="s">
        <v>15035</v>
      </c>
      <c r="E441" s="3" t="str">
        <f t="shared" si="1"/>
        <v>six&lt;br&gt;&lt;div class="audio"&gt;[sound:six.mp3]&lt;/div&gt;</v>
      </c>
      <c r="F441" s="3" t="str">
        <f t="shared" si="2"/>
        <v>(num): số sáu</v>
      </c>
      <c r="G441" s="8" t="s">
        <v>39502</v>
      </c>
      <c r="H441" s="8" t="s">
        <v>39503</v>
      </c>
      <c r="I441" s="7">
        <f t="shared" si="3"/>
        <v>0.211767201</v>
      </c>
    </row>
    <row r="442">
      <c r="A442" s="4">
        <v>442.0</v>
      </c>
      <c r="B442" s="3" t="s">
        <v>39504</v>
      </c>
      <c r="C442" s="6" t="s">
        <v>24</v>
      </c>
      <c r="D442" s="8" t="s">
        <v>39505</v>
      </c>
      <c r="E442" s="3" t="str">
        <f t="shared" si="1"/>
        <v>suppose&lt;br&gt;&lt;div class="audio"&gt;[sound:suppose.mp3]&lt;/div&gt;</v>
      </c>
      <c r="F442" s="3" t="str">
        <f t="shared" si="2"/>
        <v>(v): cho là</v>
      </c>
      <c r="G442" s="8" t="s">
        <v>39506</v>
      </c>
      <c r="H442" s="8" t="s">
        <v>39507</v>
      </c>
      <c r="I442" s="7">
        <f t="shared" si="3"/>
        <v>0.4657491999</v>
      </c>
    </row>
    <row r="443">
      <c r="A443" s="4">
        <v>443.0</v>
      </c>
      <c r="B443" s="3" t="s">
        <v>39508</v>
      </c>
      <c r="C443" s="6" t="s">
        <v>24</v>
      </c>
      <c r="D443" s="6" t="s">
        <v>10312</v>
      </c>
      <c r="E443" s="3" t="str">
        <f t="shared" si="1"/>
        <v>return&lt;br&gt;&lt;div class="audio"&gt;[sound:return.mp3]&lt;/div&gt;</v>
      </c>
      <c r="F443" s="3" t="str">
        <f t="shared" si="2"/>
        <v>(v): trở về</v>
      </c>
      <c r="G443" s="6" t="s">
        <v>39509</v>
      </c>
      <c r="H443" s="6" t="s">
        <v>39510</v>
      </c>
      <c r="I443" s="7">
        <f t="shared" si="3"/>
        <v>0.5344010701</v>
      </c>
    </row>
    <row r="444">
      <c r="A444" s="4">
        <v>444.0</v>
      </c>
      <c r="B444" s="3" t="s">
        <v>39511</v>
      </c>
      <c r="C444" s="6" t="s">
        <v>11</v>
      </c>
      <c r="D444" s="6" t="s">
        <v>95</v>
      </c>
      <c r="E444" s="3" t="str">
        <f t="shared" si="1"/>
        <v>possible&lt;br&gt;&lt;div class="audio"&gt;[sound:possible.mp3]&lt;/div&gt;</v>
      </c>
      <c r="F444" s="3" t="str">
        <f t="shared" si="2"/>
        <v>(adj): có thể</v>
      </c>
      <c r="G444" s="6" t="s">
        <v>39512</v>
      </c>
      <c r="H444" s="6" t="s">
        <v>39513</v>
      </c>
      <c r="I444" s="7">
        <f t="shared" si="3"/>
        <v>0.739294392</v>
      </c>
    </row>
    <row r="445">
      <c r="A445" s="4">
        <v>445.0</v>
      </c>
      <c r="B445" s="3" t="s">
        <v>39514</v>
      </c>
      <c r="C445" s="6" t="s">
        <v>24</v>
      </c>
      <c r="D445" s="6" t="s">
        <v>39515</v>
      </c>
      <c r="E445" s="3" t="str">
        <f t="shared" si="1"/>
        <v>enter&lt;br&gt;&lt;div class="audio"&gt;[sound:enter.mp3]&lt;/div&gt;</v>
      </c>
      <c r="F445" s="3" t="str">
        <f t="shared" si="2"/>
        <v>(v): đi vào</v>
      </c>
      <c r="G445" s="6" t="s">
        <v>39516</v>
      </c>
      <c r="H445" s="6" t="s">
        <v>39517</v>
      </c>
      <c r="I445" s="7">
        <f t="shared" si="3"/>
        <v>0.5026034559</v>
      </c>
    </row>
    <row r="446">
      <c r="A446" s="4">
        <v>446.0</v>
      </c>
      <c r="B446" s="3" t="s">
        <v>39518</v>
      </c>
      <c r="C446" s="6" t="s">
        <v>85</v>
      </c>
      <c r="D446" s="6" t="s">
        <v>30819</v>
      </c>
      <c r="E446" s="3" t="str">
        <f t="shared" si="1"/>
        <v>please&lt;br&gt;&lt;div class="audio"&gt;[sound:please.mp3]&lt;/div&gt;</v>
      </c>
      <c r="F446" s="3" t="str">
        <f t="shared" si="2"/>
        <v>(adv): làm ơn</v>
      </c>
      <c r="G446" s="6" t="s">
        <v>39519</v>
      </c>
      <c r="H446" s="6" t="s">
        <v>39520</v>
      </c>
      <c r="I446" s="7">
        <f t="shared" si="3"/>
        <v>0.5517917677</v>
      </c>
    </row>
    <row r="447">
      <c r="A447" s="4">
        <v>447.0</v>
      </c>
      <c r="B447" s="3" t="s">
        <v>39521</v>
      </c>
      <c r="C447" s="6" t="s">
        <v>74</v>
      </c>
      <c r="D447" s="8" t="s">
        <v>7632</v>
      </c>
      <c r="E447" s="3" t="str">
        <f t="shared" si="1"/>
        <v>secret&lt;br&gt;&lt;div class="audio"&gt;[sound:secret.mp3]&lt;/div&gt;</v>
      </c>
      <c r="F447" s="3" t="str">
        <f t="shared" si="2"/>
        <v>(n): bí mật</v>
      </c>
      <c r="G447" s="8" t="s">
        <v>39522</v>
      </c>
      <c r="H447" s="8" t="s">
        <v>39523</v>
      </c>
      <c r="I447" s="7">
        <f t="shared" si="3"/>
        <v>0.2943404977</v>
      </c>
    </row>
    <row r="448">
      <c r="A448" s="4">
        <v>448.0</v>
      </c>
      <c r="B448" s="3" t="s">
        <v>39524</v>
      </c>
      <c r="C448" s="6" t="s">
        <v>11</v>
      </c>
      <c r="D448" s="6" t="s">
        <v>3473</v>
      </c>
      <c r="E448" s="3" t="str">
        <f t="shared" si="1"/>
        <v>interesting&lt;br&gt;&lt;div class="audio"&gt;[sound:interesting.mp3]&lt;/div&gt;</v>
      </c>
      <c r="F448" s="3" t="str">
        <f t="shared" si="2"/>
        <v>(adj): thú vị</v>
      </c>
      <c r="G448" s="6" t="s">
        <v>39525</v>
      </c>
      <c r="H448" s="6" t="s">
        <v>39526</v>
      </c>
      <c r="I448" s="7">
        <f t="shared" si="3"/>
        <v>0.1588296463</v>
      </c>
    </row>
    <row r="449">
      <c r="A449" s="4">
        <v>449.0</v>
      </c>
      <c r="B449" s="3" t="s">
        <v>39527</v>
      </c>
      <c r="C449" s="6" t="s">
        <v>74</v>
      </c>
      <c r="D449" s="6" t="s">
        <v>1396</v>
      </c>
      <c r="E449" s="3" t="str">
        <f t="shared" si="1"/>
        <v>woman&lt;br&gt;&lt;div class="audio"&gt;[sound:woman.mp3]&lt;/div&gt;</v>
      </c>
      <c r="F449" s="3" t="str">
        <f t="shared" si="2"/>
        <v>(n): phụ nữ</v>
      </c>
      <c r="G449" s="6" t="s">
        <v>39528</v>
      </c>
      <c r="H449" s="6" t="s">
        <v>39529</v>
      </c>
      <c r="I449" s="7">
        <f t="shared" si="3"/>
        <v>0.4566952834</v>
      </c>
    </row>
    <row r="450">
      <c r="A450" s="4">
        <v>450.0</v>
      </c>
      <c r="B450" s="3" t="s">
        <v>39530</v>
      </c>
      <c r="C450" s="6" t="s">
        <v>74</v>
      </c>
      <c r="D450" s="6" t="s">
        <v>109</v>
      </c>
      <c r="E450" s="3" t="str">
        <f t="shared" si="1"/>
        <v>issue&lt;br&gt;&lt;div class="audio"&gt;[sound:issue.mp3]&lt;/div&gt;</v>
      </c>
      <c r="F450" s="3" t="str">
        <f t="shared" si="2"/>
        <v>(n): vấn đề</v>
      </c>
      <c r="G450" s="6" t="s">
        <v>39531</v>
      </c>
      <c r="H450" s="6" t="s">
        <v>38714</v>
      </c>
      <c r="I450" s="7">
        <f t="shared" si="3"/>
        <v>0.6422890223</v>
      </c>
    </row>
    <row r="451">
      <c r="A451" s="4">
        <v>451.0</v>
      </c>
      <c r="B451" s="3" t="s">
        <v>39532</v>
      </c>
      <c r="C451" s="6" t="s">
        <v>74</v>
      </c>
      <c r="D451" s="6" t="s">
        <v>533</v>
      </c>
      <c r="E451" s="3" t="str">
        <f t="shared" si="1"/>
        <v>lot&lt;br&gt;&lt;div class="audio"&gt;[sound:lot.mp3]&lt;/div&gt;</v>
      </c>
      <c r="F451" s="3" t="str">
        <f t="shared" si="2"/>
        <v>(n): nhiều</v>
      </c>
      <c r="G451" s="6" t="s">
        <v>39533</v>
      </c>
      <c r="H451" s="6" t="s">
        <v>39534</v>
      </c>
      <c r="I451" s="7">
        <f t="shared" si="3"/>
        <v>0.4189967207</v>
      </c>
    </row>
    <row r="452">
      <c r="A452" s="4">
        <v>452.0</v>
      </c>
      <c r="B452" s="3" t="s">
        <v>39535</v>
      </c>
      <c r="C452" s="6" t="s">
        <v>11</v>
      </c>
      <c r="D452" s="6" t="s">
        <v>8867</v>
      </c>
      <c r="E452" s="3" t="str">
        <f t="shared" si="1"/>
        <v>general&lt;br&gt;&lt;div class="audio"&gt;[sound:general.mp3]&lt;/div&gt;</v>
      </c>
      <c r="F452" s="3" t="str">
        <f t="shared" si="2"/>
        <v>(adj): chung</v>
      </c>
      <c r="G452" s="6" t="s">
        <v>39536</v>
      </c>
      <c r="H452" s="6" t="s">
        <v>39537</v>
      </c>
      <c r="I452" s="7">
        <f t="shared" si="3"/>
        <v>0.25645256</v>
      </c>
    </row>
    <row r="453">
      <c r="A453" s="4">
        <v>453.0</v>
      </c>
      <c r="B453" s="3" t="s">
        <v>39538</v>
      </c>
      <c r="C453" s="6" t="s">
        <v>24</v>
      </c>
      <c r="D453" s="6" t="s">
        <v>6364</v>
      </c>
      <c r="E453" s="3" t="str">
        <f t="shared" si="1"/>
        <v>lose&lt;br&gt;&lt;div class="audio"&gt;[sound:lose.mp3]&lt;/div&gt;</v>
      </c>
      <c r="F453" s="3" t="str">
        <f t="shared" si="2"/>
        <v>(v): thua</v>
      </c>
      <c r="G453" s="6" t="s">
        <v>39539</v>
      </c>
      <c r="H453" s="6" t="s">
        <v>39540</v>
      </c>
      <c r="I453" s="7">
        <f t="shared" si="3"/>
        <v>0.9027802588</v>
      </c>
    </row>
    <row r="454">
      <c r="A454" s="4">
        <v>454.0</v>
      </c>
      <c r="B454" s="3" t="s">
        <v>39541</v>
      </c>
      <c r="C454" s="6" t="s">
        <v>74</v>
      </c>
      <c r="D454" s="6" t="s">
        <v>1250</v>
      </c>
      <c r="E454" s="3" t="str">
        <f t="shared" si="1"/>
        <v>point&lt;br&gt;&lt;div class="audio"&gt;[sound:point.mp3]&lt;/div&gt;</v>
      </c>
      <c r="F454" s="3" t="str">
        <f t="shared" si="2"/>
        <v>(n): điểm</v>
      </c>
      <c r="G454" s="6" t="s">
        <v>39542</v>
      </c>
      <c r="H454" s="6" t="s">
        <v>39543</v>
      </c>
      <c r="I454" s="7">
        <f t="shared" si="3"/>
        <v>0.04936060584</v>
      </c>
    </row>
    <row r="455">
      <c r="A455" s="4">
        <v>455.0</v>
      </c>
      <c r="B455" s="3" t="s">
        <v>39544</v>
      </c>
      <c r="C455" s="6" t="s">
        <v>90</v>
      </c>
      <c r="D455" s="6" t="s">
        <v>39545</v>
      </c>
      <c r="E455" s="3" t="str">
        <f t="shared" si="1"/>
        <v>whether&lt;br&gt;&lt;div class="audio"&gt;[sound:whether.mp3]&lt;/div&gt;</v>
      </c>
      <c r="F455" s="3" t="str">
        <f t="shared" si="2"/>
        <v>(conj): liệu</v>
      </c>
      <c r="G455" s="6" t="s">
        <v>39546</v>
      </c>
      <c r="H455" s="6" t="s">
        <v>39547</v>
      </c>
      <c r="I455" s="7">
        <f t="shared" si="3"/>
        <v>0.8335752788</v>
      </c>
    </row>
    <row r="456">
      <c r="A456" s="4">
        <v>456.0</v>
      </c>
      <c r="B456" s="3" t="s">
        <v>39548</v>
      </c>
      <c r="C456" s="6" t="s">
        <v>24</v>
      </c>
      <c r="D456" s="6" t="s">
        <v>4943</v>
      </c>
      <c r="E456" s="3" t="str">
        <f t="shared" si="1"/>
        <v>increase&lt;br&gt;&lt;div class="audio"&gt;[sound:increase.mp3]&lt;/div&gt;</v>
      </c>
      <c r="F456" s="3" t="str">
        <f t="shared" si="2"/>
        <v>(v): tăng</v>
      </c>
      <c r="G456" s="6" t="s">
        <v>39549</v>
      </c>
      <c r="H456" s="6" t="s">
        <v>39550</v>
      </c>
      <c r="I456" s="7">
        <f t="shared" si="3"/>
        <v>0.5711219411</v>
      </c>
    </row>
    <row r="457">
      <c r="A457" s="4">
        <v>457.0</v>
      </c>
      <c r="B457" s="3" t="s">
        <v>39551</v>
      </c>
      <c r="C457" s="6" t="s">
        <v>74</v>
      </c>
      <c r="D457" s="6" t="s">
        <v>39552</v>
      </c>
      <c r="E457" s="3" t="str">
        <f t="shared" si="1"/>
        <v>god&lt;br&gt;&lt;div class="audio"&gt;[sound:god.mp3]&lt;/div&gt;</v>
      </c>
      <c r="F457" s="3" t="str">
        <f t="shared" si="2"/>
        <v>(n): chúa</v>
      </c>
      <c r="G457" s="6" t="s">
        <v>39553</v>
      </c>
      <c r="H457" s="6" t="s">
        <v>39554</v>
      </c>
      <c r="I457" s="7">
        <f t="shared" si="3"/>
        <v>0.4556331226</v>
      </c>
    </row>
    <row r="458">
      <c r="A458" s="4">
        <v>458.0</v>
      </c>
      <c r="B458" s="3" t="s">
        <v>39555</v>
      </c>
      <c r="C458" s="6" t="s">
        <v>74</v>
      </c>
      <c r="D458" s="8" t="s">
        <v>39556</v>
      </c>
      <c r="E458" s="3" t="str">
        <f t="shared" si="1"/>
        <v>station&lt;br&gt;&lt;div class="audio"&gt;[sound:station.mp3]&lt;/div&gt;</v>
      </c>
      <c r="F458" s="3" t="str">
        <f t="shared" si="2"/>
        <v>(n): trạm</v>
      </c>
      <c r="G458" s="8" t="s">
        <v>39557</v>
      </c>
      <c r="H458" s="8" t="s">
        <v>39558</v>
      </c>
      <c r="I458" s="7">
        <f t="shared" si="3"/>
        <v>0.6378271594</v>
      </c>
    </row>
    <row r="459">
      <c r="A459" s="4">
        <v>459.0</v>
      </c>
      <c r="B459" s="3" t="s">
        <v>39559</v>
      </c>
      <c r="C459" s="6" t="s">
        <v>74</v>
      </c>
      <c r="D459" s="6" t="s">
        <v>456</v>
      </c>
      <c r="E459" s="3" t="str">
        <f t="shared" si="1"/>
        <v>date&lt;br&gt;&lt;div class="audio"&gt;[sound:date.mp3]&lt;/div&gt;</v>
      </c>
      <c r="F459" s="3" t="str">
        <f t="shared" si="2"/>
        <v>(n): ngày</v>
      </c>
      <c r="G459" s="6" t="s">
        <v>39560</v>
      </c>
      <c r="H459" s="6" t="s">
        <v>39561</v>
      </c>
      <c r="I459" s="7">
        <f t="shared" si="3"/>
        <v>0.5970361662</v>
      </c>
    </row>
    <row r="460">
      <c r="A460" s="4">
        <v>460.0</v>
      </c>
      <c r="B460" s="3" t="s">
        <v>39562</v>
      </c>
      <c r="C460" s="6" t="s">
        <v>74</v>
      </c>
      <c r="D460" s="6" t="s">
        <v>13051</v>
      </c>
      <c r="E460" s="3" t="str">
        <f t="shared" si="1"/>
        <v>kind&lt;br&gt;&lt;div class="audio"&gt;[sound:kind.mp3]&lt;/div&gt;</v>
      </c>
      <c r="F460" s="3" t="str">
        <f t="shared" si="2"/>
        <v>(n): loại</v>
      </c>
      <c r="G460" s="6" t="s">
        <v>39563</v>
      </c>
      <c r="H460" s="6" t="s">
        <v>39564</v>
      </c>
      <c r="I460" s="7">
        <f t="shared" si="3"/>
        <v>0.5796934512</v>
      </c>
    </row>
    <row r="461">
      <c r="A461" s="4">
        <v>461.0</v>
      </c>
      <c r="B461" s="3" t="s">
        <v>39565</v>
      </c>
      <c r="C461" s="6" t="s">
        <v>74</v>
      </c>
      <c r="D461" s="6" t="s">
        <v>39566</v>
      </c>
      <c r="E461" s="3" t="str">
        <f t="shared" si="1"/>
        <v>line&lt;br&gt;&lt;div class="audio"&gt;[sound:line.mp3]&lt;/div&gt;</v>
      </c>
      <c r="F461" s="3" t="str">
        <f t="shared" si="2"/>
        <v>(n): dòng</v>
      </c>
      <c r="G461" s="6" t="s">
        <v>39567</v>
      </c>
      <c r="H461" s="6" t="s">
        <v>39568</v>
      </c>
      <c r="I461" s="7">
        <f t="shared" si="3"/>
        <v>0.879357622</v>
      </c>
    </row>
    <row r="462">
      <c r="A462" s="4">
        <v>462.0</v>
      </c>
      <c r="B462" s="3" t="s">
        <v>39569</v>
      </c>
      <c r="C462" s="6" t="s">
        <v>90</v>
      </c>
      <c r="D462" s="6" t="s">
        <v>2299</v>
      </c>
      <c r="E462" s="3" t="str">
        <f t="shared" si="1"/>
        <v>either&lt;br&gt;&lt;div class="audio"&gt;[sound:either.mp3]&lt;/div&gt;</v>
      </c>
      <c r="F462" s="3" t="str">
        <f t="shared" si="2"/>
        <v>(conj): hoặc</v>
      </c>
      <c r="G462" s="6" t="s">
        <v>39570</v>
      </c>
      <c r="H462" s="6" t="s">
        <v>39571</v>
      </c>
      <c r="I462" s="7">
        <f t="shared" si="3"/>
        <v>0.935595663</v>
      </c>
    </row>
    <row r="463">
      <c r="A463" s="4">
        <v>463.0</v>
      </c>
      <c r="B463" s="3" t="s">
        <v>39572</v>
      </c>
      <c r="C463" s="6" t="s">
        <v>24</v>
      </c>
      <c r="D463" s="6" t="s">
        <v>21660</v>
      </c>
      <c r="E463" s="3" t="str">
        <f t="shared" si="1"/>
        <v>fall&lt;br&gt;&lt;div class="audio"&gt;[sound:fall.mp3]&lt;/div&gt;</v>
      </c>
      <c r="F463" s="3" t="str">
        <f t="shared" si="2"/>
        <v>(v): ngã</v>
      </c>
      <c r="G463" s="6" t="s">
        <v>39573</v>
      </c>
      <c r="H463" s="6" t="s">
        <v>39574</v>
      </c>
      <c r="I463" s="7">
        <f t="shared" si="3"/>
        <v>0.5164942235</v>
      </c>
    </row>
    <row r="464">
      <c r="A464" s="4">
        <v>464.0</v>
      </c>
      <c r="B464" s="3" t="s">
        <v>39575</v>
      </c>
      <c r="C464" s="6" t="s">
        <v>11</v>
      </c>
      <c r="D464" s="6" t="s">
        <v>9049</v>
      </c>
      <c r="E464" s="3" t="str">
        <f t="shared" si="1"/>
        <v>late&lt;br&gt;&lt;div class="audio"&gt;[sound:late.mp3]&lt;/div&gt;</v>
      </c>
      <c r="F464" s="3" t="str">
        <f t="shared" si="2"/>
        <v>(adj): trễ</v>
      </c>
      <c r="G464" s="6" t="s">
        <v>39576</v>
      </c>
      <c r="H464" s="6" t="s">
        <v>39577</v>
      </c>
      <c r="I464" s="7">
        <f t="shared" si="3"/>
        <v>0.01184751716</v>
      </c>
    </row>
    <row r="465">
      <c r="A465" s="4">
        <v>465.0</v>
      </c>
      <c r="B465" s="3" t="s">
        <v>39578</v>
      </c>
      <c r="C465" s="6" t="s">
        <v>58</v>
      </c>
      <c r="D465" s="6" t="s">
        <v>1272</v>
      </c>
      <c r="E465" s="3" t="str">
        <f t="shared" si="1"/>
        <v>four&lt;br&gt;&lt;div class="audio"&gt;[sound:four.mp3]&lt;/div&gt;</v>
      </c>
      <c r="F465" s="3" t="str">
        <f t="shared" si="2"/>
        <v>(num): bốn</v>
      </c>
      <c r="G465" s="6" t="s">
        <v>39579</v>
      </c>
      <c r="H465" s="6" t="s">
        <v>39580</v>
      </c>
      <c r="I465" s="7">
        <f t="shared" si="3"/>
        <v>0.8079144208</v>
      </c>
    </row>
    <row r="466">
      <c r="A466" s="4">
        <v>466.0</v>
      </c>
      <c r="B466" s="3" t="s">
        <v>39581</v>
      </c>
      <c r="C466" s="6" t="s">
        <v>24</v>
      </c>
      <c r="D466" s="6" t="s">
        <v>3004</v>
      </c>
      <c r="E466" s="3" t="str">
        <f t="shared" si="1"/>
        <v>learn&lt;br&gt;&lt;div class="audio"&gt;[sound:learn.mp3]&lt;/div&gt;</v>
      </c>
      <c r="F466" s="3" t="str">
        <f t="shared" si="2"/>
        <v>(v): học</v>
      </c>
      <c r="G466" s="6" t="s">
        <v>39582</v>
      </c>
      <c r="H466" s="6" t="s">
        <v>39583</v>
      </c>
      <c r="I466" s="7">
        <f t="shared" si="3"/>
        <v>0.277740957</v>
      </c>
    </row>
    <row r="467">
      <c r="A467" s="4">
        <v>467.0</v>
      </c>
      <c r="B467" s="3" t="s">
        <v>39584</v>
      </c>
      <c r="C467" s="6" t="s">
        <v>24</v>
      </c>
      <c r="D467" s="6" t="s">
        <v>757</v>
      </c>
      <c r="E467" s="3" t="str">
        <f t="shared" si="1"/>
        <v>wait&lt;br&gt;&lt;div class="audio"&gt;[sound:wait.mp3]&lt;/div&gt;</v>
      </c>
      <c r="F467" s="3" t="str">
        <f t="shared" si="2"/>
        <v>(v): đợi</v>
      </c>
      <c r="G467" s="6" t="s">
        <v>39585</v>
      </c>
      <c r="H467" s="6" t="s">
        <v>39586</v>
      </c>
      <c r="I467" s="7">
        <f t="shared" si="3"/>
        <v>0.5619252224</v>
      </c>
    </row>
    <row r="468">
      <c r="A468" s="4">
        <v>468.0</v>
      </c>
      <c r="B468" s="3" t="s">
        <v>39587</v>
      </c>
      <c r="C468" s="6" t="s">
        <v>74</v>
      </c>
      <c r="D468" s="6" t="s">
        <v>1205</v>
      </c>
      <c r="E468" s="3" t="str">
        <f t="shared" si="1"/>
        <v>eye&lt;br&gt;&lt;div class="audio"&gt;[sound:eye.mp3]&lt;/div&gt;</v>
      </c>
      <c r="F468" s="3" t="str">
        <f t="shared" si="2"/>
        <v>(n): mắt</v>
      </c>
      <c r="G468" s="6" t="s">
        <v>39588</v>
      </c>
      <c r="H468" s="6" t="s">
        <v>39589</v>
      </c>
      <c r="I468" s="7">
        <f t="shared" si="3"/>
        <v>0.9788191294</v>
      </c>
    </row>
    <row r="469">
      <c r="A469" s="4">
        <v>469.0</v>
      </c>
      <c r="B469" s="3" t="s">
        <v>39590</v>
      </c>
      <c r="C469" s="6" t="s">
        <v>11</v>
      </c>
      <c r="D469" s="6" t="s">
        <v>1171</v>
      </c>
      <c r="E469" s="3" t="str">
        <f t="shared" si="1"/>
        <v>full&lt;br&gt;&lt;div class="audio"&gt;[sound:full.mp3]&lt;/div&gt;</v>
      </c>
      <c r="F469" s="3" t="str">
        <f t="shared" si="2"/>
        <v>(adj): đầy</v>
      </c>
      <c r="G469" s="6" t="s">
        <v>39591</v>
      </c>
      <c r="H469" s="6" t="s">
        <v>39592</v>
      </c>
      <c r="I469" s="7">
        <f t="shared" si="3"/>
        <v>0.2473536548</v>
      </c>
    </row>
    <row r="470">
      <c r="A470" s="4">
        <v>470.0</v>
      </c>
      <c r="B470" s="3" t="s">
        <v>39593</v>
      </c>
      <c r="C470" s="6" t="s">
        <v>11</v>
      </c>
      <c r="D470" s="8" t="s">
        <v>39594</v>
      </c>
      <c r="E470" s="3" t="str">
        <f t="shared" si="1"/>
        <v>single&lt;br&gt;&lt;div class="audio"&gt;[sound:single.mp3]&lt;/div&gt;</v>
      </c>
      <c r="F470" s="3" t="str">
        <f t="shared" si="2"/>
        <v>(adj): đơn</v>
      </c>
      <c r="G470" s="8" t="s">
        <v>39595</v>
      </c>
      <c r="H470" s="8" t="s">
        <v>39596</v>
      </c>
      <c r="I470" s="7">
        <f t="shared" si="3"/>
        <v>0.1941527692</v>
      </c>
    </row>
    <row r="471">
      <c r="A471" s="4">
        <v>471.0</v>
      </c>
      <c r="B471" s="3" t="s">
        <v>39597</v>
      </c>
      <c r="C471" s="6" t="s">
        <v>74</v>
      </c>
      <c r="D471" s="6" t="s">
        <v>848</v>
      </c>
      <c r="E471" s="3" t="str">
        <f t="shared" si="1"/>
        <v>mother&lt;br&gt;&lt;div class="audio"&gt;[sound:mother.mp3]&lt;/div&gt;</v>
      </c>
      <c r="F471" s="3" t="str">
        <f t="shared" si="2"/>
        <v>(n): mẹ</v>
      </c>
      <c r="G471" s="6" t="s">
        <v>39598</v>
      </c>
      <c r="H471" s="6" t="s">
        <v>39599</v>
      </c>
      <c r="I471" s="7">
        <f t="shared" si="3"/>
        <v>0.3830873806</v>
      </c>
    </row>
    <row r="472">
      <c r="A472" s="4">
        <v>472.0</v>
      </c>
      <c r="B472" s="3" t="s">
        <v>39600</v>
      </c>
      <c r="C472" s="6" t="s">
        <v>74</v>
      </c>
      <c r="D472" s="6" t="s">
        <v>1678</v>
      </c>
      <c r="E472" s="3" t="str">
        <f t="shared" si="1"/>
        <v>teacher&lt;br&gt;&lt;div class="audio"&gt;[sound:teacher.mp3]&lt;/div&gt;</v>
      </c>
      <c r="F472" s="3" t="str">
        <f t="shared" si="2"/>
        <v>(n): giáo viên</v>
      </c>
      <c r="G472" s="6" t="s">
        <v>39601</v>
      </c>
      <c r="H472" s="6" t="s">
        <v>39602</v>
      </c>
      <c r="I472" s="7">
        <f t="shared" si="3"/>
        <v>0.5071462882</v>
      </c>
    </row>
    <row r="473">
      <c r="A473" s="4">
        <v>473.0</v>
      </c>
      <c r="B473" s="3" t="s">
        <v>39603</v>
      </c>
      <c r="C473" s="6" t="s">
        <v>24</v>
      </c>
      <c r="D473" s="6" t="s">
        <v>4168</v>
      </c>
      <c r="E473" s="3" t="str">
        <f t="shared" si="1"/>
        <v>cut&lt;br&gt;&lt;div class="audio"&gt;[sound:cut.mp3]&lt;/div&gt;</v>
      </c>
      <c r="F473" s="3" t="str">
        <f t="shared" si="2"/>
        <v>(v): cắt</v>
      </c>
      <c r="G473" s="6" t="s">
        <v>39604</v>
      </c>
      <c r="H473" s="6" t="s">
        <v>39605</v>
      </c>
      <c r="I473" s="7">
        <f t="shared" si="3"/>
        <v>0.4531669448</v>
      </c>
    </row>
    <row r="474">
      <c r="A474" s="4">
        <v>474.0</v>
      </c>
      <c r="B474" s="3" t="s">
        <v>39606</v>
      </c>
      <c r="C474" s="6" t="s">
        <v>74</v>
      </c>
      <c r="D474" s="6" t="s">
        <v>6632</v>
      </c>
      <c r="E474" s="3" t="str">
        <f t="shared" si="1"/>
        <v>door&lt;br&gt;&lt;div class="audio"&gt;[sound:door.mp3]&lt;/div&gt;</v>
      </c>
      <c r="F474" s="3" t="str">
        <f t="shared" si="2"/>
        <v>(n): cửa</v>
      </c>
      <c r="G474" s="6" t="s">
        <v>39607</v>
      </c>
      <c r="H474" s="6" t="s">
        <v>39608</v>
      </c>
      <c r="I474" s="7">
        <f t="shared" si="3"/>
        <v>0.4898755743</v>
      </c>
    </row>
    <row r="475">
      <c r="A475" s="4">
        <v>475.0</v>
      </c>
      <c r="B475" s="3" t="s">
        <v>39609</v>
      </c>
      <c r="C475" s="6" t="s">
        <v>24</v>
      </c>
      <c r="D475" s="6" t="s">
        <v>9210</v>
      </c>
      <c r="E475" s="3" t="str">
        <f t="shared" si="1"/>
        <v>throw&lt;br&gt;&lt;div class="audio"&gt;[sound:throw.mp3]&lt;/div&gt;</v>
      </c>
      <c r="F475" s="3" t="str">
        <f t="shared" si="2"/>
        <v>(v): ném</v>
      </c>
      <c r="G475" s="6" t="s">
        <v>39610</v>
      </c>
      <c r="H475" s="6" t="s">
        <v>39611</v>
      </c>
      <c r="I475" s="7">
        <f t="shared" si="3"/>
        <v>0.8526395953</v>
      </c>
    </row>
    <row r="476">
      <c r="A476" s="4">
        <v>476.0</v>
      </c>
      <c r="B476" s="3" t="s">
        <v>39612</v>
      </c>
      <c r="C476" s="6" t="s">
        <v>11</v>
      </c>
      <c r="D476" s="6" t="s">
        <v>39613</v>
      </c>
      <c r="E476" s="3" t="str">
        <f t="shared" si="1"/>
        <v>human&lt;br&gt;&lt;div class="audio"&gt;[sound:human.mp3]&lt;/div&gt;</v>
      </c>
      <c r="F476" s="3" t="str">
        <f t="shared" si="2"/>
        <v>(adj): thuộc về con người</v>
      </c>
      <c r="G476" s="6" t="s">
        <v>39614</v>
      </c>
      <c r="H476" s="6" t="s">
        <v>39615</v>
      </c>
      <c r="I476" s="7">
        <f t="shared" si="3"/>
        <v>0.8860372488</v>
      </c>
    </row>
    <row r="477">
      <c r="A477" s="4">
        <v>477.0</v>
      </c>
      <c r="B477" s="3" t="s">
        <v>39616</v>
      </c>
      <c r="C477" s="6" t="s">
        <v>74</v>
      </c>
      <c r="D477" s="6" t="s">
        <v>3162</v>
      </c>
      <c r="E477" s="3" t="str">
        <f t="shared" si="1"/>
        <v>difference&lt;br&gt;&lt;div class="audio"&gt;[sound:difference.mp3]&lt;/div&gt;</v>
      </c>
      <c r="F477" s="3" t="str">
        <f t="shared" si="2"/>
        <v>(n): sự khác biệt</v>
      </c>
      <c r="G477" s="6" t="s">
        <v>39617</v>
      </c>
      <c r="H477" s="6" t="s">
        <v>39618</v>
      </c>
      <c r="I477" s="7">
        <f t="shared" si="3"/>
        <v>0.1013681415</v>
      </c>
    </row>
    <row r="478">
      <c r="A478" s="4">
        <v>478.0</v>
      </c>
      <c r="B478" s="3" t="s">
        <v>39619</v>
      </c>
      <c r="C478" s="6" t="s">
        <v>24</v>
      </c>
      <c r="D478" s="6" t="s">
        <v>3366</v>
      </c>
      <c r="E478" s="3" t="str">
        <f t="shared" si="1"/>
        <v>decide&lt;br&gt;&lt;div class="audio"&gt;[sound:decide.mp3]&lt;/div&gt;</v>
      </c>
      <c r="F478" s="3" t="str">
        <f t="shared" si="2"/>
        <v>(v): quyết định</v>
      </c>
      <c r="G478" s="6" t="s">
        <v>39620</v>
      </c>
      <c r="H478" s="6" t="s">
        <v>39621</v>
      </c>
      <c r="I478" s="7">
        <f t="shared" si="3"/>
        <v>0.1127761804</v>
      </c>
    </row>
    <row r="479">
      <c r="A479" s="4">
        <v>479.0</v>
      </c>
      <c r="B479" s="3" t="s">
        <v>39622</v>
      </c>
      <c r="C479" s="6" t="s">
        <v>74</v>
      </c>
      <c r="D479" s="6" t="s">
        <v>6520</v>
      </c>
      <c r="E479" s="3" t="str">
        <f t="shared" si="1"/>
        <v>glass&lt;br&gt;&lt;div class="audio"&gt;[sound:glass.mp3]&lt;/div&gt;</v>
      </c>
      <c r="F479" s="3" t="str">
        <f t="shared" si="2"/>
        <v>(n): thủy tinh</v>
      </c>
      <c r="G479" s="6" t="s">
        <v>39623</v>
      </c>
      <c r="H479" s="6" t="s">
        <v>39624</v>
      </c>
      <c r="I479" s="7">
        <f t="shared" si="3"/>
        <v>0.8377570565</v>
      </c>
    </row>
    <row r="480">
      <c r="A480" s="4">
        <v>480.0</v>
      </c>
      <c r="B480" s="3" t="s">
        <v>39625</v>
      </c>
      <c r="C480" s="6" t="s">
        <v>74</v>
      </c>
      <c r="D480" s="8" t="s">
        <v>6946</v>
      </c>
      <c r="E480" s="3" t="str">
        <f t="shared" si="1"/>
        <v>sector&lt;br&gt;&lt;div class="audio"&gt;[sound:sector.mp3]&lt;/div&gt;</v>
      </c>
      <c r="F480" s="3" t="str">
        <f t="shared" si="2"/>
        <v>(n): lĩnh vực</v>
      </c>
      <c r="G480" s="8" t="s">
        <v>39626</v>
      </c>
      <c r="H480" s="8" t="s">
        <v>39627</v>
      </c>
      <c r="I480" s="7">
        <f t="shared" si="3"/>
        <v>0.9605890864</v>
      </c>
    </row>
    <row r="481">
      <c r="A481" s="4">
        <v>481.0</v>
      </c>
      <c r="B481" s="3" t="s">
        <v>39628</v>
      </c>
      <c r="C481" s="6" t="s">
        <v>74</v>
      </c>
      <c r="D481" s="6" t="s">
        <v>12731</v>
      </c>
      <c r="E481" s="3" t="str">
        <f t="shared" si="1"/>
        <v>effect&lt;br&gt;&lt;div class="audio"&gt;[sound:effect.mp3]&lt;/div&gt;</v>
      </c>
      <c r="F481" s="3" t="str">
        <f t="shared" si="2"/>
        <v>(n): tác dụng</v>
      </c>
      <c r="G481" s="6" t="s">
        <v>39629</v>
      </c>
      <c r="H481" s="6" t="s">
        <v>39630</v>
      </c>
      <c r="I481" s="7">
        <f t="shared" si="3"/>
        <v>0.1533577313</v>
      </c>
    </row>
    <row r="482">
      <c r="A482" s="4">
        <v>482.0</v>
      </c>
      <c r="B482" s="3" t="s">
        <v>39631</v>
      </c>
      <c r="C482" s="6" t="s">
        <v>74</v>
      </c>
      <c r="D482" s="6" t="s">
        <v>4112</v>
      </c>
      <c r="E482" s="3" t="str">
        <f t="shared" si="1"/>
        <v>town&lt;br&gt;&lt;div class="audio"&gt;[sound:town.mp3]&lt;/div&gt;</v>
      </c>
      <c r="F482" s="3" t="str">
        <f t="shared" si="2"/>
        <v>(n): thị trấn</v>
      </c>
      <c r="G482" s="6" t="s">
        <v>39632</v>
      </c>
      <c r="H482" s="6" t="s">
        <v>39633</v>
      </c>
      <c r="I482" s="7">
        <f t="shared" si="3"/>
        <v>0.9549318449</v>
      </c>
    </row>
    <row r="483">
      <c r="A483" s="4">
        <v>483.0</v>
      </c>
      <c r="B483" s="3" t="s">
        <v>39634</v>
      </c>
      <c r="C483" s="6" t="s">
        <v>24</v>
      </c>
      <c r="D483" s="6" t="s">
        <v>2044</v>
      </c>
      <c r="E483" s="3" t="str">
        <f t="shared" si="1"/>
        <v>hope&lt;br&gt;&lt;div class="audio"&gt;[sound:hope.mp3]&lt;/div&gt;</v>
      </c>
      <c r="F483" s="3" t="str">
        <f t="shared" si="2"/>
        <v>(v): hy vọng</v>
      </c>
      <c r="G483" s="6" t="s">
        <v>39635</v>
      </c>
      <c r="H483" s="6" t="s">
        <v>39636</v>
      </c>
      <c r="I483" s="7">
        <f t="shared" si="3"/>
        <v>0.3371158006</v>
      </c>
    </row>
    <row r="484">
      <c r="A484" s="4">
        <v>484.0</v>
      </c>
      <c r="B484" s="3" t="s">
        <v>39637</v>
      </c>
      <c r="C484" s="6" t="s">
        <v>24</v>
      </c>
      <c r="D484" s="6" t="s">
        <v>7386</v>
      </c>
      <c r="E484" s="3" t="str">
        <f t="shared" si="1"/>
        <v>lead&lt;br&gt;&lt;div class="audio"&gt;[sound:lead.mp3]&lt;/div&gt;</v>
      </c>
      <c r="F484" s="3" t="str">
        <f t="shared" si="2"/>
        <v>(v): dẫn dắt</v>
      </c>
      <c r="G484" s="6" t="s">
        <v>39638</v>
      </c>
      <c r="H484" s="6" t="s">
        <v>39639</v>
      </c>
      <c r="I484" s="7">
        <f t="shared" si="3"/>
        <v>0.1329729311</v>
      </c>
    </row>
    <row r="485">
      <c r="A485" s="4">
        <v>485.0</v>
      </c>
      <c r="B485" s="3" t="s">
        <v>39640</v>
      </c>
      <c r="C485" s="6" t="s">
        <v>58</v>
      </c>
      <c r="D485" s="6" t="s">
        <v>21262</v>
      </c>
      <c r="E485" s="3" t="str">
        <f t="shared" si="1"/>
        <v>third&lt;br&gt;&lt;div class="audio"&gt;[sound:third.mp3]&lt;/div&gt;</v>
      </c>
      <c r="F485" s="3" t="str">
        <f t="shared" si="2"/>
        <v>(num): thứ ba</v>
      </c>
      <c r="G485" s="6" t="s">
        <v>39641</v>
      </c>
      <c r="H485" s="6" t="s">
        <v>39642</v>
      </c>
      <c r="I485" s="7">
        <f t="shared" si="3"/>
        <v>0.4523214433</v>
      </c>
    </row>
    <row r="486">
      <c r="A486" s="4">
        <v>486.0</v>
      </c>
      <c r="B486" s="3" t="s">
        <v>39643</v>
      </c>
      <c r="C486" s="6" t="s">
        <v>24</v>
      </c>
      <c r="D486" s="6" t="s">
        <v>1663</v>
      </c>
      <c r="E486" s="3" t="str">
        <f t="shared" si="1"/>
        <v>teach&lt;br&gt;&lt;div class="audio"&gt;[sound:teach.mp3]&lt;/div&gt;</v>
      </c>
      <c r="F486" s="3" t="str">
        <f t="shared" si="2"/>
        <v>(v): dạy</v>
      </c>
      <c r="G486" s="6" t="s">
        <v>39644</v>
      </c>
      <c r="H486" s="6" t="s">
        <v>39645</v>
      </c>
      <c r="I486" s="7">
        <f t="shared" si="3"/>
        <v>0.1921397476</v>
      </c>
    </row>
    <row r="487">
      <c r="A487" s="4">
        <v>487.0</v>
      </c>
      <c r="B487" s="3" t="s">
        <v>39646</v>
      </c>
      <c r="C487" s="6" t="s">
        <v>74</v>
      </c>
      <c r="D487" s="6" t="s">
        <v>3579</v>
      </c>
      <c r="E487" s="3" t="str">
        <f t="shared" si="1"/>
        <v>design&lt;br&gt;&lt;div class="audio"&gt;[sound:design.mp3]&lt;/div&gt;</v>
      </c>
      <c r="F487" s="3" t="str">
        <f t="shared" si="2"/>
        <v>(n): thiết kế</v>
      </c>
      <c r="G487" s="6" t="s">
        <v>39647</v>
      </c>
      <c r="H487" s="6" t="s">
        <v>39648</v>
      </c>
      <c r="I487" s="7">
        <f t="shared" si="3"/>
        <v>0.7109376126</v>
      </c>
    </row>
    <row r="488">
      <c r="A488" s="4">
        <v>488.0</v>
      </c>
      <c r="B488" s="3" t="s">
        <v>39649</v>
      </c>
      <c r="C488" s="6" t="s">
        <v>74</v>
      </c>
      <c r="D488" s="6" t="s">
        <v>31988</v>
      </c>
      <c r="E488" s="3" t="str">
        <f t="shared" si="1"/>
        <v>court&lt;br&gt;&lt;div class="audio"&gt;[sound:court.mp3]&lt;/div&gt;</v>
      </c>
      <c r="F488" s="3" t="str">
        <f t="shared" si="2"/>
        <v>(n): tòa án</v>
      </c>
      <c r="G488" s="6" t="s">
        <v>39650</v>
      </c>
      <c r="H488" s="6" t="s">
        <v>39651</v>
      </c>
      <c r="I488" s="7">
        <f t="shared" si="3"/>
        <v>0.3698344683</v>
      </c>
    </row>
    <row r="489">
      <c r="A489" s="4">
        <v>489.0</v>
      </c>
      <c r="B489" s="3" t="s">
        <v>39652</v>
      </c>
      <c r="C489" s="6" t="s">
        <v>74</v>
      </c>
      <c r="D489" s="6" t="s">
        <v>23937</v>
      </c>
      <c r="E489" s="3" t="str">
        <f t="shared" si="1"/>
        <v>term&lt;br&gt;&lt;div class="audio"&gt;[sound:term.mp3]&lt;/div&gt;</v>
      </c>
      <c r="F489" s="3" t="str">
        <f t="shared" si="2"/>
        <v>(n): học kỳ</v>
      </c>
      <c r="G489" s="6" t="s">
        <v>39653</v>
      </c>
      <c r="H489" s="6" t="s">
        <v>39654</v>
      </c>
      <c r="I489" s="7">
        <f t="shared" si="3"/>
        <v>0.8828582546</v>
      </c>
    </row>
    <row r="490">
      <c r="A490" s="4">
        <v>490.0</v>
      </c>
      <c r="B490" s="3" t="s">
        <v>39655</v>
      </c>
      <c r="C490" s="6" t="s">
        <v>24</v>
      </c>
      <c r="D490" s="6" t="s">
        <v>7638</v>
      </c>
      <c r="E490" s="3" t="str">
        <f t="shared" si="1"/>
        <v>draw&lt;br&gt;&lt;div class="audio"&gt;[sound:draw.mp3]&lt;/div&gt;</v>
      </c>
      <c r="F490" s="3" t="str">
        <f t="shared" si="2"/>
        <v>(v): vẽ</v>
      </c>
      <c r="G490" s="6" t="s">
        <v>39656</v>
      </c>
      <c r="H490" s="6" t="s">
        <v>39657</v>
      </c>
      <c r="I490" s="7">
        <f t="shared" si="3"/>
        <v>0.6302059959</v>
      </c>
    </row>
    <row r="491">
      <c r="A491" s="4">
        <v>491.0</v>
      </c>
      <c r="B491" s="3" t="s">
        <v>39658</v>
      </c>
      <c r="C491" s="6" t="s">
        <v>74</v>
      </c>
      <c r="D491" s="6" t="s">
        <v>39659</v>
      </c>
      <c r="E491" s="3" t="str">
        <f t="shared" si="1"/>
        <v>industry&lt;br&gt;&lt;div class="audio"&gt;[sound:industry.mp3]&lt;/div&gt;</v>
      </c>
      <c r="F491" s="3" t="str">
        <f t="shared" si="2"/>
        <v>(n): ngành công nghiệp</v>
      </c>
      <c r="G491" s="6" t="s">
        <v>39660</v>
      </c>
      <c r="H491" s="6" t="s">
        <v>39661</v>
      </c>
      <c r="I491" s="7">
        <f t="shared" si="3"/>
        <v>0.978857571</v>
      </c>
    </row>
    <row r="492">
      <c r="A492" s="4">
        <v>492.0</v>
      </c>
      <c r="B492" s="3" t="s">
        <v>39662</v>
      </c>
      <c r="C492" s="6" t="s">
        <v>74</v>
      </c>
      <c r="D492" s="6" t="s">
        <v>5888</v>
      </c>
      <c r="E492" s="3" t="str">
        <f t="shared" si="1"/>
        <v>programme&lt;br&gt;&lt;div class="audio"&gt;[sound:programme.mp3]&lt;/div&gt;</v>
      </c>
      <c r="F492" s="3" t="str">
        <f t="shared" si="2"/>
        <v>(n): chương trình</v>
      </c>
      <c r="G492" s="6" t="s">
        <v>39663</v>
      </c>
      <c r="H492" s="6" t="s">
        <v>39664</v>
      </c>
      <c r="I492" s="7">
        <f t="shared" si="3"/>
        <v>0.9565405254</v>
      </c>
    </row>
    <row r="493">
      <c r="A493" s="4">
        <v>493.0</v>
      </c>
      <c r="B493" s="3" t="s">
        <v>39665</v>
      </c>
      <c r="C493" s="6" t="s">
        <v>24</v>
      </c>
      <c r="D493" s="6" t="s">
        <v>7649</v>
      </c>
      <c r="E493" s="3" t="str">
        <f t="shared" si="1"/>
        <v>enjoy&lt;br&gt;&lt;div class="audio"&gt;[sound:enjoy.mp3]&lt;/div&gt;</v>
      </c>
      <c r="F493" s="3" t="str">
        <f t="shared" si="2"/>
        <v>(v): thưởng thức</v>
      </c>
      <c r="G493" s="6" t="s">
        <v>39666</v>
      </c>
      <c r="H493" s="6" t="s">
        <v>39667</v>
      </c>
      <c r="I493" s="7">
        <f t="shared" si="3"/>
        <v>0.8757288717</v>
      </c>
    </row>
    <row r="494">
      <c r="A494" s="4">
        <v>494.0</v>
      </c>
      <c r="B494" s="3" t="s">
        <v>39668</v>
      </c>
      <c r="C494" s="6" t="s">
        <v>74</v>
      </c>
      <c r="D494" s="6" t="s">
        <v>39669</v>
      </c>
      <c r="E494" s="3" t="str">
        <f t="shared" si="1"/>
        <v>email&lt;br&gt;&lt;div class="audio"&gt;[sound:email.mp3]&lt;/div&gt;</v>
      </c>
      <c r="F494" s="3" t="str">
        <f t="shared" si="2"/>
        <v>(n): thư điện tử</v>
      </c>
      <c r="G494" s="6" t="s">
        <v>39670</v>
      </c>
      <c r="H494" s="6" t="s">
        <v>39671</v>
      </c>
      <c r="I494" s="7">
        <f t="shared" si="3"/>
        <v>0.7971806697</v>
      </c>
    </row>
    <row r="495">
      <c r="A495" s="4">
        <v>495.0</v>
      </c>
      <c r="B495" s="3" t="s">
        <v>39672</v>
      </c>
      <c r="C495" s="6" t="s">
        <v>74</v>
      </c>
      <c r="D495" s="6" t="s">
        <v>32065</v>
      </c>
      <c r="E495" s="3" t="str">
        <f t="shared" si="1"/>
        <v>production&lt;br&gt;&lt;div class="audio"&gt;[sound:production.mp3]&lt;/div&gt;</v>
      </c>
      <c r="F495" s="3" t="str">
        <f t="shared" si="2"/>
        <v>(n): sự sản xuất</v>
      </c>
      <c r="G495" s="6" t="s">
        <v>39673</v>
      </c>
      <c r="H495" s="6" t="s">
        <v>39674</v>
      </c>
      <c r="I495" s="7">
        <f t="shared" si="3"/>
        <v>0.06369614202</v>
      </c>
    </row>
    <row r="496">
      <c r="A496" s="4">
        <v>496.0</v>
      </c>
      <c r="B496" s="3" t="s">
        <v>39675</v>
      </c>
      <c r="C496" s="6" t="s">
        <v>74</v>
      </c>
      <c r="D496" s="6" t="s">
        <v>5795</v>
      </c>
      <c r="E496" s="3" t="str">
        <f t="shared" si="1"/>
        <v>war&lt;br&gt;&lt;div class="audio"&gt;[sound:war.mp3]&lt;/div&gt;</v>
      </c>
      <c r="F496" s="3" t="str">
        <f t="shared" si="2"/>
        <v>(n): chiến tranh</v>
      </c>
      <c r="G496" s="6" t="s">
        <v>39676</v>
      </c>
      <c r="H496" s="6" t="s">
        <v>39677</v>
      </c>
      <c r="I496" s="7">
        <f t="shared" si="3"/>
        <v>0.08753583428</v>
      </c>
    </row>
    <row r="497">
      <c r="A497" s="4">
        <v>497.0</v>
      </c>
      <c r="B497" s="3" t="s">
        <v>39678</v>
      </c>
      <c r="C497" s="6" t="s">
        <v>74</v>
      </c>
      <c r="D497" s="8" t="s">
        <v>5479</v>
      </c>
      <c r="E497" s="3" t="str">
        <f t="shared" si="1"/>
        <v>status&lt;br&gt;&lt;div class="audio"&gt;[sound:status.mp3]&lt;/div&gt;</v>
      </c>
      <c r="F497" s="3" t="str">
        <f t="shared" si="2"/>
        <v>(n): trạng thái</v>
      </c>
      <c r="G497" s="8" t="s">
        <v>39679</v>
      </c>
      <c r="H497" s="8" t="s">
        <v>39680</v>
      </c>
      <c r="I497" s="7">
        <f t="shared" si="3"/>
        <v>0.1460608838</v>
      </c>
    </row>
    <row r="498">
      <c r="A498" s="4">
        <v>498.0</v>
      </c>
      <c r="B498" s="3" t="s">
        <v>39681</v>
      </c>
      <c r="C498" s="6" t="s">
        <v>24</v>
      </c>
      <c r="D498" s="6" t="s">
        <v>5900</v>
      </c>
      <c r="E498" s="3" t="str">
        <f t="shared" si="1"/>
        <v>claim&lt;br&gt;&lt;div class="audio"&gt;[sound:claim.mp3]&lt;/div&gt;</v>
      </c>
      <c r="F498" s="3" t="str">
        <f t="shared" si="2"/>
        <v>(v): khẳng định</v>
      </c>
      <c r="G498" s="6" t="s">
        <v>39682</v>
      </c>
      <c r="H498" s="6" t="s">
        <v>39683</v>
      </c>
      <c r="I498" s="7">
        <f t="shared" si="3"/>
        <v>0.1974627842</v>
      </c>
    </row>
    <row r="499">
      <c r="A499" s="4">
        <v>499.0</v>
      </c>
      <c r="B499" s="3" t="s">
        <v>39684</v>
      </c>
      <c r="C499" s="6" t="s">
        <v>74</v>
      </c>
      <c r="D499" s="6" t="s">
        <v>687</v>
      </c>
      <c r="E499" s="3" t="str">
        <f t="shared" si="1"/>
        <v>phone&lt;br&gt;&lt;div class="audio"&gt;[sound:phone.mp3]&lt;/div&gt;</v>
      </c>
      <c r="F499" s="3" t="str">
        <f t="shared" si="2"/>
        <v>(n): điện thoại</v>
      </c>
      <c r="G499" s="6" t="s">
        <v>39685</v>
      </c>
      <c r="H499" s="6" t="s">
        <v>39686</v>
      </c>
      <c r="I499" s="7">
        <f t="shared" si="3"/>
        <v>0.4187887039</v>
      </c>
    </row>
    <row r="500">
      <c r="A500" s="4">
        <v>500.0</v>
      </c>
      <c r="B500" s="3" t="s">
        <v>39687</v>
      </c>
      <c r="C500" s="6" t="s">
        <v>24</v>
      </c>
      <c r="D500" s="8" t="s">
        <v>5912</v>
      </c>
      <c r="E500" s="3" t="str">
        <f t="shared" si="1"/>
        <v>settle&lt;br&gt;&lt;div class="audio"&gt;[sound:settle.mp3]&lt;/div&gt;</v>
      </c>
      <c r="F500" s="3" t="str">
        <f t="shared" si="2"/>
        <v>(v): giải quyết</v>
      </c>
      <c r="G500" s="8" t="s">
        <v>39688</v>
      </c>
      <c r="H500" s="8" t="s">
        <v>39689</v>
      </c>
      <c r="I500" s="7">
        <f t="shared" si="3"/>
        <v>0.6369565462</v>
      </c>
    </row>
    <row r="501">
      <c r="A501" s="4">
        <v>501.0</v>
      </c>
      <c r="B501" s="3" t="s">
        <v>39690</v>
      </c>
      <c r="C501" s="6" t="s">
        <v>74</v>
      </c>
      <c r="D501" s="6" t="s">
        <v>39691</v>
      </c>
      <c r="E501" s="3" t="str">
        <f t="shared" si="1"/>
        <v>thanks&lt;br&gt;&lt;div class="audio"&gt;[sound:thanks.mp3]&lt;/div&gt;</v>
      </c>
      <c r="F501" s="3" t="str">
        <f t="shared" si="2"/>
        <v>(n): lời cảm ơn</v>
      </c>
      <c r="G501" s="6" t="s">
        <v>39692</v>
      </c>
      <c r="H501" s="6" t="s">
        <v>39693</v>
      </c>
      <c r="I501" s="7">
        <f t="shared" si="3"/>
        <v>0.8160419388</v>
      </c>
    </row>
    <row r="502">
      <c r="A502" s="4">
        <v>502.0</v>
      </c>
      <c r="B502" s="3" t="s">
        <v>39694</v>
      </c>
      <c r="C502" s="6" t="s">
        <v>74</v>
      </c>
      <c r="D502" s="6" t="s">
        <v>39695</v>
      </c>
      <c r="E502" s="3" t="str">
        <f t="shared" si="1"/>
        <v>market&lt;br&gt;&lt;div class="audio"&gt;[sound:market.mp3]&lt;/div&gt;</v>
      </c>
      <c r="F502" s="3" t="str">
        <f t="shared" si="2"/>
        <v>(n): thị trường</v>
      </c>
      <c r="G502" s="6" t="s">
        <v>39696</v>
      </c>
      <c r="H502" s="6" t="s">
        <v>39697</v>
      </c>
      <c r="I502" s="7">
        <f t="shared" si="3"/>
        <v>0.2267072564</v>
      </c>
    </row>
    <row r="503">
      <c r="A503" s="4">
        <v>503.0</v>
      </c>
      <c r="B503" s="3" t="s">
        <v>39698</v>
      </c>
      <c r="C503" s="6" t="s">
        <v>74</v>
      </c>
      <c r="D503" s="8" t="s">
        <v>39699</v>
      </c>
      <c r="E503" s="3" t="str">
        <f t="shared" si="1"/>
        <v>supply&lt;br&gt;&lt;div class="audio"&gt;[sound:supply.mp3]&lt;/div&gt;</v>
      </c>
      <c r="F503" s="3" t="str">
        <f t="shared" si="2"/>
        <v>(n): nguồn cung</v>
      </c>
      <c r="G503" s="8" t="s">
        <v>39700</v>
      </c>
      <c r="H503" s="8" t="s">
        <v>39701</v>
      </c>
      <c r="I503" s="7">
        <f t="shared" si="3"/>
        <v>0.6923453375</v>
      </c>
    </row>
    <row r="504">
      <c r="A504" s="4">
        <v>504.0</v>
      </c>
      <c r="B504" s="3" t="s">
        <v>39702</v>
      </c>
      <c r="C504" s="6" t="s">
        <v>11</v>
      </c>
      <c r="D504" s="6" t="s">
        <v>3074</v>
      </c>
      <c r="E504" s="3" t="str">
        <f t="shared" si="1"/>
        <v>complete&lt;br&gt;&lt;div class="audio"&gt;[sound:complete.mp3]&lt;/div&gt;</v>
      </c>
      <c r="F504" s="3" t="str">
        <f t="shared" si="2"/>
        <v>(adj): hoàn thành</v>
      </c>
      <c r="G504" s="6" t="s">
        <v>39703</v>
      </c>
      <c r="H504" s="6" t="s">
        <v>39704</v>
      </c>
      <c r="I504" s="7">
        <f t="shared" si="3"/>
        <v>0.6147803088</v>
      </c>
    </row>
    <row r="505">
      <c r="A505" s="4">
        <v>505.0</v>
      </c>
      <c r="B505" s="3" t="s">
        <v>39705</v>
      </c>
      <c r="C505" s="6" t="s">
        <v>74</v>
      </c>
      <c r="D505" s="6" t="s">
        <v>6790</v>
      </c>
      <c r="E505" s="3" t="str">
        <f t="shared" si="1"/>
        <v>quality&lt;br&gt;&lt;div class="audio"&gt;[sound:quality.mp3]&lt;/div&gt;</v>
      </c>
      <c r="F505" s="3" t="str">
        <f t="shared" si="2"/>
        <v>(n): chất lượng</v>
      </c>
      <c r="G505" s="6" t="s">
        <v>39706</v>
      </c>
      <c r="H505" s="6" t="s">
        <v>39707</v>
      </c>
      <c r="I505" s="7">
        <f t="shared" si="3"/>
        <v>0.492077885</v>
      </c>
    </row>
    <row r="506">
      <c r="A506" s="4">
        <v>506.0</v>
      </c>
      <c r="B506" s="3" t="s">
        <v>39708</v>
      </c>
      <c r="C506" s="6" t="s">
        <v>44</v>
      </c>
      <c r="D506" s="6" t="s">
        <v>39709</v>
      </c>
      <c r="E506" s="3" t="str">
        <f t="shared" si="1"/>
        <v>anyone&lt;br&gt;&lt;div class="audio"&gt;[sound:anyone.mp3]&lt;/div&gt;</v>
      </c>
      <c r="F506" s="3" t="str">
        <f t="shared" si="2"/>
        <v>(pron): bất kỳ ai</v>
      </c>
      <c r="G506" s="6" t="s">
        <v>39710</v>
      </c>
      <c r="H506" s="6" t="s">
        <v>39711</v>
      </c>
      <c r="I506" s="7">
        <f t="shared" si="3"/>
        <v>0.7357232343</v>
      </c>
    </row>
    <row r="507">
      <c r="A507" s="4">
        <v>507.0</v>
      </c>
      <c r="B507" s="3" t="s">
        <v>39712</v>
      </c>
      <c r="C507" s="6" t="s">
        <v>44</v>
      </c>
      <c r="D507" s="6" t="s">
        <v>492</v>
      </c>
      <c r="E507" s="3" t="str">
        <f t="shared" si="1"/>
        <v>everybody&lt;br&gt;&lt;div class="audio"&gt;[sound:everybody.mp3]&lt;/div&gt;</v>
      </c>
      <c r="F507" s="3" t="str">
        <f t="shared" si="2"/>
        <v>(pron): mọi người</v>
      </c>
      <c r="G507" s="6" t="s">
        <v>39713</v>
      </c>
      <c r="H507" s="6" t="s">
        <v>39714</v>
      </c>
      <c r="I507" s="7">
        <f t="shared" si="3"/>
        <v>0.954383862</v>
      </c>
    </row>
    <row r="508">
      <c r="A508" s="4">
        <v>508.0</v>
      </c>
      <c r="B508" s="3" t="s">
        <v>39715</v>
      </c>
      <c r="C508" s="6" t="s">
        <v>74</v>
      </c>
      <c r="D508" s="6" t="s">
        <v>2767</v>
      </c>
      <c r="E508" s="3" t="str">
        <f t="shared" si="1"/>
        <v>knowledge&lt;br&gt;&lt;div class="audio"&gt;[sound:knowledge.mp3]&lt;/div&gt;</v>
      </c>
      <c r="F508" s="3" t="str">
        <f t="shared" si="2"/>
        <v>(n): kiến thức</v>
      </c>
      <c r="G508" s="6" t="s">
        <v>39716</v>
      </c>
      <c r="H508" s="6" t="s">
        <v>39717</v>
      </c>
      <c r="I508" s="7">
        <f t="shared" si="3"/>
        <v>0.881174881</v>
      </c>
    </row>
    <row r="509">
      <c r="A509" s="4">
        <v>509.0</v>
      </c>
      <c r="B509" s="3" t="s">
        <v>39718</v>
      </c>
      <c r="C509" s="6" t="s">
        <v>11</v>
      </c>
      <c r="D509" s="6" t="s">
        <v>874</v>
      </c>
      <c r="E509" s="3" t="str">
        <f t="shared" si="1"/>
        <v>certain&lt;br&gt;&lt;div class="audio"&gt;[sound:certain.mp3]&lt;/div&gt;</v>
      </c>
      <c r="F509" s="3" t="str">
        <f t="shared" si="2"/>
        <v>(adj): chắc chắn</v>
      </c>
      <c r="G509" s="6" t="s">
        <v>39719</v>
      </c>
      <c r="H509" s="6" t="s">
        <v>38621</v>
      </c>
      <c r="I509" s="7">
        <f t="shared" si="3"/>
        <v>0.441587919</v>
      </c>
    </row>
    <row r="510">
      <c r="A510" s="4">
        <v>510.0</v>
      </c>
      <c r="B510" s="3" t="s">
        <v>39720</v>
      </c>
      <c r="C510" s="6" t="s">
        <v>85</v>
      </c>
      <c r="D510" s="6" t="s">
        <v>4743</v>
      </c>
      <c r="E510" s="3" t="str">
        <f t="shared" si="1"/>
        <v>completely&lt;br&gt;&lt;div class="audio"&gt;[sound:completely.mp3]&lt;/div&gt;</v>
      </c>
      <c r="F510" s="3" t="str">
        <f t="shared" si="2"/>
        <v>(adv): hoàn toàn</v>
      </c>
      <c r="G510" s="6" t="s">
        <v>39721</v>
      </c>
      <c r="H510" s="6" t="s">
        <v>39722</v>
      </c>
      <c r="I510" s="7">
        <f t="shared" si="3"/>
        <v>0.1270618274</v>
      </c>
    </row>
    <row r="511">
      <c r="A511" s="4">
        <v>511.0</v>
      </c>
      <c r="B511" s="3" t="s">
        <v>39723</v>
      </c>
      <c r="C511" s="6" t="s">
        <v>74</v>
      </c>
      <c r="D511" s="6" t="s">
        <v>1468</v>
      </c>
      <c r="E511" s="3" t="str">
        <f t="shared" si="1"/>
        <v>bank&lt;br&gt;&lt;div class="audio"&gt;[sound:bank.mp3]&lt;/div&gt;</v>
      </c>
      <c r="F511" s="3" t="str">
        <f t="shared" si="2"/>
        <v>(n): ngân hàng</v>
      </c>
      <c r="G511" s="6" t="s">
        <v>39724</v>
      </c>
      <c r="H511" s="6" t="s">
        <v>39725</v>
      </c>
      <c r="I511" s="7">
        <f t="shared" si="3"/>
        <v>0.5401000195</v>
      </c>
    </row>
    <row r="512">
      <c r="A512" s="4">
        <v>512.0</v>
      </c>
      <c r="B512" s="3" t="s">
        <v>39726</v>
      </c>
      <c r="C512" s="6" t="s">
        <v>85</v>
      </c>
      <c r="D512" s="6" t="s">
        <v>874</v>
      </c>
      <c r="E512" s="3" t="str">
        <f t="shared" si="1"/>
        <v>certainly&lt;br&gt;&lt;div class="audio"&gt;[sound:certainly.mp3]&lt;/div&gt;</v>
      </c>
      <c r="F512" s="3" t="str">
        <f t="shared" si="2"/>
        <v>(adv): chắc chắn</v>
      </c>
      <c r="G512" s="6" t="s">
        <v>39727</v>
      </c>
      <c r="H512" s="6" t="s">
        <v>39728</v>
      </c>
      <c r="I512" s="7">
        <f t="shared" si="3"/>
        <v>0.6653407432</v>
      </c>
    </row>
    <row r="513">
      <c r="A513" s="4">
        <v>513.0</v>
      </c>
      <c r="B513" s="3" t="s">
        <v>39729</v>
      </c>
      <c r="C513" s="6" t="s">
        <v>24</v>
      </c>
      <c r="D513" s="6" t="s">
        <v>6867</v>
      </c>
      <c r="E513" s="3" t="str">
        <f t="shared" si="1"/>
        <v>accept&lt;br&gt;&lt;div class="audio"&gt;[sound:accept.mp3]&lt;/div&gt;</v>
      </c>
      <c r="F513" s="3" t="str">
        <f t="shared" si="2"/>
        <v>(v): chấp nhận</v>
      </c>
      <c r="G513" s="6" t="s">
        <v>39730</v>
      </c>
      <c r="H513" s="6" t="s">
        <v>39731</v>
      </c>
      <c r="I513" s="7">
        <f t="shared" si="3"/>
        <v>0.7460541825</v>
      </c>
    </row>
    <row r="514">
      <c r="A514" s="4">
        <v>514.0</v>
      </c>
      <c r="B514" s="3" t="s">
        <v>39732</v>
      </c>
      <c r="C514" s="6" t="s">
        <v>74</v>
      </c>
      <c r="D514" s="8" t="s">
        <v>3168</v>
      </c>
      <c r="E514" s="3" t="str">
        <f t="shared" si="1"/>
        <v>sex&lt;br&gt;&lt;div class="audio"&gt;[sound:sex.mp3]&lt;/div&gt;</v>
      </c>
      <c r="F514" s="3" t="str">
        <f t="shared" si="2"/>
        <v>(n): giới tính</v>
      </c>
      <c r="G514" s="8" t="s">
        <v>39733</v>
      </c>
      <c r="H514" s="8" t="s">
        <v>39734</v>
      </c>
      <c r="I514" s="7">
        <f t="shared" si="3"/>
        <v>0.1697479761</v>
      </c>
    </row>
    <row r="515">
      <c r="A515" s="4">
        <v>515.0</v>
      </c>
      <c r="B515" s="3" t="s">
        <v>39735</v>
      </c>
      <c r="C515" s="6" t="s">
        <v>74</v>
      </c>
      <c r="D515" s="6" t="s">
        <v>39736</v>
      </c>
      <c r="E515" s="3" t="str">
        <f t="shared" si="1"/>
        <v>account&lt;br&gt;&lt;div class="audio"&gt;[sound:account.mp3]&lt;/div&gt;</v>
      </c>
      <c r="F515" s="3" t="str">
        <f t="shared" si="2"/>
        <v>(n): tài khoản</v>
      </c>
      <c r="G515" s="6" t="s">
        <v>39737</v>
      </c>
      <c r="H515" s="6" t="s">
        <v>39738</v>
      </c>
      <c r="I515" s="7">
        <f t="shared" si="3"/>
        <v>0.7481083464</v>
      </c>
    </row>
    <row r="516">
      <c r="A516" s="4">
        <v>516.0</v>
      </c>
      <c r="B516" s="3" t="s">
        <v>39739</v>
      </c>
      <c r="C516" s="6" t="s">
        <v>24</v>
      </c>
      <c r="D516" s="6" t="s">
        <v>8381</v>
      </c>
      <c r="E516" s="3" t="str">
        <f t="shared" si="1"/>
        <v>appear&lt;br&gt;&lt;div class="audio"&gt;[sound:appear.mp3]&lt;/div&gt;</v>
      </c>
      <c r="F516" s="3" t="str">
        <f t="shared" si="2"/>
        <v>(v): xuất hiện</v>
      </c>
      <c r="G516" s="6" t="s">
        <v>39740</v>
      </c>
      <c r="H516" s="6" t="s">
        <v>39741</v>
      </c>
      <c r="I516" s="7">
        <f t="shared" si="3"/>
        <v>0.3150256462</v>
      </c>
    </row>
    <row r="517">
      <c r="A517" s="4">
        <v>517.0</v>
      </c>
      <c r="B517" s="3" t="s">
        <v>39742</v>
      </c>
      <c r="C517" s="6" t="s">
        <v>74</v>
      </c>
      <c r="D517" s="6" t="s">
        <v>3376</v>
      </c>
      <c r="E517" s="3" t="str">
        <f t="shared" si="1"/>
        <v>percent&lt;br&gt;&lt;div class="audio"&gt;[sound:percent.mp3]&lt;/div&gt;</v>
      </c>
      <c r="F517" s="3" t="str">
        <f t="shared" si="2"/>
        <v>(n): phần trăm</v>
      </c>
      <c r="G517" s="6" t="s">
        <v>39743</v>
      </c>
      <c r="H517" s="6" t="s">
        <v>39744</v>
      </c>
      <c r="I517" s="7">
        <f t="shared" si="3"/>
        <v>0.194638626</v>
      </c>
    </row>
    <row r="518">
      <c r="A518" s="4">
        <v>518.0</v>
      </c>
      <c r="B518" s="3" t="s">
        <v>39745</v>
      </c>
      <c r="C518" s="6" t="s">
        <v>74</v>
      </c>
      <c r="D518" s="6" t="s">
        <v>9893</v>
      </c>
      <c r="E518" s="3" t="str">
        <f t="shared" si="1"/>
        <v>condition&lt;br&gt;&lt;div class="audio"&gt;[sound:condition.mp3]&lt;/div&gt;</v>
      </c>
      <c r="F518" s="3" t="str">
        <f t="shared" si="2"/>
        <v>(n): điều kiện</v>
      </c>
      <c r="G518" s="6" t="s">
        <v>39746</v>
      </c>
      <c r="H518" s="6" t="s">
        <v>39747</v>
      </c>
      <c r="I518" s="7">
        <f t="shared" si="3"/>
        <v>0.4256200637</v>
      </c>
    </row>
    <row r="519">
      <c r="A519" s="4">
        <v>519.0</v>
      </c>
      <c r="B519" s="3" t="s">
        <v>39748</v>
      </c>
      <c r="C519" s="6" t="s">
        <v>74</v>
      </c>
      <c r="D519" s="6" t="s">
        <v>13302</v>
      </c>
      <c r="E519" s="3" t="str">
        <f t="shared" si="1"/>
        <v>process&lt;br&gt;&lt;div class="audio"&gt;[sound:process.mp3]&lt;/div&gt;</v>
      </c>
      <c r="F519" s="3" t="str">
        <f t="shared" si="2"/>
        <v>(n): quy trình</v>
      </c>
      <c r="G519" s="6" t="s">
        <v>39749</v>
      </c>
      <c r="H519" s="6" t="s">
        <v>39750</v>
      </c>
      <c r="I519" s="7">
        <f t="shared" si="3"/>
        <v>0.4728080794</v>
      </c>
    </row>
    <row r="520">
      <c r="A520" s="4">
        <v>520.0</v>
      </c>
      <c r="B520" s="3" t="s">
        <v>39751</v>
      </c>
      <c r="C520" s="6" t="s">
        <v>74</v>
      </c>
      <c r="D520" s="6" t="s">
        <v>39752</v>
      </c>
      <c r="E520" s="3" t="str">
        <f t="shared" si="1"/>
        <v>room&lt;br&gt;&lt;div class="audio"&gt;[sound:room.mp3]&lt;/div&gt;</v>
      </c>
      <c r="F520" s="3" t="str">
        <f t="shared" si="2"/>
        <v>(n): căn phòng</v>
      </c>
      <c r="G520" s="6" t="s">
        <v>39753</v>
      </c>
      <c r="H520" s="6" t="s">
        <v>39754</v>
      </c>
      <c r="I520" s="7">
        <f t="shared" si="3"/>
        <v>0.4890217138</v>
      </c>
    </row>
    <row r="521">
      <c r="A521" s="4">
        <v>521.0</v>
      </c>
      <c r="B521" s="3" t="s">
        <v>39755</v>
      </c>
      <c r="C521" s="6" t="s">
        <v>74</v>
      </c>
      <c r="D521" s="6" t="s">
        <v>6946</v>
      </c>
      <c r="E521" s="3" t="str">
        <f t="shared" si="1"/>
        <v>field&lt;br&gt;&lt;div class="audio"&gt;[sound:field.mp3]&lt;/div&gt;</v>
      </c>
      <c r="F521" s="3" t="str">
        <f t="shared" si="2"/>
        <v>(n): lĩnh vực</v>
      </c>
      <c r="G521" s="6" t="s">
        <v>39756</v>
      </c>
      <c r="H521" s="6" t="s">
        <v>39757</v>
      </c>
      <c r="I521" s="7">
        <f t="shared" si="3"/>
        <v>0.7266250988</v>
      </c>
    </row>
    <row r="522">
      <c r="A522" s="4">
        <v>522.0</v>
      </c>
      <c r="B522" s="3" t="s">
        <v>39758</v>
      </c>
      <c r="C522" s="6" t="s">
        <v>74</v>
      </c>
      <c r="D522" s="6" t="s">
        <v>16447</v>
      </c>
      <c r="E522" s="3" t="str">
        <f t="shared" si="1"/>
        <v>period&lt;br&gt;&lt;div class="audio"&gt;[sound:period.mp3]&lt;/div&gt;</v>
      </c>
      <c r="F522" s="3" t="str">
        <f t="shared" si="2"/>
        <v>(n): giai đoạn</v>
      </c>
      <c r="G522" s="6" t="s">
        <v>39759</v>
      </c>
      <c r="H522" s="6" t="s">
        <v>39760</v>
      </c>
      <c r="I522" s="7">
        <f t="shared" si="3"/>
        <v>0.2949978847</v>
      </c>
    </row>
    <row r="523">
      <c r="A523" s="4">
        <v>523.0</v>
      </c>
      <c r="B523" s="3" t="s">
        <v>39761</v>
      </c>
      <c r="C523" s="6" t="s">
        <v>74</v>
      </c>
      <c r="D523" s="6" t="s">
        <v>39762</v>
      </c>
      <c r="E523" s="3" t="str">
        <f t="shared" si="1"/>
        <v>picture&lt;br&gt;&lt;div class="audio"&gt;[sound:picture.mp3]&lt;/div&gt;</v>
      </c>
      <c r="F523" s="3" t="str">
        <f t="shared" si="2"/>
        <v>(n): bức tranh</v>
      </c>
      <c r="G523" s="6" t="s">
        <v>39763</v>
      </c>
      <c r="H523" s="6" t="s">
        <v>39764</v>
      </c>
      <c r="I523" s="7">
        <f t="shared" si="3"/>
        <v>0.347198331</v>
      </c>
    </row>
    <row r="524">
      <c r="A524" s="4">
        <v>524.0</v>
      </c>
      <c r="B524" s="3" t="s">
        <v>39765</v>
      </c>
      <c r="C524" s="6" t="s">
        <v>74</v>
      </c>
      <c r="D524" s="6" t="s">
        <v>6019</v>
      </c>
      <c r="E524" s="3" t="str">
        <f t="shared" si="1"/>
        <v>road&lt;br&gt;&lt;div class="audio"&gt;[sound:road.mp3]&lt;/div&gt;</v>
      </c>
      <c r="F524" s="3" t="str">
        <f t="shared" si="2"/>
        <v>(n): con đường</v>
      </c>
      <c r="G524" s="6" t="s">
        <v>39766</v>
      </c>
      <c r="H524" s="6" t="s">
        <v>39767</v>
      </c>
      <c r="I524" s="7">
        <f t="shared" si="3"/>
        <v>0.697338938</v>
      </c>
    </row>
    <row r="525">
      <c r="A525" s="4">
        <v>525.0</v>
      </c>
      <c r="B525" s="3" t="s">
        <v>39768</v>
      </c>
      <c r="C525" s="6" t="s">
        <v>74</v>
      </c>
      <c r="D525" s="6" t="s">
        <v>444</v>
      </c>
      <c r="E525" s="3" t="str">
        <f t="shared" si="1"/>
        <v>thought&lt;br&gt;&lt;div class="audio"&gt;[sound:thought.mp3]&lt;/div&gt;</v>
      </c>
      <c r="F525" s="3" t="str">
        <f t="shared" si="2"/>
        <v>(n): suy nghĩ</v>
      </c>
      <c r="G525" s="6" t="s">
        <v>39769</v>
      </c>
      <c r="H525" s="6" t="s">
        <v>39770</v>
      </c>
      <c r="I525" s="7">
        <f t="shared" si="3"/>
        <v>0.4311399834</v>
      </c>
    </row>
    <row r="526">
      <c r="A526" s="4">
        <v>526.0</v>
      </c>
      <c r="B526" s="3" t="s">
        <v>39771</v>
      </c>
      <c r="C526" s="6" t="s">
        <v>74</v>
      </c>
      <c r="D526" s="6" t="s">
        <v>3717</v>
      </c>
      <c r="E526" s="3" t="str">
        <f t="shared" si="1"/>
        <v>amount&lt;br&gt;&lt;div class="audio"&gt;[sound:amount.mp3]&lt;/div&gt;</v>
      </c>
      <c r="F526" s="3" t="str">
        <f t="shared" si="2"/>
        <v>(n): số lượng</v>
      </c>
      <c r="G526" s="6" t="s">
        <v>39772</v>
      </c>
      <c r="H526" s="6" t="s">
        <v>39773</v>
      </c>
      <c r="I526" s="7">
        <f t="shared" si="3"/>
        <v>0.2099080038</v>
      </c>
    </row>
    <row r="527">
      <c r="A527" s="4">
        <v>527.0</v>
      </c>
      <c r="B527" s="3" t="s">
        <v>39774</v>
      </c>
      <c r="C527" s="6" t="s">
        <v>11</v>
      </c>
      <c r="D527" s="6" t="s">
        <v>39775</v>
      </c>
      <c r="E527" s="3" t="str">
        <f t="shared" si="1"/>
        <v>ready&lt;br&gt;&lt;div class="audio"&gt;[sound:ready.mp3]&lt;/div&gt;</v>
      </c>
      <c r="F527" s="3" t="str">
        <f t="shared" si="2"/>
        <v>(adj): sẵn sàng</v>
      </c>
      <c r="G527" s="6" t="s">
        <v>39776</v>
      </c>
      <c r="H527" s="6" t="s">
        <v>39777</v>
      </c>
      <c r="I527" s="7">
        <f t="shared" si="3"/>
        <v>0.1257875946</v>
      </c>
    </row>
    <row r="528">
      <c r="A528" s="4">
        <v>528.0</v>
      </c>
      <c r="B528" s="3" t="s">
        <v>39778</v>
      </c>
      <c r="C528" s="6" t="s">
        <v>24</v>
      </c>
      <c r="D528" s="6" t="s">
        <v>8547</v>
      </c>
      <c r="E528" s="3" t="str">
        <f t="shared" si="1"/>
        <v>pass&lt;br&gt;&lt;div class="audio"&gt;[sound:pass.mp3]&lt;/div&gt;</v>
      </c>
      <c r="F528" s="3" t="str">
        <f t="shared" si="2"/>
        <v>(v): vượt qua</v>
      </c>
      <c r="G528" s="6" t="s">
        <v>39779</v>
      </c>
      <c r="H528" s="6" t="s">
        <v>39780</v>
      </c>
      <c r="I528" s="7">
        <f t="shared" si="3"/>
        <v>0.6923812571</v>
      </c>
    </row>
    <row r="529">
      <c r="A529" s="4">
        <v>529.0</v>
      </c>
      <c r="B529" s="3" t="s">
        <v>39781</v>
      </c>
      <c r="C529" s="6" t="s">
        <v>74</v>
      </c>
      <c r="D529" s="6" t="s">
        <v>2446</v>
      </c>
      <c r="E529" s="3" t="str">
        <f t="shared" si="1"/>
        <v>language&lt;br&gt;&lt;div class="audio"&gt;[sound:language.mp3]&lt;/div&gt;</v>
      </c>
      <c r="F529" s="3" t="str">
        <f t="shared" si="2"/>
        <v>(n): ngôn ngữ</v>
      </c>
      <c r="G529" s="6" t="s">
        <v>39782</v>
      </c>
      <c r="H529" s="6" t="s">
        <v>39783</v>
      </c>
      <c r="I529" s="7">
        <f t="shared" si="3"/>
        <v>0.4690503982</v>
      </c>
    </row>
    <row r="530">
      <c r="A530" s="4">
        <v>530.0</v>
      </c>
      <c r="B530" s="3" t="s">
        <v>39784</v>
      </c>
      <c r="C530" s="6" t="s">
        <v>74</v>
      </c>
      <c r="D530" s="8" t="s">
        <v>2287</v>
      </c>
      <c r="E530" s="3" t="str">
        <f t="shared" si="1"/>
        <v>strength&lt;br&gt;&lt;div class="audio"&gt;[sound:strength.mp3]&lt;/div&gt;</v>
      </c>
      <c r="F530" s="3" t="str">
        <f t="shared" si="2"/>
        <v>(n): sức mạnh</v>
      </c>
      <c r="G530" s="8" t="s">
        <v>39785</v>
      </c>
      <c r="H530" s="8" t="s">
        <v>39786</v>
      </c>
      <c r="I530" s="7">
        <f t="shared" si="3"/>
        <v>0.4298528167</v>
      </c>
    </row>
    <row r="531">
      <c r="A531" s="4">
        <v>531.0</v>
      </c>
      <c r="B531" s="3" t="s">
        <v>39787</v>
      </c>
      <c r="C531" s="6" t="s">
        <v>74</v>
      </c>
      <c r="D531" s="6" t="s">
        <v>8670</v>
      </c>
      <c r="E531" s="3" t="str">
        <f t="shared" si="1"/>
        <v>character&lt;br&gt;&lt;div class="audio"&gt;[sound:character.mp3]&lt;/div&gt;</v>
      </c>
      <c r="F531" s="3" t="str">
        <f t="shared" si="2"/>
        <v>(n): nhân vật</v>
      </c>
      <c r="G531" s="6" t="s">
        <v>39788</v>
      </c>
      <c r="H531" s="6" t="s">
        <v>39789</v>
      </c>
      <c r="I531" s="7">
        <f t="shared" si="3"/>
        <v>0.8468124832</v>
      </c>
    </row>
    <row r="532">
      <c r="A532" s="4">
        <v>532.0</v>
      </c>
      <c r="B532" s="3" t="s">
        <v>39790</v>
      </c>
      <c r="C532" s="6" t="s">
        <v>74</v>
      </c>
      <c r="D532" s="8" t="s">
        <v>6928</v>
      </c>
      <c r="E532" s="3" t="str">
        <f t="shared" si="1"/>
        <v>stock&lt;br&gt;&lt;div class="audio"&gt;[sound:stock.mp3]&lt;/div&gt;</v>
      </c>
      <c r="F532" s="3" t="str">
        <f t="shared" si="2"/>
        <v>(n): cổ phiếu</v>
      </c>
      <c r="G532" s="8" t="s">
        <v>39791</v>
      </c>
      <c r="H532" s="8" t="s">
        <v>39792</v>
      </c>
      <c r="I532" s="7">
        <f t="shared" si="3"/>
        <v>0.7193346711</v>
      </c>
    </row>
    <row r="533">
      <c r="A533" s="4">
        <v>533.0</v>
      </c>
      <c r="B533" s="3" t="s">
        <v>39793</v>
      </c>
      <c r="C533" s="6" t="s">
        <v>74</v>
      </c>
      <c r="D533" s="8" t="s">
        <v>2230</v>
      </c>
      <c r="E533" s="3" t="str">
        <f t="shared" si="1"/>
        <v>sport&lt;br&gt;&lt;div class="audio"&gt;[sound:sport.mp3]&lt;/div&gt;</v>
      </c>
      <c r="F533" s="3" t="str">
        <f t="shared" si="2"/>
        <v>(n): thể thao</v>
      </c>
      <c r="G533" s="8" t="s">
        <v>39794</v>
      </c>
      <c r="H533" s="8" t="s">
        <v>39795</v>
      </c>
      <c r="I533" s="7">
        <f t="shared" si="3"/>
        <v>0.7946333448</v>
      </c>
    </row>
    <row r="534">
      <c r="A534" s="4">
        <v>534.0</v>
      </c>
      <c r="B534" s="3" t="s">
        <v>39796</v>
      </c>
      <c r="C534" s="6" t="s">
        <v>85</v>
      </c>
      <c r="D534" s="6" t="s">
        <v>3315</v>
      </c>
      <c r="E534" s="3" t="str">
        <f t="shared" si="1"/>
        <v>especially&lt;br&gt;&lt;div class="audio"&gt;[sound:especially.mp3]&lt;/div&gt;</v>
      </c>
      <c r="F534" s="3" t="str">
        <f t="shared" si="2"/>
        <v>(adv): đặc biệt</v>
      </c>
      <c r="G534" s="6" t="s">
        <v>39797</v>
      </c>
      <c r="H534" s="6" t="s">
        <v>39798</v>
      </c>
      <c r="I534" s="7">
        <f t="shared" si="3"/>
        <v>0.2281179919</v>
      </c>
    </row>
    <row r="535">
      <c r="A535" s="4">
        <v>535.0</v>
      </c>
      <c r="B535" s="3" t="s">
        <v>39799</v>
      </c>
      <c r="C535" s="6" t="s">
        <v>74</v>
      </c>
      <c r="D535" s="8" t="s">
        <v>6899</v>
      </c>
      <c r="E535" s="3" t="str">
        <f t="shared" si="1"/>
        <v>sign&lt;br&gt;&lt;div class="audio"&gt;[sound:sign.mp3]&lt;/div&gt;</v>
      </c>
      <c r="F535" s="3" t="str">
        <f t="shared" si="2"/>
        <v>(n): dấu hiệu</v>
      </c>
      <c r="G535" s="8" t="s">
        <v>39800</v>
      </c>
      <c r="H535" s="8" t="s">
        <v>39801</v>
      </c>
      <c r="I535" s="7">
        <f t="shared" si="3"/>
        <v>0.7788010442</v>
      </c>
    </row>
    <row r="536">
      <c r="A536" s="4">
        <v>536.0</v>
      </c>
      <c r="B536" s="3" t="s">
        <v>39802</v>
      </c>
      <c r="C536" s="6" t="s">
        <v>11</v>
      </c>
      <c r="D536" s="6" t="s">
        <v>3228</v>
      </c>
      <c r="E536" s="3" t="str">
        <f t="shared" si="1"/>
        <v>left&lt;br&gt;&lt;div class="audio"&gt;[sound:left.mp3]&lt;/div&gt;</v>
      </c>
      <c r="F536" s="3" t="str">
        <f t="shared" si="2"/>
        <v>(adj): bên trái</v>
      </c>
      <c r="G536" s="6" t="s">
        <v>39803</v>
      </c>
      <c r="H536" s="6" t="s">
        <v>39804</v>
      </c>
      <c r="I536" s="7">
        <f t="shared" si="3"/>
        <v>0.04510920704</v>
      </c>
    </row>
    <row r="537">
      <c r="A537" s="4">
        <v>537.0</v>
      </c>
      <c r="B537" s="3" t="s">
        <v>39805</v>
      </c>
      <c r="C537" s="6" t="s">
        <v>63</v>
      </c>
      <c r="D537" s="6" t="s">
        <v>2337</v>
      </c>
      <c r="E537" s="3" t="str">
        <f t="shared" si="1"/>
        <v>behind&lt;br&gt;&lt;div class="audio"&gt;[sound:behind.mp3]&lt;/div&gt;</v>
      </c>
      <c r="F537" s="3" t="str">
        <f t="shared" si="2"/>
        <v>(prep): phía sau</v>
      </c>
      <c r="G537" s="6" t="s">
        <v>39806</v>
      </c>
      <c r="H537" s="6" t="s">
        <v>39807</v>
      </c>
      <c r="I537" s="7">
        <f t="shared" si="3"/>
        <v>0.2235558758</v>
      </c>
    </row>
    <row r="538">
      <c r="A538" s="4">
        <v>538.0</v>
      </c>
      <c r="B538" s="3" t="s">
        <v>39808</v>
      </c>
      <c r="C538" s="6" t="s">
        <v>24</v>
      </c>
      <c r="D538" s="6" t="s">
        <v>39809</v>
      </c>
      <c r="E538" s="3" t="str">
        <f t="shared" si="1"/>
        <v>charge&lt;br&gt;&lt;div class="audio"&gt;[sound:charge.mp3]&lt;/div&gt;</v>
      </c>
      <c r="F538" s="3" t="str">
        <f t="shared" si="2"/>
        <v>(v): tính phí</v>
      </c>
      <c r="G538" s="6" t="s">
        <v>39810</v>
      </c>
      <c r="H538" s="6" t="s">
        <v>39811</v>
      </c>
      <c r="I538" s="7">
        <f t="shared" si="3"/>
        <v>0.9958700779</v>
      </c>
    </row>
    <row r="539">
      <c r="A539" s="4">
        <v>539.0</v>
      </c>
      <c r="B539" s="3" t="s">
        <v>39812</v>
      </c>
      <c r="C539" s="6" t="s">
        <v>24</v>
      </c>
      <c r="D539" s="6" t="s">
        <v>11639</v>
      </c>
      <c r="E539" s="3" t="str">
        <f t="shared" si="1"/>
        <v>produce&lt;br&gt;&lt;div class="audio"&gt;[sound:produce.mp3]&lt;/div&gt;</v>
      </c>
      <c r="F539" s="3" t="str">
        <f t="shared" si="2"/>
        <v>(v): sản xuất</v>
      </c>
      <c r="G539" s="6" t="s">
        <v>39813</v>
      </c>
      <c r="H539" s="6" t="s">
        <v>39814</v>
      </c>
      <c r="I539" s="7">
        <f t="shared" si="3"/>
        <v>0.2785866587</v>
      </c>
    </row>
    <row r="540">
      <c r="A540" s="4">
        <v>540.0</v>
      </c>
      <c r="B540" s="3" t="s">
        <v>39815</v>
      </c>
      <c r="C540" s="6" t="s">
        <v>11</v>
      </c>
      <c r="D540" s="6" t="s">
        <v>39816</v>
      </c>
      <c r="E540" s="3" t="str">
        <f t="shared" si="1"/>
        <v>private&lt;br&gt;&lt;div class="audio"&gt;[sound:private.mp3]&lt;/div&gt;</v>
      </c>
      <c r="F540" s="3" t="str">
        <f t="shared" si="2"/>
        <v>(adj): riêng tư</v>
      </c>
      <c r="G540" s="6" t="s">
        <v>39817</v>
      </c>
      <c r="H540" s="6" t="s">
        <v>39818</v>
      </c>
      <c r="I540" s="7">
        <f t="shared" si="3"/>
        <v>0.5025597745</v>
      </c>
    </row>
    <row r="541">
      <c r="A541" s="4">
        <v>541.0</v>
      </c>
      <c r="B541" s="3" t="s">
        <v>39819</v>
      </c>
      <c r="C541" s="6" t="s">
        <v>63</v>
      </c>
      <c r="D541" s="6" t="s">
        <v>26697</v>
      </c>
      <c r="E541" s="3" t="str">
        <f t="shared" si="1"/>
        <v>along&lt;br&gt;&lt;div class="audio"&gt;[sound:along.mp3]&lt;/div&gt;</v>
      </c>
      <c r="F541" s="3" t="str">
        <f t="shared" si="2"/>
        <v>(prep): dọc theo</v>
      </c>
      <c r="G541" s="6" t="s">
        <v>39820</v>
      </c>
      <c r="H541" s="6" t="s">
        <v>39821</v>
      </c>
      <c r="I541" s="7">
        <f t="shared" si="3"/>
        <v>0.2189000886</v>
      </c>
    </row>
    <row r="542">
      <c r="A542" s="4">
        <v>542.0</v>
      </c>
      <c r="B542" s="3" t="s">
        <v>39822</v>
      </c>
      <c r="C542" s="6" t="s">
        <v>74</v>
      </c>
      <c r="D542" s="8" t="s">
        <v>39823</v>
      </c>
      <c r="E542" s="3" t="str">
        <f t="shared" si="1"/>
        <v>setting&lt;br&gt;&lt;div class="audio"&gt;[sound:setting.mp3]&lt;/div&gt;</v>
      </c>
      <c r="F542" s="3" t="str">
        <f t="shared" si="2"/>
        <v>(n): cài đặt</v>
      </c>
      <c r="G542" s="8" t="s">
        <v>39824</v>
      </c>
      <c r="H542" s="8" t="s">
        <v>39825</v>
      </c>
      <c r="I542" s="7">
        <f t="shared" si="3"/>
        <v>0.9368047959</v>
      </c>
    </row>
    <row r="543">
      <c r="A543" s="4">
        <v>543.0</v>
      </c>
      <c r="B543" s="3" t="s">
        <v>39826</v>
      </c>
      <c r="C543" s="6" t="s">
        <v>74</v>
      </c>
      <c r="D543" s="6" t="s">
        <v>39827</v>
      </c>
      <c r="E543" s="3" t="str">
        <f t="shared" si="1"/>
        <v>record&lt;br&gt;&lt;div class="audio"&gt;[sound:record.mp3]&lt;/div&gt;</v>
      </c>
      <c r="F543" s="3" t="str">
        <f t="shared" si="2"/>
        <v>(n): hồ sơ</v>
      </c>
      <c r="G543" s="6" t="s">
        <v>39828</v>
      </c>
      <c r="H543" s="6" t="s">
        <v>39829</v>
      </c>
      <c r="I543" s="7">
        <f t="shared" si="3"/>
        <v>0.4661980902</v>
      </c>
    </row>
    <row r="544">
      <c r="A544" s="4">
        <v>544.0</v>
      </c>
      <c r="B544" s="3" t="s">
        <v>39830</v>
      </c>
      <c r="C544" s="6" t="s">
        <v>85</v>
      </c>
      <c r="D544" s="6" t="s">
        <v>3121</v>
      </c>
      <c r="E544" s="3" t="str">
        <f t="shared" si="1"/>
        <v>recently&lt;br&gt;&lt;div class="audio"&gt;[sound:recently.mp3]&lt;/div&gt;</v>
      </c>
      <c r="F544" s="3" t="str">
        <f t="shared" si="2"/>
        <v>(adv): gần đây</v>
      </c>
      <c r="G544" s="6" t="s">
        <v>39831</v>
      </c>
      <c r="H544" s="6" t="s">
        <v>39832</v>
      </c>
      <c r="I544" s="7">
        <f t="shared" si="3"/>
        <v>0.01034349769</v>
      </c>
    </row>
    <row r="545">
      <c r="A545" s="4">
        <v>545.0</v>
      </c>
      <c r="B545" s="3" t="s">
        <v>39833</v>
      </c>
      <c r="C545" s="6" t="s">
        <v>74</v>
      </c>
      <c r="D545" s="6" t="s">
        <v>2091</v>
      </c>
      <c r="E545" s="3" t="str">
        <f t="shared" si="1"/>
        <v>culture&lt;br&gt;&lt;div class="audio"&gt;[sound:culture.mp3]&lt;/div&gt;</v>
      </c>
      <c r="F545" s="3" t="str">
        <f t="shared" si="2"/>
        <v>(n): văn hóa</v>
      </c>
      <c r="G545" s="6" t="s">
        <v>39834</v>
      </c>
      <c r="H545" s="6" t="s">
        <v>39835</v>
      </c>
      <c r="I545" s="7">
        <f t="shared" si="3"/>
        <v>0.7484136764</v>
      </c>
    </row>
    <row r="546">
      <c r="A546" s="4">
        <v>546.0</v>
      </c>
      <c r="B546" s="3" t="s">
        <v>39836</v>
      </c>
      <c r="C546" s="6" t="s">
        <v>24</v>
      </c>
      <c r="D546" s="6" t="s">
        <v>2623</v>
      </c>
      <c r="E546" s="3" t="str">
        <f t="shared" si="1"/>
        <v>report&lt;br&gt;&lt;div class="audio"&gt;[sound:report.mp3]&lt;/div&gt;</v>
      </c>
      <c r="F546" s="3" t="str">
        <f t="shared" si="2"/>
        <v>(v): báo cáo</v>
      </c>
      <c r="G546" s="6" t="s">
        <v>39837</v>
      </c>
      <c r="H546" s="6" t="s">
        <v>39838</v>
      </c>
      <c r="I546" s="7">
        <f t="shared" si="3"/>
        <v>0.5768634266</v>
      </c>
    </row>
    <row r="547">
      <c r="A547" s="4">
        <v>547.0</v>
      </c>
      <c r="B547" s="3" t="s">
        <v>39839</v>
      </c>
      <c r="C547" s="6" t="s">
        <v>74</v>
      </c>
      <c r="D547" s="6" t="s">
        <v>1320</v>
      </c>
      <c r="E547" s="3" t="str">
        <f t="shared" si="1"/>
        <v>result&lt;br&gt;&lt;div class="audio"&gt;[sound:result.mp3]&lt;/div&gt;</v>
      </c>
      <c r="F547" s="3" t="str">
        <f t="shared" si="2"/>
        <v>(n): kết quả</v>
      </c>
      <c r="G547" s="6" t="s">
        <v>39840</v>
      </c>
      <c r="H547" s="6" t="s">
        <v>39841</v>
      </c>
      <c r="I547" s="7">
        <f t="shared" si="3"/>
        <v>0.0566225298</v>
      </c>
    </row>
    <row r="548">
      <c r="A548" s="4">
        <v>548.0</v>
      </c>
      <c r="B548" s="3" t="s">
        <v>39842</v>
      </c>
      <c r="C548" s="6" t="s">
        <v>24</v>
      </c>
      <c r="D548" s="6" t="s">
        <v>4608</v>
      </c>
      <c r="E548" s="3" t="str">
        <f t="shared" si="1"/>
        <v>require&lt;br&gt;&lt;div class="audio"&gt;[sound:require.mp3]&lt;/div&gt;</v>
      </c>
      <c r="F548" s="3" t="str">
        <f t="shared" si="2"/>
        <v>(v): yêu cầu</v>
      </c>
      <c r="G548" s="6" t="s">
        <v>39843</v>
      </c>
      <c r="H548" s="6" t="s">
        <v>39844</v>
      </c>
      <c r="I548" s="7">
        <f t="shared" si="3"/>
        <v>0.1586539894</v>
      </c>
    </row>
    <row r="549">
      <c r="A549" s="4">
        <v>549.0</v>
      </c>
      <c r="B549" s="3" t="s">
        <v>39845</v>
      </c>
      <c r="C549" s="6" t="s">
        <v>24</v>
      </c>
      <c r="D549" s="6" t="s">
        <v>9733</v>
      </c>
      <c r="E549" s="3" t="str">
        <f t="shared" si="1"/>
        <v>reach&lt;br&gt;&lt;div class="audio"&gt;[sound:reach.mp3]&lt;/div&gt;</v>
      </c>
      <c r="F549" s="3" t="str">
        <f t="shared" si="2"/>
        <v>(v): đạt tới</v>
      </c>
      <c r="G549" s="6" t="s">
        <v>39846</v>
      </c>
      <c r="H549" s="6" t="s">
        <v>39847</v>
      </c>
      <c r="I549" s="7">
        <f t="shared" si="3"/>
        <v>0.7038605247</v>
      </c>
    </row>
    <row r="550">
      <c r="A550" s="4">
        <v>550.0</v>
      </c>
      <c r="B550" s="3" t="s">
        <v>39848</v>
      </c>
      <c r="C550" s="6" t="s">
        <v>74</v>
      </c>
      <c r="D550" s="6" t="s">
        <v>5766</v>
      </c>
      <c r="E550" s="3" t="str">
        <f t="shared" si="1"/>
        <v>century&lt;br&gt;&lt;div class="audio"&gt;[sound:century.mp3]&lt;/div&gt;</v>
      </c>
      <c r="F550" s="3" t="str">
        <f t="shared" si="2"/>
        <v>(n): thế kỷ</v>
      </c>
      <c r="G550" s="6" t="s">
        <v>39849</v>
      </c>
      <c r="H550" s="6" t="s">
        <v>39850</v>
      </c>
      <c r="I550" s="7">
        <f t="shared" si="3"/>
        <v>0.2715431031</v>
      </c>
    </row>
    <row r="551">
      <c r="A551" s="4">
        <v>551.0</v>
      </c>
      <c r="B551" s="3" t="s">
        <v>39851</v>
      </c>
      <c r="C551" s="6" t="s">
        <v>24</v>
      </c>
      <c r="D551" s="6" t="s">
        <v>9109</v>
      </c>
      <c r="E551" s="3" t="str">
        <f t="shared" si="1"/>
        <v>drive&lt;br&gt;&lt;div class="audio"&gt;[sound:drive.mp3]&lt;/div&gt;</v>
      </c>
      <c r="F551" s="3" t="str">
        <f t="shared" si="2"/>
        <v>(v): lái xe</v>
      </c>
      <c r="G551" s="6" t="s">
        <v>39852</v>
      </c>
      <c r="H551" s="6" t="s">
        <v>39853</v>
      </c>
      <c r="I551" s="7">
        <f t="shared" si="3"/>
        <v>0.7792578755</v>
      </c>
    </row>
    <row r="552">
      <c r="A552" s="4">
        <v>552.0</v>
      </c>
      <c r="B552" s="3" t="s">
        <v>39854</v>
      </c>
      <c r="C552" s="6" t="s">
        <v>11</v>
      </c>
      <c r="D552" s="8" t="s">
        <v>15123</v>
      </c>
      <c r="E552" s="3" t="str">
        <f t="shared" si="1"/>
        <v>specific&lt;br&gt;&lt;div class="audio"&gt;[sound:specific.mp3]&lt;/div&gt;</v>
      </c>
      <c r="F552" s="3" t="str">
        <f t="shared" si="2"/>
        <v>(adj): cụ thể</v>
      </c>
      <c r="G552" s="8" t="s">
        <v>39855</v>
      </c>
      <c r="H552" s="8" t="s">
        <v>39856</v>
      </c>
      <c r="I552" s="7">
        <f t="shared" si="3"/>
        <v>0.9872058384</v>
      </c>
    </row>
    <row r="553">
      <c r="A553" s="4">
        <v>553.0</v>
      </c>
      <c r="B553" s="3" t="s">
        <v>39857</v>
      </c>
      <c r="C553" s="6" t="s">
        <v>74</v>
      </c>
      <c r="D553" s="6" t="s">
        <v>3951</v>
      </c>
      <c r="E553" s="3" t="str">
        <f t="shared" si="1"/>
        <v>bed&lt;br&gt;&lt;div class="audio"&gt;[sound:bed.mp3]&lt;/div&gt;</v>
      </c>
      <c r="F553" s="3" t="str">
        <f t="shared" si="2"/>
        <v>(n): giường</v>
      </c>
      <c r="G553" s="6" t="s">
        <v>39858</v>
      </c>
      <c r="H553" s="6" t="s">
        <v>39859</v>
      </c>
      <c r="I553" s="7">
        <f t="shared" si="3"/>
        <v>0.6672926215</v>
      </c>
    </row>
    <row r="554">
      <c r="A554" s="4">
        <v>554.0</v>
      </c>
      <c r="B554" s="3" t="s">
        <v>39860</v>
      </c>
      <c r="C554" s="6" t="s">
        <v>11</v>
      </c>
      <c r="D554" s="6" t="s">
        <v>39861</v>
      </c>
      <c r="E554" s="3" t="str">
        <f t="shared" si="1"/>
        <v>available&lt;br&gt;&lt;div class="audio"&gt;[sound:available.mp3]&lt;/div&gt;</v>
      </c>
      <c r="F554" s="3" t="str">
        <f t="shared" si="2"/>
        <v>(adj): có sẵn</v>
      </c>
      <c r="G554" s="6" t="s">
        <v>39862</v>
      </c>
      <c r="H554" s="6" t="s">
        <v>39863</v>
      </c>
      <c r="I554" s="7">
        <f t="shared" si="3"/>
        <v>0.2575844763</v>
      </c>
    </row>
    <row r="555">
      <c r="A555" s="4">
        <v>555.0</v>
      </c>
      <c r="B555" s="3" t="s">
        <v>39864</v>
      </c>
      <c r="C555" s="6" t="s">
        <v>74</v>
      </c>
      <c r="D555" s="6" t="s">
        <v>33657</v>
      </c>
      <c r="E555" s="3" t="str">
        <f t="shared" si="1"/>
        <v>parent&lt;br&gt;&lt;div class="audio"&gt;[sound:parent.mp3]&lt;/div&gt;</v>
      </c>
      <c r="F555" s="3" t="str">
        <f t="shared" si="2"/>
        <v>(n): cha mẹ</v>
      </c>
      <c r="G555" s="6" t="s">
        <v>39865</v>
      </c>
      <c r="H555" s="6" t="s">
        <v>39866</v>
      </c>
      <c r="I555" s="7">
        <f t="shared" si="3"/>
        <v>0.5629414843</v>
      </c>
    </row>
    <row r="556">
      <c r="A556" s="4">
        <v>556.0</v>
      </c>
      <c r="B556" s="3" t="s">
        <v>39867</v>
      </c>
      <c r="C556" s="6" t="s">
        <v>74</v>
      </c>
      <c r="D556" s="8" t="s">
        <v>15393</v>
      </c>
      <c r="E556" s="3" t="str">
        <f t="shared" si="1"/>
        <v>speed&lt;br&gt;&lt;div class="audio"&gt;[sound:speed.mp3]&lt;/div&gt;</v>
      </c>
      <c r="F556" s="3" t="str">
        <f t="shared" si="2"/>
        <v>(n): tốc độ</v>
      </c>
      <c r="G556" s="8" t="s">
        <v>39868</v>
      </c>
      <c r="H556" s="8" t="s">
        <v>39869</v>
      </c>
      <c r="I556" s="7">
        <f t="shared" si="3"/>
        <v>0.02422558979</v>
      </c>
    </row>
    <row r="557">
      <c r="A557" s="4">
        <v>557.0</v>
      </c>
      <c r="B557" s="3" t="s">
        <v>39870</v>
      </c>
      <c r="C557" s="6" t="s">
        <v>74</v>
      </c>
      <c r="D557" s="6" t="s">
        <v>6274</v>
      </c>
      <c r="E557" s="3" t="str">
        <f t="shared" si="1"/>
        <v>opportunity&lt;br&gt;&lt;div class="audio"&gt;[sound:opportunity.mp3]&lt;/div&gt;</v>
      </c>
      <c r="F557" s="3" t="str">
        <f t="shared" si="2"/>
        <v>(n): cơ hội</v>
      </c>
      <c r="G557" s="6" t="s">
        <v>39871</v>
      </c>
      <c r="H557" s="6" t="s">
        <v>39872</v>
      </c>
      <c r="I557" s="7">
        <f t="shared" si="3"/>
        <v>0.2592584698</v>
      </c>
    </row>
    <row r="558">
      <c r="A558" s="4">
        <v>558.0</v>
      </c>
      <c r="B558" s="3" t="s">
        <v>39873</v>
      </c>
      <c r="C558" s="6" t="s">
        <v>74</v>
      </c>
      <c r="D558" s="6" t="s">
        <v>4626</v>
      </c>
      <c r="E558" s="3" t="str">
        <f t="shared" si="1"/>
        <v>generation&lt;br&gt;&lt;div class="audio"&gt;[sound:generation.mp3]&lt;/div&gt;</v>
      </c>
      <c r="F558" s="3" t="str">
        <f t="shared" si="2"/>
        <v>(n): thế hệ</v>
      </c>
      <c r="G558" s="6" t="s">
        <v>39874</v>
      </c>
      <c r="H558" s="6" t="s">
        <v>39875</v>
      </c>
      <c r="I558" s="7">
        <f t="shared" si="3"/>
        <v>0.5663278285</v>
      </c>
    </row>
    <row r="559">
      <c r="A559" s="4">
        <v>559.0</v>
      </c>
      <c r="B559" s="3" t="s">
        <v>39876</v>
      </c>
      <c r="C559" s="6" t="s">
        <v>74</v>
      </c>
      <c r="D559" s="6" t="s">
        <v>39877</v>
      </c>
      <c r="E559" s="3" t="str">
        <f t="shared" si="1"/>
        <v>piece&lt;br&gt;&lt;div class="audio"&gt;[sound:piece.mp3]&lt;/div&gt;</v>
      </c>
      <c r="F559" s="3" t="str">
        <f t="shared" si="2"/>
        <v>(n): miếng</v>
      </c>
      <c r="G559" s="6" t="s">
        <v>39878</v>
      </c>
      <c r="H559" s="6" t="s">
        <v>39879</v>
      </c>
      <c r="I559" s="7">
        <f t="shared" si="3"/>
        <v>0.06776249006</v>
      </c>
    </row>
    <row r="560">
      <c r="A560" s="4">
        <v>560.0</v>
      </c>
      <c r="B560" s="3" t="s">
        <v>39880</v>
      </c>
      <c r="C560" s="6" t="s">
        <v>74</v>
      </c>
      <c r="D560" s="6" t="s">
        <v>39881</v>
      </c>
      <c r="E560" s="3" t="str">
        <f t="shared" si="1"/>
        <v>month&lt;br&gt;&lt;div class="audio"&gt;[sound:month.mp3]&lt;/div&gt;</v>
      </c>
      <c r="F560" s="3" t="str">
        <f t="shared" si="2"/>
        <v>(n): tháng</v>
      </c>
      <c r="G560" s="6" t="s">
        <v>39882</v>
      </c>
      <c r="H560" s="6" t="s">
        <v>39883</v>
      </c>
      <c r="I560" s="7">
        <f t="shared" si="3"/>
        <v>0.50383776</v>
      </c>
    </row>
    <row r="561">
      <c r="A561" s="4">
        <v>561.0</v>
      </c>
      <c r="B561" s="3" t="s">
        <v>39884</v>
      </c>
      <c r="C561" s="6" t="s">
        <v>85</v>
      </c>
      <c r="D561" s="6" t="s">
        <v>7212</v>
      </c>
      <c r="E561" s="3" t="str">
        <f t="shared" si="1"/>
        <v>perhaps&lt;br&gt;&lt;div class="audio"&gt;[sound:perhaps.mp3]&lt;/div&gt;</v>
      </c>
      <c r="F561" s="3" t="str">
        <f t="shared" si="2"/>
        <v>(adv): có lẽ</v>
      </c>
      <c r="G561" s="6" t="s">
        <v>39885</v>
      </c>
      <c r="H561" s="6" t="s">
        <v>39886</v>
      </c>
      <c r="I561" s="7">
        <f t="shared" si="3"/>
        <v>0.9104098259</v>
      </c>
    </row>
    <row r="562">
      <c r="A562" s="4">
        <v>562.0</v>
      </c>
      <c r="B562" s="3" t="s">
        <v>39887</v>
      </c>
      <c r="C562" s="6" t="s">
        <v>74</v>
      </c>
      <c r="D562" s="6" t="s">
        <v>13025</v>
      </c>
      <c r="E562" s="3" t="str">
        <f t="shared" si="1"/>
        <v>rate&lt;br&gt;&lt;div class="audio"&gt;[sound:rate.mp3]&lt;/div&gt;</v>
      </c>
      <c r="F562" s="3" t="str">
        <f t="shared" si="2"/>
        <v>(n): tỷ lệ</v>
      </c>
      <c r="G562" s="6" t="s">
        <v>39888</v>
      </c>
      <c r="H562" s="6" t="s">
        <v>39889</v>
      </c>
      <c r="I562" s="7">
        <f t="shared" si="3"/>
        <v>0.2927871166</v>
      </c>
    </row>
    <row r="563">
      <c r="A563" s="4">
        <v>563.0</v>
      </c>
      <c r="B563" s="3" t="s">
        <v>39890</v>
      </c>
      <c r="C563" s="6" t="s">
        <v>74</v>
      </c>
      <c r="D563" s="6" t="s">
        <v>39891</v>
      </c>
      <c r="E563" s="3" t="str">
        <f t="shared" si="1"/>
        <v>project&lt;br&gt;&lt;div class="audio"&gt;[sound:project.mp3]&lt;/div&gt;</v>
      </c>
      <c r="F563" s="3" t="str">
        <f t="shared" si="2"/>
        <v>(n): dự án</v>
      </c>
      <c r="G563" s="6" t="s">
        <v>39892</v>
      </c>
      <c r="H563" s="6" t="s">
        <v>39893</v>
      </c>
      <c r="I563" s="7">
        <f t="shared" si="3"/>
        <v>0.2044353319</v>
      </c>
    </row>
    <row r="564">
      <c r="A564" s="4">
        <v>564.0</v>
      </c>
      <c r="B564" s="3" t="s">
        <v>39894</v>
      </c>
      <c r="C564" s="6" t="s">
        <v>74</v>
      </c>
      <c r="D564" s="6" t="s">
        <v>4042</v>
      </c>
      <c r="E564" s="3" t="str">
        <f t="shared" si="1"/>
        <v>reason&lt;br&gt;&lt;div class="audio"&gt;[sound:reason.mp3]&lt;/div&gt;</v>
      </c>
      <c r="F564" s="3" t="str">
        <f t="shared" si="2"/>
        <v>(n): lý do</v>
      </c>
      <c r="G564" s="6" t="s">
        <v>39895</v>
      </c>
      <c r="H564" s="6" t="s">
        <v>39896</v>
      </c>
      <c r="I564" s="7">
        <f t="shared" si="3"/>
        <v>0.4341181156</v>
      </c>
    </row>
    <row r="565">
      <c r="A565" s="4">
        <v>565.0</v>
      </c>
      <c r="B565" s="3" t="s">
        <v>39897</v>
      </c>
      <c r="C565" s="6" t="s">
        <v>24</v>
      </c>
      <c r="D565" s="6" t="s">
        <v>1690</v>
      </c>
      <c r="E565" s="3" t="str">
        <f t="shared" si="1"/>
        <v>forget&lt;br&gt;&lt;div class="audio"&gt;[sound:forget.mp3]&lt;/div&gt;</v>
      </c>
      <c r="F565" s="3" t="str">
        <f t="shared" si="2"/>
        <v>(v): quên</v>
      </c>
      <c r="G565" s="6" t="s">
        <v>39898</v>
      </c>
      <c r="H565" s="6" t="s">
        <v>39899</v>
      </c>
      <c r="I565" s="7">
        <f t="shared" si="3"/>
        <v>0.6606627419</v>
      </c>
    </row>
    <row r="566">
      <c r="A566" s="4">
        <v>566.0</v>
      </c>
      <c r="B566" s="3" t="s">
        <v>39900</v>
      </c>
      <c r="C566" s="6" t="s">
        <v>74</v>
      </c>
      <c r="D566" s="6" t="s">
        <v>39901</v>
      </c>
      <c r="E566" s="3" t="str">
        <f t="shared" si="1"/>
        <v>law&lt;br&gt;&lt;div class="audio"&gt;[sound:law.mp3]&lt;/div&gt;</v>
      </c>
      <c r="F566" s="3" t="str">
        <f t="shared" si="2"/>
        <v>(n): luật</v>
      </c>
      <c r="G566" s="6" t="s">
        <v>39902</v>
      </c>
      <c r="H566" s="6" t="s">
        <v>39903</v>
      </c>
      <c r="I566" s="7">
        <f t="shared" si="3"/>
        <v>0.2974981527</v>
      </c>
    </row>
    <row r="567">
      <c r="A567" s="4">
        <v>567.0</v>
      </c>
      <c r="B567" s="3" t="s">
        <v>39904</v>
      </c>
      <c r="C567" s="6" t="s">
        <v>11</v>
      </c>
      <c r="D567" s="6" t="s">
        <v>9204</v>
      </c>
      <c r="E567" s="3" t="str">
        <f t="shared" si="1"/>
        <v>hot&lt;br&gt;&lt;div class="audio"&gt;[sound:hot.mp3]&lt;/div&gt;</v>
      </c>
      <c r="F567" s="3" t="str">
        <f t="shared" si="2"/>
        <v>(adj): nóng</v>
      </c>
      <c r="G567" s="6" t="s">
        <v>39905</v>
      </c>
      <c r="H567" s="6" t="s">
        <v>39906</v>
      </c>
      <c r="I567" s="7">
        <f t="shared" si="3"/>
        <v>0.9978325043</v>
      </c>
    </row>
    <row r="568">
      <c r="A568" s="4">
        <v>568.0</v>
      </c>
      <c r="B568" s="3" t="s">
        <v>39907</v>
      </c>
      <c r="C568" s="6" t="s">
        <v>11</v>
      </c>
      <c r="D568" s="8" t="s">
        <v>8885</v>
      </c>
      <c r="E568" s="3" t="str">
        <f t="shared" si="1"/>
        <v>slow&lt;br&gt;&lt;div class="audio"&gt;[sound:slow.mp3]&lt;/div&gt;</v>
      </c>
      <c r="F568" s="3" t="str">
        <f t="shared" si="2"/>
        <v>(adj): chậm</v>
      </c>
      <c r="G568" s="8" t="s">
        <v>39908</v>
      </c>
      <c r="H568" s="8" t="s">
        <v>39909</v>
      </c>
      <c r="I568" s="7">
        <f t="shared" si="3"/>
        <v>0.8492183438</v>
      </c>
    </row>
    <row r="569">
      <c r="A569" s="4">
        <v>569.0</v>
      </c>
      <c r="B569" s="3" t="s">
        <v>39910</v>
      </c>
      <c r="C569" s="6" t="s">
        <v>11</v>
      </c>
      <c r="D569" s="6" t="s">
        <v>1724</v>
      </c>
      <c r="E569" s="3" t="str">
        <f t="shared" si="1"/>
        <v>cold&lt;br&gt;&lt;div class="audio"&gt;[sound:cold.mp3]&lt;/div&gt;</v>
      </c>
      <c r="F569" s="3" t="str">
        <f t="shared" si="2"/>
        <v>(adj): lạnh</v>
      </c>
      <c r="G569" s="6" t="s">
        <v>39911</v>
      </c>
      <c r="H569" s="6" t="s">
        <v>39912</v>
      </c>
      <c r="I569" s="7">
        <f t="shared" si="3"/>
        <v>0.5090149491</v>
      </c>
    </row>
    <row r="570">
      <c r="A570" s="4">
        <v>570.0</v>
      </c>
      <c r="B570" s="3" t="s">
        <v>39913</v>
      </c>
      <c r="C570" s="6" t="s">
        <v>74</v>
      </c>
      <c r="D570" s="8" t="s">
        <v>13051</v>
      </c>
      <c r="E570" s="3" t="str">
        <f t="shared" si="1"/>
        <v>sort&lt;br&gt;&lt;div class="audio"&gt;[sound:sort.mp3]&lt;/div&gt;</v>
      </c>
      <c r="F570" s="3" t="str">
        <f t="shared" si="2"/>
        <v>(n): loại</v>
      </c>
      <c r="G570" s="8" t="s">
        <v>39914</v>
      </c>
      <c r="H570" s="8" t="s">
        <v>39915</v>
      </c>
      <c r="I570" s="7">
        <f t="shared" si="3"/>
        <v>0.4074565695</v>
      </c>
    </row>
    <row r="571">
      <c r="A571" s="4">
        <v>571.0</v>
      </c>
      <c r="B571" s="3" t="s">
        <v>39916</v>
      </c>
      <c r="C571" s="6" t="s">
        <v>24</v>
      </c>
      <c r="D571" s="6" t="s">
        <v>1491</v>
      </c>
      <c r="E571" s="3" t="str">
        <f t="shared" si="1"/>
        <v>write&lt;br&gt;&lt;div class="audio"&gt;[sound:write.mp3]&lt;/div&gt;</v>
      </c>
      <c r="F571" s="3" t="str">
        <f t="shared" si="2"/>
        <v>(v): viết</v>
      </c>
      <c r="G571" s="6" t="s">
        <v>39917</v>
      </c>
      <c r="H571" s="6" t="s">
        <v>39918</v>
      </c>
      <c r="I571" s="7">
        <f t="shared" si="3"/>
        <v>0.5233445677</v>
      </c>
    </row>
    <row r="572">
      <c r="A572" s="4">
        <v>572.0</v>
      </c>
      <c r="B572" s="3" t="s">
        <v>39919</v>
      </c>
      <c r="C572" s="6" t="s">
        <v>11</v>
      </c>
      <c r="D572" s="6" t="s">
        <v>966</v>
      </c>
      <c r="E572" s="3" t="str">
        <f t="shared" si="1"/>
        <v>difficult&lt;br&gt;&lt;div class="audio"&gt;[sound:difficult.mp3]&lt;/div&gt;</v>
      </c>
      <c r="F572" s="3" t="str">
        <f t="shared" si="2"/>
        <v>(adj): khó</v>
      </c>
      <c r="G572" s="6" t="s">
        <v>39920</v>
      </c>
      <c r="H572" s="6" t="s">
        <v>39921</v>
      </c>
      <c r="I572" s="7">
        <f t="shared" si="3"/>
        <v>0.1463495945</v>
      </c>
    </row>
    <row r="573">
      <c r="A573" s="4">
        <v>573.0</v>
      </c>
      <c r="B573" s="3" t="s">
        <v>39922</v>
      </c>
      <c r="C573" s="6" t="s">
        <v>58</v>
      </c>
      <c r="D573" s="6" t="s">
        <v>81</v>
      </c>
      <c r="E573" s="3" t="str">
        <f t="shared" si="1"/>
        <v>five&lt;br&gt;&lt;div class="audio"&gt;[sound:five.mp3]&lt;/div&gt;</v>
      </c>
      <c r="F573" s="3" t="str">
        <f t="shared" si="2"/>
        <v>(num): năm</v>
      </c>
      <c r="G573" s="6" t="s">
        <v>39923</v>
      </c>
      <c r="H573" s="6" t="s">
        <v>39924</v>
      </c>
      <c r="I573" s="7">
        <f t="shared" si="3"/>
        <v>0.9123167592</v>
      </c>
    </row>
    <row r="574">
      <c r="A574" s="4">
        <v>574.0</v>
      </c>
      <c r="B574" s="3" t="s">
        <v>39925</v>
      </c>
      <c r="C574" s="6" t="s">
        <v>24</v>
      </c>
      <c r="D574" s="6" t="s">
        <v>1775</v>
      </c>
      <c r="E574" s="3" t="str">
        <f t="shared" si="1"/>
        <v>pull&lt;br&gt;&lt;div class="audio"&gt;[sound:pull.mp3]&lt;/div&gt;</v>
      </c>
      <c r="F574" s="3" t="str">
        <f t="shared" si="2"/>
        <v>(v): kéo</v>
      </c>
      <c r="G574" s="6" t="s">
        <v>39926</v>
      </c>
      <c r="H574" s="6" t="s">
        <v>39927</v>
      </c>
      <c r="I574" s="7">
        <f t="shared" si="3"/>
        <v>0.5779669256</v>
      </c>
    </row>
    <row r="575">
      <c r="A575" s="4">
        <v>575.0</v>
      </c>
      <c r="B575" s="3" t="s">
        <v>39928</v>
      </c>
      <c r="C575" s="6" t="s">
        <v>24</v>
      </c>
      <c r="D575" s="6" t="s">
        <v>39929</v>
      </c>
      <c r="E575" s="3" t="str">
        <f t="shared" si="1"/>
        <v>push&lt;br&gt;&lt;div class="audio"&gt;[sound:push.mp3]&lt;/div&gt;</v>
      </c>
      <c r="F575" s="3" t="str">
        <f t="shared" si="2"/>
        <v>(v): đẩy</v>
      </c>
      <c r="G575" s="6" t="s">
        <v>39930</v>
      </c>
      <c r="H575" s="6" t="s">
        <v>39931</v>
      </c>
      <c r="I575" s="7">
        <f t="shared" si="3"/>
        <v>0.6730560351</v>
      </c>
    </row>
    <row r="576">
      <c r="A576" s="4">
        <v>576.0</v>
      </c>
      <c r="B576" s="3" t="s">
        <v>39932</v>
      </c>
      <c r="C576" s="6" t="s">
        <v>11</v>
      </c>
      <c r="D576" s="6" t="s">
        <v>39933</v>
      </c>
      <c r="E576" s="3" t="str">
        <f t="shared" si="1"/>
        <v>black&lt;br&gt;&lt;div class="audio"&gt;[sound:black.mp3]&lt;/div&gt;</v>
      </c>
      <c r="F576" s="3" t="str">
        <f t="shared" si="2"/>
        <v>(adj): đen</v>
      </c>
      <c r="G576" s="6" t="s">
        <v>39934</v>
      </c>
      <c r="H576" s="6" t="s">
        <v>39935</v>
      </c>
      <c r="I576" s="7">
        <f t="shared" si="3"/>
        <v>0.8820452039</v>
      </c>
    </row>
    <row r="577">
      <c r="A577" s="4">
        <v>577.0</v>
      </c>
      <c r="B577" s="3" t="s">
        <v>39936</v>
      </c>
      <c r="C577" s="6" t="s">
        <v>74</v>
      </c>
      <c r="D577" s="6" t="s">
        <v>2358</v>
      </c>
      <c r="E577" s="3" t="str">
        <f t="shared" si="1"/>
        <v>card&lt;br&gt;&lt;div class="audio"&gt;[sound:card.mp3]&lt;/div&gt;</v>
      </c>
      <c r="F577" s="3" t="str">
        <f t="shared" si="2"/>
        <v>(n): thẻ</v>
      </c>
      <c r="G577" s="6" t="s">
        <v>39937</v>
      </c>
      <c r="H577" s="6" t="s">
        <v>39938</v>
      </c>
      <c r="I577" s="7">
        <f t="shared" si="3"/>
        <v>0.262737864</v>
      </c>
    </row>
    <row r="578">
      <c r="A578" s="4">
        <v>578.0</v>
      </c>
      <c r="B578" s="3" t="s">
        <v>39939</v>
      </c>
      <c r="C578" s="6" t="s">
        <v>11</v>
      </c>
      <c r="D578" s="6" t="s">
        <v>39940</v>
      </c>
      <c r="E578" s="3" t="str">
        <f t="shared" si="1"/>
        <v>bad&lt;br&gt;&lt;div class="audio"&gt;[sound:bad.mp3]&lt;/div&gt;</v>
      </c>
      <c r="F578" s="3" t="str">
        <f t="shared" si="2"/>
        <v>(adj): tồi</v>
      </c>
      <c r="G578" s="6" t="s">
        <v>39941</v>
      </c>
      <c r="H578" s="6" t="s">
        <v>39942</v>
      </c>
      <c r="I578" s="7">
        <f t="shared" si="3"/>
        <v>0.2789843646</v>
      </c>
    </row>
    <row r="579">
      <c r="A579" s="4">
        <v>579.0</v>
      </c>
      <c r="B579" s="3" t="s">
        <v>39943</v>
      </c>
      <c r="C579" s="6" t="s">
        <v>74</v>
      </c>
      <c r="D579" s="6" t="s">
        <v>6601</v>
      </c>
      <c r="E579" s="3" t="str">
        <f t="shared" si="1"/>
        <v>fire&lt;br&gt;&lt;div class="audio"&gt;[sound:fire.mp3]&lt;/div&gt;</v>
      </c>
      <c r="F579" s="3" t="str">
        <f t="shared" si="2"/>
        <v>(n): lửa</v>
      </c>
      <c r="G579" s="6" t="s">
        <v>39944</v>
      </c>
      <c r="H579" s="6" t="s">
        <v>39945</v>
      </c>
      <c r="I579" s="7">
        <f t="shared" si="3"/>
        <v>0.1932959746</v>
      </c>
    </row>
    <row r="580">
      <c r="A580" s="4">
        <v>580.0</v>
      </c>
      <c r="B580" s="3" t="s">
        <v>39946</v>
      </c>
      <c r="C580" s="6" t="s">
        <v>24</v>
      </c>
      <c r="D580" s="6" t="s">
        <v>39947</v>
      </c>
      <c r="E580" s="3" t="str">
        <f t="shared" si="1"/>
        <v>save&lt;br&gt;&lt;div class="audio"&gt;[sound:save.mp3]&lt;/div&gt;</v>
      </c>
      <c r="F580" s="3" t="str">
        <f t="shared" si="2"/>
        <v>(v): cứu</v>
      </c>
      <c r="G580" s="6" t="s">
        <v>39948</v>
      </c>
      <c r="H580" s="6" t="s">
        <v>39949</v>
      </c>
      <c r="I580" s="7">
        <f t="shared" si="3"/>
        <v>0.7820052902</v>
      </c>
    </row>
    <row r="581">
      <c r="A581" s="4">
        <v>581.0</v>
      </c>
      <c r="B581" s="3" t="s">
        <v>39950</v>
      </c>
      <c r="C581" s="6" t="s">
        <v>74</v>
      </c>
      <c r="D581" s="6" t="s">
        <v>382</v>
      </c>
      <c r="E581" s="3" t="str">
        <f t="shared" si="1"/>
        <v>name&lt;br&gt;&lt;div class="audio"&gt;[sound:name.mp3]&lt;/div&gt;</v>
      </c>
      <c r="F581" s="3" t="str">
        <f t="shared" si="2"/>
        <v>(n): tên</v>
      </c>
      <c r="G581" s="6" t="s">
        <v>39951</v>
      </c>
      <c r="H581" s="6" t="s">
        <v>39952</v>
      </c>
      <c r="I581" s="7">
        <f t="shared" si="3"/>
        <v>0.561367564</v>
      </c>
    </row>
    <row r="582">
      <c r="A582" s="4">
        <v>582.0</v>
      </c>
      <c r="B582" s="3" t="s">
        <v>39953</v>
      </c>
      <c r="C582" s="6" t="s">
        <v>24</v>
      </c>
      <c r="D582" s="8" t="s">
        <v>38230</v>
      </c>
      <c r="E582" s="3" t="str">
        <f t="shared" si="1"/>
        <v>shall&lt;br&gt;&lt;div class="audio"&gt;[sound:shall.mp3]&lt;/div&gt;</v>
      </c>
      <c r="F582" s="3" t="str">
        <f t="shared" si="2"/>
        <v>(v): sẽ</v>
      </c>
      <c r="G582" s="8" t="s">
        <v>39954</v>
      </c>
      <c r="H582" s="8" t="s">
        <v>39955</v>
      </c>
      <c r="I582" s="7">
        <f t="shared" si="3"/>
        <v>0.5775362716</v>
      </c>
    </row>
    <row r="583">
      <c r="A583" s="4">
        <v>583.0</v>
      </c>
      <c r="B583" s="3" t="s">
        <v>39956</v>
      </c>
      <c r="C583" s="6" t="s">
        <v>74</v>
      </c>
      <c r="D583" s="6" t="s">
        <v>38226</v>
      </c>
      <c r="E583" s="3" t="str">
        <f t="shared" si="1"/>
        <v>word&lt;br&gt;&lt;div class="audio"&gt;[sound:word.mp3]&lt;/div&gt;</v>
      </c>
      <c r="F583" s="3" t="str">
        <f t="shared" si="2"/>
        <v>(n): từ</v>
      </c>
      <c r="G583" s="6" t="s">
        <v>39957</v>
      </c>
      <c r="H583" s="6" t="s">
        <v>39958</v>
      </c>
      <c r="I583" s="7">
        <f t="shared" si="3"/>
        <v>0.7759424734</v>
      </c>
    </row>
    <row r="584">
      <c r="A584" s="4">
        <v>584.0</v>
      </c>
      <c r="B584" s="3" t="s">
        <v>39959</v>
      </c>
      <c r="C584" s="6" t="s">
        <v>33</v>
      </c>
      <c r="D584" s="6" t="s">
        <v>39960</v>
      </c>
      <c r="E584" s="3" t="str">
        <f t="shared" si="1"/>
        <v>oh&lt;br&gt;&lt;div class="audio"&gt;[sound:oh.mp3]&lt;/div&gt;</v>
      </c>
      <c r="F584" s="3" t="str">
        <f t="shared" si="2"/>
        <v>(int): ồ</v>
      </c>
      <c r="G584" s="6" t="s">
        <v>39961</v>
      </c>
      <c r="H584" s="6" t="s">
        <v>39962</v>
      </c>
      <c r="I584" s="7">
        <f t="shared" si="3"/>
        <v>0.004959371835</v>
      </c>
    </row>
    <row r="585">
      <c r="A585" s="4">
        <v>585.0</v>
      </c>
      <c r="B585" s="3" t="s">
        <v>39963</v>
      </c>
      <c r="C585" s="6" t="s">
        <v>24</v>
      </c>
      <c r="D585" s="6" t="s">
        <v>39964</v>
      </c>
      <c r="E585" s="3" t="str">
        <f t="shared" si="1"/>
        <v>describe&lt;br&gt;&lt;div class="audio"&gt;[sound:describe.mp3]&lt;/div&gt;</v>
      </c>
      <c r="F585" s="3" t="str">
        <f t="shared" si="2"/>
        <v>(v): mô tả</v>
      </c>
      <c r="G585" s="6" t="s">
        <v>39965</v>
      </c>
      <c r="H585" s="6" t="s">
        <v>39966</v>
      </c>
      <c r="I585" s="7">
        <f t="shared" si="3"/>
        <v>0.0493318549</v>
      </c>
    </row>
    <row r="586">
      <c r="A586" s="4">
        <v>586.0</v>
      </c>
      <c r="B586" s="3" t="s">
        <v>39967</v>
      </c>
      <c r="C586" s="6" t="s">
        <v>85</v>
      </c>
      <c r="D586" s="6" t="s">
        <v>9297</v>
      </c>
      <c r="E586" s="3" t="str">
        <f t="shared" si="1"/>
        <v>usually&lt;br&gt;&lt;div class="audio"&gt;[sound:usually.mp3]&lt;/div&gt;</v>
      </c>
      <c r="F586" s="3" t="str">
        <f t="shared" si="2"/>
        <v>(adv): thường xuyên</v>
      </c>
      <c r="G586" s="6" t="s">
        <v>39968</v>
      </c>
      <c r="H586" s="6" t="s">
        <v>39969</v>
      </c>
      <c r="I586" s="7">
        <f t="shared" si="3"/>
        <v>0.002070140778</v>
      </c>
    </row>
    <row r="587">
      <c r="A587" s="4">
        <v>587.0</v>
      </c>
      <c r="B587" s="3" t="s">
        <v>39970</v>
      </c>
      <c r="C587" s="6" t="s">
        <v>74</v>
      </c>
      <c r="D587" s="6" t="s">
        <v>39971</v>
      </c>
      <c r="E587" s="3" t="str">
        <f t="shared" si="1"/>
        <v>boat&lt;br&gt;&lt;div class="audio"&gt;[sound:boat.mp3]&lt;/div&gt;</v>
      </c>
      <c r="F587" s="3" t="str">
        <f t="shared" si="2"/>
        <v>(n): con thuyền</v>
      </c>
      <c r="G587" s="6" t="s">
        <v>39972</v>
      </c>
      <c r="H587" s="6" t="s">
        <v>39973</v>
      </c>
      <c r="I587" s="7">
        <f t="shared" si="3"/>
        <v>0.9829303672</v>
      </c>
    </row>
    <row r="588">
      <c r="A588" s="4">
        <v>588.0</v>
      </c>
      <c r="B588" s="3" t="s">
        <v>39974</v>
      </c>
      <c r="C588" s="6" t="s">
        <v>74</v>
      </c>
      <c r="D588" s="6" t="s">
        <v>3168</v>
      </c>
      <c r="E588" s="3" t="str">
        <f t="shared" si="1"/>
        <v>gender&lt;br&gt;&lt;div class="audio"&gt;[sound:gender.mp3]&lt;/div&gt;</v>
      </c>
      <c r="F588" s="3" t="str">
        <f t="shared" si="2"/>
        <v>(n): giới tính</v>
      </c>
      <c r="G588" s="6" t="s">
        <v>39975</v>
      </c>
      <c r="H588" s="6" t="s">
        <v>39976</v>
      </c>
      <c r="I588" s="7">
        <f t="shared" si="3"/>
        <v>0.8933652675</v>
      </c>
    </row>
    <row r="589">
      <c r="A589" s="4">
        <v>589.0</v>
      </c>
      <c r="B589" s="3" t="s">
        <v>39977</v>
      </c>
      <c r="C589" s="6" t="s">
        <v>74</v>
      </c>
      <c r="D589" s="6" t="s">
        <v>15419</v>
      </c>
      <c r="E589" s="3" t="str">
        <f t="shared" si="1"/>
        <v>key&lt;br&gt;&lt;div class="audio"&gt;[sound:key.mp3]&lt;/div&gt;</v>
      </c>
      <c r="F589" s="3" t="str">
        <f t="shared" si="2"/>
        <v>(n): chìa khóa</v>
      </c>
      <c r="G589" s="6" t="s">
        <v>39978</v>
      </c>
      <c r="H589" s="6" t="s">
        <v>39979</v>
      </c>
      <c r="I589" s="7">
        <f t="shared" si="3"/>
        <v>0.2580054612</v>
      </c>
    </row>
    <row r="590">
      <c r="A590" s="4">
        <v>590.0</v>
      </c>
      <c r="B590" s="3" t="s">
        <v>39980</v>
      </c>
      <c r="C590" s="6" t="s">
        <v>74</v>
      </c>
      <c r="D590" s="6" t="s">
        <v>6013</v>
      </c>
      <c r="E590" s="3" t="str">
        <f t="shared" si="1"/>
        <v>hospital&lt;br&gt;&lt;div class="audio"&gt;[sound:hospital.mp3]&lt;/div&gt;</v>
      </c>
      <c r="F590" s="3" t="str">
        <f t="shared" si="2"/>
        <v>(n): bệnh viện</v>
      </c>
      <c r="G590" s="6" t="s">
        <v>39981</v>
      </c>
      <c r="H590" s="6" t="s">
        <v>39982</v>
      </c>
      <c r="I590" s="7">
        <f t="shared" si="3"/>
        <v>0.2950812317</v>
      </c>
    </row>
    <row r="591">
      <c r="A591" s="4">
        <v>591.0</v>
      </c>
      <c r="B591" s="3" t="s">
        <v>39983</v>
      </c>
      <c r="C591" s="6" t="s">
        <v>58</v>
      </c>
      <c r="D591" s="6" t="s">
        <v>39984</v>
      </c>
      <c r="E591" s="3" t="str">
        <f t="shared" si="1"/>
        <v>hundred&lt;br&gt;&lt;div class="audio"&gt;[sound:hundred.mp3]&lt;/div&gt;</v>
      </c>
      <c r="F591" s="3" t="str">
        <f t="shared" si="2"/>
        <v>(num): một trăm</v>
      </c>
      <c r="G591" s="6" t="s">
        <v>39985</v>
      </c>
      <c r="H591" s="6" t="s">
        <v>39986</v>
      </c>
      <c r="I591" s="7">
        <f t="shared" si="3"/>
        <v>0.4367321536</v>
      </c>
    </row>
    <row r="592">
      <c r="A592" s="4">
        <v>592.0</v>
      </c>
      <c r="B592" s="3" t="s">
        <v>39987</v>
      </c>
      <c r="C592" s="6" t="s">
        <v>24</v>
      </c>
      <c r="D592" s="6" t="s">
        <v>8042</v>
      </c>
      <c r="E592" s="3" t="str">
        <f t="shared" si="1"/>
        <v>join&lt;br&gt;&lt;div class="audio"&gt;[sound:join.mp3]&lt;/div&gt;</v>
      </c>
      <c r="F592" s="3" t="str">
        <f t="shared" si="2"/>
        <v>(v): tham gia</v>
      </c>
      <c r="G592" s="6" t="s">
        <v>39988</v>
      </c>
      <c r="H592" s="6" t="s">
        <v>39989</v>
      </c>
      <c r="I592" s="7">
        <f t="shared" si="3"/>
        <v>0.5423959153</v>
      </c>
    </row>
    <row r="593">
      <c r="A593" s="4">
        <v>593.0</v>
      </c>
      <c r="B593" s="3" t="s">
        <v>39990</v>
      </c>
      <c r="C593" s="6" t="s">
        <v>74</v>
      </c>
      <c r="D593" s="6" t="s">
        <v>2186</v>
      </c>
      <c r="E593" s="3" t="str">
        <f t="shared" si="1"/>
        <v>image&lt;br&gt;&lt;div class="audio"&gt;[sound:image.mp3]&lt;/div&gt;</v>
      </c>
      <c r="F593" s="3" t="str">
        <f t="shared" si="2"/>
        <v>(n): hình ảnh</v>
      </c>
      <c r="G593" s="6" t="s">
        <v>39991</v>
      </c>
      <c r="H593" s="6" t="s">
        <v>39992</v>
      </c>
      <c r="I593" s="7">
        <f t="shared" si="3"/>
        <v>0.7963426296</v>
      </c>
    </row>
    <row r="594">
      <c r="A594" s="4">
        <v>594.0</v>
      </c>
      <c r="B594" s="3" t="s">
        <v>39993</v>
      </c>
      <c r="C594" s="6" t="s">
        <v>74</v>
      </c>
      <c r="D594" s="6" t="s">
        <v>2455</v>
      </c>
      <c r="E594" s="3" t="str">
        <f t="shared" si="1"/>
        <v>data&lt;br&gt;&lt;div class="audio"&gt;[sound:data.mp3]&lt;/div&gt;</v>
      </c>
      <c r="F594" s="3" t="str">
        <f t="shared" si="2"/>
        <v>(n): dữ liệu</v>
      </c>
      <c r="G594" s="6" t="s">
        <v>39994</v>
      </c>
      <c r="H594" s="6" t="s">
        <v>39995</v>
      </c>
      <c r="I594" s="7">
        <f t="shared" si="3"/>
        <v>0.5871319533</v>
      </c>
    </row>
    <row r="595">
      <c r="A595" s="4">
        <v>595.0</v>
      </c>
      <c r="B595" s="3" t="s">
        <v>39996</v>
      </c>
      <c r="C595" s="6" t="s">
        <v>74</v>
      </c>
      <c r="D595" s="6" t="s">
        <v>14220</v>
      </c>
      <c r="E595" s="3" t="str">
        <f t="shared" si="1"/>
        <v>ground&lt;br&gt;&lt;div class="audio"&gt;[sound:ground.mp3]&lt;/div&gt;</v>
      </c>
      <c r="F595" s="3" t="str">
        <f t="shared" si="2"/>
        <v>(n): mặt đất</v>
      </c>
      <c r="G595" s="6" t="s">
        <v>39997</v>
      </c>
      <c r="H595" s="6" t="s">
        <v>39998</v>
      </c>
      <c r="I595" s="7">
        <f t="shared" si="3"/>
        <v>0.01915199709</v>
      </c>
    </row>
    <row r="596">
      <c r="A596" s="4">
        <v>596.0</v>
      </c>
      <c r="B596" s="3" t="s">
        <v>39999</v>
      </c>
      <c r="C596" s="6" t="s">
        <v>11</v>
      </c>
      <c r="D596" s="6" t="s">
        <v>40000</v>
      </c>
      <c r="E596" s="3" t="str">
        <f t="shared" si="1"/>
        <v>less&lt;br&gt;&lt;div class="audio"&gt;[sound:less.mp3]&lt;/div&gt;</v>
      </c>
      <c r="F596" s="3" t="str">
        <f t="shared" si="2"/>
        <v>(adj): ít hơn</v>
      </c>
      <c r="G596" s="6" t="s">
        <v>40001</v>
      </c>
      <c r="H596" s="6" t="s">
        <v>40002</v>
      </c>
      <c r="I596" s="7">
        <f t="shared" si="3"/>
        <v>0.5235482363</v>
      </c>
    </row>
    <row r="597">
      <c r="A597" s="4">
        <v>597.0</v>
      </c>
      <c r="B597" s="3" t="s">
        <v>40003</v>
      </c>
      <c r="C597" s="6" t="s">
        <v>24</v>
      </c>
      <c r="D597" s="6" t="s">
        <v>4264</v>
      </c>
      <c r="E597" s="3" t="str">
        <f t="shared" si="1"/>
        <v>hit&lt;br&gt;&lt;div class="audio"&gt;[sound:hit.mp3]&lt;/div&gt;</v>
      </c>
      <c r="F597" s="3" t="str">
        <f t="shared" si="2"/>
        <v>(v): đánh</v>
      </c>
      <c r="G597" s="6" t="s">
        <v>40004</v>
      </c>
      <c r="H597" s="6" t="s">
        <v>40005</v>
      </c>
      <c r="I597" s="7">
        <f t="shared" si="3"/>
        <v>0.2060455851</v>
      </c>
    </row>
    <row r="598">
      <c r="A598" s="4">
        <v>598.0</v>
      </c>
      <c r="B598" s="3" t="s">
        <v>40006</v>
      </c>
      <c r="C598" s="6" t="s">
        <v>24</v>
      </c>
      <c r="D598" s="6" t="s">
        <v>15150</v>
      </c>
      <c r="E598" s="3" t="str">
        <f t="shared" si="1"/>
        <v>visit&lt;br&gt;&lt;div class="audio"&gt;[sound:visit.mp3]&lt;/div&gt;</v>
      </c>
      <c r="F598" s="3" t="str">
        <f t="shared" si="2"/>
        <v>(v): thăm</v>
      </c>
      <c r="G598" s="6" t="s">
        <v>40007</v>
      </c>
      <c r="H598" s="6" t="s">
        <v>40008</v>
      </c>
      <c r="I598" s="7">
        <f t="shared" si="3"/>
        <v>0.3583818858</v>
      </c>
    </row>
    <row r="599">
      <c r="A599" s="4">
        <v>599.0</v>
      </c>
      <c r="B599" s="3" t="s">
        <v>40009</v>
      </c>
      <c r="C599" s="6" t="s">
        <v>63</v>
      </c>
      <c r="D599" s="6" t="s">
        <v>40010</v>
      </c>
      <c r="E599" s="3" t="str">
        <f t="shared" si="1"/>
        <v>throughout&lt;br&gt;&lt;div class="audio"&gt;[sound:throughout.mp3]&lt;/div&gt;</v>
      </c>
      <c r="F599" s="3" t="str">
        <f t="shared" si="2"/>
        <v>(prep): khắp</v>
      </c>
      <c r="G599" s="6" t="s">
        <v>40011</v>
      </c>
      <c r="H599" s="6" t="s">
        <v>40012</v>
      </c>
      <c r="I599" s="7">
        <f t="shared" si="3"/>
        <v>0.7865933251</v>
      </c>
    </row>
    <row r="600">
      <c r="A600" s="4">
        <v>600.0</v>
      </c>
      <c r="B600" s="3" t="s">
        <v>40013</v>
      </c>
      <c r="C600" s="6" t="s">
        <v>74</v>
      </c>
      <c r="D600" s="6" t="s">
        <v>8974</v>
      </c>
      <c r="E600" s="3" t="str">
        <f t="shared" si="1"/>
        <v>tax&lt;br&gt;&lt;div class="audio"&gt;[sound:tax.mp3]&lt;/div&gt;</v>
      </c>
      <c r="F600" s="3" t="str">
        <f t="shared" si="2"/>
        <v>(n): thuế</v>
      </c>
      <c r="G600" s="6" t="s">
        <v>40014</v>
      </c>
      <c r="H600" s="6" t="s">
        <v>40015</v>
      </c>
      <c r="I600" s="7">
        <f t="shared" si="3"/>
        <v>0.01034117116</v>
      </c>
    </row>
    <row r="601">
      <c r="A601" s="4">
        <v>601.0</v>
      </c>
      <c r="B601" s="3" t="s">
        <v>40016</v>
      </c>
      <c r="C601" s="6" t="s">
        <v>74</v>
      </c>
      <c r="D601" s="6" t="s">
        <v>18036</v>
      </c>
      <c r="E601" s="3" t="str">
        <f t="shared" si="1"/>
        <v>hair&lt;br&gt;&lt;div class="audio"&gt;[sound:hair.mp3]&lt;/div&gt;</v>
      </c>
      <c r="F601" s="3" t="str">
        <f t="shared" si="2"/>
        <v>(n): tóc</v>
      </c>
      <c r="G601" s="6" t="s">
        <v>40017</v>
      </c>
      <c r="H601" s="6" t="s">
        <v>40018</v>
      </c>
      <c r="I601" s="7">
        <f t="shared" si="3"/>
        <v>0.3842350994</v>
      </c>
    </row>
    <row r="602">
      <c r="A602" s="4">
        <v>602.0</v>
      </c>
      <c r="B602" s="3" t="s">
        <v>40019</v>
      </c>
      <c r="C602" s="6" t="s">
        <v>74</v>
      </c>
      <c r="D602" s="6" t="s">
        <v>4505</v>
      </c>
      <c r="E602" s="3" t="str">
        <f t="shared" si="1"/>
        <v>department&lt;br&gt;&lt;div class="audio"&gt;[sound:department.mp3]&lt;/div&gt;</v>
      </c>
      <c r="F602" s="3" t="str">
        <f t="shared" si="2"/>
        <v>(n): phòng ban</v>
      </c>
      <c r="G602" s="6" t="s">
        <v>40020</v>
      </c>
      <c r="H602" s="6" t="s">
        <v>40021</v>
      </c>
      <c r="I602" s="7">
        <f t="shared" si="3"/>
        <v>0.7930060473</v>
      </c>
    </row>
    <row r="603">
      <c r="A603" s="4">
        <v>603.0</v>
      </c>
      <c r="B603" s="3" t="s">
        <v>40022</v>
      </c>
      <c r="C603" s="6" t="s">
        <v>85</v>
      </c>
      <c r="D603" s="8" t="s">
        <v>40023</v>
      </c>
      <c r="E603" s="3" t="str">
        <f t="shared" si="1"/>
        <v>seriously&lt;br&gt;&lt;div class="audio"&gt;[sound:seriously.mp3]&lt;/div&gt;</v>
      </c>
      <c r="F603" s="3" t="str">
        <f t="shared" si="2"/>
        <v>(adv): một cách nghiêm túc</v>
      </c>
      <c r="G603" s="8" t="s">
        <v>40024</v>
      </c>
      <c r="H603" s="8" t="s">
        <v>40025</v>
      </c>
      <c r="I603" s="7">
        <f t="shared" si="3"/>
        <v>0.9320308033</v>
      </c>
    </row>
    <row r="604">
      <c r="A604" s="4">
        <v>604.0</v>
      </c>
      <c r="B604" s="3" t="s">
        <v>40026</v>
      </c>
      <c r="C604" s="6" t="s">
        <v>85</v>
      </c>
      <c r="D604" s="8" t="s">
        <v>40027</v>
      </c>
      <c r="E604" s="3" t="str">
        <f t="shared" si="1"/>
        <v>successfully&lt;br&gt;&lt;div class="audio"&gt;[sound:successfully.mp3]&lt;/div&gt;</v>
      </c>
      <c r="F604" s="3" t="str">
        <f t="shared" si="2"/>
        <v>(adv): một cách thành công</v>
      </c>
      <c r="G604" s="8" t="s">
        <v>40028</v>
      </c>
      <c r="H604" s="8" t="s">
        <v>40029</v>
      </c>
      <c r="I604" s="7">
        <f t="shared" si="3"/>
        <v>0.3709526143</v>
      </c>
    </row>
    <row r="605">
      <c r="A605" s="4">
        <v>605.0</v>
      </c>
      <c r="B605" s="3" t="s">
        <v>40030</v>
      </c>
      <c r="C605" s="6" t="s">
        <v>44</v>
      </c>
      <c r="D605" s="6" t="s">
        <v>40031</v>
      </c>
      <c r="E605" s="3" t="str">
        <f t="shared" si="1"/>
        <v>neither&lt;br&gt;&lt;div class="audio"&gt;[sound:neither.mp3]&lt;/div&gt;</v>
      </c>
      <c r="F605" s="3" t="str">
        <f t="shared" si="2"/>
        <v>(pron): không ai trong hai</v>
      </c>
      <c r="G605" s="6" t="s">
        <v>40032</v>
      </c>
      <c r="H605" s="6" t="s">
        <v>40033</v>
      </c>
      <c r="I605" s="7">
        <f t="shared" si="3"/>
        <v>0.3984825931</v>
      </c>
    </row>
    <row r="606">
      <c r="A606" s="4">
        <v>606.0</v>
      </c>
      <c r="B606" s="3" t="s">
        <v>40034</v>
      </c>
      <c r="C606" s="6" t="s">
        <v>85</v>
      </c>
      <c r="D606" s="8" t="s">
        <v>40035</v>
      </c>
      <c r="E606" s="3" t="str">
        <f t="shared" si="1"/>
        <v>slowly&lt;br&gt;&lt;div class="audio"&gt;[sound:slowly.mp3]&lt;/div&gt;</v>
      </c>
      <c r="F606" s="3" t="str">
        <f t="shared" si="2"/>
        <v>(adv): một cách chậm rãi</v>
      </c>
      <c r="G606" s="8" t="s">
        <v>40036</v>
      </c>
      <c r="H606" s="8" t="s">
        <v>40037</v>
      </c>
      <c r="I606" s="7">
        <f t="shared" si="3"/>
        <v>0.7773860352</v>
      </c>
    </row>
    <row r="607">
      <c r="A607" s="4">
        <v>607.0</v>
      </c>
      <c r="B607" s="3" t="s">
        <v>40038</v>
      </c>
      <c r="C607" s="6" t="s">
        <v>85</v>
      </c>
      <c r="D607" s="8" t="s">
        <v>40039</v>
      </c>
      <c r="E607" s="3" t="str">
        <f t="shared" si="1"/>
        <v>strongly&lt;br&gt;&lt;div class="audio"&gt;[sound:strongly.mp3]&lt;/div&gt;</v>
      </c>
      <c r="F607" s="3" t="str">
        <f t="shared" si="2"/>
        <v>(adv): một cách mạnh mẽ</v>
      </c>
      <c r="G607" s="8" t="s">
        <v>40040</v>
      </c>
      <c r="H607" s="8" t="s">
        <v>40041</v>
      </c>
      <c r="I607" s="7">
        <f t="shared" si="3"/>
        <v>0.4022374882</v>
      </c>
    </row>
    <row r="608">
      <c r="A608" s="4">
        <v>608.0</v>
      </c>
      <c r="B608" s="3" t="s">
        <v>40042</v>
      </c>
      <c r="C608" s="6" t="s">
        <v>11</v>
      </c>
      <c r="D608" s="6" t="s">
        <v>40043</v>
      </c>
      <c r="E608" s="3" t="str">
        <f t="shared" si="1"/>
        <v>used&lt;br&gt;&lt;div class="audio"&gt;[sound:used.mp3]&lt;/div&gt;</v>
      </c>
      <c r="F608" s="3" t="str">
        <f t="shared" si="2"/>
        <v>(adj): đã qua sử dụng</v>
      </c>
      <c r="G608" s="6" t="s">
        <v>40044</v>
      </c>
      <c r="H608" s="6" t="s">
        <v>40045</v>
      </c>
      <c r="I608" s="7">
        <f t="shared" si="3"/>
        <v>0.01627802876</v>
      </c>
    </row>
    <row r="609">
      <c r="A609" s="4">
        <v>609.0</v>
      </c>
      <c r="B609" s="3" t="s">
        <v>40046</v>
      </c>
      <c r="C609" s="6" t="s">
        <v>74</v>
      </c>
      <c r="D609" s="6" t="s">
        <v>40047</v>
      </c>
      <c r="E609" s="3" t="str">
        <f t="shared" si="1"/>
        <v>college&lt;br&gt;&lt;div class="audio"&gt;[sound:college.mp3]&lt;/div&gt;</v>
      </c>
      <c r="F609" s="3" t="str">
        <f t="shared" si="2"/>
        <v>(n): trường đại học</v>
      </c>
      <c r="G609" s="6" t="s">
        <v>40048</v>
      </c>
      <c r="H609" s="6" t="s">
        <v>40049</v>
      </c>
      <c r="I609" s="7">
        <f t="shared" si="3"/>
        <v>0.0005088904489</v>
      </c>
    </row>
    <row r="610">
      <c r="A610" s="4">
        <v>610.0</v>
      </c>
      <c r="B610" s="3" t="s">
        <v>40050</v>
      </c>
      <c r="C610" s="6" t="s">
        <v>44</v>
      </c>
      <c r="D610" s="6" t="s">
        <v>40051</v>
      </c>
      <c r="E610" s="3" t="str">
        <f t="shared" si="1"/>
        <v>herself&lt;br&gt;&lt;div class="audio"&gt;[sound:herself.mp3]&lt;/div&gt;</v>
      </c>
      <c r="F610" s="3" t="str">
        <f t="shared" si="2"/>
        <v>(pron): bản thân cô ấy</v>
      </c>
      <c r="G610" s="6" t="s">
        <v>40052</v>
      </c>
      <c r="H610" s="6" t="s">
        <v>40053</v>
      </c>
      <c r="I610" s="7">
        <f t="shared" si="3"/>
        <v>0.8447173498</v>
      </c>
    </row>
    <row r="611">
      <c r="A611" s="4">
        <v>611.0</v>
      </c>
      <c r="B611" s="3" t="s">
        <v>40054</v>
      </c>
      <c r="C611" s="6" t="s">
        <v>74</v>
      </c>
      <c r="D611" s="8" t="s">
        <v>40055</v>
      </c>
      <c r="E611" s="3" t="str">
        <f t="shared" si="1"/>
        <v>stress&lt;br&gt;&lt;div class="audio"&gt;[sound:stress.mp3]&lt;/div&gt;</v>
      </c>
      <c r="F611" s="3" t="str">
        <f t="shared" si="2"/>
        <v>(n): sự căng thẳng</v>
      </c>
      <c r="G611" s="8" t="s">
        <v>40056</v>
      </c>
      <c r="H611" s="8" t="s">
        <v>40057</v>
      </c>
      <c r="I611" s="7">
        <f t="shared" si="3"/>
        <v>0.7133887367</v>
      </c>
    </row>
    <row r="612">
      <c r="A612" s="4">
        <v>612.0</v>
      </c>
      <c r="B612" s="3" t="s">
        <v>40058</v>
      </c>
      <c r="C612" s="6" t="s">
        <v>74</v>
      </c>
      <c r="D612" s="8" t="s">
        <v>40059</v>
      </c>
      <c r="E612" s="3" t="str">
        <f t="shared" si="1"/>
        <v>speech&lt;br&gt;&lt;div class="audio"&gt;[sound:speech.mp3]&lt;/div&gt;</v>
      </c>
      <c r="F612" s="3" t="str">
        <f t="shared" si="2"/>
        <v>(n): bài phát biểu</v>
      </c>
      <c r="G612" s="8" t="s">
        <v>40060</v>
      </c>
      <c r="H612" s="8" t="s">
        <v>40061</v>
      </c>
      <c r="I612" s="7">
        <f t="shared" si="3"/>
        <v>0.9217762342</v>
      </c>
    </row>
    <row r="613">
      <c r="A613" s="4">
        <v>613.0</v>
      </c>
      <c r="B613" s="3" t="s">
        <v>40062</v>
      </c>
      <c r="C613" s="6" t="s">
        <v>85</v>
      </c>
      <c r="D613" s="6" t="s">
        <v>5214</v>
      </c>
      <c r="E613" s="3" t="str">
        <f t="shared" si="1"/>
        <v>generally&lt;br&gt;&lt;div class="audio"&gt;[sound:generally.mp3]&lt;/div&gt;</v>
      </c>
      <c r="F613" s="3" t="str">
        <f t="shared" si="2"/>
        <v>(adv): thông thường</v>
      </c>
      <c r="G613" s="6" t="s">
        <v>40063</v>
      </c>
      <c r="H613" s="6" t="s">
        <v>40064</v>
      </c>
      <c r="I613" s="7">
        <f t="shared" si="3"/>
        <v>0.7825497467</v>
      </c>
    </row>
    <row r="614">
      <c r="A614" s="4">
        <v>614.0</v>
      </c>
      <c r="B614" s="3" t="s">
        <v>40065</v>
      </c>
      <c r="C614" s="6" t="s">
        <v>24</v>
      </c>
      <c r="D614" s="6" t="s">
        <v>7768</v>
      </c>
      <c r="E614" s="3" t="str">
        <f t="shared" si="1"/>
        <v>imagine&lt;br&gt;&lt;div class="audio"&gt;[sound:imagine.mp3]&lt;/div&gt;</v>
      </c>
      <c r="F614" s="3" t="str">
        <f t="shared" si="2"/>
        <v>(v): tưởng tượng</v>
      </c>
      <c r="G614" s="6" t="s">
        <v>40066</v>
      </c>
      <c r="H614" s="6" t="s">
        <v>40067</v>
      </c>
      <c r="I614" s="7">
        <f t="shared" si="3"/>
        <v>0.8266829996</v>
      </c>
    </row>
    <row r="615">
      <c r="A615" s="4">
        <v>615.0</v>
      </c>
      <c r="B615" s="3" t="s">
        <v>40068</v>
      </c>
      <c r="C615" s="6" t="s">
        <v>11</v>
      </c>
      <c r="D615" s="6" t="s">
        <v>40069</v>
      </c>
      <c r="E615" s="3" t="str">
        <f t="shared" si="1"/>
        <v>likely&lt;br&gt;&lt;div class="audio"&gt;[sound:likely.mp3]&lt;/div&gt;</v>
      </c>
      <c r="F615" s="3" t="str">
        <f t="shared" si="2"/>
        <v>(adj): có khả năng</v>
      </c>
      <c r="G615" s="6" t="s">
        <v>40070</v>
      </c>
      <c r="H615" s="6" t="s">
        <v>40071</v>
      </c>
      <c r="I615" s="7">
        <f t="shared" si="3"/>
        <v>0.09898440442</v>
      </c>
    </row>
    <row r="616">
      <c r="A616" s="4">
        <v>616.0</v>
      </c>
      <c r="B616" s="3" t="s">
        <v>40072</v>
      </c>
      <c r="C616" s="6" t="s">
        <v>74</v>
      </c>
      <c r="D616" s="6" t="s">
        <v>40073</v>
      </c>
      <c r="E616" s="3" t="str">
        <f t="shared" si="1"/>
        <v>treatment&lt;br&gt;&lt;div class="audio"&gt;[sound:treatment.mp3]&lt;/div&gt;</v>
      </c>
      <c r="F616" s="3" t="str">
        <f t="shared" si="2"/>
        <v>(n): sự điều trị</v>
      </c>
      <c r="G616" s="6" t="s">
        <v>40074</v>
      </c>
      <c r="H616" s="6" t="s">
        <v>40075</v>
      </c>
      <c r="I616" s="7">
        <f t="shared" si="3"/>
        <v>0.7776004346</v>
      </c>
    </row>
    <row r="617">
      <c r="A617" s="4">
        <v>617.0</v>
      </c>
      <c r="B617" s="3" t="s">
        <v>40076</v>
      </c>
      <c r="C617" s="6" t="s">
        <v>74</v>
      </c>
      <c r="D617" s="6" t="s">
        <v>40077</v>
      </c>
      <c r="E617" s="3" t="str">
        <f t="shared" si="1"/>
        <v>brand&lt;br&gt;&lt;div class="audio"&gt;[sound:brand.mp3]&lt;/div&gt;</v>
      </c>
      <c r="F617" s="3" t="str">
        <f t="shared" si="2"/>
        <v>(n): thương hiệu</v>
      </c>
      <c r="G617" s="6" t="s">
        <v>40078</v>
      </c>
      <c r="H617" s="6" t="s">
        <v>40079</v>
      </c>
      <c r="I617" s="7">
        <f t="shared" si="3"/>
        <v>0.7143337886</v>
      </c>
    </row>
    <row r="618">
      <c r="A618" s="4">
        <v>618.0</v>
      </c>
      <c r="B618" s="3" t="s">
        <v>40080</v>
      </c>
      <c r="C618" s="6" t="s">
        <v>24</v>
      </c>
      <c r="D618" s="8" t="s">
        <v>5912</v>
      </c>
      <c r="E618" s="3" t="str">
        <f t="shared" si="1"/>
        <v>solve&lt;br&gt;&lt;div class="audio"&gt;[sound:solve.mp3]&lt;/div&gt;</v>
      </c>
      <c r="F618" s="3" t="str">
        <f t="shared" si="2"/>
        <v>(v): giải quyết</v>
      </c>
      <c r="G618" s="8" t="s">
        <v>40081</v>
      </c>
      <c r="H618" s="8" t="s">
        <v>40082</v>
      </c>
      <c r="I618" s="7">
        <f t="shared" si="3"/>
        <v>0.837102217</v>
      </c>
    </row>
    <row r="619">
      <c r="A619" s="4">
        <v>619.0</v>
      </c>
      <c r="B619" s="3" t="s">
        <v>40083</v>
      </c>
      <c r="C619" s="6" t="s">
        <v>74</v>
      </c>
      <c r="D619" s="6" t="s">
        <v>40084</v>
      </c>
      <c r="E619" s="3" t="str">
        <f t="shared" si="1"/>
        <v>player&lt;br&gt;&lt;div class="audio"&gt;[sound:player.mp3]&lt;/div&gt;</v>
      </c>
      <c r="F619" s="3" t="str">
        <f t="shared" si="2"/>
        <v>(n): người chơi</v>
      </c>
      <c r="G619" s="6" t="s">
        <v>40085</v>
      </c>
      <c r="H619" s="6" t="s">
        <v>40086</v>
      </c>
      <c r="I619" s="7">
        <f t="shared" si="3"/>
        <v>0.3711013193</v>
      </c>
    </row>
    <row r="620">
      <c r="A620" s="4">
        <v>620.0</v>
      </c>
      <c r="B620" s="3" t="s">
        <v>40087</v>
      </c>
      <c r="C620" s="6" t="s">
        <v>74</v>
      </c>
      <c r="D620" s="6" t="s">
        <v>3876</v>
      </c>
      <c r="E620" s="3" t="str">
        <f t="shared" si="1"/>
        <v>member&lt;br&gt;&lt;div class="audio"&gt;[sound:member.mp3]&lt;/div&gt;</v>
      </c>
      <c r="F620" s="3" t="str">
        <f t="shared" si="2"/>
        <v>(n): thành viên</v>
      </c>
      <c r="G620" s="6" t="s">
        <v>40088</v>
      </c>
      <c r="H620" s="6" t="s">
        <v>40089</v>
      </c>
      <c r="I620" s="7">
        <f t="shared" si="3"/>
        <v>0.1638959552</v>
      </c>
    </row>
    <row r="621">
      <c r="A621" s="4">
        <v>621.0</v>
      </c>
      <c r="B621" s="3" t="s">
        <v>40090</v>
      </c>
      <c r="C621" s="6" t="s">
        <v>74</v>
      </c>
      <c r="D621" s="6" t="s">
        <v>972</v>
      </c>
      <c r="E621" s="3" t="str">
        <f t="shared" si="1"/>
        <v>front&lt;br&gt;&lt;div class="audio"&gt;[sound:front.mp3]&lt;/div&gt;</v>
      </c>
      <c r="F621" s="3" t="str">
        <f t="shared" si="2"/>
        <v>(n): phía trước</v>
      </c>
      <c r="G621" s="6" t="s">
        <v>40091</v>
      </c>
      <c r="H621" s="6" t="s">
        <v>40092</v>
      </c>
      <c r="I621" s="7">
        <f t="shared" si="3"/>
        <v>0.7488136449</v>
      </c>
    </row>
    <row r="622">
      <c r="A622" s="4">
        <v>622.0</v>
      </c>
      <c r="B622" s="3" t="s">
        <v>40093</v>
      </c>
      <c r="C622" s="6" t="s">
        <v>24</v>
      </c>
      <c r="D622" s="6" t="s">
        <v>3074</v>
      </c>
      <c r="E622" s="3" t="str">
        <f t="shared" si="1"/>
        <v>finish&lt;br&gt;&lt;div class="audio"&gt;[sound:finish.mp3]&lt;/div&gt;</v>
      </c>
      <c r="F622" s="3" t="str">
        <f t="shared" si="2"/>
        <v>(v): hoàn thành</v>
      </c>
      <c r="G622" s="6" t="s">
        <v>40094</v>
      </c>
      <c r="H622" s="6" t="s">
        <v>40095</v>
      </c>
      <c r="I622" s="7">
        <f t="shared" si="3"/>
        <v>0.4829703793</v>
      </c>
    </row>
    <row r="623">
      <c r="A623" s="4">
        <v>623.0</v>
      </c>
      <c r="B623" s="3" t="s">
        <v>40096</v>
      </c>
      <c r="C623" s="6" t="s">
        <v>74</v>
      </c>
      <c r="D623" s="6" t="s">
        <v>10503</v>
      </c>
      <c r="E623" s="3" t="str">
        <f t="shared" si="1"/>
        <v>club&lt;br&gt;&lt;div class="audio"&gt;[sound:club.mp3]&lt;/div&gt;</v>
      </c>
      <c r="F623" s="3" t="str">
        <f t="shared" si="2"/>
        <v>(n): câu lạc bộ</v>
      </c>
      <c r="G623" s="6" t="s">
        <v>40097</v>
      </c>
      <c r="H623" s="6" t="s">
        <v>40098</v>
      </c>
      <c r="I623" s="7">
        <f t="shared" si="3"/>
        <v>0.7793082227</v>
      </c>
    </row>
    <row r="624">
      <c r="A624" s="4">
        <v>624.0</v>
      </c>
      <c r="B624" s="3" t="s">
        <v>40099</v>
      </c>
      <c r="C624" s="6" t="s">
        <v>74</v>
      </c>
      <c r="D624" s="8" t="s">
        <v>4446</v>
      </c>
      <c r="E624" s="3" t="str">
        <f t="shared" si="1"/>
        <v>suggestion&lt;br&gt;&lt;div class="audio"&gt;[sound:suggestion.mp3]&lt;/div&gt;</v>
      </c>
      <c r="F624" s="3" t="str">
        <f t="shared" si="2"/>
        <v>(n): sự đề nghị</v>
      </c>
      <c r="G624" s="8" t="s">
        <v>40100</v>
      </c>
      <c r="H624" s="8" t="s">
        <v>40101</v>
      </c>
      <c r="I624" s="7">
        <f t="shared" si="3"/>
        <v>0.4967783091</v>
      </c>
    </row>
    <row r="625">
      <c r="A625" s="4">
        <v>625.0</v>
      </c>
      <c r="B625" s="3" t="s">
        <v>40102</v>
      </c>
      <c r="C625" s="6" t="s">
        <v>11</v>
      </c>
      <c r="D625" s="8" t="s">
        <v>28391</v>
      </c>
      <c r="E625" s="3" t="str">
        <f t="shared" si="1"/>
        <v>separate&lt;br&gt;&lt;div class="audio"&gt;[sound:separate.mp3]&lt;/div&gt;</v>
      </c>
      <c r="F625" s="3" t="str">
        <f t="shared" si="2"/>
        <v>(adj): riêng biệt</v>
      </c>
      <c r="G625" s="8" t="s">
        <v>40103</v>
      </c>
      <c r="H625" s="8" t="s">
        <v>40104</v>
      </c>
      <c r="I625" s="7">
        <f t="shared" si="3"/>
        <v>0.2912365639</v>
      </c>
    </row>
    <row r="626">
      <c r="A626" s="4">
        <v>626.0</v>
      </c>
      <c r="B626" s="3" t="s">
        <v>40105</v>
      </c>
      <c r="C626" s="6" t="s">
        <v>24</v>
      </c>
      <c r="D626" s="8" t="s">
        <v>4493</v>
      </c>
      <c r="E626" s="3" t="str">
        <f t="shared" si="1"/>
        <v>suffer&lt;br&gt;&lt;div class="audio"&gt;[sound:suffer.mp3]&lt;/div&gt;</v>
      </c>
      <c r="F626" s="3" t="str">
        <f t="shared" si="2"/>
        <v>(v): chịu đựng</v>
      </c>
      <c r="G626" s="8" t="s">
        <v>40106</v>
      </c>
      <c r="H626" s="8" t="s">
        <v>40107</v>
      </c>
      <c r="I626" s="7">
        <f t="shared" si="3"/>
        <v>0.875064277</v>
      </c>
    </row>
    <row r="627">
      <c r="A627" s="4">
        <v>627.0</v>
      </c>
      <c r="B627" s="3" t="s">
        <v>40108</v>
      </c>
      <c r="C627" s="6" t="s">
        <v>24</v>
      </c>
      <c r="D627" s="6" t="s">
        <v>1571</v>
      </c>
      <c r="E627" s="3" t="str">
        <f t="shared" si="1"/>
        <v>involve&lt;br&gt;&lt;div class="audio"&gt;[sound:involve.mp3]&lt;/div&gt;</v>
      </c>
      <c r="F627" s="3" t="str">
        <f t="shared" si="2"/>
        <v>(v): liên quan</v>
      </c>
      <c r="G627" s="6" t="s">
        <v>40109</v>
      </c>
      <c r="H627" s="6" t="s">
        <v>40110</v>
      </c>
      <c r="I627" s="7">
        <f t="shared" si="3"/>
        <v>0.7111459889</v>
      </c>
    </row>
    <row r="628">
      <c r="A628" s="4">
        <v>628.0</v>
      </c>
      <c r="B628" s="3" t="s">
        <v>40111</v>
      </c>
      <c r="C628" s="6" t="s">
        <v>74</v>
      </c>
      <c r="D628" s="6" t="s">
        <v>7927</v>
      </c>
      <c r="E628" s="3" t="str">
        <f t="shared" si="1"/>
        <v>form&lt;br&gt;&lt;div class="audio"&gt;[sound:form.mp3]&lt;/div&gt;</v>
      </c>
      <c r="F628" s="3" t="str">
        <f t="shared" si="2"/>
        <v>(n): hình thức</v>
      </c>
      <c r="G628" s="6" t="s">
        <v>40112</v>
      </c>
      <c r="H628" s="6" t="s">
        <v>40113</v>
      </c>
      <c r="I628" s="7">
        <f t="shared" si="3"/>
        <v>0.7453883726</v>
      </c>
    </row>
    <row r="629">
      <c r="A629" s="4">
        <v>629.0</v>
      </c>
      <c r="B629" s="3" t="s">
        <v>40114</v>
      </c>
      <c r="C629" s="6" t="s">
        <v>74</v>
      </c>
      <c r="D629" s="6" t="s">
        <v>3273</v>
      </c>
      <c r="E629" s="3" t="str">
        <f t="shared" si="1"/>
        <v>morning&lt;br&gt;&lt;div class="audio"&gt;[sound:morning.mp3]&lt;/div&gt;</v>
      </c>
      <c r="F629" s="3" t="str">
        <f t="shared" si="2"/>
        <v>(n): buổi sáng</v>
      </c>
      <c r="G629" s="6" t="s">
        <v>40115</v>
      </c>
      <c r="H629" s="6" t="s">
        <v>40116</v>
      </c>
      <c r="I629" s="7">
        <f t="shared" si="3"/>
        <v>0.5888358644</v>
      </c>
    </row>
    <row r="630">
      <c r="A630" s="4">
        <v>630.0</v>
      </c>
      <c r="B630" s="3" t="s">
        <v>40117</v>
      </c>
      <c r="C630" s="6" t="s">
        <v>74</v>
      </c>
      <c r="D630" s="8" t="s">
        <v>40118</v>
      </c>
      <c r="E630" s="3" t="str">
        <f t="shared" si="1"/>
        <v>shot&lt;br&gt;&lt;div class="audio"&gt;[sound:shot.mp3]&lt;/div&gt;</v>
      </c>
      <c r="F630" s="3" t="str">
        <f t="shared" si="2"/>
        <v>(n): phát súng</v>
      </c>
      <c r="G630" s="8" t="s">
        <v>40119</v>
      </c>
      <c r="H630" s="8" t="s">
        <v>40120</v>
      </c>
      <c r="I630" s="7">
        <f t="shared" si="3"/>
        <v>0.09329452207</v>
      </c>
    </row>
    <row r="631">
      <c r="A631" s="4">
        <v>631.0</v>
      </c>
      <c r="B631" s="3" t="s">
        <v>40121</v>
      </c>
      <c r="C631" s="6" t="s">
        <v>74</v>
      </c>
      <c r="D631" s="6" t="s">
        <v>11313</v>
      </c>
      <c r="E631" s="3" t="str">
        <f t="shared" si="1"/>
        <v>challenge&lt;br&gt;&lt;div class="audio"&gt;[sound:challenge.mp3]&lt;/div&gt;</v>
      </c>
      <c r="F631" s="3" t="str">
        <f t="shared" si="2"/>
        <v>(n): thử thách</v>
      </c>
      <c r="G631" s="6" t="s">
        <v>40122</v>
      </c>
      <c r="H631" s="6" t="s">
        <v>40123</v>
      </c>
      <c r="I631" s="7">
        <f t="shared" si="3"/>
        <v>0.2938956811</v>
      </c>
    </row>
    <row r="632">
      <c r="A632" s="4">
        <v>632.0</v>
      </c>
      <c r="B632" s="3" t="s">
        <v>40124</v>
      </c>
      <c r="C632" s="6" t="s">
        <v>11</v>
      </c>
      <c r="D632" s="6" t="s">
        <v>2181</v>
      </c>
      <c r="E632" s="3" t="str">
        <f t="shared" si="1"/>
        <v>central&lt;br&gt;&lt;div class="audio"&gt;[sound:central.mp3]&lt;/div&gt;</v>
      </c>
      <c r="F632" s="3" t="str">
        <f t="shared" si="2"/>
        <v>(adj): trung tâm</v>
      </c>
      <c r="G632" s="6" t="s">
        <v>40125</v>
      </c>
      <c r="H632" s="6" t="s">
        <v>40126</v>
      </c>
      <c r="I632" s="7">
        <f t="shared" si="3"/>
        <v>0.0815543661</v>
      </c>
    </row>
    <row r="633">
      <c r="A633" s="4">
        <v>633.0</v>
      </c>
      <c r="B633" s="3" t="s">
        <v>40127</v>
      </c>
      <c r="C633" s="6" t="s">
        <v>24</v>
      </c>
      <c r="D633" s="6" t="s">
        <v>40128</v>
      </c>
      <c r="E633" s="3" t="str">
        <f t="shared" si="1"/>
        <v>listen&lt;br&gt;&lt;div class="audio"&gt;[sound:listen.mp3]&lt;/div&gt;</v>
      </c>
      <c r="F633" s="3" t="str">
        <f t="shared" si="2"/>
        <v>(v): lắng nghe</v>
      </c>
      <c r="G633" s="6" t="s">
        <v>40129</v>
      </c>
      <c r="H633" s="6" t="s">
        <v>40130</v>
      </c>
      <c r="I633" s="7">
        <f t="shared" si="3"/>
        <v>0.5173702216</v>
      </c>
    </row>
    <row r="634">
      <c r="A634" s="4">
        <v>634.0</v>
      </c>
      <c r="B634" s="3" t="s">
        <v>40131</v>
      </c>
      <c r="C634" s="6" t="s">
        <v>74</v>
      </c>
      <c r="D634" s="6" t="s">
        <v>4463</v>
      </c>
      <c r="E634" s="3" t="str">
        <f t="shared" si="1"/>
        <v>career&lt;br&gt;&lt;div class="audio"&gt;[sound:career.mp3]&lt;/div&gt;</v>
      </c>
      <c r="F634" s="3" t="str">
        <f t="shared" si="2"/>
        <v>(n): sự nghiệp</v>
      </c>
      <c r="G634" s="6" t="s">
        <v>40132</v>
      </c>
      <c r="H634" s="6" t="s">
        <v>40133</v>
      </c>
      <c r="I634" s="7">
        <f t="shared" si="3"/>
        <v>0.2512449441</v>
      </c>
    </row>
    <row r="635">
      <c r="A635" s="4">
        <v>635.0</v>
      </c>
      <c r="B635" s="3" t="s">
        <v>40134</v>
      </c>
      <c r="C635" s="6" t="s">
        <v>74</v>
      </c>
      <c r="D635" s="6" t="s">
        <v>693</v>
      </c>
      <c r="E635" s="3" t="str">
        <f t="shared" si="1"/>
        <v>voice&lt;br&gt;&lt;div class="audio"&gt;[sound:voice.mp3]&lt;/div&gt;</v>
      </c>
      <c r="F635" s="3" t="str">
        <f t="shared" si="2"/>
        <v>(n): giọng nói</v>
      </c>
      <c r="G635" s="6" t="s">
        <v>40135</v>
      </c>
      <c r="H635" s="6" t="s">
        <v>40136</v>
      </c>
      <c r="I635" s="7">
        <f t="shared" si="3"/>
        <v>0.8294280677</v>
      </c>
    </row>
    <row r="636">
      <c r="A636" s="4">
        <v>636.0</v>
      </c>
      <c r="B636" s="3" t="s">
        <v>40137</v>
      </c>
      <c r="C636" s="6" t="s">
        <v>74</v>
      </c>
      <c r="D636" s="8" t="s">
        <v>40138</v>
      </c>
      <c r="E636" s="3" t="str">
        <f t="shared" si="1"/>
        <v>shape&lt;br&gt;&lt;div class="audio"&gt;[sound:shape.mp3]&lt;/div&gt;</v>
      </c>
      <c r="F636" s="3" t="str">
        <f t="shared" si="2"/>
        <v>(n): hình dạng</v>
      </c>
      <c r="G636" s="8" t="s">
        <v>40139</v>
      </c>
      <c r="H636" s="8" t="s">
        <v>40140</v>
      </c>
      <c r="I636" s="7">
        <f t="shared" si="3"/>
        <v>0.69097282</v>
      </c>
    </row>
    <row r="637">
      <c r="A637" s="4">
        <v>637.0</v>
      </c>
      <c r="B637" s="3" t="s">
        <v>40141</v>
      </c>
      <c r="C637" s="6" t="s">
        <v>74</v>
      </c>
      <c r="D637" s="6" t="s">
        <v>40142</v>
      </c>
      <c r="E637" s="3" t="str">
        <f t="shared" si="1"/>
        <v>officer&lt;br&gt;&lt;div class="audio"&gt;[sound:officer.mp3]&lt;/div&gt;</v>
      </c>
      <c r="F637" s="3" t="str">
        <f t="shared" si="2"/>
        <v>(n): viên chức</v>
      </c>
      <c r="G637" s="6" t="s">
        <v>40143</v>
      </c>
      <c r="H637" s="6" t="s">
        <v>40144</v>
      </c>
      <c r="I637" s="7">
        <f t="shared" si="3"/>
        <v>0.8159327185</v>
      </c>
    </row>
    <row r="638">
      <c r="A638" s="4">
        <v>638.0</v>
      </c>
      <c r="B638" s="3" t="s">
        <v>40145</v>
      </c>
      <c r="C638" s="6" t="s">
        <v>74</v>
      </c>
      <c r="D638" s="6" t="s">
        <v>5706</v>
      </c>
      <c r="E638" s="3" t="str">
        <f t="shared" si="1"/>
        <v>january&lt;br&gt;&lt;div class="audio"&gt;[sound:january.mp3]&lt;/div&gt;</v>
      </c>
      <c r="F638" s="3" t="str">
        <f t="shared" si="2"/>
        <v>(n): tháng một</v>
      </c>
      <c r="G638" s="6" t="s">
        <v>40146</v>
      </c>
      <c r="H638" s="6" t="s">
        <v>40147</v>
      </c>
      <c r="I638" s="7">
        <f t="shared" si="3"/>
        <v>0.1998462702</v>
      </c>
    </row>
    <row r="639">
      <c r="A639" s="4">
        <v>639.0</v>
      </c>
      <c r="B639" s="3" t="s">
        <v>40148</v>
      </c>
      <c r="C639" s="6" t="s">
        <v>74</v>
      </c>
      <c r="D639" s="6" t="s">
        <v>40149</v>
      </c>
      <c r="E639" s="3" t="str">
        <f t="shared" si="1"/>
        <v>wall&lt;br&gt;&lt;div class="audio"&gt;[sound:wall.mp3]&lt;/div&gt;</v>
      </c>
      <c r="F639" s="3" t="str">
        <f t="shared" si="2"/>
        <v>(n): bức tường</v>
      </c>
      <c r="G639" s="6" t="s">
        <v>40150</v>
      </c>
      <c r="H639" s="6" t="s">
        <v>40151</v>
      </c>
      <c r="I639" s="7">
        <f t="shared" si="3"/>
        <v>0.5222477594</v>
      </c>
    </row>
    <row r="640">
      <c r="A640" s="4">
        <v>640.0</v>
      </c>
      <c r="B640" s="3" t="s">
        <v>40152</v>
      </c>
      <c r="C640" s="6" t="s">
        <v>24</v>
      </c>
      <c r="D640" s="6" t="s">
        <v>3502</v>
      </c>
      <c r="E640" s="3" t="str">
        <f t="shared" si="1"/>
        <v>fight&lt;br&gt;&lt;div class="audio"&gt;[sound:fight.mp3]&lt;/div&gt;</v>
      </c>
      <c r="F640" s="3" t="str">
        <f t="shared" si="2"/>
        <v>(v): chiến đấu</v>
      </c>
      <c r="G640" s="6" t="s">
        <v>40153</v>
      </c>
      <c r="H640" s="6" t="s">
        <v>40154</v>
      </c>
      <c r="I640" s="7">
        <f t="shared" si="3"/>
        <v>0.9484537803</v>
      </c>
    </row>
    <row r="641">
      <c r="A641" s="4">
        <v>641.0</v>
      </c>
      <c r="B641" s="3" t="s">
        <v>40155</v>
      </c>
      <c r="C641" s="6" t="s">
        <v>74</v>
      </c>
      <c r="D641" s="6" t="s">
        <v>1672</v>
      </c>
      <c r="E641" s="3" t="str">
        <f t="shared" si="1"/>
        <v>hotel&lt;br&gt;&lt;div class="audio"&gt;[sound:hotel.mp3]&lt;/div&gt;</v>
      </c>
      <c r="F641" s="3" t="str">
        <f t="shared" si="2"/>
        <v>(n): khách sạn</v>
      </c>
      <c r="G641" s="6" t="s">
        <v>40156</v>
      </c>
      <c r="H641" s="6" t="s">
        <v>40157</v>
      </c>
      <c r="I641" s="7">
        <f t="shared" si="3"/>
        <v>0.5528971331</v>
      </c>
    </row>
    <row r="642">
      <c r="A642" s="4">
        <v>642.0</v>
      </c>
      <c r="B642" s="3" t="s">
        <v>40158</v>
      </c>
      <c r="C642" s="6" t="s">
        <v>85</v>
      </c>
      <c r="D642" s="6" t="s">
        <v>2262</v>
      </c>
      <c r="E642" s="3" t="str">
        <f t="shared" si="1"/>
        <v>finally&lt;br&gt;&lt;div class="audio"&gt;[sound:finally.mp3]&lt;/div&gt;</v>
      </c>
      <c r="F642" s="3" t="str">
        <f t="shared" si="2"/>
        <v>(adv): cuối cùng</v>
      </c>
      <c r="G642" s="6" t="s">
        <v>40159</v>
      </c>
      <c r="H642" s="6" t="s">
        <v>40160</v>
      </c>
      <c r="I642" s="7">
        <f t="shared" si="3"/>
        <v>0.2118896899</v>
      </c>
    </row>
    <row r="643">
      <c r="A643" s="4">
        <v>643.0</v>
      </c>
      <c r="B643" s="3" t="s">
        <v>40161</v>
      </c>
      <c r="C643" s="6" t="s">
        <v>74</v>
      </c>
      <c r="D643" s="6" t="s">
        <v>8913</v>
      </c>
      <c r="E643" s="3" t="str">
        <f t="shared" si="1"/>
        <v>budget&lt;br&gt;&lt;div class="audio"&gt;[sound:budget.mp3]&lt;/div&gt;</v>
      </c>
      <c r="F643" s="3" t="str">
        <f t="shared" si="2"/>
        <v>(n): ngân sách</v>
      </c>
      <c r="G643" s="6" t="s">
        <v>40162</v>
      </c>
      <c r="H643" s="6" t="s">
        <v>40163</v>
      </c>
      <c r="I643" s="7">
        <f t="shared" si="3"/>
        <v>0.1454159601</v>
      </c>
    </row>
    <row r="644">
      <c r="A644" s="4">
        <v>644.0</v>
      </c>
      <c r="B644" s="3" t="s">
        <v>40164</v>
      </c>
      <c r="C644" s="6" t="s">
        <v>24</v>
      </c>
      <c r="D644" s="6" t="s">
        <v>7439</v>
      </c>
      <c r="E644" s="3" t="str">
        <f t="shared" si="1"/>
        <v>improve&lt;br&gt;&lt;div class="audio"&gt;[sound:improve.mp3]&lt;/div&gt;</v>
      </c>
      <c r="F644" s="3" t="str">
        <f t="shared" si="2"/>
        <v>(v): cải thiện</v>
      </c>
      <c r="G644" s="6" t="s">
        <v>40165</v>
      </c>
      <c r="H644" s="6" t="s">
        <v>40166</v>
      </c>
      <c r="I644" s="7">
        <f t="shared" si="3"/>
        <v>0.03965813245</v>
      </c>
    </row>
    <row r="645">
      <c r="A645" s="4">
        <v>645.0</v>
      </c>
      <c r="B645" s="3" t="s">
        <v>40167</v>
      </c>
      <c r="C645" s="6" t="s">
        <v>74</v>
      </c>
      <c r="D645" s="6" t="s">
        <v>7956</v>
      </c>
      <c r="E645" s="3" t="str">
        <f t="shared" si="1"/>
        <v>police&lt;br&gt;&lt;div class="audio"&gt;[sound:police.mp3]&lt;/div&gt;</v>
      </c>
      <c r="F645" s="3" t="str">
        <f t="shared" si="2"/>
        <v>(n): cảnh sát</v>
      </c>
      <c r="G645" s="6" t="s">
        <v>40168</v>
      </c>
      <c r="H645" s="6" t="s">
        <v>40169</v>
      </c>
      <c r="I645" s="7">
        <f t="shared" si="3"/>
        <v>0.4935644411</v>
      </c>
    </row>
    <row r="646">
      <c r="A646" s="4">
        <v>646.0</v>
      </c>
      <c r="B646" s="3" t="s">
        <v>40170</v>
      </c>
      <c r="C646" s="6" t="s">
        <v>74</v>
      </c>
      <c r="D646" s="6" t="s">
        <v>1577</v>
      </c>
      <c r="E646" s="3" t="str">
        <f t="shared" si="1"/>
        <v>director&lt;br&gt;&lt;div class="audio"&gt;[sound:director.mp3]&lt;/div&gt;</v>
      </c>
      <c r="F646" s="3" t="str">
        <f t="shared" si="2"/>
        <v>(n): giám đốc</v>
      </c>
      <c r="G646" s="6" t="s">
        <v>40171</v>
      </c>
      <c r="H646" s="6" t="s">
        <v>40172</v>
      </c>
      <c r="I646" s="7">
        <f t="shared" si="3"/>
        <v>0.6970931064</v>
      </c>
    </row>
    <row r="647">
      <c r="A647" s="4">
        <v>647.0</v>
      </c>
      <c r="B647" s="3" t="s">
        <v>40173</v>
      </c>
      <c r="C647" s="6" t="s">
        <v>24</v>
      </c>
      <c r="D647" s="6" t="s">
        <v>3044</v>
      </c>
      <c r="E647" s="3" t="str">
        <f t="shared" si="1"/>
        <v>fail&lt;br&gt;&lt;div class="audio"&gt;[sound:fail.mp3]&lt;/div&gt;</v>
      </c>
      <c r="F647" s="3" t="str">
        <f t="shared" si="2"/>
        <v>(v): thất bại</v>
      </c>
      <c r="G647" s="6" t="s">
        <v>40174</v>
      </c>
      <c r="H647" s="6" t="s">
        <v>40175</v>
      </c>
      <c r="I647" s="7">
        <f t="shared" si="3"/>
        <v>0.1298561056</v>
      </c>
    </row>
    <row r="648">
      <c r="A648" s="4">
        <v>648.0</v>
      </c>
      <c r="B648" s="3" t="s">
        <v>40176</v>
      </c>
      <c r="C648" s="6" t="s">
        <v>74</v>
      </c>
      <c r="D648" s="8" t="s">
        <v>498</v>
      </c>
      <c r="E648" s="3" t="str">
        <f t="shared" si="1"/>
        <v>self&lt;br&gt;&lt;div class="audio"&gt;[sound:self.mp3]&lt;/div&gt;</v>
      </c>
      <c r="F648" s="3" t="str">
        <f t="shared" si="2"/>
        <v>(n): bản thân</v>
      </c>
      <c r="G648" s="8" t="s">
        <v>40177</v>
      </c>
      <c r="H648" s="8" t="s">
        <v>40178</v>
      </c>
      <c r="I648" s="7">
        <f t="shared" si="3"/>
        <v>0.897888097</v>
      </c>
    </row>
    <row r="649">
      <c r="A649" s="4">
        <v>649.0</v>
      </c>
      <c r="B649" s="3" t="s">
        <v>40179</v>
      </c>
      <c r="C649" s="6" t="s">
        <v>74</v>
      </c>
      <c r="D649" s="6" t="s">
        <v>24046</v>
      </c>
      <c r="E649" s="3" t="str">
        <f t="shared" si="1"/>
        <v>cash&lt;br&gt;&lt;div class="audio"&gt;[sound:cash.mp3]&lt;/div&gt;</v>
      </c>
      <c r="F649" s="3" t="str">
        <f t="shared" si="2"/>
        <v>(n): tiền mặt</v>
      </c>
      <c r="G649" s="6" t="s">
        <v>40180</v>
      </c>
      <c r="H649" s="6" t="s">
        <v>40181</v>
      </c>
      <c r="I649" s="7">
        <f t="shared" si="3"/>
        <v>0.08401707096</v>
      </c>
    </row>
    <row r="650">
      <c r="A650" s="4">
        <v>650.0</v>
      </c>
      <c r="B650" s="3" t="s">
        <v>40182</v>
      </c>
      <c r="C650" s="6" t="s">
        <v>74</v>
      </c>
      <c r="D650" s="6" t="s">
        <v>1851</v>
      </c>
      <c r="E650" s="3" t="str">
        <f t="shared" si="1"/>
        <v>ability&lt;br&gt;&lt;div class="audio"&gt;[sound:ability.mp3]&lt;/div&gt;</v>
      </c>
      <c r="F650" s="3" t="str">
        <f t="shared" si="2"/>
        <v>(n): khả năng</v>
      </c>
      <c r="G650" s="6" t="s">
        <v>40183</v>
      </c>
      <c r="H650" s="6" t="s">
        <v>40184</v>
      </c>
      <c r="I650" s="7">
        <f t="shared" si="3"/>
        <v>0.1116913706</v>
      </c>
    </row>
    <row r="651">
      <c r="A651" s="4">
        <v>651.0</v>
      </c>
      <c r="B651" s="3" t="s">
        <v>40185</v>
      </c>
      <c r="C651" s="6" t="s">
        <v>74</v>
      </c>
      <c r="D651" s="6" t="s">
        <v>40186</v>
      </c>
      <c r="E651" s="3" t="str">
        <f t="shared" si="1"/>
        <v>impact&lt;br&gt;&lt;div class="audio"&gt;[sound:impact.mp3]&lt;/div&gt;</v>
      </c>
      <c r="F651" s="3" t="str">
        <f t="shared" si="2"/>
        <v>(n): tác động</v>
      </c>
      <c r="G651" s="6" t="s">
        <v>40187</v>
      </c>
      <c r="H651" s="6" t="s">
        <v>40188</v>
      </c>
      <c r="I651" s="7">
        <f t="shared" si="3"/>
        <v>0.05961655723</v>
      </c>
    </row>
    <row r="652">
      <c r="A652" s="4">
        <v>652.0</v>
      </c>
      <c r="B652" s="3" t="s">
        <v>40189</v>
      </c>
      <c r="C652" s="6" t="s">
        <v>74</v>
      </c>
      <c r="D652" s="8" t="s">
        <v>5726</v>
      </c>
      <c r="E652" s="3" t="str">
        <f t="shared" si="1"/>
        <v>software&lt;br&gt;&lt;div class="audio"&gt;[sound:software.mp3]&lt;/div&gt;</v>
      </c>
      <c r="F652" s="3" t="str">
        <f t="shared" si="2"/>
        <v>(n): phần mềm</v>
      </c>
      <c r="G652" s="8" t="s">
        <v>40190</v>
      </c>
      <c r="H652" s="8" t="s">
        <v>40191</v>
      </c>
      <c r="I652" s="7">
        <f t="shared" si="3"/>
        <v>0.01687410427</v>
      </c>
    </row>
    <row r="653">
      <c r="A653" s="4">
        <v>653.0</v>
      </c>
      <c r="B653" s="3" t="s">
        <v>40192</v>
      </c>
      <c r="C653" s="6" t="s">
        <v>74</v>
      </c>
      <c r="D653" s="8" t="s">
        <v>11328</v>
      </c>
      <c r="E653" s="3" t="str">
        <f t="shared" si="1"/>
        <v>star&lt;br&gt;&lt;div class="audio"&gt;[sound:star.mp3]&lt;/div&gt;</v>
      </c>
      <c r="F653" s="3" t="str">
        <f t="shared" si="2"/>
        <v>(n): ngôi sao</v>
      </c>
      <c r="G653" s="8" t="s">
        <v>40193</v>
      </c>
      <c r="H653" s="8" t="s">
        <v>40194</v>
      </c>
      <c r="I653" s="7">
        <f t="shared" si="3"/>
        <v>0.9658849869</v>
      </c>
    </row>
    <row r="654">
      <c r="A654" s="4">
        <v>654.0</v>
      </c>
      <c r="B654" s="3" t="s">
        <v>40195</v>
      </c>
      <c r="C654" s="6" t="s">
        <v>74</v>
      </c>
      <c r="D654" s="8" t="s">
        <v>10155</v>
      </c>
      <c r="E654" s="3" t="str">
        <f t="shared" si="1"/>
        <v>sun&lt;br&gt;&lt;div class="audio"&gt;[sound:sun.mp3]&lt;/div&gt;</v>
      </c>
      <c r="F654" s="3" t="str">
        <f t="shared" si="2"/>
        <v>(n): mặt trời</v>
      </c>
      <c r="G654" s="8" t="s">
        <v>40196</v>
      </c>
      <c r="H654" s="8" t="s">
        <v>40197</v>
      </c>
      <c r="I654" s="7">
        <f t="shared" si="3"/>
        <v>0.7470289402</v>
      </c>
    </row>
    <row r="655">
      <c r="A655" s="4">
        <v>655.0</v>
      </c>
      <c r="B655" s="3" t="s">
        <v>40198</v>
      </c>
      <c r="C655" s="6" t="s">
        <v>74</v>
      </c>
      <c r="D655" s="6" t="s">
        <v>9660</v>
      </c>
      <c r="E655" s="3" t="str">
        <f t="shared" si="1"/>
        <v>view&lt;br&gt;&lt;div class="audio"&gt;[sound:view.mp3]&lt;/div&gt;</v>
      </c>
      <c r="F655" s="3" t="str">
        <f t="shared" si="2"/>
        <v>(n): tầm nhìn</v>
      </c>
      <c r="G655" s="6" t="s">
        <v>40199</v>
      </c>
      <c r="H655" s="6" t="s">
        <v>40200</v>
      </c>
      <c r="I655" s="7">
        <f t="shared" si="3"/>
        <v>0.7089854125</v>
      </c>
    </row>
    <row r="656">
      <c r="A656" s="4">
        <v>656.0</v>
      </c>
      <c r="B656" s="3" t="s">
        <v>40201</v>
      </c>
      <c r="C656" s="6" t="s">
        <v>74</v>
      </c>
      <c r="D656" s="6" t="s">
        <v>8436</v>
      </c>
      <c r="E656" s="3" t="str">
        <f t="shared" si="1"/>
        <v>target&lt;br&gt;&lt;div class="audio"&gt;[sound:target.mp3]&lt;/div&gt;</v>
      </c>
      <c r="F656" s="3" t="str">
        <f t="shared" si="2"/>
        <v>(n): mục tiêu</v>
      </c>
      <c r="G656" s="6" t="s">
        <v>40202</v>
      </c>
      <c r="H656" s="6" t="s">
        <v>40203</v>
      </c>
      <c r="I656" s="7">
        <f t="shared" si="3"/>
        <v>0.2991347674</v>
      </c>
    </row>
    <row r="657">
      <c r="A657" s="4">
        <v>657.0</v>
      </c>
      <c r="B657" s="3" t="s">
        <v>40204</v>
      </c>
      <c r="C657" s="6" t="s">
        <v>74</v>
      </c>
      <c r="D657" s="6" t="s">
        <v>5510</v>
      </c>
      <c r="E657" s="3" t="str">
        <f t="shared" si="1"/>
        <v>individual&lt;br&gt;&lt;div class="audio"&gt;[sound:individual.mp3]&lt;/div&gt;</v>
      </c>
      <c r="F657" s="3" t="str">
        <f t="shared" si="2"/>
        <v>(n): cá nhân</v>
      </c>
      <c r="G657" s="6" t="s">
        <v>40205</v>
      </c>
      <c r="H657" s="6" t="s">
        <v>40206</v>
      </c>
      <c r="I657" s="7">
        <f t="shared" si="3"/>
        <v>0.2931715494</v>
      </c>
    </row>
    <row r="658">
      <c r="A658" s="4">
        <v>658.0</v>
      </c>
      <c r="B658" s="3" t="s">
        <v>40207</v>
      </c>
      <c r="C658" s="6" t="s">
        <v>11</v>
      </c>
      <c r="D658" s="6" t="s">
        <v>8721</v>
      </c>
      <c r="E658" s="3" t="str">
        <f t="shared" si="1"/>
        <v>past&lt;br&gt;&lt;div class="audio"&gt;[sound:past.mp3]&lt;/div&gt;</v>
      </c>
      <c r="F658" s="3" t="str">
        <f t="shared" si="2"/>
        <v>(adj): quá khứ</v>
      </c>
      <c r="G658" s="6" t="s">
        <v>40208</v>
      </c>
      <c r="H658" s="6" t="s">
        <v>40209</v>
      </c>
      <c r="I658" s="7">
        <f t="shared" si="3"/>
        <v>0.008391854041</v>
      </c>
    </row>
    <row r="659">
      <c r="A659" s="4">
        <v>659.0</v>
      </c>
      <c r="B659" s="3" t="s">
        <v>40210</v>
      </c>
      <c r="C659" s="6" t="s">
        <v>74</v>
      </c>
      <c r="D659" s="6" t="s">
        <v>3657</v>
      </c>
      <c r="E659" s="3" t="str">
        <f t="shared" si="1"/>
        <v>organization&lt;br&gt;&lt;div class="audio"&gt;[sound:organization.mp3]&lt;/div&gt;</v>
      </c>
      <c r="F659" s="3" t="str">
        <f t="shared" si="2"/>
        <v>(n): tổ chức</v>
      </c>
      <c r="G659" s="6" t="s">
        <v>40211</v>
      </c>
      <c r="H659" s="6" t="s">
        <v>40212</v>
      </c>
      <c r="I659" s="7">
        <f t="shared" si="3"/>
        <v>0.566922358</v>
      </c>
    </row>
    <row r="660">
      <c r="A660" s="4">
        <v>660.0</v>
      </c>
      <c r="B660" s="3" t="s">
        <v>40213</v>
      </c>
      <c r="C660" s="6" t="s">
        <v>11</v>
      </c>
      <c r="D660" s="6" t="s">
        <v>3602</v>
      </c>
      <c r="E660" s="3" t="str">
        <f t="shared" si="1"/>
        <v>busy&lt;br&gt;&lt;div class="audio"&gt;[sound:busy.mp3]&lt;/div&gt;</v>
      </c>
      <c r="F660" s="3" t="str">
        <f t="shared" si="2"/>
        <v>(adj): bận rộn</v>
      </c>
      <c r="G660" s="6" t="s">
        <v>40214</v>
      </c>
      <c r="H660" s="6" t="s">
        <v>40215</v>
      </c>
      <c r="I660" s="7">
        <f t="shared" si="3"/>
        <v>0.6043691774</v>
      </c>
    </row>
    <row r="661">
      <c r="A661" s="4">
        <v>661.0</v>
      </c>
      <c r="B661" s="3" t="s">
        <v>40216</v>
      </c>
      <c r="C661" s="6" t="s">
        <v>74</v>
      </c>
      <c r="D661" s="6" t="s">
        <v>5095</v>
      </c>
      <c r="E661" s="3" t="str">
        <f t="shared" si="1"/>
        <v>daughter&lt;br&gt;&lt;div class="audio"&gt;[sound:daughter.mp3]&lt;/div&gt;</v>
      </c>
      <c r="F661" s="3" t="str">
        <f t="shared" si="2"/>
        <v>(n): con gái</v>
      </c>
      <c r="G661" s="6" t="s">
        <v>40217</v>
      </c>
      <c r="H661" s="6" t="s">
        <v>40218</v>
      </c>
      <c r="I661" s="7">
        <f t="shared" si="3"/>
        <v>0.6349837594</v>
      </c>
    </row>
    <row r="662">
      <c r="A662" s="4">
        <v>662.0</v>
      </c>
      <c r="B662" s="3" t="s">
        <v>40219</v>
      </c>
      <c r="C662" s="6" t="s">
        <v>24</v>
      </c>
      <c r="D662" s="6" t="s">
        <v>40220</v>
      </c>
      <c r="E662" s="3" t="str">
        <f t="shared" si="1"/>
        <v>ensure&lt;br&gt;&lt;div class="audio"&gt;[sound:ensure.mp3]&lt;/div&gt;</v>
      </c>
      <c r="F662" s="3" t="str">
        <f t="shared" si="2"/>
        <v>(v): đảm bảo</v>
      </c>
      <c r="G662" s="6" t="s">
        <v>40221</v>
      </c>
      <c r="H662" s="6" t="s">
        <v>40222</v>
      </c>
      <c r="I662" s="7">
        <f t="shared" si="3"/>
        <v>0.1283229726</v>
      </c>
    </row>
    <row r="663">
      <c r="A663" s="4">
        <v>663.0</v>
      </c>
      <c r="B663" s="3" t="s">
        <v>40223</v>
      </c>
      <c r="C663" s="6" t="s">
        <v>74</v>
      </c>
      <c r="D663" s="6" t="s">
        <v>7328</v>
      </c>
      <c r="E663" s="3" t="str">
        <f t="shared" si="1"/>
        <v>clothes&lt;br&gt;&lt;div class="audio"&gt;[sound:clothes.mp3]&lt;/div&gt;</v>
      </c>
      <c r="F663" s="3" t="str">
        <f t="shared" si="2"/>
        <v>(n): quần áo</v>
      </c>
      <c r="G663" s="6" t="s">
        <v>40224</v>
      </c>
      <c r="H663" s="6" t="s">
        <v>40225</v>
      </c>
      <c r="I663" s="7">
        <f t="shared" si="3"/>
        <v>0.2600929694</v>
      </c>
    </row>
    <row r="664">
      <c r="A664" s="4">
        <v>664.0</v>
      </c>
      <c r="B664" s="3" t="s">
        <v>40226</v>
      </c>
      <c r="C664" s="6" t="s">
        <v>11</v>
      </c>
      <c r="D664" s="6" t="s">
        <v>24369</v>
      </c>
      <c r="E664" s="3" t="str">
        <f t="shared" si="1"/>
        <v>brown&lt;br&gt;&lt;div class="audio"&gt;[sound:brown.mp3]&lt;/div&gt;</v>
      </c>
      <c r="F664" s="3" t="str">
        <f t="shared" si="2"/>
        <v>(adj): màu nâu</v>
      </c>
      <c r="G664" s="6" t="s">
        <v>40227</v>
      </c>
      <c r="H664" s="6" t="s">
        <v>40228</v>
      </c>
      <c r="I664" s="7">
        <f t="shared" si="3"/>
        <v>0.0734732364</v>
      </c>
    </row>
    <row r="665">
      <c r="A665" s="4">
        <v>665.0</v>
      </c>
      <c r="B665" s="3" t="s">
        <v>40229</v>
      </c>
      <c r="C665" s="6" t="s">
        <v>11</v>
      </c>
      <c r="D665" s="6" t="s">
        <v>16089</v>
      </c>
      <c r="E665" s="3" t="str">
        <f t="shared" si="1"/>
        <v>independent&lt;br&gt;&lt;div class="audio"&gt;[sound:independent.mp3]&lt;/div&gt;</v>
      </c>
      <c r="F665" s="3" t="str">
        <f t="shared" si="2"/>
        <v>(adj): độc lập</v>
      </c>
      <c r="G665" s="6" t="s">
        <v>40230</v>
      </c>
      <c r="H665" s="6" t="s">
        <v>40231</v>
      </c>
      <c r="I665" s="7">
        <f t="shared" si="3"/>
        <v>0.9169557256</v>
      </c>
    </row>
    <row r="666">
      <c r="A666" s="4">
        <v>666.0</v>
      </c>
      <c r="B666" s="3" t="s">
        <v>40232</v>
      </c>
      <c r="C666" s="6" t="s">
        <v>74</v>
      </c>
      <c r="D666" s="8" t="s">
        <v>7499</v>
      </c>
      <c r="E666" s="3" t="str">
        <f t="shared" si="1"/>
        <v>song&lt;br&gt;&lt;div class="audio"&gt;[sound:song.mp3]&lt;/div&gt;</v>
      </c>
      <c r="F666" s="3" t="str">
        <f t="shared" si="2"/>
        <v>(n): bài hát</v>
      </c>
      <c r="G666" s="8" t="s">
        <v>40233</v>
      </c>
      <c r="H666" s="8" t="s">
        <v>40234</v>
      </c>
      <c r="I666" s="7">
        <f t="shared" si="3"/>
        <v>0.9979232223</v>
      </c>
    </row>
    <row r="667">
      <c r="A667" s="4">
        <v>667.0</v>
      </c>
      <c r="B667" s="3" t="s">
        <v>40235</v>
      </c>
      <c r="C667" s="6" t="s">
        <v>74</v>
      </c>
      <c r="D667" s="6" t="s">
        <v>40236</v>
      </c>
      <c r="E667" s="3" t="str">
        <f t="shared" si="1"/>
        <v>chair&lt;br&gt;&lt;div class="audio"&gt;[sound:chair.mp3]&lt;/div&gt;</v>
      </c>
      <c r="F667" s="3" t="str">
        <f t="shared" si="2"/>
        <v>(n): cái ghế</v>
      </c>
      <c r="G667" s="6" t="s">
        <v>40237</v>
      </c>
      <c r="H667" s="6" t="s">
        <v>40238</v>
      </c>
      <c r="I667" s="7">
        <f t="shared" si="3"/>
        <v>0.4078613219</v>
      </c>
    </row>
    <row r="668">
      <c r="A668" s="4">
        <v>668.0</v>
      </c>
      <c r="B668" s="3" t="s">
        <v>40239</v>
      </c>
      <c r="C668" s="6" t="s">
        <v>74</v>
      </c>
      <c r="D668" s="6" t="s">
        <v>2110</v>
      </c>
      <c r="E668" s="3" t="str">
        <f t="shared" si="1"/>
        <v>camera&lt;br&gt;&lt;div class="audio"&gt;[sound:camera.mp3]&lt;/div&gt;</v>
      </c>
      <c r="F668" s="3" t="str">
        <f t="shared" si="2"/>
        <v>(n): máy ảnh</v>
      </c>
      <c r="G668" s="6" t="s">
        <v>40240</v>
      </c>
      <c r="H668" s="6" t="s">
        <v>40241</v>
      </c>
      <c r="I668" s="7">
        <f t="shared" si="3"/>
        <v>0.6211554506</v>
      </c>
    </row>
    <row r="669">
      <c r="A669" s="4">
        <v>669.0</v>
      </c>
      <c r="B669" s="3" t="s">
        <v>40242</v>
      </c>
      <c r="C669" s="6" t="s">
        <v>74</v>
      </c>
      <c r="D669" s="6" t="s">
        <v>774</v>
      </c>
      <c r="E669" s="3" t="str">
        <f t="shared" si="1"/>
        <v>bus&lt;br&gt;&lt;div class="audio"&gt;[sound:bus.mp3]&lt;/div&gt;</v>
      </c>
      <c r="F669" s="3" t="str">
        <f t="shared" si="2"/>
        <v>(n): xe buýt</v>
      </c>
      <c r="G669" s="6" t="s">
        <v>40243</v>
      </c>
      <c r="H669" s="6" t="s">
        <v>40244</v>
      </c>
      <c r="I669" s="7">
        <f t="shared" si="3"/>
        <v>0.6793504071</v>
      </c>
    </row>
    <row r="670">
      <c r="A670" s="4">
        <v>670.0</v>
      </c>
      <c r="B670" s="3" t="s">
        <v>40245</v>
      </c>
      <c r="C670" s="6" t="s">
        <v>11</v>
      </c>
      <c r="D670" s="6" t="s">
        <v>40246</v>
      </c>
      <c r="E670" s="3" t="str">
        <f t="shared" si="1"/>
        <v>green&lt;br&gt;&lt;div class="audio"&gt;[sound:green.mp3]&lt;/div&gt;</v>
      </c>
      <c r="F670" s="3" t="str">
        <f t="shared" si="2"/>
        <v>(adj): xanh lá</v>
      </c>
      <c r="G670" s="6" t="s">
        <v>40247</v>
      </c>
      <c r="H670" s="6" t="s">
        <v>40248</v>
      </c>
      <c r="I670" s="7">
        <f t="shared" si="3"/>
        <v>0.9451484263</v>
      </c>
    </row>
    <row r="671">
      <c r="A671" s="4">
        <v>671.0</v>
      </c>
      <c r="B671" s="3" t="s">
        <v>40249</v>
      </c>
      <c r="C671" s="6" t="s">
        <v>74</v>
      </c>
      <c r="D671" s="6" t="s">
        <v>6332</v>
      </c>
      <c r="E671" s="3" t="str">
        <f t="shared" si="1"/>
        <v>value&lt;br&gt;&lt;div class="audio"&gt;[sound:value.mp3]&lt;/div&gt;</v>
      </c>
      <c r="F671" s="3" t="str">
        <f t="shared" si="2"/>
        <v>(n): giá trị</v>
      </c>
      <c r="G671" s="6" t="s">
        <v>40250</v>
      </c>
      <c r="H671" s="6" t="s">
        <v>40251</v>
      </c>
      <c r="I671" s="7">
        <f t="shared" si="3"/>
        <v>0.2209166465</v>
      </c>
    </row>
    <row r="672">
      <c r="A672" s="4">
        <v>672.0</v>
      </c>
      <c r="B672" s="3" t="s">
        <v>40252</v>
      </c>
      <c r="C672" s="6" t="s">
        <v>11</v>
      </c>
      <c r="D672" s="6" t="s">
        <v>5510</v>
      </c>
      <c r="E672" s="3" t="str">
        <f t="shared" si="1"/>
        <v>personal&lt;br&gt;&lt;div class="audio"&gt;[sound:personal.mp3]&lt;/div&gt;</v>
      </c>
      <c r="F672" s="3" t="str">
        <f t="shared" si="2"/>
        <v>(adj): cá nhân</v>
      </c>
      <c r="G672" s="6" t="s">
        <v>40253</v>
      </c>
      <c r="H672" s="6" t="s">
        <v>40254</v>
      </c>
      <c r="I672" s="7">
        <f t="shared" si="3"/>
        <v>0.2137591507</v>
      </c>
    </row>
    <row r="673">
      <c r="A673" s="4">
        <v>673.0</v>
      </c>
      <c r="B673" s="3" t="s">
        <v>40255</v>
      </c>
      <c r="C673" s="6" t="s">
        <v>74</v>
      </c>
      <c r="D673" s="6" t="s">
        <v>9786</v>
      </c>
      <c r="E673" s="3" t="str">
        <f t="shared" si="1"/>
        <v>colour&lt;br&gt;&lt;div class="audio"&gt;[sound:colour.mp3]&lt;/div&gt;</v>
      </c>
      <c r="F673" s="3" t="str">
        <f t="shared" si="2"/>
        <v>(n): màu sắc</v>
      </c>
      <c r="G673" s="6" t="s">
        <v>40256</v>
      </c>
      <c r="H673" s="6" t="s">
        <v>40257</v>
      </c>
      <c r="I673" s="7">
        <f t="shared" si="3"/>
        <v>0.9112690621</v>
      </c>
    </row>
    <row r="674">
      <c r="A674" s="4">
        <v>674.0</v>
      </c>
      <c r="B674" s="3" t="s">
        <v>40258</v>
      </c>
      <c r="C674" s="6" t="s">
        <v>74</v>
      </c>
      <c r="D674" s="6" t="s">
        <v>2167</v>
      </c>
      <c r="E674" s="3" t="str">
        <f t="shared" si="1"/>
        <v>coffee&lt;br&gt;&lt;div class="audio"&gt;[sound:coffee.mp3]&lt;/div&gt;</v>
      </c>
      <c r="F674" s="3" t="str">
        <f t="shared" si="2"/>
        <v>(n): cà phê</v>
      </c>
      <c r="G674" s="6" t="s">
        <v>40259</v>
      </c>
      <c r="H674" s="6" t="s">
        <v>40260</v>
      </c>
      <c r="I674" s="7">
        <f t="shared" si="3"/>
        <v>0.8408697261</v>
      </c>
    </row>
    <row r="675">
      <c r="A675" s="4">
        <v>675.0</v>
      </c>
      <c r="B675" s="3" t="s">
        <v>40261</v>
      </c>
      <c r="C675" s="6" t="s">
        <v>74</v>
      </c>
      <c r="D675" s="6" t="s">
        <v>7024</v>
      </c>
      <c r="E675" s="3" t="str">
        <f t="shared" si="1"/>
        <v>position&lt;br&gt;&lt;div class="audio"&gt;[sound:position.mp3]&lt;/div&gt;</v>
      </c>
      <c r="F675" s="3" t="str">
        <f t="shared" si="2"/>
        <v>(n): vị trí</v>
      </c>
      <c r="G675" s="6" t="s">
        <v>40262</v>
      </c>
      <c r="H675" s="6" t="s">
        <v>40263</v>
      </c>
      <c r="I675" s="7">
        <f t="shared" si="3"/>
        <v>0.5897808198</v>
      </c>
    </row>
    <row r="676">
      <c r="A676" s="4">
        <v>676.0</v>
      </c>
      <c r="B676" s="3" t="s">
        <v>40264</v>
      </c>
      <c r="C676" s="6" t="s">
        <v>74</v>
      </c>
      <c r="D676" s="6" t="s">
        <v>38716</v>
      </c>
      <c r="E676" s="3" t="str">
        <f t="shared" si="1"/>
        <v>figure&lt;br&gt;&lt;div class="audio"&gt;[sound:figure.mp3]&lt;/div&gt;</v>
      </c>
      <c r="F676" s="3" t="str">
        <f t="shared" si="2"/>
        <v>(n): con số</v>
      </c>
      <c r="G676" s="6" t="s">
        <v>40265</v>
      </c>
      <c r="H676" s="6" t="s">
        <v>40266</v>
      </c>
      <c r="I676" s="7">
        <f t="shared" si="3"/>
        <v>0.6787823282</v>
      </c>
    </row>
    <row r="677">
      <c r="A677" s="4">
        <v>677.0</v>
      </c>
      <c r="B677" s="3" t="s">
        <v>40267</v>
      </c>
      <c r="C677" s="6" t="s">
        <v>74</v>
      </c>
      <c r="D677" s="6" t="s">
        <v>7035</v>
      </c>
      <c r="E677" s="3" t="str">
        <f t="shared" si="1"/>
        <v>effort&lt;br&gt;&lt;div class="audio"&gt;[sound:effort.mp3]&lt;/div&gt;</v>
      </c>
      <c r="F677" s="3" t="str">
        <f t="shared" si="2"/>
        <v>(n): nỗ lực</v>
      </c>
      <c r="G677" s="6" t="s">
        <v>40268</v>
      </c>
      <c r="H677" s="6" t="s">
        <v>40269</v>
      </c>
      <c r="I677" s="7">
        <f t="shared" si="3"/>
        <v>0.8580941417</v>
      </c>
    </row>
    <row r="678">
      <c r="A678" s="4">
        <v>678.0</v>
      </c>
      <c r="B678" s="3" t="s">
        <v>40270</v>
      </c>
      <c r="C678" s="6" t="s">
        <v>74</v>
      </c>
      <c r="D678" s="8" t="s">
        <v>2889</v>
      </c>
      <c r="E678" s="3" t="str">
        <f t="shared" si="1"/>
        <v>summer&lt;br&gt;&lt;div class="audio"&gt;[sound:summer.mp3]&lt;/div&gt;</v>
      </c>
      <c r="F678" s="3" t="str">
        <f t="shared" si="2"/>
        <v>(n): mùa hè</v>
      </c>
      <c r="G678" s="8" t="s">
        <v>40271</v>
      </c>
      <c r="H678" s="8" t="s">
        <v>40272</v>
      </c>
      <c r="I678" s="7">
        <f t="shared" si="3"/>
        <v>0.8714731538</v>
      </c>
    </row>
    <row r="679">
      <c r="A679" s="4">
        <v>679.0</v>
      </c>
      <c r="B679" s="3" t="s">
        <v>40273</v>
      </c>
      <c r="C679" s="6" t="s">
        <v>74</v>
      </c>
      <c r="D679" s="6" t="s">
        <v>40274</v>
      </c>
      <c r="E679" s="3" t="str">
        <f t="shared" si="1"/>
        <v>brain&lt;br&gt;&lt;div class="audio"&gt;[sound:brain.mp3]&lt;/div&gt;</v>
      </c>
      <c r="F679" s="3" t="str">
        <f t="shared" si="2"/>
        <v>(n): bộ não</v>
      </c>
      <c r="G679" s="6" t="s">
        <v>40275</v>
      </c>
      <c r="H679" s="6" t="s">
        <v>40276</v>
      </c>
      <c r="I679" s="7">
        <f t="shared" si="3"/>
        <v>0.5002626802</v>
      </c>
    </row>
    <row r="680">
      <c r="A680" s="4">
        <v>680.0</v>
      </c>
      <c r="B680" s="3" t="s">
        <v>40277</v>
      </c>
      <c r="C680" s="6" t="s">
        <v>74</v>
      </c>
      <c r="D680" s="8" t="s">
        <v>27582</v>
      </c>
      <c r="E680" s="3" t="str">
        <f t="shared" si="1"/>
        <v>secretary&lt;br&gt;&lt;div class="audio"&gt;[sound:secretary.mp3]&lt;/div&gt;</v>
      </c>
      <c r="F680" s="3" t="str">
        <f t="shared" si="2"/>
        <v>(n): thư ký</v>
      </c>
      <c r="G680" s="8" t="s">
        <v>40278</v>
      </c>
      <c r="H680" s="8" t="s">
        <v>40279</v>
      </c>
      <c r="I680" s="7">
        <f t="shared" si="3"/>
        <v>0.8287177416</v>
      </c>
    </row>
    <row r="681">
      <c r="A681" s="4">
        <v>681.0</v>
      </c>
      <c r="B681" s="3" t="s">
        <v>40280</v>
      </c>
      <c r="C681" s="6" t="s">
        <v>74</v>
      </c>
      <c r="D681" s="6" t="s">
        <v>40281</v>
      </c>
      <c r="E681" s="3" t="str">
        <f t="shared" si="1"/>
        <v>level&lt;br&gt;&lt;div class="audio"&gt;[sound:level.mp3]&lt;/div&gt;</v>
      </c>
      <c r="F681" s="3" t="str">
        <f t="shared" si="2"/>
        <v>(n): cấp độ</v>
      </c>
      <c r="G681" s="6" t="s">
        <v>40282</v>
      </c>
      <c r="H681" s="6" t="s">
        <v>40283</v>
      </c>
      <c r="I681" s="7">
        <f t="shared" si="3"/>
        <v>0.4932359078</v>
      </c>
    </row>
    <row r="682">
      <c r="A682" s="4">
        <v>682.0</v>
      </c>
      <c r="B682" s="3" t="s">
        <v>40284</v>
      </c>
      <c r="C682" s="6" t="s">
        <v>85</v>
      </c>
      <c r="D682" s="6" t="s">
        <v>1015</v>
      </c>
      <c r="E682" s="3" t="str">
        <f t="shared" si="1"/>
        <v>therefore&lt;br&gt;&lt;div class="audio"&gt;[sound:therefore.mp3]&lt;/div&gt;</v>
      </c>
      <c r="F682" s="3" t="str">
        <f t="shared" si="2"/>
        <v>(adv): do đó</v>
      </c>
      <c r="G682" s="6" t="s">
        <v>40285</v>
      </c>
      <c r="H682" s="6" t="s">
        <v>40286</v>
      </c>
      <c r="I682" s="7">
        <f t="shared" si="3"/>
        <v>0.6810318803</v>
      </c>
    </row>
    <row r="683">
      <c r="A683" s="4">
        <v>683.0</v>
      </c>
      <c r="B683" s="3" t="s">
        <v>40287</v>
      </c>
      <c r="C683" s="6" t="s">
        <v>74</v>
      </c>
      <c r="D683" s="6" t="s">
        <v>3115</v>
      </c>
      <c r="E683" s="3" t="str">
        <f t="shared" si="1"/>
        <v>husband&lt;br&gt;&lt;div class="audio"&gt;[sound:husband.mp3]&lt;/div&gt;</v>
      </c>
      <c r="F683" s="3" t="str">
        <f t="shared" si="2"/>
        <v>(n): chồng</v>
      </c>
      <c r="G683" s="6" t="s">
        <v>40288</v>
      </c>
      <c r="H683" s="6" t="s">
        <v>40289</v>
      </c>
      <c r="I683" s="7">
        <f t="shared" si="3"/>
        <v>0.3599969761</v>
      </c>
    </row>
    <row r="684">
      <c r="A684" s="4">
        <v>684.0</v>
      </c>
      <c r="B684" s="3" t="s">
        <v>40290</v>
      </c>
      <c r="C684" s="6" t="s">
        <v>11</v>
      </c>
      <c r="D684" s="6" t="s">
        <v>40291</v>
      </c>
      <c r="E684" s="3" t="str">
        <f t="shared" si="1"/>
        <v>primary&lt;br&gt;&lt;div class="audio"&gt;[sound:primary.mp3]&lt;/div&gt;</v>
      </c>
      <c r="F684" s="3" t="str">
        <f t="shared" si="2"/>
        <v>(adj): chính</v>
      </c>
      <c r="G684" s="6" t="s">
        <v>40292</v>
      </c>
      <c r="H684" s="6" t="s">
        <v>40293</v>
      </c>
      <c r="I684" s="7">
        <f t="shared" si="3"/>
        <v>0.624219967</v>
      </c>
    </row>
    <row r="685">
      <c r="A685" s="4">
        <v>685.0</v>
      </c>
      <c r="B685" s="3" t="s">
        <v>40294</v>
      </c>
      <c r="C685" s="6" t="s">
        <v>74</v>
      </c>
      <c r="D685" s="6" t="s">
        <v>40295</v>
      </c>
      <c r="E685" s="3" t="str">
        <f t="shared" si="1"/>
        <v>television&lt;br&gt;&lt;div class="audio"&gt;[sound:television.mp3]&lt;/div&gt;</v>
      </c>
      <c r="F685" s="3" t="str">
        <f t="shared" si="2"/>
        <v>(n): ti vi</v>
      </c>
      <c r="G685" s="6" t="s">
        <v>40296</v>
      </c>
      <c r="H685" s="6" t="s">
        <v>40297</v>
      </c>
      <c r="I685" s="7">
        <f t="shared" si="3"/>
        <v>0.7954486042</v>
      </c>
    </row>
    <row r="686">
      <c r="A686" s="4">
        <v>686.0</v>
      </c>
      <c r="B686" s="3" t="s">
        <v>40298</v>
      </c>
      <c r="C686" s="6" t="s">
        <v>85</v>
      </c>
      <c r="D686" s="6" t="s">
        <v>222</v>
      </c>
      <c r="E686" s="3" t="str">
        <f t="shared" si="1"/>
        <v>yet&lt;br&gt;&lt;div class="audio"&gt;[sound:yet.mp3]&lt;/div&gt;</v>
      </c>
      <c r="F686" s="3" t="str">
        <f t="shared" si="2"/>
        <v>(adv): chưa</v>
      </c>
      <c r="G686" s="6" t="s">
        <v>40299</v>
      </c>
      <c r="H686" s="6" t="s">
        <v>40300</v>
      </c>
      <c r="I686" s="7">
        <f t="shared" si="3"/>
        <v>0.356592411</v>
      </c>
    </row>
    <row r="687">
      <c r="A687" s="4">
        <v>687.0</v>
      </c>
      <c r="B687" s="3" t="s">
        <v>40301</v>
      </c>
      <c r="C687" s="6" t="s">
        <v>74</v>
      </c>
      <c r="D687" s="6" t="s">
        <v>5010</v>
      </c>
      <c r="E687" s="3" t="str">
        <f t="shared" si="1"/>
        <v>film&lt;br&gt;&lt;div class="audio"&gt;[sound:film.mp3]&lt;/div&gt;</v>
      </c>
      <c r="F687" s="3" t="str">
        <f t="shared" si="2"/>
        <v>(n): phim</v>
      </c>
      <c r="G687" s="6" t="s">
        <v>40302</v>
      </c>
      <c r="H687" s="6" t="s">
        <v>40303</v>
      </c>
      <c r="I687" s="7">
        <f t="shared" si="3"/>
        <v>0.2235243298</v>
      </c>
    </row>
    <row r="688">
      <c r="A688" s="4">
        <v>688.0</v>
      </c>
      <c r="B688" s="3" t="s">
        <v>40304</v>
      </c>
      <c r="C688" s="6" t="s">
        <v>74</v>
      </c>
      <c r="D688" s="6" t="s">
        <v>3801</v>
      </c>
      <c r="E688" s="3" t="str">
        <f t="shared" si="1"/>
        <v>paper&lt;br&gt;&lt;div class="audio"&gt;[sound:paper.mp3]&lt;/div&gt;</v>
      </c>
      <c r="F688" s="3" t="str">
        <f t="shared" si="2"/>
        <v>(n): giấy</v>
      </c>
      <c r="G688" s="6" t="s">
        <v>40305</v>
      </c>
      <c r="H688" s="6" t="s">
        <v>40306</v>
      </c>
      <c r="I688" s="7">
        <f t="shared" si="3"/>
        <v>0.9502377644</v>
      </c>
    </row>
    <row r="689">
      <c r="A689" s="4">
        <v>689.0</v>
      </c>
      <c r="B689" s="3" t="s">
        <v>40307</v>
      </c>
      <c r="C689" s="6" t="s">
        <v>24</v>
      </c>
      <c r="D689" s="6" t="s">
        <v>13256</v>
      </c>
      <c r="E689" s="3" t="str">
        <f t="shared" si="1"/>
        <v>kill&lt;br&gt;&lt;div class="audio"&gt;[sound:kill.mp3]&lt;/div&gt;</v>
      </c>
      <c r="F689" s="3" t="str">
        <f t="shared" si="2"/>
        <v>(v): giết</v>
      </c>
      <c r="G689" s="6" t="s">
        <v>40308</v>
      </c>
      <c r="H689" s="6" t="s">
        <v>40309</v>
      </c>
      <c r="I689" s="7">
        <f t="shared" si="3"/>
        <v>0.5794275496</v>
      </c>
    </row>
    <row r="690">
      <c r="A690" s="4">
        <v>690.0</v>
      </c>
      <c r="B690" s="3" t="s">
        <v>40310</v>
      </c>
      <c r="C690" s="6" t="s">
        <v>24</v>
      </c>
      <c r="D690" s="6" t="s">
        <v>3016</v>
      </c>
      <c r="E690" s="3" t="str">
        <f t="shared" si="1"/>
        <v>blow&lt;br&gt;&lt;div class="audio"&gt;[sound:blow.mp3]&lt;/div&gt;</v>
      </c>
      <c r="F690" s="3" t="str">
        <f t="shared" si="2"/>
        <v>(v): thổi</v>
      </c>
      <c r="G690" s="6" t="s">
        <v>40311</v>
      </c>
      <c r="H690" s="6" t="s">
        <v>40312</v>
      </c>
      <c r="I690" s="7">
        <f t="shared" si="3"/>
        <v>0.9068736585</v>
      </c>
    </row>
    <row r="691">
      <c r="A691" s="4">
        <v>691.0</v>
      </c>
      <c r="B691" s="3" t="s">
        <v>40313</v>
      </c>
      <c r="C691" s="6" t="s">
        <v>11</v>
      </c>
      <c r="D691" s="6" t="s">
        <v>1360</v>
      </c>
      <c r="E691" s="3" t="str">
        <f t="shared" si="1"/>
        <v>heavy&lt;br&gt;&lt;div class="audio"&gt;[sound:heavy.mp3]&lt;/div&gt;</v>
      </c>
      <c r="F691" s="3" t="str">
        <f t="shared" si="2"/>
        <v>(adj): nặng</v>
      </c>
      <c r="G691" s="6" t="s">
        <v>40314</v>
      </c>
      <c r="H691" s="6" t="s">
        <v>40315</v>
      </c>
      <c r="I691" s="7">
        <f t="shared" si="3"/>
        <v>0.9629405363</v>
      </c>
    </row>
    <row r="692">
      <c r="A692" s="4">
        <v>692.0</v>
      </c>
      <c r="B692" s="3" t="s">
        <v>40316</v>
      </c>
      <c r="C692" s="6" t="s">
        <v>74</v>
      </c>
      <c r="D692" s="6" t="s">
        <v>40317</v>
      </c>
      <c r="E692" s="3" t="str">
        <f t="shared" si="1"/>
        <v>minute&lt;br&gt;&lt;div class="audio"&gt;[sound:minute.mp3]&lt;/div&gt;</v>
      </c>
      <c r="F692" s="3" t="str">
        <f t="shared" si="2"/>
        <v>(n): phút</v>
      </c>
      <c r="G692" s="6" t="s">
        <v>40318</v>
      </c>
      <c r="H692" s="6" t="s">
        <v>40319</v>
      </c>
      <c r="I692" s="7">
        <f t="shared" si="3"/>
        <v>0.3336339218</v>
      </c>
    </row>
    <row r="693">
      <c r="A693" s="4">
        <v>693.0</v>
      </c>
      <c r="B693" s="3" t="s">
        <v>40320</v>
      </c>
      <c r="C693" s="6" t="s">
        <v>74</v>
      </c>
      <c r="D693" s="6" t="s">
        <v>13051</v>
      </c>
      <c r="E693" s="3" t="str">
        <f t="shared" si="1"/>
        <v>type&lt;br&gt;&lt;div class="audio"&gt;[sound:type.mp3]&lt;/div&gt;</v>
      </c>
      <c r="F693" s="3" t="str">
        <f t="shared" si="2"/>
        <v>(n): loại</v>
      </c>
      <c r="G693" s="6" t="s">
        <v>40321</v>
      </c>
      <c r="H693" s="6" t="s">
        <v>40322</v>
      </c>
      <c r="I693" s="7">
        <f t="shared" si="3"/>
        <v>0.3900935946</v>
      </c>
    </row>
    <row r="694">
      <c r="A694" s="4">
        <v>694.0</v>
      </c>
      <c r="B694" s="3" t="s">
        <v>40323</v>
      </c>
      <c r="C694" s="6" t="s">
        <v>74</v>
      </c>
      <c r="D694" s="6" t="s">
        <v>15085</v>
      </c>
      <c r="E694" s="3" t="str">
        <f t="shared" si="1"/>
        <v>bottom&lt;br&gt;&lt;div class="audio"&gt;[sound:bottom.mp3]&lt;/div&gt;</v>
      </c>
      <c r="F694" s="3" t="str">
        <f t="shared" si="2"/>
        <v>(n): đáy</v>
      </c>
      <c r="G694" s="6" t="s">
        <v>40324</v>
      </c>
      <c r="H694" s="6" t="s">
        <v>40325</v>
      </c>
      <c r="I694" s="7">
        <f t="shared" si="3"/>
        <v>0.4676859793</v>
      </c>
    </row>
    <row r="695">
      <c r="A695" s="4">
        <v>695.0</v>
      </c>
      <c r="B695" s="3" t="s">
        <v>40326</v>
      </c>
      <c r="C695" s="6" t="s">
        <v>24</v>
      </c>
      <c r="D695" s="8" t="s">
        <v>40327</v>
      </c>
      <c r="E695" s="3" t="str">
        <f t="shared" si="1"/>
        <v>shake&lt;br&gt;&lt;div class="audio"&gt;[sound:shake.mp3]&lt;/div&gt;</v>
      </c>
      <c r="F695" s="3" t="str">
        <f t="shared" si="2"/>
        <v>(v): lắc</v>
      </c>
      <c r="G695" s="8" t="s">
        <v>40328</v>
      </c>
      <c r="H695" s="8" t="s">
        <v>40329</v>
      </c>
      <c r="I695" s="7">
        <f t="shared" si="3"/>
        <v>0.1469627205</v>
      </c>
    </row>
    <row r="696">
      <c r="A696" s="4">
        <v>696.0</v>
      </c>
      <c r="B696" s="3" t="s">
        <v>40330</v>
      </c>
      <c r="C696" s="6" t="s">
        <v>11</v>
      </c>
      <c r="D696" s="6" t="s">
        <v>2923</v>
      </c>
      <c r="E696" s="3" t="str">
        <f t="shared" si="1"/>
        <v>young&lt;br&gt;&lt;div class="audio"&gt;[sound:young.mp3]&lt;/div&gt;</v>
      </c>
      <c r="F696" s="3" t="str">
        <f t="shared" si="2"/>
        <v>(adj): trẻ</v>
      </c>
      <c r="G696" s="6" t="s">
        <v>40331</v>
      </c>
      <c r="H696" s="6" t="s">
        <v>40332</v>
      </c>
      <c r="I696" s="7">
        <f t="shared" si="3"/>
        <v>0.5919470257</v>
      </c>
    </row>
    <row r="697">
      <c r="A697" s="4">
        <v>697.0</v>
      </c>
      <c r="B697" s="3" t="s">
        <v>40333</v>
      </c>
      <c r="C697" s="6" t="s">
        <v>74</v>
      </c>
      <c r="D697" s="8" t="s">
        <v>40334</v>
      </c>
      <c r="E697" s="3" t="str">
        <f t="shared" si="1"/>
        <v>ship&lt;br&gt;&lt;div class="audio"&gt;[sound:ship.mp3]&lt;/div&gt;</v>
      </c>
      <c r="F697" s="3" t="str">
        <f t="shared" si="2"/>
        <v>(n): tàu</v>
      </c>
      <c r="G697" s="8" t="s">
        <v>40335</v>
      </c>
      <c r="H697" s="8" t="s">
        <v>40336</v>
      </c>
      <c r="I697" s="7">
        <f t="shared" si="3"/>
        <v>0.8899165408</v>
      </c>
    </row>
    <row r="698">
      <c r="A698" s="4">
        <v>698.0</v>
      </c>
      <c r="B698" s="3" t="s">
        <v>40337</v>
      </c>
      <c r="C698" s="6" t="s">
        <v>74</v>
      </c>
      <c r="D698" s="6" t="s">
        <v>1833</v>
      </c>
      <c r="E698" s="3" t="str">
        <f t="shared" si="1"/>
        <v>land&lt;br&gt;&lt;div class="audio"&gt;[sound:land.mp3]&lt;/div&gt;</v>
      </c>
      <c r="F698" s="3" t="str">
        <f t="shared" si="2"/>
        <v>(n): đất</v>
      </c>
      <c r="G698" s="6" t="s">
        <v>40338</v>
      </c>
      <c r="H698" s="6" t="s">
        <v>40339</v>
      </c>
      <c r="I698" s="7">
        <f t="shared" si="3"/>
        <v>0.4566345722</v>
      </c>
    </row>
    <row r="699">
      <c r="A699" s="4">
        <v>699.0</v>
      </c>
      <c r="B699" s="3" t="s">
        <v>40340</v>
      </c>
      <c r="C699" s="6" t="s">
        <v>74</v>
      </c>
      <c r="D699" s="6" t="s">
        <v>40341</v>
      </c>
      <c r="E699" s="3" t="str">
        <f t="shared" si="1"/>
        <v>force&lt;br&gt;&lt;div class="audio"&gt;[sound:force.mp3]&lt;/div&gt;</v>
      </c>
      <c r="F699" s="3" t="str">
        <f t="shared" si="2"/>
        <v>(n): lực</v>
      </c>
      <c r="G699" s="6" t="s">
        <v>40342</v>
      </c>
      <c r="H699" s="6" t="s">
        <v>40343</v>
      </c>
      <c r="I699" s="7">
        <f t="shared" si="3"/>
        <v>0.7633305597</v>
      </c>
    </row>
    <row r="700">
      <c r="A700" s="4">
        <v>700.0</v>
      </c>
      <c r="B700" s="3" t="s">
        <v>40344</v>
      </c>
      <c r="C700" s="6" t="s">
        <v>74</v>
      </c>
      <c r="D700" s="6" t="s">
        <v>40345</v>
      </c>
      <c r="E700" s="3" t="str">
        <f t="shared" si="1"/>
        <v>price&lt;br&gt;&lt;div class="audio"&gt;[sound:price.mp3]&lt;/div&gt;</v>
      </c>
      <c r="F700" s="3" t="str">
        <f t="shared" si="2"/>
        <v>(n): giá</v>
      </c>
      <c r="G700" s="6" t="s">
        <v>40346</v>
      </c>
      <c r="H700" s="6" t="s">
        <v>40347</v>
      </c>
      <c r="I700" s="7">
        <f t="shared" si="3"/>
        <v>0.9703321249</v>
      </c>
    </row>
    <row r="701">
      <c r="A701" s="4">
        <v>701.0</v>
      </c>
      <c r="B701" s="3" t="s">
        <v>40348</v>
      </c>
      <c r="C701" s="6" t="s">
        <v>74</v>
      </c>
      <c r="D701" s="8" t="s">
        <v>7247</v>
      </c>
      <c r="E701" s="3" t="str">
        <f t="shared" si="1"/>
        <v>sentence&lt;br&gt;&lt;div class="audio"&gt;[sound:sentence.mp3]&lt;/div&gt;</v>
      </c>
      <c r="F701" s="3" t="str">
        <f t="shared" si="2"/>
        <v>(n): câu</v>
      </c>
      <c r="G701" s="8" t="s">
        <v>40349</v>
      </c>
      <c r="H701" s="8" t="s">
        <v>40350</v>
      </c>
      <c r="I701" s="7">
        <f t="shared" si="3"/>
        <v>0.2438250535</v>
      </c>
    </row>
    <row r="702">
      <c r="A702" s="4">
        <v>702.0</v>
      </c>
      <c r="B702" s="3" t="s">
        <v>40351</v>
      </c>
      <c r="C702" s="6" t="s">
        <v>74</v>
      </c>
      <c r="D702" s="6" t="s">
        <v>15246</v>
      </c>
      <c r="E702" s="3" t="str">
        <f t="shared" si="1"/>
        <v>degree&lt;br&gt;&lt;div class="audio"&gt;[sound:degree.mp3]&lt;/div&gt;</v>
      </c>
      <c r="F702" s="3" t="str">
        <f t="shared" si="2"/>
        <v>(n): bằng cấp</v>
      </c>
      <c r="G702" s="6" t="s">
        <v>40352</v>
      </c>
      <c r="H702" s="6" t="s">
        <v>40353</v>
      </c>
      <c r="I702" s="7">
        <f t="shared" si="3"/>
        <v>0.2951802455</v>
      </c>
    </row>
    <row r="703">
      <c r="A703" s="4">
        <v>703.0</v>
      </c>
      <c r="B703" s="3" t="s">
        <v>40354</v>
      </c>
      <c r="C703" s="6" t="s">
        <v>24</v>
      </c>
      <c r="D703" s="6" t="s">
        <v>40355</v>
      </c>
      <c r="E703" s="3" t="str">
        <f t="shared" si="1"/>
        <v>drop&lt;br&gt;&lt;div class="audio"&gt;[sound:drop.mp3]&lt;/div&gt;</v>
      </c>
      <c r="F703" s="3" t="str">
        <f t="shared" si="2"/>
        <v>(v): làm rơi</v>
      </c>
      <c r="G703" s="6" t="s">
        <v>40356</v>
      </c>
      <c r="H703" s="6" t="s">
        <v>40357</v>
      </c>
      <c r="I703" s="7">
        <f t="shared" si="3"/>
        <v>0.9477812808</v>
      </c>
    </row>
    <row r="704">
      <c r="A704" s="4">
        <v>704.0</v>
      </c>
      <c r="B704" s="3" t="s">
        <v>40358</v>
      </c>
      <c r="C704" s="6" t="s">
        <v>74</v>
      </c>
      <c r="D704" s="6" t="s">
        <v>40047</v>
      </c>
      <c r="E704" s="3" t="str">
        <f t="shared" si="1"/>
        <v>university&lt;br&gt;&lt;div class="audio"&gt;[sound:university.mp3]&lt;/div&gt;</v>
      </c>
      <c r="F704" s="3" t="str">
        <f t="shared" si="2"/>
        <v>(n): trường đại học</v>
      </c>
      <c r="G704" s="6" t="s">
        <v>40359</v>
      </c>
      <c r="H704" s="6" t="s">
        <v>40360</v>
      </c>
      <c r="I704" s="7">
        <f t="shared" si="3"/>
        <v>0.7973511266</v>
      </c>
    </row>
    <row r="705">
      <c r="A705" s="4">
        <v>705.0</v>
      </c>
      <c r="B705" s="3" t="s">
        <v>40361</v>
      </c>
      <c r="C705" s="6" t="s">
        <v>74</v>
      </c>
      <c r="D705" s="6" t="s">
        <v>40362</v>
      </c>
      <c r="E705" s="3" t="str">
        <f t="shared" si="1"/>
        <v>july&lt;br&gt;&lt;div class="audio"&gt;[sound:july.mp3]&lt;/div&gt;</v>
      </c>
      <c r="F705" s="3" t="str">
        <f t="shared" si="2"/>
        <v>(n): tháng bảy</v>
      </c>
      <c r="G705" s="6" t="s">
        <v>40363</v>
      </c>
      <c r="H705" s="6" t="s">
        <v>40364</v>
      </c>
      <c r="I705" s="7">
        <f t="shared" si="3"/>
        <v>0.2376950005</v>
      </c>
    </row>
    <row r="706">
      <c r="A706" s="4">
        <v>706.0</v>
      </c>
      <c r="B706" s="3" t="s">
        <v>40365</v>
      </c>
      <c r="C706" s="6" t="s">
        <v>74</v>
      </c>
      <c r="D706" s="6" t="s">
        <v>40366</v>
      </c>
      <c r="E706" s="3" t="str">
        <f t="shared" si="1"/>
        <v>june&lt;br&gt;&lt;div class="audio"&gt;[sound:june.mp3]&lt;/div&gt;</v>
      </c>
      <c r="F706" s="3" t="str">
        <f t="shared" si="2"/>
        <v>(n): tháng sáu</v>
      </c>
      <c r="G706" s="6" t="s">
        <v>40367</v>
      </c>
      <c r="H706" s="6" t="s">
        <v>40368</v>
      </c>
      <c r="I706" s="7">
        <f t="shared" si="3"/>
        <v>0.1178871979</v>
      </c>
    </row>
    <row r="707">
      <c r="A707" s="4">
        <v>707.0</v>
      </c>
      <c r="B707" s="3" t="s">
        <v>40369</v>
      </c>
      <c r="C707" s="6" t="s">
        <v>74</v>
      </c>
      <c r="D707" s="6" t="s">
        <v>14431</v>
      </c>
      <c r="E707" s="3" t="str">
        <f t="shared" si="1"/>
        <v>task&lt;br&gt;&lt;div class="audio"&gt;[sound:task.mp3]&lt;/div&gt;</v>
      </c>
      <c r="F707" s="3" t="str">
        <f t="shared" si="2"/>
        <v>(n): nhiệm vụ</v>
      </c>
      <c r="G707" s="6" t="s">
        <v>40370</v>
      </c>
      <c r="H707" s="6" t="s">
        <v>40371</v>
      </c>
      <c r="I707" s="7">
        <f t="shared" si="3"/>
        <v>0.5674072152</v>
      </c>
    </row>
    <row r="708">
      <c r="A708" s="4">
        <v>708.0</v>
      </c>
      <c r="B708" s="3" t="s">
        <v>40372</v>
      </c>
      <c r="C708" s="6" t="s">
        <v>74</v>
      </c>
      <c r="D708" s="6" t="s">
        <v>4554</v>
      </c>
      <c r="E708" s="3" t="str">
        <f t="shared" si="1"/>
        <v>detail&lt;br&gt;&lt;div class="audio"&gt;[sound:detail.mp3]&lt;/div&gt;</v>
      </c>
      <c r="F708" s="3" t="str">
        <f t="shared" si="2"/>
        <v>(n): chi tiết</v>
      </c>
      <c r="G708" s="6" t="s">
        <v>40373</v>
      </c>
      <c r="H708" s="6" t="s">
        <v>40374</v>
      </c>
      <c r="I708" s="7">
        <f t="shared" si="3"/>
        <v>0.07016536981</v>
      </c>
    </row>
    <row r="709">
      <c r="A709" s="4">
        <v>709.0</v>
      </c>
      <c r="B709" s="3" t="s">
        <v>40375</v>
      </c>
      <c r="C709" s="6" t="s">
        <v>11</v>
      </c>
      <c r="D709" s="6" t="s">
        <v>40376</v>
      </c>
      <c r="E709" s="3" t="str">
        <f t="shared" si="1"/>
        <v>global&lt;br&gt;&lt;div class="audio"&gt;[sound:global.mp3]&lt;/div&gt;</v>
      </c>
      <c r="F709" s="3" t="str">
        <f t="shared" si="2"/>
        <v>(adj): toàn cầu</v>
      </c>
      <c r="G709" s="6" t="s">
        <v>40377</v>
      </c>
      <c r="H709" s="6" t="s">
        <v>40378</v>
      </c>
      <c r="I709" s="7">
        <f t="shared" si="3"/>
        <v>0.2541044264</v>
      </c>
    </row>
    <row r="710">
      <c r="A710" s="4">
        <v>710.0</v>
      </c>
      <c r="B710" s="3" t="s">
        <v>40379</v>
      </c>
      <c r="C710" s="6" t="s">
        <v>74</v>
      </c>
      <c r="D710" s="6" t="s">
        <v>14785</v>
      </c>
      <c r="E710" s="3" t="str">
        <f t="shared" si="1"/>
        <v>doctor&lt;br&gt;&lt;div class="audio"&gt;[sound:doctor.mp3]&lt;/div&gt;</v>
      </c>
      <c r="F710" s="3" t="str">
        <f t="shared" si="2"/>
        <v>(n): bác sĩ</v>
      </c>
      <c r="G710" s="6" t="s">
        <v>40380</v>
      </c>
      <c r="H710" s="6" t="s">
        <v>40381</v>
      </c>
      <c r="I710" s="7">
        <f t="shared" si="3"/>
        <v>0.09669671331</v>
      </c>
    </row>
    <row r="711">
      <c r="A711" s="4">
        <v>711.0</v>
      </c>
      <c r="B711" s="3" t="s">
        <v>40382</v>
      </c>
      <c r="C711" s="6" t="s">
        <v>24</v>
      </c>
      <c r="D711" s="6" t="s">
        <v>8597</v>
      </c>
      <c r="E711" s="3" t="str">
        <f t="shared" si="1"/>
        <v>handle&lt;br&gt;&lt;div class="audio"&gt;[sound:handle.mp3]&lt;/div&gt;</v>
      </c>
      <c r="F711" s="3" t="str">
        <f t="shared" si="2"/>
        <v>(v): xử lý</v>
      </c>
      <c r="G711" s="6" t="s">
        <v>40383</v>
      </c>
      <c r="H711" s="6" t="s">
        <v>40384</v>
      </c>
      <c r="I711" s="7">
        <f t="shared" si="3"/>
        <v>0.8470247967</v>
      </c>
    </row>
    <row r="712">
      <c r="A712" s="4">
        <v>712.0</v>
      </c>
      <c r="B712" s="3" t="s">
        <v>40385</v>
      </c>
      <c r="C712" s="6" t="s">
        <v>74</v>
      </c>
      <c r="D712" s="6" t="s">
        <v>40295</v>
      </c>
      <c r="E712" s="3" t="str">
        <f t="shared" si="1"/>
        <v>tv&lt;br&gt;&lt;div class="audio"&gt;[sound:tv.mp3]&lt;/div&gt;</v>
      </c>
      <c r="F712" s="3" t="str">
        <f t="shared" si="2"/>
        <v>(n): ti vi</v>
      </c>
      <c r="G712" s="6" t="s">
        <v>40386</v>
      </c>
      <c r="H712" s="6" t="s">
        <v>40387</v>
      </c>
      <c r="I712" s="7">
        <f t="shared" si="3"/>
        <v>0.6658162817</v>
      </c>
    </row>
    <row r="713">
      <c r="A713" s="4">
        <v>713.0</v>
      </c>
      <c r="B713" s="3" t="s">
        <v>40388</v>
      </c>
      <c r="C713" s="6" t="s">
        <v>24</v>
      </c>
      <c r="D713" s="6" t="s">
        <v>16688</v>
      </c>
      <c r="E713" s="3" t="str">
        <f t="shared" si="1"/>
        <v>count&lt;br&gt;&lt;div class="audio"&gt;[sound:count.mp3]&lt;/div&gt;</v>
      </c>
      <c r="F713" s="3" t="str">
        <f t="shared" si="2"/>
        <v>(v): đếm</v>
      </c>
      <c r="G713" s="6" t="s">
        <v>40389</v>
      </c>
      <c r="H713" s="6" t="s">
        <v>40390</v>
      </c>
      <c r="I713" s="7">
        <f t="shared" si="3"/>
        <v>0.7729878463</v>
      </c>
    </row>
    <row r="714">
      <c r="A714" s="4">
        <v>714.0</v>
      </c>
      <c r="B714" s="3" t="s">
        <v>40391</v>
      </c>
      <c r="C714" s="6" t="s">
        <v>74</v>
      </c>
      <c r="D714" s="6" t="s">
        <v>36815</v>
      </c>
      <c r="E714" s="3" t="str">
        <f t="shared" si="1"/>
        <v>education&lt;br&gt;&lt;div class="audio"&gt;[sound:education.mp3]&lt;/div&gt;</v>
      </c>
      <c r="F714" s="3" t="str">
        <f t="shared" si="2"/>
        <v>(n): sự giáo dục</v>
      </c>
      <c r="G714" s="6" t="s">
        <v>40392</v>
      </c>
      <c r="H714" s="6" t="s">
        <v>40393</v>
      </c>
      <c r="I714" s="7">
        <f t="shared" si="3"/>
        <v>0.6223219735</v>
      </c>
    </row>
    <row r="715">
      <c r="A715" s="4">
        <v>715.0</v>
      </c>
      <c r="B715" s="3" t="s">
        <v>40394</v>
      </c>
      <c r="C715" s="6" t="s">
        <v>74</v>
      </c>
      <c r="D715" s="6" t="s">
        <v>40395</v>
      </c>
      <c r="E715" s="3" t="str">
        <f t="shared" si="1"/>
        <v>customer&lt;br&gt;&lt;div class="audio"&gt;[sound:customer.mp3]&lt;/div&gt;</v>
      </c>
      <c r="F715" s="3" t="str">
        <f t="shared" si="2"/>
        <v>(n): khách hàng</v>
      </c>
      <c r="G715" s="6" t="s">
        <v>40396</v>
      </c>
      <c r="H715" s="6" t="s">
        <v>40397</v>
      </c>
      <c r="I715" s="7">
        <f t="shared" si="3"/>
        <v>0.2242549413</v>
      </c>
    </row>
    <row r="716">
      <c r="A716" s="4">
        <v>716.0</v>
      </c>
      <c r="B716" s="3" t="s">
        <v>40398</v>
      </c>
      <c r="C716" s="6" t="s">
        <v>74</v>
      </c>
      <c r="D716" s="6" t="s">
        <v>40399</v>
      </c>
      <c r="E716" s="3" t="str">
        <f t="shared" si="1"/>
        <v>direction&lt;br&gt;&lt;div class="audio"&gt;[sound:direction.mp3]&lt;/div&gt;</v>
      </c>
      <c r="F716" s="3" t="str">
        <f t="shared" si="2"/>
        <v>(n): hướng</v>
      </c>
      <c r="G716" s="6" t="s">
        <v>40400</v>
      </c>
      <c r="H716" s="6" t="s">
        <v>40401</v>
      </c>
      <c r="I716" s="7">
        <f t="shared" si="3"/>
        <v>0.06766290449</v>
      </c>
    </row>
    <row r="717">
      <c r="A717" s="4">
        <v>717.0</v>
      </c>
      <c r="B717" s="3" t="s">
        <v>40402</v>
      </c>
      <c r="C717" s="6" t="s">
        <v>74</v>
      </c>
      <c r="D717" s="6" t="s">
        <v>40403</v>
      </c>
      <c r="E717" s="3" t="str">
        <f t="shared" si="1"/>
        <v>conversation&lt;br&gt;&lt;div class="audio"&gt;[sound:conversation.mp3]&lt;/div&gt;</v>
      </c>
      <c r="F717" s="3" t="str">
        <f t="shared" si="2"/>
        <v>(n): cuộc hội thoại</v>
      </c>
      <c r="G717" s="6" t="s">
        <v>40404</v>
      </c>
      <c r="H717" s="6" t="s">
        <v>40405</v>
      </c>
      <c r="I717" s="7">
        <f t="shared" si="3"/>
        <v>0.7650185382</v>
      </c>
    </row>
    <row r="718">
      <c r="A718" s="4">
        <v>718.0</v>
      </c>
      <c r="B718" s="3" t="s">
        <v>40406</v>
      </c>
      <c r="C718" s="6" t="s">
        <v>74</v>
      </c>
      <c r="D718" s="6" t="s">
        <v>40407</v>
      </c>
      <c r="E718" s="3" t="str">
        <f t="shared" si="1"/>
        <v>training&lt;br&gt;&lt;div class="audio"&gt;[sound:training.mp3]&lt;/div&gt;</v>
      </c>
      <c r="F718" s="3" t="str">
        <f t="shared" si="2"/>
        <v>(n): việc đào tạo</v>
      </c>
      <c r="G718" s="6" t="s">
        <v>40408</v>
      </c>
      <c r="H718" s="6" t="s">
        <v>40409</v>
      </c>
      <c r="I718" s="7">
        <f t="shared" si="3"/>
        <v>0.6053683245</v>
      </c>
    </row>
    <row r="719">
      <c r="A719" s="4">
        <v>719.0</v>
      </c>
      <c r="B719" s="3" t="s">
        <v>40410</v>
      </c>
      <c r="C719" s="6" t="s">
        <v>74</v>
      </c>
      <c r="D719" s="6" t="s">
        <v>4058</v>
      </c>
      <c r="E719" s="3" t="str">
        <f t="shared" si="1"/>
        <v>gift&lt;br&gt;&lt;div class="audio"&gt;[sound:gift.mp3]&lt;/div&gt;</v>
      </c>
      <c r="F719" s="3" t="str">
        <f t="shared" si="2"/>
        <v>(n): quà tặng</v>
      </c>
      <c r="G719" s="6" t="s">
        <v>40411</v>
      </c>
      <c r="H719" s="6" t="s">
        <v>40412</v>
      </c>
      <c r="I719" s="7">
        <f t="shared" si="3"/>
        <v>0.2723342757</v>
      </c>
    </row>
    <row r="720">
      <c r="A720" s="4">
        <v>720.0</v>
      </c>
      <c r="B720" s="3" t="s">
        <v>40413</v>
      </c>
      <c r="C720" s="6" t="s">
        <v>74</v>
      </c>
      <c r="D720" s="6" t="s">
        <v>7404</v>
      </c>
      <c r="E720" s="3" t="str">
        <f t="shared" si="1"/>
        <v>text&lt;br&gt;&lt;div class="audio"&gt;[sound:text.mp3]&lt;/div&gt;</v>
      </c>
      <c r="F720" s="3" t="str">
        <f t="shared" si="2"/>
        <v>(n): văn bản</v>
      </c>
      <c r="G720" s="6" t="s">
        <v>40414</v>
      </c>
      <c r="H720" s="6" t="s">
        <v>40415</v>
      </c>
      <c r="I720" s="7">
        <f t="shared" si="3"/>
        <v>0.5946775819</v>
      </c>
    </row>
    <row r="721">
      <c r="A721" s="4">
        <v>721.0</v>
      </c>
      <c r="B721" s="3" t="s">
        <v>40416</v>
      </c>
      <c r="C721" s="6" t="s">
        <v>24</v>
      </c>
      <c r="D721" s="6" t="s">
        <v>5344</v>
      </c>
      <c r="E721" s="3" t="str">
        <f t="shared" si="1"/>
        <v>treat&lt;br&gt;&lt;div class="audio"&gt;[sound:treat.mp3]&lt;/div&gt;</v>
      </c>
      <c r="F721" s="3" t="str">
        <f t="shared" si="2"/>
        <v>(v): đối xử</v>
      </c>
      <c r="G721" s="6" t="s">
        <v>40417</v>
      </c>
      <c r="H721" s="6" t="s">
        <v>40418</v>
      </c>
      <c r="I721" s="7">
        <f t="shared" si="3"/>
        <v>0.2019922736</v>
      </c>
    </row>
    <row r="722">
      <c r="A722" s="4">
        <v>722.0</v>
      </c>
      <c r="B722" s="3" t="s">
        <v>40419</v>
      </c>
      <c r="C722" s="6" t="s">
        <v>24</v>
      </c>
      <c r="D722" s="6" t="s">
        <v>40420</v>
      </c>
      <c r="E722" s="3" t="str">
        <f t="shared" si="1"/>
        <v>guess&lt;br&gt;&lt;div class="audio"&gt;[sound:guess.mp3]&lt;/div&gt;</v>
      </c>
      <c r="F722" s="3" t="str">
        <f t="shared" si="2"/>
        <v>(v): đoán</v>
      </c>
      <c r="G722" s="6" t="s">
        <v>40421</v>
      </c>
      <c r="H722" s="6" t="s">
        <v>40422</v>
      </c>
      <c r="I722" s="7">
        <f t="shared" si="3"/>
        <v>0.5865402384</v>
      </c>
    </row>
    <row r="723">
      <c r="A723" s="4">
        <v>723.0</v>
      </c>
      <c r="B723" s="3" t="s">
        <v>40423</v>
      </c>
      <c r="C723" s="6" t="s">
        <v>11</v>
      </c>
      <c r="D723" s="6" t="s">
        <v>8471</v>
      </c>
      <c r="E723" s="3" t="str">
        <f t="shared" si="1"/>
        <v>deep&lt;br&gt;&lt;div class="audio"&gt;[sound:deep.mp3]&lt;/div&gt;</v>
      </c>
      <c r="F723" s="3" t="str">
        <f t="shared" si="2"/>
        <v>(adj): sâu</v>
      </c>
      <c r="G723" s="6" t="s">
        <v>40424</v>
      </c>
      <c r="H723" s="6" t="s">
        <v>40425</v>
      </c>
      <c r="I723" s="7">
        <f t="shared" si="3"/>
        <v>0.8392471657</v>
      </c>
    </row>
    <row r="724">
      <c r="A724" s="4">
        <v>724.0</v>
      </c>
      <c r="B724" s="3" t="s">
        <v>40426</v>
      </c>
      <c r="C724" s="6" t="s">
        <v>74</v>
      </c>
      <c r="D724" s="6" t="s">
        <v>14821</v>
      </c>
      <c r="E724" s="3" t="str">
        <f t="shared" si="1"/>
        <v>dog&lt;br&gt;&lt;div class="audio"&gt;[sound:dog.mp3]&lt;/div&gt;</v>
      </c>
      <c r="F724" s="3" t="str">
        <f t="shared" si="2"/>
        <v>(n): chó</v>
      </c>
      <c r="G724" s="6" t="s">
        <v>40427</v>
      </c>
      <c r="H724" s="6" t="s">
        <v>31760</v>
      </c>
      <c r="I724" s="7">
        <f t="shared" si="3"/>
        <v>0.1261838781</v>
      </c>
    </row>
    <row r="725">
      <c r="A725" s="4">
        <v>725.0</v>
      </c>
      <c r="B725" s="3" t="s">
        <v>40428</v>
      </c>
      <c r="C725" s="6" t="s">
        <v>11</v>
      </c>
      <c r="D725" s="6" t="s">
        <v>10470</v>
      </c>
      <c r="E725" s="3" t="str">
        <f t="shared" si="1"/>
        <v>direct&lt;br&gt;&lt;div class="audio"&gt;[sound:direct.mp3]&lt;/div&gt;</v>
      </c>
      <c r="F725" s="3" t="str">
        <f t="shared" si="2"/>
        <v>(adj): trực tiếp</v>
      </c>
      <c r="G725" s="6" t="s">
        <v>40429</v>
      </c>
      <c r="H725" s="6" t="s">
        <v>40430</v>
      </c>
      <c r="I725" s="7">
        <f t="shared" si="3"/>
        <v>0.9211815469</v>
      </c>
    </row>
    <row r="726">
      <c r="A726" s="4">
        <v>726.0</v>
      </c>
      <c r="B726" s="3" t="s">
        <v>40431</v>
      </c>
      <c r="C726" s="6" t="s">
        <v>74</v>
      </c>
      <c r="D726" s="6" t="s">
        <v>40432</v>
      </c>
      <c r="E726" s="3" t="str">
        <f t="shared" si="1"/>
        <v>cup&lt;br&gt;&lt;div class="audio"&gt;[sound:cup.mp3]&lt;/div&gt;</v>
      </c>
      <c r="F726" s="3" t="str">
        <f t="shared" si="2"/>
        <v>(n): cái cốc</v>
      </c>
      <c r="G726" s="6" t="s">
        <v>40433</v>
      </c>
      <c r="H726" s="6" t="s">
        <v>40434</v>
      </c>
      <c r="I726" s="7">
        <f t="shared" si="3"/>
        <v>0.1783045189</v>
      </c>
    </row>
    <row r="727">
      <c r="A727" s="4">
        <v>727.0</v>
      </c>
      <c r="B727" s="3" t="s">
        <v>40435</v>
      </c>
      <c r="C727" s="6" t="s">
        <v>85</v>
      </c>
      <c r="D727" s="6" t="s">
        <v>40436</v>
      </c>
      <c r="E727" s="3" t="str">
        <f t="shared" si="1"/>
        <v>quickly&lt;br&gt;&lt;div class="audio"&gt;[sound:quickly.mp3]&lt;/div&gt;</v>
      </c>
      <c r="F727" s="3" t="str">
        <f t="shared" si="2"/>
        <v>(adv): một cách nhanh chóng</v>
      </c>
      <c r="G727" s="6" t="s">
        <v>40437</v>
      </c>
      <c r="H727" s="6" t="s">
        <v>40438</v>
      </c>
      <c r="I727" s="7">
        <f t="shared" si="3"/>
        <v>0.5175893656</v>
      </c>
    </row>
    <row r="728">
      <c r="A728" s="4">
        <v>728.0</v>
      </c>
      <c r="B728" s="3" t="s">
        <v>40439</v>
      </c>
      <c r="C728" s="6" t="s">
        <v>85</v>
      </c>
      <c r="D728" s="8" t="s">
        <v>40440</v>
      </c>
      <c r="E728" s="3" t="str">
        <f t="shared" si="1"/>
        <v>slightly&lt;br&gt;&lt;div class="audio"&gt;[sound:slightly.mp3]&lt;/div&gt;</v>
      </c>
      <c r="F728" s="3" t="str">
        <f t="shared" si="2"/>
        <v>(adv): một cách nhẹ nhàng</v>
      </c>
      <c r="G728" s="8" t="s">
        <v>40441</v>
      </c>
      <c r="H728" s="8" t="s">
        <v>40442</v>
      </c>
      <c r="I728" s="7">
        <f t="shared" si="3"/>
        <v>0.2257541481</v>
      </c>
    </row>
    <row r="729">
      <c r="A729" s="4">
        <v>729.0</v>
      </c>
      <c r="B729" s="3" t="s">
        <v>40443</v>
      </c>
      <c r="C729" s="6" t="s">
        <v>85</v>
      </c>
      <c r="D729" s="8" t="s">
        <v>40444</v>
      </c>
      <c r="E729" s="3" t="str">
        <f t="shared" si="1"/>
        <v>surely&lt;br&gt;&lt;div class="audio"&gt;[sound:surely.mp3]&lt;/div&gt;</v>
      </c>
      <c r="F729" s="3" t="str">
        <f t="shared" si="2"/>
        <v>(adv): một cách chắc chắn</v>
      </c>
      <c r="G729" s="8" t="s">
        <v>40445</v>
      </c>
      <c r="H729" s="8" t="s">
        <v>40446</v>
      </c>
      <c r="I729" s="7">
        <f t="shared" si="3"/>
        <v>0.2495747823</v>
      </c>
    </row>
    <row r="730">
      <c r="A730" s="4">
        <v>730.0</v>
      </c>
      <c r="B730" s="3" t="s">
        <v>40447</v>
      </c>
      <c r="C730" s="6" t="s">
        <v>85</v>
      </c>
      <c r="D730" s="8" t="s">
        <v>40448</v>
      </c>
      <c r="E730" s="3" t="str">
        <f t="shared" si="1"/>
        <v>significantly&lt;br&gt;&lt;div class="audio"&gt;[sound:significantly.mp3]&lt;/div&gt;</v>
      </c>
      <c r="F730" s="3" t="str">
        <f t="shared" si="2"/>
        <v>(adv): một cách đáng kể</v>
      </c>
      <c r="G730" s="8" t="s">
        <v>40449</v>
      </c>
      <c r="H730" s="8" t="s">
        <v>40450</v>
      </c>
      <c r="I730" s="7">
        <f t="shared" si="3"/>
        <v>0.5996368243</v>
      </c>
    </row>
    <row r="731">
      <c r="A731" s="4">
        <v>731.0</v>
      </c>
      <c r="B731" s="3" t="s">
        <v>40451</v>
      </c>
      <c r="C731" s="6" t="s">
        <v>11</v>
      </c>
      <c r="D731" s="6" t="s">
        <v>40452</v>
      </c>
      <c r="E731" s="3" t="str">
        <f t="shared" si="1"/>
        <v>financial&lt;br&gt;&lt;div class="audio"&gt;[sound:financial.mp3]&lt;/div&gt;</v>
      </c>
      <c r="F731" s="3" t="str">
        <f t="shared" si="2"/>
        <v>(adj): thuộc tài chính</v>
      </c>
      <c r="G731" s="6" t="s">
        <v>40453</v>
      </c>
      <c r="H731" s="6" t="s">
        <v>40454</v>
      </c>
      <c r="I731" s="7">
        <f t="shared" si="3"/>
        <v>0.1816437352</v>
      </c>
    </row>
    <row r="732">
      <c r="A732" s="4">
        <v>732.0</v>
      </c>
      <c r="B732" s="3" t="s">
        <v>40455</v>
      </c>
      <c r="C732" s="6" t="s">
        <v>11</v>
      </c>
      <c r="D732" s="6" t="s">
        <v>40456</v>
      </c>
      <c r="E732" s="3" t="str">
        <f t="shared" si="1"/>
        <v>political&lt;br&gt;&lt;div class="audio"&gt;[sound:political.mp3]&lt;/div&gt;</v>
      </c>
      <c r="F732" s="3" t="str">
        <f t="shared" si="2"/>
        <v>(adj): thuộc chính trị</v>
      </c>
      <c r="G732" s="6" t="s">
        <v>40457</v>
      </c>
      <c r="H732" s="6" t="s">
        <v>40458</v>
      </c>
      <c r="I732" s="7">
        <f t="shared" si="3"/>
        <v>0.3853662699</v>
      </c>
    </row>
    <row r="733">
      <c r="A733" s="4">
        <v>733.0</v>
      </c>
      <c r="B733" s="3" t="s">
        <v>40459</v>
      </c>
      <c r="C733" s="6" t="s">
        <v>74</v>
      </c>
      <c r="D733" s="6" t="s">
        <v>40460</v>
      </c>
      <c r="E733" s="3" t="str">
        <f t="shared" si="1"/>
        <v>leader&lt;br&gt;&lt;div class="audio"&gt;[sound:leader.mp3]&lt;/div&gt;</v>
      </c>
      <c r="F733" s="3" t="str">
        <f t="shared" si="2"/>
        <v>(n): người lãnh đạo</v>
      </c>
      <c r="G733" s="6" t="s">
        <v>40461</v>
      </c>
      <c r="H733" s="6" t="s">
        <v>40462</v>
      </c>
      <c r="I733" s="7">
        <f t="shared" si="3"/>
        <v>0.1191098605</v>
      </c>
    </row>
    <row r="734">
      <c r="A734" s="4">
        <v>734.0</v>
      </c>
      <c r="B734" s="3" t="s">
        <v>40463</v>
      </c>
      <c r="C734" s="6" t="s">
        <v>11</v>
      </c>
      <c r="D734" s="8" t="s">
        <v>40464</v>
      </c>
      <c r="E734" s="3" t="str">
        <f t="shared" si="1"/>
        <v>southern&lt;br&gt;&lt;div class="audio"&gt;[sound:southern.mp3]&lt;/div&gt;</v>
      </c>
      <c r="F734" s="3" t="str">
        <f t="shared" si="2"/>
        <v>(adj): thuộc phía nam</v>
      </c>
      <c r="G734" s="8" t="s">
        <v>40465</v>
      </c>
      <c r="H734" s="8" t="s">
        <v>40466</v>
      </c>
      <c r="I734" s="7">
        <f t="shared" si="3"/>
        <v>0.7109866571</v>
      </c>
    </row>
    <row r="735">
      <c r="A735" s="4">
        <v>735.0</v>
      </c>
      <c r="B735" s="3" t="s">
        <v>40467</v>
      </c>
      <c r="C735" s="6" t="s">
        <v>74</v>
      </c>
      <c r="D735" s="6" t="s">
        <v>40468</v>
      </c>
      <c r="E735" s="3" t="str">
        <f t="shared" si="1"/>
        <v>importance&lt;br&gt;&lt;div class="audio"&gt;[sound:importance.mp3]&lt;/div&gt;</v>
      </c>
      <c r="F735" s="3" t="str">
        <f t="shared" si="2"/>
        <v>(n): tầm quan trọng</v>
      </c>
      <c r="G735" s="6" t="s">
        <v>40469</v>
      </c>
      <c r="H735" s="6" t="s">
        <v>40470</v>
      </c>
      <c r="I735" s="7">
        <f t="shared" si="3"/>
        <v>0.6064689019</v>
      </c>
    </row>
    <row r="736">
      <c r="A736" s="4">
        <v>736.0</v>
      </c>
      <c r="B736" s="3" t="s">
        <v>40471</v>
      </c>
      <c r="C736" s="6" t="s">
        <v>74</v>
      </c>
      <c r="D736" s="6" t="s">
        <v>40472</v>
      </c>
      <c r="E736" s="3" t="str">
        <f t="shared" si="1"/>
        <v>access&lt;br&gt;&lt;div class="audio"&gt;[sound:access.mp3]&lt;/div&gt;</v>
      </c>
      <c r="F736" s="3" t="str">
        <f t="shared" si="2"/>
        <v>(n): quyền truy cập</v>
      </c>
      <c r="G736" s="6" t="s">
        <v>40473</v>
      </c>
      <c r="H736" s="6" t="s">
        <v>40474</v>
      </c>
      <c r="I736" s="7">
        <f t="shared" si="3"/>
        <v>0.8345522542</v>
      </c>
    </row>
    <row r="737">
      <c r="A737" s="4">
        <v>737.0</v>
      </c>
      <c r="B737" s="3" t="s">
        <v>40475</v>
      </c>
      <c r="C737" s="6" t="s">
        <v>11</v>
      </c>
      <c r="D737" s="6" t="s">
        <v>40476</v>
      </c>
      <c r="E737" s="3" t="str">
        <f t="shared" si="1"/>
        <v>national&lt;br&gt;&lt;div class="audio"&gt;[sound:national.mp3]&lt;/div&gt;</v>
      </c>
      <c r="F737" s="3" t="str">
        <f t="shared" si="2"/>
        <v>(adj): thuộc quốc gia</v>
      </c>
      <c r="G737" s="6" t="s">
        <v>40477</v>
      </c>
      <c r="H737" s="6" t="s">
        <v>40478</v>
      </c>
      <c r="I737" s="7">
        <f t="shared" si="3"/>
        <v>0.8854570372</v>
      </c>
    </row>
    <row r="738">
      <c r="A738" s="4">
        <v>738.0</v>
      </c>
      <c r="B738" s="3" t="s">
        <v>40479</v>
      </c>
      <c r="C738" s="6" t="s">
        <v>11</v>
      </c>
      <c r="D738" s="6" t="s">
        <v>40480</v>
      </c>
      <c r="E738" s="3" t="str">
        <f t="shared" si="1"/>
        <v>interested&lt;br&gt;&lt;div class="audio"&gt;[sound:interested.mp3]&lt;/div&gt;</v>
      </c>
      <c r="F738" s="3" t="str">
        <f t="shared" si="2"/>
        <v>(adj): được quan tâm</v>
      </c>
      <c r="G738" s="6" t="s">
        <v>40481</v>
      </c>
      <c r="H738" s="6" t="s">
        <v>40482</v>
      </c>
      <c r="I738" s="7">
        <f t="shared" si="3"/>
        <v>0.008353446394</v>
      </c>
    </row>
    <row r="739">
      <c r="A739" s="4">
        <v>739.0</v>
      </c>
      <c r="B739" s="3" t="s">
        <v>40483</v>
      </c>
      <c r="C739" s="6" t="s">
        <v>11</v>
      </c>
      <c r="D739" s="6" t="s">
        <v>5316</v>
      </c>
      <c r="E739" s="3" t="str">
        <f t="shared" si="1"/>
        <v>professional&lt;br&gt;&lt;div class="audio"&gt;[sound:professional.mp3]&lt;/div&gt;</v>
      </c>
      <c r="F739" s="3" t="str">
        <f t="shared" si="2"/>
        <v>(adj): chuyên nghiệp</v>
      </c>
      <c r="G739" s="6" t="s">
        <v>40484</v>
      </c>
      <c r="H739" s="6" t="s">
        <v>40485</v>
      </c>
      <c r="I739" s="7">
        <f t="shared" si="3"/>
        <v>0.1183726909</v>
      </c>
    </row>
    <row r="740">
      <c r="A740" s="4">
        <v>740.0</v>
      </c>
      <c r="B740" s="3" t="s">
        <v>40486</v>
      </c>
      <c r="C740" s="6" t="s">
        <v>85</v>
      </c>
      <c r="D740" s="6" t="s">
        <v>40487</v>
      </c>
      <c r="E740" s="3" t="str">
        <f t="shared" si="1"/>
        <v>hardly&lt;br&gt;&lt;div class="audio"&gt;[sound:hardly.mp3]&lt;/div&gt;</v>
      </c>
      <c r="F740" s="3" t="str">
        <f t="shared" si="2"/>
        <v>(adv): hầu như không</v>
      </c>
      <c r="G740" s="6" t="s">
        <v>40488</v>
      </c>
      <c r="H740" s="6" t="s">
        <v>40489</v>
      </c>
      <c r="I740" s="7">
        <f t="shared" si="3"/>
        <v>0.9891544847</v>
      </c>
    </row>
    <row r="741">
      <c r="A741" s="4">
        <v>741.0</v>
      </c>
      <c r="B741" s="3" t="s">
        <v>40490</v>
      </c>
      <c r="C741" s="6" t="s">
        <v>74</v>
      </c>
      <c r="D741" s="8" t="s">
        <v>23157</v>
      </c>
      <c r="E741" s="3" t="str">
        <f t="shared" si="1"/>
        <v>surprise&lt;br&gt;&lt;div class="audio"&gt;[sound:surprise.mp3]&lt;/div&gt;</v>
      </c>
      <c r="F741" s="3" t="str">
        <f t="shared" si="2"/>
        <v>(n): sự ngạc nhiên</v>
      </c>
      <c r="G741" s="8" t="s">
        <v>40491</v>
      </c>
      <c r="H741" s="8" t="s">
        <v>40492</v>
      </c>
      <c r="I741" s="7">
        <f t="shared" si="3"/>
        <v>0.7006016065</v>
      </c>
    </row>
    <row r="742">
      <c r="A742" s="4">
        <v>742.0</v>
      </c>
      <c r="B742" s="3" t="s">
        <v>40493</v>
      </c>
      <c r="C742" s="6" t="s">
        <v>11</v>
      </c>
      <c r="D742" s="6" t="s">
        <v>40494</v>
      </c>
      <c r="E742" s="3" t="str">
        <f t="shared" si="1"/>
        <v>known&lt;br&gt;&lt;div class="audio"&gt;[sound:known.mp3]&lt;/div&gt;</v>
      </c>
      <c r="F742" s="3" t="str">
        <f t="shared" si="2"/>
        <v>(adj): được biết đến</v>
      </c>
      <c r="G742" s="6" t="s">
        <v>40495</v>
      </c>
      <c r="H742" s="6" t="s">
        <v>40496</v>
      </c>
      <c r="I742" s="7">
        <f t="shared" si="3"/>
        <v>0.4933746977</v>
      </c>
    </row>
    <row r="743">
      <c r="A743" s="4">
        <v>743.0</v>
      </c>
      <c r="B743" s="3" t="s">
        <v>40497</v>
      </c>
      <c r="C743" s="6" t="s">
        <v>85</v>
      </c>
      <c r="D743" s="6" t="s">
        <v>40498</v>
      </c>
      <c r="E743" s="3" t="str">
        <f t="shared" si="1"/>
        <v>forward&lt;br&gt;&lt;div class="audio"&gt;[sound:forward.mp3]&lt;/div&gt;</v>
      </c>
      <c r="F743" s="3" t="str">
        <f t="shared" si="2"/>
        <v>(adv): về phía trước</v>
      </c>
      <c r="G743" s="6" t="s">
        <v>40499</v>
      </c>
      <c r="H743" s="6" t="s">
        <v>40500</v>
      </c>
      <c r="I743" s="7">
        <f t="shared" si="3"/>
        <v>0.8169613524</v>
      </c>
    </row>
    <row r="744">
      <c r="A744" s="4">
        <v>744.0</v>
      </c>
      <c r="B744" s="3" t="s">
        <v>40501</v>
      </c>
      <c r="C744" s="6" t="s">
        <v>74</v>
      </c>
      <c r="D744" s="6" t="s">
        <v>40502</v>
      </c>
      <c r="E744" s="3" t="str">
        <f t="shared" si="1"/>
        <v>sale&lt;br&gt;&lt;div class="audio"&gt;[sound:sale.mp3]&lt;/div&gt;</v>
      </c>
      <c r="F744" s="3" t="str">
        <f t="shared" si="2"/>
        <v>(n): việc bán hàng</v>
      </c>
      <c r="G744" s="6" t="s">
        <v>40503</v>
      </c>
      <c r="H744" s="6" t="s">
        <v>40504</v>
      </c>
      <c r="I744" s="7">
        <f t="shared" si="3"/>
        <v>0.1504375162</v>
      </c>
    </row>
    <row r="745">
      <c r="A745" s="4">
        <v>745.0</v>
      </c>
      <c r="B745" s="3" t="s">
        <v>40505</v>
      </c>
      <c r="C745" s="6" t="s">
        <v>74</v>
      </c>
      <c r="D745" s="6" t="s">
        <v>40506</v>
      </c>
      <c r="E745" s="3" t="str">
        <f t="shared" si="1"/>
        <v>agreement&lt;br&gt;&lt;div class="audio"&gt;[sound:agreement.mp3]&lt;/div&gt;</v>
      </c>
      <c r="F745" s="3" t="str">
        <f t="shared" si="2"/>
        <v>(n): sự thỏa thuận</v>
      </c>
      <c r="G745" s="6" t="s">
        <v>40507</v>
      </c>
      <c r="H745" s="6" t="s">
        <v>40508</v>
      </c>
      <c r="I745" s="7">
        <f t="shared" si="3"/>
        <v>0.08342157634</v>
      </c>
    </row>
    <row r="746">
      <c r="A746" s="4">
        <v>746.0</v>
      </c>
      <c r="B746" s="3" t="s">
        <v>40509</v>
      </c>
      <c r="C746" s="6" t="s">
        <v>11</v>
      </c>
      <c r="D746" s="6" t="s">
        <v>40510</v>
      </c>
      <c r="E746" s="3" t="str">
        <f t="shared" si="1"/>
        <v>included&lt;br&gt;&lt;div class="audio"&gt;[sound:included.mp3]&lt;/div&gt;</v>
      </c>
      <c r="F746" s="3" t="str">
        <f t="shared" si="2"/>
        <v>(adj): được bao gồm</v>
      </c>
      <c r="G746" s="6" t="s">
        <v>40511</v>
      </c>
      <c r="H746" s="6" t="s">
        <v>40512</v>
      </c>
      <c r="I746" s="7">
        <f t="shared" si="3"/>
        <v>0.2005841203</v>
      </c>
    </row>
    <row r="747">
      <c r="A747" s="4">
        <v>747.0</v>
      </c>
      <c r="B747" s="3" t="s">
        <v>40513</v>
      </c>
      <c r="C747" s="6" t="s">
        <v>74</v>
      </c>
      <c r="D747" s="6" t="s">
        <v>40514</v>
      </c>
      <c r="E747" s="3" t="str">
        <f t="shared" si="1"/>
        <v>communication&lt;br&gt;&lt;div class="audio"&gt;[sound:communication.mp3]&lt;/div&gt;</v>
      </c>
      <c r="F747" s="3" t="str">
        <f t="shared" si="2"/>
        <v>(n): sự giao tiếp</v>
      </c>
      <c r="G747" s="6" t="s">
        <v>40515</v>
      </c>
      <c r="H747" s="6" t="s">
        <v>40516</v>
      </c>
      <c r="I747" s="7">
        <f t="shared" si="3"/>
        <v>0.1560271425</v>
      </c>
    </row>
    <row r="748">
      <c r="A748" s="4">
        <v>748.0</v>
      </c>
      <c r="B748" s="3" t="s">
        <v>40517</v>
      </c>
      <c r="C748" s="6" t="s">
        <v>11</v>
      </c>
      <c r="D748" s="6" t="s">
        <v>40518</v>
      </c>
      <c r="E748" s="3" t="str">
        <f t="shared" si="1"/>
        <v>involved&lt;br&gt;&lt;div class="audio"&gt;[sound:involved.mp3]&lt;/div&gt;</v>
      </c>
      <c r="F748" s="3" t="str">
        <f t="shared" si="2"/>
        <v>(adj): bị liên quan</v>
      </c>
      <c r="G748" s="6" t="s">
        <v>40519</v>
      </c>
      <c r="H748" s="6" t="s">
        <v>40520</v>
      </c>
      <c r="I748" s="7">
        <f t="shared" si="3"/>
        <v>0.5076867271</v>
      </c>
    </row>
    <row r="749">
      <c r="A749" s="4">
        <v>749.0</v>
      </c>
      <c r="B749" s="3" t="s">
        <v>40521</v>
      </c>
      <c r="C749" s="6" t="s">
        <v>44</v>
      </c>
      <c r="D749" s="6" t="s">
        <v>40522</v>
      </c>
      <c r="E749" s="3" t="str">
        <f t="shared" si="1"/>
        <v>myself&lt;br&gt;&lt;div class="audio"&gt;[sound:myself.mp3]&lt;/div&gt;</v>
      </c>
      <c r="F749" s="3" t="str">
        <f t="shared" si="2"/>
        <v>(pron): bản thân tôi</v>
      </c>
      <c r="G749" s="6" t="s">
        <v>40523</v>
      </c>
      <c r="H749" s="6" t="s">
        <v>40524</v>
      </c>
      <c r="I749" s="7">
        <f t="shared" si="3"/>
        <v>0.2826516349</v>
      </c>
    </row>
    <row r="750">
      <c r="A750" s="4">
        <v>750.0</v>
      </c>
      <c r="B750" s="3" t="s">
        <v>40525</v>
      </c>
      <c r="C750" s="6" t="s">
        <v>74</v>
      </c>
      <c r="D750" s="8" t="s">
        <v>40526</v>
      </c>
      <c r="E750" s="3" t="str">
        <f t="shared" si="1"/>
        <v>shopping&lt;br&gt;&lt;div class="audio"&gt;[sound:shopping.mp3]&lt;/div&gt;</v>
      </c>
      <c r="F750" s="3" t="str">
        <f t="shared" si="2"/>
        <v>(n): việc mua sắm</v>
      </c>
      <c r="G750" s="8" t="s">
        <v>40527</v>
      </c>
      <c r="H750" s="8" t="s">
        <v>40528</v>
      </c>
      <c r="I750" s="7">
        <f t="shared" si="3"/>
        <v>0.4335066567</v>
      </c>
    </row>
    <row r="751">
      <c r="A751" s="4">
        <v>751.0</v>
      </c>
      <c r="B751" s="3" t="s">
        <v>40529</v>
      </c>
      <c r="C751" s="6" t="s">
        <v>85</v>
      </c>
      <c r="D751" s="6" t="s">
        <v>949</v>
      </c>
      <c r="E751" s="3" t="str">
        <f t="shared" si="1"/>
        <v>immediately&lt;br&gt;&lt;div class="audio"&gt;[sound:immediately.mp3]&lt;/div&gt;</v>
      </c>
      <c r="F751" s="3" t="str">
        <f t="shared" si="2"/>
        <v>(adv): ngay lập tức</v>
      </c>
      <c r="G751" s="6" t="s">
        <v>40530</v>
      </c>
      <c r="H751" s="6" t="s">
        <v>40531</v>
      </c>
      <c r="I751" s="7">
        <f t="shared" si="3"/>
        <v>0.5738561118</v>
      </c>
    </row>
    <row r="752">
      <c r="A752" s="4">
        <v>752.0</v>
      </c>
      <c r="B752" s="3" t="s">
        <v>40532</v>
      </c>
      <c r="C752" s="6" t="s">
        <v>74</v>
      </c>
      <c r="D752" s="6" t="s">
        <v>40533</v>
      </c>
      <c r="E752" s="3" t="str">
        <f t="shared" si="1"/>
        <v>practice&lt;br&gt;&lt;div class="audio"&gt;[sound:practice.mp3]&lt;/div&gt;</v>
      </c>
      <c r="F752" s="3" t="str">
        <f t="shared" si="2"/>
        <v>(n): sự luyện tập</v>
      </c>
      <c r="G752" s="6" t="s">
        <v>40534</v>
      </c>
      <c r="H752" s="6" t="s">
        <v>40535</v>
      </c>
      <c r="I752" s="7">
        <f t="shared" si="3"/>
        <v>0.8460577844</v>
      </c>
    </row>
    <row r="753">
      <c r="A753" s="4">
        <v>753.0</v>
      </c>
      <c r="B753" s="3" t="s">
        <v>40536</v>
      </c>
      <c r="C753" s="6" t="s">
        <v>74</v>
      </c>
      <c r="D753" s="6" t="s">
        <v>40537</v>
      </c>
      <c r="E753" s="3" t="str">
        <f t="shared" si="1"/>
        <v>concern&lt;br&gt;&lt;div class="audio"&gt;[sound:concern.mp3]&lt;/div&gt;</v>
      </c>
      <c r="F753" s="3" t="str">
        <f t="shared" si="2"/>
        <v>(n): mối quan tâm</v>
      </c>
      <c r="G753" s="6" t="s">
        <v>40538</v>
      </c>
      <c r="H753" s="6" t="s">
        <v>40539</v>
      </c>
      <c r="I753" s="7">
        <f t="shared" si="3"/>
        <v>0.1330690464</v>
      </c>
    </row>
    <row r="754">
      <c r="A754" s="4">
        <v>754.0</v>
      </c>
      <c r="B754" s="3" t="s">
        <v>40540</v>
      </c>
      <c r="C754" s="6" t="s">
        <v>74</v>
      </c>
      <c r="D754" s="6" t="s">
        <v>40541</v>
      </c>
      <c r="E754" s="3" t="str">
        <f t="shared" si="1"/>
        <v>analysis&lt;br&gt;&lt;div class="audio"&gt;[sound:analysis.mp3]&lt;/div&gt;</v>
      </c>
      <c r="F754" s="3" t="str">
        <f t="shared" si="2"/>
        <v>(n): sự phân tích</v>
      </c>
      <c r="G754" s="6" t="s">
        <v>40542</v>
      </c>
      <c r="H754" s="6" t="s">
        <v>40543</v>
      </c>
      <c r="I754" s="7">
        <f t="shared" si="3"/>
        <v>0.4380138917</v>
      </c>
    </row>
    <row r="755">
      <c r="A755" s="4">
        <v>755.0</v>
      </c>
      <c r="B755" s="3" t="s">
        <v>40544</v>
      </c>
      <c r="C755" s="6" t="s">
        <v>24</v>
      </c>
      <c r="D755" s="6" t="s">
        <v>40545</v>
      </c>
      <c r="E755" s="3" t="str">
        <f t="shared" si="1"/>
        <v>encourage&lt;br&gt;&lt;div class="audio"&gt;[sound:encourage.mp3]&lt;/div&gt;</v>
      </c>
      <c r="F755" s="3" t="str">
        <f t="shared" si="2"/>
        <v>(v): khuyến khích</v>
      </c>
      <c r="G755" s="6" t="s">
        <v>40546</v>
      </c>
      <c r="H755" s="6" t="s">
        <v>40547</v>
      </c>
      <c r="I755" s="7">
        <f t="shared" si="3"/>
        <v>0.423108827</v>
      </c>
    </row>
    <row r="756">
      <c r="A756" s="4">
        <v>756.0</v>
      </c>
      <c r="B756" s="3" t="s">
        <v>40548</v>
      </c>
      <c r="C756" s="6" t="s">
        <v>74</v>
      </c>
      <c r="D756" s="6" t="s">
        <v>29984</v>
      </c>
      <c r="E756" s="3" t="str">
        <f t="shared" si="1"/>
        <v>rest&lt;br&gt;&lt;div class="audio"&gt;[sound:rest.mp3]&lt;/div&gt;</v>
      </c>
      <c r="F756" s="3" t="str">
        <f t="shared" si="2"/>
        <v>(n): sự nghỉ ngơi</v>
      </c>
      <c r="G756" s="6" t="s">
        <v>40549</v>
      </c>
      <c r="H756" s="6" t="s">
        <v>40550</v>
      </c>
      <c r="I756" s="7">
        <f t="shared" si="3"/>
        <v>0.6163234679</v>
      </c>
    </row>
    <row r="757">
      <c r="A757" s="4">
        <v>757.0</v>
      </c>
      <c r="B757" s="3" t="s">
        <v>40551</v>
      </c>
      <c r="C757" s="6" t="s">
        <v>11</v>
      </c>
      <c r="D757" s="6" t="s">
        <v>5073</v>
      </c>
      <c r="E757" s="3" t="str">
        <f t="shared" si="1"/>
        <v>normal&lt;br&gt;&lt;div class="audio"&gt;[sound:normal.mp3]&lt;/div&gt;</v>
      </c>
      <c r="F757" s="3" t="str">
        <f t="shared" si="2"/>
        <v>(adj): bình thường</v>
      </c>
      <c r="G757" s="6" t="s">
        <v>40552</v>
      </c>
      <c r="H757" s="6" t="s">
        <v>40553</v>
      </c>
      <c r="I757" s="7">
        <f t="shared" si="3"/>
        <v>0.3684335641</v>
      </c>
    </row>
    <row r="758">
      <c r="A758" s="4">
        <v>758.0</v>
      </c>
      <c r="B758" s="3" t="s">
        <v>40554</v>
      </c>
      <c r="C758" s="6" t="s">
        <v>74</v>
      </c>
      <c r="D758" s="6" t="s">
        <v>4406</v>
      </c>
      <c r="E758" s="3" t="str">
        <f t="shared" si="1"/>
        <v>operation&lt;br&gt;&lt;div class="audio"&gt;[sound:operation.mp3]&lt;/div&gt;</v>
      </c>
      <c r="F758" s="3" t="str">
        <f t="shared" si="2"/>
        <v>(n): sự vận hành</v>
      </c>
      <c r="G758" s="6" t="s">
        <v>40555</v>
      </c>
      <c r="H758" s="6" t="s">
        <v>40556</v>
      </c>
      <c r="I758" s="7">
        <f t="shared" si="3"/>
        <v>0.3243720462</v>
      </c>
    </row>
    <row r="759">
      <c r="A759" s="4">
        <v>759.0</v>
      </c>
      <c r="B759" s="3" t="s">
        <v>40557</v>
      </c>
      <c r="C759" s="6" t="s">
        <v>74</v>
      </c>
      <c r="D759" s="6" t="s">
        <v>11017</v>
      </c>
      <c r="E759" s="3" t="str">
        <f t="shared" si="1"/>
        <v>relationship&lt;br&gt;&lt;div class="audio"&gt;[sound:relationship.mp3]&lt;/div&gt;</v>
      </c>
      <c r="F759" s="3" t="str">
        <f t="shared" si="2"/>
        <v>(n): mối quan hệ</v>
      </c>
      <c r="G759" s="6" t="s">
        <v>40558</v>
      </c>
      <c r="H759" s="6" t="s">
        <v>40559</v>
      </c>
      <c r="I759" s="7">
        <f t="shared" si="3"/>
        <v>0.6662470807</v>
      </c>
    </row>
    <row r="760">
      <c r="A760" s="4">
        <v>760.0</v>
      </c>
      <c r="B760" s="3" t="s">
        <v>40560</v>
      </c>
      <c r="C760" s="6" t="s">
        <v>74</v>
      </c>
      <c r="D760" s="6" t="s">
        <v>3293</v>
      </c>
      <c r="E760" s="3" t="str">
        <f t="shared" si="1"/>
        <v>moment&lt;br&gt;&lt;div class="audio"&gt;[sound:moment.mp3]&lt;/div&gt;</v>
      </c>
      <c r="F760" s="3" t="str">
        <f t="shared" si="2"/>
        <v>(n): khoảnh khắc</v>
      </c>
      <c r="G760" s="6" t="s">
        <v>40561</v>
      </c>
      <c r="H760" s="6" t="s">
        <v>40562</v>
      </c>
      <c r="I760" s="7">
        <f t="shared" si="3"/>
        <v>0.1842976345</v>
      </c>
    </row>
    <row r="761">
      <c r="A761" s="4">
        <v>761.0</v>
      </c>
      <c r="B761" s="3" t="s">
        <v>40563</v>
      </c>
      <c r="C761" s="6" t="s">
        <v>11</v>
      </c>
      <c r="D761" s="6" t="s">
        <v>2002</v>
      </c>
      <c r="E761" s="3" t="str">
        <f t="shared" si="1"/>
        <v>local&lt;br&gt;&lt;div class="audio"&gt;[sound:local.mp3]&lt;/div&gt;</v>
      </c>
      <c r="F761" s="3" t="str">
        <f t="shared" si="2"/>
        <v>(adj): địa phương</v>
      </c>
      <c r="G761" s="6" t="s">
        <v>40564</v>
      </c>
      <c r="H761" s="6" t="s">
        <v>40565</v>
      </c>
      <c r="I761" s="7">
        <f t="shared" si="3"/>
        <v>0.7736576739</v>
      </c>
    </row>
    <row r="762">
      <c r="A762" s="4">
        <v>762.0</v>
      </c>
      <c r="B762" s="3" t="s">
        <v>40566</v>
      </c>
      <c r="C762" s="6" t="s">
        <v>24</v>
      </c>
      <c r="D762" s="6" t="s">
        <v>11183</v>
      </c>
      <c r="E762" s="3" t="str">
        <f t="shared" si="1"/>
        <v>prove&lt;br&gt;&lt;div class="audio"&gt;[sound:prove.mp3]&lt;/div&gt;</v>
      </c>
      <c r="F762" s="3" t="str">
        <f t="shared" si="2"/>
        <v>(v): chứng minh</v>
      </c>
      <c r="G762" s="6" t="s">
        <v>40567</v>
      </c>
      <c r="H762" s="6" t="s">
        <v>40568</v>
      </c>
      <c r="I762" s="7">
        <f t="shared" si="3"/>
        <v>0.5386722002</v>
      </c>
    </row>
    <row r="763">
      <c r="A763" s="4">
        <v>763.0</v>
      </c>
      <c r="B763" s="3" t="s">
        <v>40569</v>
      </c>
      <c r="C763" s="6" t="s">
        <v>74</v>
      </c>
      <c r="D763" s="8" t="s">
        <v>23328</v>
      </c>
      <c r="E763" s="3" t="str">
        <f t="shared" si="1"/>
        <v>square&lt;br&gt;&lt;div class="audio"&gt;[sound:square.mp3]&lt;/div&gt;</v>
      </c>
      <c r="F763" s="3" t="str">
        <f t="shared" si="2"/>
        <v>(n): hình vuông</v>
      </c>
      <c r="G763" s="8" t="s">
        <v>40570</v>
      </c>
      <c r="H763" s="8" t="s">
        <v>40571</v>
      </c>
      <c r="I763" s="7">
        <f t="shared" si="3"/>
        <v>0.6745494548</v>
      </c>
    </row>
    <row r="764">
      <c r="A764" s="4">
        <v>764.0</v>
      </c>
      <c r="B764" s="3" t="s">
        <v>40572</v>
      </c>
      <c r="C764" s="6" t="s">
        <v>11</v>
      </c>
      <c r="D764" s="8" t="s">
        <v>17480</v>
      </c>
      <c r="E764" s="3" t="str">
        <f t="shared" si="1"/>
        <v>smart&lt;br&gt;&lt;div class="audio"&gt;[sound:smart.mp3]&lt;/div&gt;</v>
      </c>
      <c r="F764" s="3" t="str">
        <f t="shared" si="2"/>
        <v>(adj): thông minh</v>
      </c>
      <c r="G764" s="8" t="s">
        <v>40573</v>
      </c>
      <c r="H764" s="8" t="s">
        <v>40574</v>
      </c>
      <c r="I764" s="7">
        <f t="shared" si="3"/>
        <v>0.1450983599</v>
      </c>
    </row>
    <row r="765">
      <c r="A765" s="4">
        <v>765.0</v>
      </c>
      <c r="B765" s="3" t="s">
        <v>40575</v>
      </c>
      <c r="C765" s="6" t="s">
        <v>74</v>
      </c>
      <c r="D765" s="6" t="s">
        <v>12485</v>
      </c>
      <c r="E765" s="3" t="str">
        <f t="shared" si="1"/>
        <v>terms&lt;br&gt;&lt;div class="audio"&gt;[sound:terms.mp3]&lt;/div&gt;</v>
      </c>
      <c r="F765" s="3" t="str">
        <f t="shared" si="2"/>
        <v>(n): điều khoản</v>
      </c>
      <c r="G765" s="6" t="s">
        <v>40576</v>
      </c>
      <c r="H765" s="6" t="s">
        <v>40577</v>
      </c>
      <c r="I765" s="7">
        <f t="shared" si="3"/>
        <v>0.133879677</v>
      </c>
    </row>
    <row r="766">
      <c r="A766" s="4">
        <v>766.0</v>
      </c>
      <c r="B766" s="3" t="s">
        <v>40578</v>
      </c>
      <c r="C766" s="6" t="s">
        <v>74</v>
      </c>
      <c r="D766" s="6" t="s">
        <v>3327</v>
      </c>
      <c r="E766" s="3" t="str">
        <f t="shared" si="1"/>
        <v>afternoon&lt;br&gt;&lt;div class="audio"&gt;[sound:afternoon.mp3]&lt;/div&gt;</v>
      </c>
      <c r="F766" s="3" t="str">
        <f t="shared" si="2"/>
        <v>(n): buổi chiều</v>
      </c>
      <c r="G766" s="6" t="s">
        <v>40579</v>
      </c>
      <c r="H766" s="6" t="s">
        <v>40580</v>
      </c>
      <c r="I766" s="7">
        <f t="shared" si="3"/>
        <v>0.0798402454</v>
      </c>
    </row>
    <row r="767">
      <c r="A767" s="4">
        <v>767.0</v>
      </c>
      <c r="B767" s="3" t="s">
        <v>40581</v>
      </c>
      <c r="C767" s="6" t="s">
        <v>74</v>
      </c>
      <c r="D767" s="6" t="s">
        <v>7723</v>
      </c>
      <c r="E767" s="3" t="str">
        <f t="shared" si="1"/>
        <v>beginning&lt;br&gt;&lt;div class="audio"&gt;[sound:beginning.mp3]&lt;/div&gt;</v>
      </c>
      <c r="F767" s="3" t="str">
        <f t="shared" si="2"/>
        <v>(n): sự bắt đầu</v>
      </c>
      <c r="G767" s="6" t="s">
        <v>40582</v>
      </c>
      <c r="H767" s="6" t="s">
        <v>40583</v>
      </c>
      <c r="I767" s="7">
        <f t="shared" si="3"/>
        <v>0.9970796513</v>
      </c>
    </row>
    <row r="768">
      <c r="A768" s="4">
        <v>768.0</v>
      </c>
      <c r="B768" s="3" t="s">
        <v>40584</v>
      </c>
      <c r="C768" s="6" t="s">
        <v>63</v>
      </c>
      <c r="D768" s="6" t="s">
        <v>2219</v>
      </c>
      <c r="E768" s="3" t="str">
        <f t="shared" si="1"/>
        <v>within&lt;br&gt;&lt;div class="audio"&gt;[sound:within.mp3]&lt;/div&gt;</v>
      </c>
      <c r="F768" s="3" t="str">
        <f t="shared" si="2"/>
        <v>(prep): trong vòng</v>
      </c>
      <c r="G768" s="6" t="s">
        <v>40585</v>
      </c>
      <c r="H768" s="6" t="s">
        <v>40586</v>
      </c>
      <c r="I768" s="7">
        <f t="shared" si="3"/>
        <v>0.5610458931</v>
      </c>
    </row>
    <row r="769">
      <c r="A769" s="4">
        <v>769.0</v>
      </c>
      <c r="B769" s="3" t="s">
        <v>40587</v>
      </c>
      <c r="C769" s="6" t="s">
        <v>24</v>
      </c>
      <c r="D769" s="6" t="s">
        <v>1639</v>
      </c>
      <c r="E769" s="3" t="str">
        <f t="shared" si="1"/>
        <v>introduce&lt;br&gt;&lt;div class="audio"&gt;[sound:introduce.mp3]&lt;/div&gt;</v>
      </c>
      <c r="F769" s="3" t="str">
        <f t="shared" si="2"/>
        <v>(v): giới thiệu</v>
      </c>
      <c r="G769" s="6" t="s">
        <v>40588</v>
      </c>
      <c r="H769" s="6" t="s">
        <v>40589</v>
      </c>
      <c r="I769" s="7">
        <f t="shared" si="3"/>
        <v>0.6695566902</v>
      </c>
    </row>
    <row r="770">
      <c r="A770" s="4">
        <v>770.0</v>
      </c>
      <c r="B770" s="3" t="s">
        <v>40590</v>
      </c>
      <c r="C770" s="6" t="s">
        <v>74</v>
      </c>
      <c r="D770" s="6" t="s">
        <v>40591</v>
      </c>
      <c r="E770" s="3" t="str">
        <f t="shared" si="1"/>
        <v>collection&lt;br&gt;&lt;div class="audio"&gt;[sound:collection.mp3]&lt;/div&gt;</v>
      </c>
      <c r="F770" s="3" t="str">
        <f t="shared" si="2"/>
        <v>(n): bộ sưu tập</v>
      </c>
      <c r="G770" s="6" t="s">
        <v>40592</v>
      </c>
      <c r="H770" s="6" t="s">
        <v>40593</v>
      </c>
      <c r="I770" s="7">
        <f t="shared" si="3"/>
        <v>0.9601818755</v>
      </c>
    </row>
    <row r="771">
      <c r="A771" s="4">
        <v>771.0</v>
      </c>
      <c r="B771" s="3" t="s">
        <v>40594</v>
      </c>
      <c r="C771" s="6" t="s">
        <v>85</v>
      </c>
      <c r="D771" s="6" t="s">
        <v>972</v>
      </c>
      <c r="E771" s="3" t="str">
        <f t="shared" si="1"/>
        <v>ahead&lt;br&gt;&lt;div class="audio"&gt;[sound:ahead.mp3]&lt;/div&gt;</v>
      </c>
      <c r="F771" s="3" t="str">
        <f t="shared" si="2"/>
        <v>(adv): phía trước</v>
      </c>
      <c r="G771" s="6" t="s">
        <v>40595</v>
      </c>
      <c r="H771" s="6" t="s">
        <v>40596</v>
      </c>
      <c r="I771" s="7">
        <f t="shared" si="3"/>
        <v>0.1505411664</v>
      </c>
    </row>
    <row r="772">
      <c r="A772" s="4">
        <v>772.0</v>
      </c>
      <c r="B772" s="3" t="s">
        <v>40597</v>
      </c>
      <c r="C772" s="6" t="s">
        <v>74</v>
      </c>
      <c r="D772" s="6" t="s">
        <v>8351</v>
      </c>
      <c r="E772" s="3" t="str">
        <f t="shared" si="1"/>
        <v>art&lt;br&gt;&lt;div class="audio"&gt;[sound:art.mp3]&lt;/div&gt;</v>
      </c>
      <c r="F772" s="3" t="str">
        <f t="shared" si="2"/>
        <v>(n): nghệ thuật</v>
      </c>
      <c r="G772" s="6" t="s">
        <v>40598</v>
      </c>
      <c r="H772" s="6" t="s">
        <v>40599</v>
      </c>
      <c r="I772" s="7">
        <f t="shared" si="3"/>
        <v>0.8618727593</v>
      </c>
    </row>
    <row r="773">
      <c r="A773" s="4">
        <v>773.0</v>
      </c>
      <c r="B773" s="3" t="s">
        <v>40600</v>
      </c>
      <c r="C773" s="6" t="s">
        <v>74</v>
      </c>
      <c r="D773" s="6" t="s">
        <v>19255</v>
      </c>
      <c r="E773" s="3" t="str">
        <f t="shared" si="1"/>
        <v>advice&lt;br&gt;&lt;div class="audio"&gt;[sound:advice.mp3]&lt;/div&gt;</v>
      </c>
      <c r="F773" s="3" t="str">
        <f t="shared" si="2"/>
        <v>(n): lời khuyên</v>
      </c>
      <c r="G773" s="6" t="s">
        <v>40601</v>
      </c>
      <c r="H773" s="6" t="s">
        <v>40602</v>
      </c>
      <c r="I773" s="7">
        <f t="shared" si="3"/>
        <v>0.5343905868</v>
      </c>
    </row>
    <row r="774">
      <c r="A774" s="4">
        <v>774.0</v>
      </c>
      <c r="B774" s="3" t="s">
        <v>40603</v>
      </c>
      <c r="C774" s="6" t="s">
        <v>74</v>
      </c>
      <c r="D774" s="6" t="s">
        <v>40604</v>
      </c>
      <c r="E774" s="3" t="str">
        <f t="shared" si="1"/>
        <v>campaign&lt;br&gt;&lt;div class="audio"&gt;[sound:campaign.mp3]&lt;/div&gt;</v>
      </c>
      <c r="F774" s="3" t="str">
        <f t="shared" si="2"/>
        <v>(n): chiến dịch</v>
      </c>
      <c r="G774" s="6" t="s">
        <v>40605</v>
      </c>
      <c r="H774" s="6" t="s">
        <v>40606</v>
      </c>
      <c r="I774" s="7">
        <f t="shared" si="3"/>
        <v>0.1154256508</v>
      </c>
    </row>
    <row r="775">
      <c r="A775" s="4">
        <v>775.0</v>
      </c>
      <c r="B775" s="3" t="s">
        <v>40607</v>
      </c>
      <c r="C775" s="6" t="s">
        <v>74</v>
      </c>
      <c r="D775" s="6" t="s">
        <v>40395</v>
      </c>
      <c r="E775" s="3" t="str">
        <f t="shared" si="1"/>
        <v>client&lt;br&gt;&lt;div class="audio"&gt;[sound:client.mp3]&lt;/div&gt;</v>
      </c>
      <c r="F775" s="3" t="str">
        <f t="shared" si="2"/>
        <v>(n): khách hàng</v>
      </c>
      <c r="G775" s="6" t="s">
        <v>40608</v>
      </c>
      <c r="H775" s="6" t="s">
        <v>40609</v>
      </c>
      <c r="I775" s="7">
        <f t="shared" si="3"/>
        <v>0.3217724692</v>
      </c>
    </row>
    <row r="776">
      <c r="A776" s="4">
        <v>776.0</v>
      </c>
      <c r="B776" s="3" t="s">
        <v>40610</v>
      </c>
      <c r="C776" s="6" t="s">
        <v>74</v>
      </c>
      <c r="D776" s="6" t="s">
        <v>40611</v>
      </c>
      <c r="E776" s="3" t="str">
        <f t="shared" si="1"/>
        <v>connection&lt;br&gt;&lt;div class="audio"&gt;[sound:connection.mp3]&lt;/div&gt;</v>
      </c>
      <c r="F776" s="3" t="str">
        <f t="shared" si="2"/>
        <v>(n): sự kết nối</v>
      </c>
      <c r="G776" s="6" t="s">
        <v>40612</v>
      </c>
      <c r="H776" s="6" t="s">
        <v>40613</v>
      </c>
      <c r="I776" s="7">
        <f t="shared" si="3"/>
        <v>0.9320574441</v>
      </c>
    </row>
    <row r="777">
      <c r="A777" s="4">
        <v>777.0</v>
      </c>
      <c r="B777" s="3" t="s">
        <v>40614</v>
      </c>
      <c r="C777" s="6" t="s">
        <v>74</v>
      </c>
      <c r="D777" s="6" t="s">
        <v>10699</v>
      </c>
      <c r="E777" s="3" t="str">
        <f t="shared" si="1"/>
        <v>president&lt;br&gt;&lt;div class="audio"&gt;[sound:president.mp3]&lt;/div&gt;</v>
      </c>
      <c r="F777" s="3" t="str">
        <f t="shared" si="2"/>
        <v>(n): tổng thống</v>
      </c>
      <c r="G777" s="6" t="s">
        <v>40615</v>
      </c>
      <c r="H777" s="6" t="s">
        <v>40616</v>
      </c>
      <c r="I777" s="7">
        <f t="shared" si="3"/>
        <v>0.9968447817</v>
      </c>
    </row>
    <row r="778">
      <c r="A778" s="4">
        <v>778.0</v>
      </c>
      <c r="B778" s="3" t="s">
        <v>40617</v>
      </c>
      <c r="C778" s="6" t="s">
        <v>74</v>
      </c>
      <c r="D778" s="8" t="s">
        <v>40618</v>
      </c>
      <c r="E778" s="3" t="str">
        <f t="shared" si="1"/>
        <v>september&lt;br&gt;&lt;div class="audio"&gt;[sound:september.mp3]&lt;/div&gt;</v>
      </c>
      <c r="F778" s="3" t="str">
        <f t="shared" si="2"/>
        <v>(n): tháng chín</v>
      </c>
      <c r="G778" s="8" t="s">
        <v>40619</v>
      </c>
      <c r="H778" s="8" t="s">
        <v>40620</v>
      </c>
      <c r="I778" s="7">
        <f t="shared" si="3"/>
        <v>0.08448536156</v>
      </c>
    </row>
    <row r="779">
      <c r="A779" s="4">
        <v>779.0</v>
      </c>
      <c r="B779" s="3" t="s">
        <v>40621</v>
      </c>
      <c r="C779" s="6" t="s">
        <v>24</v>
      </c>
      <c r="D779" s="6" t="s">
        <v>10453</v>
      </c>
      <c r="E779" s="3" t="str">
        <f t="shared" si="1"/>
        <v>argue&lt;br&gt;&lt;div class="audio"&gt;[sound:argue.mp3]&lt;/div&gt;</v>
      </c>
      <c r="F779" s="3" t="str">
        <f t="shared" si="2"/>
        <v>(v): tranh luận</v>
      </c>
      <c r="G779" s="6" t="s">
        <v>40622</v>
      </c>
      <c r="H779" s="6" t="s">
        <v>40623</v>
      </c>
      <c r="I779" s="7">
        <f t="shared" si="3"/>
        <v>0.3717073625</v>
      </c>
    </row>
    <row r="780">
      <c r="A780" s="4">
        <v>780.0</v>
      </c>
      <c r="B780" s="3" t="s">
        <v>40624</v>
      </c>
      <c r="C780" s="6" t="s">
        <v>74</v>
      </c>
      <c r="D780" s="6" t="s">
        <v>13113</v>
      </c>
      <c r="E780" s="3" t="str">
        <f t="shared" si="1"/>
        <v>trade&lt;br&gt;&lt;div class="audio"&gt;[sound:trade.mp3]&lt;/div&gt;</v>
      </c>
      <c r="F780" s="3" t="str">
        <f t="shared" si="2"/>
        <v>(n): thương mại</v>
      </c>
      <c r="G780" s="6" t="s">
        <v>40625</v>
      </c>
      <c r="H780" s="6" t="s">
        <v>40626</v>
      </c>
      <c r="I780" s="7">
        <f t="shared" si="3"/>
        <v>0.6024749502</v>
      </c>
    </row>
    <row r="781">
      <c r="A781" s="4">
        <v>781.0</v>
      </c>
      <c r="B781" s="3" t="s">
        <v>40627</v>
      </c>
      <c r="C781" s="6" t="s">
        <v>74</v>
      </c>
      <c r="D781" s="6" t="s">
        <v>2962</v>
      </c>
      <c r="E781" s="3" t="str">
        <f t="shared" si="1"/>
        <v>policy&lt;br&gt;&lt;div class="audio"&gt;[sound:policy.mp3]&lt;/div&gt;</v>
      </c>
      <c r="F781" s="3" t="str">
        <f t="shared" si="2"/>
        <v>(n): chính sách</v>
      </c>
      <c r="G781" s="6" t="s">
        <v>40628</v>
      </c>
      <c r="H781" s="6" t="s">
        <v>40629</v>
      </c>
      <c r="I781" s="7">
        <f t="shared" si="3"/>
        <v>0.126205251</v>
      </c>
    </row>
    <row r="782">
      <c r="A782" s="4">
        <v>782.0</v>
      </c>
      <c r="B782" s="3" t="s">
        <v>40630</v>
      </c>
      <c r="C782" s="6" t="s">
        <v>74</v>
      </c>
      <c r="D782" s="6" t="s">
        <v>1456</v>
      </c>
      <c r="E782" s="3" t="str">
        <f t="shared" si="1"/>
        <v>research&lt;br&gt;&lt;div class="audio"&gt;[sound:research.mp3]&lt;/div&gt;</v>
      </c>
      <c r="F782" s="3" t="str">
        <f t="shared" si="2"/>
        <v>(n): nghiên cứu</v>
      </c>
      <c r="G782" s="6" t="s">
        <v>40631</v>
      </c>
      <c r="H782" s="6" t="s">
        <v>40632</v>
      </c>
      <c r="I782" s="7">
        <f t="shared" si="3"/>
        <v>0.2996701475</v>
      </c>
    </row>
    <row r="783">
      <c r="A783" s="4">
        <v>783.0</v>
      </c>
      <c r="B783" s="3" t="s">
        <v>40633</v>
      </c>
      <c r="C783" s="6" t="s">
        <v>74</v>
      </c>
      <c r="D783" s="6" t="s">
        <v>9407</v>
      </c>
      <c r="E783" s="3" t="str">
        <f t="shared" si="1"/>
        <v>principle&lt;br&gt;&lt;div class="audio"&gt;[sound:principle.mp3]&lt;/div&gt;</v>
      </c>
      <c r="F783" s="3" t="str">
        <f t="shared" si="2"/>
        <v>(n): nguyên tắc</v>
      </c>
      <c r="G783" s="6" t="s">
        <v>40634</v>
      </c>
      <c r="H783" s="6" t="s">
        <v>40635</v>
      </c>
      <c r="I783" s="7">
        <f t="shared" si="3"/>
        <v>0.6829450256</v>
      </c>
    </row>
    <row r="784">
      <c r="A784" s="4">
        <v>784.0</v>
      </c>
      <c r="B784" s="3" t="s">
        <v>40636</v>
      </c>
      <c r="C784" s="6" t="s">
        <v>74</v>
      </c>
      <c r="D784" s="6" t="s">
        <v>40637</v>
      </c>
      <c r="E784" s="3" t="str">
        <f t="shared" si="1"/>
        <v>evidence&lt;br&gt;&lt;div class="audio"&gt;[sound:evidence.mp3]&lt;/div&gt;</v>
      </c>
      <c r="F784" s="3" t="str">
        <f t="shared" si="2"/>
        <v>(n): bằng chứng</v>
      </c>
      <c r="G784" s="6" t="s">
        <v>40638</v>
      </c>
      <c r="H784" s="6" t="s">
        <v>40639</v>
      </c>
      <c r="I784" s="7">
        <f t="shared" si="3"/>
        <v>0.3621904455</v>
      </c>
    </row>
    <row r="785">
      <c r="A785" s="4">
        <v>785.0</v>
      </c>
      <c r="B785" s="3" t="s">
        <v>40640</v>
      </c>
      <c r="C785" s="6" t="s">
        <v>74</v>
      </c>
      <c r="D785" s="6" t="s">
        <v>12527</v>
      </c>
      <c r="E785" s="3" t="str">
        <f t="shared" si="1"/>
        <v>authority&lt;br&gt;&lt;div class="audio"&gt;[sound:authority.mp3]&lt;/div&gt;</v>
      </c>
      <c r="F785" s="3" t="str">
        <f t="shared" si="2"/>
        <v>(n): thẩm quyền</v>
      </c>
      <c r="G785" s="6" t="s">
        <v>40641</v>
      </c>
      <c r="H785" s="6" t="s">
        <v>40642</v>
      </c>
      <c r="I785" s="7">
        <f t="shared" si="3"/>
        <v>0.1605846374</v>
      </c>
    </row>
    <row r="786">
      <c r="A786" s="4">
        <v>786.0</v>
      </c>
      <c r="B786" s="3" t="s">
        <v>40643</v>
      </c>
      <c r="C786" s="6" t="s">
        <v>24</v>
      </c>
      <c r="D786" s="8" t="s">
        <v>5691</v>
      </c>
      <c r="E786" s="3" t="str">
        <f t="shared" si="1"/>
        <v>succeed&lt;br&gt;&lt;div class="audio"&gt;[sound:succeed.mp3]&lt;/div&gt;</v>
      </c>
      <c r="F786" s="3" t="str">
        <f t="shared" si="2"/>
        <v>(v): thành công</v>
      </c>
      <c r="G786" s="8" t="s">
        <v>40644</v>
      </c>
      <c r="H786" s="8" t="s">
        <v>40645</v>
      </c>
      <c r="I786" s="7">
        <f t="shared" si="3"/>
        <v>0.754829114</v>
      </c>
    </row>
    <row r="787">
      <c r="A787" s="4">
        <v>787.0</v>
      </c>
      <c r="B787" s="3" t="s">
        <v>40646</v>
      </c>
      <c r="C787" s="6" t="s">
        <v>11</v>
      </c>
      <c r="D787" s="6" t="s">
        <v>4903</v>
      </c>
      <c r="E787" s="3" t="str">
        <f t="shared" si="1"/>
        <v>following&lt;br&gt;&lt;div class="audio"&gt;[sound:following.mp3]&lt;/div&gt;</v>
      </c>
      <c r="F787" s="3" t="str">
        <f t="shared" si="2"/>
        <v>(adj): tiếp theo</v>
      </c>
      <c r="G787" s="6" t="s">
        <v>40647</v>
      </c>
      <c r="H787" s="6" t="s">
        <v>40648</v>
      </c>
      <c r="I787" s="7">
        <f t="shared" si="3"/>
        <v>0.2026450111</v>
      </c>
    </row>
    <row r="788">
      <c r="A788" s="4">
        <v>788.0</v>
      </c>
      <c r="B788" s="3" t="s">
        <v>40649</v>
      </c>
      <c r="C788" s="6" t="s">
        <v>24</v>
      </c>
      <c r="D788" s="6" t="s">
        <v>40650</v>
      </c>
      <c r="E788" s="3" t="str">
        <f t="shared" si="1"/>
        <v>identify&lt;br&gt;&lt;div class="audio"&gt;[sound:identify.mp3]&lt;/div&gt;</v>
      </c>
      <c r="F788" s="3" t="str">
        <f t="shared" si="2"/>
        <v>(v): nhận diện</v>
      </c>
      <c r="G788" s="6" t="s">
        <v>40651</v>
      </c>
      <c r="H788" s="6" t="s">
        <v>40652</v>
      </c>
      <c r="I788" s="7">
        <f t="shared" si="3"/>
        <v>0.6111057571</v>
      </c>
    </row>
    <row r="789">
      <c r="A789" s="4">
        <v>789.0</v>
      </c>
      <c r="B789" s="3" t="s">
        <v>40653</v>
      </c>
      <c r="C789" s="6" t="s">
        <v>74</v>
      </c>
      <c r="D789" s="6" t="s">
        <v>40654</v>
      </c>
      <c r="E789" s="3" t="str">
        <f t="shared" si="1"/>
        <v>list&lt;br&gt;&lt;div class="audio"&gt;[sound:list.mp3]&lt;/div&gt;</v>
      </c>
      <c r="F789" s="3" t="str">
        <f t="shared" si="2"/>
        <v>(n): danh sách</v>
      </c>
      <c r="G789" s="6" t="s">
        <v>40655</v>
      </c>
      <c r="H789" s="6" t="s">
        <v>40656</v>
      </c>
      <c r="I789" s="7">
        <f t="shared" si="3"/>
        <v>0.2469630343</v>
      </c>
    </row>
    <row r="790">
      <c r="A790" s="4">
        <v>790.0</v>
      </c>
      <c r="B790" s="3" t="s">
        <v>40657</v>
      </c>
      <c r="C790" s="6" t="s">
        <v>24</v>
      </c>
      <c r="D790" s="6" t="s">
        <v>2008</v>
      </c>
      <c r="E790" s="3" t="str">
        <f t="shared" si="1"/>
        <v>affect&lt;br&gt;&lt;div class="audio"&gt;[sound:affect.mp3]&lt;/div&gt;</v>
      </c>
      <c r="F790" s="3" t="str">
        <f t="shared" si="2"/>
        <v>(v): ảnh hưởng</v>
      </c>
      <c r="G790" s="6" t="s">
        <v>40658</v>
      </c>
      <c r="H790" s="6" t="s">
        <v>40659</v>
      </c>
      <c r="I790" s="7">
        <f t="shared" si="3"/>
        <v>0.151924786</v>
      </c>
    </row>
    <row r="791">
      <c r="A791" s="4">
        <v>791.0</v>
      </c>
      <c r="B791" s="3" t="s">
        <v>40660</v>
      </c>
      <c r="C791" s="6" t="s">
        <v>63</v>
      </c>
      <c r="D791" s="6" t="s">
        <v>40661</v>
      </c>
      <c r="E791" s="3" t="str">
        <f t="shared" si="1"/>
        <v>except&lt;br&gt;&lt;div class="audio"&gt;[sound:except.mp3]&lt;/div&gt;</v>
      </c>
      <c r="F791" s="3" t="str">
        <f t="shared" si="2"/>
        <v>(prep): ngoại trừ</v>
      </c>
      <c r="G791" s="6" t="s">
        <v>40662</v>
      </c>
      <c r="H791" s="6" t="s">
        <v>40663</v>
      </c>
      <c r="I791" s="7">
        <f t="shared" si="3"/>
        <v>0.4982825604</v>
      </c>
    </row>
    <row r="792">
      <c r="A792" s="4">
        <v>792.0</v>
      </c>
      <c r="B792" s="3" t="s">
        <v>40664</v>
      </c>
      <c r="C792" s="6" t="s">
        <v>74</v>
      </c>
      <c r="D792" s="6" t="s">
        <v>7189</v>
      </c>
      <c r="E792" s="3" t="str">
        <f t="shared" si="1"/>
        <v>east&lt;br&gt;&lt;div class="audio"&gt;[sound:east.mp3]&lt;/div&gt;</v>
      </c>
      <c r="F792" s="3" t="str">
        <f t="shared" si="2"/>
        <v>(n): phía đông</v>
      </c>
      <c r="G792" s="6" t="s">
        <v>40665</v>
      </c>
      <c r="H792" s="6" t="s">
        <v>40666</v>
      </c>
      <c r="I792" s="7">
        <f t="shared" si="3"/>
        <v>0.1853002855</v>
      </c>
    </row>
    <row r="793">
      <c r="A793" s="4">
        <v>793.0</v>
      </c>
      <c r="B793" s="3" t="s">
        <v>40667</v>
      </c>
      <c r="C793" s="6" t="s">
        <v>74</v>
      </c>
      <c r="D793" s="8" t="s">
        <v>2629</v>
      </c>
      <c r="E793" s="3" t="str">
        <f t="shared" si="1"/>
        <v>spirit&lt;br&gt;&lt;div class="audio"&gt;[sound:spirit.mp3]&lt;/div&gt;</v>
      </c>
      <c r="F793" s="3" t="str">
        <f t="shared" si="2"/>
        <v>(n): tinh thần</v>
      </c>
      <c r="G793" s="8" t="s">
        <v>40668</v>
      </c>
      <c r="H793" s="8" t="s">
        <v>40669</v>
      </c>
      <c r="I793" s="7">
        <f t="shared" si="3"/>
        <v>0.9123052669</v>
      </c>
    </row>
    <row r="794">
      <c r="A794" s="4">
        <v>794.0</v>
      </c>
      <c r="B794" s="3" t="s">
        <v>40670</v>
      </c>
      <c r="C794" s="6" t="s">
        <v>74</v>
      </c>
      <c r="D794" s="6" t="s">
        <v>40671</v>
      </c>
      <c r="E794" s="3" t="str">
        <f t="shared" si="1"/>
        <v>identity&lt;br&gt;&lt;div class="audio"&gt;[sound:identity.mp3]&lt;/div&gt;</v>
      </c>
      <c r="F794" s="3" t="str">
        <f t="shared" si="2"/>
        <v>(n): danh tính</v>
      </c>
      <c r="G794" s="6" t="s">
        <v>40672</v>
      </c>
      <c r="H794" s="6" t="s">
        <v>40673</v>
      </c>
      <c r="I794" s="7">
        <f t="shared" si="3"/>
        <v>0.3657875978</v>
      </c>
    </row>
    <row r="795">
      <c r="A795" s="4">
        <v>795.0</v>
      </c>
      <c r="B795" s="3" t="s">
        <v>40674</v>
      </c>
      <c r="C795" s="6" t="s">
        <v>74</v>
      </c>
      <c r="D795" s="8" t="s">
        <v>40675</v>
      </c>
      <c r="E795" s="3" t="str">
        <f t="shared" si="1"/>
        <v>speaker&lt;br&gt;&lt;div class="audio"&gt;[sound:speaker.mp3]&lt;/div&gt;</v>
      </c>
      <c r="F795" s="3" t="str">
        <f t="shared" si="2"/>
        <v>(n): người nói</v>
      </c>
      <c r="G795" s="8" t="s">
        <v>40676</v>
      </c>
      <c r="H795" s="8" t="s">
        <v>40677</v>
      </c>
      <c r="I795" s="7">
        <f t="shared" si="3"/>
        <v>0.7658698819</v>
      </c>
    </row>
    <row r="796">
      <c r="A796" s="4">
        <v>796.0</v>
      </c>
      <c r="B796" s="3" t="s">
        <v>40678</v>
      </c>
      <c r="C796" s="6" t="s">
        <v>74</v>
      </c>
      <c r="D796" s="6" t="s">
        <v>22172</v>
      </c>
      <c r="E796" s="3" t="str">
        <f t="shared" si="1"/>
        <v>protection&lt;br&gt;&lt;div class="audio"&gt;[sound:protection.mp3]&lt;/div&gt;</v>
      </c>
      <c r="F796" s="3" t="str">
        <f t="shared" si="2"/>
        <v>(n): sự bảo vệ</v>
      </c>
      <c r="G796" s="6" t="s">
        <v>40679</v>
      </c>
      <c r="H796" s="6" t="s">
        <v>40680</v>
      </c>
      <c r="I796" s="7">
        <f t="shared" si="3"/>
        <v>0.2042913222</v>
      </c>
    </row>
    <row r="797">
      <c r="A797" s="4">
        <v>797.0</v>
      </c>
      <c r="B797" s="3" t="s">
        <v>40681</v>
      </c>
      <c r="C797" s="6" t="s">
        <v>85</v>
      </c>
      <c r="D797" s="6" t="s">
        <v>2262</v>
      </c>
      <c r="E797" s="3" t="str">
        <f t="shared" si="1"/>
        <v>eventually&lt;br&gt;&lt;div class="audio"&gt;[sound:eventually.mp3]&lt;/div&gt;</v>
      </c>
      <c r="F797" s="3" t="str">
        <f t="shared" si="2"/>
        <v>(adv): cuối cùng</v>
      </c>
      <c r="G797" s="6" t="s">
        <v>40682</v>
      </c>
      <c r="H797" s="6" t="s">
        <v>40683</v>
      </c>
      <c r="I797" s="7">
        <f t="shared" si="3"/>
        <v>0.4499888691</v>
      </c>
    </row>
    <row r="798">
      <c r="A798" s="4">
        <v>798.0</v>
      </c>
      <c r="B798" s="3" t="s">
        <v>40684</v>
      </c>
      <c r="C798" s="6" t="s">
        <v>85</v>
      </c>
      <c r="D798" s="6" t="s">
        <v>4743</v>
      </c>
      <c r="E798" s="3" t="str">
        <f t="shared" si="1"/>
        <v>absolutely&lt;br&gt;&lt;div class="audio"&gt;[sound:absolutely.mp3]&lt;/div&gt;</v>
      </c>
      <c r="F798" s="3" t="str">
        <f t="shared" si="2"/>
        <v>(adv): hoàn toàn</v>
      </c>
      <c r="G798" s="6" t="s">
        <v>40685</v>
      </c>
      <c r="H798" s="6" t="s">
        <v>40686</v>
      </c>
      <c r="I798" s="7">
        <f t="shared" si="3"/>
        <v>0.2123114532</v>
      </c>
    </row>
    <row r="799">
      <c r="A799" s="4">
        <v>799.0</v>
      </c>
      <c r="B799" s="3" t="s">
        <v>40687</v>
      </c>
      <c r="C799" s="6" t="s">
        <v>24</v>
      </c>
      <c r="D799" s="6" t="s">
        <v>9562</v>
      </c>
      <c r="E799" s="3" t="str">
        <f t="shared" si="1"/>
        <v>contain&lt;br&gt;&lt;div class="audio"&gt;[sound:contain.mp3]&lt;/div&gt;</v>
      </c>
      <c r="F799" s="3" t="str">
        <f t="shared" si="2"/>
        <v>(v): chứa đựng</v>
      </c>
      <c r="G799" s="6" t="s">
        <v>40688</v>
      </c>
      <c r="H799" s="6" t="s">
        <v>40689</v>
      </c>
      <c r="I799" s="7">
        <f t="shared" si="3"/>
        <v>0.5085694437</v>
      </c>
    </row>
    <row r="800">
      <c r="A800" s="4">
        <v>800.0</v>
      </c>
      <c r="B800" s="3" t="s">
        <v>40690</v>
      </c>
      <c r="C800" s="6" t="s">
        <v>11</v>
      </c>
      <c r="D800" s="6" t="s">
        <v>38623</v>
      </c>
      <c r="E800" s="3" t="str">
        <f t="shared" si="1"/>
        <v>impossible&lt;br&gt;&lt;div class="audio"&gt;[sound:impossible.mp3]&lt;/div&gt;</v>
      </c>
      <c r="F800" s="3" t="str">
        <f t="shared" si="2"/>
        <v>(adj): không thể</v>
      </c>
      <c r="G800" s="6" t="s">
        <v>40691</v>
      </c>
      <c r="H800" s="6" t="s">
        <v>40692</v>
      </c>
      <c r="I800" s="7">
        <f t="shared" si="3"/>
        <v>0.5130716384</v>
      </c>
    </row>
    <row r="801">
      <c r="A801" s="4">
        <v>801.0</v>
      </c>
      <c r="B801" s="3" t="s">
        <v>40693</v>
      </c>
      <c r="C801" s="6" t="s">
        <v>24</v>
      </c>
      <c r="D801" s="6" t="s">
        <v>3109</v>
      </c>
      <c r="E801" s="3" t="str">
        <f t="shared" si="1"/>
        <v>focus&lt;br&gt;&lt;div class="audio"&gt;[sound:focus.mp3]&lt;/div&gt;</v>
      </c>
      <c r="F801" s="3" t="str">
        <f t="shared" si="2"/>
        <v>(v): tập trung</v>
      </c>
      <c r="G801" s="6" t="s">
        <v>40694</v>
      </c>
      <c r="H801" s="6" t="s">
        <v>40695</v>
      </c>
      <c r="I801" s="7">
        <f t="shared" si="3"/>
        <v>0.3872228716</v>
      </c>
    </row>
    <row r="802">
      <c r="A802" s="4">
        <v>802.0</v>
      </c>
      <c r="B802" s="3" t="s">
        <v>40696</v>
      </c>
      <c r="C802" s="6" t="s">
        <v>74</v>
      </c>
      <c r="D802" s="6" t="s">
        <v>2545</v>
      </c>
      <c r="E802" s="3" t="str">
        <f t="shared" si="1"/>
        <v>comment&lt;br&gt;&lt;div class="audio"&gt;[sound:comment.mp3]&lt;/div&gt;</v>
      </c>
      <c r="F802" s="3" t="str">
        <f t="shared" si="2"/>
        <v>(n): bình luận</v>
      </c>
      <c r="G802" s="6" t="s">
        <v>40697</v>
      </c>
      <c r="H802" s="6" t="s">
        <v>40698</v>
      </c>
      <c r="I802" s="7">
        <f t="shared" si="3"/>
        <v>0.05710811863</v>
      </c>
    </row>
    <row r="803">
      <c r="A803" s="4">
        <v>803.0</v>
      </c>
      <c r="B803" s="3" t="s">
        <v>40699</v>
      </c>
      <c r="C803" s="6" t="s">
        <v>74</v>
      </c>
      <c r="D803" s="6" t="s">
        <v>2008</v>
      </c>
      <c r="E803" s="3" t="str">
        <f t="shared" si="1"/>
        <v>influence&lt;br&gt;&lt;div class="audio"&gt;[sound:influence.mp3]&lt;/div&gt;</v>
      </c>
      <c r="F803" s="3" t="str">
        <f t="shared" si="2"/>
        <v>(n): ảnh hưởng</v>
      </c>
      <c r="G803" s="6" t="s">
        <v>40700</v>
      </c>
      <c r="H803" s="6" t="s">
        <v>40701</v>
      </c>
      <c r="I803" s="7">
        <f t="shared" si="3"/>
        <v>0.03819579063</v>
      </c>
    </row>
    <row r="804">
      <c r="A804" s="4">
        <v>804.0</v>
      </c>
      <c r="B804" s="3" t="s">
        <v>40702</v>
      </c>
      <c r="C804" s="6" t="s">
        <v>63</v>
      </c>
      <c r="D804" s="6" t="s">
        <v>128</v>
      </c>
      <c r="E804" s="3" t="str">
        <f t="shared" si="1"/>
        <v>inside&lt;br&gt;&lt;div class="audio"&gt;[sound:inside.mp3]&lt;/div&gt;</v>
      </c>
      <c r="F804" s="3" t="str">
        <f t="shared" si="2"/>
        <v>(prep): bên trong</v>
      </c>
      <c r="G804" s="6" t="s">
        <v>40703</v>
      </c>
      <c r="H804" s="6" t="s">
        <v>40704</v>
      </c>
      <c r="I804" s="7">
        <f t="shared" si="3"/>
        <v>0.1216644868</v>
      </c>
    </row>
    <row r="805">
      <c r="A805" s="4">
        <v>805.0</v>
      </c>
      <c r="B805" s="3" t="s">
        <v>40705</v>
      </c>
      <c r="C805" s="6" t="s">
        <v>85</v>
      </c>
      <c r="D805" s="6" t="s">
        <v>8923</v>
      </c>
      <c r="E805" s="3" t="str">
        <f t="shared" si="1"/>
        <v>exactly&lt;br&gt;&lt;div class="audio"&gt;[sound:exactly.mp3]&lt;/div&gt;</v>
      </c>
      <c r="F805" s="3" t="str">
        <f t="shared" si="2"/>
        <v>(adv): chính xác</v>
      </c>
      <c r="G805" s="6" t="s">
        <v>40706</v>
      </c>
      <c r="H805" s="6" t="s">
        <v>40707</v>
      </c>
      <c r="I805" s="7">
        <f t="shared" si="3"/>
        <v>0.336832776</v>
      </c>
    </row>
    <row r="806">
      <c r="A806" s="4">
        <v>806.0</v>
      </c>
      <c r="B806" s="3" t="s">
        <v>40708</v>
      </c>
      <c r="C806" s="6" t="s">
        <v>11</v>
      </c>
      <c r="D806" s="6" t="s">
        <v>12186</v>
      </c>
      <c r="E806" s="3" t="str">
        <f t="shared" si="1"/>
        <v>comfortable&lt;br&gt;&lt;div class="audio"&gt;[sound:comfortable.mp3]&lt;/div&gt;</v>
      </c>
      <c r="F806" s="3" t="str">
        <f t="shared" si="2"/>
        <v>(adj): thoải mái</v>
      </c>
      <c r="G806" s="6" t="s">
        <v>40709</v>
      </c>
      <c r="H806" s="6" t="s">
        <v>40710</v>
      </c>
      <c r="I806" s="7">
        <f t="shared" si="3"/>
        <v>0.7596461009</v>
      </c>
    </row>
    <row r="807">
      <c r="A807" s="4">
        <v>807.0</v>
      </c>
      <c r="B807" s="3" t="s">
        <v>40711</v>
      </c>
      <c r="C807" s="6" t="s">
        <v>74</v>
      </c>
      <c r="D807" s="6" t="s">
        <v>6856</v>
      </c>
      <c r="E807" s="3" t="str">
        <f t="shared" si="1"/>
        <v>performance&lt;br&gt;&lt;div class="audio"&gt;[sound:performance.mp3]&lt;/div&gt;</v>
      </c>
      <c r="F807" s="3" t="str">
        <f t="shared" si="2"/>
        <v>(n): hiệu suất</v>
      </c>
      <c r="G807" s="6" t="s">
        <v>40712</v>
      </c>
      <c r="H807" s="6" t="s">
        <v>40713</v>
      </c>
      <c r="I807" s="7">
        <f t="shared" si="3"/>
        <v>0.04292216511</v>
      </c>
    </row>
    <row r="808">
      <c r="A808" s="4">
        <v>808.0</v>
      </c>
      <c r="B808" s="3" t="s">
        <v>40714</v>
      </c>
      <c r="C808" s="6" t="s">
        <v>63</v>
      </c>
      <c r="D808" s="6" t="s">
        <v>40715</v>
      </c>
      <c r="E808" s="3" t="str">
        <f t="shared" si="1"/>
        <v>above&lt;br&gt;&lt;div class="audio"&gt;[sound:above.mp3]&lt;/div&gt;</v>
      </c>
      <c r="F808" s="3" t="str">
        <f t="shared" si="2"/>
        <v>(prep): phía trên</v>
      </c>
      <c r="G808" s="6" t="s">
        <v>40716</v>
      </c>
      <c r="H808" s="6" t="s">
        <v>40717</v>
      </c>
      <c r="I808" s="7">
        <f t="shared" si="3"/>
        <v>0.08106961303</v>
      </c>
    </row>
    <row r="809">
      <c r="A809" s="4">
        <v>809.0</v>
      </c>
      <c r="B809" s="3" t="s">
        <v>40718</v>
      </c>
      <c r="C809" s="6" t="s">
        <v>63</v>
      </c>
      <c r="D809" s="6" t="s">
        <v>1308</v>
      </c>
      <c r="E809" s="3" t="str">
        <f t="shared" si="1"/>
        <v>below&lt;br&gt;&lt;div class="audio"&gt;[sound:below.mp3]&lt;/div&gt;</v>
      </c>
      <c r="F809" s="3" t="str">
        <f t="shared" si="2"/>
        <v>(prep): phía dưới</v>
      </c>
      <c r="G809" s="6" t="s">
        <v>40719</v>
      </c>
      <c r="H809" s="6" t="s">
        <v>40720</v>
      </c>
      <c r="I809" s="7">
        <f t="shared" si="3"/>
        <v>0.8307318449</v>
      </c>
    </row>
    <row r="810">
      <c r="A810" s="4">
        <v>810.0</v>
      </c>
      <c r="B810" s="3" t="s">
        <v>40721</v>
      </c>
      <c r="C810" s="6" t="s">
        <v>74</v>
      </c>
      <c r="D810" s="6" t="s">
        <v>17127</v>
      </c>
      <c r="E810" s="3" t="str">
        <f t="shared" si="1"/>
        <v>border&lt;br&gt;&lt;div class="audio"&gt;[sound:border.mp3]&lt;/div&gt;</v>
      </c>
      <c r="F810" s="3" t="str">
        <f t="shared" si="2"/>
        <v>(n): biên giới</v>
      </c>
      <c r="G810" s="6" t="s">
        <v>40722</v>
      </c>
      <c r="H810" s="6" t="s">
        <v>40723</v>
      </c>
      <c r="I810" s="7">
        <f t="shared" si="3"/>
        <v>0.8121575952</v>
      </c>
    </row>
    <row r="811">
      <c r="A811" s="4">
        <v>811.0</v>
      </c>
      <c r="B811" s="3" t="s">
        <v>40724</v>
      </c>
      <c r="C811" s="6" t="s">
        <v>24</v>
      </c>
      <c r="D811" s="6" t="s">
        <v>4499</v>
      </c>
      <c r="E811" s="3" t="str">
        <f t="shared" si="1"/>
        <v>establish&lt;br&gt;&lt;div class="audio"&gt;[sound:establish.mp3]&lt;/div&gt;</v>
      </c>
      <c r="F811" s="3" t="str">
        <f t="shared" si="2"/>
        <v>(v): thiết lập</v>
      </c>
      <c r="G811" s="6" t="s">
        <v>40725</v>
      </c>
      <c r="H811" s="6" t="s">
        <v>40726</v>
      </c>
      <c r="I811" s="7">
        <f t="shared" si="3"/>
        <v>0.2115792796</v>
      </c>
    </row>
    <row r="812">
      <c r="A812" s="4">
        <v>812.0</v>
      </c>
      <c r="B812" s="3" t="s">
        <v>40727</v>
      </c>
      <c r="C812" s="6" t="s">
        <v>63</v>
      </c>
      <c r="D812" s="6" t="s">
        <v>807</v>
      </c>
      <c r="E812" s="3" t="str">
        <f t="shared" si="1"/>
        <v>outside&lt;br&gt;&lt;div class="audio"&gt;[sound:outside.mp3]&lt;/div&gt;</v>
      </c>
      <c r="F812" s="3" t="str">
        <f t="shared" si="2"/>
        <v>(prep): bên ngoài</v>
      </c>
      <c r="G812" s="6" t="s">
        <v>40728</v>
      </c>
      <c r="H812" s="6" t="s">
        <v>40729</v>
      </c>
      <c r="I812" s="7">
        <f t="shared" si="3"/>
        <v>0.1768561576</v>
      </c>
    </row>
    <row r="813">
      <c r="A813" s="4">
        <v>813.0</v>
      </c>
      <c r="B813" s="3" t="s">
        <v>40730</v>
      </c>
      <c r="C813" s="6" t="s">
        <v>24</v>
      </c>
      <c r="D813" s="6" t="s">
        <v>21701</v>
      </c>
      <c r="E813" s="3" t="str">
        <f t="shared" si="1"/>
        <v>release&lt;br&gt;&lt;div class="audio"&gt;[sound:release.mp3]&lt;/div&gt;</v>
      </c>
      <c r="F813" s="3" t="str">
        <f t="shared" si="2"/>
        <v>(v): phát hành</v>
      </c>
      <c r="G813" s="6" t="s">
        <v>40731</v>
      </c>
      <c r="H813" s="6" t="s">
        <v>40732</v>
      </c>
      <c r="I813" s="7">
        <f t="shared" si="3"/>
        <v>0.1825951418</v>
      </c>
    </row>
    <row r="814">
      <c r="A814" s="4">
        <v>814.0</v>
      </c>
      <c r="B814" s="3" t="s">
        <v>40733</v>
      </c>
      <c r="C814" s="6" t="s">
        <v>74</v>
      </c>
      <c r="D814" s="6" t="s">
        <v>40734</v>
      </c>
      <c r="E814" s="3" t="str">
        <f t="shared" si="1"/>
        <v>investment&lt;br&gt;&lt;div class="audio"&gt;[sound:investment.mp3]&lt;/div&gt;</v>
      </c>
      <c r="F814" s="3" t="str">
        <f t="shared" si="2"/>
        <v>(n): sự đầu tư</v>
      </c>
      <c r="G814" s="6" t="s">
        <v>40735</v>
      </c>
      <c r="H814" s="6" t="s">
        <v>40736</v>
      </c>
      <c r="I814" s="7">
        <f t="shared" si="3"/>
        <v>0.3031044907</v>
      </c>
    </row>
    <row r="815">
      <c r="A815" s="4">
        <v>815.0</v>
      </c>
      <c r="B815" s="3" t="s">
        <v>40737</v>
      </c>
      <c r="C815" s="6" t="s">
        <v>11</v>
      </c>
      <c r="D815" s="6" t="s">
        <v>2262</v>
      </c>
      <c r="E815" s="3" t="str">
        <f t="shared" si="1"/>
        <v>final&lt;br&gt;&lt;div class="audio"&gt;[sound:final.mp3]&lt;/div&gt;</v>
      </c>
      <c r="F815" s="3" t="str">
        <f t="shared" si="2"/>
        <v>(adj): cuối cùng</v>
      </c>
      <c r="G815" s="6" t="s">
        <v>40738</v>
      </c>
      <c r="H815" s="6" t="s">
        <v>40739</v>
      </c>
      <c r="I815" s="7">
        <f t="shared" si="3"/>
        <v>0.3082533296</v>
      </c>
    </row>
    <row r="816">
      <c r="A816" s="4">
        <v>816.0</v>
      </c>
      <c r="B816" s="3" t="s">
        <v>40740</v>
      </c>
      <c r="C816" s="6" t="s">
        <v>74</v>
      </c>
      <c r="D816" s="6" t="s">
        <v>40741</v>
      </c>
      <c r="E816" s="3" t="str">
        <f t="shared" si="1"/>
        <v>feature&lt;br&gt;&lt;div class="audio"&gt;[sound:feature.mp3]&lt;/div&gt;</v>
      </c>
      <c r="F816" s="3" t="str">
        <f t="shared" si="2"/>
        <v>(n): tính năng</v>
      </c>
      <c r="G816" s="6" t="s">
        <v>40742</v>
      </c>
      <c r="H816" s="6" t="s">
        <v>40743</v>
      </c>
      <c r="I816" s="7">
        <f t="shared" si="3"/>
        <v>0.6702914968</v>
      </c>
    </row>
    <row r="817">
      <c r="A817" s="4">
        <v>817.0</v>
      </c>
      <c r="B817" s="3" t="s">
        <v>40744</v>
      </c>
      <c r="C817" s="6" t="s">
        <v>74</v>
      </c>
      <c r="D817" s="6" t="s">
        <v>40745</v>
      </c>
      <c r="E817" s="3" t="str">
        <f t="shared" si="1"/>
        <v>network&lt;br&gt;&lt;div class="audio"&gt;[sound:network.mp3]&lt;/div&gt;</v>
      </c>
      <c r="F817" s="3" t="str">
        <f t="shared" si="2"/>
        <v>(n): mạng lưới</v>
      </c>
      <c r="G817" s="6" t="s">
        <v>40746</v>
      </c>
      <c r="H817" s="6" t="s">
        <v>40747</v>
      </c>
      <c r="I817" s="7">
        <f t="shared" si="3"/>
        <v>0.03369700402</v>
      </c>
    </row>
    <row r="818">
      <c r="A818" s="4">
        <v>818.0</v>
      </c>
      <c r="B818" s="3" t="s">
        <v>40748</v>
      </c>
      <c r="C818" s="6" t="s">
        <v>24</v>
      </c>
      <c r="D818" s="8" t="s">
        <v>40749</v>
      </c>
      <c r="E818" s="3" t="str">
        <f t="shared" si="1"/>
        <v>struggle&lt;br&gt;&lt;div class="audio"&gt;[sound:struggle.mp3]&lt;/div&gt;</v>
      </c>
      <c r="F818" s="3" t="str">
        <f t="shared" si="2"/>
        <v>(v): đấu tranh</v>
      </c>
      <c r="G818" s="8" t="s">
        <v>40750</v>
      </c>
      <c r="H818" s="8" t="s">
        <v>40751</v>
      </c>
      <c r="I818" s="7">
        <f t="shared" si="3"/>
        <v>0.5117528122</v>
      </c>
    </row>
    <row r="819">
      <c r="A819" s="4">
        <v>819.0</v>
      </c>
      <c r="B819" s="3" t="s">
        <v>40752</v>
      </c>
      <c r="C819" s="6" t="s">
        <v>74</v>
      </c>
      <c r="D819" s="6" t="s">
        <v>3201</v>
      </c>
      <c r="E819" s="3" t="str">
        <f t="shared" si="1"/>
        <v>activity&lt;br&gt;&lt;div class="audio"&gt;[sound:activity.mp3]&lt;/div&gt;</v>
      </c>
      <c r="F819" s="3" t="str">
        <f t="shared" si="2"/>
        <v>(n): hoạt động</v>
      </c>
      <c r="G819" s="6" t="s">
        <v>40753</v>
      </c>
      <c r="H819" s="6" t="s">
        <v>40754</v>
      </c>
      <c r="I819" s="7">
        <f t="shared" si="3"/>
        <v>0.1504607353</v>
      </c>
    </row>
    <row r="820">
      <c r="A820" s="4">
        <v>820.0</v>
      </c>
      <c r="B820" s="3" t="s">
        <v>40755</v>
      </c>
      <c r="C820" s="6" t="s">
        <v>24</v>
      </c>
      <c r="D820" s="6" t="s">
        <v>3461</v>
      </c>
      <c r="E820" s="3" t="str">
        <f t="shared" si="1"/>
        <v>collect&lt;br&gt;&lt;div class="audio"&gt;[sound:collect.mp3]&lt;/div&gt;</v>
      </c>
      <c r="F820" s="3" t="str">
        <f t="shared" si="2"/>
        <v>(v): thu thập</v>
      </c>
      <c r="G820" s="6" t="s">
        <v>40756</v>
      </c>
      <c r="H820" s="6" t="s">
        <v>40757</v>
      </c>
      <c r="I820" s="7">
        <f t="shared" si="3"/>
        <v>0.07177770075</v>
      </c>
    </row>
    <row r="821">
      <c r="A821" s="4">
        <v>821.0</v>
      </c>
      <c r="B821" s="3" t="s">
        <v>40758</v>
      </c>
      <c r="C821" s="6" t="s">
        <v>74</v>
      </c>
      <c r="D821" s="8" t="s">
        <v>40759</v>
      </c>
      <c r="E821" s="3" t="str">
        <f t="shared" si="1"/>
        <v>survey&lt;br&gt;&lt;div class="audio"&gt;[sound:survey.mp3]&lt;/div&gt;</v>
      </c>
      <c r="F821" s="3" t="str">
        <f t="shared" si="2"/>
        <v>(n): khảo sát</v>
      </c>
      <c r="G821" s="8" t="s">
        <v>40760</v>
      </c>
      <c r="H821" s="8" t="s">
        <v>40761</v>
      </c>
      <c r="I821" s="7">
        <f t="shared" si="3"/>
        <v>0.9985687568</v>
      </c>
    </row>
    <row r="822">
      <c r="A822" s="4">
        <v>822.0</v>
      </c>
      <c r="B822" s="3" t="s">
        <v>40762</v>
      </c>
      <c r="C822" s="6" t="s">
        <v>24</v>
      </c>
      <c r="D822" s="6" t="s">
        <v>40763</v>
      </c>
      <c r="E822" s="3" t="str">
        <f t="shared" si="1"/>
        <v>burn&lt;br&gt;&lt;div class="audio"&gt;[sound:burn.mp3]&lt;/div&gt;</v>
      </c>
      <c r="F822" s="3" t="str">
        <f t="shared" si="2"/>
        <v>(v): đốt cháy</v>
      </c>
      <c r="G822" s="6" t="s">
        <v>40764</v>
      </c>
      <c r="H822" s="6" t="s">
        <v>40765</v>
      </c>
      <c r="I822" s="7">
        <f t="shared" si="3"/>
        <v>0.5234121034</v>
      </c>
    </row>
    <row r="823">
      <c r="A823" s="4">
        <v>823.0</v>
      </c>
      <c r="B823" s="3" t="s">
        <v>40766</v>
      </c>
      <c r="C823" s="6" t="s">
        <v>11</v>
      </c>
      <c r="D823" s="6" t="s">
        <v>3338</v>
      </c>
      <c r="E823" s="3" t="str">
        <f t="shared" si="1"/>
        <v>present&lt;br&gt;&lt;div class="audio"&gt;[sound:present.mp3]&lt;/div&gt;</v>
      </c>
      <c r="F823" s="3" t="str">
        <f t="shared" si="2"/>
        <v>(adj): hiện tại</v>
      </c>
      <c r="G823" s="6" t="s">
        <v>40767</v>
      </c>
      <c r="H823" s="6" t="s">
        <v>40768</v>
      </c>
      <c r="I823" s="7">
        <f t="shared" si="3"/>
        <v>0.6599978704</v>
      </c>
    </row>
    <row r="824">
      <c r="A824" s="4">
        <v>824.0</v>
      </c>
      <c r="B824" s="3" t="s">
        <v>40769</v>
      </c>
      <c r="C824" s="6" t="s">
        <v>74</v>
      </c>
      <c r="D824" s="6" t="s">
        <v>12719</v>
      </c>
      <c r="E824" s="3" t="str">
        <f t="shared" si="1"/>
        <v>race&lt;br&gt;&lt;div class="audio"&gt;[sound:race.mp3]&lt;/div&gt;</v>
      </c>
      <c r="F824" s="3" t="str">
        <f t="shared" si="2"/>
        <v>(n): cuộc đua</v>
      </c>
      <c r="G824" s="6" t="s">
        <v>40770</v>
      </c>
      <c r="H824" s="6" t="s">
        <v>40771</v>
      </c>
      <c r="I824" s="7">
        <f t="shared" si="3"/>
        <v>0.5925001552</v>
      </c>
    </row>
    <row r="825">
      <c r="A825" s="4">
        <v>825.0</v>
      </c>
      <c r="B825" s="3" t="s">
        <v>40772</v>
      </c>
      <c r="C825" s="6" t="s">
        <v>74</v>
      </c>
      <c r="D825" s="6" t="s">
        <v>40773</v>
      </c>
      <c r="E825" s="3" t="str">
        <f t="shared" si="1"/>
        <v>response&lt;br&gt;&lt;div class="audio"&gt;[sound:response.mp3]&lt;/div&gt;</v>
      </c>
      <c r="F825" s="3" t="str">
        <f t="shared" si="2"/>
        <v>(n): phản hồi</v>
      </c>
      <c r="G825" s="6" t="s">
        <v>40774</v>
      </c>
      <c r="H825" s="6" t="s">
        <v>40775</v>
      </c>
      <c r="I825" s="7">
        <f t="shared" si="3"/>
        <v>0.7460783399</v>
      </c>
    </row>
    <row r="826">
      <c r="A826" s="4">
        <v>826.0</v>
      </c>
      <c r="B826" s="3" t="s">
        <v>40776</v>
      </c>
      <c r="C826" s="6" t="s">
        <v>74</v>
      </c>
      <c r="D826" s="6" t="s">
        <v>2385</v>
      </c>
      <c r="E826" s="3" t="str">
        <f t="shared" si="1"/>
        <v>feeling&lt;br&gt;&lt;div class="audio"&gt;[sound:feeling.mp3]&lt;/div&gt;</v>
      </c>
      <c r="F826" s="3" t="str">
        <f t="shared" si="2"/>
        <v>(n): cảm giác</v>
      </c>
      <c r="G826" s="6" t="s">
        <v>40777</v>
      </c>
      <c r="H826" s="6" t="s">
        <v>40778</v>
      </c>
      <c r="I826" s="7">
        <f t="shared" si="3"/>
        <v>0.2441549991</v>
      </c>
    </row>
    <row r="827">
      <c r="A827" s="4">
        <v>827.0</v>
      </c>
      <c r="B827" s="3" t="s">
        <v>40779</v>
      </c>
      <c r="C827" s="6" t="s">
        <v>58</v>
      </c>
      <c r="D827" s="6" t="s">
        <v>40780</v>
      </c>
      <c r="E827" s="3" t="str">
        <f t="shared" si="1"/>
        <v>twenty&lt;br&gt;&lt;div class="audio"&gt;[sound:twenty.mp3]&lt;/div&gt;</v>
      </c>
      <c r="F827" s="3" t="str">
        <f t="shared" si="2"/>
        <v>(num): hai mươi</v>
      </c>
      <c r="G827" s="6" t="s">
        <v>40781</v>
      </c>
      <c r="H827" s="6" t="s">
        <v>40782</v>
      </c>
      <c r="I827" s="7">
        <f t="shared" si="3"/>
        <v>0.527633467</v>
      </c>
    </row>
    <row r="828">
      <c r="A828" s="4">
        <v>828.0</v>
      </c>
      <c r="B828" s="3" t="s">
        <v>40783</v>
      </c>
      <c r="C828" s="6" t="s">
        <v>74</v>
      </c>
      <c r="D828" s="6" t="s">
        <v>3207</v>
      </c>
      <c r="E828" s="3" t="str">
        <f t="shared" si="1"/>
        <v>science&lt;br&gt;&lt;div class="audio"&gt;[sound:science.mp3]&lt;/div&gt;</v>
      </c>
      <c r="F828" s="3" t="str">
        <f t="shared" si="2"/>
        <v>(n): khoa học</v>
      </c>
      <c r="G828" s="6" t="s">
        <v>40784</v>
      </c>
      <c r="H828" s="6" t="s">
        <v>40785</v>
      </c>
      <c r="I828" s="7">
        <f t="shared" si="3"/>
        <v>0.4875757534</v>
      </c>
    </row>
    <row r="829">
      <c r="A829" s="4">
        <v>829.0</v>
      </c>
      <c r="B829" s="3" t="s">
        <v>40786</v>
      </c>
      <c r="C829" s="6" t="s">
        <v>74</v>
      </c>
      <c r="D829" s="8" t="s">
        <v>7084</v>
      </c>
      <c r="E829" s="3" t="str">
        <f t="shared" si="1"/>
        <v>sunday&lt;br&gt;&lt;div class="audio"&gt;[sound:sunday.mp3]&lt;/div&gt;</v>
      </c>
      <c r="F829" s="3" t="str">
        <f t="shared" si="2"/>
        <v>(n): chủ nhật</v>
      </c>
      <c r="G829" s="8" t="s">
        <v>40787</v>
      </c>
      <c r="H829" s="8" t="s">
        <v>40788</v>
      </c>
      <c r="I829" s="7">
        <f t="shared" si="3"/>
        <v>0.9267290467</v>
      </c>
    </row>
    <row r="830">
      <c r="A830" s="4">
        <v>830.0</v>
      </c>
      <c r="B830" s="3" t="s">
        <v>40789</v>
      </c>
      <c r="C830" s="6" t="s">
        <v>24</v>
      </c>
      <c r="D830" s="6" t="s">
        <v>3056</v>
      </c>
      <c r="E830" s="3" t="str">
        <f t="shared" si="1"/>
        <v>search&lt;br&gt;&lt;div class="audio"&gt;[sound:search.mp3]&lt;/div&gt;</v>
      </c>
      <c r="F830" s="3" t="str">
        <f t="shared" si="2"/>
        <v>(v): tìm kiếm</v>
      </c>
      <c r="G830" s="6" t="s">
        <v>40790</v>
      </c>
      <c r="H830" s="6" t="s">
        <v>40791</v>
      </c>
      <c r="I830" s="7">
        <f t="shared" si="3"/>
        <v>0.5893388934</v>
      </c>
    </row>
    <row r="831">
      <c r="A831" s="4">
        <v>831.0</v>
      </c>
      <c r="B831" s="3" t="s">
        <v>40792</v>
      </c>
      <c r="C831" s="6" t="s">
        <v>11</v>
      </c>
      <c r="D831" s="6" t="s">
        <v>3455</v>
      </c>
      <c r="E831" s="3" t="str">
        <f t="shared" si="1"/>
        <v>popular&lt;br&gt;&lt;div class="audio"&gt;[sound:popular.mp3]&lt;/div&gt;</v>
      </c>
      <c r="F831" s="3" t="str">
        <f t="shared" si="2"/>
        <v>(adj): phổ biến</v>
      </c>
      <c r="G831" s="6" t="s">
        <v>40793</v>
      </c>
      <c r="H831" s="6" t="s">
        <v>40794</v>
      </c>
      <c r="I831" s="7">
        <f t="shared" si="3"/>
        <v>0.06113273824</v>
      </c>
    </row>
    <row r="832">
      <c r="A832" s="4">
        <v>832.0</v>
      </c>
      <c r="B832" s="3" t="s">
        <v>40795</v>
      </c>
      <c r="C832" s="6" t="s">
        <v>85</v>
      </c>
      <c r="D832" s="6" t="s">
        <v>3315</v>
      </c>
      <c r="E832" s="3" t="str">
        <f t="shared" si="1"/>
        <v>particularly&lt;br&gt;&lt;div class="audio"&gt;[sound:particularly.mp3]&lt;/div&gt;</v>
      </c>
      <c r="F832" s="3" t="str">
        <f t="shared" si="2"/>
        <v>(adv): đặc biệt</v>
      </c>
      <c r="G832" s="6" t="s">
        <v>40796</v>
      </c>
      <c r="H832" s="6" t="s">
        <v>40797</v>
      </c>
      <c r="I832" s="7">
        <f t="shared" si="3"/>
        <v>0.9776205666</v>
      </c>
    </row>
    <row r="833">
      <c r="A833" s="4">
        <v>833.0</v>
      </c>
      <c r="B833" s="3" t="s">
        <v>40798</v>
      </c>
      <c r="C833" s="6" t="s">
        <v>74</v>
      </c>
      <c r="D833" s="6" t="s">
        <v>103</v>
      </c>
      <c r="E833" s="3" t="str">
        <f t="shared" si="1"/>
        <v>bit&lt;br&gt;&lt;div class="audio"&gt;[sound:bit.mp3]&lt;/div&gt;</v>
      </c>
      <c r="F833" s="3" t="str">
        <f t="shared" si="2"/>
        <v>(n): một chút</v>
      </c>
      <c r="G833" s="6" t="s">
        <v>40799</v>
      </c>
      <c r="H833" s="6" t="s">
        <v>40800</v>
      </c>
      <c r="I833" s="7">
        <f t="shared" si="3"/>
        <v>0.5884196029</v>
      </c>
    </row>
    <row r="834">
      <c r="A834" s="4">
        <v>834.0</v>
      </c>
      <c r="B834" s="3" t="s">
        <v>40801</v>
      </c>
      <c r="C834" s="6" t="s">
        <v>74</v>
      </c>
      <c r="D834" s="8" t="s">
        <v>9660</v>
      </c>
      <c r="E834" s="3" t="str">
        <f t="shared" si="1"/>
        <v>sight&lt;br&gt;&lt;div class="audio"&gt;[sound:sight.mp3]&lt;/div&gt;</v>
      </c>
      <c r="F834" s="3" t="str">
        <f t="shared" si="2"/>
        <v>(n): tầm nhìn</v>
      </c>
      <c r="G834" s="8" t="s">
        <v>40802</v>
      </c>
      <c r="H834" s="8" t="s">
        <v>40803</v>
      </c>
      <c r="I834" s="7">
        <f t="shared" si="3"/>
        <v>0.4220104323</v>
      </c>
    </row>
    <row r="835">
      <c r="A835" s="4">
        <v>835.0</v>
      </c>
      <c r="B835" s="3" t="s">
        <v>40804</v>
      </c>
      <c r="C835" s="6" t="s">
        <v>74</v>
      </c>
      <c r="D835" s="6" t="s">
        <v>6397</v>
      </c>
      <c r="E835" s="3" t="str">
        <f t="shared" si="1"/>
        <v>contact&lt;br&gt;&lt;div class="audio"&gt;[sound:contact.mp3]&lt;/div&gt;</v>
      </c>
      <c r="F835" s="3" t="str">
        <f t="shared" si="2"/>
        <v>(n): liên lạc</v>
      </c>
      <c r="G835" s="6" t="s">
        <v>40805</v>
      </c>
      <c r="H835" s="6" t="s">
        <v>40806</v>
      </c>
      <c r="I835" s="7">
        <f t="shared" si="3"/>
        <v>0.4706717538</v>
      </c>
    </row>
    <row r="836">
      <c r="A836" s="4">
        <v>836.0</v>
      </c>
      <c r="B836" s="3" t="s">
        <v>40807</v>
      </c>
      <c r="C836" s="6" t="s">
        <v>74</v>
      </c>
      <c r="D836" s="8" t="s">
        <v>22850</v>
      </c>
      <c r="E836" s="3" t="str">
        <f t="shared" si="1"/>
        <v>spending&lt;br&gt;&lt;div class="audio"&gt;[sound:spending.mp3]&lt;/div&gt;</v>
      </c>
      <c r="F836" s="3" t="str">
        <f t="shared" si="2"/>
        <v>(n): chi tiêu</v>
      </c>
      <c r="G836" s="8" t="s">
        <v>40808</v>
      </c>
      <c r="H836" s="8" t="s">
        <v>40809</v>
      </c>
      <c r="I836" s="7">
        <f t="shared" si="3"/>
        <v>0.815540548</v>
      </c>
    </row>
    <row r="837">
      <c r="A837" s="4">
        <v>837.0</v>
      </c>
      <c r="B837" s="3" t="s">
        <v>40810</v>
      </c>
      <c r="C837" s="6" t="s">
        <v>24</v>
      </c>
      <c r="D837" s="6" t="s">
        <v>1050</v>
      </c>
      <c r="E837" s="3" t="str">
        <f t="shared" si="1"/>
        <v>confirm&lt;br&gt;&lt;div class="audio"&gt;[sound:confirm.mp3]&lt;/div&gt;</v>
      </c>
      <c r="F837" s="3" t="str">
        <f t="shared" si="2"/>
        <v>(v): xác nhận</v>
      </c>
      <c r="G837" s="6" t="s">
        <v>40811</v>
      </c>
      <c r="H837" s="6" t="s">
        <v>40812</v>
      </c>
      <c r="I837" s="7">
        <f t="shared" si="3"/>
        <v>0.110603776</v>
      </c>
    </row>
    <row r="838">
      <c r="A838" s="4">
        <v>838.0</v>
      </c>
      <c r="B838" s="3" t="s">
        <v>40813</v>
      </c>
      <c r="C838" s="6" t="s">
        <v>24</v>
      </c>
      <c r="D838" s="6" t="s">
        <v>5634</v>
      </c>
      <c r="E838" s="3" t="str">
        <f t="shared" si="1"/>
        <v>express&lt;br&gt;&lt;div class="audio"&gt;[sound:express.mp3]&lt;/div&gt;</v>
      </c>
      <c r="F838" s="3" t="str">
        <f t="shared" si="2"/>
        <v>(v): thể hiện</v>
      </c>
      <c r="G838" s="6" t="s">
        <v>40814</v>
      </c>
      <c r="H838" s="6" t="s">
        <v>40815</v>
      </c>
      <c r="I838" s="7">
        <f t="shared" si="3"/>
        <v>0.0252808283</v>
      </c>
    </row>
    <row r="839">
      <c r="A839" s="4">
        <v>839.0</v>
      </c>
      <c r="B839" s="3" t="s">
        <v>40816</v>
      </c>
      <c r="C839" s="6" t="s">
        <v>74</v>
      </c>
      <c r="D839" s="6" t="s">
        <v>40817</v>
      </c>
      <c r="E839" s="3" t="str">
        <f t="shared" si="1"/>
        <v>attention&lt;br&gt;&lt;div class="audio"&gt;[sound:attention.mp3]&lt;/div&gt;</v>
      </c>
      <c r="F839" s="3" t="str">
        <f t="shared" si="2"/>
        <v>(n): sự chú ý</v>
      </c>
      <c r="G839" s="6" t="s">
        <v>40818</v>
      </c>
      <c r="H839" s="6" t="s">
        <v>40819</v>
      </c>
      <c r="I839" s="7">
        <f t="shared" si="3"/>
        <v>0.1865212227</v>
      </c>
    </row>
    <row r="840">
      <c r="A840" s="4">
        <v>840.0</v>
      </c>
      <c r="B840" s="3" t="s">
        <v>40820</v>
      </c>
      <c r="C840" s="6" t="s">
        <v>24</v>
      </c>
      <c r="D840" s="6" t="s">
        <v>5572</v>
      </c>
      <c r="E840" s="3" t="str">
        <f t="shared" si="1"/>
        <v>prepare&lt;br&gt;&lt;div class="audio"&gt;[sound:prepare.mp3]&lt;/div&gt;</v>
      </c>
      <c r="F840" s="3" t="str">
        <f t="shared" si="2"/>
        <v>(v): chuẩn bị</v>
      </c>
      <c r="G840" s="6" t="s">
        <v>40821</v>
      </c>
      <c r="H840" s="6" t="s">
        <v>40822</v>
      </c>
      <c r="I840" s="7">
        <f t="shared" si="3"/>
        <v>0.8514803214</v>
      </c>
    </row>
    <row r="841">
      <c r="A841" s="4">
        <v>841.0</v>
      </c>
      <c r="B841" s="3" t="s">
        <v>40823</v>
      </c>
      <c r="C841" s="6" t="s">
        <v>74</v>
      </c>
      <c r="D841" s="6" t="s">
        <v>17358</v>
      </c>
      <c r="E841" s="3" t="str">
        <f t="shared" si="1"/>
        <v>crime&lt;br&gt;&lt;div class="audio"&gt;[sound:crime.mp3]&lt;/div&gt;</v>
      </c>
      <c r="F841" s="3" t="str">
        <f t="shared" si="2"/>
        <v>(n): tội phạm</v>
      </c>
      <c r="G841" s="6" t="s">
        <v>40824</v>
      </c>
      <c r="H841" s="6" t="s">
        <v>40825</v>
      </c>
      <c r="I841" s="7">
        <f t="shared" si="3"/>
        <v>0.2307318538</v>
      </c>
    </row>
    <row r="842">
      <c r="A842" s="4">
        <v>842.0</v>
      </c>
      <c r="B842" s="3" t="s">
        <v>40826</v>
      </c>
      <c r="C842" s="6" t="s">
        <v>11</v>
      </c>
      <c r="D842" s="6" t="s">
        <v>40827</v>
      </c>
      <c r="E842" s="3" t="str">
        <f t="shared" si="1"/>
        <v>blonde&lt;br&gt;&lt;div class="audio"&gt;[sound:blonde.mp3]&lt;/div&gt;</v>
      </c>
      <c r="F842" s="3" t="str">
        <f t="shared" si="2"/>
        <v>(adj): tóc vàng</v>
      </c>
      <c r="G842" s="6" t="s">
        <v>40828</v>
      </c>
      <c r="H842" s="6" t="s">
        <v>40829</v>
      </c>
      <c r="I842" s="7">
        <f t="shared" si="3"/>
        <v>0.5070179118</v>
      </c>
    </row>
    <row r="843">
      <c r="A843" s="4">
        <v>843.0</v>
      </c>
      <c r="B843" s="3" t="s">
        <v>40830</v>
      </c>
      <c r="C843" s="6" t="s">
        <v>74</v>
      </c>
      <c r="D843" s="6" t="s">
        <v>8837</v>
      </c>
      <c r="E843" s="3" t="str">
        <f t="shared" si="1"/>
        <v>arm&lt;br&gt;&lt;div class="audio"&gt;[sound:arm.mp3]&lt;/div&gt;</v>
      </c>
      <c r="F843" s="3" t="str">
        <f t="shared" si="2"/>
        <v>(n): cánh tay</v>
      </c>
      <c r="G843" s="6" t="s">
        <v>40831</v>
      </c>
      <c r="H843" s="6" t="s">
        <v>40832</v>
      </c>
      <c r="I843" s="7">
        <f t="shared" si="3"/>
        <v>0.8009493778</v>
      </c>
    </row>
    <row r="844">
      <c r="A844" s="4">
        <v>844.0</v>
      </c>
      <c r="B844" s="3" t="s">
        <v>40833</v>
      </c>
      <c r="C844" s="6" t="s">
        <v>11</v>
      </c>
      <c r="D844" s="6" t="s">
        <v>21680</v>
      </c>
      <c r="E844" s="3" t="str">
        <f t="shared" si="1"/>
        <v>alone&lt;br&gt;&lt;div class="audio"&gt;[sound:alone.mp3]&lt;/div&gt;</v>
      </c>
      <c r="F844" s="3" t="str">
        <f t="shared" si="2"/>
        <v>(adj): một mình</v>
      </c>
      <c r="G844" s="6" t="s">
        <v>40834</v>
      </c>
      <c r="H844" s="6" t="s">
        <v>40835</v>
      </c>
      <c r="I844" s="7">
        <f t="shared" si="3"/>
        <v>0.141249279</v>
      </c>
    </row>
    <row r="845">
      <c r="A845" s="4">
        <v>845.0</v>
      </c>
      <c r="B845" s="3" t="s">
        <v>40836</v>
      </c>
      <c r="C845" s="6" t="s">
        <v>24</v>
      </c>
      <c r="D845" s="8" t="s">
        <v>824</v>
      </c>
      <c r="E845" s="3" t="str">
        <f t="shared" si="1"/>
        <v>shift&lt;br&gt;&lt;div class="audio"&gt;[sound:shift.mp3]&lt;/div&gt;</v>
      </c>
      <c r="F845" s="3" t="str">
        <f t="shared" si="2"/>
        <v>(v): thay đổi</v>
      </c>
      <c r="G845" s="8" t="s">
        <v>40837</v>
      </c>
      <c r="H845" s="8" t="s">
        <v>40838</v>
      </c>
      <c r="I845" s="7">
        <f t="shared" si="3"/>
        <v>0.4370532488</v>
      </c>
    </row>
    <row r="846">
      <c r="A846" s="4">
        <v>846.0</v>
      </c>
      <c r="B846" s="3" t="s">
        <v>40839</v>
      </c>
      <c r="C846" s="6" t="s">
        <v>11</v>
      </c>
      <c r="D846" s="6" t="s">
        <v>40840</v>
      </c>
      <c r="E846" s="3" t="str">
        <f t="shared" si="1"/>
        <v>excellent&lt;br&gt;&lt;div class="audio"&gt;[sound:excellent.mp3]&lt;/div&gt;</v>
      </c>
      <c r="F846" s="3" t="str">
        <f t="shared" si="2"/>
        <v>(adj): xuất sắc</v>
      </c>
      <c r="G846" s="6" t="s">
        <v>40841</v>
      </c>
      <c r="H846" s="6" t="s">
        <v>40842</v>
      </c>
      <c r="I846" s="7">
        <f t="shared" si="3"/>
        <v>0.5557088267</v>
      </c>
    </row>
    <row r="847">
      <c r="A847" s="4">
        <v>847.0</v>
      </c>
      <c r="B847" s="3" t="s">
        <v>40843</v>
      </c>
      <c r="C847" s="6" t="s">
        <v>74</v>
      </c>
      <c r="D847" s="6" t="s">
        <v>8066</v>
      </c>
      <c r="E847" s="3" t="str">
        <f t="shared" si="1"/>
        <v>equipment&lt;br&gt;&lt;div class="audio"&gt;[sound:equipment.mp3]&lt;/div&gt;</v>
      </c>
      <c r="F847" s="3" t="str">
        <f t="shared" si="2"/>
        <v>(n): thiết bị</v>
      </c>
      <c r="G847" s="6" t="s">
        <v>40844</v>
      </c>
      <c r="H847" s="6" t="s">
        <v>40845</v>
      </c>
      <c r="I847" s="7">
        <f t="shared" si="3"/>
        <v>0.8796133382</v>
      </c>
    </row>
    <row r="848">
      <c r="A848" s="4">
        <v>848.0</v>
      </c>
      <c r="B848" s="3" t="s">
        <v>40846</v>
      </c>
      <c r="C848" s="6" t="s">
        <v>74</v>
      </c>
      <c r="D848" s="6" t="s">
        <v>16821</v>
      </c>
      <c r="E848" s="3" t="str">
        <f t="shared" si="1"/>
        <v>meeting&lt;br&gt;&lt;div class="audio"&gt;[sound:meeting.mp3]&lt;/div&gt;</v>
      </c>
      <c r="F848" s="3" t="str">
        <f t="shared" si="2"/>
        <v>(n): cuộc họp</v>
      </c>
      <c r="G848" s="6" t="s">
        <v>40847</v>
      </c>
      <c r="H848" s="6" t="s">
        <v>40848</v>
      </c>
      <c r="I848" s="7">
        <f t="shared" si="3"/>
        <v>0.2421759761</v>
      </c>
    </row>
    <row r="849">
      <c r="A849" s="4">
        <v>849.0</v>
      </c>
      <c r="B849" s="3" t="s">
        <v>40849</v>
      </c>
      <c r="C849" s="6" t="s">
        <v>74</v>
      </c>
      <c r="D849" s="8" t="s">
        <v>23184</v>
      </c>
      <c r="E849" s="3" t="str">
        <f t="shared" si="1"/>
        <v>signal&lt;br&gt;&lt;div class="audio"&gt;[sound:signal.mp3]&lt;/div&gt;</v>
      </c>
      <c r="F849" s="3" t="str">
        <f t="shared" si="2"/>
        <v>(n): tín hiệu</v>
      </c>
      <c r="G849" s="8" t="s">
        <v>40850</v>
      </c>
      <c r="H849" s="8" t="s">
        <v>40851</v>
      </c>
      <c r="I849" s="7">
        <f t="shared" si="3"/>
        <v>0.858303173</v>
      </c>
    </row>
    <row r="850">
      <c r="A850" s="4">
        <v>850.0</v>
      </c>
      <c r="B850" s="3" t="s">
        <v>40852</v>
      </c>
      <c r="C850" s="6" t="s">
        <v>11</v>
      </c>
      <c r="D850" s="6" t="s">
        <v>3080</v>
      </c>
      <c r="E850" s="3" t="str">
        <f t="shared" si="1"/>
        <v>based&lt;br&gt;&lt;div class="audio"&gt;[sound:based.mp3]&lt;/div&gt;</v>
      </c>
      <c r="F850" s="3" t="str">
        <f t="shared" si="2"/>
        <v>(adj): dựa trên</v>
      </c>
      <c r="G850" s="6" t="s">
        <v>40853</v>
      </c>
      <c r="H850" s="6" t="s">
        <v>40854</v>
      </c>
      <c r="I850" s="7">
        <f t="shared" si="3"/>
        <v>0.3931046846</v>
      </c>
    </row>
    <row r="851">
      <c r="A851" s="4">
        <v>851.0</v>
      </c>
      <c r="B851" s="3" t="s">
        <v>40855</v>
      </c>
      <c r="C851" s="6" t="s">
        <v>11</v>
      </c>
      <c r="D851" s="8" t="s">
        <v>9582</v>
      </c>
      <c r="E851" s="3" t="str">
        <f t="shared" si="1"/>
        <v>sexual&lt;br&gt;&lt;div class="audio"&gt;[sound:sexual.mp3]&lt;/div&gt;</v>
      </c>
      <c r="F851" s="3" t="str">
        <f t="shared" si="2"/>
        <v>(adj): tình dục</v>
      </c>
      <c r="G851" s="8" t="s">
        <v>40856</v>
      </c>
      <c r="H851" s="8" t="s">
        <v>40857</v>
      </c>
      <c r="I851" s="7">
        <f t="shared" si="3"/>
        <v>0.1972795519</v>
      </c>
    </row>
    <row r="852">
      <c r="A852" s="4">
        <v>852.0</v>
      </c>
      <c r="B852" s="3" t="s">
        <v>40858</v>
      </c>
      <c r="C852" s="6" t="s">
        <v>44</v>
      </c>
      <c r="D852" s="6" t="s">
        <v>40859</v>
      </c>
      <c r="E852" s="3" t="str">
        <f t="shared" si="1"/>
        <v>themselves&lt;br&gt;&lt;div class="audio"&gt;[sound:themselves.mp3]&lt;/div&gt;</v>
      </c>
      <c r="F852" s="3" t="str">
        <f t="shared" si="2"/>
        <v>(pron): chính họ</v>
      </c>
      <c r="G852" s="6" t="s">
        <v>40860</v>
      </c>
      <c r="H852" s="6" t="s">
        <v>40861</v>
      </c>
      <c r="I852" s="7">
        <f t="shared" si="3"/>
        <v>0.3452253771</v>
      </c>
    </row>
    <row r="853">
      <c r="A853" s="4">
        <v>853.0</v>
      </c>
      <c r="B853" s="3" t="s">
        <v>40862</v>
      </c>
      <c r="C853" s="6" t="s">
        <v>24</v>
      </c>
      <c r="D853" s="6" t="s">
        <v>8072</v>
      </c>
      <c r="E853" s="3" t="str">
        <f t="shared" si="1"/>
        <v>enable&lt;br&gt;&lt;div class="audio"&gt;[sound:enable.mp3]&lt;/div&gt;</v>
      </c>
      <c r="F853" s="3" t="str">
        <f t="shared" si="2"/>
        <v>(v): cho phép</v>
      </c>
      <c r="G853" s="6" t="s">
        <v>40863</v>
      </c>
      <c r="H853" s="6" t="s">
        <v>40864</v>
      </c>
      <c r="I853" s="7">
        <f t="shared" si="3"/>
        <v>0.7934925894</v>
      </c>
    </row>
    <row r="854">
      <c r="A854" s="4">
        <v>854.0</v>
      </c>
      <c r="B854" s="3" t="s">
        <v>40865</v>
      </c>
      <c r="C854" s="6" t="s">
        <v>85</v>
      </c>
      <c r="D854" s="6" t="s">
        <v>19536</v>
      </c>
      <c r="E854" s="3" t="str">
        <f t="shared" si="1"/>
        <v>closely&lt;br&gt;&lt;div class="audio"&gt;[sound:closely.mp3]&lt;/div&gt;</v>
      </c>
      <c r="F854" s="3" t="str">
        <f t="shared" si="2"/>
        <v>(adv): chặt chẽ</v>
      </c>
      <c r="G854" s="6" t="s">
        <v>40866</v>
      </c>
      <c r="H854" s="6" t="s">
        <v>40867</v>
      </c>
      <c r="I854" s="7">
        <f t="shared" si="3"/>
        <v>0.6022668029</v>
      </c>
    </row>
    <row r="855">
      <c r="A855" s="4">
        <v>855.0</v>
      </c>
      <c r="B855" s="3" t="s">
        <v>40868</v>
      </c>
      <c r="C855" s="6" t="s">
        <v>74</v>
      </c>
      <c r="D855" s="6" t="s">
        <v>40869</v>
      </c>
      <c r="E855" s="3" t="str">
        <f t="shared" si="1"/>
        <v>option&lt;br&gt;&lt;div class="audio"&gt;[sound:option.mp3]&lt;/div&gt;</v>
      </c>
      <c r="F855" s="3" t="str">
        <f t="shared" si="2"/>
        <v>(n): tùy chọn</v>
      </c>
      <c r="G855" s="6" t="s">
        <v>40870</v>
      </c>
      <c r="H855" s="6" t="s">
        <v>40871</v>
      </c>
      <c r="I855" s="7">
        <f t="shared" si="3"/>
        <v>0.9185332436</v>
      </c>
    </row>
    <row r="856">
      <c r="A856" s="4">
        <v>856.0</v>
      </c>
      <c r="B856" s="3" t="s">
        <v>40872</v>
      </c>
      <c r="C856" s="6" t="s">
        <v>74</v>
      </c>
      <c r="D856" s="6" t="s">
        <v>5746</v>
      </c>
      <c r="E856" s="3" t="str">
        <f t="shared" si="1"/>
        <v>purpose&lt;br&gt;&lt;div class="audio"&gt;[sound:purpose.mp3]&lt;/div&gt;</v>
      </c>
      <c r="F856" s="3" t="str">
        <f t="shared" si="2"/>
        <v>(n): mục đích</v>
      </c>
      <c r="G856" s="6" t="s">
        <v>40873</v>
      </c>
      <c r="H856" s="6" t="s">
        <v>40874</v>
      </c>
      <c r="I856" s="7">
        <f t="shared" si="3"/>
        <v>0.8033457408</v>
      </c>
    </row>
    <row r="857">
      <c r="A857" s="4">
        <v>857.0</v>
      </c>
      <c r="B857" s="3" t="s">
        <v>40875</v>
      </c>
      <c r="C857" s="6" t="s">
        <v>74</v>
      </c>
      <c r="D857" s="6" t="s">
        <v>16951</v>
      </c>
      <c r="E857" s="3" t="str">
        <f t="shared" si="1"/>
        <v>competition&lt;br&gt;&lt;div class="audio"&gt;[sound:competition.mp3]&lt;/div&gt;</v>
      </c>
      <c r="F857" s="3" t="str">
        <f t="shared" si="2"/>
        <v>(n): cuộc thi</v>
      </c>
      <c r="G857" s="6" t="s">
        <v>40876</v>
      </c>
      <c r="H857" s="6" t="s">
        <v>40877</v>
      </c>
      <c r="I857" s="7">
        <f t="shared" si="3"/>
        <v>0.1939661254</v>
      </c>
    </row>
    <row r="858">
      <c r="A858" s="4">
        <v>858.0</v>
      </c>
      <c r="B858" s="3" t="s">
        <v>40878</v>
      </c>
      <c r="C858" s="6" t="s">
        <v>24</v>
      </c>
      <c r="D858" s="6" t="s">
        <v>2236</v>
      </c>
      <c r="E858" s="3" t="str">
        <f t="shared" si="1"/>
        <v>achieve&lt;br&gt;&lt;div class="audio"&gt;[sound:achieve.mp3]&lt;/div&gt;</v>
      </c>
      <c r="F858" s="3" t="str">
        <f t="shared" si="2"/>
        <v>(v): đạt được</v>
      </c>
      <c r="G858" s="6" t="s">
        <v>40879</v>
      </c>
      <c r="H858" s="6" t="s">
        <v>40880</v>
      </c>
      <c r="I858" s="7">
        <f t="shared" si="3"/>
        <v>0.748891703</v>
      </c>
    </row>
    <row r="859">
      <c r="A859" s="4">
        <v>859.0</v>
      </c>
      <c r="B859" s="3" t="s">
        <v>40881</v>
      </c>
      <c r="C859" s="6" t="s">
        <v>74</v>
      </c>
      <c r="D859" s="6" t="s">
        <v>40882</v>
      </c>
      <c r="E859" s="3" t="str">
        <f t="shared" si="1"/>
        <v>argument&lt;br&gt;&lt;div class="audio"&gt;[sound:argument.mp3]&lt;/div&gt;</v>
      </c>
      <c r="F859" s="3" t="str">
        <f t="shared" si="2"/>
        <v>(n): lập luận</v>
      </c>
      <c r="G859" s="6" t="s">
        <v>40883</v>
      </c>
      <c r="H859" s="6" t="s">
        <v>40884</v>
      </c>
      <c r="I859" s="7">
        <f t="shared" si="3"/>
        <v>0.8662078444</v>
      </c>
    </row>
    <row r="860">
      <c r="A860" s="4">
        <v>860.0</v>
      </c>
      <c r="B860" s="3" t="s">
        <v>40885</v>
      </c>
      <c r="C860" s="6" t="s">
        <v>24</v>
      </c>
      <c r="D860" s="6" t="s">
        <v>2992</v>
      </c>
      <c r="E860" s="3" t="str">
        <f t="shared" si="1"/>
        <v>apply&lt;br&gt;&lt;div class="audio"&gt;[sound:apply.mp3]&lt;/div&gt;</v>
      </c>
      <c r="F860" s="3" t="str">
        <f t="shared" si="2"/>
        <v>(v): áp dụng</v>
      </c>
      <c r="G860" s="6" t="s">
        <v>40886</v>
      </c>
      <c r="H860" s="6" t="s">
        <v>40887</v>
      </c>
      <c r="I860" s="7">
        <f t="shared" si="3"/>
        <v>0.4333952293</v>
      </c>
    </row>
    <row r="861">
      <c r="A861" s="4">
        <v>861.0</v>
      </c>
      <c r="B861" s="3" t="s">
        <v>40888</v>
      </c>
      <c r="C861" s="6" t="s">
        <v>74</v>
      </c>
      <c r="D861" s="6" t="s">
        <v>6159</v>
      </c>
      <c r="E861" s="3" t="str">
        <f t="shared" si="1"/>
        <v>floor&lt;br&gt;&lt;div class="audio"&gt;[sound:floor.mp3]&lt;/div&gt;</v>
      </c>
      <c r="F861" s="3" t="str">
        <f t="shared" si="2"/>
        <v>(n): sàn nhà</v>
      </c>
      <c r="G861" s="6" t="s">
        <v>40889</v>
      </c>
      <c r="H861" s="6" t="s">
        <v>40890</v>
      </c>
      <c r="I861" s="7">
        <f t="shared" si="3"/>
        <v>0.7350869422</v>
      </c>
    </row>
    <row r="862">
      <c r="A862" s="4">
        <v>862.0</v>
      </c>
      <c r="B862" s="3" t="s">
        <v>40891</v>
      </c>
      <c r="C862" s="6" t="s">
        <v>24</v>
      </c>
      <c r="D862" s="6" t="s">
        <v>7880</v>
      </c>
      <c r="E862" s="3" t="str">
        <f t="shared" si="1"/>
        <v>connect&lt;br&gt;&lt;div class="audio"&gt;[sound:connect.mp3]&lt;/div&gt;</v>
      </c>
      <c r="F862" s="3" t="str">
        <f t="shared" si="2"/>
        <v>(v): kết nối</v>
      </c>
      <c r="G862" s="6" t="s">
        <v>40892</v>
      </c>
      <c r="H862" s="6" t="s">
        <v>40893</v>
      </c>
      <c r="I862" s="7">
        <f t="shared" si="3"/>
        <v>0.3592996937</v>
      </c>
    </row>
    <row r="863">
      <c r="A863" s="4">
        <v>863.0</v>
      </c>
      <c r="B863" s="3" t="s">
        <v>40894</v>
      </c>
      <c r="C863" s="6" t="s">
        <v>74</v>
      </c>
      <c r="D863" s="6" t="s">
        <v>9087</v>
      </c>
      <c r="E863" s="3" t="str">
        <f t="shared" si="1"/>
        <v>exercise&lt;br&gt;&lt;div class="audio"&gt;[sound:exercise.mp3]&lt;/div&gt;</v>
      </c>
      <c r="F863" s="3" t="str">
        <f t="shared" si="2"/>
        <v>(n): bài tập</v>
      </c>
      <c r="G863" s="6" t="s">
        <v>40895</v>
      </c>
      <c r="H863" s="6" t="s">
        <v>40896</v>
      </c>
      <c r="I863" s="7">
        <f t="shared" si="3"/>
        <v>0.2985853581</v>
      </c>
    </row>
    <row r="864">
      <c r="A864" s="4">
        <v>864.0</v>
      </c>
      <c r="B864" s="3" t="s">
        <v>40897</v>
      </c>
      <c r="C864" s="6" t="s">
        <v>24</v>
      </c>
      <c r="D864" s="6" t="s">
        <v>206</v>
      </c>
      <c r="E864" s="3" t="str">
        <f t="shared" si="1"/>
        <v>exist&lt;br&gt;&lt;div class="audio"&gt;[sound:exist.mp3]&lt;/div&gt;</v>
      </c>
      <c r="F864" s="3" t="str">
        <f t="shared" si="2"/>
        <v>(v): tồn tại</v>
      </c>
      <c r="G864" s="6" t="s">
        <v>40898</v>
      </c>
      <c r="H864" s="6" t="s">
        <v>40899</v>
      </c>
      <c r="I864" s="7">
        <f t="shared" si="3"/>
        <v>0.6926305606</v>
      </c>
    </row>
    <row r="865">
      <c r="A865" s="4">
        <v>865.0</v>
      </c>
      <c r="B865" s="3" t="s">
        <v>40900</v>
      </c>
      <c r="C865" s="6" t="s">
        <v>24</v>
      </c>
      <c r="D865" s="6" t="s">
        <v>2240</v>
      </c>
      <c r="E865" s="3" t="str">
        <f t="shared" si="1"/>
        <v>lie&lt;br&gt;&lt;div class="audio"&gt;[sound:lie.mp3]&lt;/div&gt;</v>
      </c>
      <c r="F865" s="3" t="str">
        <f t="shared" si="2"/>
        <v>(v): nói dối</v>
      </c>
      <c r="G865" s="6" t="s">
        <v>40901</v>
      </c>
      <c r="H865" s="6" t="s">
        <v>40902</v>
      </c>
      <c r="I865" s="7">
        <f t="shared" si="3"/>
        <v>0.5963538834</v>
      </c>
    </row>
    <row r="866">
      <c r="A866" s="4">
        <v>866.0</v>
      </c>
      <c r="B866" s="3" t="s">
        <v>40903</v>
      </c>
      <c r="C866" s="6" t="s">
        <v>11</v>
      </c>
      <c r="D866" s="6" t="s">
        <v>506</v>
      </c>
      <c r="E866" s="3" t="str">
        <f t="shared" si="1"/>
        <v>further&lt;br&gt;&lt;div class="audio"&gt;[sound:further.mp3]&lt;/div&gt;</v>
      </c>
      <c r="F866" s="3" t="str">
        <f t="shared" si="2"/>
        <v>(adj): hơn nữa</v>
      </c>
      <c r="G866" s="6" t="s">
        <v>40904</v>
      </c>
      <c r="H866" s="6" t="s">
        <v>40905</v>
      </c>
      <c r="I866" s="7">
        <f t="shared" si="3"/>
        <v>0.8702300196</v>
      </c>
    </row>
    <row r="867">
      <c r="A867" s="4">
        <v>867.0</v>
      </c>
      <c r="B867" s="3" t="s">
        <v>40906</v>
      </c>
      <c r="C867" s="8" t="s">
        <v>24</v>
      </c>
      <c r="D867" s="8" t="s">
        <v>16050</v>
      </c>
      <c r="E867" s="3" t="str">
        <f t="shared" si="1"/>
        <v>suit&lt;br&gt;&lt;div class="audio"&gt;[sound:suit.mp3]&lt;/div&gt;</v>
      </c>
      <c r="F867" s="3" t="str">
        <f t="shared" si="2"/>
        <v>(v): phù hợp</v>
      </c>
      <c r="G867" s="8" t="s">
        <v>40907</v>
      </c>
      <c r="H867" s="8" t="s">
        <v>40908</v>
      </c>
      <c r="I867" s="7">
        <f t="shared" si="3"/>
        <v>0.5509890742</v>
      </c>
    </row>
    <row r="868">
      <c r="A868" s="4">
        <v>868.0</v>
      </c>
      <c r="B868" s="3" t="s">
        <v>40909</v>
      </c>
      <c r="C868" s="6" t="s">
        <v>11</v>
      </c>
      <c r="D868" s="6" t="s">
        <v>9780</v>
      </c>
      <c r="E868" s="3" t="str">
        <f t="shared" si="1"/>
        <v>nice&lt;br&gt;&lt;div class="audio"&gt;[sound:nice.mp3]&lt;/div&gt;</v>
      </c>
      <c r="F868" s="3" t="str">
        <f t="shared" si="2"/>
        <v>(adj): tốt đẹp</v>
      </c>
      <c r="G868" s="6" t="s">
        <v>40910</v>
      </c>
      <c r="H868" s="6" t="s">
        <v>40911</v>
      </c>
      <c r="I868" s="7">
        <f t="shared" si="3"/>
        <v>0.4606236473</v>
      </c>
    </row>
    <row r="869">
      <c r="A869" s="4">
        <v>869.0</v>
      </c>
      <c r="B869" s="3" t="s">
        <v>40912</v>
      </c>
      <c r="C869" s="6" t="s">
        <v>11</v>
      </c>
      <c r="D869" s="6" t="s">
        <v>3121</v>
      </c>
      <c r="E869" s="3" t="str">
        <f t="shared" si="1"/>
        <v>recent&lt;br&gt;&lt;div class="audio"&gt;[sound:recent.mp3]&lt;/div&gt;</v>
      </c>
      <c r="F869" s="3" t="str">
        <f t="shared" si="2"/>
        <v>(adj): gần đây</v>
      </c>
      <c r="G869" s="6" t="s">
        <v>40913</v>
      </c>
      <c r="H869" s="6" t="s">
        <v>40914</v>
      </c>
      <c r="I869" s="7">
        <f t="shared" si="3"/>
        <v>0.7064512247</v>
      </c>
    </row>
    <row r="870">
      <c r="A870" s="4">
        <v>870.0</v>
      </c>
      <c r="B870" s="3" t="s">
        <v>40915</v>
      </c>
      <c r="C870" s="6" t="s">
        <v>74</v>
      </c>
      <c r="D870" s="6" t="s">
        <v>4567</v>
      </c>
      <c r="E870" s="3" t="str">
        <f t="shared" si="1"/>
        <v>trouble&lt;br&gt;&lt;div class="audio"&gt;[sound:trouble.mp3]&lt;/div&gt;</v>
      </c>
      <c r="F870" s="3" t="str">
        <f t="shared" si="2"/>
        <v>(n): rắc rối</v>
      </c>
      <c r="G870" s="6" t="s">
        <v>40916</v>
      </c>
      <c r="H870" s="6" t="s">
        <v>40917</v>
      </c>
      <c r="I870" s="7">
        <f t="shared" si="3"/>
        <v>0.6235931967</v>
      </c>
    </row>
    <row r="871">
      <c r="A871" s="4">
        <v>871.0</v>
      </c>
      <c r="B871" s="3" t="s">
        <v>40918</v>
      </c>
      <c r="C871" s="6" t="s">
        <v>24</v>
      </c>
      <c r="D871" s="6" t="s">
        <v>9922</v>
      </c>
      <c r="E871" s="3" t="str">
        <f t="shared" si="1"/>
        <v>recognize&lt;br&gt;&lt;div class="audio"&gt;[sound:recognize.mp3]&lt;/div&gt;</v>
      </c>
      <c r="F871" s="3" t="str">
        <f t="shared" si="2"/>
        <v>(v): nhận ra</v>
      </c>
      <c r="G871" s="6" t="s">
        <v>40919</v>
      </c>
      <c r="H871" s="6" t="s">
        <v>40920</v>
      </c>
      <c r="I871" s="7">
        <f t="shared" si="3"/>
        <v>0.4882100324</v>
      </c>
    </row>
    <row r="872">
      <c r="A872" s="4">
        <v>872.0</v>
      </c>
      <c r="B872" s="3" t="s">
        <v>40921</v>
      </c>
      <c r="C872" s="6" t="s">
        <v>74</v>
      </c>
      <c r="D872" s="6" t="s">
        <v>1707</v>
      </c>
      <c r="E872" s="3" t="str">
        <f t="shared" si="1"/>
        <v>music&lt;br&gt;&lt;div class="audio"&gt;[sound:music.mp3]&lt;/div&gt;</v>
      </c>
      <c r="F872" s="3" t="str">
        <f t="shared" si="2"/>
        <v>(n): âm nhạc</v>
      </c>
      <c r="G872" s="6" t="s">
        <v>40922</v>
      </c>
      <c r="H872" s="6" t="s">
        <v>40923</v>
      </c>
      <c r="I872" s="7">
        <f t="shared" si="3"/>
        <v>0.6936041082</v>
      </c>
    </row>
    <row r="873">
      <c r="A873" s="4">
        <v>873.0</v>
      </c>
      <c r="B873" s="3" t="s">
        <v>40924</v>
      </c>
      <c r="C873" s="6" t="s">
        <v>11</v>
      </c>
      <c r="D873" s="6" t="s">
        <v>9716</v>
      </c>
      <c r="E873" s="3" t="str">
        <f t="shared" si="1"/>
        <v>entire&lt;br&gt;&lt;div class="audio"&gt;[sound:entire.mp3]&lt;/div&gt;</v>
      </c>
      <c r="F873" s="3" t="str">
        <f t="shared" si="2"/>
        <v>(adj): toàn bộ</v>
      </c>
      <c r="G873" s="6" t="s">
        <v>40925</v>
      </c>
      <c r="H873" s="6" t="s">
        <v>40926</v>
      </c>
      <c r="I873" s="7">
        <f t="shared" si="3"/>
        <v>0.003676210505</v>
      </c>
    </row>
    <row r="874">
      <c r="A874" s="4">
        <v>874.0</v>
      </c>
      <c r="B874" s="3" t="s">
        <v>40927</v>
      </c>
      <c r="C874" s="6" t="s">
        <v>24</v>
      </c>
      <c r="D874" s="6" t="s">
        <v>9922</v>
      </c>
      <c r="E874" s="3" t="str">
        <f t="shared" si="1"/>
        <v>realize&lt;br&gt;&lt;div class="audio"&gt;[sound:realize.mp3]&lt;/div&gt;</v>
      </c>
      <c r="F874" s="3" t="str">
        <f t="shared" si="2"/>
        <v>(v): nhận ra</v>
      </c>
      <c r="G874" s="6" t="s">
        <v>40928</v>
      </c>
      <c r="H874" s="6" t="s">
        <v>40929</v>
      </c>
      <c r="I874" s="7">
        <f t="shared" si="3"/>
        <v>0.8435889186</v>
      </c>
    </row>
    <row r="875">
      <c r="A875" s="4">
        <v>875.0</v>
      </c>
      <c r="B875" s="3" t="s">
        <v>40930</v>
      </c>
      <c r="C875" s="6" t="s">
        <v>11</v>
      </c>
      <c r="D875" s="6" t="s">
        <v>9716</v>
      </c>
      <c r="E875" s="3" t="str">
        <f t="shared" si="1"/>
        <v>whole&lt;br&gt;&lt;div class="audio"&gt;[sound:whole.mp3]&lt;/div&gt;</v>
      </c>
      <c r="F875" s="3" t="str">
        <f t="shared" si="2"/>
        <v>(adj): toàn bộ</v>
      </c>
      <c r="G875" s="6" t="s">
        <v>40931</v>
      </c>
      <c r="H875" s="6" t="s">
        <v>40932</v>
      </c>
      <c r="I875" s="7">
        <f t="shared" si="3"/>
        <v>0.9612796074</v>
      </c>
    </row>
    <row r="876">
      <c r="A876" s="4">
        <v>876.0</v>
      </c>
      <c r="B876" s="3" t="s">
        <v>40933</v>
      </c>
      <c r="C876" s="6" t="s">
        <v>85</v>
      </c>
      <c r="D876" s="6" t="s">
        <v>39087</v>
      </c>
      <c r="E876" s="3" t="str">
        <f t="shared" si="1"/>
        <v>instead&lt;br&gt;&lt;div class="audio"&gt;[sound:instead.mp3]&lt;/div&gt;</v>
      </c>
      <c r="F876" s="3" t="str">
        <f t="shared" si="2"/>
        <v>(adv): thay vì</v>
      </c>
      <c r="G876" s="6" t="s">
        <v>40934</v>
      </c>
      <c r="H876" s="6" t="s">
        <v>40935</v>
      </c>
      <c r="I876" s="7">
        <f t="shared" si="3"/>
        <v>0.6606089609</v>
      </c>
    </row>
    <row r="877">
      <c r="A877" s="4">
        <v>877.0</v>
      </c>
      <c r="B877" s="3" t="s">
        <v>40936</v>
      </c>
      <c r="C877" s="6" t="s">
        <v>74</v>
      </c>
      <c r="D877" s="6" t="s">
        <v>40937</v>
      </c>
      <c r="E877" s="3" t="str">
        <f t="shared" si="1"/>
        <v>advantage&lt;br&gt;&lt;div class="audio"&gt;[sound:advantage.mp3]&lt;/div&gt;</v>
      </c>
      <c r="F877" s="3" t="str">
        <f t="shared" si="2"/>
        <v>(n): lợi thế</v>
      </c>
      <c r="G877" s="6" t="s">
        <v>40938</v>
      </c>
      <c r="H877" s="6" t="s">
        <v>40939</v>
      </c>
      <c r="I877" s="7">
        <f t="shared" si="3"/>
        <v>0.2123855508</v>
      </c>
    </row>
    <row r="878">
      <c r="A878" s="4">
        <v>878.0</v>
      </c>
      <c r="B878" s="3" t="s">
        <v>40940</v>
      </c>
      <c r="C878" s="6" t="s">
        <v>85</v>
      </c>
      <c r="D878" s="6" t="s">
        <v>4022</v>
      </c>
      <c r="E878" s="3" t="str">
        <f t="shared" si="1"/>
        <v>primarily&lt;br&gt;&lt;div class="audio"&gt;[sound:primarily.mp3]&lt;/div&gt;</v>
      </c>
      <c r="F878" s="3" t="str">
        <f t="shared" si="2"/>
        <v>(adv): chủ yếu</v>
      </c>
      <c r="G878" s="6" t="s">
        <v>40941</v>
      </c>
      <c r="H878" s="6" t="s">
        <v>40942</v>
      </c>
      <c r="I878" s="7">
        <f t="shared" si="3"/>
        <v>0.8041058803</v>
      </c>
    </row>
    <row r="879">
      <c r="A879" s="4">
        <v>879.0</v>
      </c>
      <c r="B879" s="3" t="s">
        <v>40943</v>
      </c>
      <c r="C879" s="6" t="s">
        <v>74</v>
      </c>
      <c r="D879" s="6" t="s">
        <v>40944</v>
      </c>
      <c r="E879" s="3" t="str">
        <f t="shared" si="1"/>
        <v>mind&lt;br&gt;&lt;div class="audio"&gt;[sound:mind.mp3]&lt;/div&gt;</v>
      </c>
      <c r="F879" s="3" t="str">
        <f t="shared" si="2"/>
        <v>(n): tâm trí</v>
      </c>
      <c r="G879" s="6" t="s">
        <v>40945</v>
      </c>
      <c r="H879" s="6" t="s">
        <v>40946</v>
      </c>
      <c r="I879" s="7">
        <f t="shared" si="3"/>
        <v>0.3654201003</v>
      </c>
    </row>
    <row r="880">
      <c r="A880" s="4">
        <v>880.0</v>
      </c>
      <c r="B880" s="3" t="s">
        <v>40947</v>
      </c>
      <c r="C880" s="6" t="s">
        <v>24</v>
      </c>
      <c r="D880" s="6" t="s">
        <v>1591</v>
      </c>
      <c r="E880" s="3" t="str">
        <f t="shared" si="1"/>
        <v>manage&lt;br&gt;&lt;div class="audio"&gt;[sound:manage.mp3]&lt;/div&gt;</v>
      </c>
      <c r="F880" s="3" t="str">
        <f t="shared" si="2"/>
        <v>(v): quản lý</v>
      </c>
      <c r="G880" s="6" t="s">
        <v>40948</v>
      </c>
      <c r="H880" s="6" t="s">
        <v>40949</v>
      </c>
      <c r="I880" s="7">
        <f t="shared" si="3"/>
        <v>0.8194534287</v>
      </c>
    </row>
    <row r="881">
      <c r="A881" s="4">
        <v>881.0</v>
      </c>
      <c r="B881" s="3" t="s">
        <v>40950</v>
      </c>
      <c r="C881" s="6" t="s">
        <v>24</v>
      </c>
      <c r="D881" s="6" t="s">
        <v>40951</v>
      </c>
      <c r="E881" s="3" t="str">
        <f t="shared" si="1"/>
        <v>fill&lt;br&gt;&lt;div class="audio"&gt;[sound:fill.mp3]&lt;/div&gt;</v>
      </c>
      <c r="F881" s="3" t="str">
        <f t="shared" si="2"/>
        <v>(v): lấp đầy</v>
      </c>
      <c r="G881" s="6" t="s">
        <v>40952</v>
      </c>
      <c r="H881" s="6" t="s">
        <v>40953</v>
      </c>
      <c r="I881" s="7">
        <f t="shared" si="3"/>
        <v>0.7425470207</v>
      </c>
    </row>
    <row r="882">
      <c r="A882" s="4">
        <v>882.0</v>
      </c>
      <c r="B882" s="3" t="s">
        <v>40954</v>
      </c>
      <c r="C882" s="6" t="s">
        <v>74</v>
      </c>
      <c r="D882" s="6" t="s">
        <v>40955</v>
      </c>
      <c r="E882" s="3" t="str">
        <f t="shared" si="1"/>
        <v>bill&lt;br&gt;&lt;div class="audio"&gt;[sound:bill.mp3]&lt;/div&gt;</v>
      </c>
      <c r="F882" s="3" t="str">
        <f t="shared" si="2"/>
        <v>(n): hóa đơn</v>
      </c>
      <c r="G882" s="6" t="s">
        <v>40956</v>
      </c>
      <c r="H882" s="6" t="s">
        <v>40957</v>
      </c>
      <c r="I882" s="7">
        <f t="shared" si="3"/>
        <v>0.0710774871</v>
      </c>
    </row>
    <row r="883">
      <c r="A883" s="4">
        <v>883.0</v>
      </c>
      <c r="B883" s="3" t="s">
        <v>40958</v>
      </c>
      <c r="C883" s="6" t="s">
        <v>24</v>
      </c>
      <c r="D883" s="6" t="s">
        <v>12878</v>
      </c>
      <c r="E883" s="3" t="str">
        <f t="shared" si="1"/>
        <v>remove&lt;br&gt;&lt;div class="audio"&gt;[sound:remove.mp3]&lt;/div&gt;</v>
      </c>
      <c r="F883" s="3" t="str">
        <f t="shared" si="2"/>
        <v>(v): loại bỏ</v>
      </c>
      <c r="G883" s="6" t="s">
        <v>40959</v>
      </c>
      <c r="H883" s="6" t="s">
        <v>40960</v>
      </c>
      <c r="I883" s="7">
        <f t="shared" si="3"/>
        <v>0.9555761723</v>
      </c>
    </row>
    <row r="884">
      <c r="A884" s="4">
        <v>884.0</v>
      </c>
      <c r="B884" s="3" t="s">
        <v>40961</v>
      </c>
      <c r="C884" s="6" t="s">
        <v>74</v>
      </c>
      <c r="D884" s="6" t="s">
        <v>9220</v>
      </c>
      <c r="E884" s="3" t="str">
        <f t="shared" si="1"/>
        <v>note&lt;br&gt;&lt;div class="audio"&gt;[sound:note.mp3]&lt;/div&gt;</v>
      </c>
      <c r="F884" s="3" t="str">
        <f t="shared" si="2"/>
        <v>(n): ghi chú</v>
      </c>
      <c r="G884" s="6" t="s">
        <v>40962</v>
      </c>
      <c r="H884" s="6" t="s">
        <v>40963</v>
      </c>
      <c r="I884" s="7">
        <f t="shared" si="3"/>
        <v>0.6454193892</v>
      </c>
    </row>
    <row r="885">
      <c r="A885" s="4">
        <v>885.0</v>
      </c>
      <c r="B885" s="3" t="s">
        <v>40964</v>
      </c>
      <c r="C885" s="6" t="s">
        <v>74</v>
      </c>
      <c r="D885" s="6" t="s">
        <v>40965</v>
      </c>
      <c r="E885" s="3" t="str">
        <f t="shared" si="1"/>
        <v>partner&lt;br&gt;&lt;div class="audio"&gt;[sound:partner.mp3]&lt;/div&gt;</v>
      </c>
      <c r="F885" s="3" t="str">
        <f t="shared" si="2"/>
        <v>(n): đối tác</v>
      </c>
      <c r="G885" s="6" t="s">
        <v>40966</v>
      </c>
      <c r="H885" s="6" t="s">
        <v>40967</v>
      </c>
      <c r="I885" s="7">
        <f t="shared" si="3"/>
        <v>0.5821774565</v>
      </c>
    </row>
    <row r="886">
      <c r="A886" s="4">
        <v>886.0</v>
      </c>
      <c r="B886" s="3" t="s">
        <v>40968</v>
      </c>
      <c r="C886" s="6" t="s">
        <v>74</v>
      </c>
      <c r="D886" s="6" t="s">
        <v>1591</v>
      </c>
      <c r="E886" s="3" t="str">
        <f t="shared" si="1"/>
        <v>manager&lt;br&gt;&lt;div class="audio"&gt;[sound:manager.mp3]&lt;/div&gt;</v>
      </c>
      <c r="F886" s="3" t="str">
        <f t="shared" si="2"/>
        <v>(n): quản lý</v>
      </c>
      <c r="G886" s="6" t="s">
        <v>40969</v>
      </c>
      <c r="H886" s="6" t="s">
        <v>40970</v>
      </c>
      <c r="I886" s="7">
        <f t="shared" si="3"/>
        <v>0.7874754021</v>
      </c>
    </row>
    <row r="887">
      <c r="A887" s="4">
        <v>887.0</v>
      </c>
      <c r="B887" s="3" t="s">
        <v>40971</v>
      </c>
      <c r="C887" s="6" t="s">
        <v>74</v>
      </c>
      <c r="D887" s="6" t="s">
        <v>40972</v>
      </c>
      <c r="E887" s="3" t="str">
        <f t="shared" si="1"/>
        <v>cat&lt;br&gt;&lt;div class="audio"&gt;[sound:cat.mp3]&lt;/div&gt;</v>
      </c>
      <c r="F887" s="3" t="str">
        <f t="shared" si="2"/>
        <v>(n): con mèo</v>
      </c>
      <c r="G887" s="6" t="s">
        <v>40973</v>
      </c>
      <c r="H887" s="6" t="s">
        <v>40974</v>
      </c>
      <c r="I887" s="7">
        <f t="shared" si="3"/>
        <v>0.7917498797</v>
      </c>
    </row>
    <row r="888">
      <c r="A888" s="4">
        <v>888.0</v>
      </c>
      <c r="B888" s="3" t="s">
        <v>40975</v>
      </c>
      <c r="C888" s="6" t="s">
        <v>74</v>
      </c>
      <c r="D888" s="6" t="s">
        <v>5394</v>
      </c>
      <c r="E888" s="3" t="str">
        <f t="shared" si="1"/>
        <v>range&lt;br&gt;&lt;div class="audio"&gt;[sound:range.mp3]&lt;/div&gt;</v>
      </c>
      <c r="F888" s="3" t="str">
        <f t="shared" si="2"/>
        <v>(n): phạm vi</v>
      </c>
      <c r="G888" s="6" t="s">
        <v>40976</v>
      </c>
      <c r="H888" s="6" t="s">
        <v>40977</v>
      </c>
      <c r="I888" s="7">
        <f t="shared" si="3"/>
        <v>0.8866913103</v>
      </c>
    </row>
    <row r="889">
      <c r="A889" s="4">
        <v>889.0</v>
      </c>
      <c r="B889" s="3" t="s">
        <v>40978</v>
      </c>
      <c r="C889" s="6" t="s">
        <v>11</v>
      </c>
      <c r="D889" s="6" t="s">
        <v>33282</v>
      </c>
      <c r="E889" s="3" t="str">
        <f t="shared" si="1"/>
        <v>clean&lt;br&gt;&lt;div class="audio"&gt;[sound:clean.mp3]&lt;/div&gt;</v>
      </c>
      <c r="F889" s="3" t="str">
        <f t="shared" si="2"/>
        <v>(adj): sạch sẽ</v>
      </c>
      <c r="G889" s="6" t="s">
        <v>40979</v>
      </c>
      <c r="H889" s="6" t="s">
        <v>40980</v>
      </c>
      <c r="I889" s="7">
        <f t="shared" si="3"/>
        <v>0.4713942174</v>
      </c>
    </row>
    <row r="890">
      <c r="A890" s="4">
        <v>890.0</v>
      </c>
      <c r="B890" s="3" t="s">
        <v>40981</v>
      </c>
      <c r="C890" s="6" t="s">
        <v>11</v>
      </c>
      <c r="D890" s="6" t="s">
        <v>40982</v>
      </c>
      <c r="E890" s="3" t="str">
        <f t="shared" si="1"/>
        <v>closed&lt;br&gt;&lt;div class="audio"&gt;[sound:closed.mp3]&lt;/div&gt;</v>
      </c>
      <c r="F890" s="3" t="str">
        <f t="shared" si="2"/>
        <v>(adj): đã đóng</v>
      </c>
      <c r="G890" s="6" t="s">
        <v>40983</v>
      </c>
      <c r="H890" s="6" t="s">
        <v>40984</v>
      </c>
      <c r="I890" s="7">
        <f t="shared" si="3"/>
        <v>0.4578806808</v>
      </c>
    </row>
    <row r="891">
      <c r="A891" s="4">
        <v>891.0</v>
      </c>
      <c r="B891" s="3" t="s">
        <v>40985</v>
      </c>
      <c r="C891" s="6" t="s">
        <v>24</v>
      </c>
      <c r="D891" s="6" t="s">
        <v>40986</v>
      </c>
      <c r="E891" s="3" t="str">
        <f t="shared" si="1"/>
        <v>remain&lt;br&gt;&lt;div class="audio"&gt;[sound:remain.mp3]&lt;/div&gt;</v>
      </c>
      <c r="F891" s="3" t="str">
        <f t="shared" si="2"/>
        <v>(v): vẫn còn</v>
      </c>
      <c r="G891" s="6" t="s">
        <v>40987</v>
      </c>
      <c r="H891" s="6" t="s">
        <v>40988</v>
      </c>
      <c r="I891" s="7">
        <f t="shared" si="3"/>
        <v>0.05843256957</v>
      </c>
    </row>
    <row r="892">
      <c r="A892" s="4">
        <v>892.0</v>
      </c>
      <c r="B892" s="3" t="s">
        <v>40989</v>
      </c>
      <c r="C892" s="6" t="s">
        <v>74</v>
      </c>
      <c r="D892" s="6" t="s">
        <v>40990</v>
      </c>
      <c r="E892" s="3" t="str">
        <f t="shared" si="1"/>
        <v>tree&lt;br&gt;&lt;div class="audio"&gt;[sound:tree.mp3]&lt;/div&gt;</v>
      </c>
      <c r="F892" s="3" t="str">
        <f t="shared" si="2"/>
        <v>(n): cái cây</v>
      </c>
      <c r="G892" s="6" t="s">
        <v>40991</v>
      </c>
      <c r="H892" s="6" t="s">
        <v>40992</v>
      </c>
      <c r="I892" s="7">
        <f t="shared" si="3"/>
        <v>0.7879517364</v>
      </c>
    </row>
    <row r="893">
      <c r="A893" s="4">
        <v>893.0</v>
      </c>
      <c r="B893" s="3" t="s">
        <v>40993</v>
      </c>
      <c r="C893" s="6" t="s">
        <v>74</v>
      </c>
      <c r="D893" s="6" t="s">
        <v>40994</v>
      </c>
      <c r="E893" s="3" t="str">
        <f t="shared" si="1"/>
        <v>benefit&lt;br&gt;&lt;div class="audio"&gt;[sound:benefit.mp3]&lt;/div&gt;</v>
      </c>
      <c r="F893" s="3" t="str">
        <f t="shared" si="2"/>
        <v>(n): lợi ích</v>
      </c>
      <c r="G893" s="6" t="s">
        <v>40995</v>
      </c>
      <c r="H893" s="6" t="s">
        <v>40996</v>
      </c>
      <c r="I893" s="7">
        <f t="shared" si="3"/>
        <v>0.2220021885</v>
      </c>
    </row>
    <row r="894">
      <c r="A894" s="4">
        <v>894.0</v>
      </c>
      <c r="B894" s="3" t="s">
        <v>40997</v>
      </c>
      <c r="C894" s="6" t="s">
        <v>74</v>
      </c>
      <c r="D894" s="6" t="s">
        <v>20192</v>
      </c>
      <c r="E894" s="3" t="str">
        <f t="shared" si="1"/>
        <v>church&lt;br&gt;&lt;div class="audio"&gt;[sound:church.mp3]&lt;/div&gt;</v>
      </c>
      <c r="F894" s="3" t="str">
        <f t="shared" si="2"/>
        <v>(n): nhà thờ</v>
      </c>
      <c r="G894" s="6" t="s">
        <v>40998</v>
      </c>
      <c r="H894" s="6" t="s">
        <v>40999</v>
      </c>
      <c r="I894" s="7">
        <f t="shared" si="3"/>
        <v>0.5850798456</v>
      </c>
    </row>
    <row r="895">
      <c r="A895" s="4">
        <v>895.0</v>
      </c>
      <c r="B895" s="3" t="s">
        <v>41000</v>
      </c>
      <c r="C895" s="6" t="s">
        <v>24</v>
      </c>
      <c r="D895" s="6" t="s">
        <v>7236</v>
      </c>
      <c r="E895" s="3" t="str">
        <f t="shared" si="1"/>
        <v>train&lt;br&gt;&lt;div class="audio"&gt;[sound:train.mp3]&lt;/div&gt;</v>
      </c>
      <c r="F895" s="3" t="str">
        <f t="shared" si="2"/>
        <v>(v): đào tạo</v>
      </c>
      <c r="G895" s="6" t="s">
        <v>41001</v>
      </c>
      <c r="H895" s="6" t="s">
        <v>41002</v>
      </c>
      <c r="I895" s="7">
        <f t="shared" si="3"/>
        <v>0.03074734347</v>
      </c>
    </row>
    <row r="896">
      <c r="A896" s="4">
        <v>896.0</v>
      </c>
      <c r="B896" s="3" t="s">
        <v>41003</v>
      </c>
      <c r="C896" s="6" t="s">
        <v>11</v>
      </c>
      <c r="D896" s="8" t="s">
        <v>41004</v>
      </c>
      <c r="E896" s="3" t="str">
        <f t="shared" si="1"/>
        <v>secondary&lt;br&gt;&lt;div class="audio"&gt;[sound:secondary.mp3]&lt;/div&gt;</v>
      </c>
      <c r="F896" s="3" t="str">
        <f t="shared" si="2"/>
        <v>(adj): thứ cấp</v>
      </c>
      <c r="G896" s="8" t="s">
        <v>41005</v>
      </c>
      <c r="H896" s="8" t="s">
        <v>41006</v>
      </c>
      <c r="I896" s="7">
        <f t="shared" si="3"/>
        <v>0.7971816083</v>
      </c>
    </row>
    <row r="897">
      <c r="A897" s="4">
        <v>897.0</v>
      </c>
      <c r="B897" s="3" t="s">
        <v>41007</v>
      </c>
      <c r="C897" s="6" t="s">
        <v>11</v>
      </c>
      <c r="D897" s="6" t="s">
        <v>11264</v>
      </c>
      <c r="E897" s="3" t="str">
        <f t="shared" si="1"/>
        <v>least&lt;br&gt;&lt;div class="audio"&gt;[sound:least.mp3]&lt;/div&gt;</v>
      </c>
      <c r="F897" s="3" t="str">
        <f t="shared" si="2"/>
        <v>(adj): ít nhất</v>
      </c>
      <c r="G897" s="6" t="s">
        <v>41008</v>
      </c>
      <c r="H897" s="6" t="s">
        <v>41009</v>
      </c>
      <c r="I897" s="7">
        <f t="shared" si="3"/>
        <v>0.7779833981</v>
      </c>
    </row>
    <row r="898">
      <c r="A898" s="4">
        <v>898.0</v>
      </c>
      <c r="B898" s="3" t="s">
        <v>41010</v>
      </c>
      <c r="C898" s="6" t="s">
        <v>74</v>
      </c>
      <c r="D898" s="6" t="s">
        <v>6995</v>
      </c>
      <c r="E898" s="3" t="str">
        <f t="shared" si="1"/>
        <v>property&lt;br&gt;&lt;div class="audio"&gt;[sound:property.mp3]&lt;/div&gt;</v>
      </c>
      <c r="F898" s="3" t="str">
        <f t="shared" si="2"/>
        <v>(n): tài sản</v>
      </c>
      <c r="G898" s="6" t="s">
        <v>41011</v>
      </c>
      <c r="H898" s="6" t="s">
        <v>41012</v>
      </c>
      <c r="I898" s="7">
        <f t="shared" si="3"/>
        <v>0.812891327</v>
      </c>
    </row>
    <row r="899">
      <c r="A899" s="4">
        <v>899.0</v>
      </c>
      <c r="B899" s="3" t="s">
        <v>41013</v>
      </c>
      <c r="C899" s="6" t="s">
        <v>11</v>
      </c>
      <c r="D899" s="6" t="s">
        <v>13823</v>
      </c>
      <c r="E899" s="3" t="str">
        <f t="shared" si="1"/>
        <v>additional&lt;br&gt;&lt;div class="audio"&gt;[sound:additional.mp3]&lt;/div&gt;</v>
      </c>
      <c r="F899" s="3" t="str">
        <f t="shared" si="2"/>
        <v>(adj): bổ sung</v>
      </c>
      <c r="G899" s="6" t="s">
        <v>41014</v>
      </c>
      <c r="H899" s="6" t="s">
        <v>41015</v>
      </c>
      <c r="I899" s="7">
        <f t="shared" si="3"/>
        <v>0.1444854475</v>
      </c>
    </row>
    <row r="900">
      <c r="A900" s="4">
        <v>900.0</v>
      </c>
      <c r="B900" s="3" t="s">
        <v>41016</v>
      </c>
      <c r="C900" s="6" t="s">
        <v>24</v>
      </c>
      <c r="D900" s="8" t="s">
        <v>14133</v>
      </c>
      <c r="E900" s="3" t="str">
        <f t="shared" si="1"/>
        <v>secure&lt;br&gt;&lt;div class="audio"&gt;[sound:secure.mp3]&lt;/div&gt;</v>
      </c>
      <c r="F900" s="3" t="str">
        <f t="shared" si="2"/>
        <v>(v): bảo đảm</v>
      </c>
      <c r="G900" s="8" t="s">
        <v>41017</v>
      </c>
      <c r="H900" s="8" t="s">
        <v>41018</v>
      </c>
      <c r="I900" s="7">
        <f t="shared" si="3"/>
        <v>0.1505936263</v>
      </c>
    </row>
    <row r="901">
      <c r="A901" s="4">
        <v>901.0</v>
      </c>
      <c r="B901" s="3" t="s">
        <v>41019</v>
      </c>
      <c r="C901" s="6" t="s">
        <v>74</v>
      </c>
      <c r="D901" s="6" t="s">
        <v>2698</v>
      </c>
      <c r="E901" s="3" t="str">
        <f t="shared" si="1"/>
        <v>role&lt;br&gt;&lt;div class="audio"&gt;[sound:role.mp3]&lt;/div&gt;</v>
      </c>
      <c r="F901" s="3" t="str">
        <f t="shared" si="2"/>
        <v>(n): vai trò</v>
      </c>
      <c r="G901" s="6" t="s">
        <v>41020</v>
      </c>
      <c r="H901" s="6" t="s">
        <v>41021</v>
      </c>
      <c r="I901" s="7">
        <f t="shared" si="3"/>
        <v>0.4999526722</v>
      </c>
    </row>
    <row r="902">
      <c r="A902" s="4">
        <v>902.0</v>
      </c>
      <c r="B902" s="3" t="s">
        <v>41022</v>
      </c>
      <c r="C902" s="6" t="s">
        <v>74</v>
      </c>
      <c r="D902" s="6" t="s">
        <v>3841</v>
      </c>
      <c r="E902" s="3" t="str">
        <f t="shared" si="1"/>
        <v>rule&lt;br&gt;&lt;div class="audio"&gt;[sound:rule.mp3]&lt;/div&gt;</v>
      </c>
      <c r="F902" s="3" t="str">
        <f t="shared" si="2"/>
        <v>(n): quy tắc</v>
      </c>
      <c r="G902" s="6" t="s">
        <v>41023</v>
      </c>
      <c r="H902" s="6" t="s">
        <v>41024</v>
      </c>
      <c r="I902" s="7">
        <f t="shared" si="3"/>
        <v>0.9374355174</v>
      </c>
    </row>
    <row r="903">
      <c r="A903" s="4">
        <v>903.0</v>
      </c>
      <c r="B903" s="3" t="s">
        <v>41025</v>
      </c>
      <c r="C903" s="6" t="s">
        <v>74</v>
      </c>
      <c r="D903" s="8" t="s">
        <v>13553</v>
      </c>
      <c r="E903" s="3" t="str">
        <f t="shared" si="1"/>
        <v>skill&lt;br&gt;&lt;div class="audio"&gt;[sound:skill.mp3]&lt;/div&gt;</v>
      </c>
      <c r="F903" s="3" t="str">
        <f t="shared" si="2"/>
        <v>(n): kỹ năng</v>
      </c>
      <c r="G903" s="8" t="s">
        <v>41026</v>
      </c>
      <c r="H903" s="8" t="s">
        <v>41027</v>
      </c>
      <c r="I903" s="7">
        <f t="shared" si="3"/>
        <v>0.4680413043</v>
      </c>
    </row>
    <row r="904">
      <c r="A904" s="4">
        <v>904.0</v>
      </c>
      <c r="B904" s="3" t="s">
        <v>41028</v>
      </c>
      <c r="C904" s="6" t="s">
        <v>85</v>
      </c>
      <c r="D904" s="6" t="s">
        <v>2244</v>
      </c>
      <c r="E904" s="3" t="str">
        <f t="shared" si="1"/>
        <v>anyway&lt;br&gt;&lt;div class="audio"&gt;[sound:anyway.mp3]&lt;/div&gt;</v>
      </c>
      <c r="F904" s="3" t="str">
        <f t="shared" si="2"/>
        <v>(adv): dù sao</v>
      </c>
      <c r="G904" s="6" t="s">
        <v>41029</v>
      </c>
      <c r="H904" s="6" t="s">
        <v>41030</v>
      </c>
      <c r="I904" s="7">
        <f t="shared" si="3"/>
        <v>0.5167588441</v>
      </c>
    </row>
    <row r="905">
      <c r="A905" s="4">
        <v>905.0</v>
      </c>
      <c r="B905" s="3" t="s">
        <v>41031</v>
      </c>
      <c r="C905" s="6" t="s">
        <v>11</v>
      </c>
      <c r="D905" s="6" t="s">
        <v>27910</v>
      </c>
      <c r="E905" s="3" t="str">
        <f t="shared" si="1"/>
        <v>afraid&lt;br&gt;&lt;div class="audio"&gt;[sound:afraid.mp3]&lt;/div&gt;</v>
      </c>
      <c r="F905" s="3" t="str">
        <f t="shared" si="2"/>
        <v>(adj): sợ hãi</v>
      </c>
      <c r="G905" s="6" t="s">
        <v>41032</v>
      </c>
      <c r="H905" s="6" t="s">
        <v>41033</v>
      </c>
      <c r="I905" s="7">
        <f t="shared" si="3"/>
        <v>0.2005865859</v>
      </c>
    </row>
    <row r="906">
      <c r="A906" s="4">
        <v>906.0</v>
      </c>
      <c r="B906" s="3" t="s">
        <v>41034</v>
      </c>
      <c r="C906" s="6" t="s">
        <v>74</v>
      </c>
      <c r="D906" s="8" t="s">
        <v>5658</v>
      </c>
      <c r="E906" s="3" t="str">
        <f t="shared" si="1"/>
        <v>surface&lt;br&gt;&lt;div class="audio"&gt;[sound:surface.mp3]&lt;/div&gt;</v>
      </c>
      <c r="F906" s="3" t="str">
        <f t="shared" si="2"/>
        <v>(n): bề mặt</v>
      </c>
      <c r="G906" s="8" t="s">
        <v>41035</v>
      </c>
      <c r="H906" s="8" t="s">
        <v>41036</v>
      </c>
      <c r="I906" s="7">
        <f t="shared" si="3"/>
        <v>0.2633190372</v>
      </c>
    </row>
    <row r="907">
      <c r="A907" s="4">
        <v>907.0</v>
      </c>
      <c r="B907" s="3" t="s">
        <v>41037</v>
      </c>
      <c r="C907" s="6" t="s">
        <v>74</v>
      </c>
      <c r="D907" s="6" t="s">
        <v>7416</v>
      </c>
      <c r="E907" s="3" t="str">
        <f t="shared" si="1"/>
        <v>fear&lt;br&gt;&lt;div class="audio"&gt;[sound:fear.mp3]&lt;/div&gt;</v>
      </c>
      <c r="F907" s="3" t="str">
        <f t="shared" si="2"/>
        <v>(n): nỗi sợ</v>
      </c>
      <c r="G907" s="6" t="s">
        <v>41038</v>
      </c>
      <c r="H907" s="6" t="s">
        <v>41039</v>
      </c>
      <c r="I907" s="7">
        <f t="shared" si="3"/>
        <v>0.3713203477</v>
      </c>
    </row>
    <row r="908">
      <c r="A908" s="4">
        <v>908.0</v>
      </c>
      <c r="B908" s="3" t="s">
        <v>41040</v>
      </c>
      <c r="C908" s="6" t="s">
        <v>74</v>
      </c>
      <c r="D908" s="6" t="s">
        <v>2680</v>
      </c>
      <c r="E908" s="3" t="str">
        <f t="shared" si="1"/>
        <v>capital&lt;br&gt;&lt;div class="audio"&gt;[sound:capital.mp3]&lt;/div&gt;</v>
      </c>
      <c r="F908" s="3" t="str">
        <f t="shared" si="2"/>
        <v>(n): thủ đô</v>
      </c>
      <c r="G908" s="6" t="s">
        <v>41041</v>
      </c>
      <c r="H908" s="6" t="s">
        <v>41042</v>
      </c>
      <c r="I908" s="7">
        <f t="shared" si="3"/>
        <v>0.5733707773</v>
      </c>
    </row>
    <row r="909">
      <c r="A909" s="4">
        <v>909.0</v>
      </c>
      <c r="B909" s="3" t="s">
        <v>41043</v>
      </c>
      <c r="C909" s="6" t="s">
        <v>24</v>
      </c>
      <c r="D909" s="6" t="s">
        <v>11401</v>
      </c>
      <c r="E909" s="3" t="str">
        <f t="shared" si="1"/>
        <v>travel&lt;br&gt;&lt;div class="audio"&gt;[sound:travel.mp3]&lt;/div&gt;</v>
      </c>
      <c r="F909" s="3" t="str">
        <f t="shared" si="2"/>
        <v>(v): đi lại</v>
      </c>
      <c r="G909" s="6" t="s">
        <v>41044</v>
      </c>
      <c r="H909" s="6" t="s">
        <v>41045</v>
      </c>
      <c r="I909" s="7">
        <f t="shared" si="3"/>
        <v>0.6582298141</v>
      </c>
    </row>
    <row r="910">
      <c r="A910" s="4">
        <v>910.0</v>
      </c>
      <c r="B910" s="3" t="s">
        <v>41046</v>
      </c>
      <c r="C910" s="6" t="s">
        <v>74</v>
      </c>
      <c r="D910" s="6" t="s">
        <v>9808</v>
      </c>
      <c r="E910" s="3" t="str">
        <f t="shared" si="1"/>
        <v>pressure&lt;br&gt;&lt;div class="audio"&gt;[sound:pressure.mp3]&lt;/div&gt;</v>
      </c>
      <c r="F910" s="3" t="str">
        <f t="shared" si="2"/>
        <v>(n): áp lực</v>
      </c>
      <c r="G910" s="6" t="s">
        <v>41047</v>
      </c>
      <c r="H910" s="6" t="s">
        <v>41048</v>
      </c>
      <c r="I910" s="7">
        <f t="shared" si="3"/>
        <v>0.3017124009</v>
      </c>
    </row>
    <row r="911">
      <c r="A911" s="4">
        <v>911.0</v>
      </c>
      <c r="B911" s="3" t="s">
        <v>41049</v>
      </c>
      <c r="C911" s="6" t="s">
        <v>11</v>
      </c>
      <c r="D911" s="6" t="s">
        <v>15123</v>
      </c>
      <c r="E911" s="3" t="str">
        <f t="shared" si="1"/>
        <v>particular&lt;br&gt;&lt;div class="audio"&gt;[sound:particular.mp3]&lt;/div&gt;</v>
      </c>
      <c r="F911" s="3" t="str">
        <f t="shared" si="2"/>
        <v>(adj): cụ thể</v>
      </c>
      <c r="G911" s="6" t="s">
        <v>41050</v>
      </c>
      <c r="H911" s="6" t="s">
        <v>41051</v>
      </c>
      <c r="I911" s="7">
        <f t="shared" si="3"/>
        <v>0.3400142981</v>
      </c>
    </row>
    <row r="912">
      <c r="A912" s="4">
        <v>912.0</v>
      </c>
      <c r="B912" s="3" t="s">
        <v>41052</v>
      </c>
      <c r="C912" s="6" t="s">
        <v>74</v>
      </c>
      <c r="D912" s="6" t="s">
        <v>109</v>
      </c>
      <c r="E912" s="3" t="str">
        <f t="shared" si="1"/>
        <v>matter&lt;br&gt;&lt;div class="audio"&gt;[sound:matter.mp3]&lt;/div&gt;</v>
      </c>
      <c r="F912" s="3" t="str">
        <f t="shared" si="2"/>
        <v>(n): vấn đề</v>
      </c>
      <c r="G912" s="6" t="s">
        <v>41053</v>
      </c>
      <c r="H912" s="6" t="s">
        <v>41054</v>
      </c>
      <c r="I912" s="7">
        <f t="shared" si="3"/>
        <v>0.9887231482</v>
      </c>
    </row>
    <row r="913">
      <c r="A913" s="4">
        <v>913.0</v>
      </c>
      <c r="B913" s="3" t="s">
        <v>41055</v>
      </c>
      <c r="C913" s="6" t="s">
        <v>74</v>
      </c>
      <c r="D913" s="8" t="s">
        <v>41056</v>
      </c>
      <c r="E913" s="3" t="str">
        <f t="shared" si="1"/>
        <v>stuff&lt;br&gt;&lt;div class="audio"&gt;[sound:stuff.mp3]&lt;/div&gt;</v>
      </c>
      <c r="F913" s="3" t="str">
        <f t="shared" si="2"/>
        <v>(n): đồ đạc</v>
      </c>
      <c r="G913" s="8" t="s">
        <v>41057</v>
      </c>
      <c r="H913" s="8" t="s">
        <v>41058</v>
      </c>
      <c r="I913" s="7">
        <f t="shared" si="3"/>
        <v>0.6923271177</v>
      </c>
    </row>
    <row r="914">
      <c r="A914" s="4">
        <v>914.0</v>
      </c>
      <c r="B914" s="3" t="s">
        <v>41059</v>
      </c>
      <c r="C914" s="6" t="s">
        <v>74</v>
      </c>
      <c r="D914" s="6" t="s">
        <v>41060</v>
      </c>
      <c r="E914" s="3" t="str">
        <f t="shared" si="1"/>
        <v>letter&lt;br&gt;&lt;div class="audio"&gt;[sound:letter.mp3]&lt;/div&gt;</v>
      </c>
      <c r="F914" s="3" t="str">
        <f t="shared" si="2"/>
        <v>(n): lá thư</v>
      </c>
      <c r="G914" s="6" t="s">
        <v>41061</v>
      </c>
      <c r="H914" s="6" t="s">
        <v>41062</v>
      </c>
      <c r="I914" s="7">
        <f t="shared" si="3"/>
        <v>0.734057391</v>
      </c>
    </row>
    <row r="915">
      <c r="A915" s="4">
        <v>915.0</v>
      </c>
      <c r="B915" s="3" t="s">
        <v>41063</v>
      </c>
      <c r="C915" s="6" t="s">
        <v>24</v>
      </c>
      <c r="D915" s="8" t="s">
        <v>5446</v>
      </c>
      <c r="E915" s="3" t="str">
        <f t="shared" si="1"/>
        <v>switch&lt;br&gt;&lt;div class="audio"&gt;[sound:switch.mp3]&lt;/div&gt;</v>
      </c>
      <c r="F915" s="3" t="str">
        <f t="shared" si="2"/>
        <v>(v): chuyển</v>
      </c>
      <c r="G915" s="8" t="s">
        <v>41064</v>
      </c>
      <c r="H915" s="8" t="s">
        <v>41065</v>
      </c>
      <c r="I915" s="7">
        <f t="shared" si="3"/>
        <v>0.693209438</v>
      </c>
    </row>
    <row r="916">
      <c r="A916" s="4">
        <v>916.0</v>
      </c>
      <c r="B916" s="3" t="s">
        <v>41066</v>
      </c>
      <c r="C916" s="6" t="s">
        <v>24</v>
      </c>
      <c r="D916" s="6" t="s">
        <v>4702</v>
      </c>
      <c r="E916" s="3" t="str">
        <f t="shared" si="1"/>
        <v>indicate&lt;br&gt;&lt;div class="audio"&gt;[sound:indicate.mp3]&lt;/div&gt;</v>
      </c>
      <c r="F916" s="3" t="str">
        <f t="shared" si="2"/>
        <v>(v): chỉ ra</v>
      </c>
      <c r="G916" s="6" t="s">
        <v>41067</v>
      </c>
      <c r="H916" s="6" t="s">
        <v>41068</v>
      </c>
      <c r="I916" s="7">
        <f t="shared" si="3"/>
        <v>0.7848601955</v>
      </c>
    </row>
    <row r="917">
      <c r="A917" s="4">
        <v>917.0</v>
      </c>
      <c r="B917" s="3" t="s">
        <v>41069</v>
      </c>
      <c r="C917" s="6" t="s">
        <v>74</v>
      </c>
      <c r="D917" s="6" t="s">
        <v>41070</v>
      </c>
      <c r="E917" s="3" t="str">
        <f t="shared" si="1"/>
        <v>risk&lt;br&gt;&lt;div class="audio"&gt;[sound:risk.mp3]&lt;/div&gt;</v>
      </c>
      <c r="F917" s="3" t="str">
        <f t="shared" si="2"/>
        <v>(n): rủi ro</v>
      </c>
      <c r="G917" s="6" t="s">
        <v>41071</v>
      </c>
      <c r="H917" s="6" t="s">
        <v>41072</v>
      </c>
      <c r="I917" s="7">
        <f t="shared" si="3"/>
        <v>0.3970249587</v>
      </c>
    </row>
    <row r="918">
      <c r="A918" s="4">
        <v>918.0</v>
      </c>
      <c r="B918" s="3" t="s">
        <v>41073</v>
      </c>
      <c r="C918" s="6" t="s">
        <v>24</v>
      </c>
      <c r="D918" s="6" t="s">
        <v>8328</v>
      </c>
      <c r="E918" s="3" t="str">
        <f t="shared" si="1"/>
        <v>generate&lt;br&gt;&lt;div class="audio"&gt;[sound:generate.mp3]&lt;/div&gt;</v>
      </c>
      <c r="F918" s="3" t="str">
        <f t="shared" si="2"/>
        <v>(v): tạo ra</v>
      </c>
      <c r="G918" s="6" t="s">
        <v>41074</v>
      </c>
      <c r="H918" s="6" t="s">
        <v>41075</v>
      </c>
      <c r="I918" s="7">
        <f t="shared" si="3"/>
        <v>0.8981484977</v>
      </c>
    </row>
    <row r="919">
      <c r="A919" s="4">
        <v>919.0</v>
      </c>
      <c r="B919" s="3" t="s">
        <v>41076</v>
      </c>
      <c r="C919" s="6" t="s">
        <v>24</v>
      </c>
      <c r="D919" s="6" t="s">
        <v>8099</v>
      </c>
      <c r="E919" s="3" t="str">
        <f t="shared" si="1"/>
        <v>protect&lt;br&gt;&lt;div class="audio"&gt;[sound:protect.mp3]&lt;/div&gt;</v>
      </c>
      <c r="F919" s="3" t="str">
        <f t="shared" si="2"/>
        <v>(v): bảo vệ</v>
      </c>
      <c r="G919" s="6" t="s">
        <v>41077</v>
      </c>
      <c r="H919" s="6" t="s">
        <v>41078</v>
      </c>
      <c r="I919" s="7">
        <f t="shared" si="3"/>
        <v>0.4281127344</v>
      </c>
    </row>
    <row r="920">
      <c r="A920" s="4">
        <v>920.0</v>
      </c>
      <c r="B920" s="3" t="s">
        <v>41079</v>
      </c>
      <c r="C920" s="6" t="s">
        <v>74</v>
      </c>
      <c r="D920" s="6" t="s">
        <v>41080</v>
      </c>
      <c r="E920" s="3" t="str">
        <f t="shared" si="1"/>
        <v>object&lt;br&gt;&lt;div class="audio"&gt;[sound:object.mp3]&lt;/div&gt;</v>
      </c>
      <c r="F920" s="3" t="str">
        <f t="shared" si="2"/>
        <v>(n): đồ vật</v>
      </c>
      <c r="G920" s="6" t="s">
        <v>41081</v>
      </c>
      <c r="H920" s="6" t="s">
        <v>41082</v>
      </c>
      <c r="I920" s="7">
        <f t="shared" si="3"/>
        <v>0.4704922633</v>
      </c>
    </row>
    <row r="921">
      <c r="A921" s="4">
        <v>921.0</v>
      </c>
      <c r="B921" s="3" t="s">
        <v>41083</v>
      </c>
      <c r="C921" s="6" t="s">
        <v>74</v>
      </c>
      <c r="D921" s="6" t="s">
        <v>2347</v>
      </c>
      <c r="E921" s="3" t="str">
        <f t="shared" si="1"/>
        <v>opinion&lt;br&gt;&lt;div class="audio"&gt;[sound:opinion.mp3]&lt;/div&gt;</v>
      </c>
      <c r="F921" s="3" t="str">
        <f t="shared" si="2"/>
        <v>(n): ý kiến</v>
      </c>
      <c r="G921" s="6" t="s">
        <v>41084</v>
      </c>
      <c r="H921" s="6" t="s">
        <v>41085</v>
      </c>
      <c r="I921" s="7">
        <f t="shared" si="3"/>
        <v>0.7982322897</v>
      </c>
    </row>
    <row r="922">
      <c r="A922" s="4">
        <v>922.0</v>
      </c>
      <c r="B922" s="3" t="s">
        <v>41086</v>
      </c>
      <c r="C922" s="6" t="s">
        <v>63</v>
      </c>
      <c r="D922" s="6" t="s">
        <v>39135</v>
      </c>
      <c r="E922" s="3" t="str">
        <f t="shared" si="1"/>
        <v>despite&lt;br&gt;&lt;div class="audio"&gt;[sound:despite.mp3]&lt;/div&gt;</v>
      </c>
      <c r="F922" s="3" t="str">
        <f t="shared" si="2"/>
        <v>(prep): mặc dù</v>
      </c>
      <c r="G922" s="6" t="s">
        <v>41087</v>
      </c>
      <c r="H922" s="6" t="s">
        <v>41088</v>
      </c>
      <c r="I922" s="7">
        <f t="shared" si="3"/>
        <v>0.7925908464</v>
      </c>
    </row>
    <row r="923">
      <c r="A923" s="4">
        <v>923.0</v>
      </c>
      <c r="B923" s="3" t="s">
        <v>41089</v>
      </c>
      <c r="C923" s="6" t="s">
        <v>74</v>
      </c>
      <c r="D923" s="6" t="s">
        <v>41090</v>
      </c>
      <c r="E923" s="3" t="str">
        <f t="shared" si="1"/>
        <v>chain&lt;br&gt;&lt;div class="audio"&gt;[sound:chain.mp3]&lt;/div&gt;</v>
      </c>
      <c r="F923" s="3" t="str">
        <f t="shared" si="2"/>
        <v>(n): chuỗi</v>
      </c>
      <c r="G923" s="6" t="s">
        <v>41091</v>
      </c>
      <c r="H923" s="6" t="s">
        <v>41092</v>
      </c>
      <c r="I923" s="7">
        <f t="shared" si="3"/>
        <v>0.5377519941</v>
      </c>
    </row>
    <row r="924">
      <c r="A924" s="4">
        <v>924.0</v>
      </c>
      <c r="B924" s="3" t="s">
        <v>41093</v>
      </c>
      <c r="C924" s="6" t="s">
        <v>24</v>
      </c>
      <c r="D924" s="6" t="s">
        <v>3969</v>
      </c>
      <c r="E924" s="3" t="str">
        <f t="shared" si="1"/>
        <v>notice&lt;br&gt;&lt;div class="audio"&gt;[sound:notice.mp3]&lt;/div&gt;</v>
      </c>
      <c r="F924" s="3" t="str">
        <f t="shared" si="2"/>
        <v>(v): chú ý</v>
      </c>
      <c r="G924" s="6" t="s">
        <v>41094</v>
      </c>
      <c r="H924" s="6" t="s">
        <v>41095</v>
      </c>
      <c r="I924" s="7">
        <f t="shared" si="3"/>
        <v>0.6491508254</v>
      </c>
    </row>
    <row r="925">
      <c r="A925" s="4">
        <v>925.0</v>
      </c>
      <c r="B925" s="3" t="s">
        <v>41096</v>
      </c>
      <c r="C925" s="6" t="s">
        <v>11</v>
      </c>
      <c r="D925" s="8" t="s">
        <v>6586</v>
      </c>
      <c r="E925" s="3" t="str">
        <f t="shared" si="1"/>
        <v>straight&lt;br&gt;&lt;div class="audio"&gt;[sound:straight.mp3]&lt;/div&gt;</v>
      </c>
      <c r="F925" s="3" t="str">
        <f t="shared" si="2"/>
        <v>(adj): thẳng</v>
      </c>
      <c r="G925" s="8" t="s">
        <v>41097</v>
      </c>
      <c r="H925" s="8" t="s">
        <v>41098</v>
      </c>
      <c r="I925" s="7">
        <f t="shared" si="3"/>
        <v>0.02462516102</v>
      </c>
    </row>
    <row r="926">
      <c r="A926" s="4">
        <v>926.0</v>
      </c>
      <c r="B926" s="3" t="s">
        <v>41099</v>
      </c>
      <c r="C926" s="6" t="s">
        <v>74</v>
      </c>
      <c r="D926" s="6" t="s">
        <v>41100</v>
      </c>
      <c r="E926" s="3" t="str">
        <f t="shared" si="1"/>
        <v>bar&lt;br&gt;&lt;div class="audio"&gt;[sound:bar.mp3]&lt;/div&gt;</v>
      </c>
      <c r="F926" s="3" t="str">
        <f t="shared" si="2"/>
        <v>(n): thanh</v>
      </c>
      <c r="G926" s="6" t="s">
        <v>41101</v>
      </c>
      <c r="H926" s="6" t="s">
        <v>41102</v>
      </c>
      <c r="I926" s="7">
        <f t="shared" si="3"/>
        <v>0.741144378</v>
      </c>
    </row>
    <row r="927">
      <c r="A927" s="4">
        <v>927.0</v>
      </c>
      <c r="B927" s="3" t="s">
        <v>41103</v>
      </c>
      <c r="C927" s="6" t="s">
        <v>58</v>
      </c>
      <c r="D927" s="6" t="s">
        <v>41104</v>
      </c>
      <c r="E927" s="3" t="str">
        <f t="shared" si="1"/>
        <v>million&lt;br&gt;&lt;div class="audio"&gt;[sound:million.mp3]&lt;/div&gt;</v>
      </c>
      <c r="F927" s="3" t="str">
        <f t="shared" si="2"/>
        <v>(num): triệu</v>
      </c>
      <c r="G927" s="6" t="s">
        <v>41105</v>
      </c>
      <c r="H927" s="6" t="s">
        <v>41106</v>
      </c>
      <c r="I927" s="7">
        <f t="shared" si="3"/>
        <v>0.9258256591</v>
      </c>
    </row>
    <row r="928">
      <c r="A928" s="4">
        <v>928.0</v>
      </c>
      <c r="B928" s="3" t="s">
        <v>41107</v>
      </c>
      <c r="C928" s="6" t="s">
        <v>11</v>
      </c>
      <c r="D928" s="6" t="s">
        <v>9143</v>
      </c>
      <c r="E928" s="3" t="str">
        <f t="shared" si="1"/>
        <v>fast&lt;br&gt;&lt;div class="audio"&gt;[sound:fast.mp3]&lt;/div&gt;</v>
      </c>
      <c r="F928" s="3" t="str">
        <f t="shared" si="2"/>
        <v>(adj): nhanh</v>
      </c>
      <c r="G928" s="6" t="s">
        <v>41108</v>
      </c>
      <c r="H928" s="6" t="s">
        <v>41109</v>
      </c>
      <c r="I928" s="7">
        <f t="shared" si="3"/>
        <v>0.03169117974</v>
      </c>
    </row>
    <row r="929">
      <c r="A929" s="4">
        <v>929.0</v>
      </c>
      <c r="B929" s="3" t="s">
        <v>41110</v>
      </c>
      <c r="C929" s="6" t="s">
        <v>11</v>
      </c>
      <c r="D929" s="6" t="s">
        <v>533</v>
      </c>
      <c r="E929" s="3" t="str">
        <f t="shared" si="1"/>
        <v>various&lt;br&gt;&lt;div class="audio"&gt;[sound:various.mp3]&lt;/div&gt;</v>
      </c>
      <c r="F929" s="3" t="str">
        <f t="shared" si="2"/>
        <v>(adj): nhiều</v>
      </c>
      <c r="G929" s="6" t="s">
        <v>41111</v>
      </c>
      <c r="H929" s="6" t="s">
        <v>41112</v>
      </c>
      <c r="I929" s="7">
        <f t="shared" si="3"/>
        <v>0.06452452735</v>
      </c>
    </row>
    <row r="930">
      <c r="A930" s="4">
        <v>930.0</v>
      </c>
      <c r="B930" s="3" t="s">
        <v>41113</v>
      </c>
      <c r="C930" s="6" t="s">
        <v>85</v>
      </c>
      <c r="D930" s="6" t="s">
        <v>7212</v>
      </c>
      <c r="E930" s="3" t="str">
        <f t="shared" si="1"/>
        <v>maybe&lt;br&gt;&lt;div class="audio"&gt;[sound:maybe.mp3]&lt;/div&gt;</v>
      </c>
      <c r="F930" s="3" t="str">
        <f t="shared" si="2"/>
        <v>(adv): có lẽ</v>
      </c>
      <c r="G930" s="6" t="s">
        <v>41114</v>
      </c>
      <c r="H930" s="6" t="s">
        <v>41115</v>
      </c>
      <c r="I930" s="7">
        <f t="shared" si="3"/>
        <v>0.4102223004</v>
      </c>
    </row>
    <row r="931">
      <c r="A931" s="4">
        <v>931.0</v>
      </c>
      <c r="B931" s="3" t="s">
        <v>41116</v>
      </c>
      <c r="C931" s="6" t="s">
        <v>74</v>
      </c>
      <c r="D931" s="6" t="s">
        <v>2412</v>
      </c>
      <c r="E931" s="3" t="str">
        <f t="shared" si="1"/>
        <v>page&lt;br&gt;&lt;div class="audio"&gt;[sound:page.mp3]&lt;/div&gt;</v>
      </c>
      <c r="F931" s="3" t="str">
        <f t="shared" si="2"/>
        <v>(n): trang</v>
      </c>
      <c r="G931" s="6" t="s">
        <v>41117</v>
      </c>
      <c r="H931" s="6" t="s">
        <v>41118</v>
      </c>
      <c r="I931" s="7">
        <f t="shared" si="3"/>
        <v>0.4774490113</v>
      </c>
    </row>
    <row r="932">
      <c r="A932" s="4">
        <v>932.0</v>
      </c>
      <c r="B932" s="3" t="s">
        <v>4233</v>
      </c>
      <c r="C932" s="6" t="s">
        <v>74</v>
      </c>
      <c r="D932" s="6" t="s">
        <v>4233</v>
      </c>
      <c r="E932" s="3" t="str">
        <f t="shared" si="1"/>
        <v>video&lt;br&gt;&lt;div class="audio"&gt;[sound:video.mp3]&lt;/div&gt;</v>
      </c>
      <c r="F932" s="3" t="str">
        <f t="shared" si="2"/>
        <v>(n): video</v>
      </c>
      <c r="G932" s="6" t="s">
        <v>41119</v>
      </c>
      <c r="H932" s="6" t="s">
        <v>41120</v>
      </c>
      <c r="I932" s="7">
        <f t="shared" si="3"/>
        <v>0.912132827</v>
      </c>
    </row>
    <row r="933">
      <c r="A933" s="4">
        <v>933.0</v>
      </c>
      <c r="B933" s="3" t="s">
        <v>41121</v>
      </c>
      <c r="C933" s="6" t="s">
        <v>44</v>
      </c>
      <c r="D933" s="8" t="s">
        <v>11270</v>
      </c>
      <c r="E933" s="3" t="str">
        <f t="shared" si="1"/>
        <v>somebody&lt;br&gt;&lt;div class="audio"&gt;[sound:somebody.mp3]&lt;/div&gt;</v>
      </c>
      <c r="F933" s="3" t="str">
        <f t="shared" si="2"/>
        <v>(pron): ai đó</v>
      </c>
      <c r="G933" s="8" t="s">
        <v>41122</v>
      </c>
      <c r="H933" s="8" t="s">
        <v>41123</v>
      </c>
      <c r="I933" s="7">
        <f t="shared" si="3"/>
        <v>0.3182732961</v>
      </c>
    </row>
    <row r="934">
      <c r="A934" s="4">
        <v>934.0</v>
      </c>
      <c r="B934" s="3" t="s">
        <v>41124</v>
      </c>
      <c r="C934" s="6" t="s">
        <v>74</v>
      </c>
      <c r="D934" s="6" t="s">
        <v>41125</v>
      </c>
      <c r="E934" s="3" t="str">
        <f t="shared" si="1"/>
        <v>branch&lt;br&gt;&lt;div class="audio"&gt;[sound:branch.mp3]&lt;/div&gt;</v>
      </c>
      <c r="F934" s="3" t="str">
        <f t="shared" si="2"/>
        <v>(n): nhánh</v>
      </c>
      <c r="G934" s="6" t="s">
        <v>41126</v>
      </c>
      <c r="H934" s="6" t="s">
        <v>41127</v>
      </c>
      <c r="I934" s="7">
        <f t="shared" si="3"/>
        <v>0.830819224</v>
      </c>
    </row>
    <row r="935">
      <c r="A935" s="4">
        <v>935.0</v>
      </c>
      <c r="B935" s="3" t="s">
        <v>41128</v>
      </c>
      <c r="C935" s="6" t="s">
        <v>74</v>
      </c>
      <c r="D935" s="8" t="s">
        <v>41129</v>
      </c>
      <c r="E935" s="3" t="str">
        <f t="shared" si="1"/>
        <v>session&lt;br&gt;&lt;div class="audio"&gt;[sound:session.mp3]&lt;/div&gt;</v>
      </c>
      <c r="F935" s="3" t="str">
        <f t="shared" si="2"/>
        <v>(n): phiên</v>
      </c>
      <c r="G935" s="8" t="s">
        <v>41130</v>
      </c>
      <c r="H935" s="8" t="s">
        <v>41131</v>
      </c>
      <c r="I935" s="7">
        <f t="shared" si="3"/>
        <v>0.9353630232</v>
      </c>
    </row>
    <row r="936">
      <c r="A936" s="4">
        <v>936.0</v>
      </c>
      <c r="B936" s="3" t="s">
        <v>41132</v>
      </c>
      <c r="C936" s="6" t="s">
        <v>11</v>
      </c>
      <c r="D936" s="6" t="s">
        <v>6353</v>
      </c>
      <c r="E936" s="3" t="str">
        <f t="shared" si="1"/>
        <v>white&lt;br&gt;&lt;div class="audio"&gt;[sound:white.mp3]&lt;/div&gt;</v>
      </c>
      <c r="F936" s="3" t="str">
        <f t="shared" si="2"/>
        <v>(adj): trắng</v>
      </c>
      <c r="G936" s="6" t="s">
        <v>41133</v>
      </c>
      <c r="H936" s="6" t="s">
        <v>41134</v>
      </c>
      <c r="I936" s="7">
        <f t="shared" si="3"/>
        <v>0.2019612135</v>
      </c>
    </row>
    <row r="937">
      <c r="A937" s="4">
        <v>937.0</v>
      </c>
      <c r="B937" s="3" t="s">
        <v>41135</v>
      </c>
      <c r="C937" s="6" t="s">
        <v>11</v>
      </c>
      <c r="D937" s="6" t="s">
        <v>20083</v>
      </c>
      <c r="E937" s="3" t="str">
        <f t="shared" si="1"/>
        <v>poor&lt;br&gt;&lt;div class="audio"&gt;[sound:poor.mp3]&lt;/div&gt;</v>
      </c>
      <c r="F937" s="3" t="str">
        <f t="shared" si="2"/>
        <v>(adj): nghèo</v>
      </c>
      <c r="G937" s="6" t="s">
        <v>41136</v>
      </c>
      <c r="H937" s="6" t="s">
        <v>41137</v>
      </c>
      <c r="I937" s="7">
        <f t="shared" si="3"/>
        <v>0.4496826397</v>
      </c>
    </row>
    <row r="938">
      <c r="A938" s="4">
        <v>938.0</v>
      </c>
      <c r="B938" s="3" t="s">
        <v>41138</v>
      </c>
      <c r="C938" s="6" t="s">
        <v>11</v>
      </c>
      <c r="D938" s="6" t="s">
        <v>40291</v>
      </c>
      <c r="E938" s="3" t="str">
        <f t="shared" si="1"/>
        <v>main&lt;br&gt;&lt;div class="audio"&gt;[sound:main.mp3]&lt;/div&gt;</v>
      </c>
      <c r="F938" s="3" t="str">
        <f t="shared" si="2"/>
        <v>(adj): chính</v>
      </c>
      <c r="G938" s="6" t="s">
        <v>41139</v>
      </c>
      <c r="H938" s="6" t="s">
        <v>41140</v>
      </c>
      <c r="I938" s="7">
        <f t="shared" si="3"/>
        <v>0.440402761</v>
      </c>
    </row>
    <row r="939">
      <c r="A939" s="4">
        <v>939.0</v>
      </c>
      <c r="B939" s="3" t="s">
        <v>41141</v>
      </c>
      <c r="C939" s="6" t="s">
        <v>74</v>
      </c>
      <c r="D939" s="6" t="s">
        <v>4654</v>
      </c>
      <c r="E939" s="3" t="str">
        <f t="shared" si="1"/>
        <v>base&lt;br&gt;&lt;div class="audio"&gt;[sound:base.mp3]&lt;/div&gt;</v>
      </c>
      <c r="F939" s="3" t="str">
        <f t="shared" si="2"/>
        <v>(n): cơ sở</v>
      </c>
      <c r="G939" s="6" t="s">
        <v>41142</v>
      </c>
      <c r="H939" s="6" t="s">
        <v>41143</v>
      </c>
      <c r="I939" s="7">
        <f t="shared" si="3"/>
        <v>0.978243105</v>
      </c>
    </row>
    <row r="940">
      <c r="A940" s="4">
        <v>940.0</v>
      </c>
      <c r="B940" s="3" t="s">
        <v>41144</v>
      </c>
      <c r="C940" s="6" t="s">
        <v>74</v>
      </c>
      <c r="D940" s="6" t="s">
        <v>2658</v>
      </c>
      <c r="E940" s="3" t="str">
        <f t="shared" si="1"/>
        <v>guest&lt;br&gt;&lt;div class="audio"&gt;[sound:guest.mp3]&lt;/div&gt;</v>
      </c>
      <c r="F940" s="3" t="str">
        <f t="shared" si="2"/>
        <v>(n): khách</v>
      </c>
      <c r="G940" s="6" t="s">
        <v>41145</v>
      </c>
      <c r="H940" s="6" t="s">
        <v>41146</v>
      </c>
      <c r="I940" s="7">
        <f t="shared" si="3"/>
        <v>0.0603966677</v>
      </c>
    </row>
    <row r="941">
      <c r="A941" s="4">
        <v>941.0</v>
      </c>
      <c r="B941" s="3" t="s">
        <v>41147</v>
      </c>
      <c r="C941" s="6" t="s">
        <v>24</v>
      </c>
      <c r="D941" s="6" t="s">
        <v>41148</v>
      </c>
      <c r="E941" s="3" t="str">
        <f t="shared" si="1"/>
        <v>win&lt;br&gt;&lt;div class="audio"&gt;[sound:win.mp3]&lt;/div&gt;</v>
      </c>
      <c r="F941" s="3" t="str">
        <f t="shared" si="2"/>
        <v>(v): thắng</v>
      </c>
      <c r="G941" s="6" t="s">
        <v>41149</v>
      </c>
      <c r="H941" s="6" t="s">
        <v>41150</v>
      </c>
      <c r="I941" s="7">
        <f t="shared" si="3"/>
        <v>0.490313451</v>
      </c>
    </row>
    <row r="942">
      <c r="A942" s="4">
        <v>942.0</v>
      </c>
      <c r="B942" s="3" t="s">
        <v>41151</v>
      </c>
      <c r="C942" s="6" t="s">
        <v>11</v>
      </c>
      <c r="D942" s="6" t="s">
        <v>5874</v>
      </c>
      <c r="E942" s="3" t="str">
        <f t="shared" si="1"/>
        <v>bright&lt;br&gt;&lt;div class="audio"&gt;[sound:bright.mp3]&lt;/div&gt;</v>
      </c>
      <c r="F942" s="3" t="str">
        <f t="shared" si="2"/>
        <v>(adj): sáng</v>
      </c>
      <c r="G942" s="6" t="s">
        <v>41152</v>
      </c>
      <c r="H942" s="6" t="s">
        <v>41153</v>
      </c>
      <c r="I942" s="7">
        <f t="shared" si="3"/>
        <v>0.9308093826</v>
      </c>
    </row>
    <row r="943">
      <c r="A943" s="4">
        <v>943.0</v>
      </c>
      <c r="B943" s="3" t="s">
        <v>41154</v>
      </c>
      <c r="C943" s="6" t="s">
        <v>74</v>
      </c>
      <c r="D943" s="6" t="s">
        <v>4659</v>
      </c>
      <c r="E943" s="3" t="str">
        <f t="shared" si="1"/>
        <v>channel&lt;br&gt;&lt;div class="audio"&gt;[sound:channel.mp3]&lt;/div&gt;</v>
      </c>
      <c r="F943" s="3" t="str">
        <f t="shared" si="2"/>
        <v>(n): kênh</v>
      </c>
      <c r="G943" s="6" t="s">
        <v>41155</v>
      </c>
      <c r="H943" s="6" t="s">
        <v>41156</v>
      </c>
      <c r="I943" s="7">
        <f t="shared" si="3"/>
        <v>0.3010649725</v>
      </c>
    </row>
    <row r="944">
      <c r="A944" s="4">
        <v>944.0</v>
      </c>
      <c r="B944" s="3" t="s">
        <v>41157</v>
      </c>
      <c r="C944" s="6" t="s">
        <v>85</v>
      </c>
      <c r="D944" s="6" t="s">
        <v>2353</v>
      </c>
      <c r="E944" s="3" t="str">
        <f t="shared" si="1"/>
        <v>else&lt;br&gt;&lt;div class="audio"&gt;[sound:else.mp3]&lt;/div&gt;</v>
      </c>
      <c r="F944" s="3" t="str">
        <f t="shared" si="2"/>
        <v>(adv): khác</v>
      </c>
      <c r="G944" s="6" t="s">
        <v>41158</v>
      </c>
      <c r="H944" s="6" t="s">
        <v>41159</v>
      </c>
      <c r="I944" s="7">
        <f t="shared" si="3"/>
        <v>0.006769525272</v>
      </c>
    </row>
    <row r="945">
      <c r="A945" s="4">
        <v>945.0</v>
      </c>
      <c r="B945" s="3" t="s">
        <v>41160</v>
      </c>
      <c r="C945" s="6" t="s">
        <v>74</v>
      </c>
      <c r="D945" s="6" t="s">
        <v>26585</v>
      </c>
      <c r="E945" s="3" t="str">
        <f t="shared" si="1"/>
        <v>middle&lt;br&gt;&lt;div class="audio"&gt;[sound:middle.mp3]&lt;/div&gt;</v>
      </c>
      <c r="F945" s="3" t="str">
        <f t="shared" si="2"/>
        <v>(n): giữa</v>
      </c>
      <c r="G945" s="6" t="s">
        <v>41161</v>
      </c>
      <c r="H945" s="6" t="s">
        <v>41162</v>
      </c>
      <c r="I945" s="7">
        <f t="shared" si="3"/>
        <v>0.7568044861</v>
      </c>
    </row>
    <row r="946">
      <c r="A946" s="4">
        <v>946.0</v>
      </c>
      <c r="B946" s="3" t="s">
        <v>41163</v>
      </c>
      <c r="C946" s="6" t="s">
        <v>74</v>
      </c>
      <c r="D946" s="6" t="s">
        <v>33794</v>
      </c>
      <c r="E946" s="3" t="str">
        <f t="shared" si="1"/>
        <v>gun&lt;br&gt;&lt;div class="audio"&gt;[sound:gun.mp3]&lt;/div&gt;</v>
      </c>
      <c r="F946" s="3" t="str">
        <f t="shared" si="2"/>
        <v>(n): súng</v>
      </c>
      <c r="G946" s="6" t="s">
        <v>41164</v>
      </c>
      <c r="H946" s="6" t="s">
        <v>41165</v>
      </c>
      <c r="I946" s="7">
        <f t="shared" si="3"/>
        <v>0.8649442413</v>
      </c>
    </row>
    <row r="947">
      <c r="A947" s="4">
        <v>947.0</v>
      </c>
      <c r="B947" s="3" t="s">
        <v>41166</v>
      </c>
      <c r="C947" s="6" t="s">
        <v>63</v>
      </c>
      <c r="D947" s="6" t="s">
        <v>763</v>
      </c>
      <c r="E947" s="3" t="str">
        <f t="shared" si="1"/>
        <v>upon&lt;br&gt;&lt;div class="audio"&gt;[sound:upon.mp3]&lt;/div&gt;</v>
      </c>
      <c r="F947" s="3" t="str">
        <f t="shared" si="2"/>
        <v>(prep): trên</v>
      </c>
      <c r="G947" s="6" t="s">
        <v>41167</v>
      </c>
      <c r="H947" s="6" t="s">
        <v>41168</v>
      </c>
      <c r="I947" s="7">
        <f t="shared" si="3"/>
        <v>0.5570550268</v>
      </c>
    </row>
    <row r="948">
      <c r="A948" s="4">
        <v>948.0</v>
      </c>
      <c r="B948" s="3" t="s">
        <v>41169</v>
      </c>
      <c r="C948" s="6" t="s">
        <v>11</v>
      </c>
      <c r="D948" s="6" t="s">
        <v>3669</v>
      </c>
      <c r="E948" s="3" t="str">
        <f t="shared" si="1"/>
        <v>ok&lt;br&gt;&lt;div class="audio"&gt;[sound:ok.mp3]&lt;/div&gt;</v>
      </c>
      <c r="F948" s="3" t="str">
        <f t="shared" si="2"/>
        <v>(adj): được</v>
      </c>
      <c r="G948" s="6" t="s">
        <v>41170</v>
      </c>
      <c r="H948" s="6" t="s">
        <v>41171</v>
      </c>
      <c r="I948" s="7">
        <f t="shared" si="3"/>
        <v>0.1560233552</v>
      </c>
    </row>
    <row r="949">
      <c r="A949" s="4">
        <v>949.0</v>
      </c>
      <c r="B949" s="3" t="s">
        <v>41172</v>
      </c>
      <c r="C949" s="6" t="s">
        <v>24</v>
      </c>
      <c r="D949" s="6" t="s">
        <v>6370</v>
      </c>
      <c r="E949" s="3" t="str">
        <f t="shared" si="1"/>
        <v>pick&lt;br&gt;&lt;div class="audio"&gt;[sound:pick.mp3]&lt;/div&gt;</v>
      </c>
      <c r="F949" s="3" t="str">
        <f t="shared" si="2"/>
        <v>(v): chọn</v>
      </c>
      <c r="G949" s="6" t="s">
        <v>41173</v>
      </c>
      <c r="H949" s="6" t="s">
        <v>41174</v>
      </c>
      <c r="I949" s="7">
        <f t="shared" si="3"/>
        <v>0.9041532996</v>
      </c>
    </row>
    <row r="950">
      <c r="A950" s="4">
        <v>950.0</v>
      </c>
      <c r="B950" s="3" t="s">
        <v>41175</v>
      </c>
      <c r="C950" s="6" t="s">
        <v>24</v>
      </c>
      <c r="D950" s="8" t="s">
        <v>4291</v>
      </c>
      <c r="E950" s="3" t="str">
        <f t="shared" si="1"/>
        <v>shut&lt;br&gt;&lt;div class="audio"&gt;[sound:shut.mp3]&lt;/div&gt;</v>
      </c>
      <c r="F950" s="3" t="str">
        <f t="shared" si="2"/>
        <v>(v): đóng</v>
      </c>
      <c r="G950" s="8" t="s">
        <v>41176</v>
      </c>
      <c r="H950" s="8" t="s">
        <v>41177</v>
      </c>
      <c r="I950" s="7">
        <f t="shared" si="3"/>
        <v>0.6080910314</v>
      </c>
    </row>
    <row r="951">
      <c r="A951" s="4">
        <v>951.0</v>
      </c>
      <c r="B951" s="3" t="s">
        <v>41178</v>
      </c>
      <c r="C951" s="6" t="s">
        <v>24</v>
      </c>
      <c r="D951" s="6" t="s">
        <v>4943</v>
      </c>
      <c r="E951" s="3" t="str">
        <f t="shared" si="1"/>
        <v>rise&lt;br&gt;&lt;div class="audio"&gt;[sound:rise.mp3]&lt;/div&gt;</v>
      </c>
      <c r="F951" s="3" t="str">
        <f t="shared" si="2"/>
        <v>(v): tăng</v>
      </c>
      <c r="G951" s="6" t="s">
        <v>41179</v>
      </c>
      <c r="H951" s="6" t="s">
        <v>41180</v>
      </c>
      <c r="I951" s="7">
        <f t="shared" si="3"/>
        <v>0.7365734605</v>
      </c>
    </row>
    <row r="952">
      <c r="A952" s="4">
        <v>952.0</v>
      </c>
      <c r="B952" s="3" t="s">
        <v>41181</v>
      </c>
      <c r="C952" s="6" t="s">
        <v>24</v>
      </c>
      <c r="D952" s="8" t="s">
        <v>6370</v>
      </c>
      <c r="E952" s="3" t="str">
        <f t="shared" si="1"/>
        <v>select&lt;br&gt;&lt;div class="audio"&gt;[sound:select.mp3]&lt;/div&gt;</v>
      </c>
      <c r="F952" s="3" t="str">
        <f t="shared" si="2"/>
        <v>(v): chọn</v>
      </c>
      <c r="G952" s="8" t="s">
        <v>41182</v>
      </c>
      <c r="H952" s="8" t="s">
        <v>41183</v>
      </c>
      <c r="I952" s="7">
        <f t="shared" si="3"/>
        <v>0.8795004069</v>
      </c>
    </row>
    <row r="953">
      <c r="A953" s="4">
        <v>953.0</v>
      </c>
      <c r="B953" s="3" t="s">
        <v>41184</v>
      </c>
      <c r="C953" s="6" t="s">
        <v>11</v>
      </c>
      <c r="D953" s="6" t="s">
        <v>3538</v>
      </c>
      <c r="E953" s="3" t="str">
        <f t="shared" si="1"/>
        <v>low&lt;br&gt;&lt;div class="audio"&gt;[sound:low.mp3]&lt;/div&gt;</v>
      </c>
      <c r="F953" s="3" t="str">
        <f t="shared" si="2"/>
        <v>(adj): thấp</v>
      </c>
      <c r="G953" s="6" t="s">
        <v>41185</v>
      </c>
      <c r="H953" s="6" t="s">
        <v>41186</v>
      </c>
      <c r="I953" s="7">
        <f t="shared" si="3"/>
        <v>0.3568019821</v>
      </c>
    </row>
    <row r="954">
      <c r="A954" s="4">
        <v>954.0</v>
      </c>
      <c r="B954" s="3" t="s">
        <v>41187</v>
      </c>
      <c r="C954" s="6" t="s">
        <v>24</v>
      </c>
      <c r="D954" s="8" t="s">
        <v>4264</v>
      </c>
      <c r="E954" s="3" t="str">
        <f t="shared" si="1"/>
        <v>strike&lt;br&gt;&lt;div class="audio"&gt;[sound:strike.mp3]&lt;/div&gt;</v>
      </c>
      <c r="F954" s="3" t="str">
        <f t="shared" si="2"/>
        <v>(v): đánh</v>
      </c>
      <c r="G954" s="8" t="s">
        <v>41188</v>
      </c>
      <c r="H954" s="8" t="s">
        <v>41189</v>
      </c>
      <c r="I954" s="7">
        <f t="shared" si="3"/>
        <v>0.1088974047</v>
      </c>
    </row>
    <row r="955">
      <c r="A955" s="4">
        <v>955.0</v>
      </c>
      <c r="B955" s="3" t="s">
        <v>41190</v>
      </c>
      <c r="C955" s="6" t="s">
        <v>11</v>
      </c>
      <c r="D955" s="6" t="s">
        <v>1326</v>
      </c>
      <c r="E955" s="3" t="str">
        <f t="shared" si="1"/>
        <v>broad&lt;br&gt;&lt;div class="audio"&gt;[sound:broad.mp3]&lt;/div&gt;</v>
      </c>
      <c r="F955" s="3" t="str">
        <f t="shared" si="2"/>
        <v>(adj): rộng</v>
      </c>
      <c r="G955" s="6" t="s">
        <v>41191</v>
      </c>
      <c r="H955" s="6" t="s">
        <v>41192</v>
      </c>
      <c r="I955" s="7">
        <f t="shared" si="3"/>
        <v>0.9303480249</v>
      </c>
    </row>
    <row r="956">
      <c r="A956" s="4">
        <v>956.0</v>
      </c>
      <c r="B956" s="3" t="s">
        <v>41193</v>
      </c>
      <c r="C956" s="6" t="s">
        <v>74</v>
      </c>
      <c r="D956" s="8" t="s">
        <v>14490</v>
      </c>
      <c r="E956" s="3" t="str">
        <f t="shared" si="1"/>
        <v>shoe&lt;br&gt;&lt;div class="audio"&gt;[sound:shoe.mp3]&lt;/div&gt;</v>
      </c>
      <c r="F956" s="3" t="str">
        <f t="shared" si="2"/>
        <v>(n): giày</v>
      </c>
      <c r="G956" s="8" t="s">
        <v>41194</v>
      </c>
      <c r="H956" s="8" t="s">
        <v>41195</v>
      </c>
      <c r="I956" s="7">
        <f t="shared" si="3"/>
        <v>0.7605470955</v>
      </c>
    </row>
    <row r="957">
      <c r="A957" s="4">
        <v>957.0</v>
      </c>
      <c r="B957" s="3" t="s">
        <v>41196</v>
      </c>
      <c r="C957" s="6" t="s">
        <v>24</v>
      </c>
      <c r="D957" s="6" t="s">
        <v>11766</v>
      </c>
      <c r="E957" s="3" t="str">
        <f t="shared" si="1"/>
        <v>reduce&lt;br&gt;&lt;div class="audio"&gt;[sound:reduce.mp3]&lt;/div&gt;</v>
      </c>
      <c r="F957" s="3" t="str">
        <f t="shared" si="2"/>
        <v>(v): giảm</v>
      </c>
      <c r="G957" s="6" t="s">
        <v>41197</v>
      </c>
      <c r="H957" s="6" t="s">
        <v>41198</v>
      </c>
      <c r="I957" s="7">
        <f t="shared" si="3"/>
        <v>0.4345747484</v>
      </c>
    </row>
    <row r="958">
      <c r="A958" s="4">
        <v>958.0</v>
      </c>
      <c r="B958" s="3" t="s">
        <v>41199</v>
      </c>
      <c r="C958" s="6" t="s">
        <v>33</v>
      </c>
      <c r="D958" s="6" t="s">
        <v>34</v>
      </c>
      <c r="E958" s="3" t="str">
        <f t="shared" si="1"/>
        <v>yeah&lt;br&gt;&lt;div class="audio"&gt;[sound:yeah.mp3]&lt;/div&gt;</v>
      </c>
      <c r="F958" s="3" t="str">
        <f t="shared" si="2"/>
        <v>(int): vâng</v>
      </c>
      <c r="G958" s="6" t="s">
        <v>41200</v>
      </c>
      <c r="H958" s="6" t="s">
        <v>41201</v>
      </c>
      <c r="I958" s="7">
        <f t="shared" si="3"/>
        <v>0.4606078771</v>
      </c>
    </row>
    <row r="959">
      <c r="A959" s="4">
        <v>959.0</v>
      </c>
      <c r="B959" s="3" t="s">
        <v>41202</v>
      </c>
      <c r="C959" s="6" t="s">
        <v>24</v>
      </c>
      <c r="D959" s="8" t="s">
        <v>711</v>
      </c>
      <c r="E959" s="3" t="str">
        <f t="shared" si="1"/>
        <v>sleep&lt;br&gt;&lt;div class="audio"&gt;[sound:sleep.mp3]&lt;/div&gt;</v>
      </c>
      <c r="F959" s="3" t="str">
        <f t="shared" si="2"/>
        <v>(v): ngủ</v>
      </c>
      <c r="G959" s="8" t="s">
        <v>41203</v>
      </c>
      <c r="H959" s="8" t="s">
        <v>41204</v>
      </c>
      <c r="I959" s="7">
        <f t="shared" si="3"/>
        <v>0.4527971595</v>
      </c>
    </row>
    <row r="960">
      <c r="A960" s="4">
        <v>960.0</v>
      </c>
      <c r="B960" s="3" t="s">
        <v>41205</v>
      </c>
      <c r="C960" s="6" t="s">
        <v>24</v>
      </c>
      <c r="D960" s="8" t="s">
        <v>20392</v>
      </c>
      <c r="E960" s="3" t="str">
        <f t="shared" si="1"/>
        <v>shoot&lt;br&gt;&lt;div class="audio"&gt;[sound:shoot.mp3]&lt;/div&gt;</v>
      </c>
      <c r="F960" s="3" t="str">
        <f t="shared" si="2"/>
        <v>(v): bắn</v>
      </c>
      <c r="G960" s="8" t="s">
        <v>41206</v>
      </c>
      <c r="H960" s="8" t="s">
        <v>41207</v>
      </c>
      <c r="I960" s="7">
        <f t="shared" si="3"/>
        <v>0.1881094137</v>
      </c>
    </row>
    <row r="961">
      <c r="A961" s="4">
        <v>961.0</v>
      </c>
      <c r="B961" s="3" t="s">
        <v>41208</v>
      </c>
      <c r="C961" s="6" t="s">
        <v>74</v>
      </c>
      <c r="D961" s="8" t="s">
        <v>11719</v>
      </c>
      <c r="E961" s="3" t="str">
        <f t="shared" si="1"/>
        <v>shoulder&lt;br&gt;&lt;div class="audio"&gt;[sound:shoulder.mp3]&lt;/div&gt;</v>
      </c>
      <c r="F961" s="3" t="str">
        <f t="shared" si="2"/>
        <v>(n): vai</v>
      </c>
      <c r="G961" s="8" t="s">
        <v>41209</v>
      </c>
      <c r="H961" s="8" t="s">
        <v>41210</v>
      </c>
      <c r="I961" s="7">
        <f t="shared" si="3"/>
        <v>0.7219599132</v>
      </c>
    </row>
    <row r="962">
      <c r="A962" s="4">
        <v>962.0</v>
      </c>
      <c r="B962" s="3" t="s">
        <v>41211</v>
      </c>
      <c r="C962" s="6" t="s">
        <v>85</v>
      </c>
      <c r="D962" s="6" t="s">
        <v>600</v>
      </c>
      <c r="E962" s="3" t="str">
        <f t="shared" si="1"/>
        <v>highly&lt;br&gt;&lt;div class="audio"&gt;[sound:highly.mp3]&lt;/div&gt;</v>
      </c>
      <c r="F962" s="3" t="str">
        <f t="shared" si="2"/>
        <v>(adv): cao</v>
      </c>
      <c r="G962" s="6" t="s">
        <v>41212</v>
      </c>
      <c r="H962" s="6" t="s">
        <v>41213</v>
      </c>
      <c r="I962" s="7">
        <f t="shared" si="3"/>
        <v>0.9748747791</v>
      </c>
    </row>
    <row r="963">
      <c r="A963" s="4">
        <v>963.0</v>
      </c>
      <c r="B963" s="3" t="s">
        <v>41214</v>
      </c>
      <c r="C963" s="6" t="s">
        <v>11</v>
      </c>
      <c r="D963" s="6" t="s">
        <v>578</v>
      </c>
      <c r="E963" s="3" t="str">
        <f t="shared" si="1"/>
        <v>fine&lt;br&gt;&lt;div class="audio"&gt;[sound:fine.mp3]&lt;/div&gt;</v>
      </c>
      <c r="F963" s="3" t="str">
        <f t="shared" si="2"/>
        <v>(adj): tốt</v>
      </c>
      <c r="G963" s="6" t="s">
        <v>41215</v>
      </c>
      <c r="H963" s="6" t="s">
        <v>41216</v>
      </c>
      <c r="I963" s="7">
        <f t="shared" si="3"/>
        <v>0.9857512173</v>
      </c>
    </row>
    <row r="964">
      <c r="A964" s="4">
        <v>964.0</v>
      </c>
      <c r="B964" s="3" t="s">
        <v>41217</v>
      </c>
      <c r="C964" s="6" t="s">
        <v>58</v>
      </c>
      <c r="D964" s="6" t="s">
        <v>41218</v>
      </c>
      <c r="E964" s="3" t="str">
        <f t="shared" si="1"/>
        <v>eight&lt;br&gt;&lt;div class="audio"&gt;[sound:eight.mp3]&lt;/div&gt;</v>
      </c>
      <c r="F964" s="3" t="str">
        <f t="shared" si="2"/>
        <v>(num): tám</v>
      </c>
      <c r="G964" s="6" t="s">
        <v>41219</v>
      </c>
      <c r="H964" s="6" t="s">
        <v>41220</v>
      </c>
      <c r="I964" s="7">
        <f t="shared" si="3"/>
        <v>0.3113713678</v>
      </c>
    </row>
    <row r="965">
      <c r="A965" s="4">
        <v>965.0</v>
      </c>
      <c r="B965" s="3" t="s">
        <v>41221</v>
      </c>
      <c r="C965" s="6" t="s">
        <v>24</v>
      </c>
      <c r="D965" s="6" t="s">
        <v>1332</v>
      </c>
      <c r="E965" s="3" t="str">
        <f t="shared" si="1"/>
        <v>wear&lt;br&gt;&lt;div class="audio"&gt;[sound:wear.mp3]&lt;/div&gt;</v>
      </c>
      <c r="F965" s="3" t="str">
        <f t="shared" si="2"/>
        <v>(v): mặc</v>
      </c>
      <c r="G965" s="6" t="s">
        <v>41222</v>
      </c>
      <c r="H965" s="6" t="s">
        <v>41223</v>
      </c>
      <c r="I965" s="7">
        <f t="shared" si="3"/>
        <v>0.6169238157</v>
      </c>
    </row>
    <row r="966">
      <c r="A966" s="4">
        <v>966.0</v>
      </c>
      <c r="B966" s="3" t="s">
        <v>41224</v>
      </c>
      <c r="C966" s="6" t="s">
        <v>24</v>
      </c>
      <c r="D966" s="6" t="s">
        <v>734</v>
      </c>
      <c r="E966" s="3" t="str">
        <f t="shared" si="1"/>
        <v>lay&lt;br&gt;&lt;div class="audio"&gt;[sound:lay.mp3]&lt;/div&gt;</v>
      </c>
      <c r="F966" s="3" t="str">
        <f t="shared" si="2"/>
        <v>(v): đặt</v>
      </c>
      <c r="G966" s="6" t="s">
        <v>41225</v>
      </c>
      <c r="H966" s="6" t="s">
        <v>41226</v>
      </c>
      <c r="I966" s="7">
        <f t="shared" si="3"/>
        <v>0.7084853637</v>
      </c>
    </row>
    <row r="967">
      <c r="A967" s="4">
        <v>967.0</v>
      </c>
      <c r="B967" s="3" t="s">
        <v>41227</v>
      </c>
      <c r="C967" s="6" t="s">
        <v>11</v>
      </c>
      <c r="D967" s="6" t="s">
        <v>4297</v>
      </c>
      <c r="E967" s="3" t="str">
        <f t="shared" si="1"/>
        <v>beautiful&lt;br&gt;&lt;div class="audio"&gt;[sound:beautiful.mp3]&lt;/div&gt;</v>
      </c>
      <c r="F967" s="3" t="str">
        <f t="shared" si="2"/>
        <v>(adj): đẹp</v>
      </c>
      <c r="G967" s="6" t="s">
        <v>41228</v>
      </c>
      <c r="H967" s="6" t="s">
        <v>41229</v>
      </c>
      <c r="I967" s="7">
        <f t="shared" si="3"/>
        <v>0.743701094</v>
      </c>
    </row>
    <row r="968">
      <c r="A968" s="4">
        <v>968.0</v>
      </c>
      <c r="B968" s="3" t="s">
        <v>41230</v>
      </c>
      <c r="C968" s="6" t="s">
        <v>24</v>
      </c>
      <c r="D968" s="8" t="s">
        <v>15450</v>
      </c>
      <c r="E968" s="3" t="str">
        <f t="shared" si="1"/>
        <v>stick&lt;br&gt;&lt;div class="audio"&gt;[sound:stick.mp3]&lt;/div&gt;</v>
      </c>
      <c r="F968" s="3" t="str">
        <f t="shared" si="2"/>
        <v>(v): dán</v>
      </c>
      <c r="G968" s="8" t="s">
        <v>41231</v>
      </c>
      <c r="H968" s="8" t="s">
        <v>41232</v>
      </c>
      <c r="I968" s="7">
        <f t="shared" si="3"/>
        <v>0.3646220215</v>
      </c>
    </row>
    <row r="969">
      <c r="A969" s="4">
        <v>969.0</v>
      </c>
      <c r="B969" s="3" t="s">
        <v>41233</v>
      </c>
      <c r="C969" s="6" t="s">
        <v>74</v>
      </c>
      <c r="D969" s="6" t="s">
        <v>41234</v>
      </c>
      <c r="E969" s="3" t="str">
        <f t="shared" si="1"/>
        <v>boss&lt;br&gt;&lt;div class="audio"&gt;[sound:boss.mp3]&lt;/div&gt;</v>
      </c>
      <c r="F969" s="3" t="str">
        <f t="shared" si="2"/>
        <v>(n): sếp</v>
      </c>
      <c r="G969" s="6" t="s">
        <v>41235</v>
      </c>
      <c r="H969" s="6" t="s">
        <v>41236</v>
      </c>
      <c r="I969" s="7">
        <f t="shared" si="3"/>
        <v>0.539389908</v>
      </c>
    </row>
    <row r="970">
      <c r="A970" s="4">
        <v>970.0</v>
      </c>
      <c r="B970" s="3" t="s">
        <v>41237</v>
      </c>
      <c r="C970" s="6" t="s">
        <v>63</v>
      </c>
      <c r="D970" s="6" t="s">
        <v>38549</v>
      </c>
      <c r="E970" s="3" t="str">
        <f t="shared" si="1"/>
        <v>per&lt;br&gt;&lt;div class="audio"&gt;[sound:per.mp3]&lt;/div&gt;</v>
      </c>
      <c r="F970" s="3" t="str">
        <f t="shared" si="2"/>
        <v>(prep): mỗi</v>
      </c>
      <c r="G970" s="6" t="s">
        <v>41238</v>
      </c>
      <c r="H970" s="6" t="s">
        <v>41239</v>
      </c>
      <c r="I970" s="7">
        <f t="shared" si="3"/>
        <v>0.9976010495</v>
      </c>
    </row>
    <row r="971">
      <c r="A971" s="4">
        <v>971.0</v>
      </c>
      <c r="B971" s="3" t="s">
        <v>41240</v>
      </c>
      <c r="C971" s="6" t="s">
        <v>11</v>
      </c>
      <c r="D971" s="8" t="s">
        <v>20387</v>
      </c>
      <c r="E971" s="3" t="str">
        <f t="shared" si="1"/>
        <v>soft&lt;br&gt;&lt;div class="audio"&gt;[sound:soft.mp3]&lt;/div&gt;</v>
      </c>
      <c r="F971" s="3" t="str">
        <f t="shared" si="2"/>
        <v>(adj): mềm</v>
      </c>
      <c r="G971" s="8" t="s">
        <v>41241</v>
      </c>
      <c r="H971" s="8" t="s">
        <v>41242</v>
      </c>
      <c r="I971" s="7">
        <f t="shared" si="3"/>
        <v>0.6587733926</v>
      </c>
    </row>
    <row r="972">
      <c r="A972" s="4">
        <v>972.0</v>
      </c>
      <c r="B972" s="3" t="s">
        <v>41243</v>
      </c>
      <c r="C972" s="6" t="s">
        <v>63</v>
      </c>
      <c r="D972" s="6" t="s">
        <v>2489</v>
      </c>
      <c r="E972" s="3" t="str">
        <f t="shared" si="1"/>
        <v>near&lt;br&gt;&lt;div class="audio"&gt;[sound:near.mp3]&lt;/div&gt;</v>
      </c>
      <c r="F972" s="3" t="str">
        <f t="shared" si="2"/>
        <v>(prep): gần</v>
      </c>
      <c r="G972" s="6" t="s">
        <v>41244</v>
      </c>
      <c r="H972" s="6" t="s">
        <v>41245</v>
      </c>
      <c r="I972" s="7">
        <f t="shared" si="3"/>
        <v>0.5639201252</v>
      </c>
    </row>
    <row r="973">
      <c r="A973" s="4">
        <v>973.0</v>
      </c>
      <c r="B973" s="3" t="s">
        <v>41246</v>
      </c>
      <c r="C973" s="6" t="s">
        <v>74</v>
      </c>
      <c r="D973" s="8" t="s">
        <v>41247</v>
      </c>
      <c r="E973" s="3" t="str">
        <f t="shared" si="1"/>
        <v>spot&lt;br&gt;&lt;div class="audio"&gt;[sound:spot.mp3]&lt;/div&gt;</v>
      </c>
      <c r="F973" s="3" t="str">
        <f t="shared" si="2"/>
        <v>(n): đốm</v>
      </c>
      <c r="G973" s="8" t="s">
        <v>41248</v>
      </c>
      <c r="H973" s="8" t="s">
        <v>41249</v>
      </c>
      <c r="I973" s="7">
        <f t="shared" si="3"/>
        <v>0.9797112924</v>
      </c>
    </row>
    <row r="974">
      <c r="A974" s="4">
        <v>974.0</v>
      </c>
      <c r="B974" s="3" t="s">
        <v>41250</v>
      </c>
      <c r="C974" s="6" t="s">
        <v>74</v>
      </c>
      <c r="D974" s="6" t="s">
        <v>15166</v>
      </c>
      <c r="E974" s="3" t="str">
        <f t="shared" si="1"/>
        <v>oil&lt;br&gt;&lt;div class="audio"&gt;[sound:oil.mp3]&lt;/div&gt;</v>
      </c>
      <c r="F974" s="3" t="str">
        <f t="shared" si="2"/>
        <v>(n): dầu</v>
      </c>
      <c r="G974" s="6" t="s">
        <v>41251</v>
      </c>
      <c r="H974" s="6" t="s">
        <v>41252</v>
      </c>
      <c r="I974" s="7">
        <f t="shared" si="3"/>
        <v>0.5746124969</v>
      </c>
    </row>
    <row r="975">
      <c r="A975" s="4">
        <v>975.0</v>
      </c>
      <c r="B975" s="3" t="s">
        <v>41253</v>
      </c>
      <c r="C975" s="6" t="s">
        <v>24</v>
      </c>
      <c r="D975" s="6" t="s">
        <v>769</v>
      </c>
      <c r="E975" s="3" t="str">
        <f t="shared" si="1"/>
        <v>arrive&lt;br&gt;&lt;div class="audio"&gt;[sound:arrive.mp3]&lt;/div&gt;</v>
      </c>
      <c r="F975" s="3" t="str">
        <f t="shared" si="2"/>
        <v>(v): đến</v>
      </c>
      <c r="G975" s="6" t="s">
        <v>41254</v>
      </c>
      <c r="H975" s="6" t="s">
        <v>41255</v>
      </c>
      <c r="I975" s="7">
        <f t="shared" si="3"/>
        <v>0.2369523844</v>
      </c>
    </row>
    <row r="976">
      <c r="A976" s="4">
        <v>976.0</v>
      </c>
      <c r="B976" s="3" t="s">
        <v>41256</v>
      </c>
      <c r="C976" s="6" t="s">
        <v>74</v>
      </c>
      <c r="D976" s="6" t="s">
        <v>2998</v>
      </c>
      <c r="E976" s="3" t="str">
        <f t="shared" si="1"/>
        <v>wife&lt;br&gt;&lt;div class="audio"&gt;[sound:wife.mp3]&lt;/div&gt;</v>
      </c>
      <c r="F976" s="3" t="str">
        <f t="shared" si="2"/>
        <v>(n): vợ</v>
      </c>
      <c r="G976" s="6" t="s">
        <v>41257</v>
      </c>
      <c r="H976" s="6" t="s">
        <v>41258</v>
      </c>
      <c r="I976" s="7">
        <f t="shared" si="3"/>
        <v>0.875757386</v>
      </c>
    </row>
    <row r="977">
      <c r="A977" s="4">
        <v>977.0</v>
      </c>
      <c r="B977" s="3" t="s">
        <v>41259</v>
      </c>
      <c r="C977" s="6" t="s">
        <v>11</v>
      </c>
      <c r="D977" s="6" t="s">
        <v>1354</v>
      </c>
      <c r="E977" s="3" t="str">
        <f t="shared" si="1"/>
        <v>cheap&lt;br&gt;&lt;div class="audio"&gt;[sound:cheap.mp3]&lt;/div&gt;</v>
      </c>
      <c r="F977" s="3" t="str">
        <f t="shared" si="2"/>
        <v>(adj): rẻ</v>
      </c>
      <c r="G977" s="6" t="s">
        <v>41260</v>
      </c>
      <c r="H977" s="6" t="s">
        <v>41261</v>
      </c>
      <c r="I977" s="7">
        <f t="shared" si="3"/>
        <v>0.4239104518</v>
      </c>
    </row>
    <row r="978">
      <c r="A978" s="4">
        <v>978.0</v>
      </c>
      <c r="B978" s="3" t="s">
        <v>41262</v>
      </c>
      <c r="C978" s="6" t="s">
        <v>24</v>
      </c>
      <c r="D978" s="6" t="s">
        <v>36449</v>
      </c>
      <c r="E978" s="3" t="str">
        <f t="shared" si="1"/>
        <v>print&lt;br&gt;&lt;div class="audio"&gt;[sound:print.mp3]&lt;/div&gt;</v>
      </c>
      <c r="F978" s="3" t="str">
        <f t="shared" si="2"/>
        <v>(v): in</v>
      </c>
      <c r="G978" s="6" t="s">
        <v>41263</v>
      </c>
      <c r="H978" s="6" t="s">
        <v>41264</v>
      </c>
      <c r="I978" s="7">
        <f t="shared" si="3"/>
        <v>0.2694719376</v>
      </c>
    </row>
    <row r="979">
      <c r="A979" s="4">
        <v>979.0</v>
      </c>
      <c r="B979" s="3" t="s">
        <v>41265</v>
      </c>
      <c r="C979" s="6" t="s">
        <v>74</v>
      </c>
      <c r="D979" s="8" t="s">
        <v>12122</v>
      </c>
      <c r="E979" s="3" t="str">
        <f t="shared" si="1"/>
        <v>skin&lt;br&gt;&lt;div class="audio"&gt;[sound:skin.mp3]&lt;/div&gt;</v>
      </c>
      <c r="F979" s="3" t="str">
        <f t="shared" si="2"/>
        <v>(n): da</v>
      </c>
      <c r="G979" s="8" t="s">
        <v>41266</v>
      </c>
      <c r="H979" s="8" t="s">
        <v>41267</v>
      </c>
      <c r="I979" s="7">
        <f t="shared" si="3"/>
        <v>0.04663834187</v>
      </c>
    </row>
    <row r="980">
      <c r="A980" s="4">
        <v>980.0</v>
      </c>
      <c r="B980" s="3" t="s">
        <v>41268</v>
      </c>
      <c r="C980" s="6" t="s">
        <v>11</v>
      </c>
      <c r="D980" s="8" t="s">
        <v>41269</v>
      </c>
      <c r="E980" s="3" t="str">
        <f t="shared" si="1"/>
        <v>strange&lt;br&gt;&lt;div class="audio"&gt;[sound:strange.mp3]&lt;/div&gt;</v>
      </c>
      <c r="F980" s="3" t="str">
        <f t="shared" si="2"/>
        <v>(adj): lạ</v>
      </c>
      <c r="G980" s="8" t="s">
        <v>41270</v>
      </c>
      <c r="H980" s="8" t="s">
        <v>41271</v>
      </c>
      <c r="I980" s="7">
        <f t="shared" si="3"/>
        <v>0.9628048813</v>
      </c>
    </row>
    <row r="981">
      <c r="A981" s="4">
        <v>981.0</v>
      </c>
      <c r="B981" s="3" t="s">
        <v>8</v>
      </c>
      <c r="C981" s="6" t="s">
        <v>74</v>
      </c>
      <c r="D981" s="6" t="s">
        <v>41272</v>
      </c>
      <c r="E981" s="3" t="str">
        <f t="shared" si="1"/>
        <v>code&lt;br&gt;&lt;div class="audio"&gt;[sound:code.mp3]&lt;/div&gt;</v>
      </c>
      <c r="F981" s="3" t="str">
        <f t="shared" si="2"/>
        <v>(n): mã</v>
      </c>
      <c r="G981" s="6" t="s">
        <v>41273</v>
      </c>
      <c r="H981" s="6" t="s">
        <v>41274</v>
      </c>
      <c r="I981" s="7">
        <f t="shared" si="3"/>
        <v>0.205155126</v>
      </c>
    </row>
    <row r="982">
      <c r="A982" s="4">
        <v>982.0</v>
      </c>
      <c r="B982" s="3" t="s">
        <v>41275</v>
      </c>
      <c r="C982" s="6" t="s">
        <v>74</v>
      </c>
      <c r="D982" s="6" t="s">
        <v>12220</v>
      </c>
      <c r="E982" s="3" t="str">
        <f t="shared" si="1"/>
        <v>discussion&lt;br&gt;&lt;div class="audio"&gt;[sound:discussion.mp3]&lt;/div&gt;</v>
      </c>
      <c r="F982" s="3" t="str">
        <f t="shared" si="2"/>
        <v>(n): cuộc thảo luận</v>
      </c>
      <c r="G982" s="6" t="s">
        <v>41276</v>
      </c>
      <c r="H982" s="6" t="s">
        <v>41277</v>
      </c>
      <c r="I982" s="7">
        <f t="shared" si="3"/>
        <v>0.130372664</v>
      </c>
    </row>
    <row r="983">
      <c r="A983" s="4">
        <v>983.0</v>
      </c>
      <c r="B983" s="3" t="s">
        <v>41278</v>
      </c>
      <c r="C983" s="6" t="s">
        <v>11</v>
      </c>
      <c r="D983" s="6" t="s">
        <v>41279</v>
      </c>
      <c r="E983" s="3" t="str">
        <f t="shared" si="1"/>
        <v>economic&lt;br&gt;&lt;div class="audio"&gt;[sound:economic.mp3]&lt;/div&gt;</v>
      </c>
      <c r="F983" s="3" t="str">
        <f t="shared" si="2"/>
        <v>(adj): thuộc kinh tế</v>
      </c>
      <c r="G983" s="6" t="s">
        <v>41280</v>
      </c>
      <c r="H983" s="6" t="s">
        <v>41281</v>
      </c>
      <c r="I983" s="7">
        <f t="shared" si="3"/>
        <v>0.7664530557</v>
      </c>
    </row>
    <row r="984">
      <c r="A984" s="4">
        <v>984.0</v>
      </c>
      <c r="B984" s="3" t="s">
        <v>41282</v>
      </c>
      <c r="C984" s="6" t="s">
        <v>24</v>
      </c>
      <c r="D984" s="6" t="s">
        <v>13613</v>
      </c>
      <c r="E984" s="3" t="str">
        <f t="shared" si="1"/>
        <v>contribute&lt;br&gt;&lt;div class="audio"&gt;[sound:contribute.mp3]&lt;/div&gt;</v>
      </c>
      <c r="F984" s="3" t="str">
        <f t="shared" si="2"/>
        <v>(v): đóng góp</v>
      </c>
      <c r="G984" s="6" t="s">
        <v>41283</v>
      </c>
      <c r="H984" s="6" t="s">
        <v>41284</v>
      </c>
      <c r="I984" s="7">
        <f t="shared" si="3"/>
        <v>0.5229592787</v>
      </c>
    </row>
    <row r="985">
      <c r="A985" s="4">
        <v>985.0</v>
      </c>
      <c r="B985" s="3" t="s">
        <v>41285</v>
      </c>
      <c r="C985" s="6" t="s">
        <v>11</v>
      </c>
      <c r="D985" s="6" t="s">
        <v>41286</v>
      </c>
      <c r="E985" s="3" t="str">
        <f t="shared" si="1"/>
        <v>dead&lt;br&gt;&lt;div class="audio"&gt;[sound:dead.mp3]&lt;/div&gt;</v>
      </c>
      <c r="F985" s="3" t="str">
        <f t="shared" si="2"/>
        <v>(adj): đã chết</v>
      </c>
      <c r="G985" s="6" t="s">
        <v>41287</v>
      </c>
      <c r="H985" s="6" t="s">
        <v>41288</v>
      </c>
      <c r="I985" s="7">
        <f t="shared" si="3"/>
        <v>0.4998846257</v>
      </c>
    </row>
    <row r="986">
      <c r="A986" s="4">
        <v>986.0</v>
      </c>
      <c r="B986" s="3" t="s">
        <v>41289</v>
      </c>
      <c r="C986" s="6" t="s">
        <v>74</v>
      </c>
      <c r="D986" s="6" t="s">
        <v>41290</v>
      </c>
      <c r="E986" s="3" t="str">
        <f t="shared" si="1"/>
        <v>guide&lt;br&gt;&lt;div class="audio"&gt;[sound:guide.mp3]&lt;/div&gt;</v>
      </c>
      <c r="F986" s="3" t="str">
        <f t="shared" si="2"/>
        <v>(n): người hướng dẫn</v>
      </c>
      <c r="G986" s="6" t="s">
        <v>41291</v>
      </c>
      <c r="H986" s="6" t="s">
        <v>41292</v>
      </c>
      <c r="I986" s="7">
        <f t="shared" si="3"/>
        <v>0.03790218828</v>
      </c>
    </row>
    <row r="987">
      <c r="A987" s="4">
        <v>987.0</v>
      </c>
      <c r="B987" s="3" t="s">
        <v>41293</v>
      </c>
      <c r="C987" s="6" t="s">
        <v>74</v>
      </c>
      <c r="D987" s="6" t="s">
        <v>9768</v>
      </c>
      <c r="E987" s="3" t="str">
        <f t="shared" si="1"/>
        <v>theory&lt;br&gt;&lt;div class="audio"&gt;[sound:theory.mp3]&lt;/div&gt;</v>
      </c>
      <c r="F987" s="3" t="str">
        <f t="shared" si="2"/>
        <v>(n): lý thuyết</v>
      </c>
      <c r="G987" s="6" t="s">
        <v>41294</v>
      </c>
      <c r="H987" s="6" t="s">
        <v>41295</v>
      </c>
      <c r="I987" s="7">
        <f t="shared" si="3"/>
        <v>0.341272977</v>
      </c>
    </row>
    <row r="988">
      <c r="A988" s="4">
        <v>988.0</v>
      </c>
      <c r="B988" s="3" t="s">
        <v>41296</v>
      </c>
      <c r="C988" s="6" t="s">
        <v>74</v>
      </c>
      <c r="D988" s="6" t="s">
        <v>4222</v>
      </c>
      <c r="E988" s="3" t="str">
        <f t="shared" si="1"/>
        <v>truth&lt;br&gt;&lt;div class="audio"&gt;[sound:truth.mp3]&lt;/div&gt;</v>
      </c>
      <c r="F988" s="3" t="str">
        <f t="shared" si="2"/>
        <v>(n): sự thật</v>
      </c>
      <c r="G988" s="6" t="s">
        <v>41297</v>
      </c>
      <c r="H988" s="6" t="s">
        <v>41298</v>
      </c>
      <c r="I988" s="7">
        <f t="shared" si="3"/>
        <v>0.055289325</v>
      </c>
    </row>
    <row r="989">
      <c r="A989" s="4">
        <v>989.0</v>
      </c>
      <c r="B989" s="3" t="s">
        <v>41299</v>
      </c>
      <c r="C989" s="6" t="s">
        <v>74</v>
      </c>
      <c r="D989" s="6" t="s">
        <v>13744</v>
      </c>
      <c r="E989" s="3" t="str">
        <f t="shared" si="1"/>
        <v>demand&lt;br&gt;&lt;div class="audio"&gt;[sound:demand.mp3]&lt;/div&gt;</v>
      </c>
      <c r="F989" s="3" t="str">
        <f t="shared" si="2"/>
        <v>(n): nhu cầu</v>
      </c>
      <c r="G989" s="6" t="s">
        <v>41300</v>
      </c>
      <c r="H989" s="6" t="s">
        <v>41301</v>
      </c>
      <c r="I989" s="7">
        <f t="shared" si="3"/>
        <v>0.01219620148</v>
      </c>
    </row>
    <row r="990">
      <c r="A990" s="4">
        <v>990.0</v>
      </c>
      <c r="B990" s="3" t="s">
        <v>41302</v>
      </c>
      <c r="C990" s="6" t="s">
        <v>24</v>
      </c>
      <c r="D990" s="6" t="s">
        <v>99</v>
      </c>
      <c r="E990" s="3" t="str">
        <f t="shared" si="1"/>
        <v>thank&lt;br&gt;&lt;div class="audio"&gt;[sound:thank.mp3]&lt;/div&gt;</v>
      </c>
      <c r="F990" s="3" t="str">
        <f t="shared" si="2"/>
        <v>(v): cảm ơn</v>
      </c>
      <c r="G990" s="6" t="s">
        <v>41303</v>
      </c>
      <c r="H990" s="6" t="s">
        <v>41304</v>
      </c>
      <c r="I990" s="7">
        <f t="shared" si="3"/>
        <v>0.532304608</v>
      </c>
    </row>
    <row r="991">
      <c r="A991" s="4">
        <v>991.0</v>
      </c>
      <c r="B991" s="3" t="s">
        <v>41305</v>
      </c>
      <c r="C991" s="6" t="s">
        <v>74</v>
      </c>
      <c r="D991" s="6" t="s">
        <v>41306</v>
      </c>
      <c r="E991" s="3" t="str">
        <f t="shared" si="1"/>
        <v>dollar&lt;br&gt;&lt;div class="audio"&gt;[sound:dollar.mp3]&lt;/div&gt;</v>
      </c>
      <c r="F991" s="3" t="str">
        <f t="shared" si="2"/>
        <v>(n): đô la</v>
      </c>
      <c r="G991" s="6" t="s">
        <v>41307</v>
      </c>
      <c r="H991" s="6" t="s">
        <v>41308</v>
      </c>
      <c r="I991" s="7">
        <f t="shared" si="3"/>
        <v>0.07379122898</v>
      </c>
    </row>
    <row r="992">
      <c r="A992" s="4">
        <v>992.0</v>
      </c>
      <c r="B992" s="3" t="s">
        <v>41309</v>
      </c>
      <c r="C992" s="6" t="s">
        <v>58</v>
      </c>
      <c r="D992" s="6" t="s">
        <v>41310</v>
      </c>
      <c r="E992" s="3" t="str">
        <f t="shared" si="1"/>
        <v>thousand&lt;br&gt;&lt;div class="audio"&gt;[sound:thousand.mp3]&lt;/div&gt;</v>
      </c>
      <c r="F992" s="3" t="str">
        <f t="shared" si="2"/>
        <v>(num): nghìn</v>
      </c>
      <c r="G992" s="6" t="s">
        <v>41311</v>
      </c>
      <c r="H992" s="6" t="s">
        <v>41312</v>
      </c>
      <c r="I992" s="7">
        <f t="shared" si="3"/>
        <v>0.8101145915</v>
      </c>
    </row>
    <row r="993">
      <c r="A993" s="4">
        <v>993.0</v>
      </c>
      <c r="B993" s="3" t="s">
        <v>41313</v>
      </c>
      <c r="C993" s="6" t="s">
        <v>24</v>
      </c>
      <c r="D993" s="6" t="s">
        <v>254</v>
      </c>
      <c r="E993" s="3" t="str">
        <f t="shared" si="1"/>
        <v>hang&lt;br&gt;&lt;div class="audio"&gt;[sound:hang.mp3]&lt;/div&gt;</v>
      </c>
      <c r="F993" s="3" t="str">
        <f t="shared" si="2"/>
        <v>(v): treo</v>
      </c>
      <c r="G993" s="6" t="s">
        <v>41314</v>
      </c>
      <c r="H993" s="6" t="s">
        <v>41315</v>
      </c>
      <c r="I993" s="7">
        <f t="shared" si="3"/>
        <v>0.3715465065</v>
      </c>
    </row>
    <row r="994">
      <c r="A994" s="4">
        <v>994.0</v>
      </c>
      <c r="B994" s="3" t="s">
        <v>41316</v>
      </c>
      <c r="C994" s="6" t="s">
        <v>74</v>
      </c>
      <c r="D994" s="6" t="s">
        <v>15367</v>
      </c>
      <c r="E994" s="3" t="str">
        <f t="shared" si="1"/>
        <v>hall&lt;br&gt;&lt;div class="audio"&gt;[sound:hall.mp3]&lt;/div&gt;</v>
      </c>
      <c r="F994" s="3" t="str">
        <f t="shared" si="2"/>
        <v>(n): sảnh</v>
      </c>
      <c r="G994" s="6" t="s">
        <v>41317</v>
      </c>
      <c r="H994" s="6" t="s">
        <v>41318</v>
      </c>
      <c r="I994" s="7">
        <f t="shared" si="3"/>
        <v>0.6252447296</v>
      </c>
    </row>
    <row r="995">
      <c r="A995" s="4">
        <v>995.0</v>
      </c>
      <c r="B995" s="3" t="s">
        <v>41319</v>
      </c>
      <c r="C995" s="6" t="s">
        <v>24</v>
      </c>
      <c r="D995" s="6" t="s">
        <v>41320</v>
      </c>
      <c r="E995" s="3" t="str">
        <f t="shared" si="1"/>
        <v>hide&lt;br&gt;&lt;div class="audio"&gt;[sound:hide.mp3]&lt;/div&gt;</v>
      </c>
      <c r="F995" s="3" t="str">
        <f t="shared" si="2"/>
        <v>(v): trốn</v>
      </c>
      <c r="G995" s="6" t="s">
        <v>41321</v>
      </c>
      <c r="H995" s="6" t="s">
        <v>41322</v>
      </c>
      <c r="I995" s="7">
        <f t="shared" si="3"/>
        <v>0.4134796022</v>
      </c>
    </row>
    <row r="996">
      <c r="A996" s="4">
        <v>996.0</v>
      </c>
      <c r="B996" s="3" t="s">
        <v>41323</v>
      </c>
      <c r="C996" s="6" t="s">
        <v>74</v>
      </c>
      <c r="D996" s="6" t="s">
        <v>4668</v>
      </c>
      <c r="E996" s="3" t="str">
        <f t="shared" si="1"/>
        <v>corner&lt;br&gt;&lt;div class="audio"&gt;[sound:corner.mp3]&lt;/div&gt;</v>
      </c>
      <c r="F996" s="3" t="str">
        <f t="shared" si="2"/>
        <v>(n): góc</v>
      </c>
      <c r="G996" s="6" t="s">
        <v>41324</v>
      </c>
      <c r="H996" s="6" t="s">
        <v>41325</v>
      </c>
      <c r="I996" s="7">
        <f t="shared" si="3"/>
        <v>0.3103324545</v>
      </c>
    </row>
    <row r="997">
      <c r="A997" s="4">
        <v>997.0</v>
      </c>
      <c r="B997" s="3" t="s">
        <v>41326</v>
      </c>
      <c r="C997" s="6" t="s">
        <v>11</v>
      </c>
      <c r="D997" s="6" t="s">
        <v>9413</v>
      </c>
      <c r="E997" s="3" t="str">
        <f t="shared" si="1"/>
        <v>contrary&lt;br&gt;&lt;div class="audio"&gt;[sound:contrary.mp3]&lt;/div&gt;</v>
      </c>
      <c r="F997" s="3" t="str">
        <f t="shared" si="2"/>
        <v>(adj): trái ngược</v>
      </c>
      <c r="G997" s="6" t="s">
        <v>41327</v>
      </c>
      <c r="H997" s="6" t="s">
        <v>41328</v>
      </c>
      <c r="I997" s="7">
        <f t="shared" si="3"/>
        <v>0.9065182145</v>
      </c>
    </row>
    <row r="998">
      <c r="A998" s="4">
        <v>998.0</v>
      </c>
      <c r="B998" s="3" t="s">
        <v>41329</v>
      </c>
      <c r="C998" s="6" t="s">
        <v>24</v>
      </c>
      <c r="D998" s="6" t="s">
        <v>1565</v>
      </c>
      <c r="E998" s="3" t="str">
        <f t="shared" si="1"/>
        <v>discuss&lt;br&gt;&lt;div class="audio"&gt;[sound:discuss.mp3]&lt;/div&gt;</v>
      </c>
      <c r="F998" s="3" t="str">
        <f t="shared" si="2"/>
        <v>(v): thảo luận</v>
      </c>
      <c r="G998" s="6" t="s">
        <v>41330</v>
      </c>
      <c r="H998" s="6" t="s">
        <v>41331</v>
      </c>
      <c r="I998" s="7">
        <f t="shared" si="3"/>
        <v>0.8254747195</v>
      </c>
    </row>
    <row r="999">
      <c r="A999" s="4">
        <v>999.0</v>
      </c>
      <c r="B999" s="3" t="s">
        <v>41332</v>
      </c>
      <c r="C999" s="6" t="s">
        <v>11</v>
      </c>
      <c r="D999" s="6" t="s">
        <v>6391</v>
      </c>
      <c r="E999" s="3" t="str">
        <f t="shared" si="1"/>
        <v>effective&lt;br&gt;&lt;div class="audio"&gt;[sound:effective.mp3]&lt;/div&gt;</v>
      </c>
      <c r="F999" s="3" t="str">
        <f t="shared" si="2"/>
        <v>(adj): hiệu quả</v>
      </c>
      <c r="G999" s="6" t="s">
        <v>41333</v>
      </c>
      <c r="H999" s="6" t="s">
        <v>41334</v>
      </c>
      <c r="I999" s="7">
        <f t="shared" si="3"/>
        <v>0.795642303</v>
      </c>
    </row>
    <row r="1000">
      <c r="A1000" s="4">
        <v>1000.0</v>
      </c>
      <c r="B1000" s="3" t="s">
        <v>41335</v>
      </c>
      <c r="C1000" s="6" t="s">
        <v>11</v>
      </c>
      <c r="D1000" s="6" t="s">
        <v>3338</v>
      </c>
      <c r="E1000" s="3" t="str">
        <f t="shared" si="1"/>
        <v>current&lt;br&gt;&lt;div class="audio"&gt;[sound:current.mp3]&lt;/div&gt;</v>
      </c>
      <c r="F1000" s="3" t="str">
        <f t="shared" si="2"/>
        <v>(adj): hiện tại</v>
      </c>
      <c r="G1000" s="6" t="s">
        <v>41336</v>
      </c>
      <c r="H1000" s="6" t="s">
        <v>41337</v>
      </c>
      <c r="I1000" s="7">
        <f t="shared" si="3"/>
        <v>0.3672413705</v>
      </c>
    </row>
    <row r="1001">
      <c r="A1001" s="4">
        <v>1001.0</v>
      </c>
      <c r="B1001" s="3" t="s">
        <v>41338</v>
      </c>
      <c r="C1001" s="6" t="s">
        <v>11</v>
      </c>
      <c r="D1001" s="6" t="s">
        <v>13652</v>
      </c>
      <c r="E1001" s="3" t="str">
        <f t="shared" si="1"/>
        <v>traditional&lt;br&gt;&lt;div class="audio"&gt;[sound:traditional.mp3]&lt;/div&gt;</v>
      </c>
      <c r="F1001" s="3" t="str">
        <f t="shared" si="2"/>
        <v>(adj): truyền thống</v>
      </c>
      <c r="G1001" s="6" t="s">
        <v>41339</v>
      </c>
      <c r="H1001" s="6" t="s">
        <v>41340</v>
      </c>
      <c r="I1001" s="7">
        <f t="shared" si="3"/>
        <v>0.2513475462</v>
      </c>
    </row>
    <row r="1002">
      <c r="A1002" s="4">
        <v>1002.0</v>
      </c>
      <c r="B1002" s="3" t="s">
        <v>41341</v>
      </c>
      <c r="C1002" s="6" t="s">
        <v>74</v>
      </c>
      <c r="D1002" s="6" t="s">
        <v>41342</v>
      </c>
      <c r="E1002" s="3" t="str">
        <f t="shared" si="1"/>
        <v>economy&lt;br&gt;&lt;div class="audio"&gt;[sound:economy.mp3]&lt;/div&gt;</v>
      </c>
      <c r="F1002" s="3" t="str">
        <f t="shared" si="2"/>
        <v>(n): nền kinh tế</v>
      </c>
      <c r="G1002" s="6" t="s">
        <v>41343</v>
      </c>
      <c r="H1002" s="6" t="s">
        <v>41344</v>
      </c>
      <c r="I1002" s="7">
        <f t="shared" si="3"/>
        <v>0.4720616527</v>
      </c>
    </row>
    <row r="1003">
      <c r="A1003" s="4">
        <v>1003.0</v>
      </c>
      <c r="B1003" s="3" t="s">
        <v>41345</v>
      </c>
      <c r="C1003" s="6" t="s">
        <v>11</v>
      </c>
      <c r="D1003" s="6" t="s">
        <v>3267</v>
      </c>
      <c r="E1003" s="3" t="str">
        <f t="shared" si="1"/>
        <v>total&lt;br&gt;&lt;div class="audio"&gt;[sound:total.mp3]&lt;/div&gt;</v>
      </c>
      <c r="F1003" s="3" t="str">
        <f t="shared" si="2"/>
        <v>(adj): tổng cộng</v>
      </c>
      <c r="G1003" s="6" t="s">
        <v>41346</v>
      </c>
      <c r="H1003" s="6" t="s">
        <v>41347</v>
      </c>
      <c r="I1003" s="7">
        <f t="shared" si="3"/>
        <v>0.1303235413</v>
      </c>
    </row>
    <row r="1004">
      <c r="A1004" s="4">
        <v>1004.0</v>
      </c>
      <c r="B1004" s="3" t="s">
        <v>41348</v>
      </c>
      <c r="C1004" s="6" t="s">
        <v>74</v>
      </c>
      <c r="D1004" s="6" t="s">
        <v>1921</v>
      </c>
      <c r="E1004" s="3" t="str">
        <f t="shared" si="1"/>
        <v>holiday&lt;br&gt;&lt;div class="audio"&gt;[sound:holiday.mp3]&lt;/div&gt;</v>
      </c>
      <c r="F1004" s="3" t="str">
        <f t="shared" si="2"/>
        <v>(n): ngày nghỉ</v>
      </c>
      <c r="G1004" s="6" t="s">
        <v>41349</v>
      </c>
      <c r="H1004" s="6" t="s">
        <v>41350</v>
      </c>
      <c r="I1004" s="7">
        <f t="shared" si="3"/>
        <v>0.9564915824</v>
      </c>
    </row>
    <row r="1005">
      <c r="A1005" s="4">
        <v>1005.0</v>
      </c>
      <c r="B1005" s="3" t="s">
        <v>41351</v>
      </c>
      <c r="C1005" s="6" t="s">
        <v>24</v>
      </c>
      <c r="D1005" s="6" t="s">
        <v>9625</v>
      </c>
      <c r="E1005" s="3" t="str">
        <f t="shared" si="1"/>
        <v>determine&lt;br&gt;&lt;div class="audio"&gt;[sound:determine.mp3]&lt;/div&gt;</v>
      </c>
      <c r="F1005" s="3" t="str">
        <f t="shared" si="2"/>
        <v>(v): xác định</v>
      </c>
      <c r="G1005" s="6" t="s">
        <v>41352</v>
      </c>
      <c r="H1005" s="6" t="s">
        <v>41353</v>
      </c>
      <c r="I1005" s="7">
        <f t="shared" si="3"/>
        <v>0.1921034239</v>
      </c>
    </row>
    <row r="1006">
      <c r="A1006" s="4">
        <v>1006.0</v>
      </c>
      <c r="B1006" s="3" t="s">
        <v>41354</v>
      </c>
      <c r="C1006" s="6" t="s">
        <v>74</v>
      </c>
      <c r="D1006" s="6" t="s">
        <v>15063</v>
      </c>
      <c r="E1006" s="3" t="str">
        <f t="shared" si="1"/>
        <v>heat&lt;br&gt;&lt;div class="audio"&gt;[sound:heat.mp3]&lt;/div&gt;</v>
      </c>
      <c r="F1006" s="3" t="str">
        <f t="shared" si="2"/>
        <v>(n): nhiệt</v>
      </c>
      <c r="G1006" s="6" t="s">
        <v>41355</v>
      </c>
      <c r="H1006" s="6" t="s">
        <v>41356</v>
      </c>
      <c r="I1006" s="7">
        <f t="shared" si="3"/>
        <v>0.739342201</v>
      </c>
    </row>
    <row r="1007">
      <c r="A1007" s="4">
        <v>1007.0</v>
      </c>
      <c r="B1007" s="3" t="s">
        <v>41357</v>
      </c>
      <c r="C1007" s="6" t="s">
        <v>85</v>
      </c>
      <c r="D1007" s="6" t="s">
        <v>5863</v>
      </c>
      <c r="E1007" s="3" t="str">
        <f t="shared" si="1"/>
        <v>tonight&lt;br&gt;&lt;div class="audio"&gt;[sound:tonight.mp3]&lt;/div&gt;</v>
      </c>
      <c r="F1007" s="3" t="str">
        <f t="shared" si="2"/>
        <v>(adv): tối nay</v>
      </c>
      <c r="G1007" s="6" t="s">
        <v>41358</v>
      </c>
      <c r="H1007" s="6" t="s">
        <v>41359</v>
      </c>
      <c r="I1007" s="7">
        <f t="shared" si="3"/>
        <v>0.4441508521</v>
      </c>
    </row>
    <row r="1008">
      <c r="A1008" s="4">
        <v>1008.0</v>
      </c>
      <c r="B1008" s="3" t="s">
        <v>41360</v>
      </c>
      <c r="C1008" s="6" t="s">
        <v>11</v>
      </c>
      <c r="D1008" s="6" t="s">
        <v>20738</v>
      </c>
      <c r="E1008" s="3" t="str">
        <f t="shared" si="1"/>
        <v>cool&lt;br&gt;&lt;div class="audio"&gt;[sound:cool.mp3]&lt;/div&gt;</v>
      </c>
      <c r="F1008" s="3" t="str">
        <f t="shared" si="2"/>
        <v>(adj): mát mẻ</v>
      </c>
      <c r="G1008" s="6" t="s">
        <v>41361</v>
      </c>
      <c r="H1008" s="6" t="s">
        <v>41362</v>
      </c>
      <c r="I1008" s="7">
        <f t="shared" si="3"/>
        <v>0.6684272285</v>
      </c>
    </row>
    <row r="1009">
      <c r="A1009" s="4">
        <v>1009.0</v>
      </c>
      <c r="B1009" s="3" t="s">
        <v>41363</v>
      </c>
      <c r="C1009" s="6" t="s">
        <v>74</v>
      </c>
      <c r="D1009" s="6" t="s">
        <v>1969</v>
      </c>
      <c r="E1009" s="3" t="str">
        <f t="shared" si="1"/>
        <v>tea&lt;br&gt;&lt;div class="audio"&gt;[sound:tea.mp3]&lt;/div&gt;</v>
      </c>
      <c r="F1009" s="3" t="str">
        <f t="shared" si="2"/>
        <v>(n): trà</v>
      </c>
      <c r="G1009" s="6" t="s">
        <v>41364</v>
      </c>
      <c r="H1009" s="6" t="s">
        <v>41365</v>
      </c>
      <c r="I1009" s="7">
        <f t="shared" si="3"/>
        <v>0.2658544394</v>
      </c>
    </row>
    <row r="1010">
      <c r="A1010" s="4">
        <v>1010.0</v>
      </c>
      <c r="B1010" s="3" t="s">
        <v>41366</v>
      </c>
      <c r="C1010" s="6" t="s">
        <v>24</v>
      </c>
      <c r="D1010" s="6" t="s">
        <v>41367</v>
      </c>
      <c r="E1010" s="3" t="str">
        <f t="shared" si="1"/>
        <v>discover&lt;br&gt;&lt;div class="audio"&gt;[sound:discover.mp3]&lt;/div&gt;</v>
      </c>
      <c r="F1010" s="3" t="str">
        <f t="shared" si="2"/>
        <v>(v): khám phá</v>
      </c>
      <c r="G1010" s="6" t="s">
        <v>41368</v>
      </c>
      <c r="H1010" s="6" t="s">
        <v>41369</v>
      </c>
      <c r="I1010" s="7">
        <f t="shared" si="3"/>
        <v>0.3545286545</v>
      </c>
    </row>
    <row r="1011">
      <c r="A1011" s="4">
        <v>1011.0</v>
      </c>
      <c r="B1011" s="3" t="s">
        <v>41370</v>
      </c>
      <c r="C1011" s="6" t="s">
        <v>74</v>
      </c>
      <c r="D1011" s="6" t="s">
        <v>41371</v>
      </c>
      <c r="E1011" s="3" t="str">
        <f t="shared" si="1"/>
        <v>credit&lt;br&gt;&lt;div class="audio"&gt;[sound:credit.mp3]&lt;/div&gt;</v>
      </c>
      <c r="F1011" s="3" t="str">
        <f t="shared" si="2"/>
        <v>(n): tín dụng</v>
      </c>
      <c r="G1011" s="6" t="s">
        <v>41372</v>
      </c>
      <c r="H1011" s="6" t="s">
        <v>41373</v>
      </c>
      <c r="I1011" s="7">
        <f t="shared" si="3"/>
        <v>0.7377672552</v>
      </c>
    </row>
    <row r="1012">
      <c r="A1012" s="4">
        <v>1012.0</v>
      </c>
      <c r="B1012" s="3" t="s">
        <v>41374</v>
      </c>
      <c r="C1012" s="6" t="s">
        <v>11</v>
      </c>
      <c r="D1012" s="6" t="s">
        <v>15007</v>
      </c>
      <c r="E1012" s="3" t="str">
        <f t="shared" si="1"/>
        <v>double&lt;br&gt;&lt;div class="audio"&gt;[sound:double.mp3]&lt;/div&gt;</v>
      </c>
      <c r="F1012" s="3" t="str">
        <f t="shared" si="2"/>
        <v>(adj): gấp đôi</v>
      </c>
      <c r="G1012" s="6" t="s">
        <v>41375</v>
      </c>
      <c r="H1012" s="6" t="s">
        <v>41376</v>
      </c>
      <c r="I1012" s="7">
        <f t="shared" si="3"/>
        <v>0.7019664931</v>
      </c>
    </row>
    <row r="1013">
      <c r="A1013" s="4">
        <v>1013.0</v>
      </c>
      <c r="B1013" s="3" t="s">
        <v>41377</v>
      </c>
      <c r="C1013" s="6" t="s">
        <v>74</v>
      </c>
      <c r="D1013" s="6" t="s">
        <v>37933</v>
      </c>
      <c r="E1013" s="3" t="str">
        <f t="shared" si="1"/>
        <v>lack&lt;br&gt;&lt;div class="audio"&gt;[sound:lack.mp3]&lt;/div&gt;</v>
      </c>
      <c r="F1013" s="3" t="str">
        <f t="shared" si="2"/>
        <v>(n): sự thiếu hụt</v>
      </c>
      <c r="G1013" s="6" t="s">
        <v>41378</v>
      </c>
      <c r="H1013" s="6" t="s">
        <v>41379</v>
      </c>
      <c r="I1013" s="7">
        <f t="shared" si="3"/>
        <v>0.8888552536</v>
      </c>
    </row>
    <row r="1014">
      <c r="A1014" s="4">
        <v>1014.0</v>
      </c>
      <c r="B1014" s="3" t="s">
        <v>41380</v>
      </c>
      <c r="C1014" s="6" t="s">
        <v>74</v>
      </c>
      <c r="D1014" s="6" t="s">
        <v>41381</v>
      </c>
      <c r="E1014" s="3" t="str">
        <f t="shared" si="1"/>
        <v>understanding&lt;br&gt;&lt;div class="audio"&gt;[sound:understanding.mp3]&lt;/div&gt;</v>
      </c>
      <c r="F1014" s="3" t="str">
        <f t="shared" si="2"/>
        <v>(n): sự thấu hiểu</v>
      </c>
      <c r="G1014" s="6" t="s">
        <v>41382</v>
      </c>
      <c r="H1014" s="6" t="s">
        <v>41383</v>
      </c>
      <c r="I1014" s="7">
        <f t="shared" si="3"/>
        <v>0.1518979889</v>
      </c>
    </row>
    <row r="1015">
      <c r="A1015" s="4">
        <v>1015.0</v>
      </c>
      <c r="B1015" s="3" t="s">
        <v>41384</v>
      </c>
      <c r="C1015" s="6" t="s">
        <v>74</v>
      </c>
      <c r="D1015" s="6" t="s">
        <v>9314</v>
      </c>
      <c r="E1015" s="3" t="str">
        <f t="shared" si="1"/>
        <v>improvement&lt;br&gt;&lt;div class="audio"&gt;[sound:improvement.mp3]&lt;/div&gt;</v>
      </c>
      <c r="F1015" s="3" t="str">
        <f t="shared" si="2"/>
        <v>(n): sự cải thiện</v>
      </c>
      <c r="G1015" s="6" t="s">
        <v>41385</v>
      </c>
      <c r="H1015" s="6" t="s">
        <v>41386</v>
      </c>
      <c r="I1015" s="7">
        <f t="shared" si="3"/>
        <v>0.3373247213</v>
      </c>
    </row>
    <row r="1016">
      <c r="A1016" s="4">
        <v>1016.0</v>
      </c>
      <c r="B1016" s="3" t="s">
        <v>41387</v>
      </c>
      <c r="C1016" s="6" t="s">
        <v>74</v>
      </c>
      <c r="D1016" s="6" t="s">
        <v>41388</v>
      </c>
      <c r="E1016" s="3" t="str">
        <f t="shared" si="1"/>
        <v>contribution&lt;br&gt;&lt;div class="audio"&gt;[sound:contribution.mp3]&lt;/div&gt;</v>
      </c>
      <c r="F1016" s="3" t="str">
        <f t="shared" si="2"/>
        <v>(n): sự đóng góp</v>
      </c>
      <c r="G1016" s="6" t="s">
        <v>41389</v>
      </c>
      <c r="H1016" s="6" t="s">
        <v>41390</v>
      </c>
      <c r="I1016" s="7">
        <f t="shared" si="3"/>
        <v>0.5322994605</v>
      </c>
    </row>
    <row r="1017">
      <c r="A1017" s="4">
        <v>1017.0</v>
      </c>
      <c r="B1017" s="3" t="s">
        <v>41391</v>
      </c>
      <c r="C1017" s="6" t="s">
        <v>74</v>
      </c>
      <c r="D1017" s="8" t="s">
        <v>39323</v>
      </c>
      <c r="E1017" s="3" t="str">
        <f t="shared" si="1"/>
        <v>selection&lt;br&gt;&lt;div class="audio"&gt;[sound:selection.mp3]&lt;/div&gt;</v>
      </c>
      <c r="F1017" s="3" t="str">
        <f t="shared" si="2"/>
        <v>(n): sự lựa chọn</v>
      </c>
      <c r="G1017" s="8" t="s">
        <v>41392</v>
      </c>
      <c r="H1017" s="8" t="s">
        <v>41393</v>
      </c>
      <c r="I1017" s="7">
        <f t="shared" si="3"/>
        <v>0.2087291811</v>
      </c>
    </row>
    <row r="1018">
      <c r="A1018" s="4">
        <v>1018.0</v>
      </c>
      <c r="B1018" s="3" t="s">
        <v>41394</v>
      </c>
      <c r="C1018" s="6" t="s">
        <v>24</v>
      </c>
      <c r="D1018" s="6" t="s">
        <v>9436</v>
      </c>
      <c r="E1018" s="3" t="str">
        <f t="shared" si="1"/>
        <v>define&lt;br&gt;&lt;div class="audio"&gt;[sound:define.mp3]&lt;/div&gt;</v>
      </c>
      <c r="F1018" s="3" t="str">
        <f t="shared" si="2"/>
        <v>(v): định nghĩa</v>
      </c>
      <c r="G1018" s="6" t="s">
        <v>41395</v>
      </c>
      <c r="H1018" s="6" t="s">
        <v>41396</v>
      </c>
      <c r="I1018" s="7">
        <f t="shared" si="3"/>
        <v>0.07675387941</v>
      </c>
    </row>
    <row r="1019">
      <c r="A1019" s="4">
        <v>1019.0</v>
      </c>
      <c r="B1019" s="3" t="s">
        <v>41397</v>
      </c>
      <c r="C1019" s="6" t="s">
        <v>11</v>
      </c>
      <c r="D1019" s="6" t="s">
        <v>16588</v>
      </c>
      <c r="E1019" s="3" t="str">
        <f t="shared" si="1"/>
        <v>official&lt;br&gt;&lt;div class="audio"&gt;[sound:official.mp3]&lt;/div&gt;</v>
      </c>
      <c r="F1019" s="3" t="str">
        <f t="shared" si="2"/>
        <v>(adj): chính thức</v>
      </c>
      <c r="G1019" s="6" t="s">
        <v>41398</v>
      </c>
      <c r="H1019" s="6" t="s">
        <v>41399</v>
      </c>
      <c r="I1019" s="7">
        <f t="shared" si="3"/>
        <v>0.8905823254</v>
      </c>
    </row>
    <row r="1020">
      <c r="A1020" s="4">
        <v>1020.0</v>
      </c>
      <c r="B1020" s="3" t="s">
        <v>41400</v>
      </c>
      <c r="C1020" s="6" t="s">
        <v>74</v>
      </c>
      <c r="D1020" s="6" t="s">
        <v>6844</v>
      </c>
      <c r="E1020" s="3" t="str">
        <f t="shared" si="1"/>
        <v>interview&lt;br&gt;&lt;div class="audio"&gt;[sound:interview.mp3]&lt;/div&gt;</v>
      </c>
      <c r="F1020" s="3" t="str">
        <f t="shared" si="2"/>
        <v>(n): phỏng vấn</v>
      </c>
      <c r="G1020" s="6" t="s">
        <v>41401</v>
      </c>
      <c r="H1020" s="6" t="s">
        <v>41402</v>
      </c>
      <c r="I1020" s="7">
        <f t="shared" si="3"/>
        <v>0.4500659332</v>
      </c>
    </row>
    <row r="1021">
      <c r="A1021" s="4">
        <v>1021.0</v>
      </c>
      <c r="B1021" s="3" t="s">
        <v>41403</v>
      </c>
      <c r="C1021" s="6" t="s">
        <v>74</v>
      </c>
      <c r="D1021" s="6" t="s">
        <v>16894</v>
      </c>
      <c r="E1021" s="3" t="str">
        <f t="shared" si="1"/>
        <v>version&lt;br&gt;&lt;div class="audio"&gt;[sound:version.mp3]&lt;/div&gt;</v>
      </c>
      <c r="F1021" s="3" t="str">
        <f t="shared" si="2"/>
        <v>(n): phiên bản</v>
      </c>
      <c r="G1021" s="6" t="s">
        <v>41404</v>
      </c>
      <c r="H1021" s="6" t="s">
        <v>41405</v>
      </c>
      <c r="I1021" s="7">
        <f t="shared" si="3"/>
        <v>0.4508189117</v>
      </c>
    </row>
    <row r="1022">
      <c r="A1022" s="4">
        <v>1022.0</v>
      </c>
      <c r="B1022" s="3" t="s">
        <v>41406</v>
      </c>
      <c r="C1022" s="6" t="s">
        <v>74</v>
      </c>
      <c r="D1022" s="6" t="s">
        <v>39036</v>
      </c>
      <c r="E1022" s="3" t="str">
        <f t="shared" si="1"/>
        <v>website&lt;br&gt;&lt;div class="audio"&gt;[sound:website.mp3]&lt;/div&gt;</v>
      </c>
      <c r="F1022" s="3" t="str">
        <f t="shared" si="2"/>
        <v>(n): trang web</v>
      </c>
      <c r="G1022" s="6" t="s">
        <v>41407</v>
      </c>
      <c r="H1022" s="6" t="s">
        <v>41408</v>
      </c>
      <c r="I1022" s="7">
        <f t="shared" si="3"/>
        <v>0.147858923</v>
      </c>
    </row>
    <row r="1023">
      <c r="A1023" s="4">
        <v>1023.0</v>
      </c>
      <c r="B1023" s="3" t="s">
        <v>41409</v>
      </c>
      <c r="C1023" s="6" t="s">
        <v>74</v>
      </c>
      <c r="D1023" s="6" t="s">
        <v>9969</v>
      </c>
      <c r="E1023" s="3" t="str">
        <f t="shared" si="1"/>
        <v>trip&lt;br&gt;&lt;div class="audio"&gt;[sound:trip.mp3]&lt;/div&gt;</v>
      </c>
      <c r="F1023" s="3" t="str">
        <f t="shared" si="2"/>
        <v>(n): chuyến đi</v>
      </c>
      <c r="G1023" s="6" t="s">
        <v>41410</v>
      </c>
      <c r="H1023" s="6" t="s">
        <v>41411</v>
      </c>
      <c r="I1023" s="7">
        <f t="shared" si="3"/>
        <v>0.6864727547</v>
      </c>
    </row>
    <row r="1024">
      <c r="A1024" s="4">
        <v>1024.0</v>
      </c>
      <c r="B1024" s="3" t="s">
        <v>41412</v>
      </c>
      <c r="C1024" s="6" t="s">
        <v>74</v>
      </c>
      <c r="D1024" s="6" t="s">
        <v>41413</v>
      </c>
      <c r="E1024" s="3" t="str">
        <f t="shared" si="1"/>
        <v>weekend&lt;br&gt;&lt;div class="audio"&gt;[sound:weekend.mp3]&lt;/div&gt;</v>
      </c>
      <c r="F1024" s="3" t="str">
        <f t="shared" si="2"/>
        <v>(n): cuối tuần</v>
      </c>
      <c r="G1024" s="6" t="s">
        <v>41414</v>
      </c>
      <c r="H1024" s="6" t="s">
        <v>41415</v>
      </c>
      <c r="I1024" s="7">
        <f t="shared" si="3"/>
        <v>0.1433082867</v>
      </c>
    </row>
    <row r="1025">
      <c r="A1025" s="4">
        <v>1025.0</v>
      </c>
      <c r="B1025" s="3" t="s">
        <v>41416</v>
      </c>
      <c r="C1025" s="6" t="s">
        <v>11</v>
      </c>
      <c r="D1025" s="6" t="s">
        <v>6391</v>
      </c>
      <c r="E1025" s="3" t="str">
        <f t="shared" si="1"/>
        <v>efficient&lt;br&gt;&lt;div class="audio"&gt;[sound:efficient.mp3]&lt;/div&gt;</v>
      </c>
      <c r="F1025" s="3" t="str">
        <f t="shared" si="2"/>
        <v>(adj): hiệu quả</v>
      </c>
      <c r="G1025" s="6" t="s">
        <v>41417</v>
      </c>
      <c r="H1025" s="6" t="s">
        <v>41418</v>
      </c>
      <c r="I1025" s="7">
        <f t="shared" si="3"/>
        <v>0.2603231706</v>
      </c>
    </row>
    <row r="1026">
      <c r="A1026" s="4">
        <v>1026.0</v>
      </c>
      <c r="B1026" s="3" t="s">
        <v>41419</v>
      </c>
      <c r="C1026" s="6" t="s">
        <v>11</v>
      </c>
      <c r="D1026" s="6" t="s">
        <v>41420</v>
      </c>
      <c r="E1026" s="3" t="str">
        <f t="shared" si="1"/>
        <v>legal&lt;br&gt;&lt;div class="audio"&gt;[sound:legal.mp3]&lt;/div&gt;</v>
      </c>
      <c r="F1026" s="3" t="str">
        <f t="shared" si="2"/>
        <v>(adj): hợp pháp</v>
      </c>
      <c r="G1026" s="6" t="s">
        <v>41421</v>
      </c>
      <c r="H1026" s="6" t="s">
        <v>41422</v>
      </c>
      <c r="I1026" s="7">
        <f t="shared" si="3"/>
        <v>0.1887926616</v>
      </c>
    </row>
    <row r="1027">
      <c r="A1027" s="4">
        <v>1027.0</v>
      </c>
      <c r="B1027" s="3" t="s">
        <v>41423</v>
      </c>
      <c r="C1027" s="6" t="s">
        <v>74</v>
      </c>
      <c r="D1027" s="6" t="s">
        <v>699</v>
      </c>
      <c r="E1027" s="3" t="str">
        <f t="shared" si="1"/>
        <v>income&lt;br&gt;&lt;div class="audio"&gt;[sound:income.mp3]&lt;/div&gt;</v>
      </c>
      <c r="F1027" s="3" t="str">
        <f t="shared" si="2"/>
        <v>(n): thu nhập</v>
      </c>
      <c r="G1027" s="6" t="s">
        <v>41424</v>
      </c>
      <c r="H1027" s="6" t="s">
        <v>41425</v>
      </c>
      <c r="I1027" s="7">
        <f t="shared" si="3"/>
        <v>0.1615705936</v>
      </c>
    </row>
    <row r="1028">
      <c r="A1028" s="4">
        <v>1028.0</v>
      </c>
      <c r="B1028" s="3" t="s">
        <v>41426</v>
      </c>
      <c r="C1028" s="6" t="s">
        <v>44</v>
      </c>
      <c r="D1028" s="6" t="s">
        <v>41427</v>
      </c>
      <c r="E1028" s="3" t="str">
        <f t="shared" si="1"/>
        <v>nobody&lt;br&gt;&lt;div class="audio"&gt;[sound:nobody.mp3]&lt;/div&gt;</v>
      </c>
      <c r="F1028" s="3" t="str">
        <f t="shared" si="2"/>
        <v>(pron): không ai</v>
      </c>
      <c r="G1028" s="6" t="s">
        <v>41428</v>
      </c>
      <c r="H1028" s="6" t="s">
        <v>41429</v>
      </c>
      <c r="I1028" s="7">
        <f t="shared" si="3"/>
        <v>0.3733777235</v>
      </c>
    </row>
    <row r="1029">
      <c r="A1029" s="4">
        <v>1029.0</v>
      </c>
      <c r="B1029" s="3" t="s">
        <v>41430</v>
      </c>
      <c r="C1029" s="6" t="s">
        <v>74</v>
      </c>
      <c r="D1029" s="6" t="s">
        <v>31342</v>
      </c>
      <c r="E1029" s="3" t="str">
        <f t="shared" si="1"/>
        <v>bottle&lt;br&gt;&lt;div class="audio"&gt;[sound:bottle.mp3]&lt;/div&gt;</v>
      </c>
      <c r="F1029" s="3" t="str">
        <f t="shared" si="2"/>
        <v>(n): cái chai</v>
      </c>
      <c r="G1029" s="6" t="s">
        <v>41431</v>
      </c>
      <c r="H1029" s="6" t="s">
        <v>41432</v>
      </c>
      <c r="I1029" s="7">
        <f t="shared" si="3"/>
        <v>0.4295315871</v>
      </c>
    </row>
    <row r="1030">
      <c r="A1030" s="4">
        <v>1030.0</v>
      </c>
      <c r="B1030" s="3" t="s">
        <v>41433</v>
      </c>
      <c r="C1030" s="6" t="s">
        <v>74</v>
      </c>
      <c r="D1030" s="6" t="s">
        <v>11627</v>
      </c>
      <c r="E1030" s="3" t="str">
        <f t="shared" si="1"/>
        <v>north&lt;br&gt;&lt;div class="audio"&gt;[sound:north.mp3]&lt;/div&gt;</v>
      </c>
      <c r="F1030" s="3" t="str">
        <f t="shared" si="2"/>
        <v>(n): phía bắc</v>
      </c>
      <c r="G1030" s="6" t="s">
        <v>41434</v>
      </c>
      <c r="H1030" s="6" t="s">
        <v>41435</v>
      </c>
      <c r="I1030" s="7">
        <f t="shared" si="3"/>
        <v>0.846698339</v>
      </c>
    </row>
    <row r="1031">
      <c r="A1031" s="4">
        <v>1031.0</v>
      </c>
      <c r="B1031" s="3" t="s">
        <v>41436</v>
      </c>
      <c r="C1031" s="6" t="s">
        <v>74</v>
      </c>
      <c r="D1031" s="6" t="s">
        <v>2440</v>
      </c>
      <c r="E1031" s="3" t="str">
        <f t="shared" si="1"/>
        <v>technique&lt;br&gt;&lt;div class="audio"&gt;[sound:technique.mp3]&lt;/div&gt;</v>
      </c>
      <c r="F1031" s="3" t="str">
        <f t="shared" si="2"/>
        <v>(n): kỹ thuật</v>
      </c>
      <c r="G1031" s="6" t="s">
        <v>41437</v>
      </c>
      <c r="H1031" s="6" t="s">
        <v>41438</v>
      </c>
      <c r="I1031" s="7">
        <f t="shared" si="3"/>
        <v>0.2977170907</v>
      </c>
    </row>
    <row r="1032">
      <c r="A1032" s="4">
        <v>1032.0</v>
      </c>
      <c r="B1032" s="3" t="s">
        <v>41439</v>
      </c>
      <c r="C1032" s="6" t="s">
        <v>74</v>
      </c>
      <c r="D1032" s="6" t="s">
        <v>41440</v>
      </c>
      <c r="E1032" s="3" t="str">
        <f t="shared" si="1"/>
        <v>kitchen&lt;br&gt;&lt;div class="audio"&gt;[sound:kitchen.mp3]&lt;/div&gt;</v>
      </c>
      <c r="F1032" s="3" t="str">
        <f t="shared" si="2"/>
        <v>(n): nhà bếp</v>
      </c>
      <c r="G1032" s="6" t="s">
        <v>41441</v>
      </c>
      <c r="H1032" s="6" t="s">
        <v>41442</v>
      </c>
      <c r="I1032" s="7">
        <f t="shared" si="3"/>
        <v>0.5821041241</v>
      </c>
    </row>
    <row r="1033">
      <c r="A1033" s="4">
        <v>1033.0</v>
      </c>
      <c r="B1033" s="3" t="s">
        <v>41443</v>
      </c>
      <c r="C1033" s="6" t="s">
        <v>11</v>
      </c>
      <c r="D1033" s="8" t="s">
        <v>41444</v>
      </c>
      <c r="E1033" s="3" t="str">
        <f t="shared" si="1"/>
        <v>senior&lt;br&gt;&lt;div class="audio"&gt;[sound:senior.mp3]&lt;/div&gt;</v>
      </c>
      <c r="F1033" s="3" t="str">
        <f t="shared" si="2"/>
        <v>(adj): cấp cao</v>
      </c>
      <c r="G1033" s="8" t="s">
        <v>41445</v>
      </c>
      <c r="H1033" s="8" t="s">
        <v>41446</v>
      </c>
      <c r="I1033" s="7">
        <f t="shared" si="3"/>
        <v>0.4434162087</v>
      </c>
    </row>
    <row r="1034">
      <c r="A1034" s="4">
        <v>1034.0</v>
      </c>
      <c r="B1034" s="3" t="s">
        <v>41447</v>
      </c>
      <c r="C1034" s="6" t="s">
        <v>58</v>
      </c>
      <c r="D1034" s="6" t="s">
        <v>41448</v>
      </c>
      <c r="E1034" s="3" t="str">
        <f t="shared" si="1"/>
        <v>thirty&lt;br&gt;&lt;div class="audio"&gt;[sound:thirty.mp3]&lt;/div&gt;</v>
      </c>
      <c r="F1034" s="3" t="str">
        <f t="shared" si="2"/>
        <v>(num): ba mươi</v>
      </c>
      <c r="G1034" s="6" t="s">
        <v>41449</v>
      </c>
      <c r="H1034" s="6" t="s">
        <v>41450</v>
      </c>
      <c r="I1034" s="7">
        <f t="shared" si="3"/>
        <v>0.5311393345</v>
      </c>
    </row>
    <row r="1035">
      <c r="A1035" s="4">
        <v>1035.0</v>
      </c>
      <c r="B1035" s="3" t="s">
        <v>41451</v>
      </c>
      <c r="C1035" s="6" t="s">
        <v>11</v>
      </c>
      <c r="D1035" s="6" t="s">
        <v>41452</v>
      </c>
      <c r="E1035" s="3" t="str">
        <f t="shared" si="1"/>
        <v>due&lt;br&gt;&lt;div class="audio"&gt;[sound:due.mp3]&lt;/div&gt;</v>
      </c>
      <c r="F1035" s="3" t="str">
        <f t="shared" si="2"/>
        <v>(adj): đến hạn</v>
      </c>
      <c r="G1035" s="6" t="s">
        <v>41453</v>
      </c>
      <c r="H1035" s="6" t="s">
        <v>41454</v>
      </c>
      <c r="I1035" s="7">
        <f t="shared" si="3"/>
        <v>0.1121254524</v>
      </c>
    </row>
    <row r="1036">
      <c r="A1036" s="4">
        <v>1036.0</v>
      </c>
      <c r="B1036" s="3" t="s">
        <v>41455</v>
      </c>
      <c r="C1036" s="6" t="s">
        <v>74</v>
      </c>
      <c r="D1036" s="6" t="s">
        <v>6059</v>
      </c>
      <c r="E1036" s="3" t="str">
        <f t="shared" si="1"/>
        <v>title&lt;br&gt;&lt;div class="audio"&gt;[sound:title.mp3]&lt;/div&gt;</v>
      </c>
      <c r="F1036" s="3" t="str">
        <f t="shared" si="2"/>
        <v>(n): tiêu đề</v>
      </c>
      <c r="G1036" s="6" t="s">
        <v>41456</v>
      </c>
      <c r="H1036" s="6" t="s">
        <v>41457</v>
      </c>
      <c r="I1036" s="7">
        <f t="shared" si="3"/>
        <v>0.9599237412</v>
      </c>
    </row>
    <row r="1037">
      <c r="A1037" s="4">
        <v>1037.0</v>
      </c>
      <c r="B1037" s="3" t="s">
        <v>41458</v>
      </c>
      <c r="C1037" s="6" t="s">
        <v>85</v>
      </c>
      <c r="D1037" s="6" t="s">
        <v>38471</v>
      </c>
      <c r="E1037" s="3" t="str">
        <f t="shared" si="1"/>
        <v>thus&lt;br&gt;&lt;div class="audio"&gt;[sound:thus.mp3]&lt;/div&gt;</v>
      </c>
      <c r="F1037" s="3" t="str">
        <f t="shared" si="2"/>
        <v>(adv): như vậy</v>
      </c>
      <c r="G1037" s="6" t="s">
        <v>41459</v>
      </c>
      <c r="H1037" s="6" t="s">
        <v>41460</v>
      </c>
      <c r="I1037" s="7">
        <f t="shared" si="3"/>
        <v>0.4770330553</v>
      </c>
    </row>
    <row r="1038">
      <c r="A1038" s="4">
        <v>1038.0</v>
      </c>
      <c r="B1038" s="3" t="s">
        <v>41461</v>
      </c>
      <c r="C1038" s="6" t="s">
        <v>74</v>
      </c>
      <c r="D1038" s="6" t="s">
        <v>4696</v>
      </c>
      <c r="E1038" s="3" t="str">
        <f t="shared" si="1"/>
        <v>thinking&lt;br&gt;&lt;div class="audio"&gt;[sound:thinking.mp3]&lt;/div&gt;</v>
      </c>
      <c r="F1038" s="3" t="str">
        <f t="shared" si="2"/>
        <v>(n): tư duy</v>
      </c>
      <c r="G1038" s="6" t="s">
        <v>41462</v>
      </c>
      <c r="H1038" s="6" t="s">
        <v>41463</v>
      </c>
      <c r="I1038" s="7">
        <f t="shared" si="3"/>
        <v>0.4262943417</v>
      </c>
    </row>
    <row r="1039">
      <c r="A1039" s="4">
        <v>1039.0</v>
      </c>
      <c r="B1039" s="3" t="s">
        <v>41464</v>
      </c>
      <c r="C1039" s="6" t="s">
        <v>74</v>
      </c>
      <c r="D1039" s="6" t="s">
        <v>18142</v>
      </c>
      <c r="E1039" s="3" t="str">
        <f t="shared" si="1"/>
        <v>unit&lt;br&gt;&lt;div class="audio"&gt;[sound:unit.mp3]&lt;/div&gt;</v>
      </c>
      <c r="F1039" s="3" t="str">
        <f t="shared" si="2"/>
        <v>(n): đơn vị</v>
      </c>
      <c r="G1039" s="6" t="s">
        <v>41465</v>
      </c>
      <c r="H1039" s="6" t="s">
        <v>41466</v>
      </c>
      <c r="I1039" s="7">
        <f t="shared" si="3"/>
        <v>0.5946114859</v>
      </c>
    </row>
    <row r="1040">
      <c r="A1040" s="4">
        <v>1040.0</v>
      </c>
      <c r="B1040" s="3" t="s">
        <v>41467</v>
      </c>
      <c r="C1040" s="6" t="s">
        <v>74</v>
      </c>
      <c r="D1040" s="6" t="s">
        <v>17581</v>
      </c>
      <c r="E1040" s="3" t="str">
        <f t="shared" si="1"/>
        <v>bone&lt;br&gt;&lt;div class="audio"&gt;[sound:bone.mp3]&lt;/div&gt;</v>
      </c>
      <c r="F1040" s="3" t="str">
        <f t="shared" si="2"/>
        <v>(n): xương</v>
      </c>
      <c r="G1040" s="6" t="s">
        <v>41468</v>
      </c>
      <c r="H1040" s="6" t="s">
        <v>41469</v>
      </c>
      <c r="I1040" s="7">
        <f t="shared" si="3"/>
        <v>0.1032905684</v>
      </c>
    </row>
    <row r="1041">
      <c r="A1041" s="4">
        <v>1041.0</v>
      </c>
      <c r="B1041" s="3" t="s">
        <v>41470</v>
      </c>
      <c r="C1041" s="6" t="s">
        <v>24</v>
      </c>
      <c r="D1041" s="6" t="s">
        <v>8608</v>
      </c>
      <c r="E1041" s="3" t="str">
        <f t="shared" si="1"/>
        <v>touch&lt;br&gt;&lt;div class="audio"&gt;[sound:touch.mp3]&lt;/div&gt;</v>
      </c>
      <c r="F1041" s="3" t="str">
        <f t="shared" si="2"/>
        <v>(v): chạm</v>
      </c>
      <c r="G1041" s="6" t="s">
        <v>41471</v>
      </c>
      <c r="H1041" s="6" t="s">
        <v>41472</v>
      </c>
      <c r="I1041" s="7">
        <f t="shared" si="3"/>
        <v>0.8346318019</v>
      </c>
    </row>
    <row r="1042">
      <c r="A1042" s="4">
        <v>1042.0</v>
      </c>
      <c r="B1042" s="3" t="s">
        <v>41473</v>
      </c>
      <c r="C1042" s="6" t="s">
        <v>74</v>
      </c>
      <c r="D1042" s="6" t="s">
        <v>16289</v>
      </c>
      <c r="E1042" s="3" t="str">
        <f t="shared" si="1"/>
        <v>gold&lt;br&gt;&lt;div class="audio"&gt;[sound:gold.mp3]&lt;/div&gt;</v>
      </c>
      <c r="F1042" s="3" t="str">
        <f t="shared" si="2"/>
        <v>(n): vàng</v>
      </c>
      <c r="G1042" s="6" t="s">
        <v>41474</v>
      </c>
      <c r="H1042" s="6" t="s">
        <v>41475</v>
      </c>
      <c r="I1042" s="7">
        <f t="shared" si="3"/>
        <v>0.6564772449</v>
      </c>
    </row>
    <row r="1043">
      <c r="A1043" s="4">
        <v>1043.0</v>
      </c>
      <c r="B1043" s="3" t="s">
        <v>41476</v>
      </c>
      <c r="C1043" s="6" t="s">
        <v>11</v>
      </c>
      <c r="D1043" s="6" t="s">
        <v>600</v>
      </c>
      <c r="E1043" s="3" t="str">
        <f t="shared" si="1"/>
        <v>tall&lt;br&gt;&lt;div class="audio"&gt;[sound:tall.mp3]&lt;/div&gt;</v>
      </c>
      <c r="F1043" s="3" t="str">
        <f t="shared" si="2"/>
        <v>(adj): cao</v>
      </c>
      <c r="G1043" s="6" t="s">
        <v>41477</v>
      </c>
      <c r="H1043" s="6" t="s">
        <v>41478</v>
      </c>
      <c r="I1043" s="7">
        <f t="shared" si="3"/>
        <v>0.2561649741</v>
      </c>
    </row>
    <row r="1044">
      <c r="A1044" s="4">
        <v>1044.0</v>
      </c>
      <c r="B1044" s="3" t="s">
        <v>41479</v>
      </c>
      <c r="C1044" s="6" t="s">
        <v>74</v>
      </c>
      <c r="D1044" s="8" t="s">
        <v>41480</v>
      </c>
      <c r="E1044" s="3" t="str">
        <f t="shared" si="1"/>
        <v>sheet&lt;br&gt;&lt;div class="audio"&gt;[sound:sheet.mp3]&lt;/div&gt;</v>
      </c>
      <c r="F1044" s="3" t="str">
        <f t="shared" si="2"/>
        <v>(n): tờ</v>
      </c>
      <c r="G1044" s="8" t="s">
        <v>41481</v>
      </c>
      <c r="H1044" s="8" t="s">
        <v>41482</v>
      </c>
      <c r="I1044" s="7">
        <f t="shared" si="3"/>
        <v>0.8945810216</v>
      </c>
    </row>
    <row r="1045">
      <c r="A1045" s="4">
        <v>1045.0</v>
      </c>
      <c r="B1045" s="3" t="s">
        <v>41483</v>
      </c>
      <c r="C1045" s="6" t="s">
        <v>74</v>
      </c>
      <c r="D1045" s="6" t="s">
        <v>4249</v>
      </c>
      <c r="E1045" s="3" t="str">
        <f t="shared" si="1"/>
        <v>neck&lt;br&gt;&lt;div class="audio"&gt;[sound:neck.mp3]&lt;/div&gt;</v>
      </c>
      <c r="F1045" s="3" t="str">
        <f t="shared" si="2"/>
        <v>(n): cổ</v>
      </c>
      <c r="G1045" s="6" t="s">
        <v>41484</v>
      </c>
      <c r="H1045" s="6" t="s">
        <v>41485</v>
      </c>
      <c r="I1045" s="7">
        <f t="shared" si="3"/>
        <v>0.3330685443</v>
      </c>
    </row>
    <row r="1046">
      <c r="A1046" s="4">
        <v>1046.0</v>
      </c>
      <c r="B1046" s="3" t="s">
        <v>41486</v>
      </c>
      <c r="C1046" s="6" t="s">
        <v>74</v>
      </c>
      <c r="D1046" s="6" t="s">
        <v>41487</v>
      </c>
      <c r="E1046" s="3" t="str">
        <f t="shared" si="1"/>
        <v>difficulty&lt;br&gt;&lt;div class="audio"&gt;[sound:difficulty.mp3]&lt;/div&gt;</v>
      </c>
      <c r="F1046" s="3" t="str">
        <f t="shared" si="2"/>
        <v>(n): sự khó khăn</v>
      </c>
      <c r="G1046" s="6" t="s">
        <v>41488</v>
      </c>
      <c r="H1046" s="6" t="s">
        <v>41489</v>
      </c>
      <c r="I1046" s="7">
        <f t="shared" si="3"/>
        <v>0.01797695817</v>
      </c>
    </row>
    <row r="1047">
      <c r="A1047" s="4">
        <v>1047.0</v>
      </c>
      <c r="B1047" s="3" t="s">
        <v>41490</v>
      </c>
      <c r="C1047" s="6" t="s">
        <v>74</v>
      </c>
      <c r="D1047" s="6" t="s">
        <v>7102</v>
      </c>
      <c r="E1047" s="3" t="str">
        <f t="shared" si="1"/>
        <v>earth&lt;br&gt;&lt;div class="audio"&gt;[sound:earth.mp3]&lt;/div&gt;</v>
      </c>
      <c r="F1047" s="3" t="str">
        <f t="shared" si="2"/>
        <v>(n): trái đất</v>
      </c>
      <c r="G1047" s="6" t="s">
        <v>41491</v>
      </c>
      <c r="H1047" s="6" t="s">
        <v>41492</v>
      </c>
      <c r="I1047" s="7">
        <f t="shared" si="3"/>
        <v>0.9188967711</v>
      </c>
    </row>
    <row r="1048">
      <c r="A1048" s="4">
        <v>1048.0</v>
      </c>
      <c r="B1048" s="3" t="s">
        <v>41493</v>
      </c>
      <c r="C1048" s="6" t="s">
        <v>11</v>
      </c>
      <c r="D1048" s="6" t="s">
        <v>4897</v>
      </c>
      <c r="E1048" s="3" t="str">
        <f t="shared" si="1"/>
        <v>correct&lt;br&gt;&lt;div class="audio"&gt;[sound:correct.mp3]&lt;/div&gt;</v>
      </c>
      <c r="F1048" s="3" t="str">
        <f t="shared" si="2"/>
        <v>(adj): đúng</v>
      </c>
      <c r="G1048" s="6" t="s">
        <v>41494</v>
      </c>
      <c r="H1048" s="6" t="s">
        <v>41495</v>
      </c>
      <c r="I1048" s="7">
        <f t="shared" si="3"/>
        <v>0.6488338934</v>
      </c>
    </row>
    <row r="1049">
      <c r="A1049" s="4">
        <v>1049.0</v>
      </c>
      <c r="B1049" s="3" t="s">
        <v>41496</v>
      </c>
      <c r="C1049" s="6" t="s">
        <v>24</v>
      </c>
      <c r="D1049" s="6" t="s">
        <v>16525</v>
      </c>
      <c r="E1049" s="3" t="str">
        <f t="shared" si="1"/>
        <v>deliver&lt;br&gt;&lt;div class="audio"&gt;[sound:deliver.mp3]&lt;/div&gt;</v>
      </c>
      <c r="F1049" s="3" t="str">
        <f t="shared" si="2"/>
        <v>(v): giao hàng</v>
      </c>
      <c r="G1049" s="6" t="s">
        <v>41497</v>
      </c>
      <c r="H1049" s="6" t="s">
        <v>41498</v>
      </c>
      <c r="I1049" s="7">
        <f t="shared" si="3"/>
        <v>0.8010599416</v>
      </c>
    </row>
    <row r="1050">
      <c r="A1050" s="4">
        <v>1050.0</v>
      </c>
      <c r="B1050" s="3" t="s">
        <v>41499</v>
      </c>
      <c r="C1050" s="6" t="s">
        <v>85</v>
      </c>
      <c r="D1050" s="6" t="s">
        <v>4743</v>
      </c>
      <c r="E1050" s="3" t="str">
        <f t="shared" si="1"/>
        <v>totally&lt;br&gt;&lt;div class="audio"&gt;[sound:totally.mp3]&lt;/div&gt;</v>
      </c>
      <c r="F1050" s="3" t="str">
        <f t="shared" si="2"/>
        <v>(adv): hoàn toàn</v>
      </c>
      <c r="G1050" s="6" t="s">
        <v>41500</v>
      </c>
      <c r="H1050" s="6" t="s">
        <v>41501</v>
      </c>
      <c r="I1050" s="7">
        <f t="shared" si="3"/>
        <v>0.429468399</v>
      </c>
    </row>
    <row r="1051">
      <c r="A1051" s="4">
        <v>1051.0</v>
      </c>
      <c r="B1051" s="3" t="s">
        <v>41502</v>
      </c>
      <c r="C1051" s="6" t="s">
        <v>74</v>
      </c>
      <c r="D1051" s="6" t="s">
        <v>41503</v>
      </c>
      <c r="E1051" s="3" t="str">
        <f t="shared" si="1"/>
        <v>threat&lt;br&gt;&lt;div class="audio"&gt;[sound:threat.mp3]&lt;/div&gt;</v>
      </c>
      <c r="F1051" s="3" t="str">
        <f t="shared" si="2"/>
        <v>(n): sự đe dọa</v>
      </c>
      <c r="G1051" s="6" t="s">
        <v>41504</v>
      </c>
      <c r="H1051" s="6" t="s">
        <v>41505</v>
      </c>
      <c r="I1051" s="7">
        <f t="shared" si="3"/>
        <v>0.4994676546</v>
      </c>
    </row>
    <row r="1052">
      <c r="A1052" s="4">
        <v>1052.0</v>
      </c>
      <c r="B1052" s="3" t="s">
        <v>41506</v>
      </c>
      <c r="C1052" s="6" t="s">
        <v>74</v>
      </c>
      <c r="D1052" s="6" t="s">
        <v>8066</v>
      </c>
      <c r="E1052" s="3" t="str">
        <f t="shared" si="1"/>
        <v>gear&lt;br&gt;&lt;div class="audio"&gt;[sound:gear.mp3]&lt;/div&gt;</v>
      </c>
      <c r="F1052" s="3" t="str">
        <f t="shared" si="2"/>
        <v>(n): thiết bị</v>
      </c>
      <c r="G1052" s="6" t="s">
        <v>41507</v>
      </c>
      <c r="H1052" s="6" t="s">
        <v>41508</v>
      </c>
      <c r="I1052" s="7">
        <f t="shared" si="3"/>
        <v>0.8890501931</v>
      </c>
    </row>
    <row r="1053">
      <c r="A1053" s="4">
        <v>1053.0</v>
      </c>
      <c r="B1053" s="3" t="s">
        <v>41509</v>
      </c>
      <c r="C1053" s="6" t="s">
        <v>74</v>
      </c>
      <c r="D1053" s="6" t="s">
        <v>41510</v>
      </c>
      <c r="E1053" s="3" t="str">
        <f t="shared" si="1"/>
        <v>council&lt;br&gt;&lt;div class="audio"&gt;[sound:council.mp3]&lt;/div&gt;</v>
      </c>
      <c r="F1053" s="3" t="str">
        <f t="shared" si="2"/>
        <v>(n): hội đồng</v>
      </c>
      <c r="G1053" s="6" t="s">
        <v>41511</v>
      </c>
      <c r="H1053" s="6" t="s">
        <v>41512</v>
      </c>
      <c r="I1053" s="7">
        <f t="shared" si="3"/>
        <v>0.6910143122</v>
      </c>
    </row>
    <row r="1054">
      <c r="A1054" s="4">
        <v>1054.0</v>
      </c>
      <c r="B1054" s="3" t="s">
        <v>41513</v>
      </c>
      <c r="C1054" s="6" t="s">
        <v>74</v>
      </c>
      <c r="D1054" s="6" t="s">
        <v>14448</v>
      </c>
      <c r="E1054" s="3" t="str">
        <f t="shared" si="1"/>
        <v>temperature&lt;br&gt;&lt;div class="audio"&gt;[sound:temperature.mp3]&lt;/div&gt;</v>
      </c>
      <c r="F1054" s="3" t="str">
        <f t="shared" si="2"/>
        <v>(n): nhiệt độ</v>
      </c>
      <c r="G1054" s="6" t="s">
        <v>41514</v>
      </c>
      <c r="H1054" s="6" t="s">
        <v>41515</v>
      </c>
      <c r="I1054" s="7">
        <f t="shared" si="3"/>
        <v>0.3987555695</v>
      </c>
    </row>
    <row r="1055">
      <c r="A1055" s="4">
        <v>1055.0</v>
      </c>
      <c r="B1055" s="3" t="s">
        <v>41516</v>
      </c>
      <c r="C1055" s="6" t="s">
        <v>11</v>
      </c>
      <c r="D1055" s="6" t="s">
        <v>1420</v>
      </c>
      <c r="E1055" s="3" t="str">
        <f t="shared" si="1"/>
        <v>tough&lt;br&gt;&lt;div class="audio"&gt;[sound:tough.mp3]&lt;/div&gt;</v>
      </c>
      <c r="F1055" s="3" t="str">
        <f t="shared" si="2"/>
        <v>(adj): khó khăn</v>
      </c>
      <c r="G1055" s="6" t="s">
        <v>41517</v>
      </c>
      <c r="H1055" s="6" t="s">
        <v>41518</v>
      </c>
      <c r="I1055" s="7">
        <f t="shared" si="3"/>
        <v>0.3164248188</v>
      </c>
    </row>
    <row r="1056">
      <c r="A1056" s="4">
        <v>1056.0</v>
      </c>
      <c r="B1056" s="3" t="s">
        <v>41519</v>
      </c>
      <c r="C1056" s="6" t="s">
        <v>74</v>
      </c>
      <c r="D1056" s="6" t="s">
        <v>4737</v>
      </c>
      <c r="E1056" s="3" t="str">
        <f t="shared" si="1"/>
        <v>tomorrow&lt;br&gt;&lt;div class="audio"&gt;[sound:tomorrow.mp3]&lt;/div&gt;</v>
      </c>
      <c r="F1056" s="3" t="str">
        <f t="shared" si="2"/>
        <v>(n): ngày mai</v>
      </c>
      <c r="G1056" s="6" t="s">
        <v>41520</v>
      </c>
      <c r="H1056" s="6" t="s">
        <v>41521</v>
      </c>
      <c r="I1056" s="7">
        <f t="shared" si="3"/>
        <v>0.3354108167</v>
      </c>
    </row>
    <row r="1057">
      <c r="A1057" s="4">
        <v>1057.0</v>
      </c>
      <c r="B1057" s="3" t="s">
        <v>41522</v>
      </c>
      <c r="C1057" s="6" t="s">
        <v>74</v>
      </c>
      <c r="D1057" s="6" t="s">
        <v>41523</v>
      </c>
      <c r="E1057" s="3" t="str">
        <f t="shared" si="1"/>
        <v>tool&lt;br&gt;&lt;div class="audio"&gt;[sound:tool.mp3]&lt;/div&gt;</v>
      </c>
      <c r="F1057" s="3" t="str">
        <f t="shared" si="2"/>
        <v>(n): công cụ</v>
      </c>
      <c r="G1057" s="6" t="s">
        <v>41524</v>
      </c>
      <c r="H1057" s="6" t="s">
        <v>41525</v>
      </c>
      <c r="I1057" s="7">
        <f t="shared" si="3"/>
        <v>0.781618691</v>
      </c>
    </row>
    <row r="1058">
      <c r="A1058" s="4">
        <v>1058.0</v>
      </c>
      <c r="B1058" s="3" t="s">
        <v>41526</v>
      </c>
      <c r="C1058" s="6" t="s">
        <v>24</v>
      </c>
      <c r="D1058" s="6" t="s">
        <v>41527</v>
      </c>
      <c r="E1058" s="3" t="str">
        <f t="shared" si="1"/>
        <v>grant&lt;br&gt;&lt;div class="audio"&gt;[sound:grant.mp3]&lt;/div&gt;</v>
      </c>
      <c r="F1058" s="3" t="str">
        <f t="shared" si="2"/>
        <v>(v): trợ cấp</v>
      </c>
      <c r="G1058" s="6" t="s">
        <v>41528</v>
      </c>
      <c r="H1058" s="6" t="s">
        <v>41529</v>
      </c>
      <c r="I1058" s="7">
        <f t="shared" si="3"/>
        <v>0.3553638693</v>
      </c>
    </row>
    <row r="1059">
      <c r="A1059" s="4">
        <v>1059.0</v>
      </c>
      <c r="B1059" s="3" t="s">
        <v>41530</v>
      </c>
      <c r="C1059" s="6" t="s">
        <v>24</v>
      </c>
      <c r="D1059" s="6" t="s">
        <v>1485</v>
      </c>
      <c r="E1059" s="3" t="str">
        <f t="shared" si="1"/>
        <v>drink&lt;br&gt;&lt;div class="audio"&gt;[sound:drink.mp3]&lt;/div&gt;</v>
      </c>
      <c r="F1059" s="3" t="str">
        <f t="shared" si="2"/>
        <v>(v): uống</v>
      </c>
      <c r="G1059" s="6" t="s">
        <v>41531</v>
      </c>
      <c r="H1059" s="6" t="s">
        <v>41532</v>
      </c>
      <c r="I1059" s="7">
        <f t="shared" si="3"/>
        <v>0.8864423478</v>
      </c>
    </row>
    <row r="1060">
      <c r="A1060" s="4">
        <v>1060.0</v>
      </c>
      <c r="B1060" s="3" t="s">
        <v>41533</v>
      </c>
      <c r="C1060" s="6" t="s">
        <v>85</v>
      </c>
      <c r="D1060" s="6" t="s">
        <v>41534</v>
      </c>
      <c r="E1060" s="3" t="str">
        <f t="shared" si="1"/>
        <v>directly&lt;br&gt;&lt;div class="audio"&gt;[sound:directly.mp3]&lt;/div&gt;</v>
      </c>
      <c r="F1060" s="3" t="str">
        <f t="shared" si="2"/>
        <v>(adv): một cách trực tiếp</v>
      </c>
      <c r="G1060" s="6" t="s">
        <v>41535</v>
      </c>
      <c r="H1060" s="6" t="s">
        <v>41536</v>
      </c>
      <c r="I1060" s="7">
        <f t="shared" si="3"/>
        <v>0.8236525004</v>
      </c>
    </row>
    <row r="1061">
      <c r="A1061" s="4">
        <v>1061.0</v>
      </c>
      <c r="B1061" s="3" t="s">
        <v>41537</v>
      </c>
      <c r="C1061" s="6" t="s">
        <v>85</v>
      </c>
      <c r="D1061" s="6" t="s">
        <v>3338</v>
      </c>
      <c r="E1061" s="3" t="str">
        <f t="shared" si="1"/>
        <v>currently&lt;br&gt;&lt;div class="audio"&gt;[sound:currently.mp3]&lt;/div&gt;</v>
      </c>
      <c r="F1061" s="3" t="str">
        <f t="shared" si="2"/>
        <v>(adv): hiện tại</v>
      </c>
      <c r="G1061" s="6" t="s">
        <v>41538</v>
      </c>
      <c r="H1061" s="6" t="s">
        <v>41539</v>
      </c>
      <c r="I1061" s="7">
        <f t="shared" si="3"/>
        <v>0.08705795902</v>
      </c>
    </row>
    <row r="1062">
      <c r="A1062" s="4">
        <v>1062.0</v>
      </c>
      <c r="B1062" s="3" t="s">
        <v>41540</v>
      </c>
      <c r="C1062" s="6" t="s">
        <v>85</v>
      </c>
      <c r="D1062" s="6" t="s">
        <v>41541</v>
      </c>
      <c r="E1062" s="3" t="str">
        <f t="shared" si="1"/>
        <v>carefully&lt;br&gt;&lt;div class="audio"&gt;[sound:carefully.mp3]&lt;/div&gt;</v>
      </c>
      <c r="F1062" s="3" t="str">
        <f t="shared" si="2"/>
        <v>(adv): một cách cẩn thận</v>
      </c>
      <c r="G1062" s="6" t="s">
        <v>41542</v>
      </c>
      <c r="H1062" s="6" t="s">
        <v>41543</v>
      </c>
      <c r="I1062" s="7">
        <f t="shared" si="3"/>
        <v>0.6565076191</v>
      </c>
    </row>
    <row r="1063">
      <c r="A1063" s="4">
        <v>1063.0</v>
      </c>
      <c r="B1063" s="3" t="s">
        <v>41544</v>
      </c>
      <c r="C1063" s="6" t="s">
        <v>85</v>
      </c>
      <c r="D1063" s="6" t="s">
        <v>41545</v>
      </c>
      <c r="E1063" s="3" t="str">
        <f t="shared" si="1"/>
        <v>properly&lt;br&gt;&lt;div class="audio"&gt;[sound:properly.mp3]&lt;/div&gt;</v>
      </c>
      <c r="F1063" s="3" t="str">
        <f t="shared" si="2"/>
        <v>(adv): một cách đúng đắn</v>
      </c>
      <c r="G1063" s="6" t="s">
        <v>41546</v>
      </c>
      <c r="H1063" s="6" t="s">
        <v>41547</v>
      </c>
      <c r="I1063" s="7">
        <f t="shared" si="3"/>
        <v>0.2652822823</v>
      </c>
    </row>
    <row r="1064">
      <c r="A1064" s="4">
        <v>1064.0</v>
      </c>
      <c r="B1064" s="3" t="s">
        <v>41548</v>
      </c>
      <c r="C1064" s="6" t="s">
        <v>74</v>
      </c>
      <c r="D1064" s="6" t="s">
        <v>41549</v>
      </c>
      <c r="E1064" s="3" t="str">
        <f t="shared" si="1"/>
        <v>healthcare&lt;br&gt;&lt;div class="audio"&gt;[sound:healthcare.mp3]&lt;/div&gt;</v>
      </c>
      <c r="F1064" s="3" t="str">
        <f t="shared" si="2"/>
        <v>(n): chăm sóc sức khỏe</v>
      </c>
      <c r="G1064" s="6" t="s">
        <v>41550</v>
      </c>
      <c r="H1064" s="6" t="s">
        <v>41551</v>
      </c>
      <c r="I1064" s="7">
        <f t="shared" si="3"/>
        <v>0.9039751503</v>
      </c>
    </row>
    <row r="1065">
      <c r="A1065" s="4">
        <v>1065.0</v>
      </c>
      <c r="B1065" s="3" t="s">
        <v>41552</v>
      </c>
      <c r="C1065" s="6" t="s">
        <v>11</v>
      </c>
      <c r="D1065" s="6" t="s">
        <v>41553</v>
      </c>
      <c r="E1065" s="3" t="str">
        <f t="shared" si="1"/>
        <v>environmental&lt;br&gt;&lt;div class="audio"&gt;[sound:environmental.mp3]&lt;/div&gt;</v>
      </c>
      <c r="F1065" s="3" t="str">
        <f t="shared" si="2"/>
        <v>(adj): thuộc môi trường</v>
      </c>
      <c r="G1065" s="6" t="s">
        <v>41554</v>
      </c>
      <c r="H1065" s="6" t="s">
        <v>41555</v>
      </c>
      <c r="I1065" s="7">
        <f t="shared" si="3"/>
        <v>0.3826858289</v>
      </c>
    </row>
    <row r="1066">
      <c r="A1066" s="4">
        <v>1066.0</v>
      </c>
      <c r="B1066" s="3" t="s">
        <v>41556</v>
      </c>
      <c r="C1066" s="6" t="s">
        <v>11</v>
      </c>
      <c r="D1066" s="6" t="s">
        <v>41557</v>
      </c>
      <c r="E1066" s="3" t="str">
        <f t="shared" si="1"/>
        <v>responsible&lt;br&gt;&lt;div class="audio"&gt;[sound:responsible.mp3]&lt;/div&gt;</v>
      </c>
      <c r="F1066" s="3" t="str">
        <f t="shared" si="2"/>
        <v>(adj): chịu trách nhiệm</v>
      </c>
      <c r="G1066" s="6" t="s">
        <v>41558</v>
      </c>
      <c r="H1066" s="6" t="s">
        <v>41559</v>
      </c>
      <c r="I1066" s="7">
        <f t="shared" si="3"/>
        <v>0.4382162636</v>
      </c>
    </row>
    <row r="1067">
      <c r="A1067" s="4">
        <v>1067.0</v>
      </c>
      <c r="B1067" s="3" t="s">
        <v>41560</v>
      </c>
      <c r="C1067" s="6" t="s">
        <v>74</v>
      </c>
      <c r="D1067" s="6" t="s">
        <v>41561</v>
      </c>
      <c r="E1067" s="3" t="str">
        <f t="shared" si="1"/>
        <v>consumer&lt;br&gt;&lt;div class="audio"&gt;[sound:consumer.mp3]&lt;/div&gt;</v>
      </c>
      <c r="F1067" s="3" t="str">
        <f t="shared" si="2"/>
        <v>(n): người tiêu dùng</v>
      </c>
      <c r="G1067" s="6" t="s">
        <v>41562</v>
      </c>
      <c r="H1067" s="6" t="s">
        <v>41563</v>
      </c>
      <c r="I1067" s="7">
        <f t="shared" si="3"/>
        <v>0.7363634454</v>
      </c>
    </row>
    <row r="1068">
      <c r="A1068" s="4">
        <v>1068.0</v>
      </c>
      <c r="B1068" s="3" t="s">
        <v>41564</v>
      </c>
      <c r="C1068" s="6" t="s">
        <v>85</v>
      </c>
      <c r="D1068" s="8" t="s">
        <v>41565</v>
      </c>
      <c r="E1068" s="3" t="str">
        <f t="shared" si="1"/>
        <v>specifically&lt;br&gt;&lt;div class="audio"&gt;[sound:specifically.mp3]&lt;/div&gt;</v>
      </c>
      <c r="F1068" s="3" t="str">
        <f t="shared" si="2"/>
        <v>(adv): một cách cụ thể</v>
      </c>
      <c r="G1068" s="8" t="s">
        <v>41566</v>
      </c>
      <c r="H1068" s="8" t="s">
        <v>41567</v>
      </c>
      <c r="I1068" s="7">
        <f t="shared" si="3"/>
        <v>0.8142368316</v>
      </c>
    </row>
    <row r="1069">
      <c r="A1069" s="4">
        <v>1069.0</v>
      </c>
      <c r="B1069" s="3" t="s">
        <v>41568</v>
      </c>
      <c r="C1069" s="6" t="s">
        <v>44</v>
      </c>
      <c r="D1069" s="6" t="s">
        <v>41569</v>
      </c>
      <c r="E1069" s="3" t="str">
        <f t="shared" si="1"/>
        <v>ourselves&lt;br&gt;&lt;div class="audio"&gt;[sound:ourselves.mp3]&lt;/div&gt;</v>
      </c>
      <c r="F1069" s="3" t="str">
        <f t="shared" si="2"/>
        <v>(pron): chính chúng tôi</v>
      </c>
      <c r="G1069" s="6" t="s">
        <v>41570</v>
      </c>
      <c r="H1069" s="6" t="s">
        <v>41571</v>
      </c>
      <c r="I1069" s="7">
        <f t="shared" si="3"/>
        <v>0.2071642002</v>
      </c>
    </row>
    <row r="1070">
      <c r="A1070" s="4">
        <v>1070.0</v>
      </c>
      <c r="B1070" s="3" t="s">
        <v>41572</v>
      </c>
      <c r="C1070" s="6" t="s">
        <v>74</v>
      </c>
      <c r="D1070" s="6" t="s">
        <v>41573</v>
      </c>
      <c r="E1070" s="3" t="str">
        <f t="shared" si="1"/>
        <v>teaching&lt;br&gt;&lt;div class="audio"&gt;[sound:teaching.mp3]&lt;/div&gt;</v>
      </c>
      <c r="F1070" s="3" t="str">
        <f t="shared" si="2"/>
        <v>(n): việc giảng dạy</v>
      </c>
      <c r="G1070" s="6" t="s">
        <v>41574</v>
      </c>
      <c r="H1070" s="6" t="s">
        <v>41575</v>
      </c>
      <c r="I1070" s="7">
        <f t="shared" si="3"/>
        <v>0.253910152</v>
      </c>
    </row>
    <row r="1071">
      <c r="A1071" s="4">
        <v>1071.0</v>
      </c>
      <c r="B1071" s="3" t="s">
        <v>41576</v>
      </c>
      <c r="C1071" s="6" t="s">
        <v>85</v>
      </c>
      <c r="D1071" s="6" t="s">
        <v>41577</v>
      </c>
      <c r="E1071" s="3" t="str">
        <f t="shared" si="1"/>
        <v>anywhere&lt;br&gt;&lt;div class="audio"&gt;[sound:anywhere.mp3]&lt;/div&gt;</v>
      </c>
      <c r="F1071" s="3" t="str">
        <f t="shared" si="2"/>
        <v>(adv): bất cứ nơi nào</v>
      </c>
      <c r="G1071" s="6" t="s">
        <v>41578</v>
      </c>
      <c r="H1071" s="6" t="s">
        <v>41579</v>
      </c>
      <c r="I1071" s="7">
        <f t="shared" si="3"/>
        <v>0.05314506234</v>
      </c>
    </row>
    <row r="1072">
      <c r="A1072" s="4">
        <v>1072.0</v>
      </c>
      <c r="B1072" s="3" t="s">
        <v>4281</v>
      </c>
      <c r="C1072" s="6" t="s">
        <v>74</v>
      </c>
      <c r="D1072" s="6" t="s">
        <v>41580</v>
      </c>
      <c r="E1072" s="3" t="str">
        <f t="shared" si="1"/>
        <v>radio&lt;br&gt;&lt;div class="audio"&gt;[sound:radio.mp3]&lt;/div&gt;</v>
      </c>
      <c r="F1072" s="3" t="str">
        <f t="shared" si="2"/>
        <v>(n): đài phát thanh</v>
      </c>
      <c r="G1072" s="6" t="s">
        <v>41581</v>
      </c>
      <c r="H1072" s="6" t="s">
        <v>41582</v>
      </c>
      <c r="I1072" s="7">
        <f t="shared" si="3"/>
        <v>0.3698252878</v>
      </c>
    </row>
    <row r="1073">
      <c r="A1073" s="4">
        <v>1073.0</v>
      </c>
      <c r="B1073" s="3" t="s">
        <v>41583</v>
      </c>
      <c r="C1073" s="6" t="s">
        <v>11</v>
      </c>
      <c r="D1073" s="6" t="s">
        <v>41584</v>
      </c>
      <c r="E1073" s="3" t="str">
        <f t="shared" si="1"/>
        <v>western&lt;br&gt;&lt;div class="audio"&gt;[sound:western.mp3]&lt;/div&gt;</v>
      </c>
      <c r="F1073" s="3" t="str">
        <f t="shared" si="2"/>
        <v>(adj): thuộc phía tây</v>
      </c>
      <c r="G1073" s="6" t="s">
        <v>41585</v>
      </c>
      <c r="H1073" s="6" t="s">
        <v>41586</v>
      </c>
      <c r="I1073" s="7">
        <f t="shared" si="3"/>
        <v>0.8075316526</v>
      </c>
    </row>
    <row r="1074">
      <c r="A1074" s="4">
        <v>1074.0</v>
      </c>
      <c r="B1074" s="3" t="s">
        <v>41587</v>
      </c>
      <c r="C1074" s="6" t="s">
        <v>11</v>
      </c>
      <c r="D1074" s="8" t="s">
        <v>41588</v>
      </c>
      <c r="E1074" s="3" t="str">
        <f t="shared" si="1"/>
        <v>surprised&lt;br&gt;&lt;div class="audio"&gt;[sound:surprised.mp3]&lt;/div&gt;</v>
      </c>
      <c r="F1074" s="3" t="str">
        <f t="shared" si="2"/>
        <v>(adj): bị ngạc nhiên</v>
      </c>
      <c r="G1074" s="8" t="s">
        <v>41589</v>
      </c>
      <c r="H1074" s="8" t="s">
        <v>41590</v>
      </c>
      <c r="I1074" s="7">
        <f t="shared" si="3"/>
        <v>0.6194755279</v>
      </c>
    </row>
    <row r="1075">
      <c r="A1075" s="4">
        <v>1075.0</v>
      </c>
      <c r="B1075" s="3" t="s">
        <v>41591</v>
      </c>
      <c r="C1075" s="6" t="s">
        <v>63</v>
      </c>
      <c r="D1075" s="6" t="s">
        <v>41592</v>
      </c>
      <c r="E1075" s="3" t="str">
        <f t="shared" si="1"/>
        <v>beyond&lt;br&gt;&lt;div class="audio"&gt;[sound:beyond.mp3]&lt;/div&gt;</v>
      </c>
      <c r="F1075" s="3" t="str">
        <f t="shared" si="2"/>
        <v>(prep): vượt ra ngoài</v>
      </c>
      <c r="G1075" s="6" t="s">
        <v>41593</v>
      </c>
      <c r="H1075" s="6" t="s">
        <v>41594</v>
      </c>
      <c r="I1075" s="7">
        <f t="shared" si="3"/>
        <v>0.5011028074</v>
      </c>
    </row>
    <row r="1076">
      <c r="A1076" s="4">
        <v>1076.0</v>
      </c>
      <c r="B1076" s="3" t="s">
        <v>41595</v>
      </c>
      <c r="C1076" s="6" t="s">
        <v>74</v>
      </c>
      <c r="D1076" s="6" t="s">
        <v>41596</v>
      </c>
      <c r="E1076" s="3" t="str">
        <f t="shared" si="1"/>
        <v>introduction&lt;br&gt;&lt;div class="audio"&gt;[sound:introduction.mp3]&lt;/div&gt;</v>
      </c>
      <c r="F1076" s="3" t="str">
        <f t="shared" si="2"/>
        <v>(n): sự giới thiệu</v>
      </c>
      <c r="G1076" s="6" t="s">
        <v>41597</v>
      </c>
      <c r="H1076" s="6" t="s">
        <v>41598</v>
      </c>
      <c r="I1076" s="7">
        <f t="shared" si="3"/>
        <v>0.06747768439</v>
      </c>
    </row>
    <row r="1077">
      <c r="A1077" s="4">
        <v>1077.0</v>
      </c>
      <c r="B1077" s="3" t="s">
        <v>41599</v>
      </c>
      <c r="C1077" s="6" t="s">
        <v>44</v>
      </c>
      <c r="D1077" s="6" t="s">
        <v>41600</v>
      </c>
      <c r="E1077" s="3" t="str">
        <f t="shared" si="1"/>
        <v>whatever&lt;br&gt;&lt;div class="audio"&gt;[sound:whatever.mp3]&lt;/div&gt;</v>
      </c>
      <c r="F1077" s="3" t="str">
        <f t="shared" si="2"/>
        <v>(pron): bất cứ cái gì</v>
      </c>
      <c r="G1077" s="6" t="s">
        <v>41601</v>
      </c>
      <c r="H1077" s="6" t="s">
        <v>41602</v>
      </c>
      <c r="I1077" s="7">
        <f t="shared" si="3"/>
        <v>0.2563576395</v>
      </c>
    </row>
    <row r="1078">
      <c r="A1078" s="4">
        <v>1078.0</v>
      </c>
      <c r="B1078" s="3" t="s">
        <v>41603</v>
      </c>
      <c r="C1078" s="6" t="s">
        <v>74</v>
      </c>
      <c r="D1078" s="6" t="s">
        <v>18866</v>
      </c>
      <c r="E1078" s="3" t="str">
        <f t="shared" si="1"/>
        <v>attack&lt;br&gt;&lt;div class="audio"&gt;[sound:attack.mp3]&lt;/div&gt;</v>
      </c>
      <c r="F1078" s="3" t="str">
        <f t="shared" si="2"/>
        <v>(n): cuộc tấn công</v>
      </c>
      <c r="G1078" s="6" t="s">
        <v>41604</v>
      </c>
      <c r="H1078" s="6" t="s">
        <v>41605</v>
      </c>
      <c r="I1078" s="7">
        <f t="shared" si="3"/>
        <v>0.1668951035</v>
      </c>
    </row>
    <row r="1079">
      <c r="A1079" s="4">
        <v>1079.0</v>
      </c>
      <c r="B1079" s="3" t="s">
        <v>41606</v>
      </c>
      <c r="C1079" s="6" t="s">
        <v>90</v>
      </c>
      <c r="D1079" s="6" t="s">
        <v>41607</v>
      </c>
      <c r="E1079" s="3" t="str">
        <f t="shared" si="1"/>
        <v>provided&lt;br&gt;&lt;div class="audio"&gt;[sound:provided.mp3]&lt;/div&gt;</v>
      </c>
      <c r="F1079" s="3" t="str">
        <f t="shared" si="2"/>
        <v>(conj): với điều kiện</v>
      </c>
      <c r="G1079" s="6" t="s">
        <v>41608</v>
      </c>
      <c r="H1079" s="6" t="s">
        <v>41609</v>
      </c>
      <c r="I1079" s="7">
        <f t="shared" si="3"/>
        <v>0.7608953189</v>
      </c>
    </row>
    <row r="1080">
      <c r="A1080" s="4">
        <v>1080.0</v>
      </c>
      <c r="B1080" s="3" t="s">
        <v>41610</v>
      </c>
      <c r="C1080" s="6" t="s">
        <v>11</v>
      </c>
      <c r="D1080" s="6" t="s">
        <v>41611</v>
      </c>
      <c r="E1080" s="3" t="str">
        <f t="shared" si="1"/>
        <v>related&lt;br&gt;&lt;div class="audio"&gt;[sound:related.mp3]&lt;/div&gt;</v>
      </c>
      <c r="F1080" s="3" t="str">
        <f t="shared" si="2"/>
        <v>(adj): có liên quan</v>
      </c>
      <c r="G1080" s="6" t="s">
        <v>41612</v>
      </c>
      <c r="H1080" s="6" t="s">
        <v>41613</v>
      </c>
      <c r="I1080" s="7">
        <f t="shared" si="3"/>
        <v>0.3614531842</v>
      </c>
    </row>
    <row r="1081">
      <c r="A1081" s="4">
        <v>1081.0</v>
      </c>
      <c r="B1081" s="3" t="s">
        <v>41614</v>
      </c>
      <c r="C1081" s="6" t="s">
        <v>44</v>
      </c>
      <c r="D1081" s="6" t="s">
        <v>41615</v>
      </c>
      <c r="E1081" s="3" t="str">
        <f t="shared" si="1"/>
        <v>yourself&lt;br&gt;&lt;div class="audio"&gt;[sound:yourself.mp3]&lt;/div&gt;</v>
      </c>
      <c r="F1081" s="3" t="str">
        <f t="shared" si="2"/>
        <v>(pron): bản thân bạn</v>
      </c>
      <c r="G1081" s="6" t="s">
        <v>41616</v>
      </c>
      <c r="H1081" s="6" t="s">
        <v>41617</v>
      </c>
      <c r="I1081" s="7">
        <f t="shared" si="3"/>
        <v>0.8890844042</v>
      </c>
    </row>
    <row r="1082">
      <c r="A1082" s="4">
        <v>1082.0</v>
      </c>
      <c r="B1082" s="3" t="s">
        <v>41618</v>
      </c>
      <c r="C1082" s="6" t="s">
        <v>74</v>
      </c>
      <c r="D1082" s="6" t="s">
        <v>41619</v>
      </c>
      <c r="E1082" s="3" t="str">
        <f t="shared" si="1"/>
        <v>cancer&lt;br&gt;&lt;div class="audio"&gt;[sound:cancer.mp3]&lt;/div&gt;</v>
      </c>
      <c r="F1082" s="3" t="str">
        <f t="shared" si="2"/>
        <v>(n): bệnh ung thư</v>
      </c>
      <c r="G1082" s="6" t="s">
        <v>41620</v>
      </c>
      <c r="H1082" s="6" t="s">
        <v>41621</v>
      </c>
      <c r="I1082" s="7">
        <f t="shared" si="3"/>
        <v>0.09774922516</v>
      </c>
    </row>
    <row r="1083">
      <c r="A1083" s="4">
        <v>1083.0</v>
      </c>
      <c r="B1083" s="3" t="s">
        <v>41622</v>
      </c>
      <c r="C1083" s="6" t="s">
        <v>74</v>
      </c>
      <c r="D1083" s="6" t="s">
        <v>41623</v>
      </c>
      <c r="E1083" s="3" t="str">
        <f t="shared" si="1"/>
        <v>respect&lt;br&gt;&lt;div class="audio"&gt;[sound:respect.mp3]&lt;/div&gt;</v>
      </c>
      <c r="F1083" s="3" t="str">
        <f t="shared" si="2"/>
        <v>(n): sự tôn trọng</v>
      </c>
      <c r="G1083" s="6" t="s">
        <v>41624</v>
      </c>
      <c r="H1083" s="6" t="s">
        <v>41625</v>
      </c>
      <c r="I1083" s="7">
        <f t="shared" si="3"/>
        <v>0.9263892836</v>
      </c>
    </row>
    <row r="1084">
      <c r="A1084" s="4">
        <v>1084.0</v>
      </c>
      <c r="B1084" s="3" t="s">
        <v>41626</v>
      </c>
      <c r="C1084" s="6" t="s">
        <v>74</v>
      </c>
      <c r="D1084" s="6" t="s">
        <v>41627</v>
      </c>
      <c r="E1084" s="3" t="str">
        <f t="shared" si="1"/>
        <v>reference&lt;br&gt;&lt;div class="audio"&gt;[sound:reference.mp3]&lt;/div&gt;</v>
      </c>
      <c r="F1084" s="3" t="str">
        <f t="shared" si="2"/>
        <v>(n): sự tham khảo</v>
      </c>
      <c r="G1084" s="6" t="s">
        <v>41628</v>
      </c>
      <c r="H1084" s="6" t="s">
        <v>41629</v>
      </c>
      <c r="I1084" s="7">
        <f t="shared" si="3"/>
        <v>0.6378455967</v>
      </c>
    </row>
    <row r="1085">
      <c r="A1085" s="4">
        <v>1085.0</v>
      </c>
      <c r="B1085" s="3" t="s">
        <v>41630</v>
      </c>
      <c r="C1085" s="6" t="s">
        <v>85</v>
      </c>
      <c r="D1085" s="6" t="s">
        <v>5214</v>
      </c>
      <c r="E1085" s="3" t="str">
        <f t="shared" si="1"/>
        <v>normally&lt;br&gt;&lt;div class="audio"&gt;[sound:normally.mp3]&lt;/div&gt;</v>
      </c>
      <c r="F1085" s="3" t="str">
        <f t="shared" si="2"/>
        <v>(adv): thông thường</v>
      </c>
      <c r="G1085" s="6" t="s">
        <v>41631</v>
      </c>
      <c r="H1085" s="6" t="s">
        <v>41632</v>
      </c>
      <c r="I1085" s="7">
        <f t="shared" si="3"/>
        <v>0.2848535148</v>
      </c>
    </row>
    <row r="1086">
      <c r="A1086" s="4">
        <v>1086.0</v>
      </c>
      <c r="B1086" s="3" t="s">
        <v>41633</v>
      </c>
      <c r="C1086" s="6" t="s">
        <v>74</v>
      </c>
      <c r="D1086" s="6" t="s">
        <v>41634</v>
      </c>
      <c r="E1086" s="3" t="str">
        <f t="shared" si="1"/>
        <v>yesterday&lt;br&gt;&lt;div class="audio"&gt;[sound:yesterday.mp3]&lt;/div&gt;</v>
      </c>
      <c r="F1086" s="3" t="str">
        <f t="shared" si="2"/>
        <v>(n): ngày hôm qua</v>
      </c>
      <c r="G1086" s="6" t="s">
        <v>41635</v>
      </c>
      <c r="H1086" s="6" t="s">
        <v>41636</v>
      </c>
      <c r="I1086" s="7">
        <f t="shared" si="3"/>
        <v>0.02340998633</v>
      </c>
    </row>
    <row r="1087">
      <c r="A1087" s="4">
        <v>1087.0</v>
      </c>
      <c r="B1087" s="3" t="s">
        <v>41637</v>
      </c>
      <c r="C1087" s="6" t="s">
        <v>74</v>
      </c>
      <c r="D1087" s="6" t="s">
        <v>41638</v>
      </c>
      <c r="E1087" s="3" t="str">
        <f t="shared" si="1"/>
        <v>movement&lt;br&gt;&lt;div class="audio"&gt;[sound:movement.mp3]&lt;/div&gt;</v>
      </c>
      <c r="F1087" s="3" t="str">
        <f t="shared" si="2"/>
        <v>(n): sự di chuyển</v>
      </c>
      <c r="G1087" s="6" t="s">
        <v>41639</v>
      </c>
      <c r="H1087" s="6" t="s">
        <v>41640</v>
      </c>
      <c r="I1087" s="7">
        <f t="shared" si="3"/>
        <v>0.05953160401</v>
      </c>
    </row>
    <row r="1088">
      <c r="A1088" s="4">
        <v>1088.0</v>
      </c>
      <c r="B1088" s="3" t="s">
        <v>41641</v>
      </c>
      <c r="C1088" s="6" t="s">
        <v>74</v>
      </c>
      <c r="D1088" s="6" t="s">
        <v>41642</v>
      </c>
      <c r="E1088" s="3" t="str">
        <f t="shared" si="1"/>
        <v>bond&lt;br&gt;&lt;div class="audio"&gt;[sound:bond.mp3]&lt;/div&gt;</v>
      </c>
      <c r="F1088" s="3" t="str">
        <f t="shared" si="2"/>
        <v>(n): mối liên kết</v>
      </c>
      <c r="G1088" s="6" t="s">
        <v>41643</v>
      </c>
      <c r="H1088" s="6" t="s">
        <v>41644</v>
      </c>
      <c r="I1088" s="7">
        <f t="shared" si="3"/>
        <v>0.8864564591</v>
      </c>
    </row>
    <row r="1089">
      <c r="A1089" s="4">
        <v>1089.0</v>
      </c>
      <c r="B1089" s="3" t="s">
        <v>41645</v>
      </c>
      <c r="C1089" s="6" t="s">
        <v>11</v>
      </c>
      <c r="D1089" s="6" t="s">
        <v>5214</v>
      </c>
      <c r="E1089" s="3" t="str">
        <f t="shared" si="1"/>
        <v>usual&lt;br&gt;&lt;div class="audio"&gt;[sound:usual.mp3]&lt;/div&gt;</v>
      </c>
      <c r="F1089" s="3" t="str">
        <f t="shared" si="2"/>
        <v>(adj): thông thường</v>
      </c>
      <c r="G1089" s="6" t="s">
        <v>41646</v>
      </c>
      <c r="H1089" s="6" t="s">
        <v>41647</v>
      </c>
      <c r="I1089" s="7">
        <f t="shared" si="3"/>
        <v>0.245559446</v>
      </c>
    </row>
    <row r="1090">
      <c r="A1090" s="4">
        <v>1090.0</v>
      </c>
      <c r="B1090" s="3" t="s">
        <v>41648</v>
      </c>
      <c r="C1090" s="6" t="s">
        <v>11</v>
      </c>
      <c r="D1090" s="6" t="s">
        <v>949</v>
      </c>
      <c r="E1090" s="3" t="str">
        <f t="shared" si="1"/>
        <v>immediate&lt;br&gt;&lt;div class="audio"&gt;[sound:immediate.mp3]&lt;/div&gt;</v>
      </c>
      <c r="F1090" s="3" t="str">
        <f t="shared" si="2"/>
        <v>(adj): ngay lập tức</v>
      </c>
      <c r="G1090" s="6" t="s">
        <v>41649</v>
      </c>
      <c r="H1090" s="6" t="s">
        <v>41650</v>
      </c>
      <c r="I1090" s="7">
        <f t="shared" si="3"/>
        <v>0.08050870597</v>
      </c>
    </row>
    <row r="1091">
      <c r="A1091" s="4">
        <v>1091.0</v>
      </c>
      <c r="B1091" s="3" t="s">
        <v>41651</v>
      </c>
      <c r="C1091" s="6" t="s">
        <v>74</v>
      </c>
      <c r="D1091" s="6" t="s">
        <v>41652</v>
      </c>
      <c r="E1091" s="3" t="str">
        <f t="shared" si="1"/>
        <v>failure&lt;br&gt;&lt;div class="audio"&gt;[sound:failure.mp3]&lt;/div&gt;</v>
      </c>
      <c r="F1091" s="3" t="str">
        <f t="shared" si="2"/>
        <v>(n): sự thất bại</v>
      </c>
      <c r="G1091" s="6" t="s">
        <v>41653</v>
      </c>
      <c r="H1091" s="6" t="s">
        <v>41654</v>
      </c>
      <c r="I1091" s="7">
        <f t="shared" si="3"/>
        <v>0.348627563</v>
      </c>
    </row>
    <row r="1092">
      <c r="A1092" s="4">
        <v>1092.0</v>
      </c>
      <c r="B1092" s="3" t="s">
        <v>41655</v>
      </c>
      <c r="C1092" s="6" t="s">
        <v>74</v>
      </c>
      <c r="D1092" s="6" t="s">
        <v>13096</v>
      </c>
      <c r="E1092" s="3" t="str">
        <f t="shared" si="1"/>
        <v>colleague&lt;br&gt;&lt;div class="audio"&gt;[sound:colleague.mp3]&lt;/div&gt;</v>
      </c>
      <c r="F1092" s="3" t="str">
        <f t="shared" si="2"/>
        <v>(n): đồng nghiệp</v>
      </c>
      <c r="G1092" s="6" t="s">
        <v>41656</v>
      </c>
      <c r="H1092" s="6" t="s">
        <v>41657</v>
      </c>
      <c r="I1092" s="7">
        <f t="shared" si="3"/>
        <v>0.4495311809</v>
      </c>
    </row>
    <row r="1093">
      <c r="A1093" s="4">
        <v>1093.0</v>
      </c>
      <c r="B1093" s="3" t="s">
        <v>41658</v>
      </c>
      <c r="C1093" s="6" t="s">
        <v>74</v>
      </c>
      <c r="D1093" s="6" t="s">
        <v>41659</v>
      </c>
      <c r="E1093" s="3" t="str">
        <f t="shared" si="1"/>
        <v>quarter&lt;br&gt;&lt;div class="audio"&gt;[sound:quarter.mp3]&lt;/div&gt;</v>
      </c>
      <c r="F1093" s="3" t="str">
        <f t="shared" si="2"/>
        <v>(n): một phần tư</v>
      </c>
      <c r="G1093" s="6" t="s">
        <v>41660</v>
      </c>
      <c r="H1093" s="6" t="s">
        <v>41661</v>
      </c>
      <c r="I1093" s="7">
        <f t="shared" si="3"/>
        <v>0.6155681258</v>
      </c>
    </row>
    <row r="1094">
      <c r="A1094" s="4">
        <v>1094.0</v>
      </c>
      <c r="B1094" s="3" t="s">
        <v>41662</v>
      </c>
      <c r="C1094" s="6" t="s">
        <v>74</v>
      </c>
      <c r="D1094" s="6" t="s">
        <v>20744</v>
      </c>
      <c r="E1094" s="3" t="str">
        <f t="shared" si="1"/>
        <v>nature&lt;br&gt;&lt;div class="audio"&gt;[sound:nature.mp3]&lt;/div&gt;</v>
      </c>
      <c r="F1094" s="3" t="str">
        <f t="shared" si="2"/>
        <v>(n): thiên nhiên</v>
      </c>
      <c r="G1094" s="6" t="s">
        <v>41663</v>
      </c>
      <c r="H1094" s="6" t="s">
        <v>41664</v>
      </c>
      <c r="I1094" s="7">
        <f t="shared" si="3"/>
        <v>0.4182648123</v>
      </c>
    </row>
    <row r="1095">
      <c r="A1095" s="4">
        <v>1095.0</v>
      </c>
      <c r="B1095" s="3" t="s">
        <v>41665</v>
      </c>
      <c r="C1095" s="6" t="s">
        <v>74</v>
      </c>
      <c r="D1095" s="6" t="s">
        <v>41666</v>
      </c>
      <c r="E1095" s="3" t="str">
        <f t="shared" si="1"/>
        <v>review&lt;br&gt;&lt;div class="audio"&gt;[sound:review.mp3]&lt;/div&gt;</v>
      </c>
      <c r="F1095" s="3" t="str">
        <f t="shared" si="2"/>
        <v>(n): sự đánh giá</v>
      </c>
      <c r="G1095" s="6" t="s">
        <v>41667</v>
      </c>
      <c r="H1095" s="6" t="s">
        <v>41668</v>
      </c>
      <c r="I1095" s="7">
        <f t="shared" si="3"/>
        <v>0.277403972</v>
      </c>
    </row>
    <row r="1096">
      <c r="A1096" s="4">
        <v>1096.0</v>
      </c>
      <c r="B1096" s="3" t="s">
        <v>41669</v>
      </c>
      <c r="C1096" s="6" t="s">
        <v>74</v>
      </c>
      <c r="D1096" s="6" t="s">
        <v>5473</v>
      </c>
      <c r="E1096" s="3" t="str">
        <f t="shared" si="1"/>
        <v>responsibility&lt;br&gt;&lt;div class="audio"&gt;[sound:responsibility.mp3]&lt;/div&gt;</v>
      </c>
      <c r="F1096" s="3" t="str">
        <f t="shared" si="2"/>
        <v>(n): trách nhiệm</v>
      </c>
      <c r="G1096" s="6" t="s">
        <v>41670</v>
      </c>
      <c r="H1096" s="6" t="s">
        <v>41671</v>
      </c>
      <c r="I1096" s="7">
        <f t="shared" si="3"/>
        <v>0.512794599</v>
      </c>
    </row>
    <row r="1097">
      <c r="A1097" s="4">
        <v>1097.0</v>
      </c>
      <c r="B1097" s="3" t="s">
        <v>41672</v>
      </c>
      <c r="C1097" s="6" t="s">
        <v>74</v>
      </c>
      <c r="D1097" s="6" t="s">
        <v>41673</v>
      </c>
      <c r="E1097" s="3" t="str">
        <f t="shared" si="1"/>
        <v>consideration&lt;br&gt;&lt;div class="audio"&gt;[sound:consideration.mp3]&lt;/div&gt;</v>
      </c>
      <c r="F1097" s="3" t="str">
        <f t="shared" si="2"/>
        <v>(n): sự cân nhắc</v>
      </c>
      <c r="G1097" s="6" t="s">
        <v>41674</v>
      </c>
      <c r="H1097" s="6" t="s">
        <v>41675</v>
      </c>
      <c r="I1097" s="7">
        <f t="shared" si="3"/>
        <v>0.3284833878</v>
      </c>
    </row>
    <row r="1098">
      <c r="A1098" s="4">
        <v>1098.0</v>
      </c>
      <c r="B1098" s="3" t="s">
        <v>41676</v>
      </c>
      <c r="C1098" s="6" t="s">
        <v>74</v>
      </c>
      <c r="D1098" s="6" t="s">
        <v>41677</v>
      </c>
      <c r="E1098" s="3" t="str">
        <f t="shared" si="1"/>
        <v>expression&lt;br&gt;&lt;div class="audio"&gt;[sound:expression.mp3]&lt;/div&gt;</v>
      </c>
      <c r="F1098" s="3" t="str">
        <f t="shared" si="2"/>
        <v>(n): sự thể hiện</v>
      </c>
      <c r="G1098" s="6" t="s">
        <v>41678</v>
      </c>
      <c r="H1098" s="6" t="s">
        <v>41679</v>
      </c>
      <c r="I1098" s="7">
        <f t="shared" si="3"/>
        <v>0.7685222448</v>
      </c>
    </row>
    <row r="1099">
      <c r="A1099" s="4">
        <v>1099.0</v>
      </c>
      <c r="B1099" s="3" t="s">
        <v>41680</v>
      </c>
      <c r="C1099" s="6" t="s">
        <v>74</v>
      </c>
      <c r="D1099" s="6" t="s">
        <v>41681</v>
      </c>
      <c r="E1099" s="3" t="str">
        <f t="shared" si="1"/>
        <v>construction&lt;br&gt;&lt;div class="audio"&gt;[sound:construction.mp3]&lt;/div&gt;</v>
      </c>
      <c r="F1099" s="3" t="str">
        <f t="shared" si="2"/>
        <v>(n): sự xây dựng</v>
      </c>
      <c r="G1099" s="6" t="s">
        <v>41682</v>
      </c>
      <c r="H1099" s="6" t="s">
        <v>41683</v>
      </c>
      <c r="I1099" s="7">
        <f t="shared" si="3"/>
        <v>0.2093071231</v>
      </c>
    </row>
    <row r="1100">
      <c r="A1100" s="4">
        <v>1100.0</v>
      </c>
      <c r="B1100" s="3" t="s">
        <v>41684</v>
      </c>
      <c r="C1100" s="6" t="s">
        <v>74</v>
      </c>
      <c r="D1100" s="6" t="s">
        <v>41685</v>
      </c>
      <c r="E1100" s="3" t="str">
        <f t="shared" si="1"/>
        <v>election&lt;br&gt;&lt;div class="audio"&gt;[sound:election.mp3]&lt;/div&gt;</v>
      </c>
      <c r="F1100" s="3" t="str">
        <f t="shared" si="2"/>
        <v>(n): cuộc bầu cử</v>
      </c>
      <c r="G1100" s="6" t="s">
        <v>41686</v>
      </c>
      <c r="H1100" s="6" t="s">
        <v>41687</v>
      </c>
      <c r="I1100" s="7">
        <f t="shared" si="3"/>
        <v>0.1966039349</v>
      </c>
    </row>
    <row r="1101">
      <c r="A1101" s="4">
        <v>1101.0</v>
      </c>
      <c r="B1101" s="3" t="s">
        <v>41688</v>
      </c>
      <c r="C1101" s="6" t="s">
        <v>74</v>
      </c>
      <c r="D1101" s="6" t="s">
        <v>41689</v>
      </c>
      <c r="E1101" s="3" t="str">
        <f t="shared" si="1"/>
        <v>exchange&lt;br&gt;&lt;div class="audio"&gt;[sound:exchange.mp3]&lt;/div&gt;</v>
      </c>
      <c r="F1101" s="3" t="str">
        <f t="shared" si="2"/>
        <v>(n): sự trao đổi</v>
      </c>
      <c r="G1101" s="6" t="s">
        <v>41690</v>
      </c>
      <c r="H1101" s="6" t="s">
        <v>41691</v>
      </c>
      <c r="I1101" s="7">
        <f t="shared" si="3"/>
        <v>0.7675396276</v>
      </c>
    </row>
    <row r="1102">
      <c r="A1102" s="4">
        <v>1102.0</v>
      </c>
      <c r="B1102" s="3" t="s">
        <v>41692</v>
      </c>
      <c r="C1102" s="6" t="s">
        <v>74</v>
      </c>
      <c r="D1102" s="6" t="s">
        <v>3619</v>
      </c>
      <c r="E1102" s="3" t="str">
        <f t="shared" si="1"/>
        <v>approach&lt;br&gt;&lt;div class="audio"&gt;[sound:approach.mp3]&lt;/div&gt;</v>
      </c>
      <c r="F1102" s="3" t="str">
        <f t="shared" si="2"/>
        <v>(n): phương pháp</v>
      </c>
      <c r="G1102" s="6" t="s">
        <v>41693</v>
      </c>
      <c r="H1102" s="6" t="s">
        <v>41694</v>
      </c>
      <c r="I1102" s="7">
        <f t="shared" si="3"/>
        <v>0.8298467882</v>
      </c>
    </row>
    <row r="1103">
      <c r="A1103" s="4">
        <v>1103.0</v>
      </c>
      <c r="B1103" s="3" t="s">
        <v>41695</v>
      </c>
      <c r="C1103" s="6" t="s">
        <v>74</v>
      </c>
      <c r="D1103" s="6" t="s">
        <v>27181</v>
      </c>
      <c r="E1103" s="3" t="str">
        <f t="shared" si="1"/>
        <v>weight&lt;br&gt;&lt;div class="audio"&gt;[sound:weight.mp3]&lt;/div&gt;</v>
      </c>
      <c r="F1103" s="3" t="str">
        <f t="shared" si="2"/>
        <v>(n): trọng lượng</v>
      </c>
      <c r="G1103" s="6" t="s">
        <v>41696</v>
      </c>
      <c r="H1103" s="6" t="s">
        <v>41697</v>
      </c>
      <c r="I1103" s="7">
        <f t="shared" si="3"/>
        <v>0.4448048417</v>
      </c>
    </row>
    <row r="1104">
      <c r="A1104" s="4">
        <v>1104.0</v>
      </c>
      <c r="B1104" s="3" t="s">
        <v>41698</v>
      </c>
      <c r="C1104" s="6" t="s">
        <v>24</v>
      </c>
      <c r="D1104" s="6" t="s">
        <v>41699</v>
      </c>
      <c r="E1104" s="3" t="str">
        <f t="shared" si="1"/>
        <v>click&lt;br&gt;&lt;div class="audio"&gt;[sound:click.mp3]&lt;/div&gt;</v>
      </c>
      <c r="F1104" s="3" t="str">
        <f t="shared" si="2"/>
        <v>(v): nhấp chuột</v>
      </c>
      <c r="G1104" s="6" t="s">
        <v>41700</v>
      </c>
      <c r="H1104" s="6" t="s">
        <v>41701</v>
      </c>
      <c r="I1104" s="7">
        <f t="shared" si="3"/>
        <v>0.2036709282</v>
      </c>
    </row>
    <row r="1105">
      <c r="A1105" s="4">
        <v>1105.0</v>
      </c>
      <c r="B1105" s="3" t="s">
        <v>41702</v>
      </c>
      <c r="C1105" s="6" t="s">
        <v>74</v>
      </c>
      <c r="D1105" s="6" t="s">
        <v>394</v>
      </c>
      <c r="E1105" s="3" t="str">
        <f t="shared" si="1"/>
        <v>instance&lt;br&gt;&lt;div class="audio"&gt;[sound:instance.mp3]&lt;/div&gt;</v>
      </c>
      <c r="F1105" s="3" t="str">
        <f t="shared" si="2"/>
        <v>(n): trường hợp</v>
      </c>
      <c r="G1105" s="6" t="s">
        <v>41703</v>
      </c>
      <c r="H1105" s="6" t="s">
        <v>41704</v>
      </c>
      <c r="I1105" s="7">
        <f t="shared" si="3"/>
        <v>0.3826445683</v>
      </c>
    </row>
    <row r="1106">
      <c r="A1106" s="4">
        <v>1106.0</v>
      </c>
      <c r="B1106" s="3" t="s">
        <v>41705</v>
      </c>
      <c r="C1106" s="6" t="s">
        <v>74</v>
      </c>
      <c r="D1106" s="6" t="s">
        <v>41706</v>
      </c>
      <c r="E1106" s="3" t="str">
        <f t="shared" si="1"/>
        <v>owner&lt;br&gt;&lt;div class="audio"&gt;[sound:owner.mp3]&lt;/div&gt;</v>
      </c>
      <c r="F1106" s="3" t="str">
        <f t="shared" si="2"/>
        <v>(n): chủ sở hữu</v>
      </c>
      <c r="G1106" s="6" t="s">
        <v>41707</v>
      </c>
      <c r="H1106" s="6" t="s">
        <v>41708</v>
      </c>
      <c r="I1106" s="7">
        <f t="shared" si="3"/>
        <v>0.6237965054</v>
      </c>
    </row>
    <row r="1107">
      <c r="A1107" s="4">
        <v>1107.0</v>
      </c>
      <c r="B1107" s="3" t="s">
        <v>41709</v>
      </c>
      <c r="C1107" s="6" t="s">
        <v>74</v>
      </c>
      <c r="D1107" s="6" t="s">
        <v>41710</v>
      </c>
      <c r="E1107" s="3" t="str">
        <f t="shared" si="1"/>
        <v>commitment&lt;br&gt;&lt;div class="audio"&gt;[sound:commitment.mp3]&lt;/div&gt;</v>
      </c>
      <c r="F1107" s="3" t="str">
        <f t="shared" si="2"/>
        <v>(n): sự cam kết</v>
      </c>
      <c r="G1107" s="6" t="s">
        <v>41711</v>
      </c>
      <c r="H1107" s="6" t="s">
        <v>41712</v>
      </c>
      <c r="I1107" s="7">
        <f t="shared" si="3"/>
        <v>0.1190330242</v>
      </c>
    </row>
    <row r="1108">
      <c r="A1108" s="4">
        <v>1108.0</v>
      </c>
      <c r="B1108" s="3" t="s">
        <v>41713</v>
      </c>
      <c r="C1108" s="6" t="s">
        <v>74</v>
      </c>
      <c r="D1108" s="6" t="s">
        <v>16938</v>
      </c>
      <c r="E1108" s="3" t="str">
        <f t="shared" si="1"/>
        <v>clothing&lt;br&gt;&lt;div class="audio"&gt;[sound:clothing.mp3]&lt;/div&gt;</v>
      </c>
      <c r="F1108" s="3" t="str">
        <f t="shared" si="2"/>
        <v>(n): trang phục</v>
      </c>
      <c r="G1108" s="6" t="s">
        <v>41714</v>
      </c>
      <c r="H1108" s="6" t="s">
        <v>41715</v>
      </c>
      <c r="I1108" s="7">
        <f t="shared" si="3"/>
        <v>0.9846873641</v>
      </c>
    </row>
    <row r="1109">
      <c r="A1109" s="4">
        <v>1109.0</v>
      </c>
      <c r="B1109" s="3" t="s">
        <v>41716</v>
      </c>
      <c r="C1109" s="6" t="s">
        <v>11</v>
      </c>
      <c r="D1109" s="6" t="s">
        <v>2535</v>
      </c>
      <c r="E1109" s="3" t="str">
        <f t="shared" si="1"/>
        <v>online&lt;br&gt;&lt;div class="audio"&gt;[sound:online.mp3]&lt;/div&gt;</v>
      </c>
      <c r="F1109" s="3" t="str">
        <f t="shared" si="2"/>
        <v>(adj): trực tuyến</v>
      </c>
      <c r="G1109" s="6" t="s">
        <v>41717</v>
      </c>
      <c r="H1109" s="6" t="s">
        <v>41718</v>
      </c>
      <c r="I1109" s="7">
        <f t="shared" si="3"/>
        <v>0.51979086</v>
      </c>
    </row>
    <row r="1110">
      <c r="A1110" s="4">
        <v>1110.0</v>
      </c>
      <c r="B1110" s="3" t="s">
        <v>41719</v>
      </c>
      <c r="C1110" s="6" t="s">
        <v>11</v>
      </c>
      <c r="D1110" s="6" t="s">
        <v>13113</v>
      </c>
      <c r="E1110" s="3" t="str">
        <f t="shared" si="1"/>
        <v>commercial&lt;br&gt;&lt;div class="audio"&gt;[sound:commercial.mp3]&lt;/div&gt;</v>
      </c>
      <c r="F1110" s="3" t="str">
        <f t="shared" si="2"/>
        <v>(adj): thương mại</v>
      </c>
      <c r="G1110" s="6" t="s">
        <v>41720</v>
      </c>
      <c r="H1110" s="6" t="s">
        <v>41721</v>
      </c>
      <c r="I1110" s="7">
        <f t="shared" si="3"/>
        <v>0.8144838955</v>
      </c>
    </row>
    <row r="1111">
      <c r="A1111" s="4">
        <v>1111.0</v>
      </c>
      <c r="B1111" s="3" t="s">
        <v>41722</v>
      </c>
      <c r="C1111" s="6" t="s">
        <v>74</v>
      </c>
      <c r="D1111" s="6" t="s">
        <v>41723</v>
      </c>
      <c r="E1111" s="3" t="str">
        <f t="shared" si="1"/>
        <v>comparison&lt;br&gt;&lt;div class="audio"&gt;[sound:comparison.mp3]&lt;/div&gt;</v>
      </c>
      <c r="F1111" s="3" t="str">
        <f t="shared" si="2"/>
        <v>(n): sự so sánh</v>
      </c>
      <c r="G1111" s="6" t="s">
        <v>41724</v>
      </c>
      <c r="H1111" s="6" t="s">
        <v>41725</v>
      </c>
      <c r="I1111" s="7">
        <f t="shared" si="3"/>
        <v>0.2729471642</v>
      </c>
    </row>
    <row r="1112">
      <c r="A1112" s="4">
        <v>1112.0</v>
      </c>
      <c r="B1112" s="3" t="s">
        <v>41726</v>
      </c>
      <c r="C1112" s="6" t="s">
        <v>74</v>
      </c>
      <c r="D1112" s="6" t="s">
        <v>41727</v>
      </c>
      <c r="E1112" s="3" t="str">
        <f t="shared" si="1"/>
        <v>administration&lt;br&gt;&lt;div class="audio"&gt;[sound:administration.mp3]&lt;/div&gt;</v>
      </c>
      <c r="F1112" s="3" t="str">
        <f t="shared" si="2"/>
        <v>(n): sự quản lý</v>
      </c>
      <c r="G1112" s="6" t="s">
        <v>41728</v>
      </c>
      <c r="H1112" s="6" t="s">
        <v>41729</v>
      </c>
      <c r="I1112" s="7">
        <f t="shared" si="3"/>
        <v>0.2943208985</v>
      </c>
    </row>
    <row r="1113">
      <c r="A1113" s="4">
        <v>1113.0</v>
      </c>
      <c r="B1113" s="3" t="s">
        <v>41730</v>
      </c>
      <c r="C1113" s="6" t="s">
        <v>74</v>
      </c>
      <c r="D1113" s="6" t="s">
        <v>34048</v>
      </c>
      <c r="E1113" s="3" t="str">
        <f t="shared" si="1"/>
        <v>loss&lt;br&gt;&lt;div class="audio"&gt;[sound:loss.mp3]&lt;/div&gt;</v>
      </c>
      <c r="F1113" s="3" t="str">
        <f t="shared" si="2"/>
        <v>(n): sự mất mát</v>
      </c>
      <c r="G1113" s="6" t="s">
        <v>41731</v>
      </c>
      <c r="H1113" s="6" t="s">
        <v>41732</v>
      </c>
      <c r="I1113" s="7">
        <f t="shared" si="3"/>
        <v>0.5875010402</v>
      </c>
    </row>
    <row r="1114">
      <c r="A1114" s="4">
        <v>1114.0</v>
      </c>
      <c r="B1114" s="3" t="s">
        <v>41733</v>
      </c>
      <c r="C1114" s="6" t="s">
        <v>74</v>
      </c>
      <c r="D1114" s="6" t="s">
        <v>20571</v>
      </c>
      <c r="E1114" s="3" t="str">
        <f t="shared" si="1"/>
        <v>flight&lt;br&gt;&lt;div class="audio"&gt;[sound:flight.mp3]&lt;/div&gt;</v>
      </c>
      <c r="F1114" s="3" t="str">
        <f t="shared" si="2"/>
        <v>(n): chuyến bay</v>
      </c>
      <c r="G1114" s="6" t="s">
        <v>41734</v>
      </c>
      <c r="H1114" s="6" t="s">
        <v>41735</v>
      </c>
      <c r="I1114" s="7">
        <f t="shared" si="3"/>
        <v>0.2218076409</v>
      </c>
    </row>
    <row r="1115">
      <c r="A1115" s="4">
        <v>1115.0</v>
      </c>
      <c r="B1115" s="3" t="s">
        <v>41736</v>
      </c>
      <c r="C1115" s="6" t="s">
        <v>74</v>
      </c>
      <c r="D1115" s="6" t="s">
        <v>41727</v>
      </c>
      <c r="E1115" s="3" t="str">
        <f t="shared" si="1"/>
        <v>management&lt;br&gt;&lt;div class="audio"&gt;[sound:management.mp3]&lt;/div&gt;</v>
      </c>
      <c r="F1115" s="3" t="str">
        <f t="shared" si="2"/>
        <v>(n): sự quản lý</v>
      </c>
      <c r="G1115" s="6" t="s">
        <v>41737</v>
      </c>
      <c r="H1115" s="6" t="s">
        <v>41738</v>
      </c>
      <c r="I1115" s="7">
        <f t="shared" si="3"/>
        <v>0.05320922331</v>
      </c>
    </row>
    <row r="1116">
      <c r="A1116" s="4">
        <v>1116.0</v>
      </c>
      <c r="B1116" s="3" t="s">
        <v>41739</v>
      </c>
      <c r="C1116" s="6" t="s">
        <v>74</v>
      </c>
      <c r="D1116" s="8" t="s">
        <v>41740</v>
      </c>
      <c r="E1116" s="3" t="str">
        <f t="shared" si="1"/>
        <v>settlement&lt;br&gt;&lt;div class="audio"&gt;[sound:settlement.mp3]&lt;/div&gt;</v>
      </c>
      <c r="F1116" s="3" t="str">
        <f t="shared" si="2"/>
        <v>(n): sự dàn xếp</v>
      </c>
      <c r="G1116" s="8" t="s">
        <v>41741</v>
      </c>
      <c r="H1116" s="8" t="s">
        <v>41742</v>
      </c>
      <c r="I1116" s="7">
        <f t="shared" si="3"/>
        <v>0.8274311939</v>
      </c>
    </row>
    <row r="1117">
      <c r="A1117" s="4">
        <v>1117.0</v>
      </c>
      <c r="B1117" s="3" t="s">
        <v>41743</v>
      </c>
      <c r="C1117" s="6" t="s">
        <v>11</v>
      </c>
      <c r="D1117" s="6" t="s">
        <v>5335</v>
      </c>
      <c r="E1117" s="3" t="str">
        <f t="shared" si="1"/>
        <v>original&lt;br&gt;&lt;div class="audio"&gt;[sound:original.mp3]&lt;/div&gt;</v>
      </c>
      <c r="F1117" s="3" t="str">
        <f t="shared" si="2"/>
        <v>(adj): nguyên bản</v>
      </c>
      <c r="G1117" s="6" t="s">
        <v>41744</v>
      </c>
      <c r="H1117" s="6" t="s">
        <v>41745</v>
      </c>
      <c r="I1117" s="7">
        <f t="shared" si="3"/>
        <v>0.0101653076</v>
      </c>
    </row>
    <row r="1118">
      <c r="A1118" s="4">
        <v>1118.0</v>
      </c>
      <c r="B1118" s="3" t="s">
        <v>41746</v>
      </c>
      <c r="C1118" s="6" t="s">
        <v>74</v>
      </c>
      <c r="D1118" s="6" t="s">
        <v>13773</v>
      </c>
      <c r="E1118" s="3" t="str">
        <f t="shared" si="1"/>
        <v>resource&lt;br&gt;&lt;div class="audio"&gt;[sound:resource.mp3]&lt;/div&gt;</v>
      </c>
      <c r="F1118" s="3" t="str">
        <f t="shared" si="2"/>
        <v>(n): tài nguyên</v>
      </c>
      <c r="G1118" s="6" t="s">
        <v>41747</v>
      </c>
      <c r="H1118" s="6" t="s">
        <v>41748</v>
      </c>
      <c r="I1118" s="7">
        <f t="shared" si="3"/>
        <v>0.404238604</v>
      </c>
    </row>
    <row r="1119">
      <c r="A1119" s="4">
        <v>1119.0</v>
      </c>
      <c r="B1119" s="3" t="s">
        <v>41749</v>
      </c>
      <c r="C1119" s="6" t="s">
        <v>74</v>
      </c>
      <c r="D1119" s="6" t="s">
        <v>41750</v>
      </c>
      <c r="E1119" s="3" t="str">
        <f t="shared" si="1"/>
        <v>progress&lt;br&gt;&lt;div class="audio"&gt;[sound:progress.mp3]&lt;/div&gt;</v>
      </c>
      <c r="F1119" s="3" t="str">
        <f t="shared" si="2"/>
        <v>(n): sự tiến bộ</v>
      </c>
      <c r="G1119" s="6" t="s">
        <v>41751</v>
      </c>
      <c r="H1119" s="6" t="s">
        <v>41752</v>
      </c>
      <c r="I1119" s="7">
        <f t="shared" si="3"/>
        <v>0.2743611384</v>
      </c>
    </row>
    <row r="1120">
      <c r="A1120" s="4">
        <v>1120.0</v>
      </c>
      <c r="B1120" s="3" t="s">
        <v>41753</v>
      </c>
      <c r="C1120" s="6" t="s">
        <v>74</v>
      </c>
      <c r="D1120" s="6" t="s">
        <v>41754</v>
      </c>
      <c r="E1120" s="3" t="str">
        <f t="shared" si="1"/>
        <v>safety&lt;br&gt;&lt;div class="audio"&gt;[sound:safety.mp3]&lt;/div&gt;</v>
      </c>
      <c r="F1120" s="3" t="str">
        <f t="shared" si="2"/>
        <v>(n): sự an toàn</v>
      </c>
      <c r="G1120" s="6" t="s">
        <v>41755</v>
      </c>
      <c r="H1120" s="6" t="s">
        <v>41756</v>
      </c>
      <c r="I1120" s="7">
        <f t="shared" si="3"/>
        <v>0.3489887913</v>
      </c>
    </row>
    <row r="1121">
      <c r="A1121" s="4">
        <v>1121.0</v>
      </c>
      <c r="B1121" s="3" t="s">
        <v>41757</v>
      </c>
      <c r="C1121" s="6" t="s">
        <v>11</v>
      </c>
      <c r="D1121" s="6" t="s">
        <v>41758</v>
      </c>
      <c r="E1121" s="3" t="str">
        <f t="shared" si="1"/>
        <v>aware&lt;br&gt;&lt;div class="audio"&gt;[sound:aware.mp3]&lt;/div&gt;</v>
      </c>
      <c r="F1121" s="3" t="str">
        <f t="shared" si="2"/>
        <v>(adj): nhận thức</v>
      </c>
      <c r="G1121" s="6" t="s">
        <v>41759</v>
      </c>
      <c r="H1121" s="6" t="s">
        <v>41760</v>
      </c>
      <c r="I1121" s="7">
        <f t="shared" si="3"/>
        <v>0.8995772303</v>
      </c>
    </row>
    <row r="1122">
      <c r="A1122" s="4">
        <v>1122.0</v>
      </c>
      <c r="B1122" s="3" t="s">
        <v>41761</v>
      </c>
      <c r="C1122" s="6" t="s">
        <v>24</v>
      </c>
      <c r="D1122" s="6" t="s">
        <v>17771</v>
      </c>
      <c r="E1122" s="3" t="str">
        <f t="shared" si="1"/>
        <v>communicate&lt;br&gt;&lt;div class="audio"&gt;[sound:communicate.mp3]&lt;/div&gt;</v>
      </c>
      <c r="F1122" s="3" t="str">
        <f t="shared" si="2"/>
        <v>(v): giao tiếp</v>
      </c>
      <c r="G1122" s="6" t="s">
        <v>41762</v>
      </c>
      <c r="H1122" s="6" t="s">
        <v>41763</v>
      </c>
      <c r="I1122" s="7">
        <f t="shared" si="3"/>
        <v>0.2388029967</v>
      </c>
    </row>
    <row r="1123">
      <c r="A1123" s="4">
        <v>1123.0</v>
      </c>
      <c r="B1123" s="3" t="s">
        <v>41764</v>
      </c>
      <c r="C1123" s="6" t="s">
        <v>74</v>
      </c>
      <c r="D1123" s="6" t="s">
        <v>41765</v>
      </c>
      <c r="E1123" s="3" t="str">
        <f t="shared" si="1"/>
        <v>aspect&lt;br&gt;&lt;div class="audio"&gt;[sound:aspect.mp3]&lt;/div&gt;</v>
      </c>
      <c r="F1123" s="3" t="str">
        <f t="shared" si="2"/>
        <v>(n): khía cạnh</v>
      </c>
      <c r="G1123" s="6" t="s">
        <v>41766</v>
      </c>
      <c r="H1123" s="6" t="s">
        <v>41767</v>
      </c>
      <c r="I1123" s="7">
        <f t="shared" si="3"/>
        <v>0.5114062802</v>
      </c>
    </row>
    <row r="1124">
      <c r="A1124" s="4">
        <v>1124.0</v>
      </c>
      <c r="B1124" s="3" t="s">
        <v>41768</v>
      </c>
      <c r="C1124" s="6" t="s">
        <v>24</v>
      </c>
      <c r="D1124" s="6" t="s">
        <v>41769</v>
      </c>
      <c r="E1124" s="3" t="str">
        <f t="shared" si="1"/>
        <v>commit&lt;br&gt;&lt;div class="audio"&gt;[sound:commit.mp3]&lt;/div&gt;</v>
      </c>
      <c r="F1124" s="3" t="str">
        <f t="shared" si="2"/>
        <v>(v): phạm phải</v>
      </c>
      <c r="G1124" s="6" t="s">
        <v>41770</v>
      </c>
      <c r="H1124" s="6" t="s">
        <v>41771</v>
      </c>
      <c r="I1124" s="7">
        <f t="shared" si="3"/>
        <v>0.3610624814</v>
      </c>
    </row>
    <row r="1125">
      <c r="A1125" s="4">
        <v>1125.0</v>
      </c>
      <c r="B1125" s="3" t="s">
        <v>41772</v>
      </c>
      <c r="C1125" s="6" t="s">
        <v>74</v>
      </c>
      <c r="D1125" s="6" t="s">
        <v>11870</v>
      </c>
      <c r="E1125" s="3" t="str">
        <f t="shared" si="1"/>
        <v>circle&lt;br&gt;&lt;div class="audio"&gt;[sound:circle.mp3]&lt;/div&gt;</v>
      </c>
      <c r="F1125" s="3" t="str">
        <f t="shared" si="2"/>
        <v>(n): hình tròn</v>
      </c>
      <c r="G1125" s="6" t="s">
        <v>41773</v>
      </c>
      <c r="H1125" s="6" t="s">
        <v>41774</v>
      </c>
      <c r="I1125" s="7">
        <f t="shared" si="3"/>
        <v>0.01366740581</v>
      </c>
    </row>
    <row r="1126">
      <c r="A1126" s="4">
        <v>1126.0</v>
      </c>
      <c r="B1126" s="3" t="s">
        <v>41775</v>
      </c>
      <c r="C1126" s="6" t="s">
        <v>11</v>
      </c>
      <c r="D1126" s="6" t="s">
        <v>3779</v>
      </c>
      <c r="E1126" s="3" t="str">
        <f t="shared" si="1"/>
        <v>healthy&lt;br&gt;&lt;div class="audio"&gt;[sound:healthy.mp3]&lt;/div&gt;</v>
      </c>
      <c r="F1126" s="3" t="str">
        <f t="shared" si="2"/>
        <v>(adj): khỏe mạnh</v>
      </c>
      <c r="G1126" s="6" t="s">
        <v>41776</v>
      </c>
      <c r="H1126" s="6" t="s">
        <v>41777</v>
      </c>
      <c r="I1126" s="7">
        <f t="shared" si="3"/>
        <v>0.883913224</v>
      </c>
    </row>
    <row r="1127">
      <c r="A1127" s="4">
        <v>1127.0</v>
      </c>
      <c r="B1127" s="3" t="s">
        <v>41778</v>
      </c>
      <c r="C1127" s="6" t="s">
        <v>74</v>
      </c>
      <c r="D1127" s="6" t="s">
        <v>9532</v>
      </c>
      <c r="E1127" s="3" t="str">
        <f t="shared" si="1"/>
        <v>concept&lt;br&gt;&lt;div class="audio"&gt;[sound:concept.mp3]&lt;/div&gt;</v>
      </c>
      <c r="F1127" s="3" t="str">
        <f t="shared" si="2"/>
        <v>(n): khái niệm</v>
      </c>
      <c r="G1127" s="6" t="s">
        <v>41779</v>
      </c>
      <c r="H1127" s="6" t="s">
        <v>41780</v>
      </c>
      <c r="I1127" s="7">
        <f t="shared" si="3"/>
        <v>0.4817403798</v>
      </c>
    </row>
    <row r="1128">
      <c r="A1128" s="4">
        <v>1128.0</v>
      </c>
      <c r="B1128" s="3" t="s">
        <v>41781</v>
      </c>
      <c r="C1128" s="6" t="s">
        <v>74</v>
      </c>
      <c r="D1128" s="6" t="s">
        <v>6825</v>
      </c>
      <c r="E1128" s="3" t="str">
        <f t="shared" si="1"/>
        <v>instruction&lt;br&gt;&lt;div class="audio"&gt;[sound:instruction.mp3]&lt;/div&gt;</v>
      </c>
      <c r="F1128" s="3" t="str">
        <f t="shared" si="2"/>
        <v>(n): hướng dẫn</v>
      </c>
      <c r="G1128" s="6" t="s">
        <v>41782</v>
      </c>
      <c r="H1128" s="6" t="s">
        <v>41783</v>
      </c>
      <c r="I1128" s="7">
        <f t="shared" si="3"/>
        <v>0.8863733171</v>
      </c>
    </row>
    <row r="1129">
      <c r="A1129" s="4">
        <v>1129.0</v>
      </c>
      <c r="B1129" s="3" t="s">
        <v>41784</v>
      </c>
      <c r="C1129" s="6" t="s">
        <v>74</v>
      </c>
      <c r="D1129" s="6" t="s">
        <v>13302</v>
      </c>
      <c r="E1129" s="3" t="str">
        <f t="shared" si="1"/>
        <v>procedure&lt;br&gt;&lt;div class="audio"&gt;[sound:procedure.mp3]&lt;/div&gt;</v>
      </c>
      <c r="F1129" s="3" t="str">
        <f t="shared" si="2"/>
        <v>(n): quy trình</v>
      </c>
      <c r="G1129" s="6" t="s">
        <v>41785</v>
      </c>
      <c r="H1129" s="6" t="s">
        <v>41786</v>
      </c>
      <c r="I1129" s="7">
        <f t="shared" si="3"/>
        <v>0.3653808052</v>
      </c>
    </row>
    <row r="1130">
      <c r="A1130" s="4">
        <v>1130.0</v>
      </c>
      <c r="B1130" s="3" t="s">
        <v>41787</v>
      </c>
      <c r="C1130" s="6" t="s">
        <v>74</v>
      </c>
      <c r="D1130" s="6" t="s">
        <v>41788</v>
      </c>
      <c r="E1130" s="3" t="str">
        <f t="shared" si="1"/>
        <v>confidence&lt;br&gt;&lt;div class="audio"&gt;[sound:confidence.mp3]&lt;/div&gt;</v>
      </c>
      <c r="F1130" s="3" t="str">
        <f t="shared" si="2"/>
        <v>(n): sự tự tin</v>
      </c>
      <c r="G1130" s="6" t="s">
        <v>41789</v>
      </c>
      <c r="H1130" s="6" t="s">
        <v>41790</v>
      </c>
      <c r="I1130" s="7">
        <f t="shared" si="3"/>
        <v>0.374955132</v>
      </c>
    </row>
    <row r="1131">
      <c r="A1131" s="4">
        <v>1131.0</v>
      </c>
      <c r="B1131" s="3" t="s">
        <v>41791</v>
      </c>
      <c r="C1131" s="6" t="s">
        <v>11</v>
      </c>
      <c r="D1131" s="6" t="s">
        <v>3887</v>
      </c>
      <c r="E1131" s="3" t="str">
        <f t="shared" si="1"/>
        <v>famous&lt;br&gt;&lt;div class="audio"&gt;[sound:famous.mp3]&lt;/div&gt;</v>
      </c>
      <c r="F1131" s="3" t="str">
        <f t="shared" si="2"/>
        <v>(adj): nổi tiếng</v>
      </c>
      <c r="G1131" s="6" t="s">
        <v>41792</v>
      </c>
      <c r="H1131" s="6" t="s">
        <v>41793</v>
      </c>
      <c r="I1131" s="7">
        <f t="shared" si="3"/>
        <v>0.722444122</v>
      </c>
    </row>
    <row r="1132">
      <c r="A1132" s="4">
        <v>1132.0</v>
      </c>
      <c r="B1132" s="3" t="s">
        <v>41794</v>
      </c>
      <c r="C1132" s="6" t="s">
        <v>85</v>
      </c>
      <c r="D1132" s="6" t="s">
        <v>4743</v>
      </c>
      <c r="E1132" s="3" t="str">
        <f t="shared" si="1"/>
        <v>entirely&lt;br&gt;&lt;div class="audio"&gt;[sound:entirely.mp3]&lt;/div&gt;</v>
      </c>
      <c r="F1132" s="3" t="str">
        <f t="shared" si="2"/>
        <v>(adv): hoàn toàn</v>
      </c>
      <c r="G1132" s="6" t="s">
        <v>41795</v>
      </c>
      <c r="H1132" s="6" t="s">
        <v>41501</v>
      </c>
      <c r="I1132" s="7">
        <f t="shared" si="3"/>
        <v>0.3902963385</v>
      </c>
    </row>
    <row r="1133">
      <c r="A1133" s="4">
        <v>1133.0</v>
      </c>
      <c r="B1133" s="3" t="s">
        <v>41796</v>
      </c>
      <c r="C1133" s="6" t="s">
        <v>74</v>
      </c>
      <c r="D1133" s="6" t="s">
        <v>41797</v>
      </c>
      <c r="E1133" s="3" t="str">
        <f t="shared" si="1"/>
        <v>addition&lt;br&gt;&lt;div class="audio"&gt;[sound:addition.mp3]&lt;/div&gt;</v>
      </c>
      <c r="F1133" s="3" t="str">
        <f t="shared" si="2"/>
        <v>(n): phần thêm</v>
      </c>
      <c r="G1133" s="6" t="s">
        <v>41798</v>
      </c>
      <c r="H1133" s="6" t="s">
        <v>41799</v>
      </c>
      <c r="I1133" s="7">
        <f t="shared" si="3"/>
        <v>0.7948385635</v>
      </c>
    </row>
    <row r="1134">
      <c r="A1134" s="4">
        <v>1134.0</v>
      </c>
      <c r="B1134" s="3" t="s">
        <v>41800</v>
      </c>
      <c r="C1134" s="6" t="s">
        <v>74</v>
      </c>
      <c r="D1134" s="6" t="s">
        <v>40745</v>
      </c>
      <c r="E1134" s="3" t="str">
        <f t="shared" si="1"/>
        <v>web&lt;br&gt;&lt;div class="audio"&gt;[sound:web.mp3]&lt;/div&gt;</v>
      </c>
      <c r="F1134" s="3" t="str">
        <f t="shared" si="2"/>
        <v>(n): mạng lưới</v>
      </c>
      <c r="G1134" s="6" t="s">
        <v>41801</v>
      </c>
      <c r="H1134" s="6" t="s">
        <v>41802</v>
      </c>
      <c r="I1134" s="7">
        <f t="shared" si="3"/>
        <v>0.3730476171</v>
      </c>
    </row>
    <row r="1135">
      <c r="A1135" s="4">
        <v>1135.0</v>
      </c>
      <c r="B1135" s="3" t="s">
        <v>41803</v>
      </c>
      <c r="C1135" s="6" t="s">
        <v>11</v>
      </c>
      <c r="D1135" s="6" t="s">
        <v>41804</v>
      </c>
      <c r="E1135" s="3" t="str">
        <f t="shared" si="1"/>
        <v>written&lt;br&gt;&lt;div class="audio"&gt;[sound:written.mp3]&lt;/div&gt;</v>
      </c>
      <c r="F1135" s="3" t="str">
        <f t="shared" si="2"/>
        <v>(adj): được viết</v>
      </c>
      <c r="G1135" s="6" t="s">
        <v>41805</v>
      </c>
      <c r="H1135" s="6" t="s">
        <v>41806</v>
      </c>
      <c r="I1135" s="7">
        <f t="shared" si="3"/>
        <v>0.4722693147</v>
      </c>
    </row>
    <row r="1136">
      <c r="A1136" s="4">
        <v>1136.0</v>
      </c>
      <c r="B1136" s="3" t="s">
        <v>41807</v>
      </c>
      <c r="C1136" s="6" t="s">
        <v>74</v>
      </c>
      <c r="D1136" s="6" t="s">
        <v>41808</v>
      </c>
      <c r="E1136" s="3" t="str">
        <f t="shared" si="1"/>
        <v>attempt&lt;br&gt;&lt;div class="audio"&gt;[sound:attempt.mp3]&lt;/div&gt;</v>
      </c>
      <c r="F1136" s="3" t="str">
        <f t="shared" si="2"/>
        <v>(n): sự nỗ lực</v>
      </c>
      <c r="G1136" s="6" t="s">
        <v>41809</v>
      </c>
      <c r="H1136" s="6" t="s">
        <v>41810</v>
      </c>
      <c r="I1136" s="7">
        <f t="shared" si="3"/>
        <v>0.2118239727</v>
      </c>
    </row>
    <row r="1137">
      <c r="A1137" s="4">
        <v>1137.0</v>
      </c>
      <c r="B1137" s="3" t="s">
        <v>41811</v>
      </c>
      <c r="C1137" s="6" t="s">
        <v>24</v>
      </c>
      <c r="D1137" s="6" t="s">
        <v>41812</v>
      </c>
      <c r="E1137" s="3" t="str">
        <f t="shared" si="1"/>
        <v>depend&lt;br&gt;&lt;div class="audio"&gt;[sound:depend.mp3]&lt;/div&gt;</v>
      </c>
      <c r="F1137" s="3" t="str">
        <f t="shared" si="2"/>
        <v>(v): phụ thuộc</v>
      </c>
      <c r="G1137" s="6" t="s">
        <v>41813</v>
      </c>
      <c r="H1137" s="6" t="s">
        <v>41814</v>
      </c>
      <c r="I1137" s="7">
        <f t="shared" si="3"/>
        <v>0.9243705781</v>
      </c>
    </row>
    <row r="1138">
      <c r="A1138" s="4">
        <v>1138.0</v>
      </c>
      <c r="B1138" s="3" t="s">
        <v>41815</v>
      </c>
      <c r="C1138" s="6" t="s">
        <v>24</v>
      </c>
      <c r="D1138" s="6" t="s">
        <v>14093</v>
      </c>
      <c r="E1138" s="3" t="str">
        <f t="shared" si="1"/>
        <v>refer&lt;br&gt;&lt;div class="audio"&gt;[sound:refer.mp3]&lt;/div&gt;</v>
      </c>
      <c r="F1138" s="3" t="str">
        <f t="shared" si="2"/>
        <v>(v): tham khảo</v>
      </c>
      <c r="G1138" s="6" t="s">
        <v>41816</v>
      </c>
      <c r="H1138" s="6" t="s">
        <v>41817</v>
      </c>
      <c r="I1138" s="7">
        <f t="shared" si="3"/>
        <v>0.2641488662</v>
      </c>
    </row>
    <row r="1139">
      <c r="A1139" s="4">
        <v>1139.0</v>
      </c>
      <c r="B1139" s="3" t="s">
        <v>41818</v>
      </c>
      <c r="C1139" s="6" t="s">
        <v>24</v>
      </c>
      <c r="D1139" s="6" t="s">
        <v>11204</v>
      </c>
      <c r="E1139" s="3" t="str">
        <f t="shared" si="1"/>
        <v>admit&lt;br&gt;&lt;div class="audio"&gt;[sound:admit.mp3]&lt;/div&gt;</v>
      </c>
      <c r="F1139" s="3" t="str">
        <f t="shared" si="2"/>
        <v>(v): thừa nhận</v>
      </c>
      <c r="G1139" s="6" t="s">
        <v>41819</v>
      </c>
      <c r="H1139" s="6" t="s">
        <v>41820</v>
      </c>
      <c r="I1139" s="7">
        <f t="shared" si="3"/>
        <v>0.2272216423</v>
      </c>
    </row>
    <row r="1140">
      <c r="A1140" s="4">
        <v>1140.0</v>
      </c>
      <c r="B1140" s="3" t="s">
        <v>41821</v>
      </c>
      <c r="C1140" s="6" t="s">
        <v>74</v>
      </c>
      <c r="D1140" s="6" t="s">
        <v>8357</v>
      </c>
      <c r="E1140" s="3" t="str">
        <f t="shared" si="1"/>
        <v>profit&lt;br&gt;&lt;div class="audio"&gt;[sound:profit.mp3]&lt;/div&gt;</v>
      </c>
      <c r="F1140" s="3" t="str">
        <f t="shared" si="2"/>
        <v>(n): lợi nhuận</v>
      </c>
      <c r="G1140" s="6" t="s">
        <v>41822</v>
      </c>
      <c r="H1140" s="6" t="s">
        <v>41823</v>
      </c>
      <c r="I1140" s="7">
        <f t="shared" si="3"/>
        <v>0.1288879358</v>
      </c>
    </row>
    <row r="1141">
      <c r="A1141" s="4">
        <v>1141.0</v>
      </c>
      <c r="B1141" s="3" t="s">
        <v>41824</v>
      </c>
      <c r="C1141" s="6" t="s">
        <v>11</v>
      </c>
      <c r="D1141" s="6" t="s">
        <v>31510</v>
      </c>
      <c r="E1141" s="3" t="str">
        <f t="shared" si="1"/>
        <v>fair&lt;br&gt;&lt;div class="audio"&gt;[sound:fair.mp3]&lt;/div&gt;</v>
      </c>
      <c r="F1141" s="3" t="str">
        <f t="shared" si="2"/>
        <v>(adj): công bằng</v>
      </c>
      <c r="G1141" s="6" t="s">
        <v>41825</v>
      </c>
      <c r="H1141" s="6" t="s">
        <v>41826</v>
      </c>
      <c r="I1141" s="7">
        <f t="shared" si="3"/>
        <v>0.1787000357</v>
      </c>
    </row>
    <row r="1142">
      <c r="A1142" s="4">
        <v>1142.0</v>
      </c>
      <c r="B1142" s="3" t="s">
        <v>41827</v>
      </c>
      <c r="C1142" s="6" t="s">
        <v>74</v>
      </c>
      <c r="D1142" s="8" t="s">
        <v>41828</v>
      </c>
      <c r="E1142" s="3" t="str">
        <f t="shared" si="1"/>
        <v>stream&lt;br&gt;&lt;div class="audio"&gt;[sound:stream.mp3]&lt;/div&gt;</v>
      </c>
      <c r="F1142" s="3" t="str">
        <f t="shared" si="2"/>
        <v>(n): dòng suối</v>
      </c>
      <c r="G1142" s="8" t="s">
        <v>41829</v>
      </c>
      <c r="H1142" s="8" t="s">
        <v>41830</v>
      </c>
      <c r="I1142" s="7">
        <f t="shared" si="3"/>
        <v>0.8886910465</v>
      </c>
    </row>
    <row r="1143">
      <c r="A1143" s="4">
        <v>1143.0</v>
      </c>
      <c r="B1143" s="3" t="s">
        <v>41831</v>
      </c>
      <c r="C1143" s="6" t="s">
        <v>74</v>
      </c>
      <c r="D1143" s="6" t="s">
        <v>41832</v>
      </c>
      <c r="E1143" s="3" t="str">
        <f t="shared" si="1"/>
        <v>track&lt;br&gt;&lt;div class="audio"&gt;[sound:track.mp3]&lt;/div&gt;</v>
      </c>
      <c r="F1143" s="3" t="str">
        <f t="shared" si="2"/>
        <v>(n): đường đua</v>
      </c>
      <c r="G1143" s="6" t="s">
        <v>41833</v>
      </c>
      <c r="H1143" s="6" t="s">
        <v>41834</v>
      </c>
      <c r="I1143" s="7">
        <f t="shared" si="3"/>
        <v>0.6544625927</v>
      </c>
    </row>
    <row r="1144">
      <c r="A1144" s="4">
        <v>1144.0</v>
      </c>
      <c r="B1144" s="3" t="s">
        <v>41835</v>
      </c>
      <c r="C1144" s="6" t="s">
        <v>74</v>
      </c>
      <c r="D1144" s="6" t="s">
        <v>1868</v>
      </c>
      <c r="E1144" s="3" t="str">
        <f t="shared" si="1"/>
        <v>weather&lt;br&gt;&lt;div class="audio"&gt;[sound:weather.mp3]&lt;/div&gt;</v>
      </c>
      <c r="F1144" s="3" t="str">
        <f t="shared" si="2"/>
        <v>(n): thời tiết</v>
      </c>
      <c r="G1144" s="6" t="s">
        <v>41836</v>
      </c>
      <c r="H1144" s="6" t="s">
        <v>41837</v>
      </c>
      <c r="I1144" s="7">
        <f t="shared" si="3"/>
        <v>0.8445689334</v>
      </c>
    </row>
    <row r="1145">
      <c r="A1145" s="4">
        <v>1145.0</v>
      </c>
      <c r="B1145" s="3" t="s">
        <v>41838</v>
      </c>
      <c r="C1145" s="6" t="s">
        <v>74</v>
      </c>
      <c r="D1145" s="6" t="s">
        <v>32934</v>
      </c>
      <c r="E1145" s="3" t="str">
        <f t="shared" si="1"/>
        <v>worker&lt;br&gt;&lt;div class="audio"&gt;[sound:worker.mp3]&lt;/div&gt;</v>
      </c>
      <c r="F1145" s="3" t="str">
        <f t="shared" si="2"/>
        <v>(n): công nhân</v>
      </c>
      <c r="G1145" s="6" t="s">
        <v>41839</v>
      </c>
      <c r="H1145" s="6" t="s">
        <v>41840</v>
      </c>
      <c r="I1145" s="7">
        <f t="shared" si="3"/>
        <v>0.9715071583</v>
      </c>
    </row>
    <row r="1146">
      <c r="A1146" s="4">
        <v>1146.0</v>
      </c>
      <c r="B1146" s="3" t="s">
        <v>41841</v>
      </c>
      <c r="C1146" s="6" t="s">
        <v>24</v>
      </c>
      <c r="D1146" s="6" t="s">
        <v>8500</v>
      </c>
      <c r="E1146" s="3" t="str">
        <f t="shared" si="1"/>
        <v>found&lt;br&gt;&lt;div class="audio"&gt;[sound:found.mp3]&lt;/div&gt;</v>
      </c>
      <c r="F1146" s="3" t="str">
        <f t="shared" si="2"/>
        <v>(v): thành lập</v>
      </c>
      <c r="G1146" s="6" t="s">
        <v>41842</v>
      </c>
      <c r="H1146" s="6" t="s">
        <v>41843</v>
      </c>
      <c r="I1146" s="7">
        <f t="shared" si="3"/>
        <v>0.6711830897</v>
      </c>
    </row>
    <row r="1147">
      <c r="A1147" s="4">
        <v>1147.0</v>
      </c>
      <c r="B1147" s="3" t="s">
        <v>41844</v>
      </c>
      <c r="C1147" s="6" t="s">
        <v>24</v>
      </c>
      <c r="D1147" s="6" t="s">
        <v>978</v>
      </c>
      <c r="E1147" s="3" t="str">
        <f t="shared" si="1"/>
        <v>perform&lt;br&gt;&lt;div class="audio"&gt;[sound:perform.mp3]&lt;/div&gt;</v>
      </c>
      <c r="F1147" s="3" t="str">
        <f t="shared" si="2"/>
        <v>(v): thực hiện</v>
      </c>
      <c r="G1147" s="6" t="s">
        <v>41845</v>
      </c>
      <c r="H1147" s="6" t="s">
        <v>41846</v>
      </c>
      <c r="I1147" s="7">
        <f t="shared" si="3"/>
        <v>0.421323928</v>
      </c>
    </row>
    <row r="1148">
      <c r="A1148" s="4">
        <v>1148.0</v>
      </c>
      <c r="B1148" s="3" t="s">
        <v>41847</v>
      </c>
      <c r="C1148" s="6" t="s">
        <v>24</v>
      </c>
      <c r="D1148" s="6" t="s">
        <v>4949</v>
      </c>
      <c r="E1148" s="3" t="str">
        <f t="shared" si="1"/>
        <v>announce&lt;br&gt;&lt;div class="audio"&gt;[sound:announce.mp3]&lt;/div&gt;</v>
      </c>
      <c r="F1148" s="3" t="str">
        <f t="shared" si="2"/>
        <v>(v): thông báo</v>
      </c>
      <c r="G1148" s="6" t="s">
        <v>41848</v>
      </c>
      <c r="H1148" s="6" t="s">
        <v>41849</v>
      </c>
      <c r="I1148" s="7">
        <f t="shared" si="3"/>
        <v>0.2481068167</v>
      </c>
    </row>
    <row r="1149">
      <c r="A1149" s="4">
        <v>1149.0</v>
      </c>
      <c r="B1149" s="3" t="s">
        <v>41850</v>
      </c>
      <c r="C1149" s="6" t="s">
        <v>74</v>
      </c>
      <c r="D1149" s="6" t="s">
        <v>7194</v>
      </c>
      <c r="E1149" s="3" t="str">
        <f t="shared" si="1"/>
        <v>function&lt;br&gt;&lt;div class="audio"&gt;[sound:function.mp3]&lt;/div&gt;</v>
      </c>
      <c r="F1149" s="3" t="str">
        <f t="shared" si="2"/>
        <v>(n): chức năng</v>
      </c>
      <c r="G1149" s="6" t="s">
        <v>41851</v>
      </c>
      <c r="H1149" s="6" t="s">
        <v>41852</v>
      </c>
      <c r="I1149" s="7">
        <f t="shared" si="3"/>
        <v>0.7347938892</v>
      </c>
    </row>
    <row r="1150">
      <c r="A1150" s="4">
        <v>1150.0</v>
      </c>
      <c r="B1150" s="3" t="s">
        <v>41853</v>
      </c>
      <c r="C1150" s="6" t="s">
        <v>11</v>
      </c>
      <c r="D1150" s="6" t="s">
        <v>41854</v>
      </c>
      <c r="E1150" s="3" t="str">
        <f t="shared" si="1"/>
        <v>essential&lt;br&gt;&lt;div class="audio"&gt;[sound:essential.mp3]&lt;/div&gt;</v>
      </c>
      <c r="F1150" s="3" t="str">
        <f t="shared" si="2"/>
        <v>(adj): thiết yếu</v>
      </c>
      <c r="G1150" s="6" t="s">
        <v>41855</v>
      </c>
      <c r="H1150" s="6" t="s">
        <v>41856</v>
      </c>
      <c r="I1150" s="7">
        <f t="shared" si="3"/>
        <v>0.8147292087</v>
      </c>
    </row>
    <row r="1151">
      <c r="A1151" s="4">
        <v>1151.0</v>
      </c>
      <c r="B1151" s="3" t="s">
        <v>41857</v>
      </c>
      <c r="C1151" s="6" t="s">
        <v>74</v>
      </c>
      <c r="D1151" s="6" t="s">
        <v>41858</v>
      </c>
      <c r="E1151" s="3" t="str">
        <f t="shared" si="1"/>
        <v>fun&lt;br&gt;&lt;div class="audio"&gt;[sound:fun.mp3]&lt;/div&gt;</v>
      </c>
      <c r="F1151" s="3" t="str">
        <f t="shared" si="2"/>
        <v>(n): sự vui vẻ</v>
      </c>
      <c r="G1151" s="6" t="s">
        <v>41859</v>
      </c>
      <c r="H1151" s="6" t="s">
        <v>41860</v>
      </c>
      <c r="I1151" s="7">
        <f t="shared" si="3"/>
        <v>0.0245481189</v>
      </c>
    </row>
    <row r="1152">
      <c r="A1152" s="4">
        <v>1152.0</v>
      </c>
      <c r="B1152" s="3" t="s">
        <v>41861</v>
      </c>
      <c r="C1152" s="6" t="s">
        <v>11</v>
      </c>
      <c r="D1152" s="6" t="s">
        <v>2032</v>
      </c>
      <c r="E1152" s="3" t="str">
        <f t="shared" si="1"/>
        <v>amazing&lt;br&gt;&lt;div class="audio"&gt;[sound:amazing.mp3]&lt;/div&gt;</v>
      </c>
      <c r="F1152" s="3" t="str">
        <f t="shared" si="2"/>
        <v>(adj): tuyệt vời</v>
      </c>
      <c r="G1152" s="6" t="s">
        <v>41862</v>
      </c>
      <c r="H1152" s="6" t="s">
        <v>41863</v>
      </c>
      <c r="I1152" s="7">
        <f t="shared" si="3"/>
        <v>0.2782560494</v>
      </c>
    </row>
    <row r="1153">
      <c r="A1153" s="4">
        <v>1153.0</v>
      </c>
      <c r="B1153" s="3" t="s">
        <v>41864</v>
      </c>
      <c r="C1153" s="6" t="s">
        <v>74</v>
      </c>
      <c r="D1153" s="6" t="s">
        <v>3309</v>
      </c>
      <c r="E1153" s="3" t="str">
        <f t="shared" si="1"/>
        <v>conference&lt;br&gt;&lt;div class="audio"&gt;[sound:conference.mp3]&lt;/div&gt;</v>
      </c>
      <c r="F1153" s="3" t="str">
        <f t="shared" si="2"/>
        <v>(n): hội nghị</v>
      </c>
      <c r="G1153" s="6" t="s">
        <v>41865</v>
      </c>
      <c r="H1153" s="6" t="s">
        <v>41866</v>
      </c>
      <c r="I1153" s="7">
        <f t="shared" si="3"/>
        <v>0.1989171864</v>
      </c>
    </row>
    <row r="1154">
      <c r="A1154" s="4">
        <v>1154.0</v>
      </c>
      <c r="B1154" s="3" t="s">
        <v>41867</v>
      </c>
      <c r="C1154" s="6" t="s">
        <v>74</v>
      </c>
      <c r="D1154" s="6" t="s">
        <v>22545</v>
      </c>
      <c r="E1154" s="3" t="str">
        <f t="shared" si="1"/>
        <v>conflict&lt;br&gt;&lt;div class="audio"&gt;[sound:conflict.mp3]&lt;/div&gt;</v>
      </c>
      <c r="F1154" s="3" t="str">
        <f t="shared" si="2"/>
        <v>(n): xung đột</v>
      </c>
      <c r="G1154" s="6" t="s">
        <v>41868</v>
      </c>
      <c r="H1154" s="6" t="s">
        <v>41869</v>
      </c>
      <c r="I1154" s="7">
        <f t="shared" si="3"/>
        <v>0.5271682905</v>
      </c>
    </row>
    <row r="1155">
      <c r="A1155" s="4">
        <v>1155.0</v>
      </c>
      <c r="B1155" s="3" t="s">
        <v>41870</v>
      </c>
      <c r="C1155" s="6" t="s">
        <v>11</v>
      </c>
      <c r="D1155" s="6" t="s">
        <v>16378</v>
      </c>
      <c r="E1155" s="3" t="str">
        <f t="shared" si="1"/>
        <v>careful&lt;br&gt;&lt;div class="audio"&gt;[sound:careful.mp3]&lt;/div&gt;</v>
      </c>
      <c r="F1155" s="3" t="str">
        <f t="shared" si="2"/>
        <v>(adj): cẩn thận</v>
      </c>
      <c r="G1155" s="6" t="s">
        <v>41871</v>
      </c>
      <c r="H1155" s="6" t="s">
        <v>41872</v>
      </c>
      <c r="I1155" s="7">
        <f t="shared" si="3"/>
        <v>0.8894386883</v>
      </c>
    </row>
    <row r="1156">
      <c r="A1156" s="4">
        <v>1156.0</v>
      </c>
      <c r="B1156" s="3" t="s">
        <v>41873</v>
      </c>
      <c r="C1156" s="6" t="s">
        <v>24</v>
      </c>
      <c r="D1156" s="6" t="s">
        <v>14292</v>
      </c>
      <c r="E1156" s="3" t="str">
        <f t="shared" si="1"/>
        <v>fix&lt;br&gt;&lt;div class="audio"&gt;[sound:fix.mp3]&lt;/div&gt;</v>
      </c>
      <c r="F1156" s="3" t="str">
        <f t="shared" si="2"/>
        <v>(v): sửa chữa</v>
      </c>
      <c r="G1156" s="6" t="s">
        <v>41874</v>
      </c>
      <c r="H1156" s="6" t="s">
        <v>41875</v>
      </c>
      <c r="I1156" s="7">
        <f t="shared" si="3"/>
        <v>0.0964147979</v>
      </c>
    </row>
    <row r="1157">
      <c r="A1157" s="4">
        <v>1157.0</v>
      </c>
      <c r="B1157" s="3" t="s">
        <v>41876</v>
      </c>
      <c r="C1157" s="6" t="s">
        <v>74</v>
      </c>
      <c r="D1157" s="6" t="s">
        <v>29469</v>
      </c>
      <c r="E1157" s="3" t="str">
        <f t="shared" si="1"/>
        <v>appearance&lt;br&gt;&lt;div class="audio"&gt;[sound:appearance.mp3]&lt;/div&gt;</v>
      </c>
      <c r="F1157" s="3" t="str">
        <f t="shared" si="2"/>
        <v>(n): vẻ ngoài</v>
      </c>
      <c r="G1157" s="6" t="s">
        <v>41877</v>
      </c>
      <c r="H1157" s="6" t="s">
        <v>41878</v>
      </c>
      <c r="I1157" s="7">
        <f t="shared" si="3"/>
        <v>0.2188535167</v>
      </c>
    </row>
    <row r="1158">
      <c r="A1158" s="4">
        <v>1158.0</v>
      </c>
      <c r="B1158" s="3" t="s">
        <v>41879</v>
      </c>
      <c r="C1158" s="6" t="s">
        <v>74</v>
      </c>
      <c r="D1158" s="6" t="s">
        <v>9573</v>
      </c>
      <c r="E1158" s="3" t="str">
        <f t="shared" si="1"/>
        <v>category&lt;br&gt;&lt;div class="audio"&gt;[sound:category.mp3]&lt;/div&gt;</v>
      </c>
      <c r="F1158" s="3" t="str">
        <f t="shared" si="2"/>
        <v>(n): hạng mục</v>
      </c>
      <c r="G1158" s="6" t="s">
        <v>41880</v>
      </c>
      <c r="H1158" s="6" t="s">
        <v>41881</v>
      </c>
      <c r="I1158" s="7">
        <f t="shared" si="3"/>
        <v>0.9535475467</v>
      </c>
    </row>
    <row r="1159">
      <c r="A1159" s="4">
        <v>1159.0</v>
      </c>
      <c r="B1159" s="3" t="s">
        <v>41882</v>
      </c>
      <c r="C1159" s="6" t="s">
        <v>74</v>
      </c>
      <c r="D1159" s="6" t="s">
        <v>2563</v>
      </c>
      <c r="E1159" s="3" t="str">
        <f t="shared" si="1"/>
        <v>insurance&lt;br&gt;&lt;div class="audio"&gt;[sound:insurance.mp3]&lt;/div&gt;</v>
      </c>
      <c r="F1159" s="3" t="str">
        <f t="shared" si="2"/>
        <v>(n): bảo hiểm</v>
      </c>
      <c r="G1159" s="6" t="s">
        <v>41883</v>
      </c>
      <c r="H1159" s="6" t="s">
        <v>41884</v>
      </c>
      <c r="I1159" s="7">
        <f t="shared" si="3"/>
        <v>0.8494245649</v>
      </c>
    </row>
    <row r="1160">
      <c r="A1160" s="4">
        <v>1160.0</v>
      </c>
      <c r="B1160" s="3" t="s">
        <v>41885</v>
      </c>
      <c r="C1160" s="6" t="s">
        <v>24</v>
      </c>
      <c r="D1160" s="6" t="s">
        <v>2236</v>
      </c>
      <c r="E1160" s="3" t="str">
        <f t="shared" si="1"/>
        <v>gain&lt;br&gt;&lt;div class="audio"&gt;[sound:gain.mp3]&lt;/div&gt;</v>
      </c>
      <c r="F1160" s="3" t="str">
        <f t="shared" si="2"/>
        <v>(v): đạt được</v>
      </c>
      <c r="G1160" s="6" t="s">
        <v>41886</v>
      </c>
      <c r="H1160" s="6" t="s">
        <v>41887</v>
      </c>
      <c r="I1160" s="7">
        <f t="shared" si="3"/>
        <v>0.0630880437</v>
      </c>
    </row>
    <row r="1161">
      <c r="A1161" s="4">
        <v>1161.0</v>
      </c>
      <c r="B1161" s="3" t="s">
        <v>41888</v>
      </c>
      <c r="C1161" s="6" t="s">
        <v>74</v>
      </c>
      <c r="D1161" s="6" t="s">
        <v>1903</v>
      </c>
      <c r="E1161" s="3" t="str">
        <f t="shared" si="1"/>
        <v>citizen&lt;br&gt;&lt;div class="audio"&gt;[sound:citizen.mp3]&lt;/div&gt;</v>
      </c>
      <c r="F1161" s="3" t="str">
        <f t="shared" si="2"/>
        <v>(n): công dân</v>
      </c>
      <c r="G1161" s="6" t="s">
        <v>41889</v>
      </c>
      <c r="H1161" s="6" t="s">
        <v>41890</v>
      </c>
      <c r="I1161" s="7">
        <f t="shared" si="3"/>
        <v>0.4862027157</v>
      </c>
    </row>
    <row r="1162">
      <c r="A1162" s="4">
        <v>1162.0</v>
      </c>
      <c r="B1162" s="3" t="s">
        <v>41891</v>
      </c>
      <c r="C1162" s="6" t="s">
        <v>24</v>
      </c>
      <c r="D1162" s="6" t="s">
        <v>4690</v>
      </c>
      <c r="E1162" s="3" t="str">
        <f t="shared" si="1"/>
        <v>providing&lt;br&gt;&lt;div class="audio"&gt;[sound:providing.mp3]&lt;/div&gt;</v>
      </c>
      <c r="F1162" s="3" t="str">
        <f t="shared" si="2"/>
        <v>(v): cung cấp</v>
      </c>
      <c r="G1162" s="6" t="s">
        <v>41892</v>
      </c>
      <c r="H1162" s="6" t="s">
        <v>41893</v>
      </c>
      <c r="I1162" s="7">
        <f t="shared" si="3"/>
        <v>0.6039010667</v>
      </c>
    </row>
    <row r="1163">
      <c r="A1163" s="4">
        <v>1163.0</v>
      </c>
      <c r="B1163" s="3" t="s">
        <v>41894</v>
      </c>
      <c r="C1163" s="6" t="s">
        <v>63</v>
      </c>
      <c r="D1163" s="6" t="s">
        <v>41895</v>
      </c>
      <c r="E1163" s="3" t="str">
        <f t="shared" si="1"/>
        <v>onto&lt;br&gt;&lt;div class="audio"&gt;[sound:onto.mp3]&lt;/div&gt;</v>
      </c>
      <c r="F1163" s="3" t="str">
        <f t="shared" si="2"/>
        <v>(prep): lên trên</v>
      </c>
      <c r="G1163" s="6" t="s">
        <v>41896</v>
      </c>
      <c r="H1163" s="6" t="s">
        <v>41897</v>
      </c>
      <c r="I1163" s="7">
        <f t="shared" si="3"/>
        <v>0.6136128958</v>
      </c>
    </row>
    <row r="1164">
      <c r="A1164" s="4">
        <v>1164.0</v>
      </c>
      <c r="B1164" s="3" t="s">
        <v>41898</v>
      </c>
      <c r="C1164" s="6" t="s">
        <v>11</v>
      </c>
      <c r="D1164" s="6" t="s">
        <v>41899</v>
      </c>
      <c r="E1164" s="3" t="str">
        <f t="shared" si="1"/>
        <v>physical&lt;br&gt;&lt;div class="audio"&gt;[sound:physical.mp3]&lt;/div&gt;</v>
      </c>
      <c r="F1164" s="3" t="str">
        <f t="shared" si="2"/>
        <v>(adj): thể chất</v>
      </c>
      <c r="G1164" s="6" t="s">
        <v>41900</v>
      </c>
      <c r="H1164" s="6" t="s">
        <v>41901</v>
      </c>
      <c r="I1164" s="7">
        <f t="shared" si="3"/>
        <v>0.7036287776</v>
      </c>
    </row>
    <row r="1165">
      <c r="A1165" s="4">
        <v>1165.0</v>
      </c>
      <c r="B1165" s="3" t="s">
        <v>41902</v>
      </c>
      <c r="C1165" s="6" t="s">
        <v>24</v>
      </c>
      <c r="D1165" s="6" t="s">
        <v>5740</v>
      </c>
      <c r="E1165" s="3" t="str">
        <f t="shared" si="1"/>
        <v>represent&lt;br&gt;&lt;div class="audio"&gt;[sound:represent.mp3]&lt;/div&gt;</v>
      </c>
      <c r="F1165" s="3" t="str">
        <f t="shared" si="2"/>
        <v>(v): đại diện</v>
      </c>
      <c r="G1165" s="6" t="s">
        <v>41903</v>
      </c>
      <c r="H1165" s="6" t="s">
        <v>41904</v>
      </c>
      <c r="I1165" s="7">
        <f t="shared" si="3"/>
        <v>0.6666345908</v>
      </c>
    </row>
    <row r="1166">
      <c r="A1166" s="4">
        <v>1166.0</v>
      </c>
      <c r="B1166" s="3" t="s">
        <v>41905</v>
      </c>
      <c r="C1166" s="6" t="s">
        <v>74</v>
      </c>
      <c r="D1166" s="6" t="s">
        <v>41906</v>
      </c>
      <c r="E1166" s="3" t="str">
        <f t="shared" si="1"/>
        <v>reaction&lt;br&gt;&lt;div class="audio"&gt;[sound:reaction.mp3]&lt;/div&gt;</v>
      </c>
      <c r="F1166" s="3" t="str">
        <f t="shared" si="2"/>
        <v>(n): phản ứng</v>
      </c>
      <c r="G1166" s="6" t="s">
        <v>41907</v>
      </c>
      <c r="H1166" s="6" t="s">
        <v>41908</v>
      </c>
      <c r="I1166" s="7">
        <f t="shared" si="3"/>
        <v>0.5858123725</v>
      </c>
    </row>
    <row r="1167">
      <c r="A1167" s="4">
        <v>1167.0</v>
      </c>
      <c r="B1167" s="3" t="s">
        <v>41909</v>
      </c>
      <c r="C1167" s="6" t="s">
        <v>24</v>
      </c>
      <c r="D1167" s="6" t="s">
        <v>41910</v>
      </c>
      <c r="E1167" s="3" t="str">
        <f t="shared" si="1"/>
        <v>assume&lt;br&gt;&lt;div class="audio"&gt;[sound:assume.mp3]&lt;/div&gt;</v>
      </c>
      <c r="F1167" s="3" t="str">
        <f t="shared" si="2"/>
        <v>(v): cho rằng</v>
      </c>
      <c r="G1167" s="6" t="s">
        <v>41911</v>
      </c>
      <c r="H1167" s="6" t="s">
        <v>41912</v>
      </c>
      <c r="I1167" s="7">
        <f t="shared" si="3"/>
        <v>0.9832251169</v>
      </c>
    </row>
    <row r="1168">
      <c r="A1168" s="4">
        <v>1168.0</v>
      </c>
      <c r="B1168" s="3" t="s">
        <v>41913</v>
      </c>
      <c r="C1168" s="6" t="s">
        <v>24</v>
      </c>
      <c r="D1168" s="6" t="s">
        <v>8294</v>
      </c>
      <c r="E1168" s="3" t="str">
        <f t="shared" si="1"/>
        <v>conclude&lt;br&gt;&lt;div class="audio"&gt;[sound:conclude.mp3]&lt;/div&gt;</v>
      </c>
      <c r="F1168" s="3" t="str">
        <f t="shared" si="2"/>
        <v>(v): kết luận</v>
      </c>
      <c r="G1168" s="6" t="s">
        <v>41914</v>
      </c>
      <c r="H1168" s="6" t="s">
        <v>41915</v>
      </c>
      <c r="I1168" s="7">
        <f t="shared" si="3"/>
        <v>0.4478331908</v>
      </c>
    </row>
    <row r="1169">
      <c r="A1169" s="4">
        <v>1169.0</v>
      </c>
      <c r="B1169" s="3" t="s">
        <v>41916</v>
      </c>
      <c r="C1169" s="6" t="s">
        <v>74</v>
      </c>
      <c r="D1169" s="6" t="s">
        <v>21729</v>
      </c>
      <c r="E1169" s="3" t="str">
        <f t="shared" si="1"/>
        <v>impression&lt;br&gt;&lt;div class="audio"&gt;[sound:impression.mp3]&lt;/div&gt;</v>
      </c>
      <c r="F1169" s="3" t="str">
        <f t="shared" si="2"/>
        <v>(n): ấn tượng</v>
      </c>
      <c r="G1169" s="6" t="s">
        <v>41917</v>
      </c>
      <c r="H1169" s="6" t="s">
        <v>41918</v>
      </c>
      <c r="I1169" s="7">
        <f t="shared" si="3"/>
        <v>0.8589268136</v>
      </c>
    </row>
    <row r="1170">
      <c r="A1170" s="4">
        <v>1170.0</v>
      </c>
      <c r="B1170" s="3" t="s">
        <v>41919</v>
      </c>
      <c r="C1170" s="6" t="s">
        <v>74</v>
      </c>
      <c r="D1170" s="6" t="s">
        <v>41920</v>
      </c>
      <c r="E1170" s="3" t="str">
        <f t="shared" si="1"/>
        <v>trust&lt;br&gt;&lt;div class="audio"&gt;[sound:trust.mp3]&lt;/div&gt;</v>
      </c>
      <c r="F1170" s="3" t="str">
        <f t="shared" si="2"/>
        <v>(n): niềm tin</v>
      </c>
      <c r="G1170" s="6" t="s">
        <v>41921</v>
      </c>
      <c r="H1170" s="6" t="s">
        <v>41922</v>
      </c>
      <c r="I1170" s="7">
        <f t="shared" si="3"/>
        <v>0.8779971059</v>
      </c>
    </row>
    <row r="1171">
      <c r="A1171" s="4">
        <v>1171.0</v>
      </c>
      <c r="B1171" s="3" t="s">
        <v>41923</v>
      </c>
      <c r="C1171" s="6" t="s">
        <v>24</v>
      </c>
      <c r="D1171" s="6" t="s">
        <v>4010</v>
      </c>
      <c r="E1171" s="3" t="str">
        <f t="shared" si="1"/>
        <v>replace&lt;br&gt;&lt;div class="audio"&gt;[sound:replace.mp3]&lt;/div&gt;</v>
      </c>
      <c r="F1171" s="3" t="str">
        <f t="shared" si="2"/>
        <v>(v): thay thế</v>
      </c>
      <c r="G1171" s="6" t="s">
        <v>41924</v>
      </c>
      <c r="H1171" s="6" t="s">
        <v>41925</v>
      </c>
      <c r="I1171" s="7">
        <f t="shared" si="3"/>
        <v>0.3873812502</v>
      </c>
    </row>
    <row r="1172">
      <c r="A1172" s="4">
        <v>1172.0</v>
      </c>
      <c r="B1172" s="3" t="s">
        <v>41926</v>
      </c>
      <c r="C1172" s="6" t="s">
        <v>85</v>
      </c>
      <c r="D1172" s="6" t="s">
        <v>16846</v>
      </c>
      <c r="E1172" s="3" t="str">
        <f t="shared" si="1"/>
        <v>largely&lt;br&gt;&lt;div class="audio"&gt;[sound:largely.mp3]&lt;/div&gt;</v>
      </c>
      <c r="F1172" s="3" t="str">
        <f t="shared" si="2"/>
        <v>(adv): phần lớn</v>
      </c>
      <c r="G1172" s="6" t="s">
        <v>41927</v>
      </c>
      <c r="H1172" s="6" t="s">
        <v>41928</v>
      </c>
      <c r="I1172" s="7">
        <f t="shared" si="3"/>
        <v>0.4328496125</v>
      </c>
    </row>
    <row r="1173">
      <c r="A1173" s="4">
        <v>1173.0</v>
      </c>
      <c r="B1173" s="3" t="s">
        <v>41929</v>
      </c>
      <c r="C1173" s="6" t="s">
        <v>74</v>
      </c>
      <c r="D1173" s="6" t="s">
        <v>27660</v>
      </c>
      <c r="E1173" s="3" t="str">
        <f t="shared" si="1"/>
        <v>breakfast&lt;br&gt;&lt;div class="audio"&gt;[sound:breakfast.mp3]&lt;/div&gt;</v>
      </c>
      <c r="F1173" s="3" t="str">
        <f t="shared" si="2"/>
        <v>(n): bữa sáng</v>
      </c>
      <c r="G1173" s="6" t="s">
        <v>41930</v>
      </c>
      <c r="H1173" s="6" t="s">
        <v>41931</v>
      </c>
      <c r="I1173" s="7">
        <f t="shared" si="3"/>
        <v>0.7844381747</v>
      </c>
    </row>
    <row r="1174">
      <c r="A1174" s="4">
        <v>1174.0</v>
      </c>
      <c r="B1174" s="3" t="s">
        <v>41932</v>
      </c>
      <c r="C1174" s="6" t="s">
        <v>24</v>
      </c>
      <c r="D1174" s="6" t="s">
        <v>40773</v>
      </c>
      <c r="E1174" s="3" t="str">
        <f t="shared" si="1"/>
        <v>respond&lt;br&gt;&lt;div class="audio"&gt;[sound:respond.mp3]&lt;/div&gt;</v>
      </c>
      <c r="F1174" s="3" t="str">
        <f t="shared" si="2"/>
        <v>(v): phản hồi</v>
      </c>
      <c r="G1174" s="6" t="s">
        <v>41933</v>
      </c>
      <c r="H1174" s="6" t="s">
        <v>41934</v>
      </c>
      <c r="I1174" s="7">
        <f t="shared" si="3"/>
        <v>0.2141508325</v>
      </c>
    </row>
    <row r="1175">
      <c r="A1175" s="4">
        <v>1175.0</v>
      </c>
      <c r="B1175" s="3" t="s">
        <v>41935</v>
      </c>
      <c r="C1175" s="6" t="s">
        <v>74</v>
      </c>
      <c r="D1175" s="6" t="s">
        <v>5371</v>
      </c>
      <c r="E1175" s="3" t="str">
        <f t="shared" si="1"/>
        <v>coat&lt;br&gt;&lt;div class="audio"&gt;[sound:coat.mp3]&lt;/div&gt;</v>
      </c>
      <c r="F1175" s="3" t="str">
        <f t="shared" si="2"/>
        <v>(n): áo khoác</v>
      </c>
      <c r="G1175" s="6" t="s">
        <v>41936</v>
      </c>
      <c r="H1175" s="6" t="s">
        <v>41937</v>
      </c>
      <c r="I1175" s="7">
        <f t="shared" si="3"/>
        <v>0.7745181791</v>
      </c>
    </row>
    <row r="1176">
      <c r="A1176" s="4">
        <v>1176.0</v>
      </c>
      <c r="B1176" s="3" t="s">
        <v>41938</v>
      </c>
      <c r="C1176" s="6" t="s">
        <v>74</v>
      </c>
      <c r="D1176" s="6" t="s">
        <v>8294</v>
      </c>
      <c r="E1176" s="3" t="str">
        <f t="shared" si="1"/>
        <v>conclusion&lt;br&gt;&lt;div class="audio"&gt;[sound:conclusion.mp3]&lt;/div&gt;</v>
      </c>
      <c r="F1176" s="3" t="str">
        <f t="shared" si="2"/>
        <v>(n): kết luận</v>
      </c>
      <c r="G1176" s="6" t="s">
        <v>41939</v>
      </c>
      <c r="H1176" s="6" t="s">
        <v>41940</v>
      </c>
      <c r="I1176" s="7">
        <f t="shared" si="3"/>
        <v>0.06999274423</v>
      </c>
    </row>
    <row r="1177">
      <c r="A1177" s="4">
        <v>1177.0</v>
      </c>
      <c r="B1177" s="3" t="s">
        <v>41941</v>
      </c>
      <c r="C1177" s="6" t="s">
        <v>74</v>
      </c>
      <c r="D1177" s="6" t="s">
        <v>41942</v>
      </c>
      <c r="E1177" s="3" t="str">
        <f t="shared" si="1"/>
        <v>reading&lt;br&gt;&lt;div class="audio"&gt;[sound:reading.mp3]&lt;/div&gt;</v>
      </c>
      <c r="F1177" s="3" t="str">
        <f t="shared" si="2"/>
        <v>(n): việc đọc</v>
      </c>
      <c r="G1177" s="6" t="s">
        <v>41943</v>
      </c>
      <c r="H1177" s="6" t="s">
        <v>41944</v>
      </c>
      <c r="I1177" s="7">
        <f t="shared" si="3"/>
        <v>0.7848066677</v>
      </c>
    </row>
    <row r="1178">
      <c r="A1178" s="4">
        <v>1178.0</v>
      </c>
      <c r="B1178" s="3" t="s">
        <v>41945</v>
      </c>
      <c r="C1178" s="6" t="s">
        <v>74</v>
      </c>
      <c r="D1178" s="6" t="s">
        <v>4095</v>
      </c>
      <c r="E1178" s="3" t="str">
        <f t="shared" si="1"/>
        <v>message&lt;br&gt;&lt;div class="audio"&gt;[sound:message.mp3]&lt;/div&gt;</v>
      </c>
      <c r="F1178" s="3" t="str">
        <f t="shared" si="2"/>
        <v>(n): tin nhắn</v>
      </c>
      <c r="G1178" s="6" t="s">
        <v>41946</v>
      </c>
      <c r="H1178" s="6" t="s">
        <v>41947</v>
      </c>
      <c r="I1178" s="7">
        <f t="shared" si="3"/>
        <v>0.8855635351</v>
      </c>
    </row>
    <row r="1179">
      <c r="A1179" s="4">
        <v>1179.0</v>
      </c>
      <c r="B1179" s="3" t="s">
        <v>41948</v>
      </c>
      <c r="C1179" s="6" t="s">
        <v>74</v>
      </c>
      <c r="D1179" s="8" t="s">
        <v>7253</v>
      </c>
      <c r="E1179" s="3" t="str">
        <f t="shared" si="1"/>
        <v>spring&lt;br&gt;&lt;div class="audio"&gt;[sound:spring.mp3]&lt;/div&gt;</v>
      </c>
      <c r="F1179" s="3" t="str">
        <f t="shared" si="2"/>
        <v>(n): mùa xuân</v>
      </c>
      <c r="G1179" s="8" t="s">
        <v>41949</v>
      </c>
      <c r="H1179" s="8" t="s">
        <v>41950</v>
      </c>
      <c r="I1179" s="7">
        <f t="shared" si="3"/>
        <v>0.01779714078</v>
      </c>
    </row>
    <row r="1180">
      <c r="A1180" s="4">
        <v>1180.0</v>
      </c>
      <c r="B1180" s="3" t="s">
        <v>41951</v>
      </c>
      <c r="C1180" s="6" t="s">
        <v>11</v>
      </c>
      <c r="D1180" s="6" t="s">
        <v>7862</v>
      </c>
      <c r="E1180" s="3" t="str">
        <f t="shared" si="1"/>
        <v>active&lt;br&gt;&lt;div class="audio"&gt;[sound:active.mp3]&lt;/div&gt;</v>
      </c>
      <c r="F1180" s="3" t="str">
        <f t="shared" si="2"/>
        <v>(adj): tích cực</v>
      </c>
      <c r="G1180" s="6" t="s">
        <v>41952</v>
      </c>
      <c r="H1180" s="6" t="s">
        <v>41953</v>
      </c>
      <c r="I1180" s="7">
        <f t="shared" si="3"/>
        <v>0.39343844</v>
      </c>
    </row>
    <row r="1181">
      <c r="A1181" s="4">
        <v>1181.0</v>
      </c>
      <c r="B1181" s="3" t="s">
        <v>41954</v>
      </c>
      <c r="C1181" s="6" t="s">
        <v>74</v>
      </c>
      <c r="D1181" s="6" t="s">
        <v>1245</v>
      </c>
      <c r="E1181" s="3" t="str">
        <f t="shared" si="1"/>
        <v>background&lt;br&gt;&lt;div class="audio"&gt;[sound:background.mp3]&lt;/div&gt;</v>
      </c>
      <c r="F1181" s="3" t="str">
        <f t="shared" si="2"/>
        <v>(n): bối cảnh</v>
      </c>
      <c r="G1181" s="6" t="s">
        <v>41955</v>
      </c>
      <c r="H1181" s="6" t="s">
        <v>41956</v>
      </c>
      <c r="I1181" s="7">
        <f t="shared" si="3"/>
        <v>0.5308566353</v>
      </c>
    </row>
    <row r="1182">
      <c r="A1182" s="4">
        <v>1182.0</v>
      </c>
      <c r="B1182" s="3" t="s">
        <v>41957</v>
      </c>
      <c r="C1182" s="6" t="s">
        <v>74</v>
      </c>
      <c r="D1182" s="6" t="s">
        <v>14588</v>
      </c>
      <c r="E1182" s="3" t="str">
        <f t="shared" si="1"/>
        <v>animal&lt;br&gt;&lt;div class="audio"&gt;[sound:animal.mp3]&lt;/div&gt;</v>
      </c>
      <c r="F1182" s="3" t="str">
        <f t="shared" si="2"/>
        <v>(n): động vật</v>
      </c>
      <c r="G1182" s="6" t="s">
        <v>41958</v>
      </c>
      <c r="H1182" s="6" t="s">
        <v>41959</v>
      </c>
      <c r="I1182" s="7">
        <f t="shared" si="3"/>
        <v>0.9165111751</v>
      </c>
    </row>
    <row r="1183">
      <c r="A1183" s="4">
        <v>1183.0</v>
      </c>
      <c r="B1183" s="3" t="s">
        <v>41960</v>
      </c>
      <c r="C1183" s="6" t="s">
        <v>74</v>
      </c>
      <c r="D1183" s="6" t="s">
        <v>14713</v>
      </c>
      <c r="E1183" s="3" t="str">
        <f t="shared" si="1"/>
        <v>audience&lt;br&gt;&lt;div class="audio"&gt;[sound:audience.mp3]&lt;/div&gt;</v>
      </c>
      <c r="F1183" s="3" t="str">
        <f t="shared" si="2"/>
        <v>(n): khán giả</v>
      </c>
      <c r="G1183" s="6" t="s">
        <v>41961</v>
      </c>
      <c r="H1183" s="6" t="s">
        <v>41962</v>
      </c>
      <c r="I1183" s="7">
        <f t="shared" si="3"/>
        <v>0.7711767527</v>
      </c>
    </row>
    <row r="1184">
      <c r="A1184" s="4">
        <v>1184.0</v>
      </c>
      <c r="B1184" s="3" t="s">
        <v>41963</v>
      </c>
      <c r="C1184" s="6" t="s">
        <v>74</v>
      </c>
      <c r="D1184" s="6" t="s">
        <v>14413</v>
      </c>
      <c r="E1184" s="3" t="str">
        <f t="shared" si="1"/>
        <v>candidate&lt;br&gt;&lt;div class="audio"&gt;[sound:candidate.mp3]&lt;/div&gt;</v>
      </c>
      <c r="F1184" s="3" t="str">
        <f t="shared" si="2"/>
        <v>(n): ứng viên</v>
      </c>
      <c r="G1184" s="6" t="s">
        <v>41964</v>
      </c>
      <c r="H1184" s="6" t="s">
        <v>41965</v>
      </c>
      <c r="I1184" s="7">
        <f t="shared" si="3"/>
        <v>0.432406385</v>
      </c>
    </row>
    <row r="1185">
      <c r="A1185" s="4">
        <v>1185.0</v>
      </c>
      <c r="B1185" s="3" t="s">
        <v>41966</v>
      </c>
      <c r="C1185" s="6" t="s">
        <v>74</v>
      </c>
      <c r="D1185" s="6" t="s">
        <v>23274</v>
      </c>
      <c r="E1185" s="3" t="str">
        <f t="shared" si="1"/>
        <v>chairman&lt;br&gt;&lt;div class="audio"&gt;[sound:chairman.mp3]&lt;/div&gt;</v>
      </c>
      <c r="F1185" s="3" t="str">
        <f t="shared" si="2"/>
        <v>(n): chủ tịch</v>
      </c>
      <c r="G1185" s="6" t="s">
        <v>41967</v>
      </c>
      <c r="H1185" s="6" t="s">
        <v>41968</v>
      </c>
      <c r="I1185" s="7">
        <f t="shared" si="3"/>
        <v>0.3271454418</v>
      </c>
    </row>
    <row r="1186">
      <c r="A1186" s="4">
        <v>1186.0</v>
      </c>
      <c r="B1186" s="3" t="s">
        <v>41969</v>
      </c>
      <c r="C1186" s="6" t="s">
        <v>74</v>
      </c>
      <c r="D1186" s="6" t="s">
        <v>41970</v>
      </c>
      <c r="E1186" s="3" t="str">
        <f t="shared" si="1"/>
        <v>employment&lt;br&gt;&lt;div class="audio"&gt;[sound:employment.mp3]&lt;/div&gt;</v>
      </c>
      <c r="F1186" s="3" t="str">
        <f t="shared" si="2"/>
        <v>(n): việc làm</v>
      </c>
      <c r="G1186" s="6" t="s">
        <v>41971</v>
      </c>
      <c r="H1186" s="6" t="s">
        <v>41972</v>
      </c>
      <c r="I1186" s="7">
        <f t="shared" si="3"/>
        <v>0.6181921611</v>
      </c>
    </row>
    <row r="1187">
      <c r="A1187" s="4">
        <v>1187.0</v>
      </c>
      <c r="B1187" s="3" t="s">
        <v>41973</v>
      </c>
      <c r="C1187" s="6" t="s">
        <v>11</v>
      </c>
      <c r="D1187" s="6" t="s">
        <v>10441</v>
      </c>
      <c r="E1187" s="3" t="str">
        <f t="shared" si="1"/>
        <v>quiet&lt;br&gt;&lt;div class="audio"&gt;[sound:quiet.mp3]&lt;/div&gt;</v>
      </c>
      <c r="F1187" s="3" t="str">
        <f t="shared" si="2"/>
        <v>(adj): yên tĩnh</v>
      </c>
      <c r="G1187" s="6" t="s">
        <v>41974</v>
      </c>
      <c r="H1187" s="6" t="s">
        <v>41975</v>
      </c>
      <c r="I1187" s="7">
        <f t="shared" si="3"/>
        <v>0.1473979482</v>
      </c>
    </row>
    <row r="1188">
      <c r="A1188" s="4">
        <v>1188.0</v>
      </c>
      <c r="B1188" s="3" t="s">
        <v>41976</v>
      </c>
      <c r="C1188" s="6" t="s">
        <v>74</v>
      </c>
      <c r="D1188" s="6" t="s">
        <v>196</v>
      </c>
      <c r="E1188" s="3" t="str">
        <f t="shared" si="1"/>
        <v>nation&lt;br&gt;&lt;div class="audio"&gt;[sound:nation.mp3]&lt;/div&gt;</v>
      </c>
      <c r="F1188" s="3" t="str">
        <f t="shared" si="2"/>
        <v>(n): quốc gia</v>
      </c>
      <c r="G1188" s="6" t="s">
        <v>41977</v>
      </c>
      <c r="H1188" s="6" t="s">
        <v>41978</v>
      </c>
      <c r="I1188" s="7">
        <f t="shared" si="3"/>
        <v>0.9783214642</v>
      </c>
    </row>
    <row r="1189">
      <c r="A1189" s="4">
        <v>1189.0</v>
      </c>
      <c r="B1189" s="3" t="s">
        <v>41979</v>
      </c>
      <c r="C1189" s="6" t="s">
        <v>11</v>
      </c>
      <c r="D1189" s="6" t="s">
        <v>29184</v>
      </c>
      <c r="E1189" s="3" t="str">
        <f t="shared" si="1"/>
        <v>overall&lt;br&gt;&lt;div class="audio"&gt;[sound:overall.mp3]&lt;/div&gt;</v>
      </c>
      <c r="F1189" s="3" t="str">
        <f t="shared" si="2"/>
        <v>(adj): tổng thể</v>
      </c>
      <c r="G1189" s="6" t="s">
        <v>41980</v>
      </c>
      <c r="H1189" s="6" t="s">
        <v>41981</v>
      </c>
      <c r="I1189" s="7">
        <f t="shared" si="3"/>
        <v>0.03427427606</v>
      </c>
    </row>
    <row r="1190">
      <c r="A1190" s="4">
        <v>1190.0</v>
      </c>
      <c r="B1190" s="3" t="s">
        <v>41982</v>
      </c>
      <c r="C1190" s="6" t="s">
        <v>74</v>
      </c>
      <c r="D1190" s="6" t="s">
        <v>41983</v>
      </c>
      <c r="E1190" s="3" t="str">
        <f t="shared" si="1"/>
        <v>priest&lt;br&gt;&lt;div class="audio"&gt;[sound:priest.mp3]&lt;/div&gt;</v>
      </c>
      <c r="F1190" s="3" t="str">
        <f t="shared" si="2"/>
        <v>(n): linh mục</v>
      </c>
      <c r="G1190" s="6" t="s">
        <v>41984</v>
      </c>
      <c r="H1190" s="6" t="s">
        <v>41985</v>
      </c>
      <c r="I1190" s="7">
        <f t="shared" si="3"/>
        <v>0.4849841837</v>
      </c>
    </row>
    <row r="1191">
      <c r="A1191" s="4">
        <v>1191.0</v>
      </c>
      <c r="B1191" s="3" t="s">
        <v>41986</v>
      </c>
      <c r="C1191" s="6" t="s">
        <v>74</v>
      </c>
      <c r="D1191" s="6" t="s">
        <v>41987</v>
      </c>
      <c r="E1191" s="3" t="str">
        <f t="shared" si="1"/>
        <v>capacity&lt;br&gt;&lt;div class="audio"&gt;[sound:capacity.mp3]&lt;/div&gt;</v>
      </c>
      <c r="F1191" s="3" t="str">
        <f t="shared" si="2"/>
        <v>(n): sức chứa</v>
      </c>
      <c r="G1191" s="6" t="s">
        <v>41988</v>
      </c>
      <c r="H1191" s="6" t="s">
        <v>41989</v>
      </c>
      <c r="I1191" s="7">
        <f t="shared" si="3"/>
        <v>0.6799472752</v>
      </c>
    </row>
    <row r="1192">
      <c r="A1192" s="4">
        <v>1192.0</v>
      </c>
      <c r="B1192" s="3" t="s">
        <v>41990</v>
      </c>
      <c r="C1192" s="6" t="s">
        <v>74</v>
      </c>
      <c r="D1192" s="8" t="s">
        <v>3344</v>
      </c>
      <c r="E1192" s="3" t="str">
        <f t="shared" si="1"/>
        <v>sky&lt;br&gt;&lt;div class="audio"&gt;[sound:sky.mp3]&lt;/div&gt;</v>
      </c>
      <c r="F1192" s="3" t="str">
        <f t="shared" si="2"/>
        <v>(n): bầu trời</v>
      </c>
      <c r="G1192" s="8" t="s">
        <v>41991</v>
      </c>
      <c r="H1192" s="8" t="s">
        <v>41992</v>
      </c>
      <c r="I1192" s="7">
        <f t="shared" si="3"/>
        <v>0.1545768178</v>
      </c>
    </row>
    <row r="1193">
      <c r="A1193" s="4">
        <v>1193.0</v>
      </c>
      <c r="B1193" s="3" t="s">
        <v>41993</v>
      </c>
      <c r="C1193" s="6" t="s">
        <v>11</v>
      </c>
      <c r="D1193" s="8" t="s">
        <v>17831</v>
      </c>
      <c r="E1193" s="3" t="str">
        <f t="shared" si="1"/>
        <v>sudden&lt;br&gt;&lt;div class="audio"&gt;[sound:sudden.mp3]&lt;/div&gt;</v>
      </c>
      <c r="F1193" s="3" t="str">
        <f t="shared" si="2"/>
        <v>(adj): đột ngột</v>
      </c>
      <c r="G1193" s="8" t="s">
        <v>41994</v>
      </c>
      <c r="H1193" s="8" t="s">
        <v>41995</v>
      </c>
      <c r="I1193" s="7">
        <f t="shared" si="3"/>
        <v>0.9250342784</v>
      </c>
    </row>
    <row r="1194">
      <c r="A1194" s="4">
        <v>1194.0</v>
      </c>
      <c r="B1194" s="3" t="s">
        <v>41996</v>
      </c>
      <c r="C1194" s="6" t="s">
        <v>74</v>
      </c>
      <c r="D1194" s="6" t="s">
        <v>3723</v>
      </c>
      <c r="E1194" s="3" t="str">
        <f t="shared" si="1"/>
        <v>west&lt;br&gt;&lt;div class="audio"&gt;[sound:west.mp3]&lt;/div&gt;</v>
      </c>
      <c r="F1194" s="3" t="str">
        <f t="shared" si="2"/>
        <v>(n): phía tây</v>
      </c>
      <c r="G1194" s="6" t="s">
        <v>41997</v>
      </c>
      <c r="H1194" s="6" t="s">
        <v>41998</v>
      </c>
      <c r="I1194" s="7">
        <f t="shared" si="3"/>
        <v>0.7610548545</v>
      </c>
    </row>
    <row r="1195">
      <c r="A1195" s="4">
        <v>1195.0</v>
      </c>
      <c r="B1195" s="3" t="s">
        <v>41999</v>
      </c>
      <c r="C1195" s="6" t="s">
        <v>11</v>
      </c>
      <c r="D1195" s="6" t="s">
        <v>8784</v>
      </c>
      <c r="E1195" s="3" t="str">
        <f t="shared" si="1"/>
        <v>complex&lt;br&gt;&lt;div class="audio"&gt;[sound:complex.mp3]&lt;/div&gt;</v>
      </c>
      <c r="F1195" s="3" t="str">
        <f t="shared" si="2"/>
        <v>(adj): phức tạp</v>
      </c>
      <c r="G1195" s="6" t="s">
        <v>42000</v>
      </c>
      <c r="H1195" s="6" t="s">
        <v>42001</v>
      </c>
      <c r="I1195" s="7">
        <f t="shared" si="3"/>
        <v>0.7781356369</v>
      </c>
    </row>
    <row r="1196">
      <c r="A1196" s="4">
        <v>1196.0</v>
      </c>
      <c r="B1196" s="3" t="s">
        <v>42002</v>
      </c>
      <c r="C1196" s="6" t="s">
        <v>11</v>
      </c>
      <c r="D1196" s="8" t="s">
        <v>22574</v>
      </c>
      <c r="E1196" s="3" t="str">
        <f t="shared" si="1"/>
        <v>sensitive&lt;br&gt;&lt;div class="audio"&gt;[sound:sensitive.mp3]&lt;/div&gt;</v>
      </c>
      <c r="F1196" s="3" t="str">
        <f t="shared" si="2"/>
        <v>(adj): nhạy cảm</v>
      </c>
      <c r="G1196" s="8" t="s">
        <v>42003</v>
      </c>
      <c r="H1196" s="8" t="s">
        <v>42004</v>
      </c>
      <c r="I1196" s="7">
        <f t="shared" si="3"/>
        <v>0.1389047974</v>
      </c>
    </row>
    <row r="1197">
      <c r="A1197" s="4">
        <v>1197.0</v>
      </c>
      <c r="B1197" s="3" t="s">
        <v>42005</v>
      </c>
      <c r="C1197" s="6" t="s">
        <v>24</v>
      </c>
      <c r="D1197" s="6" t="s">
        <v>10925</v>
      </c>
      <c r="E1197" s="3" t="str">
        <f t="shared" si="1"/>
        <v>examine&lt;br&gt;&lt;div class="audio"&gt;[sound:examine.mp3]&lt;/div&gt;</v>
      </c>
      <c r="F1197" s="3" t="str">
        <f t="shared" si="2"/>
        <v>(v): kiểm tra</v>
      </c>
      <c r="G1197" s="6" t="s">
        <v>42006</v>
      </c>
      <c r="H1197" s="6" t="s">
        <v>42007</v>
      </c>
      <c r="I1197" s="7">
        <f t="shared" si="3"/>
        <v>0.2406534028</v>
      </c>
    </row>
    <row r="1198">
      <c r="A1198" s="4">
        <v>1198.0</v>
      </c>
      <c r="B1198" s="3" t="s">
        <v>42008</v>
      </c>
      <c r="C1198" s="6" t="s">
        <v>11</v>
      </c>
      <c r="D1198" s="6" t="s">
        <v>8778</v>
      </c>
      <c r="E1198" s="3" t="str">
        <f t="shared" si="1"/>
        <v>modern&lt;br&gt;&lt;div class="audio"&gt;[sound:modern.mp3]&lt;/div&gt;</v>
      </c>
      <c r="F1198" s="3" t="str">
        <f t="shared" si="2"/>
        <v>(adj): hiện đại</v>
      </c>
      <c r="G1198" s="6" t="s">
        <v>42009</v>
      </c>
      <c r="H1198" s="6" t="s">
        <v>42010</v>
      </c>
      <c r="I1198" s="7">
        <f t="shared" si="3"/>
        <v>0.7758676292</v>
      </c>
    </row>
    <row r="1199">
      <c r="A1199" s="4">
        <v>1199.0</v>
      </c>
      <c r="B1199" s="3" t="s">
        <v>42011</v>
      </c>
      <c r="C1199" s="6" t="s">
        <v>11</v>
      </c>
      <c r="D1199" s="6" t="s">
        <v>42012</v>
      </c>
      <c r="E1199" s="3" t="str">
        <f t="shared" si="1"/>
        <v>united&lt;br&gt;&lt;div class="audio"&gt;[sound:united.mp3]&lt;/div&gt;</v>
      </c>
      <c r="F1199" s="3" t="str">
        <f t="shared" si="2"/>
        <v>(adj): đoàn kết</v>
      </c>
      <c r="G1199" s="6" t="s">
        <v>42013</v>
      </c>
      <c r="H1199" s="6" t="s">
        <v>42014</v>
      </c>
      <c r="I1199" s="7">
        <f t="shared" si="3"/>
        <v>0.2877497089</v>
      </c>
    </row>
    <row r="1200">
      <c r="A1200" s="4">
        <v>1200.0</v>
      </c>
      <c r="B1200" s="3" t="s">
        <v>42015</v>
      </c>
      <c r="C1200" s="6" t="s">
        <v>24</v>
      </c>
      <c r="D1200" s="8" t="s">
        <v>42016</v>
      </c>
      <c r="E1200" s="3" t="str">
        <f t="shared" si="1"/>
        <v>survive&lt;br&gt;&lt;div class="audio"&gt;[sound:survive.mp3]&lt;/div&gt;</v>
      </c>
      <c r="F1200" s="3" t="str">
        <f t="shared" si="2"/>
        <v>(v): sống sót</v>
      </c>
      <c r="G1200" s="8" t="s">
        <v>42017</v>
      </c>
      <c r="H1200" s="8" t="s">
        <v>42018</v>
      </c>
      <c r="I1200" s="7">
        <f t="shared" si="3"/>
        <v>0.2369949431</v>
      </c>
    </row>
    <row r="1201">
      <c r="A1201" s="4">
        <v>1201.0</v>
      </c>
      <c r="B1201" s="3" t="s">
        <v>42019</v>
      </c>
      <c r="C1201" s="6" t="s">
        <v>11</v>
      </c>
      <c r="D1201" s="6" t="s">
        <v>19694</v>
      </c>
      <c r="E1201" s="3" t="str">
        <f t="shared" si="1"/>
        <v>perfect&lt;br&gt;&lt;div class="audio"&gt;[sound:perfect.mp3]&lt;/div&gt;</v>
      </c>
      <c r="F1201" s="3" t="str">
        <f t="shared" si="2"/>
        <v>(adj): hoàn hảo</v>
      </c>
      <c r="G1201" s="6" t="s">
        <v>42020</v>
      </c>
      <c r="H1201" s="6" t="s">
        <v>42021</v>
      </c>
      <c r="I1201" s="7">
        <f t="shared" si="3"/>
        <v>0.8198554164</v>
      </c>
    </row>
    <row r="1202">
      <c r="A1202" s="4">
        <v>1202.0</v>
      </c>
      <c r="B1202" s="3" t="s">
        <v>42022</v>
      </c>
      <c r="C1202" s="6" t="s">
        <v>11</v>
      </c>
      <c r="D1202" s="6" t="s">
        <v>42023</v>
      </c>
      <c r="E1202" s="3" t="str">
        <f t="shared" si="1"/>
        <v>proper&lt;br&gt;&lt;div class="audio"&gt;[sound:proper.mp3]&lt;/div&gt;</v>
      </c>
      <c r="F1202" s="3" t="str">
        <f t="shared" si="2"/>
        <v>(adj): đúng đắn</v>
      </c>
      <c r="G1202" s="6" t="s">
        <v>42024</v>
      </c>
      <c r="H1202" s="6" t="s">
        <v>42025</v>
      </c>
      <c r="I1202" s="7">
        <f t="shared" si="3"/>
        <v>0.3238819787</v>
      </c>
    </row>
    <row r="1203">
      <c r="A1203" s="4">
        <v>1203.0</v>
      </c>
      <c r="B1203" s="3" t="s">
        <v>42026</v>
      </c>
      <c r="C1203" s="6" t="s">
        <v>74</v>
      </c>
      <c r="D1203" s="6" t="s">
        <v>4285</v>
      </c>
      <c r="E1203" s="3" t="str">
        <f t="shared" si="1"/>
        <v>ball&lt;br&gt;&lt;div class="audio"&gt;[sound:ball.mp3]&lt;/div&gt;</v>
      </c>
      <c r="F1203" s="3" t="str">
        <f t="shared" si="2"/>
        <v>(n): quả bóng</v>
      </c>
      <c r="G1203" s="6" t="s">
        <v>42027</v>
      </c>
      <c r="H1203" s="6" t="s">
        <v>42028</v>
      </c>
      <c r="I1203" s="7">
        <f t="shared" si="3"/>
        <v>0.8293037728</v>
      </c>
    </row>
    <row r="1204">
      <c r="A1204" s="4">
        <v>1204.0</v>
      </c>
      <c r="B1204" s="3" t="s">
        <v>42029</v>
      </c>
      <c r="C1204" s="6" t="s">
        <v>74</v>
      </c>
      <c r="D1204" s="6" t="s">
        <v>34491</v>
      </c>
      <c r="E1204" s="3" t="str">
        <f t="shared" si="1"/>
        <v>context&lt;br&gt;&lt;div class="audio"&gt;[sound:context.mp3]&lt;/div&gt;</v>
      </c>
      <c r="F1204" s="3" t="str">
        <f t="shared" si="2"/>
        <v>(n): ngữ cảnh</v>
      </c>
      <c r="G1204" s="6" t="s">
        <v>42030</v>
      </c>
      <c r="H1204" s="6" t="s">
        <v>42031</v>
      </c>
      <c r="I1204" s="7">
        <f t="shared" si="3"/>
        <v>0.2608802348</v>
      </c>
    </row>
    <row r="1205">
      <c r="A1205" s="4">
        <v>1205.0</v>
      </c>
      <c r="B1205" s="3" t="s">
        <v>42032</v>
      </c>
      <c r="C1205" s="6" t="s">
        <v>74</v>
      </c>
      <c r="D1205" s="6" t="s">
        <v>7713</v>
      </c>
      <c r="E1205" s="3" t="str">
        <f t="shared" si="1"/>
        <v>peace&lt;br&gt;&lt;div class="audio"&gt;[sound:peace.mp3]&lt;/div&gt;</v>
      </c>
      <c r="F1205" s="3" t="str">
        <f t="shared" si="2"/>
        <v>(n): hòa bình</v>
      </c>
      <c r="G1205" s="6" t="s">
        <v>42033</v>
      </c>
      <c r="H1205" s="6" t="s">
        <v>42034</v>
      </c>
      <c r="I1205" s="7">
        <f t="shared" si="3"/>
        <v>0.9361374347</v>
      </c>
    </row>
    <row r="1206">
      <c r="A1206" s="4">
        <v>1206.0</v>
      </c>
      <c r="B1206" s="3" t="s">
        <v>42035</v>
      </c>
      <c r="C1206" s="6" t="s">
        <v>74</v>
      </c>
      <c r="D1206" s="6" t="s">
        <v>42036</v>
      </c>
      <c r="E1206" s="3" t="str">
        <f t="shared" si="1"/>
        <v>freedom&lt;br&gt;&lt;div class="audio"&gt;[sound:freedom.mp3]&lt;/div&gt;</v>
      </c>
      <c r="F1206" s="3" t="str">
        <f t="shared" si="2"/>
        <v>(n): sự tự do</v>
      </c>
      <c r="G1206" s="6" t="s">
        <v>42037</v>
      </c>
      <c r="H1206" s="6" t="s">
        <v>42038</v>
      </c>
      <c r="I1206" s="7">
        <f t="shared" si="3"/>
        <v>0.9467544034</v>
      </c>
    </row>
    <row r="1207">
      <c r="A1207" s="4">
        <v>1207.0</v>
      </c>
      <c r="B1207" s="3" t="s">
        <v>42039</v>
      </c>
      <c r="C1207" s="6" t="s">
        <v>24</v>
      </c>
      <c r="D1207" s="6" t="s">
        <v>5956</v>
      </c>
      <c r="E1207" s="3" t="str">
        <f t="shared" si="1"/>
        <v>promote&lt;br&gt;&lt;div class="audio"&gt;[sound:promote.mp3]&lt;/div&gt;</v>
      </c>
      <c r="F1207" s="3" t="str">
        <f t="shared" si="2"/>
        <v>(v): thúc đẩy</v>
      </c>
      <c r="G1207" s="6" t="s">
        <v>42040</v>
      </c>
      <c r="H1207" s="6" t="s">
        <v>42041</v>
      </c>
      <c r="I1207" s="7">
        <f t="shared" si="3"/>
        <v>0.3017395655</v>
      </c>
    </row>
    <row r="1208">
      <c r="A1208" s="4">
        <v>1208.0</v>
      </c>
      <c r="B1208" s="3" t="s">
        <v>42042</v>
      </c>
      <c r="C1208" s="6" t="s">
        <v>74</v>
      </c>
      <c r="D1208" s="6" t="s">
        <v>3144</v>
      </c>
      <c r="E1208" s="3" t="str">
        <f t="shared" si="1"/>
        <v>limit&lt;br&gt;&lt;div class="audio"&gt;[sound:limit.mp3]&lt;/div&gt;</v>
      </c>
      <c r="F1208" s="3" t="str">
        <f t="shared" si="2"/>
        <v>(n): giới hạn</v>
      </c>
      <c r="G1208" s="6" t="s">
        <v>42043</v>
      </c>
      <c r="H1208" s="6" t="s">
        <v>42044</v>
      </c>
      <c r="I1208" s="7">
        <f t="shared" si="3"/>
        <v>0.8267467543</v>
      </c>
    </row>
    <row r="1209">
      <c r="A1209" s="4">
        <v>1209.0</v>
      </c>
      <c r="B1209" s="3" t="s">
        <v>42045</v>
      </c>
      <c r="C1209" s="6" t="s">
        <v>74</v>
      </c>
      <c r="D1209" s="6" t="s">
        <v>5746</v>
      </c>
      <c r="E1209" s="3" t="str">
        <f t="shared" si="1"/>
        <v>aim&lt;br&gt;&lt;div class="audio"&gt;[sound:aim.mp3]&lt;/div&gt;</v>
      </c>
      <c r="F1209" s="3" t="str">
        <f t="shared" si="2"/>
        <v>(n): mục đích</v>
      </c>
      <c r="G1209" s="6" t="s">
        <v>42046</v>
      </c>
      <c r="H1209" s="6" t="s">
        <v>42047</v>
      </c>
      <c r="I1209" s="7">
        <f t="shared" si="3"/>
        <v>0.3976179044</v>
      </c>
    </row>
    <row r="1210">
      <c r="A1210" s="4">
        <v>1210.0</v>
      </c>
      <c r="B1210" s="3" t="s">
        <v>42048</v>
      </c>
      <c r="C1210" s="6" t="s">
        <v>24</v>
      </c>
      <c r="D1210" s="6" t="s">
        <v>17051</v>
      </c>
      <c r="E1210" s="3" t="str">
        <f t="shared" si="1"/>
        <v>combine&lt;br&gt;&lt;div class="audio"&gt;[sound:combine.mp3]&lt;/div&gt;</v>
      </c>
      <c r="F1210" s="3" t="str">
        <f t="shared" si="2"/>
        <v>(v): kết hợp</v>
      </c>
      <c r="G1210" s="6" t="s">
        <v>42049</v>
      </c>
      <c r="H1210" s="6" t="s">
        <v>42050</v>
      </c>
      <c r="I1210" s="7">
        <f t="shared" si="3"/>
        <v>0.9656056301</v>
      </c>
    </row>
    <row r="1211">
      <c r="A1211" s="4">
        <v>1211.0</v>
      </c>
      <c r="B1211" s="3" t="s">
        <v>42051</v>
      </c>
      <c r="C1211" s="6" t="s">
        <v>74</v>
      </c>
      <c r="D1211" s="6" t="s">
        <v>42052</v>
      </c>
      <c r="E1211" s="3" t="str">
        <f t="shared" si="1"/>
        <v>bridge&lt;br&gt;&lt;div class="audio"&gt;[sound:bridge.mp3]&lt;/div&gt;</v>
      </c>
      <c r="F1211" s="3" t="str">
        <f t="shared" si="2"/>
        <v>(n): cây cầu</v>
      </c>
      <c r="G1211" s="6" t="s">
        <v>42053</v>
      </c>
      <c r="H1211" s="6" t="s">
        <v>42054</v>
      </c>
      <c r="I1211" s="7">
        <f t="shared" si="3"/>
        <v>0.3114926081</v>
      </c>
    </row>
    <row r="1212">
      <c r="A1212" s="4">
        <v>1212.0</v>
      </c>
      <c r="B1212" s="3" t="s">
        <v>42055</v>
      </c>
      <c r="C1212" s="6" t="s">
        <v>74</v>
      </c>
      <c r="D1212" s="6" t="s">
        <v>6420</v>
      </c>
      <c r="E1212" s="3" t="str">
        <f t="shared" si="1"/>
        <v>article&lt;br&gt;&lt;div class="audio"&gt;[sound:article.mp3]&lt;/div&gt;</v>
      </c>
      <c r="F1212" s="3" t="str">
        <f t="shared" si="2"/>
        <v>(n): bài báo</v>
      </c>
      <c r="G1212" s="6" t="s">
        <v>42056</v>
      </c>
      <c r="H1212" s="6" t="s">
        <v>42057</v>
      </c>
      <c r="I1212" s="7">
        <f t="shared" si="3"/>
        <v>0.7542035177</v>
      </c>
    </row>
    <row r="1213">
      <c r="A1213" s="4">
        <v>1213.0</v>
      </c>
      <c r="B1213" s="3" t="s">
        <v>42058</v>
      </c>
      <c r="C1213" s="6" t="s">
        <v>90</v>
      </c>
      <c r="D1213" s="6" t="s">
        <v>42059</v>
      </c>
      <c r="E1213" s="3" t="str">
        <f t="shared" si="1"/>
        <v>unless&lt;br&gt;&lt;div class="audio"&gt;[sound:unless.mp3]&lt;/div&gt;</v>
      </c>
      <c r="F1213" s="3" t="str">
        <f t="shared" si="2"/>
        <v>(conj): trừ khi</v>
      </c>
      <c r="G1213" s="6" t="s">
        <v>42060</v>
      </c>
      <c r="H1213" s="6" t="s">
        <v>42061</v>
      </c>
      <c r="I1213" s="7">
        <f t="shared" si="3"/>
        <v>0.03900198905</v>
      </c>
    </row>
    <row r="1214">
      <c r="A1214" s="4">
        <v>1214.0</v>
      </c>
      <c r="B1214" s="3" t="s">
        <v>42062</v>
      </c>
      <c r="C1214" s="6" t="s">
        <v>24</v>
      </c>
      <c r="D1214" s="6" t="s">
        <v>20543</v>
      </c>
      <c r="E1214" s="3" t="str">
        <f t="shared" si="1"/>
        <v>ignore&lt;br&gt;&lt;div class="audio"&gt;[sound:ignore.mp3]&lt;/div&gt;</v>
      </c>
      <c r="F1214" s="3" t="str">
        <f t="shared" si="2"/>
        <v>(v): phớt lờ</v>
      </c>
      <c r="G1214" s="6" t="s">
        <v>42063</v>
      </c>
      <c r="H1214" s="6" t="s">
        <v>42064</v>
      </c>
      <c r="I1214" s="7">
        <f t="shared" si="3"/>
        <v>0.5064258227</v>
      </c>
    </row>
    <row r="1215">
      <c r="A1215" s="4">
        <v>1215.0</v>
      </c>
      <c r="B1215" s="3" t="s">
        <v>42065</v>
      </c>
      <c r="C1215" s="6" t="s">
        <v>74</v>
      </c>
      <c r="D1215" s="6" t="s">
        <v>42066</v>
      </c>
      <c r="E1215" s="3" t="str">
        <f t="shared" si="1"/>
        <v>consequence&lt;br&gt;&lt;div class="audio"&gt;[sound:consequence.mp3]&lt;/div&gt;</v>
      </c>
      <c r="F1215" s="3" t="str">
        <f t="shared" si="2"/>
        <v>(n): hậu quả</v>
      </c>
      <c r="G1215" s="6" t="s">
        <v>42067</v>
      </c>
      <c r="H1215" s="6" t="s">
        <v>42068</v>
      </c>
      <c r="I1215" s="7">
        <f t="shared" si="3"/>
        <v>0.3151635287</v>
      </c>
    </row>
    <row r="1216">
      <c r="A1216" s="4">
        <v>1216.0</v>
      </c>
      <c r="B1216" s="3" t="s">
        <v>42069</v>
      </c>
      <c r="C1216" s="6" t="s">
        <v>74</v>
      </c>
      <c r="D1216" s="6" t="s">
        <v>42070</v>
      </c>
      <c r="E1216" s="3" t="str">
        <f t="shared" si="1"/>
        <v>pain&lt;br&gt;&lt;div class="audio"&gt;[sound:pain.mp3]&lt;/div&gt;</v>
      </c>
      <c r="F1216" s="3" t="str">
        <f t="shared" si="2"/>
        <v>(n): nỗi đau</v>
      </c>
      <c r="G1216" s="6" t="s">
        <v>42071</v>
      </c>
      <c r="H1216" s="6" t="s">
        <v>42072</v>
      </c>
      <c r="I1216" s="7">
        <f t="shared" si="3"/>
        <v>0.2226831868</v>
      </c>
    </row>
    <row r="1217">
      <c r="A1217" s="4">
        <v>1217.0</v>
      </c>
      <c r="B1217" s="3" t="s">
        <v>42073</v>
      </c>
      <c r="C1217" s="6" t="s">
        <v>74</v>
      </c>
      <c r="D1217" s="6" t="s">
        <v>42074</v>
      </c>
      <c r="E1217" s="3" t="str">
        <f t="shared" si="1"/>
        <v>girlfriend&lt;br&gt;&lt;div class="audio"&gt;[sound:girlfriend.mp3]&lt;/div&gt;</v>
      </c>
      <c r="F1217" s="3" t="str">
        <f t="shared" si="2"/>
        <v>(n): bạn gái</v>
      </c>
      <c r="G1217" s="6" t="s">
        <v>42075</v>
      </c>
      <c r="H1217" s="6" t="s">
        <v>42076</v>
      </c>
      <c r="I1217" s="7">
        <f t="shared" si="3"/>
        <v>0.9666570481</v>
      </c>
    </row>
    <row r="1218">
      <c r="A1218" s="4">
        <v>1218.0</v>
      </c>
      <c r="B1218" s="3" t="s">
        <v>42077</v>
      </c>
      <c r="C1218" s="6" t="s">
        <v>11</v>
      </c>
      <c r="D1218" s="6" t="s">
        <v>2119</v>
      </c>
      <c r="E1218" s="3" t="str">
        <f t="shared" si="1"/>
        <v>concerned&lt;br&gt;&lt;div class="audio"&gt;[sound:concerned.mp3]&lt;/div&gt;</v>
      </c>
      <c r="F1218" s="3" t="str">
        <f t="shared" si="2"/>
        <v>(adj): lo lắng</v>
      </c>
      <c r="G1218" s="6" t="s">
        <v>42078</v>
      </c>
      <c r="H1218" s="6" t="s">
        <v>42079</v>
      </c>
      <c r="I1218" s="7">
        <f t="shared" si="3"/>
        <v>0.563448571</v>
      </c>
    </row>
    <row r="1219">
      <c r="A1219" s="4">
        <v>1219.0</v>
      </c>
      <c r="B1219" s="3" t="s">
        <v>42080</v>
      </c>
      <c r="C1219" s="6" t="s">
        <v>11</v>
      </c>
      <c r="D1219" s="8" t="s">
        <v>10737</v>
      </c>
      <c r="E1219" s="3" t="str">
        <f t="shared" si="1"/>
        <v>sorry&lt;br&gt;&lt;div class="audio"&gt;[sound:sorry.mp3]&lt;/div&gt;</v>
      </c>
      <c r="F1219" s="3" t="str">
        <f t="shared" si="2"/>
        <v>(adj): xin lỗi</v>
      </c>
      <c r="G1219" s="8" t="s">
        <v>42081</v>
      </c>
      <c r="H1219" s="8" t="s">
        <v>42082</v>
      </c>
      <c r="I1219" s="7">
        <f t="shared" si="3"/>
        <v>0.9486030045</v>
      </c>
    </row>
    <row r="1220">
      <c r="A1220" s="4">
        <v>1220.0</v>
      </c>
      <c r="B1220" s="3" t="s">
        <v>42083</v>
      </c>
      <c r="C1220" s="6" t="s">
        <v>74</v>
      </c>
      <c r="D1220" s="6" t="s">
        <v>1167</v>
      </c>
      <c r="E1220" s="3" t="str">
        <f t="shared" si="1"/>
        <v>bread&lt;br&gt;&lt;div class="audio"&gt;[sound:bread.mp3]&lt;/div&gt;</v>
      </c>
      <c r="F1220" s="3" t="str">
        <f t="shared" si="2"/>
        <v>(n): bánh mì</v>
      </c>
      <c r="G1220" s="6" t="s">
        <v>42084</v>
      </c>
      <c r="H1220" s="6" t="s">
        <v>42085</v>
      </c>
      <c r="I1220" s="7">
        <f t="shared" si="3"/>
        <v>0.7205261478</v>
      </c>
    </row>
    <row r="1221">
      <c r="A1221" s="4">
        <v>1221.0</v>
      </c>
      <c r="B1221" s="3" t="s">
        <v>42086</v>
      </c>
      <c r="C1221" s="6" t="s">
        <v>74</v>
      </c>
      <c r="D1221" s="6" t="s">
        <v>8800</v>
      </c>
      <c r="E1221" s="3" t="str">
        <f t="shared" si="1"/>
        <v>memory&lt;br&gt;&lt;div class="audio"&gt;[sound:memory.mp3]&lt;/div&gt;</v>
      </c>
      <c r="F1221" s="3" t="str">
        <f t="shared" si="2"/>
        <v>(n): trí nhớ</v>
      </c>
      <c r="G1221" s="6" t="s">
        <v>42087</v>
      </c>
      <c r="H1221" s="6" t="s">
        <v>42088</v>
      </c>
      <c r="I1221" s="7">
        <f t="shared" si="3"/>
        <v>0.3054855597</v>
      </c>
    </row>
    <row r="1222">
      <c r="A1222" s="4">
        <v>1222.0</v>
      </c>
      <c r="B1222" s="3" t="s">
        <v>42089</v>
      </c>
      <c r="C1222" s="6" t="s">
        <v>74</v>
      </c>
      <c r="D1222" s="6" t="s">
        <v>4608</v>
      </c>
      <c r="E1222" s="3" t="str">
        <f t="shared" si="1"/>
        <v>request&lt;br&gt;&lt;div class="audio"&gt;[sound:request.mp3]&lt;/div&gt;</v>
      </c>
      <c r="F1222" s="3" t="str">
        <f t="shared" si="2"/>
        <v>(n): yêu cầu</v>
      </c>
      <c r="G1222" s="6" t="s">
        <v>42090</v>
      </c>
      <c r="H1222" s="6" t="s">
        <v>42091</v>
      </c>
      <c r="I1222" s="7">
        <f t="shared" si="3"/>
        <v>0.3533315916</v>
      </c>
    </row>
    <row r="1223">
      <c r="A1223" s="4">
        <v>1223.0</v>
      </c>
      <c r="B1223" s="3" t="s">
        <v>42092</v>
      </c>
      <c r="C1223" s="6" t="s">
        <v>58</v>
      </c>
      <c r="D1223" s="6" t="s">
        <v>42093</v>
      </c>
      <c r="E1223" s="3" t="str">
        <f t="shared" si="1"/>
        <v>nine&lt;br&gt;&lt;div class="audio"&gt;[sound:nine.mp3]&lt;/div&gt;</v>
      </c>
      <c r="F1223" s="3" t="str">
        <f t="shared" si="2"/>
        <v>(num): số chín</v>
      </c>
      <c r="G1223" s="6" t="s">
        <v>42094</v>
      </c>
      <c r="H1223" s="6" t="s">
        <v>42095</v>
      </c>
      <c r="I1223" s="7">
        <f t="shared" si="3"/>
        <v>0.3560398016</v>
      </c>
    </row>
    <row r="1224">
      <c r="A1224" s="4">
        <v>1224.0</v>
      </c>
      <c r="B1224" s="3" t="s">
        <v>42096</v>
      </c>
      <c r="C1224" s="6" t="s">
        <v>85</v>
      </c>
      <c r="D1224" s="6" t="s">
        <v>42097</v>
      </c>
      <c r="E1224" s="3" t="str">
        <f t="shared" si="1"/>
        <v>everywhere&lt;br&gt;&lt;div class="audio"&gt;[sound:everywhere.mp3]&lt;/div&gt;</v>
      </c>
      <c r="F1224" s="3" t="str">
        <f t="shared" si="2"/>
        <v>(adv): mọi nơi</v>
      </c>
      <c r="G1224" s="6" t="s">
        <v>42098</v>
      </c>
      <c r="H1224" s="6" t="s">
        <v>42099</v>
      </c>
      <c r="I1224" s="7">
        <f t="shared" si="3"/>
        <v>0.1084342255</v>
      </c>
    </row>
    <row r="1225">
      <c r="A1225" s="4">
        <v>1225.0</v>
      </c>
      <c r="B1225" s="3" t="s">
        <v>42100</v>
      </c>
      <c r="C1225" s="6" t="s">
        <v>24</v>
      </c>
      <c r="D1225" s="6" t="s">
        <v>7398</v>
      </c>
      <c r="E1225" s="3" t="str">
        <f t="shared" si="1"/>
        <v>refuse&lt;br&gt;&lt;div class="audio"&gt;[sound:refuse.mp3]&lt;/div&gt;</v>
      </c>
      <c r="F1225" s="3" t="str">
        <f t="shared" si="2"/>
        <v>(v): từ chối</v>
      </c>
      <c r="G1225" s="6" t="s">
        <v>42101</v>
      </c>
      <c r="H1225" s="6" t="s">
        <v>42102</v>
      </c>
      <c r="I1225" s="7">
        <f t="shared" si="3"/>
        <v>0.740228975</v>
      </c>
    </row>
    <row r="1226">
      <c r="A1226" s="4">
        <v>1226.0</v>
      </c>
      <c r="B1226" s="3" t="s">
        <v>42103</v>
      </c>
      <c r="C1226" s="6" t="s">
        <v>24</v>
      </c>
      <c r="D1226" s="6" t="s">
        <v>7078</v>
      </c>
      <c r="E1226" s="3" t="str">
        <f t="shared" si="1"/>
        <v>propose&lt;br&gt;&lt;div class="audio"&gt;[sound:propose.mp3]&lt;/div&gt;</v>
      </c>
      <c r="F1226" s="3" t="str">
        <f t="shared" si="2"/>
        <v>(v): đề xuất</v>
      </c>
      <c r="G1226" s="6" t="s">
        <v>42104</v>
      </c>
      <c r="H1226" s="6" t="s">
        <v>42105</v>
      </c>
      <c r="I1226" s="7">
        <f t="shared" si="3"/>
        <v>0.8272401658</v>
      </c>
    </row>
    <row r="1227">
      <c r="A1227" s="4">
        <v>1227.0</v>
      </c>
      <c r="B1227" s="3" t="s">
        <v>42106</v>
      </c>
      <c r="C1227" s="6" t="s">
        <v>74</v>
      </c>
      <c r="D1227" s="6" t="s">
        <v>32278</v>
      </c>
      <c r="E1227" s="3" t="str">
        <f t="shared" si="1"/>
        <v>plant&lt;br&gt;&lt;div class="audio"&gt;[sound:plant.mp3]&lt;/div&gt;</v>
      </c>
      <c r="F1227" s="3" t="str">
        <f t="shared" si="2"/>
        <v>(n): cây cối</v>
      </c>
      <c r="G1227" s="6" t="s">
        <v>42107</v>
      </c>
      <c r="H1227" s="6" t="s">
        <v>42108</v>
      </c>
      <c r="I1227" s="7">
        <f t="shared" si="3"/>
        <v>0.3299509484</v>
      </c>
    </row>
    <row r="1228">
      <c r="A1228" s="4">
        <v>1228.0</v>
      </c>
      <c r="B1228" s="3" t="s">
        <v>42109</v>
      </c>
      <c r="C1228" s="6" t="s">
        <v>74</v>
      </c>
      <c r="D1228" s="6" t="s">
        <v>3657</v>
      </c>
      <c r="E1228" s="3" t="str">
        <f t="shared" si="1"/>
        <v>institution&lt;br&gt;&lt;div class="audio"&gt;[sound:institution.mp3]&lt;/div&gt;</v>
      </c>
      <c r="F1228" s="3" t="str">
        <f t="shared" si="2"/>
        <v>(n): tổ chức</v>
      </c>
      <c r="G1228" s="6" t="s">
        <v>42110</v>
      </c>
      <c r="H1228" s="6" t="s">
        <v>42111</v>
      </c>
      <c r="I1228" s="7">
        <f t="shared" si="3"/>
        <v>0.3113620913</v>
      </c>
    </row>
    <row r="1229">
      <c r="A1229" s="4">
        <v>1229.0</v>
      </c>
      <c r="B1229" s="3" t="s">
        <v>42112</v>
      </c>
      <c r="C1229" s="6" t="s">
        <v>11</v>
      </c>
      <c r="D1229" s="6" t="s">
        <v>33429</v>
      </c>
      <c r="E1229" s="3" t="str">
        <f t="shared" si="1"/>
        <v>powerful&lt;br&gt;&lt;div class="audio"&gt;[sound:powerful.mp3]&lt;/div&gt;</v>
      </c>
      <c r="F1229" s="3" t="str">
        <f t="shared" si="2"/>
        <v>(adj): mạnh mẽ</v>
      </c>
      <c r="G1229" s="6" t="s">
        <v>42113</v>
      </c>
      <c r="H1229" s="6" t="s">
        <v>42114</v>
      </c>
      <c r="I1229" s="7">
        <f t="shared" si="3"/>
        <v>0.844030621</v>
      </c>
    </row>
    <row r="1230">
      <c r="A1230" s="4">
        <v>1230.0</v>
      </c>
      <c r="B1230" s="3" t="s">
        <v>42115</v>
      </c>
      <c r="C1230" s="6" t="s">
        <v>11</v>
      </c>
      <c r="D1230" s="6" t="s">
        <v>42116</v>
      </c>
      <c r="E1230" s="3" t="str">
        <f t="shared" si="1"/>
        <v>initial&lt;br&gt;&lt;div class="audio"&gt;[sound:initial.mp3]&lt;/div&gt;</v>
      </c>
      <c r="F1230" s="3" t="str">
        <f t="shared" si="2"/>
        <v>(adj): ban đầu</v>
      </c>
      <c r="G1230" s="6" t="s">
        <v>42117</v>
      </c>
      <c r="H1230" s="6" t="s">
        <v>42118</v>
      </c>
      <c r="I1230" s="7">
        <f t="shared" si="3"/>
        <v>0.2284371162</v>
      </c>
    </row>
    <row r="1231">
      <c r="A1231" s="4">
        <v>1231.0</v>
      </c>
      <c r="B1231" s="3" t="s">
        <v>42119</v>
      </c>
      <c r="C1231" s="6" t="s">
        <v>74</v>
      </c>
      <c r="D1231" s="6" t="s">
        <v>18097</v>
      </c>
      <c r="E1231" s="3" t="str">
        <f t="shared" si="1"/>
        <v>entry&lt;br&gt;&lt;div class="audio"&gt;[sound:entry.mp3]&lt;/div&gt;</v>
      </c>
      <c r="F1231" s="3" t="str">
        <f t="shared" si="2"/>
        <v>(n): lối vào</v>
      </c>
      <c r="G1231" s="6" t="s">
        <v>42120</v>
      </c>
      <c r="H1231" s="6" t="s">
        <v>42121</v>
      </c>
      <c r="I1231" s="7">
        <f t="shared" si="3"/>
        <v>0.7256943576</v>
      </c>
    </row>
    <row r="1232">
      <c r="A1232" s="4">
        <v>1232.0</v>
      </c>
      <c r="B1232" s="3" t="s">
        <v>42122</v>
      </c>
      <c r="C1232" s="6" t="s">
        <v>74</v>
      </c>
      <c r="D1232" s="6" t="s">
        <v>4572</v>
      </c>
      <c r="E1232" s="3" t="str">
        <f t="shared" si="1"/>
        <v>file&lt;br&gt;&lt;div class="audio"&gt;[sound:file.mp3]&lt;/div&gt;</v>
      </c>
      <c r="F1232" s="3" t="str">
        <f t="shared" si="2"/>
        <v>(n): tệp tin</v>
      </c>
      <c r="G1232" s="6" t="s">
        <v>42123</v>
      </c>
      <c r="H1232" s="6" t="s">
        <v>42124</v>
      </c>
      <c r="I1232" s="7">
        <f t="shared" si="3"/>
        <v>0.2515484739</v>
      </c>
    </row>
    <row r="1233">
      <c r="A1233" s="4">
        <v>1233.0</v>
      </c>
      <c r="B1233" s="3" t="s">
        <v>42125</v>
      </c>
      <c r="C1233" s="6" t="s">
        <v>24</v>
      </c>
      <c r="D1233" s="6" t="s">
        <v>42126</v>
      </c>
      <c r="E1233" s="3" t="str">
        <f t="shared" si="1"/>
        <v>reveal&lt;br&gt;&lt;div class="audio"&gt;[sound:reveal.mp3]&lt;/div&gt;</v>
      </c>
      <c r="F1233" s="3" t="str">
        <f t="shared" si="2"/>
        <v>(v): tiết lộ</v>
      </c>
      <c r="G1233" s="6" t="s">
        <v>42127</v>
      </c>
      <c r="H1233" s="6" t="s">
        <v>42128</v>
      </c>
      <c r="I1233" s="7">
        <f t="shared" si="3"/>
        <v>0.04353130012</v>
      </c>
    </row>
    <row r="1234">
      <c r="A1234" s="4">
        <v>1234.0</v>
      </c>
      <c r="B1234" s="3" t="s">
        <v>42129</v>
      </c>
      <c r="C1234" s="6" t="s">
        <v>74</v>
      </c>
      <c r="D1234" s="6" t="s">
        <v>42130</v>
      </c>
      <c r="E1234" s="3" t="str">
        <f t="shared" si="1"/>
        <v>bag&lt;br&gt;&lt;div class="audio"&gt;[sound:bag.mp3]&lt;/div&gt;</v>
      </c>
      <c r="F1234" s="3" t="str">
        <f t="shared" si="2"/>
        <v>(n): cái túi</v>
      </c>
      <c r="G1234" s="6" t="s">
        <v>42131</v>
      </c>
      <c r="H1234" s="6" t="s">
        <v>42132</v>
      </c>
      <c r="I1234" s="7">
        <f t="shared" si="3"/>
        <v>0.009740684122</v>
      </c>
    </row>
    <row r="1235">
      <c r="A1235" s="4">
        <v>1235.0</v>
      </c>
      <c r="B1235" s="3" t="s">
        <v>42133</v>
      </c>
      <c r="C1235" s="6" t="s">
        <v>74</v>
      </c>
      <c r="D1235" s="6" t="s">
        <v>9081</v>
      </c>
      <c r="E1235" s="3" t="str">
        <f t="shared" si="1"/>
        <v>breath&lt;br&gt;&lt;div class="audio"&gt;[sound:breath.mp3]&lt;/div&gt;</v>
      </c>
      <c r="F1235" s="3" t="str">
        <f t="shared" si="2"/>
        <v>(n): hơi thở</v>
      </c>
      <c r="G1235" s="6" t="s">
        <v>42134</v>
      </c>
      <c r="H1235" s="6" t="s">
        <v>42135</v>
      </c>
      <c r="I1235" s="7">
        <f t="shared" si="3"/>
        <v>0.9244933752</v>
      </c>
    </row>
    <row r="1236">
      <c r="A1236" s="4">
        <v>1236.0</v>
      </c>
      <c r="B1236" s="3" t="s">
        <v>42136</v>
      </c>
      <c r="C1236" s="6" t="s">
        <v>11</v>
      </c>
      <c r="D1236" s="6" t="s">
        <v>2848</v>
      </c>
      <c r="E1236" s="3" t="str">
        <f t="shared" si="1"/>
        <v>obvious&lt;br&gt;&lt;div class="audio"&gt;[sound:obvious.mp3]&lt;/div&gt;</v>
      </c>
      <c r="F1236" s="3" t="str">
        <f t="shared" si="2"/>
        <v>(adj): rõ ràng</v>
      </c>
      <c r="G1236" s="6" t="s">
        <v>42137</v>
      </c>
      <c r="H1236" s="6" t="s">
        <v>42138</v>
      </c>
      <c r="I1236" s="7">
        <f t="shared" si="3"/>
        <v>0.6402705798</v>
      </c>
    </row>
    <row r="1237">
      <c r="A1237" s="4">
        <v>1237.0</v>
      </c>
      <c r="B1237" s="3" t="s">
        <v>42139</v>
      </c>
      <c r="C1237" s="6" t="s">
        <v>74</v>
      </c>
      <c r="D1237" s="6" t="s">
        <v>31025</v>
      </c>
      <c r="E1237" s="3" t="str">
        <f t="shared" si="1"/>
        <v>climate&lt;br&gt;&lt;div class="audio"&gt;[sound:climate.mp3]&lt;/div&gt;</v>
      </c>
      <c r="F1237" s="3" t="str">
        <f t="shared" si="2"/>
        <v>(n): khí hậu</v>
      </c>
      <c r="G1237" s="6" t="s">
        <v>42140</v>
      </c>
      <c r="H1237" s="6" t="s">
        <v>42141</v>
      </c>
      <c r="I1237" s="7">
        <f t="shared" si="3"/>
        <v>0.08246682917</v>
      </c>
    </row>
    <row r="1238">
      <c r="A1238" s="4">
        <v>1238.0</v>
      </c>
      <c r="B1238" s="3" t="s">
        <v>42142</v>
      </c>
      <c r="C1238" s="6" t="s">
        <v>74</v>
      </c>
      <c r="D1238" s="6" t="s">
        <v>13250</v>
      </c>
      <c r="E1238" s="3" t="str">
        <f t="shared" si="1"/>
        <v>clock&lt;br&gt;&lt;div class="audio"&gt;[sound:clock.mp3]&lt;/div&gt;</v>
      </c>
      <c r="F1238" s="3" t="str">
        <f t="shared" si="2"/>
        <v>(n): đồng hồ</v>
      </c>
      <c r="G1238" s="6" t="s">
        <v>42143</v>
      </c>
      <c r="H1238" s="6" t="s">
        <v>42144</v>
      </c>
      <c r="I1238" s="7">
        <f t="shared" si="3"/>
        <v>0.258220038</v>
      </c>
    </row>
    <row r="1239">
      <c r="A1239" s="4">
        <v>1239.0</v>
      </c>
      <c r="B1239" s="3" t="s">
        <v>42145</v>
      </c>
      <c r="C1239" s="6" t="s">
        <v>74</v>
      </c>
      <c r="D1239" s="6" t="s">
        <v>1897</v>
      </c>
      <c r="E1239" s="3" t="str">
        <f t="shared" si="1"/>
        <v>reality&lt;br&gt;&lt;div class="audio"&gt;[sound:reality.mp3]&lt;/div&gt;</v>
      </c>
      <c r="F1239" s="3" t="str">
        <f t="shared" si="2"/>
        <v>(n): thực tế</v>
      </c>
      <c r="G1239" s="6" t="s">
        <v>42146</v>
      </c>
      <c r="H1239" s="6" t="s">
        <v>42147</v>
      </c>
      <c r="I1239" s="7">
        <f t="shared" si="3"/>
        <v>0.08418434661</v>
      </c>
    </row>
    <row r="1240">
      <c r="A1240" s="4">
        <v>1240.0</v>
      </c>
      <c r="B1240" s="3" t="s">
        <v>42148</v>
      </c>
      <c r="C1240" s="6" t="s">
        <v>74</v>
      </c>
      <c r="D1240" s="6" t="s">
        <v>9990</v>
      </c>
      <c r="E1240" s="3" t="str">
        <f t="shared" si="1"/>
        <v>machine&lt;br&gt;&lt;div class="audio"&gt;[sound:machine.mp3]&lt;/div&gt;</v>
      </c>
      <c r="F1240" s="3" t="str">
        <f t="shared" si="2"/>
        <v>(n): máy móc</v>
      </c>
      <c r="G1240" s="6" t="s">
        <v>42149</v>
      </c>
      <c r="H1240" s="6" t="s">
        <v>42150</v>
      </c>
      <c r="I1240" s="7">
        <f t="shared" si="3"/>
        <v>0.157039574</v>
      </c>
    </row>
    <row r="1241">
      <c r="A1241" s="4">
        <v>1241.0</v>
      </c>
      <c r="B1241" s="3" t="s">
        <v>42151</v>
      </c>
      <c r="C1241" s="6" t="s">
        <v>74</v>
      </c>
      <c r="D1241" s="6" t="s">
        <v>42152</v>
      </c>
      <c r="E1241" s="3" t="str">
        <f t="shared" si="1"/>
        <v>press&lt;br&gt;&lt;div class="audio"&gt;[sound:press.mp3]&lt;/div&gt;</v>
      </c>
      <c r="F1241" s="3" t="str">
        <f t="shared" si="2"/>
        <v>(n): báo chí</v>
      </c>
      <c r="G1241" s="6" t="s">
        <v>42153</v>
      </c>
      <c r="H1241" s="6" t="s">
        <v>42154</v>
      </c>
      <c r="I1241" s="7">
        <f t="shared" si="3"/>
        <v>0.01468147622</v>
      </c>
    </row>
    <row r="1242">
      <c r="A1242" s="4">
        <v>1242.0</v>
      </c>
      <c r="B1242" s="3" t="s">
        <v>42155</v>
      </c>
      <c r="C1242" s="6" t="s">
        <v>24</v>
      </c>
      <c r="D1242" s="6" t="s">
        <v>3657</v>
      </c>
      <c r="E1242" s="3" t="str">
        <f t="shared" si="1"/>
        <v>organize&lt;br&gt;&lt;div class="audio"&gt;[sound:organize.mp3]&lt;/div&gt;</v>
      </c>
      <c r="F1242" s="3" t="str">
        <f t="shared" si="2"/>
        <v>(v): tổ chức</v>
      </c>
      <c r="G1242" s="6" t="s">
        <v>42156</v>
      </c>
      <c r="H1242" s="6" t="s">
        <v>42157</v>
      </c>
      <c r="I1242" s="7">
        <f t="shared" si="3"/>
        <v>0.01375520312</v>
      </c>
    </row>
    <row r="1243">
      <c r="A1243" s="4">
        <v>1243.0</v>
      </c>
      <c r="B1243" s="3" t="s">
        <v>42158</v>
      </c>
      <c r="C1243" s="6" t="s">
        <v>24</v>
      </c>
      <c r="D1243" s="6" t="s">
        <v>4134</v>
      </c>
      <c r="E1243" s="3" t="str">
        <f t="shared" si="1"/>
        <v>extend&lt;br&gt;&lt;div class="audio"&gt;[sound:extend.mp3]&lt;/div&gt;</v>
      </c>
      <c r="F1243" s="3" t="str">
        <f t="shared" si="2"/>
        <v>(v): mở rộng</v>
      </c>
      <c r="G1243" s="6" t="s">
        <v>42159</v>
      </c>
      <c r="H1243" s="6" t="s">
        <v>42160</v>
      </c>
      <c r="I1243" s="7">
        <f t="shared" si="3"/>
        <v>0.5392070665</v>
      </c>
    </row>
    <row r="1244">
      <c r="A1244" s="4">
        <v>1244.0</v>
      </c>
      <c r="B1244" s="3" t="s">
        <v>42161</v>
      </c>
      <c r="C1244" s="6" t="s">
        <v>11</v>
      </c>
      <c r="D1244" s="6" t="s">
        <v>23049</v>
      </c>
      <c r="E1244" s="3" t="str">
        <f t="shared" si="1"/>
        <v>useful&lt;br&gt;&lt;div class="audio"&gt;[sound:useful.mp3]&lt;/div&gt;</v>
      </c>
      <c r="F1244" s="3" t="str">
        <f t="shared" si="2"/>
        <v>(adj): hữu ích</v>
      </c>
      <c r="G1244" s="6" t="s">
        <v>42162</v>
      </c>
      <c r="H1244" s="6" t="s">
        <v>42163</v>
      </c>
      <c r="I1244" s="7">
        <f t="shared" si="3"/>
        <v>0.3623362919</v>
      </c>
    </row>
    <row r="1245">
      <c r="A1245" s="4">
        <v>1245.0</v>
      </c>
      <c r="B1245" s="3" t="s">
        <v>42164</v>
      </c>
      <c r="C1245" s="6" t="s">
        <v>74</v>
      </c>
      <c r="D1245" s="6" t="s">
        <v>42165</v>
      </c>
      <c r="E1245" s="3" t="str">
        <f t="shared" si="1"/>
        <v>justice&lt;br&gt;&lt;div class="audio"&gt;[sound:justice.mp3]&lt;/div&gt;</v>
      </c>
      <c r="F1245" s="3" t="str">
        <f t="shared" si="2"/>
        <v>(n): công lý</v>
      </c>
      <c r="G1245" s="6" t="s">
        <v>42166</v>
      </c>
      <c r="H1245" s="6" t="s">
        <v>42167</v>
      </c>
      <c r="I1245" s="7">
        <f t="shared" si="3"/>
        <v>0.08266726512</v>
      </c>
    </row>
    <row r="1246">
      <c r="A1246" s="4">
        <v>1246.0</v>
      </c>
      <c r="B1246" s="3" t="s">
        <v>42168</v>
      </c>
      <c r="C1246" s="6" t="s">
        <v>74</v>
      </c>
      <c r="D1246" s="6" t="s">
        <v>7295</v>
      </c>
      <c r="E1246" s="3" t="str">
        <f t="shared" si="1"/>
        <v>monday&lt;br&gt;&lt;div class="audio"&gt;[sound:monday.mp3]&lt;/div&gt;</v>
      </c>
      <c r="F1246" s="3" t="str">
        <f t="shared" si="2"/>
        <v>(n): thứ hai</v>
      </c>
      <c r="G1246" s="6" t="s">
        <v>42169</v>
      </c>
      <c r="H1246" s="6" t="s">
        <v>42170</v>
      </c>
      <c r="I1246" s="7">
        <f t="shared" si="3"/>
        <v>0.5135967759</v>
      </c>
    </row>
    <row r="1247">
      <c r="A1247" s="4">
        <v>1247.0</v>
      </c>
      <c r="B1247" s="3" t="s">
        <v>42171</v>
      </c>
      <c r="C1247" s="6" t="s">
        <v>74</v>
      </c>
      <c r="D1247" s="6" t="s">
        <v>14317</v>
      </c>
      <c r="E1247" s="3" t="str">
        <f t="shared" si="1"/>
        <v>address&lt;br&gt;&lt;div class="audio"&gt;[sound:address.mp3]&lt;/div&gt;</v>
      </c>
      <c r="F1247" s="3" t="str">
        <f t="shared" si="2"/>
        <v>(n): địa chỉ</v>
      </c>
      <c r="G1247" s="6" t="s">
        <v>42172</v>
      </c>
      <c r="H1247" s="6" t="s">
        <v>42173</v>
      </c>
      <c r="I1247" s="7">
        <f t="shared" si="3"/>
        <v>0.9896400965</v>
      </c>
    </row>
    <row r="1248">
      <c r="A1248" s="4">
        <v>1248.0</v>
      </c>
      <c r="B1248" s="3" t="s">
        <v>42174</v>
      </c>
      <c r="C1248" s="6" t="s">
        <v>11</v>
      </c>
      <c r="D1248" s="6" t="s">
        <v>1621</v>
      </c>
      <c r="E1248" s="3" t="str">
        <f t="shared" si="1"/>
        <v>safe&lt;br&gt;&lt;div class="audio"&gt;[sound:safe.mp3]&lt;/div&gt;</v>
      </c>
      <c r="F1248" s="3" t="str">
        <f t="shared" si="2"/>
        <v>(adj): an toàn</v>
      </c>
      <c r="G1248" s="6" t="s">
        <v>42175</v>
      </c>
      <c r="H1248" s="6" t="s">
        <v>42176</v>
      </c>
      <c r="I1248" s="7">
        <f t="shared" si="3"/>
        <v>0.4136204054</v>
      </c>
    </row>
    <row r="1249">
      <c r="A1249" s="4">
        <v>1249.0</v>
      </c>
      <c r="B1249" s="3" t="s">
        <v>42177</v>
      </c>
      <c r="C1249" s="6" t="s">
        <v>74</v>
      </c>
      <c r="D1249" s="6" t="s">
        <v>3940</v>
      </c>
      <c r="E1249" s="3" t="str">
        <f t="shared" si="1"/>
        <v>promise&lt;br&gt;&lt;div class="audio"&gt;[sound:promise.mp3]&lt;/div&gt;</v>
      </c>
      <c r="F1249" s="3" t="str">
        <f t="shared" si="2"/>
        <v>(n): lời hứa</v>
      </c>
      <c r="G1249" s="6" t="s">
        <v>42178</v>
      </c>
      <c r="H1249" s="6" t="s">
        <v>42179</v>
      </c>
      <c r="I1249" s="7">
        <f t="shared" si="3"/>
        <v>0.3191838041</v>
      </c>
    </row>
    <row r="1250">
      <c r="A1250" s="4">
        <v>1250.0</v>
      </c>
      <c r="B1250" s="3" t="s">
        <v>42180</v>
      </c>
      <c r="C1250" s="6" t="s">
        <v>74</v>
      </c>
      <c r="D1250" s="6" t="s">
        <v>42181</v>
      </c>
      <c r="E1250" s="3" t="str">
        <f t="shared" si="1"/>
        <v>agent&lt;br&gt;&lt;div class="audio"&gt;[sound:agent.mp3]&lt;/div&gt;</v>
      </c>
      <c r="F1250" s="3" t="str">
        <f t="shared" si="2"/>
        <v>(n): đại lý</v>
      </c>
      <c r="G1250" s="6" t="s">
        <v>42182</v>
      </c>
      <c r="H1250" s="6" t="s">
        <v>42183</v>
      </c>
      <c r="I1250" s="7">
        <f t="shared" si="3"/>
        <v>0.4468181204</v>
      </c>
    </row>
    <row r="1251">
      <c r="A1251" s="4">
        <v>1251.0</v>
      </c>
      <c r="B1251" s="3" t="s">
        <v>42184</v>
      </c>
      <c r="C1251" s="6" t="s">
        <v>24</v>
      </c>
      <c r="D1251" s="6" t="s">
        <v>31841</v>
      </c>
      <c r="E1251" s="3" t="str">
        <f t="shared" si="1"/>
        <v>relate&lt;br&gt;&lt;div class="audio"&gt;[sound:relate.mp3]&lt;/div&gt;</v>
      </c>
      <c r="F1251" s="3" t="str">
        <f t="shared" si="2"/>
        <v>(v): kể lại</v>
      </c>
      <c r="G1251" s="6" t="s">
        <v>42185</v>
      </c>
      <c r="H1251" s="6" t="s">
        <v>42186</v>
      </c>
      <c r="I1251" s="7">
        <f t="shared" si="3"/>
        <v>0.0536514326</v>
      </c>
    </row>
    <row r="1252">
      <c r="A1252" s="4">
        <v>1252.0</v>
      </c>
      <c r="B1252" s="3" t="s">
        <v>42187</v>
      </c>
      <c r="C1252" s="6" t="s">
        <v>74</v>
      </c>
      <c r="D1252" s="6" t="s">
        <v>20006</v>
      </c>
      <c r="E1252" s="3" t="str">
        <f t="shared" si="1"/>
        <v>cell&lt;br&gt;&lt;div class="audio"&gt;[sound:cell.mp3]&lt;/div&gt;</v>
      </c>
      <c r="F1252" s="3" t="str">
        <f t="shared" si="2"/>
        <v>(n): tế bào</v>
      </c>
      <c r="G1252" s="6" t="s">
        <v>42188</v>
      </c>
      <c r="H1252" s="6" t="s">
        <v>42189</v>
      </c>
      <c r="I1252" s="7">
        <f t="shared" si="3"/>
        <v>0.2842281003</v>
      </c>
    </row>
    <row r="1253">
      <c r="A1253" s="4">
        <v>1253.0</v>
      </c>
      <c r="B1253" s="3" t="s">
        <v>42190</v>
      </c>
      <c r="C1253" s="6" t="s">
        <v>24</v>
      </c>
      <c r="D1253" s="6" t="s">
        <v>42191</v>
      </c>
      <c r="E1253" s="3" t="str">
        <f t="shared" si="1"/>
        <v>mention&lt;br&gt;&lt;div class="audio"&gt;[sound:mention.mp3]&lt;/div&gt;</v>
      </c>
      <c r="F1253" s="3" t="str">
        <f t="shared" si="2"/>
        <v>(v): đề cập</v>
      </c>
      <c r="G1253" s="6" t="s">
        <v>42192</v>
      </c>
      <c r="H1253" s="6" t="s">
        <v>42193</v>
      </c>
      <c r="I1253" s="7">
        <f t="shared" si="3"/>
        <v>0.3472090398</v>
      </c>
    </row>
    <row r="1254">
      <c r="A1254" s="4">
        <v>1254.0</v>
      </c>
      <c r="B1254" s="3" t="s">
        <v>42194</v>
      </c>
      <c r="C1254" s="6" t="s">
        <v>85</v>
      </c>
      <c r="D1254" s="8" t="s">
        <v>4032</v>
      </c>
      <c r="E1254" s="3" t="str">
        <f t="shared" si="1"/>
        <v>somewhere&lt;br&gt;&lt;div class="audio"&gt;[sound:somewhere.mp3]&lt;/div&gt;</v>
      </c>
      <c r="F1254" s="3" t="str">
        <f t="shared" si="2"/>
        <v>(adv): đâu đó</v>
      </c>
      <c r="G1254" s="8" t="s">
        <v>42195</v>
      </c>
      <c r="H1254" s="8" t="s">
        <v>42196</v>
      </c>
      <c r="I1254" s="7">
        <f t="shared" si="3"/>
        <v>0.7605605216</v>
      </c>
    </row>
    <row r="1255">
      <c r="A1255" s="4">
        <v>1255.0</v>
      </c>
      <c r="B1255" s="3" t="s">
        <v>42197</v>
      </c>
      <c r="C1255" s="6" t="s">
        <v>74</v>
      </c>
      <c r="D1255" s="6" t="s">
        <v>42198</v>
      </c>
      <c r="E1255" s="3" t="str">
        <f t="shared" si="1"/>
        <v>prison&lt;br&gt;&lt;div class="audio"&gt;[sound:prison.mp3]&lt;/div&gt;</v>
      </c>
      <c r="F1255" s="3" t="str">
        <f t="shared" si="2"/>
        <v>(n): nhà tù</v>
      </c>
      <c r="G1255" s="6" t="s">
        <v>42199</v>
      </c>
      <c r="H1255" s="6" t="s">
        <v>42200</v>
      </c>
      <c r="I1255" s="7">
        <f t="shared" si="3"/>
        <v>0.3485567313</v>
      </c>
    </row>
    <row r="1256">
      <c r="A1256" s="4">
        <v>1256.0</v>
      </c>
      <c r="B1256" s="3" t="s">
        <v>42201</v>
      </c>
      <c r="C1256" s="6" t="s">
        <v>24</v>
      </c>
      <c r="D1256" s="6" t="s">
        <v>9826</v>
      </c>
      <c r="E1256" s="3" t="str">
        <f t="shared" si="1"/>
        <v>regard&lt;br&gt;&lt;div class="audio"&gt;[sound:regard.mp3]&lt;/div&gt;</v>
      </c>
      <c r="F1256" s="3" t="str">
        <f t="shared" si="2"/>
        <v>(v): coi là</v>
      </c>
      <c r="G1256" s="6" t="s">
        <v>42202</v>
      </c>
      <c r="H1256" s="6" t="s">
        <v>42203</v>
      </c>
      <c r="I1256" s="7">
        <f t="shared" si="3"/>
        <v>0.7209067411</v>
      </c>
    </row>
    <row r="1257">
      <c r="A1257" s="4">
        <v>1257.0</v>
      </c>
      <c r="B1257" s="3" t="s">
        <v>42204</v>
      </c>
      <c r="C1257" s="6" t="s">
        <v>74</v>
      </c>
      <c r="D1257" s="6" t="s">
        <v>42181</v>
      </c>
      <c r="E1257" s="3" t="str">
        <f t="shared" si="1"/>
        <v>agency&lt;br&gt;&lt;div class="audio"&gt;[sound:agency.mp3]&lt;/div&gt;</v>
      </c>
      <c r="F1257" s="3" t="str">
        <f t="shared" si="2"/>
        <v>(n): đại lý</v>
      </c>
      <c r="G1257" s="6" t="s">
        <v>42205</v>
      </c>
      <c r="H1257" s="6" t="s">
        <v>42206</v>
      </c>
      <c r="I1257" s="7">
        <f t="shared" si="3"/>
        <v>0.6474164863</v>
      </c>
    </row>
    <row r="1258">
      <c r="A1258" s="4">
        <v>1258.0</v>
      </c>
      <c r="B1258" s="3" t="s">
        <v>42207</v>
      </c>
      <c r="C1258" s="6" t="s">
        <v>11</v>
      </c>
      <c r="D1258" s="6" t="s">
        <v>42208</v>
      </c>
      <c r="E1258" s="3" t="str">
        <f t="shared" si="1"/>
        <v>civil&lt;br&gt;&lt;div class="audio"&gt;[sound:civil.mp3]&lt;/div&gt;</v>
      </c>
      <c r="F1258" s="3" t="str">
        <f t="shared" si="2"/>
        <v>(adj): dân sự</v>
      </c>
      <c r="G1258" s="6" t="s">
        <v>42209</v>
      </c>
      <c r="H1258" s="6" t="s">
        <v>42210</v>
      </c>
      <c r="I1258" s="7">
        <f t="shared" si="3"/>
        <v>0.4242299792</v>
      </c>
    </row>
    <row r="1259">
      <c r="A1259" s="4">
        <v>1259.0</v>
      </c>
      <c r="B1259" s="3" t="s">
        <v>42211</v>
      </c>
      <c r="C1259" s="6" t="s">
        <v>85</v>
      </c>
      <c r="D1259" s="6" t="s">
        <v>4638</v>
      </c>
      <c r="E1259" s="3" t="str">
        <f t="shared" si="1"/>
        <v>extremely&lt;br&gt;&lt;div class="audio"&gt;[sound:extremely.mp3]&lt;/div&gt;</v>
      </c>
      <c r="F1259" s="3" t="str">
        <f t="shared" si="2"/>
        <v>(adv): cực kỳ</v>
      </c>
      <c r="G1259" s="6" t="s">
        <v>42212</v>
      </c>
      <c r="H1259" s="6" t="s">
        <v>42213</v>
      </c>
      <c r="I1259" s="7">
        <f t="shared" si="3"/>
        <v>0.5127468176</v>
      </c>
    </row>
    <row r="1260">
      <c r="A1260" s="4">
        <v>1260.0</v>
      </c>
      <c r="B1260" s="3" t="s">
        <v>42214</v>
      </c>
      <c r="C1260" s="6" t="s">
        <v>11</v>
      </c>
      <c r="D1260" s="6" t="s">
        <v>3473</v>
      </c>
      <c r="E1260" s="3" t="str">
        <f t="shared" si="1"/>
        <v>exciting&lt;br&gt;&lt;div class="audio"&gt;[sound:exciting.mp3]&lt;/div&gt;</v>
      </c>
      <c r="F1260" s="3" t="str">
        <f t="shared" si="2"/>
        <v>(adj): thú vị</v>
      </c>
      <c r="G1260" s="6" t="s">
        <v>42215</v>
      </c>
      <c r="H1260" s="6" t="s">
        <v>42216</v>
      </c>
      <c r="I1260" s="7">
        <f t="shared" si="3"/>
        <v>0.6181177521</v>
      </c>
    </row>
    <row r="1261">
      <c r="A1261" s="4">
        <v>1261.0</v>
      </c>
      <c r="B1261" s="3" t="s">
        <v>42217</v>
      </c>
      <c r="C1261" s="6" t="s">
        <v>74</v>
      </c>
      <c r="D1261" s="6" t="s">
        <v>3284</v>
      </c>
      <c r="E1261" s="3" t="str">
        <f t="shared" si="1"/>
        <v>window&lt;br&gt;&lt;div class="audio"&gt;[sound:window.mp3]&lt;/div&gt;</v>
      </c>
      <c r="F1261" s="3" t="str">
        <f t="shared" si="2"/>
        <v>(n): cửa sổ</v>
      </c>
      <c r="G1261" s="6" t="s">
        <v>42218</v>
      </c>
      <c r="H1261" s="6" t="s">
        <v>42219</v>
      </c>
      <c r="I1261" s="7">
        <f t="shared" si="3"/>
        <v>0.5125696459</v>
      </c>
    </row>
    <row r="1262">
      <c r="A1262" s="4">
        <v>1262.0</v>
      </c>
      <c r="B1262" s="3" t="s">
        <v>42220</v>
      </c>
      <c r="C1262" s="6" t="s">
        <v>24</v>
      </c>
      <c r="D1262" s="6" t="s">
        <v>42221</v>
      </c>
      <c r="E1262" s="3" t="str">
        <f t="shared" si="1"/>
        <v>feed&lt;br&gt;&lt;div class="audio"&gt;[sound:feed.mp3]&lt;/div&gt;</v>
      </c>
      <c r="F1262" s="3" t="str">
        <f t="shared" si="2"/>
        <v>(v): cho ăn</v>
      </c>
      <c r="G1262" s="6" t="s">
        <v>42222</v>
      </c>
      <c r="H1262" s="6" t="s">
        <v>42223</v>
      </c>
      <c r="I1262" s="7">
        <f t="shared" si="3"/>
        <v>0.8283118695</v>
      </c>
    </row>
    <row r="1263">
      <c r="A1263" s="4">
        <v>1263.0</v>
      </c>
      <c r="B1263" s="3" t="s">
        <v>42224</v>
      </c>
      <c r="C1263" s="6" t="s">
        <v>74</v>
      </c>
      <c r="D1263" s="6" t="s">
        <v>14609</v>
      </c>
      <c r="E1263" s="3" t="str">
        <f t="shared" si="1"/>
        <v>chapter&lt;br&gt;&lt;div class="audio"&gt;[sound:chapter.mp3]&lt;/div&gt;</v>
      </c>
      <c r="F1263" s="3" t="str">
        <f t="shared" si="2"/>
        <v>(n): chương</v>
      </c>
      <c r="G1263" s="6" t="s">
        <v>42225</v>
      </c>
      <c r="H1263" s="6" t="s">
        <v>42226</v>
      </c>
      <c r="I1263" s="7">
        <f t="shared" si="3"/>
        <v>0.4840667637</v>
      </c>
    </row>
    <row r="1264">
      <c r="A1264" s="4">
        <v>1264.0</v>
      </c>
      <c r="B1264" s="3" t="s">
        <v>42227</v>
      </c>
      <c r="C1264" s="6" t="s">
        <v>11</v>
      </c>
      <c r="D1264" s="6" t="s">
        <v>42228</v>
      </c>
      <c r="E1264" s="3" t="str">
        <f t="shared" si="1"/>
        <v>expensive&lt;br&gt;&lt;div class="audio"&gt;[sound:expensive.mp3]&lt;/div&gt;</v>
      </c>
      <c r="F1264" s="3" t="str">
        <f t="shared" si="2"/>
        <v>(adj): đắt đỏ</v>
      </c>
      <c r="G1264" s="6" t="s">
        <v>42229</v>
      </c>
      <c r="H1264" s="6" t="s">
        <v>42230</v>
      </c>
      <c r="I1264" s="7">
        <f t="shared" si="3"/>
        <v>0.835871283</v>
      </c>
    </row>
    <row r="1265">
      <c r="A1265" s="4">
        <v>1265.0</v>
      </c>
      <c r="B1265" s="3" t="s">
        <v>42231</v>
      </c>
      <c r="C1265" s="6" t="s">
        <v>74</v>
      </c>
      <c r="D1265" s="6" t="s">
        <v>42232</v>
      </c>
      <c r="E1265" s="3" t="str">
        <f t="shared" si="1"/>
        <v>committee&lt;br&gt;&lt;div class="audio"&gt;[sound:committee.mp3]&lt;/div&gt;</v>
      </c>
      <c r="F1265" s="3" t="str">
        <f t="shared" si="2"/>
        <v>(n): ủy ban</v>
      </c>
      <c r="G1265" s="6" t="s">
        <v>42233</v>
      </c>
      <c r="H1265" s="6" t="s">
        <v>42234</v>
      </c>
      <c r="I1265" s="7">
        <f t="shared" si="3"/>
        <v>0.014670035</v>
      </c>
    </row>
    <row r="1266">
      <c r="A1266" s="4">
        <v>1266.0</v>
      </c>
      <c r="B1266" s="3" t="s">
        <v>42235</v>
      </c>
      <c r="C1266" s="6" t="s">
        <v>74</v>
      </c>
      <c r="D1266" s="6" t="s">
        <v>6482</v>
      </c>
      <c r="E1266" s="3" t="str">
        <f t="shared" si="1"/>
        <v>population&lt;br&gt;&lt;div class="audio"&gt;[sound:population.mp3]&lt;/div&gt;</v>
      </c>
      <c r="F1266" s="3" t="str">
        <f t="shared" si="2"/>
        <v>(n): dân số</v>
      </c>
      <c r="G1266" s="6" t="s">
        <v>42236</v>
      </c>
      <c r="H1266" s="6" t="s">
        <v>42237</v>
      </c>
      <c r="I1266" s="7">
        <f t="shared" si="3"/>
        <v>0.1712273565</v>
      </c>
    </row>
    <row r="1267">
      <c r="A1267" s="4">
        <v>1267.0</v>
      </c>
      <c r="B1267" s="3" t="s">
        <v>42238</v>
      </c>
      <c r="C1267" s="6" t="s">
        <v>74</v>
      </c>
      <c r="D1267" s="6" t="s">
        <v>42239</v>
      </c>
      <c r="E1267" s="3" t="str">
        <f t="shared" si="1"/>
        <v>hole&lt;br&gt;&lt;div class="audio"&gt;[sound:hole.mp3]&lt;/div&gt;</v>
      </c>
      <c r="F1267" s="3" t="str">
        <f t="shared" si="2"/>
        <v>(n): cái lỗ</v>
      </c>
      <c r="G1267" s="6" t="s">
        <v>42240</v>
      </c>
      <c r="H1267" s="6" t="s">
        <v>42241</v>
      </c>
      <c r="I1267" s="7">
        <f t="shared" si="3"/>
        <v>0.9097992066</v>
      </c>
    </row>
    <row r="1268">
      <c r="A1268" s="4">
        <v>1268.0</v>
      </c>
      <c r="B1268" s="3" t="s">
        <v>42242</v>
      </c>
      <c r="C1268" s="6" t="s">
        <v>11</v>
      </c>
      <c r="D1268" s="6" t="s">
        <v>2617</v>
      </c>
      <c r="E1268" s="3" t="str">
        <f t="shared" si="1"/>
        <v>basic&lt;br&gt;&lt;div class="audio"&gt;[sound:basic.mp3]&lt;/div&gt;</v>
      </c>
      <c r="F1268" s="3" t="str">
        <f t="shared" si="2"/>
        <v>(adj): cơ bản</v>
      </c>
      <c r="G1268" s="6" t="s">
        <v>42243</v>
      </c>
      <c r="H1268" s="6" t="s">
        <v>42244</v>
      </c>
      <c r="I1268" s="7">
        <f t="shared" si="3"/>
        <v>0.7427396877</v>
      </c>
    </row>
    <row r="1269">
      <c r="A1269" s="4">
        <v>1269.0</v>
      </c>
      <c r="B1269" s="3" t="s">
        <v>42245</v>
      </c>
      <c r="C1269" s="6" t="s">
        <v>74</v>
      </c>
      <c r="D1269" s="6" t="s">
        <v>8587</v>
      </c>
      <c r="E1269" s="3" t="str">
        <f t="shared" si="1"/>
        <v>factor&lt;br&gt;&lt;div class="audio"&gt;[sound:factor.mp3]&lt;/div&gt;</v>
      </c>
      <c r="F1269" s="3" t="str">
        <f t="shared" si="2"/>
        <v>(n): yếu tố</v>
      </c>
      <c r="G1269" s="6" t="s">
        <v>42246</v>
      </c>
      <c r="H1269" s="6" t="s">
        <v>42247</v>
      </c>
      <c r="I1269" s="7">
        <f t="shared" si="3"/>
        <v>0.5733901169</v>
      </c>
    </row>
    <row r="1270">
      <c r="A1270" s="4">
        <v>1270.0</v>
      </c>
      <c r="B1270" s="3" t="s">
        <v>42248</v>
      </c>
      <c r="C1270" s="6" t="s">
        <v>74</v>
      </c>
      <c r="D1270" s="6" t="s">
        <v>8587</v>
      </c>
      <c r="E1270" s="3" t="str">
        <f t="shared" si="1"/>
        <v>element&lt;br&gt;&lt;div class="audio"&gt;[sound:element.mp3]&lt;/div&gt;</v>
      </c>
      <c r="F1270" s="3" t="str">
        <f t="shared" si="2"/>
        <v>(n): yếu tố</v>
      </c>
      <c r="G1270" s="6" t="s">
        <v>42249</v>
      </c>
      <c r="H1270" s="6" t="s">
        <v>42250</v>
      </c>
      <c r="I1270" s="7">
        <f t="shared" si="3"/>
        <v>0.2706635808</v>
      </c>
    </row>
    <row r="1271">
      <c r="A1271" s="4">
        <v>1271.0</v>
      </c>
      <c r="B1271" s="3" t="s">
        <v>42251</v>
      </c>
      <c r="C1271" s="6" t="s">
        <v>24</v>
      </c>
      <c r="D1271" s="6" t="s">
        <v>6291</v>
      </c>
      <c r="E1271" s="3" t="str">
        <f t="shared" si="1"/>
        <v>occur&lt;br&gt;&lt;div class="audio"&gt;[sound:occur.mp3]&lt;/div&gt;</v>
      </c>
      <c r="F1271" s="3" t="str">
        <f t="shared" si="2"/>
        <v>(v): xảy ra</v>
      </c>
      <c r="G1271" s="6" t="s">
        <v>42252</v>
      </c>
      <c r="H1271" s="6" t="s">
        <v>42253</v>
      </c>
      <c r="I1271" s="7">
        <f t="shared" si="3"/>
        <v>0.7792248249</v>
      </c>
    </row>
    <row r="1272">
      <c r="A1272" s="4">
        <v>1272.0</v>
      </c>
      <c r="B1272" s="3" t="s">
        <v>42254</v>
      </c>
      <c r="C1272" s="6" t="s">
        <v>44</v>
      </c>
      <c r="D1272" s="6" t="s">
        <v>42255</v>
      </c>
      <c r="E1272" s="3" t="str">
        <f t="shared" si="1"/>
        <v>whose&lt;br&gt;&lt;div class="audio"&gt;[sound:whose.mp3]&lt;/div&gt;</v>
      </c>
      <c r="F1272" s="3" t="str">
        <f t="shared" si="2"/>
        <v>(pron): của ai</v>
      </c>
      <c r="G1272" s="6" t="s">
        <v>42256</v>
      </c>
      <c r="H1272" s="6" t="s">
        <v>42257</v>
      </c>
      <c r="I1272" s="7">
        <f t="shared" si="3"/>
        <v>0.9268293736</v>
      </c>
    </row>
    <row r="1273">
      <c r="A1273" s="4">
        <v>1273.0</v>
      </c>
      <c r="B1273" s="3" t="s">
        <v>42258</v>
      </c>
      <c r="C1273" s="6" t="s">
        <v>24</v>
      </c>
      <c r="D1273" s="6" t="s">
        <v>13597</v>
      </c>
      <c r="E1273" s="3" t="str">
        <f t="shared" si="1"/>
        <v>miss&lt;br&gt;&lt;div class="audio"&gt;[sound:miss.mp3]&lt;/div&gt;</v>
      </c>
      <c r="F1273" s="3" t="str">
        <f t="shared" si="2"/>
        <v>(v): bỏ lỡ</v>
      </c>
      <c r="G1273" s="6" t="s">
        <v>42259</v>
      </c>
      <c r="H1273" s="6" t="s">
        <v>42260</v>
      </c>
      <c r="I1273" s="7">
        <f t="shared" si="3"/>
        <v>0.1332680662</v>
      </c>
    </row>
    <row r="1274">
      <c r="A1274" s="4">
        <v>1274.0</v>
      </c>
      <c r="B1274" s="3" t="s">
        <v>42261</v>
      </c>
      <c r="C1274" s="6" t="s">
        <v>11</v>
      </c>
      <c r="D1274" s="6" t="s">
        <v>9143</v>
      </c>
      <c r="E1274" s="3" t="str">
        <f t="shared" si="1"/>
        <v>quick&lt;br&gt;&lt;div class="audio"&gt;[sound:quick.mp3]&lt;/div&gt;</v>
      </c>
      <c r="F1274" s="3" t="str">
        <f t="shared" si="2"/>
        <v>(adj): nhanh</v>
      </c>
      <c r="G1274" s="6" t="s">
        <v>42262</v>
      </c>
      <c r="H1274" s="6" t="s">
        <v>42263</v>
      </c>
      <c r="I1274" s="7">
        <f t="shared" si="3"/>
        <v>0.72506745</v>
      </c>
    </row>
    <row r="1275">
      <c r="A1275" s="4">
        <v>1275.0</v>
      </c>
      <c r="B1275" s="3" t="s">
        <v>42264</v>
      </c>
      <c r="C1275" s="6" t="s">
        <v>74</v>
      </c>
      <c r="D1275" s="6" t="s">
        <v>15362</v>
      </c>
      <c r="E1275" s="3" t="str">
        <f t="shared" si="1"/>
        <v>baby&lt;br&gt;&lt;div class="audio"&gt;[sound:baby.mp3]&lt;/div&gt;</v>
      </c>
      <c r="F1275" s="3" t="str">
        <f t="shared" si="2"/>
        <v>(n): em bé</v>
      </c>
      <c r="G1275" s="6" t="s">
        <v>42265</v>
      </c>
      <c r="H1275" s="6" t="s">
        <v>42266</v>
      </c>
      <c r="I1275" s="7">
        <f t="shared" si="3"/>
        <v>0.2418028903</v>
      </c>
    </row>
    <row r="1276">
      <c r="A1276" s="4">
        <v>1276.0</v>
      </c>
      <c r="B1276" s="3" t="s">
        <v>42267</v>
      </c>
      <c r="C1276" s="6" t="s">
        <v>74</v>
      </c>
      <c r="D1276" s="6" t="s">
        <v>42268</v>
      </c>
      <c r="E1276" s="3" t="str">
        <f t="shared" si="1"/>
        <v>score&lt;br&gt;&lt;div class="audio"&gt;[sound:score.mp3]&lt;/div&gt;</v>
      </c>
      <c r="F1276" s="3" t="str">
        <f t="shared" si="2"/>
        <v>(n): tỷ số</v>
      </c>
      <c r="G1276" s="6" t="s">
        <v>42269</v>
      </c>
      <c r="H1276" s="6" t="s">
        <v>42270</v>
      </c>
      <c r="I1276" s="7">
        <f t="shared" si="3"/>
        <v>0.5848730311</v>
      </c>
    </row>
    <row r="1277">
      <c r="A1277" s="4">
        <v>1277.0</v>
      </c>
      <c r="B1277" s="3" t="s">
        <v>42271</v>
      </c>
      <c r="C1277" s="6" t="s">
        <v>11</v>
      </c>
      <c r="D1277" s="6" t="s">
        <v>40291</v>
      </c>
      <c r="E1277" s="3" t="str">
        <f t="shared" si="1"/>
        <v>major&lt;br&gt;&lt;div class="audio"&gt;[sound:major.mp3]&lt;/div&gt;</v>
      </c>
      <c r="F1277" s="3" t="str">
        <f t="shared" si="2"/>
        <v>(adj): chính</v>
      </c>
      <c r="G1277" s="6" t="s">
        <v>42272</v>
      </c>
      <c r="H1277" s="6" t="s">
        <v>42273</v>
      </c>
      <c r="I1277" s="7">
        <f t="shared" si="3"/>
        <v>0.5323363985</v>
      </c>
    </row>
    <row r="1278">
      <c r="A1278" s="4">
        <v>1278.0</v>
      </c>
      <c r="B1278" s="3" t="s">
        <v>42274</v>
      </c>
      <c r="C1278" s="6" t="s">
        <v>24</v>
      </c>
      <c r="D1278" s="6" t="s">
        <v>11700</v>
      </c>
      <c r="E1278" s="3" t="str">
        <f t="shared" si="1"/>
        <v>avoid&lt;br&gt;&lt;div class="audio"&gt;[sound:avoid.mp3]&lt;/div&gt;</v>
      </c>
      <c r="F1278" s="3" t="str">
        <f t="shared" si="2"/>
        <v>(v): tránh</v>
      </c>
      <c r="G1278" s="6" t="s">
        <v>42275</v>
      </c>
      <c r="H1278" s="6" t="s">
        <v>42276</v>
      </c>
      <c r="I1278" s="7">
        <f t="shared" si="3"/>
        <v>0.2465002082</v>
      </c>
    </row>
    <row r="1279">
      <c r="A1279" s="4">
        <v>1279.0</v>
      </c>
      <c r="B1279" s="3" t="s">
        <v>42277</v>
      </c>
      <c r="C1279" s="6" t="s">
        <v>74</v>
      </c>
      <c r="D1279" s="6" t="s">
        <v>4654</v>
      </c>
      <c r="E1279" s="3" t="str">
        <f t="shared" si="1"/>
        <v>basis&lt;br&gt;&lt;div class="audio"&gt;[sound:basis.mp3]&lt;/div&gt;</v>
      </c>
      <c r="F1279" s="3" t="str">
        <f t="shared" si="2"/>
        <v>(n): cơ sở</v>
      </c>
      <c r="G1279" s="6" t="s">
        <v>42278</v>
      </c>
      <c r="H1279" s="6" t="s">
        <v>42279</v>
      </c>
      <c r="I1279" s="7">
        <f t="shared" si="3"/>
        <v>0.1023360002</v>
      </c>
    </row>
    <row r="1280">
      <c r="A1280" s="4">
        <v>1280.0</v>
      </c>
      <c r="B1280" s="3" t="s">
        <v>42280</v>
      </c>
      <c r="C1280" s="6" t="s">
        <v>24</v>
      </c>
      <c r="D1280" s="6" t="s">
        <v>8968</v>
      </c>
      <c r="E1280" s="3" t="str">
        <f t="shared" si="1"/>
        <v>borrow&lt;br&gt;&lt;div class="audio"&gt;[sound:borrow.mp3]&lt;/div&gt;</v>
      </c>
      <c r="F1280" s="3" t="str">
        <f t="shared" si="2"/>
        <v>(v): mượn</v>
      </c>
      <c r="G1280" s="6" t="s">
        <v>42281</v>
      </c>
      <c r="H1280" s="6" t="s">
        <v>42282</v>
      </c>
      <c r="I1280" s="7">
        <f t="shared" si="3"/>
        <v>0.07323785147</v>
      </c>
    </row>
    <row r="1281">
      <c r="A1281" s="4">
        <v>1281.0</v>
      </c>
      <c r="B1281" s="3" t="s">
        <v>42283</v>
      </c>
      <c r="C1281" s="6" t="s">
        <v>11</v>
      </c>
      <c r="D1281" s="6" t="s">
        <v>11429</v>
      </c>
      <c r="E1281" s="3" t="str">
        <f t="shared" si="1"/>
        <v>extra&lt;br&gt;&lt;div class="audio"&gt;[sound:extra.mp3]&lt;/div&gt;</v>
      </c>
      <c r="F1281" s="3" t="str">
        <f t="shared" si="2"/>
        <v>(adj): thêm</v>
      </c>
      <c r="G1281" s="6" t="s">
        <v>42284</v>
      </c>
      <c r="H1281" s="6" t="s">
        <v>42285</v>
      </c>
      <c r="I1281" s="7">
        <f t="shared" si="3"/>
        <v>0.3763019343</v>
      </c>
    </row>
    <row r="1282">
      <c r="A1282" s="4">
        <v>1282.0</v>
      </c>
      <c r="B1282" s="3" t="s">
        <v>42286</v>
      </c>
      <c r="C1282" s="6" t="s">
        <v>74</v>
      </c>
      <c r="D1282" s="6" t="s">
        <v>42287</v>
      </c>
      <c r="E1282" s="3" t="str">
        <f t="shared" si="1"/>
        <v>leg&lt;br&gt;&lt;div class="audio"&gt;[sound:leg.mp3]&lt;/div&gt;</v>
      </c>
      <c r="F1282" s="3" t="str">
        <f t="shared" si="2"/>
        <v>(n): chân</v>
      </c>
      <c r="G1282" s="6" t="s">
        <v>42288</v>
      </c>
      <c r="H1282" s="6" t="s">
        <v>42289</v>
      </c>
      <c r="I1282" s="7">
        <f t="shared" si="3"/>
        <v>0.2878084481</v>
      </c>
    </row>
    <row r="1283">
      <c r="A1283" s="4">
        <v>1283.0</v>
      </c>
      <c r="B1283" s="3" t="s">
        <v>42290</v>
      </c>
      <c r="C1283" s="6" t="s">
        <v>24</v>
      </c>
      <c r="D1283" s="6" t="s">
        <v>1657</v>
      </c>
      <c r="E1283" s="3" t="str">
        <f t="shared" si="1"/>
        <v>hate&lt;br&gt;&lt;div class="audio"&gt;[sound:hate.mp3]&lt;/div&gt;</v>
      </c>
      <c r="F1283" s="3" t="str">
        <f t="shared" si="2"/>
        <v>(v): ghét</v>
      </c>
      <c r="G1283" s="6" t="s">
        <v>42291</v>
      </c>
      <c r="H1283" s="6" t="s">
        <v>42292</v>
      </c>
      <c r="I1283" s="7">
        <f t="shared" si="3"/>
        <v>0.6690521534</v>
      </c>
    </row>
    <row r="1284">
      <c r="A1284" s="4">
        <v>1284.0</v>
      </c>
      <c r="B1284" s="3" t="s">
        <v>42293</v>
      </c>
      <c r="C1284" s="6" t="s">
        <v>24</v>
      </c>
      <c r="D1284" s="8" t="s">
        <v>1520</v>
      </c>
      <c r="E1284" s="3" t="str">
        <f t="shared" si="1"/>
        <v>smile&lt;br&gt;&lt;div class="audio"&gt;[sound:smile.mp3]&lt;/div&gt;</v>
      </c>
      <c r="F1284" s="3" t="str">
        <f t="shared" si="2"/>
        <v>(v): cười</v>
      </c>
      <c r="G1284" s="8" t="s">
        <v>42294</v>
      </c>
      <c r="H1284" s="8" t="s">
        <v>42295</v>
      </c>
      <c r="I1284" s="7">
        <f t="shared" si="3"/>
        <v>0.9845274274</v>
      </c>
    </row>
    <row r="1285">
      <c r="A1285" s="4">
        <v>1285.0</v>
      </c>
      <c r="B1285" s="3" t="s">
        <v>42296</v>
      </c>
      <c r="C1285" s="6" t="s">
        <v>74</v>
      </c>
      <c r="D1285" s="6" t="s">
        <v>21686</v>
      </c>
      <c r="E1285" s="3" t="str">
        <f t="shared" si="1"/>
        <v>horse&lt;br&gt;&lt;div class="audio"&gt;[sound:horse.mp3]&lt;/div&gt;</v>
      </c>
      <c r="F1285" s="3" t="str">
        <f t="shared" si="2"/>
        <v>(n): ngựa</v>
      </c>
      <c r="G1285" s="6" t="s">
        <v>42297</v>
      </c>
      <c r="H1285" s="6" t="s">
        <v>42298</v>
      </c>
      <c r="I1285" s="7">
        <f t="shared" si="3"/>
        <v>0.6200899863</v>
      </c>
    </row>
    <row r="1286">
      <c r="A1286" s="4">
        <v>1286.0</v>
      </c>
      <c r="B1286" s="3" t="s">
        <v>42299</v>
      </c>
      <c r="C1286" s="6" t="s">
        <v>11</v>
      </c>
      <c r="D1286" s="6" t="s">
        <v>42300</v>
      </c>
      <c r="E1286" s="3" t="str">
        <f t="shared" si="1"/>
        <v>round&lt;br&gt;&lt;div class="audio"&gt;[sound:round.mp3]&lt;/div&gt;</v>
      </c>
      <c r="F1286" s="3" t="str">
        <f t="shared" si="2"/>
        <v>(adj): tròn</v>
      </c>
      <c r="G1286" s="6" t="s">
        <v>42301</v>
      </c>
      <c r="H1286" s="6" t="s">
        <v>42302</v>
      </c>
      <c r="I1286" s="7">
        <f t="shared" si="3"/>
        <v>0.795074399</v>
      </c>
    </row>
    <row r="1287">
      <c r="A1287" s="4">
        <v>1287.0</v>
      </c>
      <c r="B1287" s="3" t="s">
        <v>42303</v>
      </c>
      <c r="C1287" s="6" t="s">
        <v>24</v>
      </c>
      <c r="D1287" s="6" t="s">
        <v>4264</v>
      </c>
      <c r="E1287" s="3" t="str">
        <f t="shared" si="1"/>
        <v>beat&lt;br&gt;&lt;div class="audio"&gt;[sound:beat.mp3]&lt;/div&gt;</v>
      </c>
      <c r="F1287" s="3" t="str">
        <f t="shared" si="2"/>
        <v>(v): đánh</v>
      </c>
      <c r="G1287" s="6" t="s">
        <v>42304</v>
      </c>
      <c r="H1287" s="6" t="s">
        <v>42305</v>
      </c>
      <c r="I1287" s="7">
        <f t="shared" si="3"/>
        <v>0.4713588093</v>
      </c>
    </row>
    <row r="1288">
      <c r="A1288" s="4">
        <v>1288.0</v>
      </c>
      <c r="B1288" s="3" t="s">
        <v>42306</v>
      </c>
      <c r="C1288" s="6" t="s">
        <v>74</v>
      </c>
      <c r="D1288" s="6" t="s">
        <v>17428</v>
      </c>
      <c r="E1288" s="3" t="str">
        <f t="shared" si="1"/>
        <v>region&lt;br&gt;&lt;div class="audio"&gt;[sound:region.mp3]&lt;/div&gt;</v>
      </c>
      <c r="F1288" s="3" t="str">
        <f t="shared" si="2"/>
        <v>(n): vùng</v>
      </c>
      <c r="G1288" s="6" t="s">
        <v>42307</v>
      </c>
      <c r="H1288" s="6" t="s">
        <v>42308</v>
      </c>
      <c r="I1288" s="7">
        <f t="shared" si="3"/>
        <v>0.8995880858</v>
      </c>
    </row>
    <row r="1289">
      <c r="A1289" s="4">
        <v>1289.0</v>
      </c>
      <c r="B1289" s="3" t="s">
        <v>42309</v>
      </c>
      <c r="C1289" s="6" t="s">
        <v>74</v>
      </c>
      <c r="D1289" s="6" t="s">
        <v>2250</v>
      </c>
      <c r="E1289" s="3" t="str">
        <f t="shared" si="1"/>
        <v>sea&lt;br&gt;&lt;div class="audio"&gt;[sound:sea.mp3]&lt;/div&gt;</v>
      </c>
      <c r="F1289" s="3" t="str">
        <f t="shared" si="2"/>
        <v>(n): biển</v>
      </c>
      <c r="G1289" s="6" t="s">
        <v>42310</v>
      </c>
      <c r="H1289" s="6" t="s">
        <v>42311</v>
      </c>
      <c r="I1289" s="7">
        <f t="shared" si="3"/>
        <v>0.102510394</v>
      </c>
    </row>
    <row r="1290">
      <c r="A1290" s="4">
        <v>1290.0</v>
      </c>
      <c r="B1290" s="3" t="s">
        <v>42312</v>
      </c>
      <c r="C1290" s="6" t="s">
        <v>74</v>
      </c>
      <c r="D1290" s="8" t="s">
        <v>42313</v>
      </c>
      <c r="E1290" s="3" t="str">
        <f t="shared" si="1"/>
        <v>sir&lt;br&gt;&lt;div class="audio"&gt;[sound:sir.mp3]&lt;/div&gt;</v>
      </c>
      <c r="F1290" s="3" t="str">
        <f t="shared" si="2"/>
        <v>(n): ngài</v>
      </c>
      <c r="G1290" s="8" t="s">
        <v>42314</v>
      </c>
      <c r="H1290" s="8" t="s">
        <v>42315</v>
      </c>
      <c r="I1290" s="7">
        <f t="shared" si="3"/>
        <v>0.03056681978</v>
      </c>
    </row>
    <row r="1291">
      <c r="A1291" s="4">
        <v>1291.0</v>
      </c>
      <c r="B1291" s="3" t="s">
        <v>42316</v>
      </c>
      <c r="C1291" s="6" t="s">
        <v>24</v>
      </c>
      <c r="D1291" s="6" t="s">
        <v>42317</v>
      </c>
      <c r="E1291" s="3" t="str">
        <f t="shared" si="1"/>
        <v>fit&lt;br&gt;&lt;div class="audio"&gt;[sound:fit.mp3]&lt;/div&gt;</v>
      </c>
      <c r="F1291" s="3" t="str">
        <f t="shared" si="2"/>
        <v>(v): vừa</v>
      </c>
      <c r="G1291" s="6" t="s">
        <v>42318</v>
      </c>
      <c r="H1291" s="6" t="s">
        <v>42319</v>
      </c>
      <c r="I1291" s="7">
        <f t="shared" si="3"/>
        <v>0.8610932805</v>
      </c>
    </row>
    <row r="1292">
      <c r="A1292" s="4">
        <v>1292.0</v>
      </c>
      <c r="B1292" s="3" t="s">
        <v>42320</v>
      </c>
      <c r="C1292" s="6" t="s">
        <v>74</v>
      </c>
      <c r="D1292" s="6" t="s">
        <v>2664</v>
      </c>
      <c r="E1292" s="3" t="str">
        <f t="shared" si="1"/>
        <v>newspaper&lt;br&gt;&lt;div class="audio"&gt;[sound:newspaper.mp3]&lt;/div&gt;</v>
      </c>
      <c r="F1292" s="3" t="str">
        <f t="shared" si="2"/>
        <v>(n): báo</v>
      </c>
      <c r="G1292" s="6" t="s">
        <v>42321</v>
      </c>
      <c r="H1292" s="6" t="s">
        <v>42322</v>
      </c>
      <c r="I1292" s="7">
        <f t="shared" si="3"/>
        <v>0.657113602</v>
      </c>
    </row>
    <row r="1293">
      <c r="A1293" s="4">
        <v>1293.0</v>
      </c>
      <c r="B1293" s="3" t="s">
        <v>42323</v>
      </c>
      <c r="C1293" s="6" t="s">
        <v>24</v>
      </c>
      <c r="D1293" s="6" t="s">
        <v>1199</v>
      </c>
      <c r="E1293" s="3" t="str">
        <f t="shared" si="1"/>
        <v>purchase&lt;br&gt;&lt;div class="audio"&gt;[sound:purchase.mp3]&lt;/div&gt;</v>
      </c>
      <c r="F1293" s="3" t="str">
        <f t="shared" si="2"/>
        <v>(v): mua</v>
      </c>
      <c r="G1293" s="6" t="s">
        <v>42324</v>
      </c>
      <c r="H1293" s="6" t="s">
        <v>42325</v>
      </c>
      <c r="I1293" s="7">
        <f t="shared" si="3"/>
        <v>0.4799994372</v>
      </c>
    </row>
    <row r="1294">
      <c r="A1294" s="4">
        <v>1294.0</v>
      </c>
      <c r="B1294" s="3" t="s">
        <v>42326</v>
      </c>
      <c r="C1294" s="6" t="s">
        <v>85</v>
      </c>
      <c r="D1294" s="6" t="s">
        <v>960</v>
      </c>
      <c r="E1294" s="3" t="str">
        <f t="shared" si="1"/>
        <v>fairly&lt;br&gt;&lt;div class="audio"&gt;[sound:fairly.mp3]&lt;/div&gt;</v>
      </c>
      <c r="F1294" s="3" t="str">
        <f t="shared" si="2"/>
        <v>(adv): khá</v>
      </c>
      <c r="G1294" s="6" t="s">
        <v>42327</v>
      </c>
      <c r="H1294" s="6" t="s">
        <v>42328</v>
      </c>
      <c r="I1294" s="7">
        <f t="shared" si="3"/>
        <v>0.931920747</v>
      </c>
    </row>
    <row r="1295">
      <c r="A1295" s="4">
        <v>1295.0</v>
      </c>
      <c r="B1295" s="3" t="s">
        <v>42329</v>
      </c>
      <c r="C1295" s="6" t="s">
        <v>24</v>
      </c>
      <c r="D1295" s="6" t="s">
        <v>42330</v>
      </c>
      <c r="E1295" s="3" t="str">
        <f t="shared" si="1"/>
        <v>breathe&lt;br&gt;&lt;div class="audio"&gt;[sound:breathe.mp3]&lt;/div&gt;</v>
      </c>
      <c r="F1295" s="3" t="str">
        <f t="shared" si="2"/>
        <v>(v): thở</v>
      </c>
      <c r="G1295" s="6" t="s">
        <v>42331</v>
      </c>
      <c r="H1295" s="6" t="s">
        <v>42332</v>
      </c>
      <c r="I1295" s="7">
        <f t="shared" si="3"/>
        <v>0.6644140066</v>
      </c>
    </row>
    <row r="1296">
      <c r="A1296" s="4">
        <v>1296.0</v>
      </c>
      <c r="B1296" s="3" t="s">
        <v>42333</v>
      </c>
      <c r="C1296" s="6" t="s">
        <v>74</v>
      </c>
      <c r="D1296" s="6" t="s">
        <v>16872</v>
      </c>
      <c r="E1296" s="3" t="str">
        <f t="shared" si="1"/>
        <v>item&lt;br&gt;&lt;div class="audio"&gt;[sound:item.mp3]&lt;/div&gt;</v>
      </c>
      <c r="F1296" s="3" t="str">
        <f t="shared" si="2"/>
        <v>(n): mục</v>
      </c>
      <c r="G1296" s="6" t="s">
        <v>42334</v>
      </c>
      <c r="H1296" s="6" t="s">
        <v>42335</v>
      </c>
      <c r="I1296" s="7">
        <f t="shared" si="3"/>
        <v>0.5816743512</v>
      </c>
    </row>
    <row r="1297">
      <c r="A1297" s="4">
        <v>1297.0</v>
      </c>
      <c r="B1297" s="3" t="s">
        <v>42336</v>
      </c>
      <c r="C1297" s="6" t="s">
        <v>11</v>
      </c>
      <c r="D1297" s="6" t="s">
        <v>42337</v>
      </c>
      <c r="E1297" s="3" t="str">
        <f t="shared" si="1"/>
        <v>wrong&lt;br&gt;&lt;div class="audio"&gt;[sound:wrong.mp3]&lt;/div&gt;</v>
      </c>
      <c r="F1297" s="3" t="str">
        <f t="shared" si="2"/>
        <v>(adj): sai</v>
      </c>
      <c r="G1297" s="6" t="s">
        <v>42338</v>
      </c>
      <c r="H1297" s="6" t="s">
        <v>42339</v>
      </c>
      <c r="I1297" s="7">
        <f t="shared" si="3"/>
        <v>0.3618355431</v>
      </c>
    </row>
    <row r="1298">
      <c r="A1298" s="4">
        <v>1298.0</v>
      </c>
      <c r="B1298" s="3" t="s">
        <v>42340</v>
      </c>
      <c r="C1298" s="6" t="s">
        <v>24</v>
      </c>
      <c r="D1298" s="6" t="s">
        <v>7990</v>
      </c>
      <c r="E1298" s="3" t="str">
        <f t="shared" si="1"/>
        <v>fly&lt;br&gt;&lt;div class="audio"&gt;[sound:fly.mp3]&lt;/div&gt;</v>
      </c>
      <c r="F1298" s="3" t="str">
        <f t="shared" si="2"/>
        <v>(v): bay</v>
      </c>
      <c r="G1298" s="6" t="s">
        <v>42341</v>
      </c>
      <c r="H1298" s="6" t="s">
        <v>42342</v>
      </c>
      <c r="I1298" s="7">
        <f t="shared" si="3"/>
        <v>0.4000331549</v>
      </c>
    </row>
    <row r="1299">
      <c r="A1299" s="4">
        <v>1299.0</v>
      </c>
      <c r="B1299" s="3" t="s">
        <v>42343</v>
      </c>
      <c r="C1299" s="6" t="s">
        <v>74</v>
      </c>
      <c r="D1299" s="6" t="s">
        <v>6539</v>
      </c>
      <c r="E1299" s="3" t="str">
        <f t="shared" si="1"/>
        <v>error&lt;br&gt;&lt;div class="audio"&gt;[sound:error.mp3]&lt;/div&gt;</v>
      </c>
      <c r="F1299" s="3" t="str">
        <f t="shared" si="2"/>
        <v>(n): lỗi</v>
      </c>
      <c r="G1299" s="6" t="s">
        <v>42344</v>
      </c>
      <c r="H1299" s="6" t="s">
        <v>42345</v>
      </c>
      <c r="I1299" s="7">
        <f t="shared" si="3"/>
        <v>0.8610482069</v>
      </c>
    </row>
    <row r="1300">
      <c r="A1300" s="4">
        <v>1300.0</v>
      </c>
      <c r="B1300" s="3" t="s">
        <v>42346</v>
      </c>
      <c r="C1300" s="6" t="s">
        <v>11</v>
      </c>
      <c r="D1300" s="8" t="s">
        <v>42347</v>
      </c>
      <c r="E1300" s="3" t="str">
        <f t="shared" si="1"/>
        <v>sharp&lt;br&gt;&lt;div class="audio"&gt;[sound:sharp.mp3]&lt;/div&gt;</v>
      </c>
      <c r="F1300" s="3" t="str">
        <f t="shared" si="2"/>
        <v>(adj): sắc</v>
      </c>
      <c r="G1300" s="8" t="s">
        <v>42348</v>
      </c>
      <c r="H1300" s="8" t="s">
        <v>42349</v>
      </c>
      <c r="I1300" s="7">
        <f t="shared" si="3"/>
        <v>0.6158801332</v>
      </c>
    </row>
    <row r="1301">
      <c r="A1301" s="4">
        <v>1301.0</v>
      </c>
      <c r="B1301" s="3" t="s">
        <v>42350</v>
      </c>
      <c r="C1301" s="6" t="s">
        <v>11</v>
      </c>
      <c r="D1301" s="6" t="s">
        <v>10104</v>
      </c>
      <c r="E1301" s="3" t="str">
        <f t="shared" si="1"/>
        <v>dark&lt;br&gt;&lt;div class="audio"&gt;[sound:dark.mp3]&lt;/div&gt;</v>
      </c>
      <c r="F1301" s="3" t="str">
        <f t="shared" si="2"/>
        <v>(adj): tối</v>
      </c>
      <c r="G1301" s="6" t="s">
        <v>42351</v>
      </c>
      <c r="H1301" s="6" t="s">
        <v>42352</v>
      </c>
      <c r="I1301" s="7">
        <f t="shared" si="3"/>
        <v>0.9619235456</v>
      </c>
    </row>
    <row r="1302">
      <c r="A1302" s="4">
        <v>1302.0</v>
      </c>
      <c r="B1302" s="3" t="s">
        <v>42353</v>
      </c>
      <c r="C1302" s="6" t="s">
        <v>74</v>
      </c>
      <c r="D1302" s="6" t="s">
        <v>24142</v>
      </c>
      <c r="E1302" s="3" t="str">
        <f t="shared" si="1"/>
        <v>hill&lt;br&gt;&lt;div class="audio"&gt;[sound:hill.mp3]&lt;/div&gt;</v>
      </c>
      <c r="F1302" s="3" t="str">
        <f t="shared" si="2"/>
        <v>(n): đồi</v>
      </c>
      <c r="G1302" s="6" t="s">
        <v>42354</v>
      </c>
      <c r="H1302" s="6" t="s">
        <v>42355</v>
      </c>
      <c r="I1302" s="7">
        <f t="shared" si="3"/>
        <v>0.2411686152</v>
      </c>
    </row>
    <row r="1303">
      <c r="A1303" s="4">
        <v>1303.0</v>
      </c>
      <c r="B1303" s="3" t="s">
        <v>42356</v>
      </c>
      <c r="C1303" s="6" t="s">
        <v>74</v>
      </c>
      <c r="D1303" s="6" t="s">
        <v>6302</v>
      </c>
      <c r="E1303" s="3" t="str">
        <f t="shared" si="1"/>
        <v>island&lt;br&gt;&lt;div class="audio"&gt;[sound:island.mp3]&lt;/div&gt;</v>
      </c>
      <c r="F1303" s="3" t="str">
        <f t="shared" si="2"/>
        <v>(n): đảo</v>
      </c>
      <c r="G1303" s="6" t="s">
        <v>42357</v>
      </c>
      <c r="H1303" s="6" t="s">
        <v>42358</v>
      </c>
      <c r="I1303" s="7">
        <f t="shared" si="3"/>
        <v>0.7334308592</v>
      </c>
    </row>
    <row r="1304">
      <c r="A1304" s="4">
        <v>1304.0</v>
      </c>
      <c r="B1304" s="3" t="s">
        <v>42359</v>
      </c>
      <c r="C1304" s="6" t="s">
        <v>74</v>
      </c>
      <c r="D1304" s="6" t="s">
        <v>42360</v>
      </c>
      <c r="E1304" s="3" t="str">
        <f t="shared" si="1"/>
        <v>cent&lt;br&gt;&lt;div class="audio"&gt;[sound:cent.mp3]&lt;/div&gt;</v>
      </c>
      <c r="F1304" s="3" t="str">
        <f t="shared" si="2"/>
        <v>(n): xu</v>
      </c>
      <c r="G1304" s="6" t="s">
        <v>42361</v>
      </c>
      <c r="H1304" s="6" t="s">
        <v>42362</v>
      </c>
      <c r="I1304" s="7">
        <f t="shared" si="3"/>
        <v>0.713519184</v>
      </c>
    </row>
    <row r="1305">
      <c r="A1305" s="4">
        <v>1305.0</v>
      </c>
      <c r="B1305" s="3" t="s">
        <v>42363</v>
      </c>
      <c r="C1305" s="6" t="s">
        <v>74</v>
      </c>
      <c r="D1305" s="6" t="s">
        <v>29397</v>
      </c>
      <c r="E1305" s="3" t="str">
        <f t="shared" si="1"/>
        <v>cabinet&lt;br&gt;&lt;div class="audio"&gt;[sound:cabinet.mp3]&lt;/div&gt;</v>
      </c>
      <c r="F1305" s="3" t="str">
        <f t="shared" si="2"/>
        <v>(n): tủ</v>
      </c>
      <c r="G1305" s="6" t="s">
        <v>42364</v>
      </c>
      <c r="H1305" s="6" t="s">
        <v>42365</v>
      </c>
      <c r="I1305" s="7">
        <f t="shared" si="3"/>
        <v>0.2511861664</v>
      </c>
    </row>
    <row r="1306">
      <c r="A1306" s="4">
        <v>1306.0</v>
      </c>
      <c r="B1306" s="3" t="s">
        <v>42366</v>
      </c>
      <c r="C1306" s="6" t="s">
        <v>11</v>
      </c>
      <c r="D1306" s="6" t="s">
        <v>4276</v>
      </c>
      <c r="E1306" s="3" t="str">
        <f t="shared" si="1"/>
        <v>red&lt;br&gt;&lt;div class="audio"&gt;[sound:red.mp3]&lt;/div&gt;</v>
      </c>
      <c r="F1306" s="3" t="str">
        <f t="shared" si="2"/>
        <v>(adj): đỏ</v>
      </c>
      <c r="G1306" s="6" t="s">
        <v>42367</v>
      </c>
      <c r="H1306" s="6" t="s">
        <v>42368</v>
      </c>
      <c r="I1306" s="7">
        <f t="shared" si="3"/>
        <v>0.2280272934</v>
      </c>
    </row>
    <row r="1307">
      <c r="A1307" s="4">
        <v>1307.0</v>
      </c>
      <c r="B1307" s="3" t="s">
        <v>42369</v>
      </c>
      <c r="C1307" s="6" t="s">
        <v>74</v>
      </c>
      <c r="D1307" s="8" t="s">
        <v>5021</v>
      </c>
      <c r="E1307" s="3" t="str">
        <f t="shared" si="1"/>
        <v>stone&lt;br&gt;&lt;div class="audio"&gt;[sound:stone.mp3]&lt;/div&gt;</v>
      </c>
      <c r="F1307" s="3" t="str">
        <f t="shared" si="2"/>
        <v>(n): đá</v>
      </c>
      <c r="G1307" s="8" t="s">
        <v>42370</v>
      </c>
      <c r="H1307" s="8" t="s">
        <v>42371</v>
      </c>
      <c r="I1307" s="7">
        <f t="shared" si="3"/>
        <v>0.05034101126</v>
      </c>
    </row>
    <row r="1308">
      <c r="A1308" s="4">
        <v>1308.0</v>
      </c>
      <c r="B1308" s="3" t="s">
        <v>42372</v>
      </c>
      <c r="C1308" s="6" t="s">
        <v>11</v>
      </c>
      <c r="D1308" s="6" t="s">
        <v>42373</v>
      </c>
      <c r="E1308" s="3" t="str">
        <f t="shared" si="1"/>
        <v>cultural&lt;br&gt;&lt;div class="audio"&gt;[sound:cultural.mp3]&lt;/div&gt;</v>
      </c>
      <c r="F1308" s="3" t="str">
        <f t="shared" si="2"/>
        <v>(adj): thuộc văn hóa</v>
      </c>
      <c r="G1308" s="6" t="s">
        <v>42374</v>
      </c>
      <c r="H1308" s="6" t="s">
        <v>42375</v>
      </c>
      <c r="I1308" s="7">
        <f t="shared" si="3"/>
        <v>0.167897437</v>
      </c>
    </row>
    <row r="1309">
      <c r="A1309" s="4">
        <v>1309.0</v>
      </c>
      <c r="B1309" s="3" t="s">
        <v>42376</v>
      </c>
      <c r="C1309" s="6" t="s">
        <v>74</v>
      </c>
      <c r="D1309" s="6" t="s">
        <v>21967</v>
      </c>
      <c r="E1309" s="3" t="str">
        <f t="shared" si="1"/>
        <v>doubt&lt;br&gt;&lt;div class="audio"&gt;[sound:doubt.mp3]&lt;/div&gt;</v>
      </c>
      <c r="F1309" s="3" t="str">
        <f t="shared" si="2"/>
        <v>(n): sự nghi ngờ</v>
      </c>
      <c r="G1309" s="6" t="s">
        <v>42377</v>
      </c>
      <c r="H1309" s="6" t="s">
        <v>42378</v>
      </c>
      <c r="I1309" s="7">
        <f t="shared" si="3"/>
        <v>0.4197977859</v>
      </c>
    </row>
    <row r="1310">
      <c r="A1310" s="4">
        <v>1310.0</v>
      </c>
      <c r="B1310" s="3" t="s">
        <v>42379</v>
      </c>
      <c r="C1310" s="6" t="s">
        <v>11</v>
      </c>
      <c r="D1310" s="6" t="s">
        <v>42380</v>
      </c>
      <c r="E1310" s="3" t="str">
        <f t="shared" si="1"/>
        <v>technical&lt;br&gt;&lt;div class="audio"&gt;[sound:technical.mp3]&lt;/div&gt;</v>
      </c>
      <c r="F1310" s="3" t="str">
        <f t="shared" si="2"/>
        <v>(adj): thuộc kỹ thuật</v>
      </c>
      <c r="G1310" s="6" t="s">
        <v>42381</v>
      </c>
      <c r="H1310" s="6" t="s">
        <v>42382</v>
      </c>
      <c r="I1310" s="7">
        <f t="shared" si="3"/>
        <v>0.8900351499</v>
      </c>
    </row>
    <row r="1311">
      <c r="A1311" s="4">
        <v>1311.0</v>
      </c>
      <c r="B1311" s="3" t="s">
        <v>42383</v>
      </c>
      <c r="C1311" s="6" t="s">
        <v>24</v>
      </c>
      <c r="D1311" s="6" t="s">
        <v>42384</v>
      </c>
      <c r="E1311" s="3" t="str">
        <f t="shared" si="1"/>
        <v>tend&lt;br&gt;&lt;div class="audio"&gt;[sound:tend.mp3]&lt;/div&gt;</v>
      </c>
      <c r="F1311" s="3" t="str">
        <f t="shared" si="2"/>
        <v>(v): có xu hướng</v>
      </c>
      <c r="G1311" s="6" t="s">
        <v>42385</v>
      </c>
      <c r="H1311" s="6" t="s">
        <v>42386</v>
      </c>
      <c r="I1311" s="7">
        <f t="shared" si="3"/>
        <v>0.62796155</v>
      </c>
    </row>
    <row r="1312">
      <c r="A1312" s="4">
        <v>1312.0</v>
      </c>
      <c r="B1312" s="3" t="s">
        <v>42387</v>
      </c>
      <c r="C1312" s="6" t="s">
        <v>85</v>
      </c>
      <c r="D1312" s="6" t="s">
        <v>874</v>
      </c>
      <c r="E1312" s="3" t="str">
        <f t="shared" si="1"/>
        <v>definitely&lt;br&gt;&lt;div class="audio"&gt;[sound:definitely.mp3]&lt;/div&gt;</v>
      </c>
      <c r="F1312" s="3" t="str">
        <f t="shared" si="2"/>
        <v>(adv): chắc chắn</v>
      </c>
      <c r="G1312" s="6" t="s">
        <v>42388</v>
      </c>
      <c r="H1312" s="6" t="s">
        <v>39728</v>
      </c>
      <c r="I1312" s="7">
        <f t="shared" si="3"/>
        <v>0.7732365581</v>
      </c>
    </row>
    <row r="1313">
      <c r="A1313" s="4">
        <v>1313.0</v>
      </c>
      <c r="B1313" s="3" t="s">
        <v>42389</v>
      </c>
      <c r="C1313" s="6" t="s">
        <v>74</v>
      </c>
      <c r="D1313" s="6" t="s">
        <v>4754</v>
      </c>
      <c r="E1313" s="3" t="str">
        <f t="shared" si="1"/>
        <v>goods&lt;br&gt;&lt;div class="audio"&gt;[sound:goods.mp3]&lt;/div&gt;</v>
      </c>
      <c r="F1313" s="3" t="str">
        <f t="shared" si="2"/>
        <v>(n): hàng hóa</v>
      </c>
      <c r="G1313" s="6" t="s">
        <v>42390</v>
      </c>
      <c r="H1313" s="6" t="s">
        <v>42391</v>
      </c>
      <c r="I1313" s="7">
        <f t="shared" si="3"/>
        <v>0.4399400538</v>
      </c>
    </row>
    <row r="1314">
      <c r="A1314" s="4">
        <v>1314.0</v>
      </c>
      <c r="B1314" s="3" t="s">
        <v>42392</v>
      </c>
      <c r="C1314" s="6" t="s">
        <v>74</v>
      </c>
      <c r="D1314" s="6" t="s">
        <v>42393</v>
      </c>
      <c r="E1314" s="3" t="str">
        <f t="shared" si="1"/>
        <v>corporation&lt;br&gt;&lt;div class="audio"&gt;[sound:corporation.mp3]&lt;/div&gt;</v>
      </c>
      <c r="F1314" s="3" t="str">
        <f t="shared" si="2"/>
        <v>(n): tập đoàn</v>
      </c>
      <c r="G1314" s="6" t="s">
        <v>42394</v>
      </c>
      <c r="H1314" s="6" t="s">
        <v>42395</v>
      </c>
      <c r="I1314" s="7">
        <f t="shared" si="3"/>
        <v>0.1948743833</v>
      </c>
    </row>
    <row r="1315">
      <c r="A1315" s="4">
        <v>1315.0</v>
      </c>
      <c r="B1315" s="3" t="s">
        <v>42396</v>
      </c>
      <c r="C1315" s="6" t="s">
        <v>74</v>
      </c>
      <c r="D1315" s="6" t="s">
        <v>7019</v>
      </c>
      <c r="E1315" s="3" t="str">
        <f t="shared" si="1"/>
        <v>driver&lt;br&gt;&lt;div class="audio"&gt;[sound:driver.mp3]&lt;/div&gt;</v>
      </c>
      <c r="F1315" s="3" t="str">
        <f t="shared" si="2"/>
        <v>(n): tài xế</v>
      </c>
      <c r="G1315" s="6" t="s">
        <v>42397</v>
      </c>
      <c r="H1315" s="6" t="s">
        <v>42398</v>
      </c>
      <c r="I1315" s="7">
        <f t="shared" si="3"/>
        <v>0.04585833202</v>
      </c>
    </row>
    <row r="1316">
      <c r="A1316" s="4">
        <v>1316.0</v>
      </c>
      <c r="B1316" s="3" t="s">
        <v>42399</v>
      </c>
      <c r="C1316" s="6" t="s">
        <v>74</v>
      </c>
      <c r="D1316" s="6" t="s">
        <v>42400</v>
      </c>
      <c r="E1316" s="3" t="str">
        <f t="shared" si="1"/>
        <v>danger&lt;br&gt;&lt;div class="audio"&gt;[sound:danger.mp3]&lt;/div&gt;</v>
      </c>
      <c r="F1316" s="3" t="str">
        <f t="shared" si="2"/>
        <v>(n): sự nguy hiểm</v>
      </c>
      <c r="G1316" s="6" t="s">
        <v>42401</v>
      </c>
      <c r="H1316" s="6" t="s">
        <v>42402</v>
      </c>
      <c r="I1316" s="7">
        <f t="shared" si="3"/>
        <v>0.8468705251</v>
      </c>
    </row>
    <row r="1317">
      <c r="A1317" s="4">
        <v>1317.0</v>
      </c>
      <c r="B1317" s="3" t="s">
        <v>42403</v>
      </c>
      <c r="C1317" s="6" t="s">
        <v>74</v>
      </c>
      <c r="D1317" s="6" t="s">
        <v>21536</v>
      </c>
      <c r="E1317" s="3" t="str">
        <f t="shared" si="1"/>
        <v>dinner&lt;br&gt;&lt;div class="audio"&gt;[sound:dinner.mp3]&lt;/div&gt;</v>
      </c>
      <c r="F1317" s="3" t="str">
        <f t="shared" si="2"/>
        <v>(n): bữa tối</v>
      </c>
      <c r="G1317" s="6" t="s">
        <v>42404</v>
      </c>
      <c r="H1317" s="6" t="s">
        <v>42405</v>
      </c>
      <c r="I1317" s="7">
        <f t="shared" si="3"/>
        <v>0.6574550726</v>
      </c>
    </row>
    <row r="1318">
      <c r="A1318" s="4">
        <v>1318.0</v>
      </c>
      <c r="B1318" s="3" t="s">
        <v>42406</v>
      </c>
      <c r="C1318" s="6" t="s">
        <v>74</v>
      </c>
      <c r="D1318" s="6" t="s">
        <v>42407</v>
      </c>
      <c r="E1318" s="3" t="str">
        <f t="shared" si="1"/>
        <v>tour&lt;br&gt;&lt;div class="audio"&gt;[sound:tour.mp3]&lt;/div&gt;</v>
      </c>
      <c r="F1318" s="3" t="str">
        <f t="shared" si="2"/>
        <v>(n): chuyến tham quan</v>
      </c>
      <c r="G1318" s="6" t="s">
        <v>42408</v>
      </c>
      <c r="H1318" s="6" t="s">
        <v>42409</v>
      </c>
      <c r="I1318" s="7">
        <f t="shared" si="3"/>
        <v>0.2412796023</v>
      </c>
    </row>
    <row r="1319">
      <c r="A1319" s="4">
        <v>1319.0</v>
      </c>
      <c r="B1319" s="3" t="s">
        <v>42410</v>
      </c>
      <c r="C1319" s="6" t="s">
        <v>74</v>
      </c>
      <c r="D1319" s="6" t="s">
        <v>42411</v>
      </c>
      <c r="E1319" s="3" t="str">
        <f t="shared" si="1"/>
        <v>testing&lt;br&gt;&lt;div class="audio"&gt;[sound:testing.mp3]&lt;/div&gt;</v>
      </c>
      <c r="F1319" s="3" t="str">
        <f t="shared" si="2"/>
        <v>(n): việc thử nghiệm</v>
      </c>
      <c r="G1319" s="6" t="s">
        <v>42412</v>
      </c>
      <c r="H1319" s="6" t="s">
        <v>42413</v>
      </c>
      <c r="I1319" s="7">
        <f t="shared" si="3"/>
        <v>0.3861956841</v>
      </c>
    </row>
    <row r="1320">
      <c r="A1320" s="4">
        <v>1320.0</v>
      </c>
      <c r="B1320" s="3" t="s">
        <v>42414</v>
      </c>
      <c r="C1320" s="6" t="s">
        <v>74</v>
      </c>
      <c r="D1320" s="6" t="s">
        <v>13652</v>
      </c>
      <c r="E1320" s="3" t="str">
        <f t="shared" si="1"/>
        <v>tradition&lt;br&gt;&lt;div class="audio"&gt;[sound:tradition.mp3]&lt;/div&gt;</v>
      </c>
      <c r="F1320" s="3" t="str">
        <f t="shared" si="2"/>
        <v>(n): truyền thống</v>
      </c>
      <c r="G1320" s="6" t="s">
        <v>42415</v>
      </c>
      <c r="H1320" s="6" t="s">
        <v>42416</v>
      </c>
      <c r="I1320" s="7">
        <f t="shared" si="3"/>
        <v>0.1761144118</v>
      </c>
    </row>
    <row r="1321">
      <c r="A1321" s="4">
        <v>1321.0</v>
      </c>
      <c r="B1321" s="3" t="s">
        <v>42417</v>
      </c>
      <c r="C1321" s="6" t="s">
        <v>74</v>
      </c>
      <c r="D1321" s="6" t="s">
        <v>42418</v>
      </c>
      <c r="E1321" s="3" t="str">
        <f t="shared" si="1"/>
        <v>variety&lt;br&gt;&lt;div class="audio"&gt;[sound:variety.mp3]&lt;/div&gt;</v>
      </c>
      <c r="F1321" s="3" t="str">
        <f t="shared" si="2"/>
        <v>(n): sự đa dạng</v>
      </c>
      <c r="G1321" s="6" t="s">
        <v>42419</v>
      </c>
      <c r="H1321" s="6" t="s">
        <v>42420</v>
      </c>
      <c r="I1321" s="7">
        <f t="shared" si="3"/>
        <v>0.6347161388</v>
      </c>
    </row>
    <row r="1322">
      <c r="A1322" s="4">
        <v>1322.0</v>
      </c>
      <c r="B1322" s="3" t="s">
        <v>42421</v>
      </c>
      <c r="C1322" s="6" t="s">
        <v>11</v>
      </c>
      <c r="D1322" s="6" t="s">
        <v>32964</v>
      </c>
      <c r="E1322" s="3" t="str">
        <f t="shared" si="1"/>
        <v>negative&lt;br&gt;&lt;div class="audio"&gt;[sound:negative.mp3]&lt;/div&gt;</v>
      </c>
      <c r="F1322" s="3" t="str">
        <f t="shared" si="2"/>
        <v>(adj): tiêu cực</v>
      </c>
      <c r="G1322" s="6" t="s">
        <v>42422</v>
      </c>
      <c r="H1322" s="6" t="s">
        <v>42423</v>
      </c>
      <c r="I1322" s="7">
        <f t="shared" si="3"/>
        <v>0.4473830611</v>
      </c>
    </row>
    <row r="1323">
      <c r="A1323" s="4">
        <v>1323.0</v>
      </c>
      <c r="B1323" s="3" t="s">
        <v>42424</v>
      </c>
      <c r="C1323" s="6" t="s">
        <v>74</v>
      </c>
      <c r="D1323" s="6" t="s">
        <v>9666</v>
      </c>
      <c r="E1323" s="3" t="str">
        <f t="shared" si="1"/>
        <v>description&lt;br&gt;&lt;div class="audio"&gt;[sound:description.mp3]&lt;/div&gt;</v>
      </c>
      <c r="F1323" s="3" t="str">
        <f t="shared" si="2"/>
        <v>(n): sự mô tả</v>
      </c>
      <c r="G1323" s="6" t="s">
        <v>42425</v>
      </c>
      <c r="H1323" s="6" t="s">
        <v>42426</v>
      </c>
      <c r="I1323" s="7">
        <f t="shared" si="3"/>
        <v>0.6115752835</v>
      </c>
    </row>
    <row r="1324">
      <c r="A1324" s="4">
        <v>1324.0</v>
      </c>
      <c r="B1324" s="3" t="s">
        <v>42427</v>
      </c>
      <c r="C1324" s="6" t="s">
        <v>74</v>
      </c>
      <c r="D1324" s="6" t="s">
        <v>8408</v>
      </c>
      <c r="E1324" s="3" t="str">
        <f t="shared" si="1"/>
        <v>trend&lt;br&gt;&lt;div class="audio"&gt;[sound:trend.mp3]&lt;/div&gt;</v>
      </c>
      <c r="F1324" s="3" t="str">
        <f t="shared" si="2"/>
        <v>(n): xu hướng</v>
      </c>
      <c r="G1324" s="6" t="s">
        <v>42428</v>
      </c>
      <c r="H1324" s="6" t="s">
        <v>42429</v>
      </c>
      <c r="I1324" s="7">
        <f t="shared" si="3"/>
        <v>0.8960615262</v>
      </c>
    </row>
    <row r="1325">
      <c r="A1325" s="4">
        <v>1325.0</v>
      </c>
      <c r="B1325" s="3" t="s">
        <v>42430</v>
      </c>
      <c r="C1325" s="6" t="s">
        <v>24</v>
      </c>
      <c r="D1325" s="6" t="s">
        <v>42431</v>
      </c>
      <c r="E1325" s="3" t="str">
        <f t="shared" si="1"/>
        <v>hurt&lt;br&gt;&lt;div class="audio"&gt;[sound:hurt.mp3]&lt;/div&gt;</v>
      </c>
      <c r="F1325" s="3" t="str">
        <f t="shared" si="2"/>
        <v>(v): làm đau</v>
      </c>
      <c r="G1325" s="6" t="s">
        <v>42432</v>
      </c>
      <c r="H1325" s="6" t="s">
        <v>42433</v>
      </c>
      <c r="I1325" s="7">
        <f t="shared" si="3"/>
        <v>0.9172323421</v>
      </c>
    </row>
    <row r="1326">
      <c r="A1326" s="4">
        <v>1326.0</v>
      </c>
      <c r="B1326" s="3" t="s">
        <v>42434</v>
      </c>
      <c r="C1326" s="6" t="s">
        <v>11</v>
      </c>
      <c r="D1326" s="6" t="s">
        <v>16825</v>
      </c>
      <c r="E1326" s="3" t="str">
        <f t="shared" si="1"/>
        <v>tired&lt;br&gt;&lt;div class="audio"&gt;[sound:tired.mp3]&lt;/div&gt;</v>
      </c>
      <c r="F1326" s="3" t="str">
        <f t="shared" si="2"/>
        <v>(adj): mệt mỏi</v>
      </c>
      <c r="G1326" s="6" t="s">
        <v>42435</v>
      </c>
      <c r="H1326" s="6" t="s">
        <v>42436</v>
      </c>
      <c r="I1326" s="7">
        <f t="shared" si="3"/>
        <v>0.4894005741</v>
      </c>
    </row>
    <row r="1327">
      <c r="A1327" s="4">
        <v>1327.0</v>
      </c>
      <c r="B1327" s="3" t="s">
        <v>42437</v>
      </c>
      <c r="C1327" s="6" t="s">
        <v>85</v>
      </c>
      <c r="D1327" s="6" t="s">
        <v>42438</v>
      </c>
      <c r="E1327" s="3" t="str">
        <f t="shared" si="1"/>
        <v>twice&lt;br&gt;&lt;div class="audio"&gt;[sound:twice.mp3]&lt;/div&gt;</v>
      </c>
      <c r="F1327" s="3" t="str">
        <f t="shared" si="2"/>
        <v>(adv): hai lần</v>
      </c>
      <c r="G1327" s="6" t="s">
        <v>42439</v>
      </c>
      <c r="H1327" s="6" t="s">
        <v>42440</v>
      </c>
      <c r="I1327" s="7">
        <f t="shared" si="3"/>
        <v>0.6002053427</v>
      </c>
    </row>
    <row r="1328">
      <c r="A1328" s="4">
        <v>1328.0</v>
      </c>
      <c r="B1328" s="3" t="s">
        <v>42441</v>
      </c>
      <c r="C1328" s="6" t="s">
        <v>74</v>
      </c>
      <c r="D1328" s="6" t="s">
        <v>19821</v>
      </c>
      <c r="E1328" s="3" t="str">
        <f t="shared" si="1"/>
        <v>copy&lt;br&gt;&lt;div class="audio"&gt;[sound:copy.mp3]&lt;/div&gt;</v>
      </c>
      <c r="F1328" s="3" t="str">
        <f t="shared" si="2"/>
        <v>(n): bản sao</v>
      </c>
      <c r="G1328" s="6" t="s">
        <v>42442</v>
      </c>
      <c r="H1328" s="6" t="s">
        <v>42443</v>
      </c>
      <c r="I1328" s="7">
        <f t="shared" si="3"/>
        <v>0.1531975048</v>
      </c>
    </row>
    <row r="1329">
      <c r="A1329" s="4">
        <v>1329.0</v>
      </c>
      <c r="B1329" s="3" t="s">
        <v>42444</v>
      </c>
      <c r="C1329" s="6" t="s">
        <v>74</v>
      </c>
      <c r="D1329" s="6" t="s">
        <v>10214</v>
      </c>
      <c r="E1329" s="3" t="str">
        <f t="shared" si="1"/>
        <v>grade&lt;br&gt;&lt;div class="audio"&gt;[sound:grade.mp3]&lt;/div&gt;</v>
      </c>
      <c r="F1329" s="3" t="str">
        <f t="shared" si="2"/>
        <v>(n): điểm số</v>
      </c>
      <c r="G1329" s="6" t="s">
        <v>42445</v>
      </c>
      <c r="H1329" s="6" t="s">
        <v>42446</v>
      </c>
      <c r="I1329" s="7">
        <f t="shared" si="3"/>
        <v>0.002948035392</v>
      </c>
    </row>
    <row r="1330">
      <c r="A1330" s="4">
        <v>1330.0</v>
      </c>
      <c r="B1330" s="3" t="s">
        <v>42447</v>
      </c>
      <c r="C1330" s="6" t="s">
        <v>74</v>
      </c>
      <c r="D1330" s="6" t="s">
        <v>3796</v>
      </c>
      <c r="E1330" s="3" t="str">
        <f t="shared" si="1"/>
        <v>theme&lt;br&gt;&lt;div class="audio"&gt;[sound:theme.mp3]&lt;/div&gt;</v>
      </c>
      <c r="F1330" s="3" t="str">
        <f t="shared" si="2"/>
        <v>(n): chủ đề</v>
      </c>
      <c r="G1330" s="6" t="s">
        <v>42448</v>
      </c>
      <c r="H1330" s="6" t="s">
        <v>42449</v>
      </c>
      <c r="I1330" s="7">
        <f t="shared" si="3"/>
        <v>0.4222067742</v>
      </c>
    </row>
    <row r="1331">
      <c r="A1331" s="4">
        <v>1331.0</v>
      </c>
      <c r="B1331" s="3" t="s">
        <v>42450</v>
      </c>
      <c r="C1331" s="6" t="s">
        <v>24</v>
      </c>
      <c r="D1331" s="6" t="s">
        <v>7056</v>
      </c>
      <c r="E1331" s="3" t="str">
        <f t="shared" si="1"/>
        <v>jump&lt;br&gt;&lt;div class="audio"&gt;[sound:jump.mp3]&lt;/div&gt;</v>
      </c>
      <c r="F1331" s="3" t="str">
        <f t="shared" si="2"/>
        <v>(v): nhảy</v>
      </c>
      <c r="G1331" s="6" t="s">
        <v>42451</v>
      </c>
      <c r="H1331" s="6" t="s">
        <v>42452</v>
      </c>
      <c r="I1331" s="7">
        <f t="shared" si="3"/>
        <v>0.9166779769</v>
      </c>
    </row>
    <row r="1332">
      <c r="A1332" s="4">
        <v>1332.0</v>
      </c>
      <c r="B1332" s="3" t="s">
        <v>42453</v>
      </c>
      <c r="C1332" s="6" t="s">
        <v>11</v>
      </c>
      <c r="D1332" s="6" t="s">
        <v>4270</v>
      </c>
      <c r="E1332" s="3" t="str">
        <f t="shared" si="1"/>
        <v>thin&lt;br&gt;&lt;div class="audio"&gt;[sound:thin.mp3]&lt;/div&gt;</v>
      </c>
      <c r="F1332" s="3" t="str">
        <f t="shared" si="2"/>
        <v>(adj): mỏng</v>
      </c>
      <c r="G1332" s="6" t="s">
        <v>42454</v>
      </c>
      <c r="H1332" s="6" t="s">
        <v>42455</v>
      </c>
      <c r="I1332" s="7">
        <f t="shared" si="3"/>
        <v>0.1646034046</v>
      </c>
    </row>
    <row r="1333">
      <c r="A1333" s="4">
        <v>1333.0</v>
      </c>
      <c r="B1333" s="3" t="s">
        <v>42456</v>
      </c>
      <c r="C1333" s="6" t="s">
        <v>24</v>
      </c>
      <c r="D1333" s="6" t="s">
        <v>1520</v>
      </c>
      <c r="E1333" s="3" t="str">
        <f t="shared" si="1"/>
        <v>laugh&lt;br&gt;&lt;div class="audio"&gt;[sound:laugh.mp3]&lt;/div&gt;</v>
      </c>
      <c r="F1333" s="3" t="str">
        <f t="shared" si="2"/>
        <v>(v): cười</v>
      </c>
      <c r="G1333" s="6" t="s">
        <v>42457</v>
      </c>
      <c r="H1333" s="6" t="s">
        <v>42458</v>
      </c>
      <c r="I1333" s="7">
        <f t="shared" si="3"/>
        <v>0.5558937186</v>
      </c>
    </row>
    <row r="1334">
      <c r="A1334" s="4">
        <v>1334.0</v>
      </c>
      <c r="B1334" s="3" t="s">
        <v>42459</v>
      </c>
      <c r="C1334" s="6" t="s">
        <v>24</v>
      </c>
      <c r="D1334" s="6" t="s">
        <v>26809</v>
      </c>
      <c r="E1334" s="3" t="str">
        <f t="shared" si="1"/>
        <v>hire&lt;br&gt;&lt;div class="audio"&gt;[sound:hire.mp3]&lt;/div&gt;</v>
      </c>
      <c r="F1334" s="3" t="str">
        <f t="shared" si="2"/>
        <v>(v): thuê</v>
      </c>
      <c r="G1334" s="6" t="s">
        <v>42460</v>
      </c>
      <c r="H1334" s="6" t="s">
        <v>42461</v>
      </c>
      <c r="I1334" s="7">
        <f t="shared" si="3"/>
        <v>0.996356878</v>
      </c>
    </row>
    <row r="1335">
      <c r="A1335" s="4">
        <v>1335.0</v>
      </c>
      <c r="B1335" s="3" t="s">
        <v>42462</v>
      </c>
      <c r="C1335" s="6" t="s">
        <v>74</v>
      </c>
      <c r="D1335" s="6" t="s">
        <v>42463</v>
      </c>
      <c r="E1335" s="3" t="str">
        <f t="shared" si="1"/>
        <v>gene&lt;br&gt;&lt;div class="audio"&gt;[sound:gene.mp3]&lt;/div&gt;</v>
      </c>
      <c r="F1335" s="3" t="str">
        <f t="shared" si="2"/>
        <v>(n): gen</v>
      </c>
      <c r="G1335" s="6" t="s">
        <v>42464</v>
      </c>
      <c r="H1335" s="6" t="s">
        <v>42465</v>
      </c>
      <c r="I1335" s="7">
        <f t="shared" si="3"/>
        <v>0.1124526273</v>
      </c>
    </row>
    <row r="1336">
      <c r="A1336" s="4">
        <v>1336.0</v>
      </c>
      <c r="B1336" s="3" t="s">
        <v>42466</v>
      </c>
      <c r="C1336" s="6" t="s">
        <v>74</v>
      </c>
      <c r="D1336" s="6" t="s">
        <v>27107</v>
      </c>
      <c r="E1336" s="3" t="str">
        <f t="shared" si="1"/>
        <v>king&lt;br&gt;&lt;div class="audio"&gt;[sound:king.mp3]&lt;/div&gt;</v>
      </c>
      <c r="F1336" s="3" t="str">
        <f t="shared" si="2"/>
        <v>(n): vua</v>
      </c>
      <c r="G1336" s="6" t="s">
        <v>42467</v>
      </c>
      <c r="H1336" s="6" t="s">
        <v>31350</v>
      </c>
      <c r="I1336" s="7">
        <f t="shared" si="3"/>
        <v>0.9436521727</v>
      </c>
    </row>
    <row r="1337">
      <c r="A1337" s="4">
        <v>1337.0</v>
      </c>
      <c r="B1337" s="3" t="s">
        <v>42468</v>
      </c>
      <c r="C1337" s="6" t="s">
        <v>11</v>
      </c>
      <c r="D1337" s="6" t="s">
        <v>8233</v>
      </c>
      <c r="E1337" s="3" t="str">
        <f t="shared" si="1"/>
        <v>dangerous&lt;br&gt;&lt;div class="audio"&gt;[sound:dangerous.mp3]&lt;/div&gt;</v>
      </c>
      <c r="F1337" s="3" t="str">
        <f t="shared" si="2"/>
        <v>(adj): nguy hiểm</v>
      </c>
      <c r="G1337" s="6" t="s">
        <v>42469</v>
      </c>
      <c r="H1337" s="6" t="s">
        <v>42470</v>
      </c>
      <c r="I1337" s="7">
        <f t="shared" si="3"/>
        <v>0.8247900375</v>
      </c>
    </row>
    <row r="1338">
      <c r="A1338" s="4">
        <v>1338.0</v>
      </c>
      <c r="B1338" s="3" t="s">
        <v>42471</v>
      </c>
      <c r="C1338" s="6" t="s">
        <v>74</v>
      </c>
      <c r="D1338" s="6" t="s">
        <v>8066</v>
      </c>
      <c r="E1338" s="3" t="str">
        <f t="shared" si="1"/>
        <v>device&lt;br&gt;&lt;div class="audio"&gt;[sound:device.mp3]&lt;/div&gt;</v>
      </c>
      <c r="F1338" s="3" t="str">
        <f t="shared" si="2"/>
        <v>(n): thiết bị</v>
      </c>
      <c r="G1338" s="6" t="s">
        <v>42472</v>
      </c>
      <c r="H1338" s="6" t="s">
        <v>42473</v>
      </c>
      <c r="I1338" s="7">
        <f t="shared" si="3"/>
        <v>0.1753696561</v>
      </c>
    </row>
    <row r="1339">
      <c r="A1339" s="4">
        <v>1339.0</v>
      </c>
      <c r="B1339" s="3" t="s">
        <v>42474</v>
      </c>
      <c r="C1339" s="6" t="s">
        <v>74</v>
      </c>
      <c r="D1339" s="6" t="s">
        <v>42475</v>
      </c>
      <c r="E1339" s="3" t="str">
        <f t="shared" si="1"/>
        <v>crisis&lt;br&gt;&lt;div class="audio"&gt;[sound:crisis.mp3]&lt;/div&gt;</v>
      </c>
      <c r="F1339" s="3" t="str">
        <f t="shared" si="2"/>
        <v>(n): cuộc khủng hoảng</v>
      </c>
      <c r="G1339" s="6" t="s">
        <v>42476</v>
      </c>
      <c r="H1339" s="6" t="s">
        <v>42477</v>
      </c>
      <c r="I1339" s="7">
        <f t="shared" si="3"/>
        <v>0.722213663</v>
      </c>
    </row>
    <row r="1340">
      <c r="A1340" s="4">
        <v>1340.0</v>
      </c>
      <c r="B1340" s="3" t="s">
        <v>42478</v>
      </c>
      <c r="C1340" s="6" t="s">
        <v>11</v>
      </c>
      <c r="D1340" s="6" t="s">
        <v>42479</v>
      </c>
      <c r="E1340" s="3" t="str">
        <f t="shared" si="1"/>
        <v>democratic&lt;br&gt;&lt;div class="audio"&gt;[sound:democratic.mp3]&lt;/div&gt;</v>
      </c>
      <c r="F1340" s="3" t="str">
        <f t="shared" si="2"/>
        <v>(adj): thuộc dân chủ</v>
      </c>
      <c r="G1340" s="6" t="s">
        <v>42480</v>
      </c>
      <c r="H1340" s="6" t="s">
        <v>42481</v>
      </c>
      <c r="I1340" s="7">
        <f t="shared" si="3"/>
        <v>0.5304859051</v>
      </c>
    </row>
    <row r="1341">
      <c r="A1341" s="4">
        <v>1341.0</v>
      </c>
      <c r="B1341" s="3" t="s">
        <v>42482</v>
      </c>
      <c r="C1341" s="6" t="s">
        <v>74</v>
      </c>
      <c r="D1341" s="6" t="s">
        <v>12012</v>
      </c>
      <c r="E1341" s="3" t="str">
        <f t="shared" si="1"/>
        <v>dress&lt;br&gt;&lt;div class="audio"&gt;[sound:dress.mp3]&lt;/div&gt;</v>
      </c>
      <c r="F1341" s="3" t="str">
        <f t="shared" si="2"/>
        <v>(n): váy</v>
      </c>
      <c r="G1341" s="6" t="s">
        <v>42483</v>
      </c>
      <c r="H1341" s="6" t="s">
        <v>42484</v>
      </c>
      <c r="I1341" s="7">
        <f t="shared" si="3"/>
        <v>0.3024021612</v>
      </c>
    </row>
    <row r="1342">
      <c r="A1342" s="4">
        <v>1342.0</v>
      </c>
      <c r="B1342" s="3" t="s">
        <v>42485</v>
      </c>
      <c r="C1342" s="6" t="s">
        <v>74</v>
      </c>
      <c r="D1342" s="6" t="s">
        <v>925</v>
      </c>
      <c r="E1342" s="3" t="str">
        <f t="shared" si="1"/>
        <v>taste&lt;br&gt;&lt;div class="audio"&gt;[sound:taste.mp3]&lt;/div&gt;</v>
      </c>
      <c r="F1342" s="3" t="str">
        <f t="shared" si="2"/>
        <v>(n): vị</v>
      </c>
      <c r="G1342" s="6" t="s">
        <v>42486</v>
      </c>
      <c r="H1342" s="6" t="s">
        <v>42487</v>
      </c>
      <c r="I1342" s="7">
        <f t="shared" si="3"/>
        <v>0.2525938294</v>
      </c>
    </row>
    <row r="1343">
      <c r="A1343" s="4">
        <v>1343.0</v>
      </c>
      <c r="B1343" s="3" t="s">
        <v>42488</v>
      </c>
      <c r="C1343" s="6" t="s">
        <v>74</v>
      </c>
      <c r="D1343" s="6" t="s">
        <v>42489</v>
      </c>
      <c r="E1343" s="3" t="str">
        <f t="shared" si="1"/>
        <v>damage&lt;br&gt;&lt;div class="audio"&gt;[sound:damage.mp3]&lt;/div&gt;</v>
      </c>
      <c r="F1343" s="3" t="str">
        <f t="shared" si="2"/>
        <v>(n): sự thiệt hại</v>
      </c>
      <c r="G1343" s="6" t="s">
        <v>42490</v>
      </c>
      <c r="H1343" s="6" t="s">
        <v>42491</v>
      </c>
      <c r="I1343" s="7">
        <f t="shared" si="3"/>
        <v>0.1505906085</v>
      </c>
    </row>
    <row r="1344">
      <c r="A1344" s="4">
        <v>1344.0</v>
      </c>
      <c r="B1344" s="3" t="s">
        <v>42492</v>
      </c>
      <c r="C1344" s="6" t="s">
        <v>74</v>
      </c>
      <c r="D1344" s="6" t="s">
        <v>9015</v>
      </c>
      <c r="E1344" s="3" t="str">
        <f t="shared" si="1"/>
        <v>disease&lt;br&gt;&lt;div class="audio"&gt;[sound:disease.mp3]&lt;/div&gt;</v>
      </c>
      <c r="F1344" s="3" t="str">
        <f t="shared" si="2"/>
        <v>(n): bệnh</v>
      </c>
      <c r="G1344" s="6" t="s">
        <v>42493</v>
      </c>
      <c r="H1344" s="6" t="s">
        <v>42494</v>
      </c>
      <c r="I1344" s="7">
        <f t="shared" si="3"/>
        <v>0.03919401233</v>
      </c>
    </row>
    <row r="1345">
      <c r="A1345" s="4">
        <v>1345.0</v>
      </c>
      <c r="B1345" s="3" t="s">
        <v>42495</v>
      </c>
      <c r="C1345" s="6" t="s">
        <v>74</v>
      </c>
      <c r="D1345" s="6" t="s">
        <v>42496</v>
      </c>
      <c r="E1345" s="3" t="str">
        <f t="shared" si="1"/>
        <v>edge&lt;br&gt;&lt;div class="audio"&gt;[sound:edge.mp3]&lt;/div&gt;</v>
      </c>
      <c r="F1345" s="3" t="str">
        <f t="shared" si="2"/>
        <v>(n): cạnh</v>
      </c>
      <c r="G1345" s="6" t="s">
        <v>42497</v>
      </c>
      <c r="H1345" s="6" t="s">
        <v>42498</v>
      </c>
      <c r="I1345" s="7">
        <f t="shared" si="3"/>
        <v>0.8928868987</v>
      </c>
    </row>
    <row r="1346">
      <c r="A1346" s="4">
        <v>1346.0</v>
      </c>
      <c r="B1346" s="3" t="s">
        <v>42499</v>
      </c>
      <c r="C1346" s="6" t="s">
        <v>85</v>
      </c>
      <c r="D1346" s="6" t="s">
        <v>42500</v>
      </c>
      <c r="E1346" s="3" t="str">
        <f t="shared" si="1"/>
        <v>effectively&lt;br&gt;&lt;div class="audio"&gt;[sound:effectively.mp3]&lt;/div&gt;</v>
      </c>
      <c r="F1346" s="3" t="str">
        <f t="shared" si="2"/>
        <v>(adv): một cách hiệu quả</v>
      </c>
      <c r="G1346" s="6" t="s">
        <v>42501</v>
      </c>
      <c r="H1346" s="6" t="s">
        <v>42502</v>
      </c>
      <c r="I1346" s="7">
        <f t="shared" si="3"/>
        <v>0.7687385038</v>
      </c>
    </row>
    <row r="1347">
      <c r="A1347" s="4">
        <v>1347.0</v>
      </c>
      <c r="B1347" s="3" t="s">
        <v>42503</v>
      </c>
      <c r="C1347" s="6" t="s">
        <v>74</v>
      </c>
      <c r="D1347" s="6" t="s">
        <v>42504</v>
      </c>
      <c r="E1347" s="3" t="str">
        <f t="shared" si="1"/>
        <v>contrast&lt;br&gt;&lt;div class="audio"&gt;[sound:contrast.mp3]&lt;/div&gt;</v>
      </c>
      <c r="F1347" s="3" t="str">
        <f t="shared" si="2"/>
        <v>(n): sự tương phản</v>
      </c>
      <c r="G1347" s="6" t="s">
        <v>42505</v>
      </c>
      <c r="H1347" s="6" t="s">
        <v>42506</v>
      </c>
      <c r="I1347" s="7">
        <f t="shared" si="3"/>
        <v>0.3283001753</v>
      </c>
    </row>
    <row r="1348">
      <c r="A1348" s="4">
        <v>1348.0</v>
      </c>
      <c r="B1348" s="3" t="s">
        <v>42507</v>
      </c>
      <c r="C1348" s="6" t="s">
        <v>74</v>
      </c>
      <c r="D1348" s="8" t="s">
        <v>42508</v>
      </c>
      <c r="E1348" s="3" t="str">
        <f t="shared" si="1"/>
        <v>sympathy&lt;br&gt;&lt;div class="audio"&gt;[sound:sympathy.mp3]&lt;/div&gt;</v>
      </c>
      <c r="F1348" s="3" t="str">
        <f t="shared" si="2"/>
        <v>(n): sự thông cảm</v>
      </c>
      <c r="G1348" s="8" t="s">
        <v>42509</v>
      </c>
      <c r="H1348" s="8" t="s">
        <v>42510</v>
      </c>
      <c r="I1348" s="7">
        <f t="shared" si="3"/>
        <v>0.2134952974</v>
      </c>
    </row>
    <row r="1349">
      <c r="A1349" s="4">
        <v>1349.0</v>
      </c>
      <c r="B1349" s="3" t="s">
        <v>42511</v>
      </c>
      <c r="C1349" s="6" t="s">
        <v>74</v>
      </c>
      <c r="D1349" s="6" t="s">
        <v>42512</v>
      </c>
      <c r="E1349" s="3" t="str">
        <f t="shared" si="1"/>
        <v>trial&lt;br&gt;&lt;div class="audio"&gt;[sound:trial.mp3]&lt;/div&gt;</v>
      </c>
      <c r="F1349" s="3" t="str">
        <f t="shared" si="2"/>
        <v>(n): phiên tòa</v>
      </c>
      <c r="G1349" s="6" t="s">
        <v>42513</v>
      </c>
      <c r="H1349" s="6" t="s">
        <v>42514</v>
      </c>
      <c r="I1349" s="7">
        <f t="shared" si="3"/>
        <v>0.2420702737</v>
      </c>
    </row>
    <row r="1350">
      <c r="A1350" s="4">
        <v>1350.0</v>
      </c>
      <c r="B1350" s="3" t="s">
        <v>42515</v>
      </c>
      <c r="C1350" s="6" t="s">
        <v>11</v>
      </c>
      <c r="D1350" s="6" t="s">
        <v>42516</v>
      </c>
      <c r="E1350" s="3" t="str">
        <f t="shared" si="1"/>
        <v>genuine&lt;br&gt;&lt;div class="audio"&gt;[sound:genuine.mp3]&lt;/div&gt;</v>
      </c>
      <c r="F1350" s="3" t="str">
        <f t="shared" si="2"/>
        <v>(adj): chân thật</v>
      </c>
      <c r="G1350" s="6" t="s">
        <v>42517</v>
      </c>
      <c r="H1350" s="6" t="s">
        <v>42518</v>
      </c>
      <c r="I1350" s="7">
        <f t="shared" si="3"/>
        <v>0.639155805</v>
      </c>
    </row>
    <row r="1351">
      <c r="A1351" s="4">
        <v>1351.0</v>
      </c>
      <c r="B1351" s="3" t="s">
        <v>42519</v>
      </c>
      <c r="C1351" s="6" t="s">
        <v>24</v>
      </c>
      <c r="D1351" s="6" t="s">
        <v>17945</v>
      </c>
      <c r="E1351" s="3" t="str">
        <f t="shared" si="1"/>
        <v>deny&lt;br&gt;&lt;div class="audio"&gt;[sound:deny.mp3]&lt;/div&gt;</v>
      </c>
      <c r="F1351" s="3" t="str">
        <f t="shared" si="2"/>
        <v>(v): phủ nhận</v>
      </c>
      <c r="G1351" s="6" t="s">
        <v>42520</v>
      </c>
      <c r="H1351" s="6" t="s">
        <v>42521</v>
      </c>
      <c r="I1351" s="7">
        <f t="shared" si="3"/>
        <v>0.3575888065</v>
      </c>
    </row>
    <row r="1352">
      <c r="A1352" s="4">
        <v>1352.0</v>
      </c>
      <c r="B1352" s="3" t="s">
        <v>42522</v>
      </c>
      <c r="C1352" s="6" t="s">
        <v>11</v>
      </c>
      <c r="D1352" s="6" t="s">
        <v>3532</v>
      </c>
      <c r="E1352" s="3" t="str">
        <f t="shared" si="1"/>
        <v>terrible&lt;br&gt;&lt;div class="audio"&gt;[sound:terrible.mp3]&lt;/div&gt;</v>
      </c>
      <c r="F1352" s="3" t="str">
        <f t="shared" si="2"/>
        <v>(adj): tồi tệ</v>
      </c>
      <c r="G1352" s="6" t="s">
        <v>42523</v>
      </c>
      <c r="H1352" s="6" t="s">
        <v>42524</v>
      </c>
      <c r="I1352" s="7">
        <f t="shared" si="3"/>
        <v>0.4688597737</v>
      </c>
    </row>
    <row r="1353">
      <c r="A1353" s="4">
        <v>1353.0</v>
      </c>
      <c r="B1353" s="3" t="s">
        <v>42525</v>
      </c>
      <c r="C1353" s="6" t="s">
        <v>74</v>
      </c>
      <c r="D1353" s="6" t="s">
        <v>3796</v>
      </c>
      <c r="E1353" s="3" t="str">
        <f t="shared" si="1"/>
        <v>topic&lt;br&gt;&lt;div class="audio"&gt;[sound:topic.mp3]&lt;/div&gt;</v>
      </c>
      <c r="F1353" s="3" t="str">
        <f t="shared" si="2"/>
        <v>(n): chủ đề</v>
      </c>
      <c r="G1353" s="6" t="s">
        <v>42526</v>
      </c>
      <c r="H1353" s="6" t="s">
        <v>42527</v>
      </c>
      <c r="I1353" s="7">
        <f t="shared" si="3"/>
        <v>0.4295386698</v>
      </c>
    </row>
    <row r="1354">
      <c r="A1354" s="4">
        <v>1354.0</v>
      </c>
      <c r="B1354" s="3" t="s">
        <v>42528</v>
      </c>
      <c r="C1354" s="6" t="s">
        <v>11</v>
      </c>
      <c r="D1354" s="6" t="s">
        <v>42529</v>
      </c>
      <c r="E1354" s="3" t="str">
        <f t="shared" si="1"/>
        <v>tight&lt;br&gt;&lt;div class="audio"&gt;[sound:tight.mp3]&lt;/div&gt;</v>
      </c>
      <c r="F1354" s="3" t="str">
        <f t="shared" si="2"/>
        <v>(adj): chặt</v>
      </c>
      <c r="G1354" s="6" t="s">
        <v>42530</v>
      </c>
      <c r="H1354" s="6" t="s">
        <v>42531</v>
      </c>
      <c r="I1354" s="7">
        <f t="shared" si="3"/>
        <v>0.5142213346</v>
      </c>
    </row>
    <row r="1355">
      <c r="A1355" s="4">
        <v>1355.0</v>
      </c>
      <c r="B1355" s="3" t="s">
        <v>42532</v>
      </c>
      <c r="C1355" s="6" t="s">
        <v>11</v>
      </c>
      <c r="D1355" s="6" t="s">
        <v>42533</v>
      </c>
      <c r="E1355" s="3" t="str">
        <f t="shared" si="1"/>
        <v>daily&lt;br&gt;&lt;div class="audio"&gt;[sound:daily.mp3]&lt;/div&gt;</v>
      </c>
      <c r="F1355" s="3" t="str">
        <f t="shared" si="2"/>
        <v>(adj): hằng ngày</v>
      </c>
      <c r="G1355" s="6" t="s">
        <v>42534</v>
      </c>
      <c r="H1355" s="6" t="s">
        <v>42535</v>
      </c>
      <c r="I1355" s="7">
        <f t="shared" si="3"/>
        <v>0.3639255792</v>
      </c>
    </row>
    <row r="1356">
      <c r="A1356" s="4">
        <v>1356.0</v>
      </c>
      <c r="B1356" s="3" t="s">
        <v>42536</v>
      </c>
      <c r="C1356" s="6" t="s">
        <v>74</v>
      </c>
      <c r="D1356" s="6" t="s">
        <v>2635</v>
      </c>
      <c r="E1356" s="3" t="str">
        <f t="shared" si="1"/>
        <v>dream&lt;br&gt;&lt;div class="audio"&gt;[sound:dream.mp3]&lt;/div&gt;</v>
      </c>
      <c r="F1356" s="3" t="str">
        <f t="shared" si="2"/>
        <v>(n): giấc mơ</v>
      </c>
      <c r="G1356" s="6" t="s">
        <v>42537</v>
      </c>
      <c r="H1356" s="6" t="s">
        <v>42538</v>
      </c>
      <c r="I1356" s="7">
        <f t="shared" si="3"/>
        <v>0.5913887652</v>
      </c>
    </row>
    <row r="1357">
      <c r="A1357" s="4">
        <v>1357.0</v>
      </c>
      <c r="B1357" s="3" t="s">
        <v>42539</v>
      </c>
      <c r="C1357" s="6" t="s">
        <v>24</v>
      </c>
      <c r="D1357" s="6" t="s">
        <v>42540</v>
      </c>
      <c r="E1357" s="3" t="str">
        <f t="shared" si="1"/>
        <v>afford&lt;br&gt;&lt;div class="audio"&gt;[sound:afford.mp3]&lt;/div&gt;</v>
      </c>
      <c r="F1357" s="3" t="str">
        <f t="shared" si="2"/>
        <v>(v): có khả năng chi trả</v>
      </c>
      <c r="G1357" s="6" t="s">
        <v>42541</v>
      </c>
      <c r="H1357" s="6" t="s">
        <v>42542</v>
      </c>
      <c r="I1357" s="7">
        <f t="shared" si="3"/>
        <v>0.9216218835</v>
      </c>
    </row>
    <row r="1358">
      <c r="A1358" s="4">
        <v>1358.0</v>
      </c>
      <c r="B1358" s="3" t="s">
        <v>42543</v>
      </c>
      <c r="C1358" s="6" t="s">
        <v>74</v>
      </c>
      <c r="D1358" s="6" t="s">
        <v>42544</v>
      </c>
      <c r="E1358" s="3" t="str">
        <f t="shared" si="1"/>
        <v>cellphone&lt;br&gt;&lt;div class="audio"&gt;[sound:cellphone.mp3]&lt;/div&gt;</v>
      </c>
      <c r="F1358" s="3" t="str">
        <f t="shared" si="2"/>
        <v>(n): điện thoại di động</v>
      </c>
      <c r="G1358" s="6" t="s">
        <v>42545</v>
      </c>
      <c r="H1358" s="6" t="s">
        <v>42546</v>
      </c>
      <c r="I1358" s="7">
        <f t="shared" si="3"/>
        <v>0.4166665762</v>
      </c>
    </row>
    <row r="1359">
      <c r="A1359" s="4">
        <v>1359.0</v>
      </c>
      <c r="B1359" s="3" t="s">
        <v>42547</v>
      </c>
      <c r="C1359" s="6" t="s">
        <v>11</v>
      </c>
      <c r="D1359" s="6" t="s">
        <v>42548</v>
      </c>
      <c r="E1359" s="3" t="str">
        <f t="shared" si="1"/>
        <v>competitive&lt;br&gt;&lt;div class="audio"&gt;[sound:competitive.mp3]&lt;/div&gt;</v>
      </c>
      <c r="F1359" s="3" t="str">
        <f t="shared" si="2"/>
        <v>(adj): có tính cạnh tranh</v>
      </c>
      <c r="G1359" s="6" t="s">
        <v>42549</v>
      </c>
      <c r="H1359" s="6" t="s">
        <v>42550</v>
      </c>
      <c r="I1359" s="7">
        <f t="shared" si="3"/>
        <v>0.4242149339</v>
      </c>
    </row>
    <row r="1360">
      <c r="A1360" s="4">
        <v>1360.0</v>
      </c>
      <c r="B1360" s="3" t="s">
        <v>42551</v>
      </c>
      <c r="C1360" s="6" t="s">
        <v>11</v>
      </c>
      <c r="D1360" s="6" t="s">
        <v>42552</v>
      </c>
      <c r="E1360" s="3" t="str">
        <f t="shared" si="1"/>
        <v>incredible&lt;br&gt;&lt;div class="audio"&gt;[sound:incredible.mp3]&lt;/div&gt;</v>
      </c>
      <c r="F1360" s="3" t="str">
        <f t="shared" si="2"/>
        <v>(adj): không thể tin được</v>
      </c>
      <c r="G1360" s="6" t="s">
        <v>42553</v>
      </c>
      <c r="H1360" s="6" t="s">
        <v>42554</v>
      </c>
      <c r="I1360" s="7">
        <f t="shared" si="3"/>
        <v>0.3624047527</v>
      </c>
    </row>
    <row r="1361">
      <c r="A1361" s="4">
        <v>1361.0</v>
      </c>
      <c r="B1361" s="3" t="s">
        <v>42555</v>
      </c>
      <c r="C1361" s="6" t="s">
        <v>85</v>
      </c>
      <c r="D1361" s="6" t="s">
        <v>42556</v>
      </c>
      <c r="E1361" s="3" t="str">
        <f t="shared" si="1"/>
        <v>perfectly&lt;br&gt;&lt;div class="audio"&gt;[sound:perfectly.mp3]&lt;/div&gt;</v>
      </c>
      <c r="F1361" s="3" t="str">
        <f t="shared" si="2"/>
        <v>(adv): một cách hoàn hảo</v>
      </c>
      <c r="G1361" s="6" t="s">
        <v>42557</v>
      </c>
      <c r="H1361" s="6" t="s">
        <v>42558</v>
      </c>
      <c r="I1361" s="7">
        <f t="shared" si="3"/>
        <v>0.5407917288</v>
      </c>
    </row>
    <row r="1362">
      <c r="A1362" s="4">
        <v>1362.0</v>
      </c>
      <c r="B1362" s="3" t="s">
        <v>42559</v>
      </c>
      <c r="C1362" s="6" t="s">
        <v>11</v>
      </c>
      <c r="D1362" s="6" t="s">
        <v>42560</v>
      </c>
      <c r="E1362" s="3" t="str">
        <f t="shared" si="1"/>
        <v>northern&lt;br&gt;&lt;div class="audio"&gt;[sound:northern.mp3]&lt;/div&gt;</v>
      </c>
      <c r="F1362" s="3" t="str">
        <f t="shared" si="2"/>
        <v>(adj): thuộc về phía bắc</v>
      </c>
      <c r="G1362" s="6" t="s">
        <v>42561</v>
      </c>
      <c r="H1362" s="6" t="s">
        <v>42562</v>
      </c>
      <c r="I1362" s="7">
        <f t="shared" si="3"/>
        <v>0.1264746177</v>
      </c>
    </row>
    <row r="1363">
      <c r="A1363" s="4">
        <v>1363.0</v>
      </c>
      <c r="B1363" s="3" t="s">
        <v>42563</v>
      </c>
      <c r="C1363" s="6" t="s">
        <v>85</v>
      </c>
      <c r="D1363" s="6" t="s">
        <v>42564</v>
      </c>
      <c r="E1363" s="3" t="str">
        <f t="shared" si="1"/>
        <v>commonly&lt;br&gt;&lt;div class="audio"&gt;[sound:commonly.mp3]&lt;/div&gt;</v>
      </c>
      <c r="F1363" s="3" t="str">
        <f t="shared" si="2"/>
        <v>(adv): một cách phổ biến</v>
      </c>
      <c r="G1363" s="6" t="s">
        <v>42565</v>
      </c>
      <c r="H1363" s="6" t="s">
        <v>42566</v>
      </c>
      <c r="I1363" s="7">
        <f t="shared" si="3"/>
        <v>0.7513695335</v>
      </c>
    </row>
    <row r="1364">
      <c r="A1364" s="4">
        <v>1364.0</v>
      </c>
      <c r="B1364" s="3" t="s">
        <v>42567</v>
      </c>
      <c r="C1364" s="6" t="s">
        <v>85</v>
      </c>
      <c r="D1364" s="6" t="s">
        <v>39303</v>
      </c>
      <c r="E1364" s="3" t="str">
        <f t="shared" si="1"/>
        <v>obviously&lt;br&gt;&lt;div class="audio"&gt;[sound:obviously.mp3]&lt;/div&gt;</v>
      </c>
      <c r="F1364" s="3" t="str">
        <f t="shared" si="2"/>
        <v>(adv): một cách rõ ràng</v>
      </c>
      <c r="G1364" s="6" t="s">
        <v>42568</v>
      </c>
      <c r="H1364" s="6" t="s">
        <v>42569</v>
      </c>
      <c r="I1364" s="7">
        <f t="shared" si="3"/>
        <v>0.3825851679</v>
      </c>
    </row>
    <row r="1365">
      <c r="A1365" s="4">
        <v>1365.0</v>
      </c>
      <c r="B1365" s="3" t="s">
        <v>42570</v>
      </c>
      <c r="C1365" s="6" t="s">
        <v>85</v>
      </c>
      <c r="D1365" s="8" t="s">
        <v>12190</v>
      </c>
      <c r="E1365" s="3" t="str">
        <f t="shared" si="1"/>
        <v>somehow&lt;br&gt;&lt;div class="audio"&gt;[sound:somehow.mp3]&lt;/div&gt;</v>
      </c>
      <c r="F1365" s="3" t="str">
        <f t="shared" si="2"/>
        <v>(adv): bằng cách nào đó</v>
      </c>
      <c r="G1365" s="8" t="s">
        <v>42571</v>
      </c>
      <c r="H1365" s="8" t="s">
        <v>42572</v>
      </c>
      <c r="I1365" s="7">
        <f t="shared" si="3"/>
        <v>0.219695361</v>
      </c>
    </row>
    <row r="1366">
      <c r="A1366" s="4">
        <v>1366.0</v>
      </c>
      <c r="B1366" s="3" t="s">
        <v>42573</v>
      </c>
      <c r="C1366" s="6" t="s">
        <v>74</v>
      </c>
      <c r="D1366" s="6" t="s">
        <v>42574</v>
      </c>
      <c r="E1366" s="3" t="str">
        <f t="shared" si="1"/>
        <v>chip&lt;br&gt;&lt;div class="audio"&gt;[sound:chip.mp3]&lt;/div&gt;</v>
      </c>
      <c r="F1366" s="3" t="str">
        <f t="shared" si="2"/>
        <v>(n): khoai tây chiên</v>
      </c>
      <c r="G1366" s="6" t="s">
        <v>42575</v>
      </c>
      <c r="H1366" s="6" t="s">
        <v>42576</v>
      </c>
      <c r="I1366" s="7">
        <f t="shared" si="3"/>
        <v>0.6169585287</v>
      </c>
    </row>
    <row r="1367">
      <c r="A1367" s="4">
        <v>1367.0</v>
      </c>
      <c r="B1367" s="3" t="s">
        <v>42577</v>
      </c>
      <c r="C1367" s="6" t="s">
        <v>74</v>
      </c>
      <c r="D1367" s="6" t="s">
        <v>42578</v>
      </c>
      <c r="E1367" s="3" t="str">
        <f t="shared" si="1"/>
        <v>planning&lt;br&gt;&lt;div class="audio"&gt;[sound:planning.mp3]&lt;/div&gt;</v>
      </c>
      <c r="F1367" s="3" t="str">
        <f t="shared" si="2"/>
        <v>(n): sự lập kế hoạch</v>
      </c>
      <c r="G1367" s="6" t="s">
        <v>42579</v>
      </c>
      <c r="H1367" s="6" t="s">
        <v>42580</v>
      </c>
      <c r="I1367" s="7">
        <f t="shared" si="3"/>
        <v>0.2809035565</v>
      </c>
    </row>
    <row r="1368">
      <c r="A1368" s="4">
        <v>1368.0</v>
      </c>
      <c r="B1368" s="3" t="s">
        <v>42581</v>
      </c>
      <c r="C1368" s="6" t="s">
        <v>74</v>
      </c>
      <c r="D1368" s="6" t="s">
        <v>10368</v>
      </c>
      <c r="E1368" s="3" t="str">
        <f t="shared" si="1"/>
        <v>coach&lt;br&gt;&lt;div class="audio"&gt;[sound:coach.mp3]&lt;/div&gt;</v>
      </c>
      <c r="F1368" s="3" t="str">
        <f t="shared" si="2"/>
        <v>(n): huấn luyện viên</v>
      </c>
      <c r="G1368" s="6" t="s">
        <v>42582</v>
      </c>
      <c r="H1368" s="6" t="s">
        <v>42583</v>
      </c>
      <c r="I1368" s="7">
        <f t="shared" si="3"/>
        <v>0.2806070568</v>
      </c>
    </row>
    <row r="1369">
      <c r="A1369" s="4">
        <v>1369.0</v>
      </c>
      <c r="B1369" s="3" t="s">
        <v>42584</v>
      </c>
      <c r="C1369" s="6" t="s">
        <v>74</v>
      </c>
      <c r="D1369" s="6" t="s">
        <v>42585</v>
      </c>
      <c r="E1369" s="3" t="str">
        <f t="shared" si="1"/>
        <v>explanation&lt;br&gt;&lt;div class="audio"&gt;[sound:explanation.mp3]&lt;/div&gt;</v>
      </c>
      <c r="F1369" s="3" t="str">
        <f t="shared" si="2"/>
        <v>(n): lời giải thích</v>
      </c>
      <c r="G1369" s="6" t="s">
        <v>42586</v>
      </c>
      <c r="H1369" s="6" t="s">
        <v>42587</v>
      </c>
      <c r="I1369" s="7">
        <f t="shared" si="3"/>
        <v>0.4769873608</v>
      </c>
    </row>
    <row r="1370">
      <c r="A1370" s="4">
        <v>1370.0</v>
      </c>
      <c r="B1370" s="3" t="s">
        <v>42588</v>
      </c>
      <c r="C1370" s="6" t="s">
        <v>74</v>
      </c>
      <c r="D1370" s="6" t="s">
        <v>20353</v>
      </c>
      <c r="E1370" s="3" t="str">
        <f t="shared" si="1"/>
        <v>cinema&lt;br&gt;&lt;div class="audio"&gt;[sound:cinema.mp3]&lt;/div&gt;</v>
      </c>
      <c r="F1370" s="3" t="str">
        <f t="shared" si="2"/>
        <v>(n): rạp chiếu phim</v>
      </c>
      <c r="G1370" s="6" t="s">
        <v>42589</v>
      </c>
      <c r="H1370" s="6" t="s">
        <v>42590</v>
      </c>
      <c r="I1370" s="7">
        <f t="shared" si="3"/>
        <v>0.08489987345</v>
      </c>
    </row>
    <row r="1371">
      <c r="A1371" s="4">
        <v>1371.0</v>
      </c>
      <c r="B1371" s="3" t="s">
        <v>42591</v>
      </c>
      <c r="C1371" s="6" t="s">
        <v>74</v>
      </c>
      <c r="D1371" s="8" t="s">
        <v>40468</v>
      </c>
      <c r="E1371" s="3" t="str">
        <f t="shared" si="1"/>
        <v>significance&lt;br&gt;&lt;div class="audio"&gt;[sound:significance.mp3]&lt;/div&gt;</v>
      </c>
      <c r="F1371" s="3" t="str">
        <f t="shared" si="2"/>
        <v>(n): tầm quan trọng</v>
      </c>
      <c r="G1371" s="8" t="s">
        <v>42592</v>
      </c>
      <c r="H1371" s="8" t="s">
        <v>42593</v>
      </c>
      <c r="I1371" s="7">
        <f t="shared" si="3"/>
        <v>0.4272772187</v>
      </c>
    </row>
    <row r="1372">
      <c r="A1372" s="4">
        <v>1372.0</v>
      </c>
      <c r="B1372" s="3" t="s">
        <v>42594</v>
      </c>
      <c r="C1372" s="6" t="s">
        <v>74</v>
      </c>
      <c r="D1372" s="6" t="s">
        <v>42595</v>
      </c>
      <c r="E1372" s="3" t="str">
        <f t="shared" si="1"/>
        <v>researcher&lt;br&gt;&lt;div class="audio"&gt;[sound:researcher.mp3]&lt;/div&gt;</v>
      </c>
      <c r="F1372" s="3" t="str">
        <f t="shared" si="2"/>
        <v>(n): nhà nghiên cứu</v>
      </c>
      <c r="G1372" s="6" t="s">
        <v>42596</v>
      </c>
      <c r="H1372" s="6" t="s">
        <v>42597</v>
      </c>
      <c r="I1372" s="7">
        <f t="shared" si="3"/>
        <v>0.3086528639</v>
      </c>
    </row>
    <row r="1373">
      <c r="A1373" s="4">
        <v>1373.0</v>
      </c>
      <c r="B1373" s="3" t="s">
        <v>42598</v>
      </c>
      <c r="C1373" s="6" t="s">
        <v>74</v>
      </c>
      <c r="D1373" s="6" t="s">
        <v>10861</v>
      </c>
      <c r="E1373" s="3" t="str">
        <f t="shared" si="1"/>
        <v>concert&lt;br&gt;&lt;div class="audio"&gt;[sound:concert.mp3]&lt;/div&gt;</v>
      </c>
      <c r="F1373" s="3" t="str">
        <f t="shared" si="2"/>
        <v>(n): buổi hòa nhạc</v>
      </c>
      <c r="G1373" s="6" t="s">
        <v>42599</v>
      </c>
      <c r="H1373" s="6" t="s">
        <v>42600</v>
      </c>
      <c r="I1373" s="7">
        <f t="shared" si="3"/>
        <v>0.8773203396</v>
      </c>
    </row>
    <row r="1374">
      <c r="A1374" s="4">
        <v>1374.0</v>
      </c>
      <c r="B1374" s="3" t="s">
        <v>42601</v>
      </c>
      <c r="C1374" s="6" t="s">
        <v>11</v>
      </c>
      <c r="D1374" s="6" t="s">
        <v>42602</v>
      </c>
      <c r="E1374" s="3" t="str">
        <f t="shared" si="1"/>
        <v>emotional&lt;br&gt;&lt;div class="audio"&gt;[sound:emotional.mp3]&lt;/div&gt;</v>
      </c>
      <c r="F1374" s="3" t="str">
        <f t="shared" si="2"/>
        <v>(adj): thuộc cảm xúc</v>
      </c>
      <c r="G1374" s="6" t="s">
        <v>42603</v>
      </c>
      <c r="H1374" s="6" t="s">
        <v>42604</v>
      </c>
      <c r="I1374" s="7">
        <f t="shared" si="3"/>
        <v>0.7631320185</v>
      </c>
    </row>
    <row r="1375">
      <c r="A1375" s="4">
        <v>1375.0</v>
      </c>
      <c r="B1375" s="3" t="s">
        <v>42605</v>
      </c>
      <c r="C1375" s="6" t="s">
        <v>74</v>
      </c>
      <c r="D1375" s="6" t="s">
        <v>42606</v>
      </c>
      <c r="E1375" s="3" t="str">
        <f t="shared" si="1"/>
        <v>actor&lt;br&gt;&lt;div class="audio"&gt;[sound:actor.mp3]&lt;/div&gt;</v>
      </c>
      <c r="F1375" s="3" t="str">
        <f t="shared" si="2"/>
        <v>(n): nam diễn viên</v>
      </c>
      <c r="G1375" s="6" t="s">
        <v>42607</v>
      </c>
      <c r="H1375" s="6" t="s">
        <v>42608</v>
      </c>
      <c r="I1375" s="7">
        <f t="shared" si="3"/>
        <v>0.05604337971</v>
      </c>
    </row>
    <row r="1376">
      <c r="A1376" s="4">
        <v>1376.0</v>
      </c>
      <c r="B1376" s="3" t="s">
        <v>42609</v>
      </c>
      <c r="C1376" s="6" t="s">
        <v>85</v>
      </c>
      <c r="D1376" s="6" t="s">
        <v>42610</v>
      </c>
      <c r="E1376" s="3" t="str">
        <f t="shared" si="1"/>
        <v>otherwise&lt;br&gt;&lt;div class="audio"&gt;[sound:otherwise.mp3]&lt;/div&gt;</v>
      </c>
      <c r="F1376" s="3" t="str">
        <f t="shared" si="2"/>
        <v>(adv): nếu không thì</v>
      </c>
      <c r="G1376" s="6" t="s">
        <v>42611</v>
      </c>
      <c r="H1376" s="6" t="s">
        <v>42612</v>
      </c>
      <c r="I1376" s="7">
        <f t="shared" si="3"/>
        <v>0.05075950971</v>
      </c>
    </row>
    <row r="1377">
      <c r="A1377" s="4">
        <v>1377.0</v>
      </c>
      <c r="B1377" s="3" t="s">
        <v>42613</v>
      </c>
      <c r="C1377" s="6" t="s">
        <v>74</v>
      </c>
      <c r="D1377" s="6" t="s">
        <v>42614</v>
      </c>
      <c r="E1377" s="3" t="str">
        <f t="shared" si="1"/>
        <v>captain&lt;br&gt;&lt;div class="audio"&gt;[sound:captain.mp3]&lt;/div&gt;</v>
      </c>
      <c r="F1377" s="3" t="str">
        <f t="shared" si="2"/>
        <v>(n): thuyền trưởng</v>
      </c>
      <c r="G1377" s="6" t="s">
        <v>42615</v>
      </c>
      <c r="H1377" s="6" t="s">
        <v>42616</v>
      </c>
      <c r="I1377" s="7">
        <f t="shared" si="3"/>
        <v>0.2192991642</v>
      </c>
    </row>
    <row r="1378">
      <c r="A1378" s="4">
        <v>1378.0</v>
      </c>
      <c r="B1378" s="3" t="s">
        <v>42617</v>
      </c>
      <c r="C1378" s="6" t="s">
        <v>11</v>
      </c>
      <c r="D1378" s="6" t="s">
        <v>42618</v>
      </c>
      <c r="E1378" s="3" t="str">
        <f t="shared" si="1"/>
        <v>challenging&lt;br&gt;&lt;div class="audio"&gt;[sound:challenging.mp3]&lt;/div&gt;</v>
      </c>
      <c r="F1378" s="3" t="str">
        <f t="shared" si="2"/>
        <v>(adj): đầy thử thách</v>
      </c>
      <c r="G1378" s="6" t="s">
        <v>42619</v>
      </c>
      <c r="H1378" s="6" t="s">
        <v>42620</v>
      </c>
      <c r="I1378" s="7">
        <f t="shared" si="3"/>
        <v>0.7557112052</v>
      </c>
    </row>
    <row r="1379">
      <c r="A1379" s="4">
        <v>1379.0</v>
      </c>
      <c r="B1379" s="3" t="s">
        <v>42621</v>
      </c>
      <c r="C1379" s="6" t="s">
        <v>74</v>
      </c>
      <c r="D1379" s="6" t="s">
        <v>42622</v>
      </c>
      <c r="E1379" s="3" t="str">
        <f t="shared" si="1"/>
        <v>payment&lt;br&gt;&lt;div class="audio"&gt;[sound:payment.mp3]&lt;/div&gt;</v>
      </c>
      <c r="F1379" s="3" t="str">
        <f t="shared" si="2"/>
        <v>(n): sự thanh toán</v>
      </c>
      <c r="G1379" s="6" t="s">
        <v>42623</v>
      </c>
      <c r="H1379" s="6" t="s">
        <v>42624</v>
      </c>
      <c r="I1379" s="7">
        <f t="shared" si="3"/>
        <v>0.6524177332</v>
      </c>
    </row>
    <row r="1380">
      <c r="A1380" s="4">
        <v>1380.0</v>
      </c>
      <c r="B1380" s="3" t="s">
        <v>42625</v>
      </c>
      <c r="C1380" s="6" t="s">
        <v>11</v>
      </c>
      <c r="D1380" s="6" t="s">
        <v>42626</v>
      </c>
      <c r="E1380" s="3" t="str">
        <f t="shared" si="1"/>
        <v>working&lt;br&gt;&lt;div class="audio"&gt;[sound:working.mp3]&lt;/div&gt;</v>
      </c>
      <c r="F1380" s="3" t="str">
        <f t="shared" si="2"/>
        <v>(adj): đang làm việc</v>
      </c>
      <c r="G1380" s="6" t="s">
        <v>42627</v>
      </c>
      <c r="H1380" s="6" t="s">
        <v>42628</v>
      </c>
      <c r="I1380" s="7">
        <f t="shared" si="3"/>
        <v>0.5998764815</v>
      </c>
    </row>
    <row r="1381">
      <c r="A1381" s="4">
        <v>1381.0</v>
      </c>
      <c r="B1381" s="3" t="s">
        <v>42629</v>
      </c>
      <c r="C1381" s="6" t="s">
        <v>11</v>
      </c>
      <c r="D1381" s="6" t="s">
        <v>42630</v>
      </c>
      <c r="E1381" s="3" t="str">
        <f t="shared" si="1"/>
        <v>historical&lt;br&gt;&lt;div class="audio"&gt;[sound:historical.mp3]&lt;/div&gt;</v>
      </c>
      <c r="F1381" s="3" t="str">
        <f t="shared" si="2"/>
        <v>(adj): thuộc lịch sử</v>
      </c>
      <c r="G1381" s="6" t="s">
        <v>42631</v>
      </c>
      <c r="H1381" s="6" t="s">
        <v>42632</v>
      </c>
      <c r="I1381" s="7">
        <f t="shared" si="3"/>
        <v>0.8328985745</v>
      </c>
    </row>
    <row r="1382">
      <c r="A1382" s="4">
        <v>1382.0</v>
      </c>
      <c r="B1382" s="3" t="s">
        <v>42633</v>
      </c>
      <c r="C1382" s="6" t="s">
        <v>74</v>
      </c>
      <c r="D1382" s="8" t="s">
        <v>42634</v>
      </c>
      <c r="E1382" s="3" t="str">
        <f t="shared" si="1"/>
        <v>supporter&lt;br&gt;&lt;div class="audio"&gt;[sound:supporter.mp3]&lt;/div&gt;</v>
      </c>
      <c r="F1382" s="3" t="str">
        <f t="shared" si="2"/>
        <v>(n): người ủng hộ</v>
      </c>
      <c r="G1382" s="8" t="s">
        <v>42635</v>
      </c>
      <c r="H1382" s="8" t="s">
        <v>42636</v>
      </c>
      <c r="I1382" s="7">
        <f t="shared" si="3"/>
        <v>0.5938262178</v>
      </c>
    </row>
    <row r="1383">
      <c r="A1383" s="4">
        <v>1383.0</v>
      </c>
      <c r="B1383" s="3" t="s">
        <v>42637</v>
      </c>
      <c r="C1383" s="6" t="s">
        <v>11</v>
      </c>
      <c r="D1383" s="6" t="s">
        <v>9297</v>
      </c>
      <c r="E1383" s="3" t="str">
        <f t="shared" si="1"/>
        <v>regular&lt;br&gt;&lt;div class="audio"&gt;[sound:regular.mp3]&lt;/div&gt;</v>
      </c>
      <c r="F1383" s="3" t="str">
        <f t="shared" si="2"/>
        <v>(adj): thường xuyên</v>
      </c>
      <c r="G1383" s="6" t="s">
        <v>42638</v>
      </c>
      <c r="H1383" s="6" t="s">
        <v>42639</v>
      </c>
      <c r="I1383" s="7">
        <f t="shared" si="3"/>
        <v>0.257714183</v>
      </c>
    </row>
    <row r="1384">
      <c r="A1384" s="4">
        <v>1384.0</v>
      </c>
      <c r="B1384" s="3" t="s">
        <v>42640</v>
      </c>
      <c r="C1384" s="6" t="s">
        <v>74</v>
      </c>
      <c r="D1384" s="6" t="s">
        <v>42641</v>
      </c>
      <c r="E1384" s="3" t="str">
        <f t="shared" si="1"/>
        <v>comfort&lt;br&gt;&lt;div class="audio"&gt;[sound:comfort.mp3]&lt;/div&gt;</v>
      </c>
      <c r="F1384" s="3" t="str">
        <f t="shared" si="2"/>
        <v>(n): sự thoải mái</v>
      </c>
      <c r="G1384" s="6" t="s">
        <v>42642</v>
      </c>
      <c r="H1384" s="6" t="s">
        <v>42643</v>
      </c>
      <c r="I1384" s="7">
        <f t="shared" si="3"/>
        <v>0.09563127497</v>
      </c>
    </row>
    <row r="1385">
      <c r="A1385" s="4">
        <v>1385.0</v>
      </c>
      <c r="B1385" s="3" t="s">
        <v>42644</v>
      </c>
      <c r="C1385" s="6" t="s">
        <v>74</v>
      </c>
      <c r="D1385" s="6" t="s">
        <v>42645</v>
      </c>
      <c r="E1385" s="3" t="str">
        <f t="shared" si="1"/>
        <v>complaint&lt;br&gt;&lt;div class="audio"&gt;[sound:complaint.mp3]&lt;/div&gt;</v>
      </c>
      <c r="F1385" s="3" t="str">
        <f t="shared" si="2"/>
        <v>(n): lời phàn nàn</v>
      </c>
      <c r="G1385" s="6" t="s">
        <v>42646</v>
      </c>
      <c r="H1385" s="6" t="s">
        <v>42647</v>
      </c>
      <c r="I1385" s="7">
        <f t="shared" si="3"/>
        <v>0.1617904107</v>
      </c>
    </row>
    <row r="1386">
      <c r="A1386" s="4">
        <v>1386.0</v>
      </c>
      <c r="B1386" s="3" t="s">
        <v>42648</v>
      </c>
      <c r="C1386" s="6" t="s">
        <v>74</v>
      </c>
      <c r="D1386" s="6" t="s">
        <v>42649</v>
      </c>
      <c r="E1386" s="3" t="str">
        <f t="shared" si="1"/>
        <v>concentration&lt;br&gt;&lt;div class="audio"&gt;[sound:concentration.mp3]&lt;/div&gt;</v>
      </c>
      <c r="F1386" s="3" t="str">
        <f t="shared" si="2"/>
        <v>(n): sự tập trung</v>
      </c>
      <c r="G1386" s="6" t="s">
        <v>42650</v>
      </c>
      <c r="H1386" s="6" t="s">
        <v>42651</v>
      </c>
      <c r="I1386" s="7">
        <f t="shared" si="3"/>
        <v>0.07485465982</v>
      </c>
    </row>
    <row r="1387">
      <c r="A1387" s="4">
        <v>1387.0</v>
      </c>
      <c r="B1387" s="3" t="s">
        <v>42652</v>
      </c>
      <c r="C1387" s="6" t="s">
        <v>74</v>
      </c>
      <c r="D1387" s="6" t="s">
        <v>42653</v>
      </c>
      <c r="E1387" s="3" t="str">
        <f t="shared" si="1"/>
        <v>emphasis&lt;br&gt;&lt;div class="audio"&gt;[sound:emphasis.mp3]&lt;/div&gt;</v>
      </c>
      <c r="F1387" s="3" t="str">
        <f t="shared" si="2"/>
        <v>(n): sự nhấn mạnh</v>
      </c>
      <c r="G1387" s="6" t="s">
        <v>42654</v>
      </c>
      <c r="H1387" s="6" t="s">
        <v>42655</v>
      </c>
      <c r="I1387" s="7">
        <f t="shared" si="3"/>
        <v>0.9921574166</v>
      </c>
    </row>
    <row r="1388">
      <c r="A1388" s="4">
        <v>1388.0</v>
      </c>
      <c r="B1388" s="3" t="s">
        <v>42656</v>
      </c>
      <c r="C1388" s="6" t="s">
        <v>74</v>
      </c>
      <c r="D1388" s="6" t="s">
        <v>4346</v>
      </c>
      <c r="E1388" s="3" t="str">
        <f t="shared" si="1"/>
        <v>media&lt;br&gt;&lt;div class="audio"&gt;[sound:media.mp3]&lt;/div&gt;</v>
      </c>
      <c r="F1388" s="3" t="str">
        <f t="shared" si="2"/>
        <v>(n): truyền thông</v>
      </c>
      <c r="G1388" s="6" t="s">
        <v>42657</v>
      </c>
      <c r="H1388" s="6" t="s">
        <v>42658</v>
      </c>
      <c r="I1388" s="7">
        <f t="shared" si="3"/>
        <v>0.9571832415</v>
      </c>
    </row>
    <row r="1389">
      <c r="A1389" s="4">
        <v>1389.0</v>
      </c>
      <c r="B1389" s="3" t="s">
        <v>42659</v>
      </c>
      <c r="C1389" s="6" t="s">
        <v>74</v>
      </c>
      <c r="D1389" s="8" t="s">
        <v>42660</v>
      </c>
      <c r="E1389" s="3" t="str">
        <f t="shared" si="1"/>
        <v>separation&lt;br&gt;&lt;div class="audio"&gt;[sound:separation.mp3]&lt;/div&gt;</v>
      </c>
      <c r="F1389" s="3" t="str">
        <f t="shared" si="2"/>
        <v>(n): sự chia tách</v>
      </c>
      <c r="G1389" s="8" t="s">
        <v>42661</v>
      </c>
      <c r="H1389" s="8" t="s">
        <v>42662</v>
      </c>
      <c r="I1389" s="7">
        <f t="shared" si="3"/>
        <v>0.7562205953</v>
      </c>
    </row>
    <row r="1390">
      <c r="A1390" s="4">
        <v>1390.0</v>
      </c>
      <c r="B1390" s="3" t="s">
        <v>42663</v>
      </c>
      <c r="C1390" s="6" t="s">
        <v>11</v>
      </c>
      <c r="D1390" s="8" t="s">
        <v>28215</v>
      </c>
      <c r="E1390" s="3" t="str">
        <f t="shared" si="1"/>
        <v>severe&lt;br&gt;&lt;div class="audio"&gt;[sound:severe.mp3]&lt;/div&gt;</v>
      </c>
      <c r="F1390" s="3" t="str">
        <f t="shared" si="2"/>
        <v>(adj): nghiêm trọng</v>
      </c>
      <c r="G1390" s="8" t="s">
        <v>42664</v>
      </c>
      <c r="H1390" s="8" t="s">
        <v>42665</v>
      </c>
      <c r="I1390" s="7">
        <f t="shared" si="3"/>
        <v>0.2174826211</v>
      </c>
    </row>
    <row r="1391">
      <c r="A1391" s="4">
        <v>1391.0</v>
      </c>
      <c r="B1391" s="3" t="s">
        <v>42666</v>
      </c>
      <c r="C1391" s="6" t="s">
        <v>11</v>
      </c>
      <c r="D1391" s="6" t="s">
        <v>41611</v>
      </c>
      <c r="E1391" s="3" t="str">
        <f t="shared" si="1"/>
        <v>connected&lt;br&gt;&lt;div class="audio"&gt;[sound:connected.mp3]&lt;/div&gt;</v>
      </c>
      <c r="F1391" s="3" t="str">
        <f t="shared" si="2"/>
        <v>(adj): có liên quan</v>
      </c>
      <c r="G1391" s="6" t="s">
        <v>42667</v>
      </c>
      <c r="H1391" s="6" t="s">
        <v>42668</v>
      </c>
      <c r="I1391" s="7">
        <f t="shared" si="3"/>
        <v>0.8859047586</v>
      </c>
    </row>
    <row r="1392">
      <c r="A1392" s="4">
        <v>1392.0</v>
      </c>
      <c r="B1392" s="3" t="s">
        <v>42669</v>
      </c>
      <c r="C1392" s="6" t="s">
        <v>74</v>
      </c>
      <c r="D1392" s="6" t="s">
        <v>42670</v>
      </c>
      <c r="E1392" s="3" t="str">
        <f t="shared" si="1"/>
        <v>import&lt;br&gt;&lt;div class="audio"&gt;[sound:import.mp3]&lt;/div&gt;</v>
      </c>
      <c r="F1392" s="3" t="str">
        <f t="shared" si="2"/>
        <v>(n): sự nhập khẩu</v>
      </c>
      <c r="G1392" s="6" t="s">
        <v>42671</v>
      </c>
      <c r="H1392" s="6" t="s">
        <v>42672</v>
      </c>
      <c r="I1392" s="7">
        <f t="shared" si="3"/>
        <v>0.4941795687</v>
      </c>
    </row>
    <row r="1393">
      <c r="A1393" s="4">
        <v>1393.0</v>
      </c>
      <c r="B1393" s="3" t="s">
        <v>42673</v>
      </c>
      <c r="C1393" s="6" t="s">
        <v>74</v>
      </c>
      <c r="D1393" s="6" t="s">
        <v>42674</v>
      </c>
      <c r="E1393" s="3" t="str">
        <f t="shared" si="1"/>
        <v>necessity&lt;br&gt;&lt;div class="audio"&gt;[sound:necessity.mp3]&lt;/div&gt;</v>
      </c>
      <c r="F1393" s="3" t="str">
        <f t="shared" si="2"/>
        <v>(n): sự cần thiết</v>
      </c>
      <c r="G1393" s="6" t="s">
        <v>42675</v>
      </c>
      <c r="H1393" s="6" t="s">
        <v>42676</v>
      </c>
      <c r="I1393" s="7">
        <f t="shared" si="3"/>
        <v>0.9085227166</v>
      </c>
    </row>
    <row r="1394">
      <c r="A1394" s="4">
        <v>1394.0</v>
      </c>
      <c r="B1394" s="3" t="s">
        <v>42677</v>
      </c>
      <c r="C1394" s="6" t="s">
        <v>74</v>
      </c>
      <c r="D1394" s="6" t="s">
        <v>15579</v>
      </c>
      <c r="E1394" s="3" t="str">
        <f t="shared" si="1"/>
        <v>defence&lt;br&gt;&lt;div class="audio"&gt;[sound:defence.mp3]&lt;/div&gt;</v>
      </c>
      <c r="F1394" s="3" t="str">
        <f t="shared" si="2"/>
        <v>(n): sự phòng thủ</v>
      </c>
      <c r="G1394" s="6" t="s">
        <v>42678</v>
      </c>
      <c r="H1394" s="6" t="s">
        <v>42679</v>
      </c>
      <c r="I1394" s="7">
        <f t="shared" si="3"/>
        <v>0.8425611963</v>
      </c>
    </row>
    <row r="1395">
      <c r="A1395" s="4">
        <v>1395.0</v>
      </c>
      <c r="B1395" s="3" t="s">
        <v>42680</v>
      </c>
      <c r="C1395" s="6" t="s">
        <v>74</v>
      </c>
      <c r="D1395" s="6" t="s">
        <v>19112</v>
      </c>
      <c r="E1395" s="3" t="str">
        <f t="shared" si="1"/>
        <v>alternative&lt;br&gt;&lt;div class="audio"&gt;[sound:alternative.mp3]&lt;/div&gt;</v>
      </c>
      <c r="F1395" s="3" t="str">
        <f t="shared" si="2"/>
        <v>(n): sự thay thế</v>
      </c>
      <c r="G1395" s="6" t="s">
        <v>42681</v>
      </c>
      <c r="H1395" s="6" t="s">
        <v>42682</v>
      </c>
      <c r="I1395" s="7">
        <f t="shared" si="3"/>
        <v>0.2996801423</v>
      </c>
    </row>
    <row r="1396">
      <c r="A1396" s="4">
        <v>1396.0</v>
      </c>
      <c r="B1396" s="3" t="s">
        <v>42683</v>
      </c>
      <c r="C1396" s="6" t="s">
        <v>74</v>
      </c>
      <c r="D1396" s="6" t="s">
        <v>9330</v>
      </c>
      <c r="E1396" s="3" t="str">
        <f t="shared" si="1"/>
        <v>household&lt;br&gt;&lt;div class="audio"&gt;[sound:household.mp3]&lt;/div&gt;</v>
      </c>
      <c r="F1396" s="3" t="str">
        <f t="shared" si="2"/>
        <v>(n): hộ gia đình</v>
      </c>
      <c r="G1396" s="6" t="s">
        <v>42684</v>
      </c>
      <c r="H1396" s="6" t="s">
        <v>42685</v>
      </c>
      <c r="I1396" s="7">
        <f t="shared" si="3"/>
        <v>0.8337105634</v>
      </c>
    </row>
    <row r="1397">
      <c r="A1397" s="4">
        <v>1397.0</v>
      </c>
      <c r="B1397" s="3" t="s">
        <v>42686</v>
      </c>
      <c r="C1397" s="6" t="s">
        <v>24</v>
      </c>
      <c r="D1397" s="6" t="s">
        <v>42687</v>
      </c>
      <c r="E1397" s="3" t="str">
        <f t="shared" si="1"/>
        <v>insist&lt;br&gt;&lt;div class="audio"&gt;[sound:insist.mp3]&lt;/div&gt;</v>
      </c>
      <c r="F1397" s="3" t="str">
        <f t="shared" si="2"/>
        <v>(v): khăng khăng</v>
      </c>
      <c r="G1397" s="6" t="s">
        <v>42688</v>
      </c>
      <c r="H1397" s="6" t="s">
        <v>42689</v>
      </c>
      <c r="I1397" s="7">
        <f t="shared" si="3"/>
        <v>0.4260491794</v>
      </c>
    </row>
    <row r="1398">
      <c r="A1398" s="4">
        <v>1398.0</v>
      </c>
      <c r="B1398" s="3" t="s">
        <v>42690</v>
      </c>
      <c r="C1398" s="6" t="s">
        <v>11</v>
      </c>
      <c r="D1398" s="6" t="s">
        <v>40069</v>
      </c>
      <c r="E1398" s="3" t="str">
        <f t="shared" si="1"/>
        <v>capable&lt;br&gt;&lt;div class="audio"&gt;[sound:capable.mp3]&lt;/div&gt;</v>
      </c>
      <c r="F1398" s="3" t="str">
        <f t="shared" si="2"/>
        <v>(adj): có khả năng</v>
      </c>
      <c r="G1398" s="6" t="s">
        <v>42691</v>
      </c>
      <c r="H1398" s="6" t="s">
        <v>42692</v>
      </c>
      <c r="I1398" s="7">
        <f t="shared" si="3"/>
        <v>0.3723824385</v>
      </c>
    </row>
    <row r="1399">
      <c r="A1399" s="4">
        <v>1399.0</v>
      </c>
      <c r="B1399" s="3" t="s">
        <v>42693</v>
      </c>
      <c r="C1399" s="6" t="s">
        <v>74</v>
      </c>
      <c r="D1399" s="6" t="s">
        <v>42694</v>
      </c>
      <c r="E1399" s="3" t="str">
        <f t="shared" si="1"/>
        <v>champion&lt;br&gt;&lt;div class="audio"&gt;[sound:champion.mp3]&lt;/div&gt;</v>
      </c>
      <c r="F1399" s="3" t="str">
        <f t="shared" si="2"/>
        <v>(n): nhà vô địch</v>
      </c>
      <c r="G1399" s="6" t="s">
        <v>42695</v>
      </c>
      <c r="H1399" s="6" t="s">
        <v>42696</v>
      </c>
      <c r="I1399" s="7">
        <f t="shared" si="3"/>
        <v>0.432242959</v>
      </c>
    </row>
    <row r="1400">
      <c r="A1400" s="4">
        <v>1400.0</v>
      </c>
      <c r="B1400" s="3" t="s">
        <v>42697</v>
      </c>
      <c r="C1400" s="6" t="s">
        <v>74</v>
      </c>
      <c r="D1400" s="6" t="s">
        <v>42698</v>
      </c>
      <c r="E1400" s="3" t="str">
        <f t="shared" si="1"/>
        <v>expectation&lt;br&gt;&lt;div class="audio"&gt;[sound:expectation.mp3]&lt;/div&gt;</v>
      </c>
      <c r="F1400" s="3" t="str">
        <f t="shared" si="2"/>
        <v>(n): sự mong đợi</v>
      </c>
      <c r="G1400" s="6" t="s">
        <v>42699</v>
      </c>
      <c r="H1400" s="6" t="s">
        <v>42700</v>
      </c>
      <c r="I1400" s="7">
        <f t="shared" si="3"/>
        <v>0.2622932367</v>
      </c>
    </row>
    <row r="1401">
      <c r="A1401" s="4">
        <v>1401.0</v>
      </c>
      <c r="B1401" s="3" t="s">
        <v>42701</v>
      </c>
      <c r="C1401" s="6" t="s">
        <v>74</v>
      </c>
      <c r="D1401" s="6" t="s">
        <v>19134</v>
      </c>
      <c r="E1401" s="3" t="str">
        <f t="shared" si="1"/>
        <v>balance&lt;br&gt;&lt;div class="audio"&gt;[sound:balance.mp3]&lt;/div&gt;</v>
      </c>
      <c r="F1401" s="3" t="str">
        <f t="shared" si="2"/>
        <v>(n): sự cân bằng</v>
      </c>
      <c r="G1401" s="6" t="s">
        <v>42702</v>
      </c>
      <c r="H1401" s="6" t="s">
        <v>42703</v>
      </c>
      <c r="I1401" s="7">
        <f t="shared" si="3"/>
        <v>0.4552471607</v>
      </c>
    </row>
    <row r="1402">
      <c r="A1402" s="4">
        <v>1402.0</v>
      </c>
      <c r="B1402" s="3" t="s">
        <v>42704</v>
      </c>
      <c r="C1402" s="6" t="s">
        <v>44</v>
      </c>
      <c r="D1402" s="6" t="s">
        <v>42705</v>
      </c>
      <c r="E1402" s="3" t="str">
        <f t="shared" si="1"/>
        <v>none&lt;br&gt;&lt;div class="audio"&gt;[sound:none.mp3]&lt;/div&gt;</v>
      </c>
      <c r="F1402" s="3" t="str">
        <f t="shared" si="2"/>
        <v>(pron): không ai cả</v>
      </c>
      <c r="G1402" s="6" t="s">
        <v>42706</v>
      </c>
      <c r="H1402" s="6" t="s">
        <v>42707</v>
      </c>
      <c r="I1402" s="7">
        <f t="shared" si="3"/>
        <v>0.9303138843</v>
      </c>
    </row>
    <row r="1403">
      <c r="A1403" s="4">
        <v>1403.0</v>
      </c>
      <c r="B1403" s="3" t="s">
        <v>42708</v>
      </c>
      <c r="C1403" s="6" t="s">
        <v>74</v>
      </c>
      <c r="D1403" s="8" t="s">
        <v>42709</v>
      </c>
      <c r="E1403" s="3" t="str">
        <f t="shared" si="1"/>
        <v>summary&lt;br&gt;&lt;div class="audio"&gt;[sound:summary.mp3]&lt;/div&gt;</v>
      </c>
      <c r="F1403" s="3" t="str">
        <f t="shared" si="2"/>
        <v>(n): bản tóm tắt</v>
      </c>
      <c r="G1403" s="8" t="s">
        <v>42710</v>
      </c>
      <c r="H1403" s="8" t="s">
        <v>42711</v>
      </c>
      <c r="I1403" s="7">
        <f t="shared" si="3"/>
        <v>0.2839850474</v>
      </c>
    </row>
    <row r="1404">
      <c r="A1404" s="4">
        <v>1404.0</v>
      </c>
      <c r="B1404" s="3" t="s">
        <v>42712</v>
      </c>
      <c r="C1404" s="6" t="s">
        <v>74</v>
      </c>
      <c r="D1404" s="6" t="s">
        <v>42713</v>
      </c>
      <c r="E1404" s="3" t="str">
        <f t="shared" si="1"/>
        <v>injury&lt;br&gt;&lt;div class="audio"&gt;[sound:injury.mp3]&lt;/div&gt;</v>
      </c>
      <c r="F1404" s="3" t="str">
        <f t="shared" si="2"/>
        <v>(n): chấn thương</v>
      </c>
      <c r="G1404" s="6" t="s">
        <v>42714</v>
      </c>
      <c r="H1404" s="6" t="s">
        <v>42715</v>
      </c>
      <c r="I1404" s="7">
        <f t="shared" si="3"/>
        <v>0.1492960584</v>
      </c>
    </row>
    <row r="1405">
      <c r="A1405" s="4">
        <v>1405.0</v>
      </c>
      <c r="B1405" s="3" t="s">
        <v>42716</v>
      </c>
      <c r="C1405" s="6" t="s">
        <v>74</v>
      </c>
      <c r="D1405" s="6" t="s">
        <v>9377</v>
      </c>
      <c r="E1405" s="3" t="str">
        <f t="shared" si="1"/>
        <v>investigation&lt;br&gt;&lt;div class="audio"&gt;[sound:investigation.mp3]&lt;/div&gt;</v>
      </c>
      <c r="F1405" s="3" t="str">
        <f t="shared" si="2"/>
        <v>(n): sự điều tra</v>
      </c>
      <c r="G1405" s="6" t="s">
        <v>42717</v>
      </c>
      <c r="H1405" s="6" t="s">
        <v>42718</v>
      </c>
      <c r="I1405" s="7">
        <f t="shared" si="3"/>
        <v>0.8458010264</v>
      </c>
    </row>
    <row r="1406">
      <c r="A1406" s="4">
        <v>1406.0</v>
      </c>
      <c r="B1406" s="3" t="s">
        <v>42719</v>
      </c>
      <c r="C1406" s="6" t="s">
        <v>74</v>
      </c>
      <c r="D1406" s="6" t="s">
        <v>7915</v>
      </c>
      <c r="E1406" s="3" t="str">
        <f t="shared" si="1"/>
        <v>scene&lt;br&gt;&lt;div class="audio"&gt;[sound:scene.mp3]&lt;/div&gt;</v>
      </c>
      <c r="F1406" s="3" t="str">
        <f t="shared" si="2"/>
        <v>(n): hiện trường</v>
      </c>
      <c r="G1406" s="6" t="s">
        <v>42720</v>
      </c>
      <c r="H1406" s="6" t="s">
        <v>42721</v>
      </c>
      <c r="I1406" s="7">
        <f t="shared" si="3"/>
        <v>0.7182392614</v>
      </c>
    </row>
    <row r="1407">
      <c r="A1407" s="4">
        <v>1407.0</v>
      </c>
      <c r="B1407" s="3" t="s">
        <v>42722</v>
      </c>
      <c r="C1407" s="6" t="s">
        <v>74</v>
      </c>
      <c r="D1407" s="6" t="s">
        <v>11017</v>
      </c>
      <c r="E1407" s="3" t="str">
        <f t="shared" si="1"/>
        <v>relation&lt;br&gt;&lt;div class="audio"&gt;[sound:relation.mp3]&lt;/div&gt;</v>
      </c>
      <c r="F1407" s="3" t="str">
        <f t="shared" si="2"/>
        <v>(n): mối quan hệ</v>
      </c>
      <c r="G1407" s="6" t="s">
        <v>42723</v>
      </c>
      <c r="H1407" s="6" t="s">
        <v>42724</v>
      </c>
      <c r="I1407" s="7">
        <f t="shared" si="3"/>
        <v>0.9742692777</v>
      </c>
    </row>
    <row r="1408">
      <c r="A1408" s="4">
        <v>1408.0</v>
      </c>
      <c r="B1408" s="3" t="s">
        <v>42725</v>
      </c>
      <c r="C1408" s="6" t="s">
        <v>11</v>
      </c>
      <c r="D1408" s="8" t="s">
        <v>8012</v>
      </c>
      <c r="E1408" s="3" t="str">
        <f t="shared" si="1"/>
        <v>strict&lt;br&gt;&lt;div class="audio"&gt;[sound:strict.mp3]&lt;/div&gt;</v>
      </c>
      <c r="F1408" s="3" t="str">
        <f t="shared" si="2"/>
        <v>(adj): nghiêm khắc</v>
      </c>
      <c r="G1408" s="8" t="s">
        <v>42726</v>
      </c>
      <c r="H1408" s="8" t="s">
        <v>42727</v>
      </c>
      <c r="I1408" s="7">
        <f t="shared" si="3"/>
        <v>0.5918494976</v>
      </c>
    </row>
    <row r="1409">
      <c r="A1409" s="4">
        <v>1409.0</v>
      </c>
      <c r="B1409" s="3" t="s">
        <v>42728</v>
      </c>
      <c r="C1409" s="6" t="s">
        <v>74</v>
      </c>
      <c r="D1409" s="6" t="s">
        <v>9348</v>
      </c>
      <c r="E1409" s="3" t="str">
        <f t="shared" si="1"/>
        <v>reduction&lt;br&gt;&lt;div class="audio"&gt;[sound:reduction.mp3]&lt;/div&gt;</v>
      </c>
      <c r="F1409" s="3" t="str">
        <f t="shared" si="2"/>
        <v>(n): sự cắt giảm</v>
      </c>
      <c r="G1409" s="6" t="s">
        <v>42729</v>
      </c>
      <c r="H1409" s="6" t="s">
        <v>42730</v>
      </c>
      <c r="I1409" s="7">
        <f t="shared" si="3"/>
        <v>0.2752092576</v>
      </c>
    </row>
    <row r="1410">
      <c r="A1410" s="4">
        <v>1410.0</v>
      </c>
      <c r="B1410" s="3" t="s">
        <v>42731</v>
      </c>
      <c r="C1410" s="6" t="s">
        <v>11</v>
      </c>
      <c r="D1410" s="6" t="s">
        <v>5467</v>
      </c>
      <c r="E1410" s="3" t="str">
        <f t="shared" si="1"/>
        <v>industrial&lt;br&gt;&lt;div class="audio"&gt;[sound:industrial.mp3]&lt;/div&gt;</v>
      </c>
      <c r="F1410" s="3" t="str">
        <f t="shared" si="2"/>
        <v>(adj): công nghiệp</v>
      </c>
      <c r="G1410" s="6" t="s">
        <v>42732</v>
      </c>
      <c r="H1410" s="6" t="s">
        <v>42733</v>
      </c>
      <c r="I1410" s="7">
        <f t="shared" si="3"/>
        <v>0.9510111477</v>
      </c>
    </row>
    <row r="1411">
      <c r="A1411" s="4">
        <v>1411.0</v>
      </c>
      <c r="B1411" s="3" t="s">
        <v>42734</v>
      </c>
      <c r="C1411" s="6" t="s">
        <v>74</v>
      </c>
      <c r="D1411" s="6" t="s">
        <v>3619</v>
      </c>
      <c r="E1411" s="3" t="str">
        <f t="shared" si="1"/>
        <v>method&lt;br&gt;&lt;div class="audio"&gt;[sound:method.mp3]&lt;/div&gt;</v>
      </c>
      <c r="F1411" s="3" t="str">
        <f t="shared" si="2"/>
        <v>(n): phương pháp</v>
      </c>
      <c r="G1411" s="6" t="s">
        <v>42735</v>
      </c>
      <c r="H1411" s="6" t="s">
        <v>42736</v>
      </c>
      <c r="I1411" s="7">
        <f t="shared" si="3"/>
        <v>0.4946937036</v>
      </c>
    </row>
    <row r="1412">
      <c r="A1412" s="4">
        <v>1412.0</v>
      </c>
      <c r="B1412" s="3" t="s">
        <v>42737</v>
      </c>
      <c r="C1412" s="6" t="s">
        <v>11</v>
      </c>
      <c r="D1412" s="6" t="s">
        <v>42738</v>
      </c>
      <c r="E1412" s="3" t="str">
        <f t="shared" si="1"/>
        <v>limited&lt;br&gt;&lt;div class="audio"&gt;[sound:limited.mp3]&lt;/div&gt;</v>
      </c>
      <c r="F1412" s="3" t="str">
        <f t="shared" si="2"/>
        <v>(adj): bị giới hạn</v>
      </c>
      <c r="G1412" s="6" t="s">
        <v>42739</v>
      </c>
      <c r="H1412" s="6" t="s">
        <v>42740</v>
      </c>
      <c r="I1412" s="7">
        <f t="shared" si="3"/>
        <v>0.8011710061</v>
      </c>
    </row>
    <row r="1413">
      <c r="A1413" s="4">
        <v>1413.0</v>
      </c>
      <c r="B1413" s="3" t="s">
        <v>42741</v>
      </c>
      <c r="C1413" s="6" t="s">
        <v>74</v>
      </c>
      <c r="D1413" s="8" t="s">
        <v>42742</v>
      </c>
      <c r="E1413" s="3" t="str">
        <f t="shared" si="1"/>
        <v>storage&lt;br&gt;&lt;div class="audio"&gt;[sound:storage.mp3]&lt;/div&gt;</v>
      </c>
      <c r="F1413" s="3" t="str">
        <f t="shared" si="2"/>
        <v>(n): kho lưu trữ</v>
      </c>
      <c r="G1413" s="8" t="s">
        <v>42743</v>
      </c>
      <c r="H1413" s="8" t="s">
        <v>42744</v>
      </c>
      <c r="I1413" s="7">
        <f t="shared" si="3"/>
        <v>0.2418578166</v>
      </c>
    </row>
    <row r="1414">
      <c r="A1414" s="4">
        <v>1414.0</v>
      </c>
      <c r="B1414" s="3" t="s">
        <v>42745</v>
      </c>
      <c r="C1414" s="6" t="s">
        <v>74</v>
      </c>
      <c r="D1414" s="6" t="s">
        <v>42746</v>
      </c>
      <c r="E1414" s="3" t="str">
        <f t="shared" si="1"/>
        <v>entertainment&lt;br&gt;&lt;div class="audio"&gt;[sound:entertainment.mp3]&lt;/div&gt;</v>
      </c>
      <c r="F1414" s="3" t="str">
        <f t="shared" si="2"/>
        <v>(n): sự giải trí</v>
      </c>
      <c r="G1414" s="6" t="s">
        <v>42747</v>
      </c>
      <c r="H1414" s="6" t="s">
        <v>42748</v>
      </c>
      <c r="I1414" s="7">
        <f t="shared" si="3"/>
        <v>0.3351279673</v>
      </c>
    </row>
    <row r="1415">
      <c r="A1415" s="4">
        <v>1415.0</v>
      </c>
      <c r="B1415" s="3" t="s">
        <v>42749</v>
      </c>
      <c r="C1415" s="6" t="s">
        <v>74</v>
      </c>
      <c r="D1415" s="6" t="s">
        <v>14263</v>
      </c>
      <c r="E1415" s="3" t="str">
        <f t="shared" si="1"/>
        <v>component&lt;br&gt;&lt;div class="audio"&gt;[sound:component.mp3]&lt;/div&gt;</v>
      </c>
      <c r="F1415" s="3" t="str">
        <f t="shared" si="2"/>
        <v>(n): thành phần</v>
      </c>
      <c r="G1415" s="6" t="s">
        <v>42750</v>
      </c>
      <c r="H1415" s="6" t="s">
        <v>42751</v>
      </c>
      <c r="I1415" s="7">
        <f t="shared" si="3"/>
        <v>0.8212852075</v>
      </c>
    </row>
    <row r="1416">
      <c r="A1416" s="4">
        <v>1416.0</v>
      </c>
      <c r="B1416" s="3" t="s">
        <v>42752</v>
      </c>
      <c r="C1416" s="6" t="s">
        <v>90</v>
      </c>
      <c r="D1416" s="6" t="s">
        <v>42753</v>
      </c>
      <c r="E1416" s="3" t="str">
        <f t="shared" si="1"/>
        <v>nor&lt;br&gt;&lt;div class="audio"&gt;[sound:nor.mp3]&lt;/div&gt;</v>
      </c>
      <c r="F1416" s="3" t="str">
        <f t="shared" si="2"/>
        <v>(conj): cũng không</v>
      </c>
      <c r="G1416" s="6" t="s">
        <v>42754</v>
      </c>
      <c r="H1416" s="6" t="s">
        <v>42755</v>
      </c>
      <c r="I1416" s="7">
        <f t="shared" si="3"/>
        <v>0.03636457621</v>
      </c>
    </row>
    <row r="1417">
      <c r="A1417" s="4">
        <v>1417.0</v>
      </c>
      <c r="B1417" s="3" t="s">
        <v>42756</v>
      </c>
      <c r="C1417" s="6" t="s">
        <v>11</v>
      </c>
      <c r="D1417" s="6" t="s">
        <v>17480</v>
      </c>
      <c r="E1417" s="3" t="str">
        <f t="shared" si="1"/>
        <v>clever&lt;br&gt;&lt;div class="audio"&gt;[sound:clever.mp3]&lt;/div&gt;</v>
      </c>
      <c r="F1417" s="3" t="str">
        <f t="shared" si="2"/>
        <v>(adj): thông minh</v>
      </c>
      <c r="G1417" s="6" t="s">
        <v>42757</v>
      </c>
      <c r="H1417" s="6" t="s">
        <v>42758</v>
      </c>
      <c r="I1417" s="7">
        <f t="shared" si="3"/>
        <v>0.07859894592</v>
      </c>
    </row>
    <row r="1418">
      <c r="A1418" s="4">
        <v>1418.0</v>
      </c>
      <c r="B1418" s="3" t="s">
        <v>42759</v>
      </c>
      <c r="C1418" s="6" t="s">
        <v>74</v>
      </c>
      <c r="D1418" s="6" t="s">
        <v>11037</v>
      </c>
      <c r="E1418" s="3" t="str">
        <f t="shared" si="1"/>
        <v>achievement&lt;br&gt;&lt;div class="audio"&gt;[sound:achievement.mp3]&lt;/div&gt;</v>
      </c>
      <c r="F1418" s="3" t="str">
        <f t="shared" si="2"/>
        <v>(n): thành tích</v>
      </c>
      <c r="G1418" s="6" t="s">
        <v>42760</v>
      </c>
      <c r="H1418" s="6" t="s">
        <v>42761</v>
      </c>
      <c r="I1418" s="7">
        <f t="shared" si="3"/>
        <v>0.1931069813</v>
      </c>
    </row>
    <row r="1419">
      <c r="A1419" s="4">
        <v>1419.0</v>
      </c>
      <c r="B1419" s="3" t="s">
        <v>42762</v>
      </c>
      <c r="C1419" s="6" t="s">
        <v>11</v>
      </c>
      <c r="D1419" s="6" t="s">
        <v>2641</v>
      </c>
      <c r="E1419" s="3" t="str">
        <f t="shared" si="1"/>
        <v>foreign&lt;br&gt;&lt;div class="audio"&gt;[sound:foreign.mp3]&lt;/div&gt;</v>
      </c>
      <c r="F1419" s="3" t="str">
        <f t="shared" si="2"/>
        <v>(adj): nước ngoài</v>
      </c>
      <c r="G1419" s="6" t="s">
        <v>42763</v>
      </c>
      <c r="H1419" s="6" t="s">
        <v>42764</v>
      </c>
      <c r="I1419" s="7">
        <f t="shared" si="3"/>
        <v>0.805697414</v>
      </c>
    </row>
    <row r="1420">
      <c r="A1420" s="4">
        <v>1420.0</v>
      </c>
      <c r="B1420" s="3" t="s">
        <v>42765</v>
      </c>
      <c r="C1420" s="6" t="s">
        <v>74</v>
      </c>
      <c r="D1420" s="6" t="s">
        <v>27367</v>
      </c>
      <c r="E1420" s="3" t="str">
        <f t="shared" si="1"/>
        <v>hearing&lt;br&gt;&lt;div class="audio"&gt;[sound:hearing.mp3]&lt;/div&gt;</v>
      </c>
      <c r="F1420" s="3" t="str">
        <f t="shared" si="2"/>
        <v>(n): thính giác</v>
      </c>
      <c r="G1420" s="6" t="s">
        <v>42766</v>
      </c>
      <c r="H1420" s="6" t="s">
        <v>42767</v>
      </c>
      <c r="I1420" s="7">
        <f t="shared" si="3"/>
        <v>0.5841388294</v>
      </c>
    </row>
    <row r="1421">
      <c r="A1421" s="4">
        <v>1421.0</v>
      </c>
      <c r="B1421" s="3" t="s">
        <v>42768</v>
      </c>
      <c r="C1421" s="6" t="s">
        <v>24</v>
      </c>
      <c r="D1421" s="6" t="s">
        <v>42769</v>
      </c>
      <c r="E1421" s="3" t="str">
        <f t="shared" si="1"/>
        <v>advise&lt;br&gt;&lt;div class="audio"&gt;[sound:advise.mp3]&lt;/div&gt;</v>
      </c>
      <c r="F1421" s="3" t="str">
        <f t="shared" si="2"/>
        <v>(v): khuyên bảo</v>
      </c>
      <c r="G1421" s="6" t="s">
        <v>42770</v>
      </c>
      <c r="H1421" s="6" t="s">
        <v>42771</v>
      </c>
      <c r="I1421" s="7">
        <f t="shared" si="3"/>
        <v>0.3390378627</v>
      </c>
    </row>
    <row r="1422">
      <c r="A1422" s="4">
        <v>1422.0</v>
      </c>
      <c r="B1422" s="3" t="s">
        <v>42772</v>
      </c>
      <c r="C1422" s="6" t="s">
        <v>11</v>
      </c>
      <c r="D1422" s="6" t="s">
        <v>42773</v>
      </c>
      <c r="E1422" s="3" t="str">
        <f t="shared" si="1"/>
        <v>excited&lt;br&gt;&lt;div class="audio"&gt;[sound:excited.mp3]&lt;/div&gt;</v>
      </c>
      <c r="F1422" s="3" t="str">
        <f t="shared" si="2"/>
        <v>(adj): phấn khích</v>
      </c>
      <c r="G1422" s="6" t="s">
        <v>42774</v>
      </c>
      <c r="H1422" s="6" t="s">
        <v>42775</v>
      </c>
      <c r="I1422" s="7">
        <f t="shared" si="3"/>
        <v>0.85553154</v>
      </c>
    </row>
    <row r="1423">
      <c r="A1423" s="4">
        <v>1423.0</v>
      </c>
      <c r="B1423" s="3" t="s">
        <v>42776</v>
      </c>
      <c r="C1423" s="6" t="s">
        <v>74</v>
      </c>
      <c r="D1423" s="6" t="s">
        <v>42777</v>
      </c>
      <c r="E1423" s="3" t="str">
        <f t="shared" si="1"/>
        <v>combination&lt;br&gt;&lt;div class="audio"&gt;[sound:combination.mp3]&lt;/div&gt;</v>
      </c>
      <c r="F1423" s="3" t="str">
        <f t="shared" si="2"/>
        <v>(n): sự kết hợp</v>
      </c>
      <c r="G1423" s="6" t="s">
        <v>42778</v>
      </c>
      <c r="H1423" s="6" t="s">
        <v>42779</v>
      </c>
      <c r="I1423" s="7">
        <f t="shared" si="3"/>
        <v>0.4188073471</v>
      </c>
    </row>
    <row r="1424">
      <c r="A1424" s="4">
        <v>1424.0</v>
      </c>
      <c r="B1424" s="3" t="s">
        <v>42780</v>
      </c>
      <c r="C1424" s="6" t="s">
        <v>74</v>
      </c>
      <c r="D1424" s="8" t="s">
        <v>9477</v>
      </c>
      <c r="E1424" s="3" t="str">
        <f t="shared" si="1"/>
        <v>symbol&lt;br&gt;&lt;div class="audio"&gt;[sound:symbol.mp3]&lt;/div&gt;</v>
      </c>
      <c r="F1424" s="3" t="str">
        <f t="shared" si="2"/>
        <v>(n): biểu tượng</v>
      </c>
      <c r="G1424" s="8" t="s">
        <v>42781</v>
      </c>
      <c r="H1424" s="8" t="s">
        <v>42782</v>
      </c>
      <c r="I1424" s="7">
        <f t="shared" si="3"/>
        <v>0.8815201472</v>
      </c>
    </row>
    <row r="1425">
      <c r="A1425" s="4">
        <v>1425.0</v>
      </c>
      <c r="B1425" s="3" t="s">
        <v>42783</v>
      </c>
      <c r="C1425" s="6" t="s">
        <v>11</v>
      </c>
      <c r="D1425" s="8" t="s">
        <v>9395</v>
      </c>
      <c r="E1425" s="3" t="str">
        <f t="shared" si="1"/>
        <v>strategic&lt;br&gt;&lt;div class="audio"&gt;[sound:strategic.mp3]&lt;/div&gt;</v>
      </c>
      <c r="F1425" s="3" t="str">
        <f t="shared" si="2"/>
        <v>(adj): chiến lược</v>
      </c>
      <c r="G1425" s="8" t="s">
        <v>42784</v>
      </c>
      <c r="H1425" s="8" t="s">
        <v>42785</v>
      </c>
      <c r="I1425" s="7">
        <f t="shared" si="3"/>
        <v>0.2651767523</v>
      </c>
    </row>
    <row r="1426">
      <c r="A1426" s="4">
        <v>1426.0</v>
      </c>
      <c r="B1426" s="3" t="s">
        <v>42786</v>
      </c>
      <c r="C1426" s="6" t="s">
        <v>74</v>
      </c>
      <c r="D1426" s="6" t="s">
        <v>30163</v>
      </c>
      <c r="E1426" s="3" t="str">
        <f t="shared" si="1"/>
        <v>learning&lt;br&gt;&lt;div class="audio"&gt;[sound:learning.mp3]&lt;/div&gt;</v>
      </c>
      <c r="F1426" s="3" t="str">
        <f t="shared" si="2"/>
        <v>(n): sự học tập</v>
      </c>
      <c r="G1426" s="6" t="s">
        <v>42787</v>
      </c>
      <c r="H1426" s="6" t="s">
        <v>42788</v>
      </c>
      <c r="I1426" s="7">
        <f t="shared" si="3"/>
        <v>0.8695094129</v>
      </c>
    </row>
    <row r="1427">
      <c r="A1427" s="4">
        <v>1427.0</v>
      </c>
      <c r="B1427" s="3" t="s">
        <v>42789</v>
      </c>
      <c r="C1427" s="6" t="s">
        <v>74</v>
      </c>
      <c r="D1427" s="6" t="s">
        <v>4429</v>
      </c>
      <c r="E1427" s="3" t="str">
        <f t="shared" si="1"/>
        <v>priority&lt;br&gt;&lt;div class="audio"&gt;[sound:priority.mp3]&lt;/div&gt;</v>
      </c>
      <c r="F1427" s="3" t="str">
        <f t="shared" si="2"/>
        <v>(n): sự ưu tiên</v>
      </c>
      <c r="G1427" s="6" t="s">
        <v>42790</v>
      </c>
      <c r="H1427" s="6" t="s">
        <v>42791</v>
      </c>
      <c r="I1427" s="7">
        <f t="shared" si="3"/>
        <v>0.7296761396</v>
      </c>
    </row>
    <row r="1428">
      <c r="A1428" s="4">
        <v>1428.0</v>
      </c>
      <c r="B1428" s="3" t="s">
        <v>42792</v>
      </c>
      <c r="C1428" s="6" t="s">
        <v>11</v>
      </c>
      <c r="D1428" s="6" t="s">
        <v>42793</v>
      </c>
      <c r="E1428" s="3" t="str">
        <f t="shared" si="1"/>
        <v>organized&lt;br&gt;&lt;div class="audio"&gt;[sound:organized.mp3]&lt;/div&gt;</v>
      </c>
      <c r="F1428" s="3" t="str">
        <f t="shared" si="2"/>
        <v>(adj): có tổ chức</v>
      </c>
      <c r="G1428" s="6" t="s">
        <v>42794</v>
      </c>
      <c r="H1428" s="6" t="s">
        <v>42795</v>
      </c>
      <c r="I1428" s="7">
        <f t="shared" si="3"/>
        <v>0.3835195968</v>
      </c>
    </row>
    <row r="1429">
      <c r="A1429" s="4">
        <v>1429.0</v>
      </c>
      <c r="B1429" s="3" t="s">
        <v>42796</v>
      </c>
      <c r="C1429" s="6" t="s">
        <v>74</v>
      </c>
      <c r="D1429" s="6" t="s">
        <v>42797</v>
      </c>
      <c r="E1429" s="3" t="str">
        <f t="shared" si="1"/>
        <v>expert&lt;br&gt;&lt;div class="audio"&gt;[sound:expert.mp3]&lt;/div&gt;</v>
      </c>
      <c r="F1429" s="3" t="str">
        <f t="shared" si="2"/>
        <v>(n): chuyên gia</v>
      </c>
      <c r="G1429" s="6" t="s">
        <v>42798</v>
      </c>
      <c r="H1429" s="6" t="s">
        <v>42799</v>
      </c>
      <c r="I1429" s="7">
        <f t="shared" si="3"/>
        <v>0.55775965</v>
      </c>
    </row>
    <row r="1430">
      <c r="A1430" s="4">
        <v>1430.0</v>
      </c>
      <c r="B1430" s="3" t="s">
        <v>42800</v>
      </c>
      <c r="C1430" s="6" t="s">
        <v>11</v>
      </c>
      <c r="D1430" s="6" t="s">
        <v>42801</v>
      </c>
      <c r="E1430" s="3" t="str">
        <f t="shared" si="1"/>
        <v>medical&lt;br&gt;&lt;div class="audio"&gt;[sound:medical.mp3]&lt;/div&gt;</v>
      </c>
      <c r="F1430" s="3" t="str">
        <f t="shared" si="2"/>
        <v>(adj): thuộc y tế</v>
      </c>
      <c r="G1430" s="6" t="s">
        <v>42802</v>
      </c>
      <c r="H1430" s="6" t="s">
        <v>42803</v>
      </c>
      <c r="I1430" s="7">
        <f t="shared" si="3"/>
        <v>0.9052865858</v>
      </c>
    </row>
    <row r="1431">
      <c r="A1431" s="4">
        <v>1431.0</v>
      </c>
      <c r="B1431" s="3" t="s">
        <v>42804</v>
      </c>
      <c r="C1431" s="6" t="s">
        <v>11</v>
      </c>
      <c r="D1431" s="6" t="s">
        <v>5613</v>
      </c>
      <c r="E1431" s="3" t="str">
        <f t="shared" si="1"/>
        <v>average&lt;br&gt;&lt;div class="audio"&gt;[sound:average.mp3]&lt;/div&gt;</v>
      </c>
      <c r="F1431" s="3" t="str">
        <f t="shared" si="2"/>
        <v>(adj): trung bình</v>
      </c>
      <c r="G1431" s="6" t="s">
        <v>42805</v>
      </c>
      <c r="H1431" s="6" t="s">
        <v>42806</v>
      </c>
      <c r="I1431" s="7">
        <f t="shared" si="3"/>
        <v>0.4686589408</v>
      </c>
    </row>
    <row r="1432">
      <c r="A1432" s="4">
        <v>1432.0</v>
      </c>
      <c r="B1432" s="3" t="s">
        <v>42807</v>
      </c>
      <c r="C1432" s="6" t="s">
        <v>74</v>
      </c>
      <c r="D1432" s="6" t="s">
        <v>7469</v>
      </c>
      <c r="E1432" s="3" t="str">
        <f t="shared" si="1"/>
        <v>experiment&lt;br&gt;&lt;div class="audio"&gt;[sound:experiment.mp3]&lt;/div&gt;</v>
      </c>
      <c r="F1432" s="3" t="str">
        <f t="shared" si="2"/>
        <v>(n): thí nghiệm</v>
      </c>
      <c r="G1432" s="6" t="s">
        <v>42808</v>
      </c>
      <c r="H1432" s="6" t="s">
        <v>42809</v>
      </c>
      <c r="I1432" s="7">
        <f t="shared" si="3"/>
        <v>0.1888463362</v>
      </c>
    </row>
    <row r="1433">
      <c r="A1433" s="4">
        <v>1433.0</v>
      </c>
      <c r="B1433" s="3" t="s">
        <v>42810</v>
      </c>
      <c r="C1433" s="6" t="s">
        <v>11</v>
      </c>
      <c r="D1433" s="6" t="s">
        <v>23875</v>
      </c>
      <c r="E1433" s="3" t="str">
        <f t="shared" si="1"/>
        <v>flat&lt;br&gt;&lt;div class="audio"&gt;[sound:flat.mp3]&lt;/div&gt;</v>
      </c>
      <c r="F1433" s="3" t="str">
        <f t="shared" si="2"/>
        <v>(adj): bằng phẳng</v>
      </c>
      <c r="G1433" s="6" t="s">
        <v>42811</v>
      </c>
      <c r="H1433" s="6" t="s">
        <v>42812</v>
      </c>
      <c r="I1433" s="7">
        <f t="shared" si="3"/>
        <v>0.3396075676</v>
      </c>
    </row>
    <row r="1434">
      <c r="A1434" s="4">
        <v>1434.0</v>
      </c>
      <c r="B1434" s="3" t="s">
        <v>42813</v>
      </c>
      <c r="C1434" s="6" t="s">
        <v>74</v>
      </c>
      <c r="D1434" s="8" t="s">
        <v>25458</v>
      </c>
      <c r="E1434" s="3" t="str">
        <f t="shared" si="1"/>
        <v>silence&lt;br&gt;&lt;div class="audio"&gt;[sound:silence.mp3]&lt;/div&gt;</v>
      </c>
      <c r="F1434" s="3" t="str">
        <f t="shared" si="2"/>
        <v>(n): sự im lặng</v>
      </c>
      <c r="G1434" s="8" t="s">
        <v>42814</v>
      </c>
      <c r="H1434" s="8" t="s">
        <v>42815</v>
      </c>
      <c r="I1434" s="7">
        <f t="shared" si="3"/>
        <v>0.9820185612</v>
      </c>
    </row>
    <row r="1435">
      <c r="A1435" s="4">
        <v>1435.0</v>
      </c>
      <c r="B1435" s="3" t="s">
        <v>42816</v>
      </c>
      <c r="C1435" s="6" t="s">
        <v>74</v>
      </c>
      <c r="D1435" s="8" t="s">
        <v>37545</v>
      </c>
      <c r="E1435" s="3" t="str">
        <f t="shared" si="1"/>
        <v>soldier&lt;br&gt;&lt;div class="audio"&gt;[sound:soldier.mp3]&lt;/div&gt;</v>
      </c>
      <c r="F1435" s="3" t="str">
        <f t="shared" si="2"/>
        <v>(n): người lính</v>
      </c>
      <c r="G1435" s="8" t="s">
        <v>42817</v>
      </c>
      <c r="H1435" s="8" t="s">
        <v>42818</v>
      </c>
      <c r="I1435" s="7">
        <f t="shared" si="3"/>
        <v>0.1455202101</v>
      </c>
    </row>
    <row r="1436">
      <c r="A1436" s="4">
        <v>1436.0</v>
      </c>
      <c r="B1436" s="3" t="s">
        <v>42819</v>
      </c>
      <c r="C1436" s="6" t="s">
        <v>74</v>
      </c>
      <c r="D1436" s="6" t="s">
        <v>42820</v>
      </c>
      <c r="E1436" s="3" t="str">
        <f t="shared" si="1"/>
        <v>user&lt;br&gt;&lt;div class="audio"&gt;[sound:user.mp3]&lt;/div&gt;</v>
      </c>
      <c r="F1436" s="3" t="str">
        <f t="shared" si="2"/>
        <v>(n): người dùng</v>
      </c>
      <c r="G1436" s="6" t="s">
        <v>42821</v>
      </c>
      <c r="H1436" s="6" t="s">
        <v>42822</v>
      </c>
      <c r="I1436" s="7">
        <f t="shared" si="3"/>
        <v>0.7541418667</v>
      </c>
    </row>
    <row r="1437">
      <c r="A1437" s="4">
        <v>1437.0</v>
      </c>
      <c r="B1437" s="3" t="s">
        <v>42823</v>
      </c>
      <c r="C1437" s="6" t="s">
        <v>24</v>
      </c>
      <c r="D1437" s="6" t="s">
        <v>20667</v>
      </c>
      <c r="E1437" s="3" t="str">
        <f t="shared" si="1"/>
        <v>reflect&lt;br&gt;&lt;div class="audio"&gt;[sound:reflect.mp3]&lt;/div&gt;</v>
      </c>
      <c r="F1437" s="3" t="str">
        <f t="shared" si="2"/>
        <v>(v): phản chiếu</v>
      </c>
      <c r="G1437" s="6" t="s">
        <v>42824</v>
      </c>
      <c r="H1437" s="6" t="s">
        <v>42825</v>
      </c>
      <c r="I1437" s="7">
        <f t="shared" si="3"/>
        <v>0.02742868798</v>
      </c>
    </row>
    <row r="1438">
      <c r="A1438" s="4">
        <v>1438.0</v>
      </c>
      <c r="B1438" s="3" t="s">
        <v>42826</v>
      </c>
      <c r="C1438" s="6" t="s">
        <v>74</v>
      </c>
      <c r="D1438" s="6" t="s">
        <v>3690</v>
      </c>
      <c r="E1438" s="3" t="str">
        <f t="shared" si="1"/>
        <v>traffic&lt;br&gt;&lt;div class="audio"&gt;[sound:traffic.mp3]&lt;/div&gt;</v>
      </c>
      <c r="F1438" s="3" t="str">
        <f t="shared" si="2"/>
        <v>(n): giao thông</v>
      </c>
      <c r="G1438" s="6" t="s">
        <v>42827</v>
      </c>
      <c r="H1438" s="6" t="s">
        <v>42828</v>
      </c>
      <c r="I1438" s="7">
        <f t="shared" si="3"/>
        <v>0.7792092723</v>
      </c>
    </row>
    <row r="1439">
      <c r="A1439" s="4">
        <v>1439.0</v>
      </c>
      <c r="B1439" s="3" t="s">
        <v>42829</v>
      </c>
      <c r="C1439" s="6" t="s">
        <v>11</v>
      </c>
      <c r="D1439" s="6" t="s">
        <v>42830</v>
      </c>
      <c r="E1439" s="3" t="str">
        <f t="shared" si="1"/>
        <v>friendly&lt;br&gt;&lt;div class="audio"&gt;[sound:friendly.mp3]&lt;/div&gt;</v>
      </c>
      <c r="F1439" s="3" t="str">
        <f t="shared" si="2"/>
        <v>(adj): thân thiện</v>
      </c>
      <c r="G1439" s="6" t="s">
        <v>42831</v>
      </c>
      <c r="H1439" s="6" t="s">
        <v>42832</v>
      </c>
      <c r="I1439" s="7">
        <f t="shared" si="3"/>
        <v>0.4717297085</v>
      </c>
    </row>
    <row r="1440">
      <c r="A1440" s="4">
        <v>1440.0</v>
      </c>
      <c r="B1440" s="3" t="s">
        <v>42833</v>
      </c>
      <c r="C1440" s="6" t="s">
        <v>24</v>
      </c>
      <c r="D1440" s="6" t="s">
        <v>5350</v>
      </c>
      <c r="E1440" s="3" t="str">
        <f t="shared" si="1"/>
        <v>compete&lt;br&gt;&lt;div class="audio"&gt;[sound:compete.mp3]&lt;/div&gt;</v>
      </c>
      <c r="F1440" s="3" t="str">
        <f t="shared" si="2"/>
        <v>(v): cạnh tranh</v>
      </c>
      <c r="G1440" s="6" t="s">
        <v>42834</v>
      </c>
      <c r="H1440" s="6" t="s">
        <v>42835</v>
      </c>
      <c r="I1440" s="7">
        <f t="shared" si="3"/>
        <v>0.2508428181</v>
      </c>
    </row>
    <row r="1441">
      <c r="A1441" s="4">
        <v>1441.0</v>
      </c>
      <c r="B1441" s="3" t="s">
        <v>42836</v>
      </c>
      <c r="C1441" s="6" t="s">
        <v>74</v>
      </c>
      <c r="D1441" s="6" t="s">
        <v>42837</v>
      </c>
      <c r="E1441" s="3" t="str">
        <f t="shared" si="1"/>
        <v>independence&lt;br&gt;&lt;div class="audio"&gt;[sound:independence.mp3]&lt;/div&gt;</v>
      </c>
      <c r="F1441" s="3" t="str">
        <f t="shared" si="2"/>
        <v>(n): sự độc lập</v>
      </c>
      <c r="G1441" s="6" t="s">
        <v>42838</v>
      </c>
      <c r="H1441" s="6" t="s">
        <v>42839</v>
      </c>
      <c r="I1441" s="7">
        <f t="shared" si="3"/>
        <v>0.8090332186</v>
      </c>
    </row>
    <row r="1442">
      <c r="A1442" s="4">
        <v>1442.0</v>
      </c>
      <c r="B1442" s="3" t="s">
        <v>42840</v>
      </c>
      <c r="C1442" s="6" t="s">
        <v>24</v>
      </c>
      <c r="D1442" s="6" t="s">
        <v>12591</v>
      </c>
      <c r="E1442" s="3" t="str">
        <f t="shared" si="1"/>
        <v>escape&lt;br&gt;&lt;div class="audio"&gt;[sound:escape.mp3]&lt;/div&gt;</v>
      </c>
      <c r="F1442" s="3" t="str">
        <f t="shared" si="2"/>
        <v>(v): trốn thoát</v>
      </c>
      <c r="G1442" s="6" t="s">
        <v>42841</v>
      </c>
      <c r="H1442" s="6" t="s">
        <v>42842</v>
      </c>
      <c r="I1442" s="7">
        <f t="shared" si="3"/>
        <v>0.352085541</v>
      </c>
    </row>
    <row r="1443">
      <c r="A1443" s="4">
        <v>1443.0</v>
      </c>
      <c r="B1443" s="3" t="s">
        <v>42843</v>
      </c>
      <c r="C1443" s="6" t="s">
        <v>74</v>
      </c>
      <c r="D1443" s="6" t="s">
        <v>42844</v>
      </c>
      <c r="E1443" s="3" t="str">
        <f t="shared" si="1"/>
        <v>innovation&lt;br&gt;&lt;div class="audio"&gt;[sound:innovation.mp3]&lt;/div&gt;</v>
      </c>
      <c r="F1443" s="3" t="str">
        <f t="shared" si="2"/>
        <v>(n): sự đổi mới</v>
      </c>
      <c r="G1443" s="6" t="s">
        <v>42845</v>
      </c>
      <c r="H1443" s="6" t="s">
        <v>42846</v>
      </c>
      <c r="I1443" s="7">
        <f t="shared" si="3"/>
        <v>0.2706862713</v>
      </c>
    </row>
    <row r="1444">
      <c r="A1444" s="4">
        <v>1444.0</v>
      </c>
      <c r="B1444" s="3" t="s">
        <v>42847</v>
      </c>
      <c r="C1444" s="6" t="s">
        <v>74</v>
      </c>
      <c r="D1444" s="6" t="s">
        <v>16766</v>
      </c>
      <c r="E1444" s="3" t="str">
        <f t="shared" si="1"/>
        <v>birth&lt;br&gt;&lt;div class="audio"&gt;[sound:birth.mp3]&lt;/div&gt;</v>
      </c>
      <c r="F1444" s="3" t="str">
        <f t="shared" si="2"/>
        <v>(n): sự sinh ra</v>
      </c>
      <c r="G1444" s="6" t="s">
        <v>42848</v>
      </c>
      <c r="H1444" s="6" t="s">
        <v>42849</v>
      </c>
      <c r="I1444" s="7">
        <f t="shared" si="3"/>
        <v>0.24866325</v>
      </c>
    </row>
    <row r="1445">
      <c r="A1445" s="4">
        <v>1445.0</v>
      </c>
      <c r="B1445" s="3" t="s">
        <v>42850</v>
      </c>
      <c r="C1445" s="6" t="s">
        <v>74</v>
      </c>
      <c r="D1445" s="6" t="s">
        <v>3640</v>
      </c>
      <c r="E1445" s="3" t="str">
        <f t="shared" si="1"/>
        <v>circumstance&lt;br&gt;&lt;div class="audio"&gt;[sound:circumstance.mp3]&lt;/div&gt;</v>
      </c>
      <c r="F1445" s="3" t="str">
        <f t="shared" si="2"/>
        <v>(n): hoàn cảnh</v>
      </c>
      <c r="G1445" s="6" t="s">
        <v>42851</v>
      </c>
      <c r="H1445" s="6" t="s">
        <v>42852</v>
      </c>
      <c r="I1445" s="7">
        <f t="shared" si="3"/>
        <v>0.5605785477</v>
      </c>
    </row>
    <row r="1446">
      <c r="A1446" s="4">
        <v>1446.0</v>
      </c>
      <c r="B1446" s="3" t="s">
        <v>42853</v>
      </c>
      <c r="C1446" s="6" t="s">
        <v>11</v>
      </c>
      <c r="D1446" s="6" t="s">
        <v>42854</v>
      </c>
      <c r="E1446" s="3" t="str">
        <f t="shared" si="1"/>
        <v>consistent&lt;br&gt;&lt;div class="audio"&gt;[sound:consistent.mp3]&lt;/div&gt;</v>
      </c>
      <c r="F1446" s="3" t="str">
        <f t="shared" si="2"/>
        <v>(adj): nhất quán</v>
      </c>
      <c r="G1446" s="6" t="s">
        <v>42855</v>
      </c>
      <c r="H1446" s="6" t="s">
        <v>42856</v>
      </c>
      <c r="I1446" s="7">
        <f t="shared" si="3"/>
        <v>0.5271824202</v>
      </c>
    </row>
    <row r="1447">
      <c r="A1447" s="4">
        <v>1447.0</v>
      </c>
      <c r="B1447" s="3" t="s">
        <v>42857</v>
      </c>
      <c r="C1447" s="6" t="s">
        <v>11</v>
      </c>
      <c r="D1447" s="6" t="s">
        <v>42858</v>
      </c>
      <c r="E1447" s="3" t="str">
        <f t="shared" si="1"/>
        <v>equal&lt;br&gt;&lt;div class="audio"&gt;[sound:equal.mp3]&lt;/div&gt;</v>
      </c>
      <c r="F1447" s="3" t="str">
        <f t="shared" si="2"/>
        <v>(adj): bằng nhau</v>
      </c>
      <c r="G1447" s="6" t="s">
        <v>42859</v>
      </c>
      <c r="H1447" s="6" t="s">
        <v>42860</v>
      </c>
      <c r="I1447" s="7">
        <f t="shared" si="3"/>
        <v>0.1504354517</v>
      </c>
    </row>
    <row r="1448">
      <c r="A1448" s="4">
        <v>1448.0</v>
      </c>
      <c r="B1448" s="3" t="s">
        <v>42861</v>
      </c>
      <c r="C1448" s="6" t="s">
        <v>24</v>
      </c>
      <c r="D1448" s="6" t="s">
        <v>13846</v>
      </c>
      <c r="E1448" s="3" t="str">
        <f t="shared" si="1"/>
        <v>quote&lt;br&gt;&lt;div class="audio"&gt;[sound:quote.mp3]&lt;/div&gt;</v>
      </c>
      <c r="F1448" s="3" t="str">
        <f t="shared" si="2"/>
        <v>(v): trích dẫn</v>
      </c>
      <c r="G1448" s="6" t="s">
        <v>42862</v>
      </c>
      <c r="H1448" s="6" t="s">
        <v>42863</v>
      </c>
      <c r="I1448" s="7">
        <f t="shared" si="3"/>
        <v>0.4458190049</v>
      </c>
    </row>
    <row r="1449">
      <c r="A1449" s="4">
        <v>1449.0</v>
      </c>
      <c r="B1449" s="3" t="s">
        <v>42864</v>
      </c>
      <c r="C1449" s="6" t="s">
        <v>24</v>
      </c>
      <c r="D1449" s="6" t="s">
        <v>3109</v>
      </c>
      <c r="E1449" s="3" t="str">
        <f t="shared" si="1"/>
        <v>concentrate&lt;br&gt;&lt;div class="audio"&gt;[sound:concentrate.mp3]&lt;/div&gt;</v>
      </c>
      <c r="F1449" s="3" t="str">
        <f t="shared" si="2"/>
        <v>(v): tập trung</v>
      </c>
      <c r="G1449" s="6" t="s">
        <v>42865</v>
      </c>
      <c r="H1449" s="6" t="s">
        <v>42866</v>
      </c>
      <c r="I1449" s="7">
        <f t="shared" si="3"/>
        <v>0.3324149051</v>
      </c>
    </row>
    <row r="1450">
      <c r="A1450" s="4">
        <v>1450.0</v>
      </c>
      <c r="B1450" s="3" t="s">
        <v>42867</v>
      </c>
      <c r="C1450" s="6" t="s">
        <v>24</v>
      </c>
      <c r="D1450" s="6" t="s">
        <v>978</v>
      </c>
      <c r="E1450" s="3" t="str">
        <f t="shared" si="1"/>
        <v>conduct&lt;br&gt;&lt;div class="audio"&gt;[sound:conduct.mp3]&lt;/div&gt;</v>
      </c>
      <c r="F1450" s="3" t="str">
        <f t="shared" si="2"/>
        <v>(v): thực hiện</v>
      </c>
      <c r="G1450" s="6" t="s">
        <v>42868</v>
      </c>
      <c r="H1450" s="6" t="s">
        <v>42869</v>
      </c>
      <c r="I1450" s="7">
        <f t="shared" si="3"/>
        <v>0.6186732909</v>
      </c>
    </row>
    <row r="1451">
      <c r="A1451" s="4">
        <v>1451.0</v>
      </c>
      <c r="B1451" s="3" t="s">
        <v>42870</v>
      </c>
      <c r="C1451" s="6" t="s">
        <v>24</v>
      </c>
      <c r="D1451" s="6" t="s">
        <v>27730</v>
      </c>
      <c r="E1451" s="3" t="str">
        <f t="shared" si="1"/>
        <v>bother&lt;br&gt;&lt;div class="audio"&gt;[sound:bother.mp3]&lt;/div&gt;</v>
      </c>
      <c r="F1451" s="3" t="str">
        <f t="shared" si="2"/>
        <v>(v): làm phiền</v>
      </c>
      <c r="G1451" s="6" t="s">
        <v>42871</v>
      </c>
      <c r="H1451" s="6" t="s">
        <v>42872</v>
      </c>
      <c r="I1451" s="7">
        <f t="shared" si="3"/>
        <v>0.9605183618</v>
      </c>
    </row>
    <row r="1452">
      <c r="A1452" s="4">
        <v>1452.0</v>
      </c>
      <c r="B1452" s="3" t="s">
        <v>42873</v>
      </c>
      <c r="C1452" s="6" t="s">
        <v>74</v>
      </c>
      <c r="D1452" s="6" t="s">
        <v>1793</v>
      </c>
      <c r="E1452" s="3" t="str">
        <f t="shared" si="1"/>
        <v>employee&lt;br&gt;&lt;div class="audio"&gt;[sound:employee.mp3]&lt;/div&gt;</v>
      </c>
      <c r="F1452" s="3" t="str">
        <f t="shared" si="2"/>
        <v>(n): nhân viên</v>
      </c>
      <c r="G1452" s="6" t="s">
        <v>42874</v>
      </c>
      <c r="H1452" s="6" t="s">
        <v>42875</v>
      </c>
      <c r="I1452" s="7">
        <f t="shared" si="3"/>
        <v>0.1085007929</v>
      </c>
    </row>
    <row r="1453">
      <c r="A1453" s="4">
        <v>1453.0</v>
      </c>
      <c r="B1453" s="3" t="s">
        <v>42876</v>
      </c>
      <c r="C1453" s="6" t="s">
        <v>11</v>
      </c>
      <c r="D1453" s="8" t="s">
        <v>10904</v>
      </c>
      <c r="E1453" s="3" t="str">
        <f t="shared" si="1"/>
        <v>suitable&lt;br&gt;&lt;div class="audio"&gt;[sound:suitable.mp3]&lt;/div&gt;</v>
      </c>
      <c r="F1453" s="3" t="str">
        <f t="shared" si="2"/>
        <v>(adj): thích hợp</v>
      </c>
      <c r="G1453" s="8" t="s">
        <v>42877</v>
      </c>
      <c r="H1453" s="8" t="s">
        <v>42878</v>
      </c>
      <c r="I1453" s="7">
        <f t="shared" si="3"/>
        <v>0.9822976167</v>
      </c>
    </row>
    <row r="1454">
      <c r="A1454" s="4">
        <v>1454.0</v>
      </c>
      <c r="B1454" s="3" t="s">
        <v>42879</v>
      </c>
      <c r="C1454" s="6" t="s">
        <v>74</v>
      </c>
      <c r="D1454" s="8" t="s">
        <v>6838</v>
      </c>
      <c r="E1454" s="3" t="str">
        <f t="shared" si="1"/>
        <v>studio&lt;br&gt;&lt;div class="audio"&gt;[sound:studio.mp3]&lt;/div&gt;</v>
      </c>
      <c r="F1454" s="3" t="str">
        <f t="shared" si="2"/>
        <v>(n): phòng thu</v>
      </c>
      <c r="G1454" s="8" t="s">
        <v>42880</v>
      </c>
      <c r="H1454" s="8" t="s">
        <v>42881</v>
      </c>
      <c r="I1454" s="7">
        <f t="shared" si="3"/>
        <v>0.8764854668</v>
      </c>
    </row>
    <row r="1455">
      <c r="A1455" s="4">
        <v>1455.0</v>
      </c>
      <c r="B1455" s="3" t="s">
        <v>42882</v>
      </c>
      <c r="C1455" s="6" t="s">
        <v>11</v>
      </c>
      <c r="D1455" s="6" t="s">
        <v>42883</v>
      </c>
      <c r="E1455" s="3" t="str">
        <f t="shared" si="1"/>
        <v>potential&lt;br&gt;&lt;div class="audio"&gt;[sound:potential.mp3]&lt;/div&gt;</v>
      </c>
      <c r="F1455" s="3" t="str">
        <f t="shared" si="2"/>
        <v>(adj): tiềm năng</v>
      </c>
      <c r="G1455" s="6" t="s">
        <v>42884</v>
      </c>
      <c r="H1455" s="6" t="s">
        <v>42885</v>
      </c>
      <c r="I1455" s="7">
        <f t="shared" si="3"/>
        <v>0.4579086851</v>
      </c>
    </row>
    <row r="1456">
      <c r="A1456" s="4">
        <v>1456.0</v>
      </c>
      <c r="B1456" s="3" t="s">
        <v>42886</v>
      </c>
      <c r="C1456" s="6" t="s">
        <v>74</v>
      </c>
      <c r="D1456" s="6" t="s">
        <v>2605</v>
      </c>
      <c r="E1456" s="3" t="str">
        <f t="shared" si="1"/>
        <v>politics&lt;br&gt;&lt;div class="audio"&gt;[sound:politics.mp3]&lt;/div&gt;</v>
      </c>
      <c r="F1456" s="3" t="str">
        <f t="shared" si="2"/>
        <v>(n): chính trị</v>
      </c>
      <c r="G1456" s="6" t="s">
        <v>42887</v>
      </c>
      <c r="H1456" s="6" t="s">
        <v>42888</v>
      </c>
      <c r="I1456" s="7">
        <f t="shared" si="3"/>
        <v>0.7307348118</v>
      </c>
    </row>
    <row r="1457">
      <c r="A1457" s="4">
        <v>1457.0</v>
      </c>
      <c r="B1457" s="3" t="s">
        <v>42889</v>
      </c>
      <c r="C1457" s="6" t="s">
        <v>74</v>
      </c>
      <c r="D1457" s="6" t="s">
        <v>2557</v>
      </c>
      <c r="E1457" s="3" t="str">
        <f t="shared" si="1"/>
        <v>finance&lt;br&gt;&lt;div class="audio"&gt;[sound:finance.mp3]&lt;/div&gt;</v>
      </c>
      <c r="F1457" s="3" t="str">
        <f t="shared" si="2"/>
        <v>(n): tài chính</v>
      </c>
      <c r="G1457" s="6" t="s">
        <v>42890</v>
      </c>
      <c r="H1457" s="6" t="s">
        <v>42891</v>
      </c>
      <c r="I1457" s="7">
        <f t="shared" si="3"/>
        <v>0.141177068</v>
      </c>
    </row>
    <row r="1458">
      <c r="A1458" s="4">
        <v>1458.0</v>
      </c>
      <c r="B1458" s="3" t="s">
        <v>42892</v>
      </c>
      <c r="C1458" s="6" t="s">
        <v>24</v>
      </c>
      <c r="D1458" s="6" t="s">
        <v>3705</v>
      </c>
      <c r="E1458" s="3" t="str">
        <f t="shared" si="1"/>
        <v>acknowledge&lt;br&gt;&lt;div class="audio"&gt;[sound:acknowledge.mp3]&lt;/div&gt;</v>
      </c>
      <c r="F1458" s="3" t="str">
        <f t="shared" si="2"/>
        <v>(v): công nhận</v>
      </c>
      <c r="G1458" s="6" t="s">
        <v>42893</v>
      </c>
      <c r="H1458" s="6" t="s">
        <v>42894</v>
      </c>
      <c r="I1458" s="7">
        <f t="shared" si="3"/>
        <v>0.2540008644</v>
      </c>
    </row>
    <row r="1459">
      <c r="A1459" s="4">
        <v>1459.0</v>
      </c>
      <c r="B1459" s="3" t="s">
        <v>42895</v>
      </c>
      <c r="C1459" s="6" t="s">
        <v>85</v>
      </c>
      <c r="D1459" s="6" t="s">
        <v>4743</v>
      </c>
      <c r="E1459" s="3" t="str">
        <f t="shared" si="1"/>
        <v>fully&lt;br&gt;&lt;div class="audio"&gt;[sound:fully.mp3]&lt;/div&gt;</v>
      </c>
      <c r="F1459" s="3" t="str">
        <f t="shared" si="2"/>
        <v>(adv): hoàn toàn</v>
      </c>
      <c r="G1459" s="6" t="s">
        <v>42896</v>
      </c>
      <c r="H1459" s="6" t="s">
        <v>42897</v>
      </c>
      <c r="I1459" s="7">
        <f t="shared" si="3"/>
        <v>0.666565743</v>
      </c>
    </row>
    <row r="1460">
      <c r="A1460" s="4">
        <v>1460.0</v>
      </c>
      <c r="B1460" s="3" t="s">
        <v>42898</v>
      </c>
      <c r="C1460" s="6" t="s">
        <v>44</v>
      </c>
      <c r="D1460" s="6" t="s">
        <v>39709</v>
      </c>
      <c r="E1460" s="3" t="str">
        <f t="shared" si="1"/>
        <v>anybody&lt;br&gt;&lt;div class="audio"&gt;[sound:anybody.mp3]&lt;/div&gt;</v>
      </c>
      <c r="F1460" s="3" t="str">
        <f t="shared" si="2"/>
        <v>(pron): bất kỳ ai</v>
      </c>
      <c r="G1460" s="6" t="s">
        <v>42899</v>
      </c>
      <c r="H1460" s="6" t="s">
        <v>42900</v>
      </c>
      <c r="I1460" s="7">
        <f t="shared" si="3"/>
        <v>0.1806523691</v>
      </c>
    </row>
    <row r="1461">
      <c r="A1461" s="4">
        <v>1461.0</v>
      </c>
      <c r="B1461" s="3" t="s">
        <v>42901</v>
      </c>
      <c r="C1461" s="6" t="s">
        <v>74</v>
      </c>
      <c r="D1461" s="6" t="s">
        <v>8512</v>
      </c>
      <c r="E1461" s="3" t="str">
        <f t="shared" si="1"/>
        <v>habit&lt;br&gt;&lt;div class="audio"&gt;[sound:habit.mp3]&lt;/div&gt;</v>
      </c>
      <c r="F1461" s="3" t="str">
        <f t="shared" si="2"/>
        <v>(n): thói quen</v>
      </c>
      <c r="G1461" s="6" t="s">
        <v>42902</v>
      </c>
      <c r="H1461" s="6" t="s">
        <v>42903</v>
      </c>
      <c r="I1461" s="7">
        <f t="shared" si="3"/>
        <v>0.4594727959</v>
      </c>
    </row>
    <row r="1462">
      <c r="A1462" s="4">
        <v>1462.0</v>
      </c>
      <c r="B1462" s="3" t="s">
        <v>42904</v>
      </c>
      <c r="C1462" s="6" t="s">
        <v>11</v>
      </c>
      <c r="D1462" s="6" t="s">
        <v>42905</v>
      </c>
      <c r="E1462" s="3" t="str">
        <f t="shared" si="1"/>
        <v>genetic&lt;br&gt;&lt;div class="audio"&gt;[sound:genetic.mp3]&lt;/div&gt;</v>
      </c>
      <c r="F1462" s="3" t="str">
        <f t="shared" si="2"/>
        <v>(adj): thuộc gen</v>
      </c>
      <c r="G1462" s="6" t="s">
        <v>42906</v>
      </c>
      <c r="H1462" s="6" t="s">
        <v>42907</v>
      </c>
      <c r="I1462" s="7">
        <f t="shared" si="3"/>
        <v>0.6661482774</v>
      </c>
    </row>
    <row r="1463">
      <c r="A1463" s="4">
        <v>1463.0</v>
      </c>
      <c r="B1463" s="3" t="s">
        <v>42908</v>
      </c>
      <c r="C1463" s="6" t="s">
        <v>11</v>
      </c>
      <c r="D1463" s="6" t="s">
        <v>29172</v>
      </c>
      <c r="E1463" s="3" t="str">
        <f t="shared" si="1"/>
        <v>typical&lt;br&gt;&lt;div class="audio"&gt;[sound:typical.mp3]&lt;/div&gt;</v>
      </c>
      <c r="F1463" s="3" t="str">
        <f t="shared" si="2"/>
        <v>(adj): điển hình</v>
      </c>
      <c r="G1463" s="6" t="s">
        <v>42909</v>
      </c>
      <c r="H1463" s="6" t="s">
        <v>42910</v>
      </c>
      <c r="I1463" s="7">
        <f t="shared" si="3"/>
        <v>0.1309513124</v>
      </c>
    </row>
    <row r="1464">
      <c r="A1464" s="4">
        <v>1464.0</v>
      </c>
      <c r="B1464" s="3" t="s">
        <v>42911</v>
      </c>
      <c r="C1464" s="6" t="s">
        <v>85</v>
      </c>
      <c r="D1464" s="6" t="s">
        <v>5424</v>
      </c>
      <c r="E1464" s="3" t="str">
        <f t="shared" si="1"/>
        <v>increasingly&lt;br&gt;&lt;div class="audio"&gt;[sound:increasingly.mp3]&lt;/div&gt;</v>
      </c>
      <c r="F1464" s="3" t="str">
        <f t="shared" si="2"/>
        <v>(adv): ngày càng</v>
      </c>
      <c r="G1464" s="6" t="s">
        <v>42912</v>
      </c>
      <c r="H1464" s="6" t="s">
        <v>42913</v>
      </c>
      <c r="I1464" s="7">
        <f t="shared" si="3"/>
        <v>0.2603233436</v>
      </c>
    </row>
    <row r="1465">
      <c r="A1465" s="4">
        <v>1465.0</v>
      </c>
      <c r="B1465" s="3" t="s">
        <v>42914</v>
      </c>
      <c r="C1465" s="6" t="s">
        <v>85</v>
      </c>
      <c r="D1465" s="6" t="s">
        <v>42915</v>
      </c>
      <c r="E1465" s="3" t="str">
        <f t="shared" si="1"/>
        <v>essentially&lt;br&gt;&lt;div class="audio"&gt;[sound:essentially.mp3]&lt;/div&gt;</v>
      </c>
      <c r="F1465" s="3" t="str">
        <f t="shared" si="2"/>
        <v>(adv): về cơ bản</v>
      </c>
      <c r="G1465" s="6" t="s">
        <v>42916</v>
      </c>
      <c r="H1465" s="6" t="s">
        <v>42917</v>
      </c>
      <c r="I1465" s="7">
        <f t="shared" si="3"/>
        <v>0.0006837044564</v>
      </c>
    </row>
    <row r="1466">
      <c r="A1466" s="4">
        <v>1466.0</v>
      </c>
      <c r="B1466" s="3" t="s">
        <v>42918</v>
      </c>
      <c r="C1466" s="6" t="s">
        <v>74</v>
      </c>
      <c r="D1466" s="6" t="s">
        <v>4846</v>
      </c>
      <c r="E1466" s="3" t="str">
        <f t="shared" si="1"/>
        <v>adult&lt;br&gt;&lt;div class="audio"&gt;[sound:adult.mp3]&lt;/div&gt;</v>
      </c>
      <c r="F1466" s="3" t="str">
        <f t="shared" si="2"/>
        <v>(n): người lớn</v>
      </c>
      <c r="G1466" s="6" t="s">
        <v>42919</v>
      </c>
      <c r="H1466" s="6" t="s">
        <v>42920</v>
      </c>
      <c r="I1466" s="7">
        <f t="shared" si="3"/>
        <v>0.8979521626</v>
      </c>
    </row>
    <row r="1467">
      <c r="A1467" s="4">
        <v>1467.0</v>
      </c>
      <c r="B1467" s="3" t="s">
        <v>42921</v>
      </c>
      <c r="C1467" s="6" t="s">
        <v>74</v>
      </c>
      <c r="D1467" s="8" t="s">
        <v>42922</v>
      </c>
      <c r="E1467" s="3" t="str">
        <f t="shared" si="1"/>
        <v>seed&lt;br&gt;&lt;div class="audio"&gt;[sound:seed.mp3]&lt;/div&gt;</v>
      </c>
      <c r="F1467" s="3" t="str">
        <f t="shared" si="2"/>
        <v>(n): hạt giống</v>
      </c>
      <c r="G1467" s="8" t="s">
        <v>42923</v>
      </c>
      <c r="H1467" s="8" t="s">
        <v>42924</v>
      </c>
      <c r="I1467" s="7">
        <f t="shared" si="3"/>
        <v>0.6359284278</v>
      </c>
    </row>
    <row r="1468">
      <c r="A1468" s="4">
        <v>1468.0</v>
      </c>
      <c r="B1468" s="3" t="s">
        <v>42925</v>
      </c>
      <c r="C1468" s="6" t="s">
        <v>74</v>
      </c>
      <c r="D1468" s="6" t="s">
        <v>42926</v>
      </c>
      <c r="E1468" s="3" t="str">
        <f t="shared" si="1"/>
        <v>reader&lt;br&gt;&lt;div class="audio"&gt;[sound:reader.mp3]&lt;/div&gt;</v>
      </c>
      <c r="F1468" s="3" t="str">
        <f t="shared" si="2"/>
        <v>(n): người đọc</v>
      </c>
      <c r="G1468" s="6" t="s">
        <v>42927</v>
      </c>
      <c r="H1468" s="6" t="s">
        <v>42928</v>
      </c>
      <c r="I1468" s="7">
        <f t="shared" si="3"/>
        <v>0.1736906353</v>
      </c>
    </row>
    <row r="1469">
      <c r="A1469" s="4">
        <v>1469.0</v>
      </c>
      <c r="B1469" s="3" t="s">
        <v>42929</v>
      </c>
      <c r="C1469" s="6" t="s">
        <v>74</v>
      </c>
      <c r="D1469" s="6" t="s">
        <v>42930</v>
      </c>
      <c r="E1469" s="3" t="str">
        <f t="shared" si="1"/>
        <v>initiative&lt;br&gt;&lt;div class="audio"&gt;[sound:initiative.mp3]&lt;/div&gt;</v>
      </c>
      <c r="F1469" s="3" t="str">
        <f t="shared" si="2"/>
        <v>(n): sáng kiến</v>
      </c>
      <c r="G1469" s="6" t="s">
        <v>42931</v>
      </c>
      <c r="H1469" s="6" t="s">
        <v>42932</v>
      </c>
      <c r="I1469" s="7">
        <f t="shared" si="3"/>
        <v>0.7243812931</v>
      </c>
    </row>
    <row r="1470">
      <c r="A1470" s="4">
        <v>1470.0</v>
      </c>
      <c r="B1470" s="3" t="s">
        <v>42933</v>
      </c>
      <c r="C1470" s="6" t="s">
        <v>74</v>
      </c>
      <c r="D1470" s="6" t="s">
        <v>42934</v>
      </c>
      <c r="E1470" s="3" t="str">
        <f t="shared" si="1"/>
        <v>buyer&lt;br&gt;&lt;div class="audio"&gt;[sound:buyer.mp3]&lt;/div&gt;</v>
      </c>
      <c r="F1470" s="3" t="str">
        <f t="shared" si="2"/>
        <v>(n): người mua</v>
      </c>
      <c r="G1470" s="6" t="s">
        <v>42935</v>
      </c>
      <c r="H1470" s="6" t="s">
        <v>42936</v>
      </c>
      <c r="I1470" s="7">
        <f t="shared" si="3"/>
        <v>0.7191102167</v>
      </c>
    </row>
    <row r="1471">
      <c r="A1471" s="4">
        <v>1471.0</v>
      </c>
      <c r="B1471" s="3" t="s">
        <v>42937</v>
      </c>
      <c r="C1471" s="6" t="s">
        <v>74</v>
      </c>
      <c r="D1471" s="6" t="s">
        <v>42938</v>
      </c>
      <c r="E1471" s="3" t="str">
        <f t="shared" si="1"/>
        <v>classroom&lt;br&gt;&lt;div class="audio"&gt;[sound:classroom.mp3]&lt;/div&gt;</v>
      </c>
      <c r="F1471" s="3" t="str">
        <f t="shared" si="2"/>
        <v>(n): phòng học</v>
      </c>
      <c r="G1471" s="6" t="s">
        <v>42939</v>
      </c>
      <c r="H1471" s="6" t="s">
        <v>42940</v>
      </c>
      <c r="I1471" s="7">
        <f t="shared" si="3"/>
        <v>0.993780871</v>
      </c>
    </row>
    <row r="1472">
      <c r="A1472" s="4">
        <v>1472.0</v>
      </c>
      <c r="B1472" s="3" t="s">
        <v>42941</v>
      </c>
      <c r="C1472" s="6" t="s">
        <v>11</v>
      </c>
      <c r="D1472" s="6" t="s">
        <v>42942</v>
      </c>
      <c r="E1472" s="3" t="str">
        <f t="shared" si="1"/>
        <v>federal&lt;br&gt;&lt;div class="audio"&gt;[sound:federal.mp3]&lt;/div&gt;</v>
      </c>
      <c r="F1472" s="3" t="str">
        <f t="shared" si="2"/>
        <v>(adj): thuộc liên bang</v>
      </c>
      <c r="G1472" s="6" t="s">
        <v>42943</v>
      </c>
      <c r="H1472" s="6" t="s">
        <v>42944</v>
      </c>
      <c r="I1472" s="7">
        <f t="shared" si="3"/>
        <v>0.8707760884</v>
      </c>
    </row>
    <row r="1473">
      <c r="A1473" s="4">
        <v>1473.0</v>
      </c>
      <c r="B1473" s="3" t="s">
        <v>42945</v>
      </c>
      <c r="C1473" s="6" t="s">
        <v>11</v>
      </c>
      <c r="D1473" s="6" t="s">
        <v>874</v>
      </c>
      <c r="E1473" s="3" t="str">
        <f t="shared" si="1"/>
        <v>firm&lt;br&gt;&lt;div class="audio"&gt;[sound:firm.mp3]&lt;/div&gt;</v>
      </c>
      <c r="F1473" s="3" t="str">
        <f t="shared" si="2"/>
        <v>(adj): chắc chắn</v>
      </c>
      <c r="G1473" s="6" t="s">
        <v>42946</v>
      </c>
      <c r="H1473" s="6" t="s">
        <v>42947</v>
      </c>
      <c r="I1473" s="7">
        <f t="shared" si="3"/>
        <v>0.2320784641</v>
      </c>
    </row>
    <row r="1474">
      <c r="A1474" s="4">
        <v>1474.0</v>
      </c>
      <c r="B1474" s="3" t="s">
        <v>42948</v>
      </c>
      <c r="C1474" s="6" t="s">
        <v>74</v>
      </c>
      <c r="D1474" s="6" t="s">
        <v>21712</v>
      </c>
      <c r="E1474" s="3" t="str">
        <f t="shared" si="1"/>
        <v>height&lt;br&gt;&lt;div class="audio"&gt;[sound:height.mp3]&lt;/div&gt;</v>
      </c>
      <c r="F1474" s="3" t="str">
        <f t="shared" si="2"/>
        <v>(n): chiều cao</v>
      </c>
      <c r="G1474" s="6" t="s">
        <v>42949</v>
      </c>
      <c r="H1474" s="6" t="s">
        <v>42950</v>
      </c>
      <c r="I1474" s="7">
        <f t="shared" si="3"/>
        <v>0.5619304496</v>
      </c>
    </row>
    <row r="1475">
      <c r="A1475" s="4">
        <v>1475.0</v>
      </c>
      <c r="B1475" s="3" t="s">
        <v>42951</v>
      </c>
      <c r="C1475" s="6" t="s">
        <v>74</v>
      </c>
      <c r="D1475" s="6" t="s">
        <v>9969</v>
      </c>
      <c r="E1475" s="3" t="str">
        <f t="shared" si="1"/>
        <v>journey&lt;br&gt;&lt;div class="audio"&gt;[sound:journey.mp3]&lt;/div&gt;</v>
      </c>
      <c r="F1475" s="3" t="str">
        <f t="shared" si="2"/>
        <v>(n): chuyến đi</v>
      </c>
      <c r="G1475" s="6" t="s">
        <v>42952</v>
      </c>
      <c r="H1475" s="6" t="s">
        <v>42953</v>
      </c>
      <c r="I1475" s="7">
        <f t="shared" si="3"/>
        <v>0.1836618904</v>
      </c>
    </row>
    <row r="1476">
      <c r="A1476" s="4">
        <v>1476.0</v>
      </c>
      <c r="B1476" s="3" t="s">
        <v>42954</v>
      </c>
      <c r="C1476" s="6" t="s">
        <v>74</v>
      </c>
      <c r="D1476" s="6" t="s">
        <v>7856</v>
      </c>
      <c r="E1476" s="3" t="str">
        <f t="shared" si="1"/>
        <v>patient&lt;br&gt;&lt;div class="audio"&gt;[sound:patient.mp3]&lt;/div&gt;</v>
      </c>
      <c r="F1476" s="3" t="str">
        <f t="shared" si="2"/>
        <v>(n): bệnh nhân</v>
      </c>
      <c r="G1476" s="6" t="s">
        <v>42955</v>
      </c>
      <c r="H1476" s="6" t="s">
        <v>42956</v>
      </c>
      <c r="I1476" s="7">
        <f t="shared" si="3"/>
        <v>0.6162103781</v>
      </c>
    </row>
    <row r="1477">
      <c r="A1477" s="4">
        <v>1477.0</v>
      </c>
      <c r="B1477" s="3" t="s">
        <v>42957</v>
      </c>
      <c r="C1477" s="6" t="s">
        <v>11</v>
      </c>
      <c r="D1477" s="8" t="s">
        <v>874</v>
      </c>
      <c r="E1477" s="3" t="str">
        <f t="shared" si="1"/>
        <v>solid&lt;br&gt;&lt;div class="audio"&gt;[sound:solid.mp3]&lt;/div&gt;</v>
      </c>
      <c r="F1477" s="3" t="str">
        <f t="shared" si="2"/>
        <v>(adj): chắc chắn</v>
      </c>
      <c r="G1477" s="8" t="s">
        <v>42958</v>
      </c>
      <c r="H1477" s="8" t="s">
        <v>42959</v>
      </c>
      <c r="I1477" s="7">
        <f t="shared" si="3"/>
        <v>0.3371617864</v>
      </c>
    </row>
    <row r="1478">
      <c r="A1478" s="4">
        <v>1478.0</v>
      </c>
      <c r="B1478" s="3" t="s">
        <v>42960</v>
      </c>
      <c r="C1478" s="6" t="s">
        <v>74</v>
      </c>
      <c r="D1478" s="6" t="s">
        <v>7680</v>
      </c>
      <c r="E1478" s="3" t="str">
        <f t="shared" si="1"/>
        <v>union&lt;br&gt;&lt;div class="audio"&gt;[sound:union.mp3]&lt;/div&gt;</v>
      </c>
      <c r="F1478" s="3" t="str">
        <f t="shared" si="2"/>
        <v>(n): công đoàn</v>
      </c>
      <c r="G1478" s="6" t="s">
        <v>42961</v>
      </c>
      <c r="H1478" s="6" t="s">
        <v>42962</v>
      </c>
      <c r="I1478" s="7">
        <f t="shared" si="3"/>
        <v>0.3279654507</v>
      </c>
    </row>
    <row r="1479">
      <c r="A1479" s="4">
        <v>1479.0</v>
      </c>
      <c r="B1479" s="3" t="s">
        <v>42963</v>
      </c>
      <c r="C1479" s="6" t="s">
        <v>74</v>
      </c>
      <c r="D1479" s="6" t="s">
        <v>42964</v>
      </c>
      <c r="E1479" s="3" t="str">
        <f t="shared" si="1"/>
        <v>vote&lt;br&gt;&lt;div class="audio"&gt;[sound:vote.mp3]&lt;/div&gt;</v>
      </c>
      <c r="F1479" s="3" t="str">
        <f t="shared" si="2"/>
        <v>(n): phiếu bầu</v>
      </c>
      <c r="G1479" s="6" t="s">
        <v>42965</v>
      </c>
      <c r="H1479" s="6" t="s">
        <v>42966</v>
      </c>
      <c r="I1479" s="7">
        <f t="shared" si="3"/>
        <v>0.4696015339</v>
      </c>
    </row>
    <row r="1480">
      <c r="A1480" s="4">
        <v>1480.0</v>
      </c>
      <c r="B1480" s="3" t="s">
        <v>42967</v>
      </c>
      <c r="C1480" s="6" t="s">
        <v>74</v>
      </c>
      <c r="D1480" s="6" t="s">
        <v>42968</v>
      </c>
      <c r="E1480" s="3" t="str">
        <f t="shared" si="1"/>
        <v>village&lt;br&gt;&lt;div class="audio"&gt;[sound:village.mp3]&lt;/div&gt;</v>
      </c>
      <c r="F1480" s="3" t="str">
        <f t="shared" si="2"/>
        <v>(n): ngôi làng</v>
      </c>
      <c r="G1480" s="6" t="s">
        <v>42969</v>
      </c>
      <c r="H1480" s="6" t="s">
        <v>42970</v>
      </c>
      <c r="I1480" s="7">
        <f t="shared" si="3"/>
        <v>0.4162729815</v>
      </c>
    </row>
    <row r="1481">
      <c r="A1481" s="4">
        <v>1481.0</v>
      </c>
      <c r="B1481" s="3" t="s">
        <v>42971</v>
      </c>
      <c r="C1481" s="6" t="s">
        <v>74</v>
      </c>
      <c r="D1481" s="6" t="s">
        <v>25669</v>
      </c>
      <c r="E1481" s="3" t="str">
        <f t="shared" si="1"/>
        <v>farm&lt;br&gt;&lt;div class="audio"&gt;[sound:farm.mp3]&lt;/div&gt;</v>
      </c>
      <c r="F1481" s="3" t="str">
        <f t="shared" si="2"/>
        <v>(n): nông trại</v>
      </c>
      <c r="G1481" s="6" t="s">
        <v>42972</v>
      </c>
      <c r="H1481" s="6" t="s">
        <v>42973</v>
      </c>
      <c r="I1481" s="7">
        <f t="shared" si="3"/>
        <v>0.5640197907</v>
      </c>
    </row>
    <row r="1482">
      <c r="A1482" s="4">
        <v>1482.0</v>
      </c>
      <c r="B1482" s="3" t="s">
        <v>42974</v>
      </c>
      <c r="C1482" s="6" t="s">
        <v>74</v>
      </c>
      <c r="D1482" s="6" t="s">
        <v>42975</v>
      </c>
      <c r="E1482" s="3" t="str">
        <f t="shared" si="1"/>
        <v>waste&lt;br&gt;&lt;div class="audio"&gt;[sound:waste.mp3]&lt;/div&gt;</v>
      </c>
      <c r="F1482" s="3" t="str">
        <f t="shared" si="2"/>
        <v>(n): chất thải</v>
      </c>
      <c r="G1482" s="6" t="s">
        <v>42976</v>
      </c>
      <c r="H1482" s="6" t="s">
        <v>42977</v>
      </c>
      <c r="I1482" s="7">
        <f t="shared" si="3"/>
        <v>0.5029400528</v>
      </c>
    </row>
    <row r="1483">
      <c r="A1483" s="4">
        <v>1483.0</v>
      </c>
      <c r="B1483" s="3" t="s">
        <v>42978</v>
      </c>
      <c r="C1483" s="6" t="s">
        <v>74</v>
      </c>
      <c r="D1483" s="6" t="s">
        <v>6873</v>
      </c>
      <c r="E1483" s="3" t="str">
        <f t="shared" si="1"/>
        <v>aid&lt;br&gt;&lt;div class="audio"&gt;[sound:aid.mp3]&lt;/div&gt;</v>
      </c>
      <c r="F1483" s="3" t="str">
        <f t="shared" si="2"/>
        <v>(n): sự hỗ trợ</v>
      </c>
      <c r="G1483" s="6" t="s">
        <v>42979</v>
      </c>
      <c r="H1483" s="6" t="s">
        <v>42980</v>
      </c>
      <c r="I1483" s="7">
        <f t="shared" si="3"/>
        <v>0.1202720429</v>
      </c>
    </row>
    <row r="1484">
      <c r="A1484" s="4">
        <v>1484.0</v>
      </c>
      <c r="B1484" s="3" t="s">
        <v>42981</v>
      </c>
      <c r="C1484" s="6" t="s">
        <v>11</v>
      </c>
      <c r="D1484" s="6" t="s">
        <v>5920</v>
      </c>
      <c r="E1484" s="3" t="str">
        <f t="shared" si="1"/>
        <v>boring&lt;br&gt;&lt;div class="audio"&gt;[sound:boring.mp3]&lt;/div&gt;</v>
      </c>
      <c r="F1484" s="3" t="str">
        <f t="shared" si="2"/>
        <v>(adj): nhàm chán</v>
      </c>
      <c r="G1484" s="6" t="s">
        <v>42982</v>
      </c>
      <c r="H1484" s="6" t="s">
        <v>42983</v>
      </c>
      <c r="I1484" s="7">
        <f t="shared" si="3"/>
        <v>0.1310108999</v>
      </c>
    </row>
    <row r="1485">
      <c r="A1485" s="4">
        <v>1485.0</v>
      </c>
      <c r="B1485" s="3" t="s">
        <v>42984</v>
      </c>
      <c r="C1485" s="6" t="s">
        <v>24</v>
      </c>
      <c r="D1485" s="8" t="s">
        <v>9899</v>
      </c>
      <c r="E1485" s="3" t="str">
        <f t="shared" si="1"/>
        <v>surround&lt;br&gt;&lt;div class="audio"&gt;[sound:surround.mp3]&lt;/div&gt;</v>
      </c>
      <c r="F1485" s="3" t="str">
        <f t="shared" si="2"/>
        <v>(v): bao quanh</v>
      </c>
      <c r="G1485" s="8" t="s">
        <v>42985</v>
      </c>
      <c r="H1485" s="8" t="s">
        <v>42986</v>
      </c>
      <c r="I1485" s="7">
        <f t="shared" si="3"/>
        <v>0.3816963445</v>
      </c>
    </row>
    <row r="1486">
      <c r="A1486" s="4">
        <v>1486.0</v>
      </c>
      <c r="B1486" s="3" t="s">
        <v>42987</v>
      </c>
      <c r="C1486" s="6" t="s">
        <v>24</v>
      </c>
      <c r="D1486" s="6" t="s">
        <v>7595</v>
      </c>
      <c r="E1486" s="3" t="str">
        <f t="shared" si="1"/>
        <v>prevent&lt;br&gt;&lt;div class="audio"&gt;[sound:prevent.mp3]&lt;/div&gt;</v>
      </c>
      <c r="F1486" s="3" t="str">
        <f t="shared" si="2"/>
        <v>(v): ngăn chặn</v>
      </c>
      <c r="G1486" s="6" t="s">
        <v>42988</v>
      </c>
      <c r="H1486" s="6" t="s">
        <v>42989</v>
      </c>
      <c r="I1486" s="7">
        <f t="shared" si="3"/>
        <v>0.7800761517</v>
      </c>
    </row>
    <row r="1487">
      <c r="A1487" s="4">
        <v>1487.0</v>
      </c>
      <c r="B1487" s="3" t="s">
        <v>42990</v>
      </c>
      <c r="C1487" s="6" t="s">
        <v>11</v>
      </c>
      <c r="D1487" s="6" t="s">
        <v>1544</v>
      </c>
      <c r="E1487" s="3" t="str">
        <f t="shared" si="1"/>
        <v>absolute&lt;br&gt;&lt;div class="audio"&gt;[sound:absolute.mp3]&lt;/div&gt;</v>
      </c>
      <c r="F1487" s="3" t="str">
        <f t="shared" si="2"/>
        <v>(adj): tuyệt đối</v>
      </c>
      <c r="G1487" s="6" t="s">
        <v>42991</v>
      </c>
      <c r="H1487" s="6" t="s">
        <v>42992</v>
      </c>
      <c r="I1487" s="7">
        <f t="shared" si="3"/>
        <v>0.007030911869</v>
      </c>
    </row>
    <row r="1488">
      <c r="A1488" s="4">
        <v>1488.0</v>
      </c>
      <c r="B1488" s="3" t="s">
        <v>42993</v>
      </c>
      <c r="C1488" s="6" t="s">
        <v>74</v>
      </c>
      <c r="D1488" s="8" t="s">
        <v>42994</v>
      </c>
      <c r="E1488" s="3" t="str">
        <f t="shared" si="1"/>
        <v>segment&lt;br&gt;&lt;div class="audio"&gt;[sound:segment.mp3]&lt;/div&gt;</v>
      </c>
      <c r="F1488" s="3" t="str">
        <f t="shared" si="2"/>
        <v>(n): phân khúc</v>
      </c>
      <c r="G1488" s="8" t="s">
        <v>42995</v>
      </c>
      <c r="H1488" s="8" t="s">
        <v>42996</v>
      </c>
      <c r="I1488" s="7">
        <f t="shared" si="3"/>
        <v>0.1966373083</v>
      </c>
    </row>
    <row r="1489">
      <c r="A1489" s="4">
        <v>1489.0</v>
      </c>
      <c r="B1489" s="3" t="s">
        <v>42997</v>
      </c>
      <c r="C1489" s="6" t="s">
        <v>24</v>
      </c>
      <c r="D1489" s="6" t="s">
        <v>42998</v>
      </c>
      <c r="E1489" s="3" t="str">
        <f t="shared" si="1"/>
        <v>welcome&lt;br&gt;&lt;div class="audio"&gt;[sound:welcome.mp3]&lt;/div&gt;</v>
      </c>
      <c r="F1489" s="3" t="str">
        <f t="shared" si="2"/>
        <v>(v): chào mừng</v>
      </c>
      <c r="G1489" s="6" t="s">
        <v>42999</v>
      </c>
      <c r="H1489" s="6" t="s">
        <v>43000</v>
      </c>
      <c r="I1489" s="7">
        <f t="shared" si="3"/>
        <v>0.8338422106</v>
      </c>
    </row>
    <row r="1490">
      <c r="A1490" s="4">
        <v>1490.0</v>
      </c>
      <c r="B1490" s="3" t="s">
        <v>43001</v>
      </c>
      <c r="C1490" s="6" t="s">
        <v>74</v>
      </c>
      <c r="D1490" s="6" t="s">
        <v>13835</v>
      </c>
      <c r="E1490" s="3" t="str">
        <f t="shared" si="1"/>
        <v>park&lt;br&gt;&lt;div class="audio"&gt;[sound:park.mp3]&lt;/div&gt;</v>
      </c>
      <c r="F1490" s="3" t="str">
        <f t="shared" si="2"/>
        <v>(n): công viên</v>
      </c>
      <c r="G1490" s="6" t="s">
        <v>43002</v>
      </c>
      <c r="H1490" s="6" t="s">
        <v>43003</v>
      </c>
      <c r="I1490" s="7">
        <f t="shared" si="3"/>
        <v>0.8186761634</v>
      </c>
    </row>
    <row r="1491">
      <c r="A1491" s="4">
        <v>1491.0</v>
      </c>
      <c r="B1491" s="3" t="s">
        <v>43004</v>
      </c>
      <c r="C1491" s="6" t="s">
        <v>24</v>
      </c>
      <c r="D1491" s="6" t="s">
        <v>43005</v>
      </c>
      <c r="E1491" s="3" t="str">
        <f t="shared" si="1"/>
        <v>pursue&lt;br&gt;&lt;div class="audio"&gt;[sound:pursue.mp3]&lt;/div&gt;</v>
      </c>
      <c r="F1491" s="3" t="str">
        <f t="shared" si="2"/>
        <v>(v): theo đuổi</v>
      </c>
      <c r="G1491" s="6" t="s">
        <v>43006</v>
      </c>
      <c r="H1491" s="6" t="s">
        <v>43007</v>
      </c>
      <c r="I1491" s="7">
        <f t="shared" si="3"/>
        <v>0.6663318658</v>
      </c>
    </row>
    <row r="1492">
      <c r="A1492" s="4">
        <v>1492.0</v>
      </c>
      <c r="B1492" s="3" t="s">
        <v>43008</v>
      </c>
      <c r="C1492" s="6" t="s">
        <v>74</v>
      </c>
      <c r="D1492" s="6" t="s">
        <v>3309</v>
      </c>
      <c r="E1492" s="3" t="str">
        <f t="shared" si="1"/>
        <v>convention&lt;br&gt;&lt;div class="audio"&gt;[sound:convention.mp3]&lt;/div&gt;</v>
      </c>
      <c r="F1492" s="3" t="str">
        <f t="shared" si="2"/>
        <v>(n): hội nghị</v>
      </c>
      <c r="G1492" s="6" t="s">
        <v>43009</v>
      </c>
      <c r="H1492" s="6" t="s">
        <v>43010</v>
      </c>
      <c r="I1492" s="7">
        <f t="shared" si="3"/>
        <v>0.8882944443</v>
      </c>
    </row>
    <row r="1493">
      <c r="A1493" s="4">
        <v>1493.0</v>
      </c>
      <c r="B1493" s="3" t="s">
        <v>43011</v>
      </c>
      <c r="C1493" s="6" t="s">
        <v>74</v>
      </c>
      <c r="D1493" s="6" t="s">
        <v>43012</v>
      </c>
      <c r="E1493" s="3" t="str">
        <f t="shared" si="1"/>
        <v>material&lt;br&gt;&lt;div class="audio"&gt;[sound:material.mp3]&lt;/div&gt;</v>
      </c>
      <c r="F1493" s="3" t="str">
        <f t="shared" si="2"/>
        <v>(n): vật liệu</v>
      </c>
      <c r="G1493" s="6" t="s">
        <v>43013</v>
      </c>
      <c r="H1493" s="6" t="s">
        <v>43014</v>
      </c>
      <c r="I1493" s="7">
        <f t="shared" si="3"/>
        <v>0.2394341028</v>
      </c>
    </row>
    <row r="1494">
      <c r="A1494" s="4">
        <v>1494.0</v>
      </c>
      <c r="B1494" s="3" t="s">
        <v>43015</v>
      </c>
      <c r="C1494" s="6" t="s">
        <v>74</v>
      </c>
      <c r="D1494" s="6" t="s">
        <v>10342</v>
      </c>
      <c r="E1494" s="3" t="str">
        <f t="shared" si="1"/>
        <v>emergency&lt;br&gt;&lt;div class="audio"&gt;[sound:emergency.mp3]&lt;/div&gt;</v>
      </c>
      <c r="F1494" s="3" t="str">
        <f t="shared" si="2"/>
        <v>(n): khẩn cấp</v>
      </c>
      <c r="G1494" s="6" t="s">
        <v>43016</v>
      </c>
      <c r="H1494" s="6" t="s">
        <v>43017</v>
      </c>
      <c r="I1494" s="7">
        <f t="shared" si="3"/>
        <v>0.5978345228</v>
      </c>
    </row>
    <row r="1495">
      <c r="A1495" s="4">
        <v>1495.0</v>
      </c>
      <c r="B1495" s="3" t="s">
        <v>43018</v>
      </c>
      <c r="C1495" s="6" t="s">
        <v>74</v>
      </c>
      <c r="D1495" s="6" t="s">
        <v>43019</v>
      </c>
      <c r="E1495" s="3" t="str">
        <f t="shared" si="1"/>
        <v>link&lt;br&gt;&lt;div class="audio"&gt;[sound:link.mp3]&lt;/div&gt;</v>
      </c>
      <c r="F1495" s="3" t="str">
        <f t="shared" si="2"/>
        <v>(n): liên kết</v>
      </c>
      <c r="G1495" s="6" t="s">
        <v>43020</v>
      </c>
      <c r="H1495" s="6" t="s">
        <v>43021</v>
      </c>
      <c r="I1495" s="7">
        <f t="shared" si="3"/>
        <v>0.3784141624</v>
      </c>
    </row>
    <row r="1496">
      <c r="A1496" s="4">
        <v>1496.0</v>
      </c>
      <c r="B1496" s="3" t="s">
        <v>43022</v>
      </c>
      <c r="C1496" s="6" t="s">
        <v>24</v>
      </c>
      <c r="D1496" s="6" t="s">
        <v>43023</v>
      </c>
      <c r="E1496" s="3" t="str">
        <f t="shared" si="1"/>
        <v>climb&lt;br&gt;&lt;div class="audio"&gt;[sound:climb.mp3]&lt;/div&gt;</v>
      </c>
      <c r="F1496" s="3" t="str">
        <f t="shared" si="2"/>
        <v>(v): leo trèo</v>
      </c>
      <c r="G1496" s="6" t="s">
        <v>43024</v>
      </c>
      <c r="H1496" s="6" t="s">
        <v>43025</v>
      </c>
      <c r="I1496" s="7">
        <f t="shared" si="3"/>
        <v>0.9643979206</v>
      </c>
    </row>
    <row r="1497">
      <c r="A1497" s="4">
        <v>1497.0</v>
      </c>
      <c r="B1497" s="3" t="s">
        <v>43026</v>
      </c>
      <c r="C1497" s="6" t="s">
        <v>24</v>
      </c>
      <c r="D1497" s="6" t="s">
        <v>5956</v>
      </c>
      <c r="E1497" s="3" t="str">
        <f t="shared" si="1"/>
        <v>boost&lt;br&gt;&lt;div class="audio"&gt;[sound:boost.mp3]&lt;/div&gt;</v>
      </c>
      <c r="F1497" s="3" t="str">
        <f t="shared" si="2"/>
        <v>(v): thúc đẩy</v>
      </c>
      <c r="G1497" s="6" t="s">
        <v>43027</v>
      </c>
      <c r="H1497" s="6" t="s">
        <v>43028</v>
      </c>
      <c r="I1497" s="7">
        <f t="shared" si="3"/>
        <v>0.8076753669</v>
      </c>
    </row>
    <row r="1498">
      <c r="A1498" s="4">
        <v>1498.0</v>
      </c>
      <c r="B1498" s="3" t="s">
        <v>43029</v>
      </c>
      <c r="C1498" s="6" t="s">
        <v>24</v>
      </c>
      <c r="D1498" s="6" t="s">
        <v>23657</v>
      </c>
      <c r="E1498" s="3" t="str">
        <f t="shared" si="1"/>
        <v>complain&lt;br&gt;&lt;div class="audio"&gt;[sound:complain.mp3]&lt;/div&gt;</v>
      </c>
      <c r="F1498" s="3" t="str">
        <f t="shared" si="2"/>
        <v>(v): phàn nàn</v>
      </c>
      <c r="G1498" s="6" t="s">
        <v>43030</v>
      </c>
      <c r="H1498" s="6" t="s">
        <v>43031</v>
      </c>
      <c r="I1498" s="7">
        <f t="shared" si="3"/>
        <v>0.0644044318</v>
      </c>
    </row>
    <row r="1499">
      <c r="A1499" s="4">
        <v>1499.0</v>
      </c>
      <c r="B1499" s="3" t="s">
        <v>43032</v>
      </c>
      <c r="C1499" s="6" t="s">
        <v>74</v>
      </c>
      <c r="D1499" s="6" t="s">
        <v>2569</v>
      </c>
      <c r="E1499" s="3" t="str">
        <f t="shared" si="1"/>
        <v>regulation&lt;br&gt;&lt;div class="audio"&gt;[sound:regulation.mp3]&lt;/div&gt;</v>
      </c>
      <c r="F1499" s="3" t="str">
        <f t="shared" si="2"/>
        <v>(n): quy định</v>
      </c>
      <c r="G1499" s="6" t="s">
        <v>43033</v>
      </c>
      <c r="H1499" s="6" t="s">
        <v>43034</v>
      </c>
      <c r="I1499" s="7">
        <f t="shared" si="3"/>
        <v>0.4362507702</v>
      </c>
    </row>
    <row r="1500">
      <c r="A1500" s="4">
        <v>1500.0</v>
      </c>
      <c r="B1500" s="3" t="s">
        <v>43035</v>
      </c>
      <c r="C1500" s="6" t="s">
        <v>24</v>
      </c>
      <c r="D1500" s="6" t="s">
        <v>3461</v>
      </c>
      <c r="E1500" s="3" t="str">
        <f t="shared" si="1"/>
        <v>gather&lt;br&gt;&lt;div class="audio"&gt;[sound:gather.mp3]&lt;/div&gt;</v>
      </c>
      <c r="F1500" s="3" t="str">
        <f t="shared" si="2"/>
        <v>(v): thu thập</v>
      </c>
      <c r="G1500" s="6" t="s">
        <v>43036</v>
      </c>
      <c r="H1500" s="6" t="s">
        <v>43037</v>
      </c>
      <c r="I1500" s="7">
        <f t="shared" si="3"/>
        <v>0.351162004</v>
      </c>
    </row>
    <row r="1501">
      <c r="A1501" s="4">
        <v>1501.0</v>
      </c>
      <c r="B1501" s="3" t="s">
        <v>43038</v>
      </c>
      <c r="C1501" s="6" t="s">
        <v>24</v>
      </c>
      <c r="D1501" s="6" t="s">
        <v>43039</v>
      </c>
      <c r="E1501" s="3" t="str">
        <f t="shared" si="1"/>
        <v>grab&lt;br&gt;&lt;div class="audio"&gt;[sound:grab.mp3]&lt;/div&gt;</v>
      </c>
      <c r="F1501" s="3" t="str">
        <f t="shared" si="2"/>
        <v>(v): chộp lấy</v>
      </c>
      <c r="G1501" s="6" t="s">
        <v>43040</v>
      </c>
      <c r="H1501" s="6" t="s">
        <v>43041</v>
      </c>
      <c r="I1501" s="7">
        <f t="shared" si="3"/>
        <v>0.3356881468</v>
      </c>
    </row>
    <row r="1502">
      <c r="A1502" s="4">
        <v>1502.0</v>
      </c>
      <c r="B1502" s="3" t="s">
        <v>43042</v>
      </c>
      <c r="C1502" s="6" t="s">
        <v>11</v>
      </c>
      <c r="D1502" s="6" t="s">
        <v>7862</v>
      </c>
      <c r="E1502" s="3" t="str">
        <f t="shared" si="1"/>
        <v>positive&lt;br&gt;&lt;div class="audio"&gt;[sound:positive.mp3]&lt;/div&gt;</v>
      </c>
      <c r="F1502" s="3" t="str">
        <f t="shared" si="2"/>
        <v>(adj): tích cực</v>
      </c>
      <c r="G1502" s="6" t="s">
        <v>43043</v>
      </c>
      <c r="H1502" s="6" t="s">
        <v>43044</v>
      </c>
      <c r="I1502" s="7">
        <f t="shared" si="3"/>
        <v>0.4198549674</v>
      </c>
    </row>
    <row r="1503">
      <c r="A1503" s="4">
        <v>1503.0</v>
      </c>
      <c r="B1503" s="3" t="s">
        <v>43045</v>
      </c>
      <c r="C1503" s="6" t="s">
        <v>74</v>
      </c>
      <c r="D1503" s="6" t="s">
        <v>14900</v>
      </c>
      <c r="E1503" s="3" t="str">
        <f t="shared" si="1"/>
        <v>army&lt;br&gt;&lt;div class="audio"&gt;[sound:army.mp3]&lt;/div&gt;</v>
      </c>
      <c r="F1503" s="3" t="str">
        <f t="shared" si="2"/>
        <v>(n): quân đội</v>
      </c>
      <c r="G1503" s="6" t="s">
        <v>43046</v>
      </c>
      <c r="H1503" s="6" t="s">
        <v>43047</v>
      </c>
      <c r="I1503" s="7">
        <f t="shared" si="3"/>
        <v>0.05705659128</v>
      </c>
    </row>
    <row r="1504">
      <c r="A1504" s="4">
        <v>1504.0</v>
      </c>
      <c r="B1504" s="3" t="s">
        <v>43048</v>
      </c>
      <c r="C1504" s="6" t="s">
        <v>11</v>
      </c>
      <c r="D1504" s="6" t="s">
        <v>24195</v>
      </c>
      <c r="E1504" s="3" t="str">
        <f t="shared" si="1"/>
        <v>funny&lt;br&gt;&lt;div class="audio"&gt;[sound:funny.mp3]&lt;/div&gt;</v>
      </c>
      <c r="F1504" s="3" t="str">
        <f t="shared" si="2"/>
        <v>(adj): hài hước</v>
      </c>
      <c r="G1504" s="6" t="s">
        <v>43049</v>
      </c>
      <c r="H1504" s="6" t="s">
        <v>43050</v>
      </c>
      <c r="I1504" s="7">
        <f t="shared" si="3"/>
        <v>0.2495389959</v>
      </c>
    </row>
    <row r="1505">
      <c r="A1505" s="4">
        <v>1505.0</v>
      </c>
      <c r="B1505" s="3" t="s">
        <v>43051</v>
      </c>
      <c r="C1505" s="6" t="s">
        <v>74</v>
      </c>
      <c r="D1505" s="8" t="s">
        <v>11885</v>
      </c>
      <c r="E1505" s="3" t="str">
        <f t="shared" si="1"/>
        <v>shirt&lt;br&gt;&lt;div class="audio"&gt;[sound:shirt.mp3]&lt;/div&gt;</v>
      </c>
      <c r="F1505" s="3" t="str">
        <f t="shared" si="2"/>
        <v>(n): áo sơ mi</v>
      </c>
      <c r="G1505" s="8" t="s">
        <v>43052</v>
      </c>
      <c r="H1505" s="8" t="s">
        <v>43053</v>
      </c>
      <c r="I1505" s="7">
        <f t="shared" si="3"/>
        <v>0.6390516272</v>
      </c>
    </row>
    <row r="1506">
      <c r="A1506" s="4">
        <v>1506.0</v>
      </c>
      <c r="B1506" s="3" t="s">
        <v>43054</v>
      </c>
      <c r="C1506" s="6" t="s">
        <v>33</v>
      </c>
      <c r="D1506" s="6" t="s">
        <v>268</v>
      </c>
      <c r="E1506" s="3" t="str">
        <f t="shared" si="1"/>
        <v>hello&lt;br&gt;&lt;div class="audio"&gt;[sound:hello.mp3]&lt;/div&gt;</v>
      </c>
      <c r="F1506" s="3" t="str">
        <f t="shared" si="2"/>
        <v>(int): xin chào</v>
      </c>
      <c r="G1506" s="6" t="s">
        <v>43055</v>
      </c>
      <c r="H1506" s="6" t="s">
        <v>43056</v>
      </c>
      <c r="I1506" s="7">
        <f t="shared" si="3"/>
        <v>0.4424111157</v>
      </c>
    </row>
    <row r="1507">
      <c r="A1507" s="4">
        <v>1507.0</v>
      </c>
      <c r="B1507" s="3" t="s">
        <v>43057</v>
      </c>
      <c r="C1507" s="6" t="s">
        <v>74</v>
      </c>
      <c r="D1507" s="6" t="s">
        <v>43058</v>
      </c>
      <c r="E1507" s="3" t="str">
        <f t="shared" si="1"/>
        <v>boyfriend&lt;br&gt;&lt;div class="audio"&gt;[sound:boyfriend.mp3]&lt;/div&gt;</v>
      </c>
      <c r="F1507" s="3" t="str">
        <f t="shared" si="2"/>
        <v>(n): bạn trai</v>
      </c>
      <c r="G1507" s="6" t="s">
        <v>43059</v>
      </c>
      <c r="H1507" s="6" t="s">
        <v>43060</v>
      </c>
      <c r="I1507" s="7">
        <f t="shared" si="3"/>
        <v>0.3232281006</v>
      </c>
    </row>
    <row r="1508">
      <c r="A1508" s="4">
        <v>1508.0</v>
      </c>
      <c r="B1508" s="3" t="s">
        <v>43061</v>
      </c>
      <c r="C1508" s="6" t="s">
        <v>24</v>
      </c>
      <c r="D1508" s="6" t="s">
        <v>10783</v>
      </c>
      <c r="E1508" s="3" t="str">
        <f t="shared" si="1"/>
        <v>operate&lt;br&gt;&lt;div class="audio"&gt;[sound:operate.mp3]&lt;/div&gt;</v>
      </c>
      <c r="F1508" s="3" t="str">
        <f t="shared" si="2"/>
        <v>(v): vận hành</v>
      </c>
      <c r="G1508" s="6" t="s">
        <v>43062</v>
      </c>
      <c r="H1508" s="6" t="s">
        <v>43063</v>
      </c>
      <c r="I1508" s="7">
        <f t="shared" si="3"/>
        <v>0.6766876523</v>
      </c>
    </row>
    <row r="1509">
      <c r="A1509" s="4">
        <v>1509.0</v>
      </c>
      <c r="B1509" s="3" t="s">
        <v>43064</v>
      </c>
      <c r="C1509" s="6" t="s">
        <v>74</v>
      </c>
      <c r="D1509" s="6" t="s">
        <v>43065</v>
      </c>
      <c r="E1509" s="3" t="str">
        <f t="shared" si="1"/>
        <v>childhood&lt;br&gt;&lt;div class="audio"&gt;[sound:childhood.mp3]&lt;/div&gt;</v>
      </c>
      <c r="F1509" s="3" t="str">
        <f t="shared" si="2"/>
        <v>(n): tuổi thơ</v>
      </c>
      <c r="G1509" s="6" t="s">
        <v>43066</v>
      </c>
      <c r="H1509" s="6" t="s">
        <v>43067</v>
      </c>
      <c r="I1509" s="7">
        <f t="shared" si="3"/>
        <v>0.002936849382</v>
      </c>
    </row>
    <row r="1510">
      <c r="A1510" s="4">
        <v>1510.0</v>
      </c>
      <c r="B1510" s="3" t="s">
        <v>43068</v>
      </c>
      <c r="C1510" s="6" t="s">
        <v>24</v>
      </c>
      <c r="D1510" s="8" t="s">
        <v>23669</v>
      </c>
      <c r="E1510" s="3" t="str">
        <f t="shared" si="1"/>
        <v>suspect&lt;br&gt;&lt;div class="audio"&gt;[sound:suspect.mp3]&lt;/div&gt;</v>
      </c>
      <c r="F1510" s="3" t="str">
        <f t="shared" si="2"/>
        <v>(v): nghi ngờ</v>
      </c>
      <c r="G1510" s="8" t="s">
        <v>43069</v>
      </c>
      <c r="H1510" s="8" t="s">
        <v>43070</v>
      </c>
      <c r="I1510" s="7">
        <f t="shared" si="3"/>
        <v>0.6988777271</v>
      </c>
    </row>
    <row r="1511">
      <c r="A1511" s="4">
        <v>1511.0</v>
      </c>
      <c r="B1511" s="3" t="s">
        <v>43071</v>
      </c>
      <c r="C1511" s="6" t="s">
        <v>11</v>
      </c>
      <c r="D1511" s="6" t="s">
        <v>11475</v>
      </c>
      <c r="E1511" s="3" t="str">
        <f t="shared" si="1"/>
        <v>leading&lt;br&gt;&lt;div class="audio"&gt;[sound:leading.mp3]&lt;/div&gt;</v>
      </c>
      <c r="F1511" s="3" t="str">
        <f t="shared" si="2"/>
        <v>(adj): hàng đầu</v>
      </c>
      <c r="G1511" s="6" t="s">
        <v>43072</v>
      </c>
      <c r="H1511" s="6" t="s">
        <v>43073</v>
      </c>
      <c r="I1511" s="7">
        <f t="shared" si="3"/>
        <v>0.130405858</v>
      </c>
    </row>
    <row r="1512">
      <c r="A1512" s="4">
        <v>1512.0</v>
      </c>
      <c r="B1512" s="3" t="s">
        <v>43074</v>
      </c>
      <c r="C1512" s="6" t="s">
        <v>11</v>
      </c>
      <c r="D1512" s="6" t="s">
        <v>2860</v>
      </c>
      <c r="E1512" s="3" t="str">
        <f t="shared" si="1"/>
        <v>natural&lt;br&gt;&lt;div class="audio"&gt;[sound:natural.mp3]&lt;/div&gt;</v>
      </c>
      <c r="F1512" s="3" t="str">
        <f t="shared" si="2"/>
        <v>(adj): tự nhiên</v>
      </c>
      <c r="G1512" s="6" t="s">
        <v>43075</v>
      </c>
      <c r="H1512" s="6" t="s">
        <v>43076</v>
      </c>
      <c r="I1512" s="7">
        <f t="shared" si="3"/>
        <v>0.9902193602</v>
      </c>
    </row>
    <row r="1513">
      <c r="A1513" s="4">
        <v>1513.0</v>
      </c>
      <c r="B1513" s="3" t="s">
        <v>43077</v>
      </c>
      <c r="C1513" s="6" t="s">
        <v>74</v>
      </c>
      <c r="D1513" s="6" t="s">
        <v>16714</v>
      </c>
      <c r="E1513" s="3" t="str">
        <f t="shared" si="1"/>
        <v>foundation&lt;br&gt;&lt;div class="audio"&gt;[sound:foundation.mp3]&lt;/div&gt;</v>
      </c>
      <c r="F1513" s="3" t="str">
        <f t="shared" si="2"/>
        <v>(n): nền tảng</v>
      </c>
      <c r="G1513" s="6" t="s">
        <v>43078</v>
      </c>
      <c r="H1513" s="6" t="s">
        <v>43079</v>
      </c>
      <c r="I1513" s="7">
        <f t="shared" si="3"/>
        <v>0.735533721</v>
      </c>
    </row>
    <row r="1514">
      <c r="A1514" s="4">
        <v>1514.0</v>
      </c>
      <c r="B1514" s="3" t="s">
        <v>43080</v>
      </c>
      <c r="C1514" s="6" t="s">
        <v>85</v>
      </c>
      <c r="D1514" s="8" t="s">
        <v>43081</v>
      </c>
      <c r="E1514" s="3" t="str">
        <f t="shared" si="1"/>
        <v>somewhat&lt;br&gt;&lt;div class="audio"&gt;[sound:somewhat.mp3]&lt;/div&gt;</v>
      </c>
      <c r="F1514" s="3" t="str">
        <f t="shared" si="2"/>
        <v>(adv): phần nào</v>
      </c>
      <c r="G1514" s="8" t="s">
        <v>43082</v>
      </c>
      <c r="H1514" s="8" t="s">
        <v>43083</v>
      </c>
      <c r="I1514" s="7">
        <f t="shared" si="3"/>
        <v>0.3648054528</v>
      </c>
    </row>
    <row r="1515">
      <c r="A1515" s="4">
        <v>1515.0</v>
      </c>
      <c r="B1515" s="3" t="s">
        <v>43084</v>
      </c>
      <c r="C1515" s="6" t="s">
        <v>74</v>
      </c>
      <c r="D1515" s="6" t="s">
        <v>9075</v>
      </c>
      <c r="E1515" s="3" t="str">
        <f t="shared" si="1"/>
        <v>lunch&lt;br&gt;&lt;div class="audio"&gt;[sound:lunch.mp3]&lt;/div&gt;</v>
      </c>
      <c r="F1515" s="3" t="str">
        <f t="shared" si="2"/>
        <v>(n): bữa trưa</v>
      </c>
      <c r="G1515" s="6" t="s">
        <v>43085</v>
      </c>
      <c r="H1515" s="6" t="s">
        <v>43086</v>
      </c>
      <c r="I1515" s="7">
        <f t="shared" si="3"/>
        <v>0.3674220426</v>
      </c>
    </row>
    <row r="1516">
      <c r="A1516" s="4">
        <v>1516.0</v>
      </c>
      <c r="B1516" s="3" t="s">
        <v>43087</v>
      </c>
      <c r="C1516" s="6" t="s">
        <v>24</v>
      </c>
      <c r="D1516" s="6" t="s">
        <v>4106</v>
      </c>
      <c r="E1516" s="3" t="str">
        <f t="shared" si="1"/>
        <v>lower&lt;br&gt;&lt;div class="audio"&gt;[sound:lower.mp3]&lt;/div&gt;</v>
      </c>
      <c r="F1516" s="3" t="str">
        <f t="shared" si="2"/>
        <v>(v): hạ xuống</v>
      </c>
      <c r="G1516" s="6" t="s">
        <v>43088</v>
      </c>
      <c r="H1516" s="6" t="s">
        <v>43089</v>
      </c>
      <c r="I1516" s="7">
        <f t="shared" si="3"/>
        <v>0.3858529268</v>
      </c>
    </row>
    <row r="1517">
      <c r="A1517" s="4">
        <v>1517.0</v>
      </c>
      <c r="B1517" s="3" t="s">
        <v>43090</v>
      </c>
      <c r="C1517" s="6" t="s">
        <v>24</v>
      </c>
      <c r="D1517" s="6" t="s">
        <v>29207</v>
      </c>
      <c r="E1517" s="3" t="str">
        <f t="shared" si="1"/>
        <v>measure&lt;br&gt;&lt;div class="audio"&gt;[sound:measure.mp3]&lt;/div&gt;</v>
      </c>
      <c r="F1517" s="3" t="str">
        <f t="shared" si="2"/>
        <v>(v): đo lường</v>
      </c>
      <c r="G1517" s="6" t="s">
        <v>43091</v>
      </c>
      <c r="H1517" s="6" t="s">
        <v>43092</v>
      </c>
      <c r="I1517" s="7">
        <f t="shared" si="3"/>
        <v>0.8556607029</v>
      </c>
    </row>
    <row r="1518">
      <c r="A1518" s="4">
        <v>1518.0</v>
      </c>
      <c r="B1518" s="3" t="s">
        <v>43093</v>
      </c>
      <c r="C1518" s="6" t="s">
        <v>74</v>
      </c>
      <c r="D1518" s="6" t="s">
        <v>14023</v>
      </c>
      <c r="E1518" s="3" t="str">
        <f t="shared" si="1"/>
        <v>neighbour&lt;br&gt;&lt;div class="audio"&gt;[sound:neighbour.mp3]&lt;/div&gt;</v>
      </c>
      <c r="F1518" s="3" t="str">
        <f t="shared" si="2"/>
        <v>(n): hàng xóm</v>
      </c>
      <c r="G1518" s="6" t="s">
        <v>43094</v>
      </c>
      <c r="H1518" s="6" t="s">
        <v>43095</v>
      </c>
      <c r="I1518" s="7">
        <f t="shared" si="3"/>
        <v>0.6421652328</v>
      </c>
    </row>
    <row r="1519">
      <c r="A1519" s="4">
        <v>1519.0</v>
      </c>
      <c r="B1519" s="3" t="s">
        <v>43096</v>
      </c>
      <c r="C1519" s="6" t="s">
        <v>24</v>
      </c>
      <c r="D1519" s="6" t="s">
        <v>43097</v>
      </c>
      <c r="E1519" s="3" t="str">
        <f t="shared" si="1"/>
        <v>remind&lt;br&gt;&lt;div class="audio"&gt;[sound:remind.mp3]&lt;/div&gt;</v>
      </c>
      <c r="F1519" s="3" t="str">
        <f t="shared" si="2"/>
        <v>(v): nhắc nhở</v>
      </c>
      <c r="G1519" s="6" t="s">
        <v>43098</v>
      </c>
      <c r="H1519" s="6" t="s">
        <v>43099</v>
      </c>
      <c r="I1519" s="7">
        <f t="shared" si="3"/>
        <v>0.4562152164</v>
      </c>
    </row>
    <row r="1520">
      <c r="A1520" s="4">
        <v>1520.0</v>
      </c>
      <c r="B1520" s="3" t="s">
        <v>43100</v>
      </c>
      <c r="C1520" s="6" t="s">
        <v>74</v>
      </c>
      <c r="D1520" s="6" t="s">
        <v>43101</v>
      </c>
      <c r="E1520" s="3" t="str">
        <f t="shared" si="1"/>
        <v>volume&lt;br&gt;&lt;div class="audio"&gt;[sound:volume.mp3]&lt;/div&gt;</v>
      </c>
      <c r="F1520" s="3" t="str">
        <f t="shared" si="2"/>
        <v>(n): âm lượng</v>
      </c>
      <c r="G1520" s="6" t="s">
        <v>43102</v>
      </c>
      <c r="H1520" s="6" t="s">
        <v>43103</v>
      </c>
      <c r="I1520" s="7">
        <f t="shared" si="3"/>
        <v>0.707742057</v>
      </c>
    </row>
    <row r="1521">
      <c r="A1521" s="4">
        <v>1521.0</v>
      </c>
      <c r="B1521" s="3" t="s">
        <v>43104</v>
      </c>
      <c r="C1521" s="6" t="s">
        <v>24</v>
      </c>
      <c r="D1521" s="6" t="s">
        <v>824</v>
      </c>
      <c r="E1521" s="3" t="str">
        <f t="shared" si="1"/>
        <v>vary&lt;br&gt;&lt;div class="audio"&gt;[sound:vary.mp3]&lt;/div&gt;</v>
      </c>
      <c r="F1521" s="3" t="str">
        <f t="shared" si="2"/>
        <v>(v): thay đổi</v>
      </c>
      <c r="G1521" s="6" t="s">
        <v>43105</v>
      </c>
      <c r="H1521" s="6" t="s">
        <v>43106</v>
      </c>
      <c r="I1521" s="7">
        <f t="shared" si="3"/>
        <v>0.05289382226</v>
      </c>
    </row>
    <row r="1522">
      <c r="A1522" s="4">
        <v>1522.0</v>
      </c>
      <c r="B1522" s="3" t="s">
        <v>43107</v>
      </c>
      <c r="C1522" s="6" t="s">
        <v>74</v>
      </c>
      <c r="D1522" s="6" t="s">
        <v>43108</v>
      </c>
      <c r="E1522" s="3" t="str">
        <f t="shared" si="1"/>
        <v>post&lt;br&gt;&lt;div class="audio"&gt;[sound:post.mp3]&lt;/div&gt;</v>
      </c>
      <c r="F1522" s="3" t="str">
        <f t="shared" si="2"/>
        <v>(n): bài đăng</v>
      </c>
      <c r="G1522" s="6" t="s">
        <v>43109</v>
      </c>
      <c r="H1522" s="6" t="s">
        <v>43110</v>
      </c>
      <c r="I1522" s="7">
        <f t="shared" si="3"/>
        <v>0.4404552482</v>
      </c>
    </row>
    <row r="1523">
      <c r="A1523" s="4">
        <v>1523.0</v>
      </c>
      <c r="B1523" s="3" t="s">
        <v>43111</v>
      </c>
      <c r="C1523" s="6" t="s">
        <v>74</v>
      </c>
      <c r="D1523" s="6" t="s">
        <v>6612</v>
      </c>
      <c r="E1523" s="3" t="str">
        <f t="shared" si="1"/>
        <v>finger&lt;br&gt;&lt;div class="audio"&gt;[sound:finger.mp3]&lt;/div&gt;</v>
      </c>
      <c r="F1523" s="3" t="str">
        <f t="shared" si="2"/>
        <v>(n): ngón tay</v>
      </c>
      <c r="G1523" s="6" t="s">
        <v>43112</v>
      </c>
      <c r="H1523" s="6" t="s">
        <v>43113</v>
      </c>
      <c r="I1523" s="7">
        <f t="shared" si="3"/>
        <v>0.9393649053</v>
      </c>
    </row>
    <row r="1524">
      <c r="A1524" s="4">
        <v>1524.0</v>
      </c>
      <c r="B1524" s="3" t="s">
        <v>43114</v>
      </c>
      <c r="C1524" s="6" t="s">
        <v>11</v>
      </c>
      <c r="D1524" s="6" t="s">
        <v>40840</v>
      </c>
      <c r="E1524" s="3" t="str">
        <f t="shared" si="1"/>
        <v>brilliant&lt;br&gt;&lt;div class="audio"&gt;[sound:brilliant.mp3]&lt;/div&gt;</v>
      </c>
      <c r="F1524" s="3" t="str">
        <f t="shared" si="2"/>
        <v>(adj): xuất sắc</v>
      </c>
      <c r="G1524" s="6" t="s">
        <v>43115</v>
      </c>
      <c r="H1524" s="6" t="s">
        <v>43116</v>
      </c>
      <c r="I1524" s="7">
        <f t="shared" si="3"/>
        <v>0.1656221324</v>
      </c>
    </row>
    <row r="1525">
      <c r="A1525" s="4">
        <v>1525.0</v>
      </c>
      <c r="B1525" s="3" t="s">
        <v>43117</v>
      </c>
      <c r="C1525" s="6" t="s">
        <v>74</v>
      </c>
      <c r="D1525" s="6" t="s">
        <v>9660</v>
      </c>
      <c r="E1525" s="3" t="str">
        <f t="shared" si="1"/>
        <v>vision&lt;br&gt;&lt;div class="audio"&gt;[sound:vision.mp3]&lt;/div&gt;</v>
      </c>
      <c r="F1525" s="3" t="str">
        <f t="shared" si="2"/>
        <v>(n): tầm nhìn</v>
      </c>
      <c r="G1525" s="6" t="s">
        <v>43118</v>
      </c>
      <c r="H1525" s="6" t="s">
        <v>43119</v>
      </c>
      <c r="I1525" s="7">
        <f t="shared" si="3"/>
        <v>0.3212461989</v>
      </c>
    </row>
    <row r="1526">
      <c r="A1526" s="4">
        <v>1526.0</v>
      </c>
      <c r="B1526" s="3" t="s">
        <v>43120</v>
      </c>
      <c r="C1526" s="6" t="s">
        <v>74</v>
      </c>
      <c r="D1526" s="6" t="s">
        <v>4510</v>
      </c>
      <c r="E1526" s="3" t="str">
        <f t="shared" si="1"/>
        <v>talent&lt;br&gt;&lt;div class="audio"&gt;[sound:talent.mp3]&lt;/div&gt;</v>
      </c>
      <c r="F1526" s="3" t="str">
        <f t="shared" si="2"/>
        <v>(n): tài năng</v>
      </c>
      <c r="G1526" s="6" t="s">
        <v>43121</v>
      </c>
      <c r="H1526" s="6" t="s">
        <v>43122</v>
      </c>
      <c r="I1526" s="7">
        <f t="shared" si="3"/>
        <v>0.07017229218</v>
      </c>
    </row>
    <row r="1527">
      <c r="A1527" s="4">
        <v>1527.0</v>
      </c>
      <c r="B1527" s="3" t="s">
        <v>43123</v>
      </c>
      <c r="C1527" s="6" t="s">
        <v>74</v>
      </c>
      <c r="D1527" s="6" t="s">
        <v>4543</v>
      </c>
      <c r="E1527" s="3" t="str">
        <f t="shared" si="1"/>
        <v>association&lt;br&gt;&lt;div class="audio"&gt;[sound:association.mp3]&lt;/div&gt;</v>
      </c>
      <c r="F1527" s="3" t="str">
        <f t="shared" si="2"/>
        <v>(n): hiệp hội</v>
      </c>
      <c r="G1527" s="6" t="s">
        <v>43124</v>
      </c>
      <c r="H1527" s="6" t="s">
        <v>43125</v>
      </c>
      <c r="I1527" s="7">
        <f t="shared" si="3"/>
        <v>0.01871891021</v>
      </c>
    </row>
    <row r="1528">
      <c r="A1528" s="4">
        <v>1528.0</v>
      </c>
      <c r="B1528" s="3" t="s">
        <v>43126</v>
      </c>
      <c r="C1528" s="6" t="s">
        <v>74</v>
      </c>
      <c r="D1528" s="6" t="s">
        <v>43127</v>
      </c>
      <c r="E1528" s="3" t="str">
        <f t="shared" si="1"/>
        <v>illness&lt;br&gt;&lt;div class="audio"&gt;[sound:illness.mp3]&lt;/div&gt;</v>
      </c>
      <c r="F1528" s="3" t="str">
        <f t="shared" si="2"/>
        <v>(n): căn bệnh</v>
      </c>
      <c r="G1528" s="6" t="s">
        <v>43128</v>
      </c>
      <c r="H1528" s="6" t="s">
        <v>43129</v>
      </c>
      <c r="I1528" s="7">
        <f t="shared" si="3"/>
        <v>0.7140558641</v>
      </c>
    </row>
    <row r="1529">
      <c r="A1529" s="4">
        <v>1529.0</v>
      </c>
      <c r="B1529" s="3" t="s">
        <v>43130</v>
      </c>
      <c r="C1529" s="6" t="s">
        <v>11</v>
      </c>
      <c r="D1529" s="6" t="s">
        <v>8078</v>
      </c>
      <c r="E1529" s="3" t="str">
        <f t="shared" si="1"/>
        <v>advanced&lt;br&gt;&lt;div class="audio"&gt;[sound:advanced.mp3]&lt;/div&gt;</v>
      </c>
      <c r="F1529" s="3" t="str">
        <f t="shared" si="2"/>
        <v>(adj): nâng cao</v>
      </c>
      <c r="G1529" s="6" t="s">
        <v>43131</v>
      </c>
      <c r="H1529" s="6" t="s">
        <v>43132</v>
      </c>
      <c r="I1529" s="7">
        <f t="shared" si="3"/>
        <v>0.08637496163</v>
      </c>
    </row>
    <row r="1530">
      <c r="A1530" s="4">
        <v>1530.0</v>
      </c>
      <c r="B1530" s="3" t="s">
        <v>43133</v>
      </c>
      <c r="C1530" s="6" t="s">
        <v>74</v>
      </c>
      <c r="D1530" s="6" t="s">
        <v>43134</v>
      </c>
      <c r="E1530" s="3" t="str">
        <f t="shared" si="1"/>
        <v>boot&lt;br&gt;&lt;div class="audio"&gt;[sound:boot.mp3]&lt;/div&gt;</v>
      </c>
      <c r="F1530" s="3" t="str">
        <f t="shared" si="2"/>
        <v>(n): giày bốt</v>
      </c>
      <c r="G1530" s="6" t="s">
        <v>43135</v>
      </c>
      <c r="H1530" s="6" t="s">
        <v>43136</v>
      </c>
      <c r="I1530" s="7">
        <f t="shared" si="3"/>
        <v>0.1868371015</v>
      </c>
    </row>
    <row r="1531">
      <c r="A1531" s="4">
        <v>1531.0</v>
      </c>
      <c r="B1531" s="3" t="s">
        <v>43137</v>
      </c>
      <c r="C1531" s="6" t="s">
        <v>74</v>
      </c>
      <c r="D1531" s="6" t="s">
        <v>3904</v>
      </c>
      <c r="E1531" s="3" t="str">
        <f t="shared" si="1"/>
        <v>contract&lt;br&gt;&lt;div class="audio"&gt;[sound:contract.mp3]&lt;/div&gt;</v>
      </c>
      <c r="F1531" s="3" t="str">
        <f t="shared" si="2"/>
        <v>(n): hợp đồng</v>
      </c>
      <c r="G1531" s="6" t="s">
        <v>43138</v>
      </c>
      <c r="H1531" s="6" t="s">
        <v>43139</v>
      </c>
      <c r="I1531" s="7">
        <f t="shared" si="3"/>
        <v>0.820656497</v>
      </c>
    </row>
    <row r="1532">
      <c r="A1532" s="4">
        <v>1532.0</v>
      </c>
      <c r="B1532" s="3" t="s">
        <v>43140</v>
      </c>
      <c r="C1532" s="6" t="s">
        <v>74</v>
      </c>
      <c r="D1532" s="6" t="s">
        <v>36090</v>
      </c>
      <c r="E1532" s="3" t="str">
        <f t="shared" si="1"/>
        <v>noise&lt;br&gt;&lt;div class="audio"&gt;[sound:noise.mp3]&lt;/div&gt;</v>
      </c>
      <c r="F1532" s="3" t="str">
        <f t="shared" si="2"/>
        <v>(n): tiếng ồn</v>
      </c>
      <c r="G1532" s="6" t="s">
        <v>43141</v>
      </c>
      <c r="H1532" s="6" t="s">
        <v>43142</v>
      </c>
      <c r="I1532" s="7">
        <f t="shared" si="3"/>
        <v>0.9164401587</v>
      </c>
    </row>
    <row r="1533">
      <c r="A1533" s="4">
        <v>1533.0</v>
      </c>
      <c r="B1533" s="3" t="s">
        <v>43143</v>
      </c>
      <c r="C1533" s="6" t="s">
        <v>24</v>
      </c>
      <c r="D1533" s="8" t="s">
        <v>43144</v>
      </c>
      <c r="E1533" s="3" t="str">
        <f t="shared" si="1"/>
        <v>stretch&lt;br&gt;&lt;div class="audio"&gt;[sound:stretch.mp3]&lt;/div&gt;</v>
      </c>
      <c r="F1533" s="3" t="str">
        <f t="shared" si="2"/>
        <v>(v): kéo giãn</v>
      </c>
      <c r="G1533" s="8" t="s">
        <v>43145</v>
      </c>
      <c r="H1533" s="8" t="s">
        <v>43146</v>
      </c>
      <c r="I1533" s="7">
        <f t="shared" si="3"/>
        <v>0.2214877882</v>
      </c>
    </row>
    <row r="1534">
      <c r="A1534" s="4">
        <v>1534.0</v>
      </c>
      <c r="B1534" s="3" t="s">
        <v>43147</v>
      </c>
      <c r="C1534" s="6" t="s">
        <v>74</v>
      </c>
      <c r="D1534" s="6" t="s">
        <v>8398</v>
      </c>
      <c r="E1534" s="3" t="str">
        <f t="shared" si="1"/>
        <v>band&lt;br&gt;&lt;div class="audio"&gt;[sound:band.mp3]&lt;/div&gt;</v>
      </c>
      <c r="F1534" s="3" t="str">
        <f t="shared" si="2"/>
        <v>(n): ban nhạc</v>
      </c>
      <c r="G1534" s="6" t="s">
        <v>43148</v>
      </c>
      <c r="H1534" s="6" t="s">
        <v>43149</v>
      </c>
      <c r="I1534" s="7">
        <f t="shared" si="3"/>
        <v>0.1192714975</v>
      </c>
    </row>
    <row r="1535">
      <c r="A1535" s="4">
        <v>1535.0</v>
      </c>
      <c r="B1535" s="3" t="s">
        <v>43150</v>
      </c>
      <c r="C1535" s="6" t="s">
        <v>74</v>
      </c>
      <c r="D1535" s="6" t="s">
        <v>3522</v>
      </c>
      <c r="E1535" s="3" t="str">
        <f t="shared" si="1"/>
        <v>content&lt;br&gt;&lt;div class="audio"&gt;[sound:content.mp3]&lt;/div&gt;</v>
      </c>
      <c r="F1535" s="3" t="str">
        <f t="shared" si="2"/>
        <v>(n): nội dung</v>
      </c>
      <c r="G1535" s="6" t="s">
        <v>43151</v>
      </c>
      <c r="H1535" s="6" t="s">
        <v>43152</v>
      </c>
      <c r="I1535" s="7">
        <f t="shared" si="3"/>
        <v>0.6918511162</v>
      </c>
    </row>
    <row r="1536">
      <c r="A1536" s="4">
        <v>1536.0</v>
      </c>
      <c r="B1536" s="3" t="s">
        <v>43153</v>
      </c>
      <c r="C1536" s="6" t="s">
        <v>74</v>
      </c>
      <c r="D1536" s="6" t="s">
        <v>4520</v>
      </c>
      <c r="E1536" s="3" t="str">
        <f t="shared" si="1"/>
        <v>screen&lt;br&gt;&lt;div class="audio"&gt;[sound:screen.mp3]&lt;/div&gt;</v>
      </c>
      <c r="F1536" s="3" t="str">
        <f t="shared" si="2"/>
        <v>(n): màn hình</v>
      </c>
      <c r="G1536" s="6" t="s">
        <v>43154</v>
      </c>
      <c r="H1536" s="6" t="s">
        <v>43155</v>
      </c>
      <c r="I1536" s="7">
        <f t="shared" si="3"/>
        <v>0.09006953743</v>
      </c>
    </row>
    <row r="1537">
      <c r="A1537" s="4">
        <v>1537.0</v>
      </c>
      <c r="B1537" s="3" t="s">
        <v>43156</v>
      </c>
      <c r="C1537" s="6" t="s">
        <v>74</v>
      </c>
      <c r="D1537" s="6" t="s">
        <v>43157</v>
      </c>
      <c r="E1537" s="3" t="str">
        <f t="shared" si="1"/>
        <v>garden&lt;br&gt;&lt;div class="audio"&gt;[sound:garden.mp3]&lt;/div&gt;</v>
      </c>
      <c r="F1537" s="3" t="str">
        <f t="shared" si="2"/>
        <v>(n): khu vườn</v>
      </c>
      <c r="G1537" s="6" t="s">
        <v>43158</v>
      </c>
      <c r="H1537" s="6" t="s">
        <v>43159</v>
      </c>
      <c r="I1537" s="7">
        <f t="shared" si="3"/>
        <v>0.07856627955</v>
      </c>
    </row>
    <row r="1538">
      <c r="A1538" s="4">
        <v>1538.0</v>
      </c>
      <c r="B1538" s="3" t="s">
        <v>43160</v>
      </c>
      <c r="C1538" s="6" t="s">
        <v>74</v>
      </c>
      <c r="D1538" s="6" t="s">
        <v>8843</v>
      </c>
      <c r="E1538" s="3" t="str">
        <f t="shared" si="1"/>
        <v>match&lt;br&gt;&lt;div class="audio"&gt;[sound:match.mp3]&lt;/div&gt;</v>
      </c>
      <c r="F1538" s="3" t="str">
        <f t="shared" si="2"/>
        <v>(n): trận đấu</v>
      </c>
      <c r="G1538" s="6" t="s">
        <v>43161</v>
      </c>
      <c r="H1538" s="6" t="s">
        <v>43162</v>
      </c>
      <c r="I1538" s="7">
        <f t="shared" si="3"/>
        <v>0.01758227065</v>
      </c>
    </row>
    <row r="1539">
      <c r="A1539" s="4">
        <v>1539.0</v>
      </c>
      <c r="B1539" s="3" t="s">
        <v>43163</v>
      </c>
      <c r="C1539" s="6" t="s">
        <v>11</v>
      </c>
      <c r="D1539" s="6" t="s">
        <v>21729</v>
      </c>
      <c r="E1539" s="3" t="str">
        <f t="shared" si="1"/>
        <v>impressive&lt;br&gt;&lt;div class="audio"&gt;[sound:impressive.mp3]&lt;/div&gt;</v>
      </c>
      <c r="F1539" s="3" t="str">
        <f t="shared" si="2"/>
        <v>(adj): ấn tượng</v>
      </c>
      <c r="G1539" s="6" t="s">
        <v>43164</v>
      </c>
      <c r="H1539" s="6" t="s">
        <v>43165</v>
      </c>
      <c r="I1539" s="7">
        <f t="shared" si="3"/>
        <v>0.01396637713</v>
      </c>
    </row>
    <row r="1540">
      <c r="A1540" s="4">
        <v>1540.0</v>
      </c>
      <c r="B1540" s="3" t="s">
        <v>43166</v>
      </c>
      <c r="C1540" s="6" t="s">
        <v>74</v>
      </c>
      <c r="D1540" s="6" t="s">
        <v>33690</v>
      </c>
      <c r="E1540" s="3" t="str">
        <f t="shared" si="1"/>
        <v>prince&lt;br&gt;&lt;div class="audio"&gt;[sound:prince.mp3]&lt;/div&gt;</v>
      </c>
      <c r="F1540" s="3" t="str">
        <f t="shared" si="2"/>
        <v>(n): hoàng tử</v>
      </c>
      <c r="G1540" s="6" t="s">
        <v>43167</v>
      </c>
      <c r="H1540" s="6" t="s">
        <v>43168</v>
      </c>
      <c r="I1540" s="7">
        <f t="shared" si="3"/>
        <v>0.4084337446</v>
      </c>
    </row>
    <row r="1541">
      <c r="A1541" s="4">
        <v>1541.0</v>
      </c>
      <c r="B1541" s="3" t="s">
        <v>43169</v>
      </c>
      <c r="C1541" s="6" t="s">
        <v>74</v>
      </c>
      <c r="D1541" s="6" t="s">
        <v>43170</v>
      </c>
      <c r="E1541" s="3" t="str">
        <f t="shared" si="1"/>
        <v>river&lt;br&gt;&lt;div class="audio"&gt;[sound:river.mp3]&lt;/div&gt;</v>
      </c>
      <c r="F1541" s="3" t="str">
        <f t="shared" si="2"/>
        <v>(n): con sông</v>
      </c>
      <c r="G1541" s="6" t="s">
        <v>43171</v>
      </c>
      <c r="H1541" s="6" t="s">
        <v>43172</v>
      </c>
      <c r="I1541" s="7">
        <f t="shared" si="3"/>
        <v>0.5492191833</v>
      </c>
    </row>
    <row r="1542">
      <c r="A1542" s="4">
        <v>1542.0</v>
      </c>
      <c r="B1542" s="3" t="s">
        <v>43173</v>
      </c>
      <c r="C1542" s="6" t="s">
        <v>74</v>
      </c>
      <c r="D1542" s="8" t="s">
        <v>19760</v>
      </c>
      <c r="E1542" s="3" t="str">
        <f t="shared" si="1"/>
        <v>shadow&lt;br&gt;&lt;div class="audio"&gt;[sound:shadow.mp3]&lt;/div&gt;</v>
      </c>
      <c r="F1542" s="3" t="str">
        <f t="shared" si="2"/>
        <v>(n): bóng tối</v>
      </c>
      <c r="G1542" s="8" t="s">
        <v>43174</v>
      </c>
      <c r="H1542" s="8" t="s">
        <v>43175</v>
      </c>
      <c r="I1542" s="7">
        <f t="shared" si="3"/>
        <v>0.9643151354</v>
      </c>
    </row>
    <row r="1543">
      <c r="A1543" s="4">
        <v>1543.0</v>
      </c>
      <c r="B1543" s="3" t="s">
        <v>43176</v>
      </c>
      <c r="C1543" s="6" t="s">
        <v>11</v>
      </c>
      <c r="D1543" s="8" t="s">
        <v>43177</v>
      </c>
      <c r="E1543" s="3" t="str">
        <f t="shared" si="1"/>
        <v>smooth&lt;br&gt;&lt;div class="audio"&gt;[sound:smooth.mp3]&lt;/div&gt;</v>
      </c>
      <c r="F1543" s="3" t="str">
        <f t="shared" si="2"/>
        <v>(adj): mịn màng</v>
      </c>
      <c r="G1543" s="8" t="s">
        <v>43178</v>
      </c>
      <c r="H1543" s="8" t="s">
        <v>43179</v>
      </c>
      <c r="I1543" s="7">
        <f t="shared" si="3"/>
        <v>0.8665394742</v>
      </c>
    </row>
    <row r="1544">
      <c r="A1544" s="4">
        <v>1544.0</v>
      </c>
      <c r="B1544" s="3" t="s">
        <v>43180</v>
      </c>
      <c r="C1544" s="6" t="s">
        <v>74</v>
      </c>
      <c r="D1544" s="6" t="s">
        <v>14856</v>
      </c>
      <c r="E1544" s="3" t="str">
        <f t="shared" si="1"/>
        <v>labour&lt;br&gt;&lt;div class="audio"&gt;[sound:labour.mp3]&lt;/div&gt;</v>
      </c>
      <c r="F1544" s="3" t="str">
        <f t="shared" si="2"/>
        <v>(n): lao động</v>
      </c>
      <c r="G1544" s="6" t="s">
        <v>43181</v>
      </c>
      <c r="H1544" s="6" t="s">
        <v>43182</v>
      </c>
      <c r="I1544" s="7">
        <f t="shared" si="3"/>
        <v>0.4230606537</v>
      </c>
    </row>
    <row r="1545">
      <c r="A1545" s="4">
        <v>1545.0</v>
      </c>
      <c r="B1545" s="3" t="s">
        <v>43183</v>
      </c>
      <c r="C1545" s="6" t="s">
        <v>74</v>
      </c>
      <c r="D1545" s="6" t="s">
        <v>43184</v>
      </c>
      <c r="E1545" s="3" t="str">
        <f t="shared" si="1"/>
        <v>writing&lt;br&gt;&lt;div class="audio"&gt;[sound:writing.mp3]&lt;/div&gt;</v>
      </c>
      <c r="F1545" s="3" t="str">
        <f t="shared" si="2"/>
        <v>(n): bài viết</v>
      </c>
      <c r="G1545" s="6" t="s">
        <v>43185</v>
      </c>
      <c r="H1545" s="6" t="s">
        <v>43186</v>
      </c>
      <c r="I1545" s="7">
        <f t="shared" si="3"/>
        <v>0.2134232948</v>
      </c>
    </row>
    <row r="1546">
      <c r="A1546" s="4">
        <v>1546.0</v>
      </c>
      <c r="B1546" s="3" t="s">
        <v>43187</v>
      </c>
      <c r="C1546" s="6" t="s">
        <v>24</v>
      </c>
      <c r="D1546" s="6" t="s">
        <v>8042</v>
      </c>
      <c r="E1546" s="3" t="str">
        <f t="shared" si="1"/>
        <v>engage&lt;br&gt;&lt;div class="audio"&gt;[sound:engage.mp3]&lt;/div&gt;</v>
      </c>
      <c r="F1546" s="3" t="str">
        <f t="shared" si="2"/>
        <v>(v): tham gia</v>
      </c>
      <c r="G1546" s="6" t="s">
        <v>43188</v>
      </c>
      <c r="H1546" s="6" t="s">
        <v>43189</v>
      </c>
      <c r="I1546" s="7">
        <f t="shared" si="3"/>
        <v>0.3064997858</v>
      </c>
    </row>
    <row r="1547">
      <c r="A1547" s="4">
        <v>1547.0</v>
      </c>
      <c r="B1547" s="3" t="s">
        <v>43190</v>
      </c>
      <c r="C1547" s="6" t="s">
        <v>24</v>
      </c>
      <c r="D1547" s="6" t="s">
        <v>23489</v>
      </c>
      <c r="E1547" s="3" t="str">
        <f t="shared" si="1"/>
        <v>publish&lt;br&gt;&lt;div class="audio"&gt;[sound:publish.mp3]&lt;/div&gt;</v>
      </c>
      <c r="F1547" s="3" t="str">
        <f t="shared" si="2"/>
        <v>(v): xuất bản</v>
      </c>
      <c r="G1547" s="6" t="s">
        <v>43191</v>
      </c>
      <c r="H1547" s="6" t="s">
        <v>43192</v>
      </c>
      <c r="I1547" s="7">
        <f t="shared" si="3"/>
        <v>0.3643765174</v>
      </c>
    </row>
    <row r="1548">
      <c r="A1548" s="4">
        <v>1548.0</v>
      </c>
      <c r="B1548" s="3" t="s">
        <v>43193</v>
      </c>
      <c r="C1548" s="6" t="s">
        <v>11</v>
      </c>
      <c r="D1548" s="6" t="s">
        <v>43194</v>
      </c>
      <c r="E1548" s="3" t="str">
        <f t="shared" si="1"/>
        <v>latest&lt;br&gt;&lt;div class="audio"&gt;[sound:latest.mp3]&lt;/div&gt;</v>
      </c>
      <c r="F1548" s="3" t="str">
        <f t="shared" si="2"/>
        <v>(adj): mới nhất</v>
      </c>
      <c r="G1548" s="6" t="s">
        <v>43195</v>
      </c>
      <c r="H1548" s="6" t="s">
        <v>43196</v>
      </c>
      <c r="I1548" s="7">
        <f t="shared" si="3"/>
        <v>0.1595978392</v>
      </c>
    </row>
    <row r="1549">
      <c r="A1549" s="4">
        <v>1549.0</v>
      </c>
      <c r="B1549" s="3" t="s">
        <v>43197</v>
      </c>
      <c r="C1549" s="6" t="s">
        <v>24</v>
      </c>
      <c r="D1549" s="6" t="s">
        <v>43198</v>
      </c>
      <c r="E1549" s="3" t="str">
        <f t="shared" si="1"/>
        <v>estimate&lt;br&gt;&lt;div class="audio"&gt;[sound:estimate.mp3]&lt;/div&gt;</v>
      </c>
      <c r="F1549" s="3" t="str">
        <f t="shared" si="2"/>
        <v>(v): ước tính</v>
      </c>
      <c r="G1549" s="6" t="s">
        <v>43199</v>
      </c>
      <c r="H1549" s="6" t="s">
        <v>43200</v>
      </c>
      <c r="I1549" s="7">
        <f t="shared" si="3"/>
        <v>0.8346054322</v>
      </c>
    </row>
    <row r="1550">
      <c r="A1550" s="4">
        <v>1550.0</v>
      </c>
      <c r="B1550" s="3" t="s">
        <v>43201</v>
      </c>
      <c r="C1550" s="6" t="s">
        <v>11</v>
      </c>
      <c r="D1550" s="8" t="s">
        <v>13915</v>
      </c>
      <c r="E1550" s="3" t="str">
        <f t="shared" si="1"/>
        <v>short-term&lt;br&gt;&lt;div class="audio"&gt;[sound:short-term.mp3]&lt;/div&gt;</v>
      </c>
      <c r="F1550" s="3" t="str">
        <f t="shared" si="2"/>
        <v>(adj): ngắn hạn</v>
      </c>
      <c r="G1550" s="8" t="s">
        <v>43202</v>
      </c>
      <c r="H1550" s="8" t="s">
        <v>43203</v>
      </c>
      <c r="I1550" s="7">
        <f t="shared" si="3"/>
        <v>0.9868146026</v>
      </c>
    </row>
    <row r="1551">
      <c r="A1551" s="4">
        <v>1551.0</v>
      </c>
      <c r="B1551" s="3" t="s">
        <v>43204</v>
      </c>
      <c r="C1551" s="6" t="s">
        <v>24</v>
      </c>
      <c r="D1551" s="6" t="s">
        <v>41367</v>
      </c>
      <c r="E1551" s="3" t="str">
        <f t="shared" si="1"/>
        <v>explore&lt;br&gt;&lt;div class="audio"&gt;[sound:explore.mp3]&lt;/div&gt;</v>
      </c>
      <c r="F1551" s="3" t="str">
        <f t="shared" si="2"/>
        <v>(v): khám phá</v>
      </c>
      <c r="G1551" s="6" t="s">
        <v>43205</v>
      </c>
      <c r="H1551" s="6" t="s">
        <v>43206</v>
      </c>
      <c r="I1551" s="7">
        <f t="shared" si="3"/>
        <v>0.6491046177</v>
      </c>
    </row>
    <row r="1552">
      <c r="A1552" s="4">
        <v>1552.0</v>
      </c>
      <c r="B1552" s="3" t="s">
        <v>43207</v>
      </c>
      <c r="C1552" s="6" t="s">
        <v>24</v>
      </c>
      <c r="D1552" s="6" t="s">
        <v>11510</v>
      </c>
      <c r="E1552" s="3" t="str">
        <f t="shared" si="1"/>
        <v>observe&lt;br&gt;&lt;div class="audio"&gt;[sound:observe.mp3]&lt;/div&gt;</v>
      </c>
      <c r="F1552" s="3" t="str">
        <f t="shared" si="2"/>
        <v>(v): quan sát</v>
      </c>
      <c r="G1552" s="6" t="s">
        <v>43208</v>
      </c>
      <c r="H1552" s="6" t="s">
        <v>43209</v>
      </c>
      <c r="I1552" s="7">
        <f t="shared" si="3"/>
        <v>0.5414595273</v>
      </c>
    </row>
    <row r="1553">
      <c r="A1553" s="4">
        <v>1553.0</v>
      </c>
      <c r="B1553" s="3" t="s">
        <v>43210</v>
      </c>
      <c r="C1553" s="6" t="s">
        <v>74</v>
      </c>
      <c r="D1553" s="6" t="s">
        <v>9093</v>
      </c>
      <c r="E1553" s="3" t="str">
        <f t="shared" si="1"/>
        <v>mistake&lt;br&gt;&lt;div class="audio"&gt;[sound:mistake.mp3]&lt;/div&gt;</v>
      </c>
      <c r="F1553" s="3" t="str">
        <f t="shared" si="2"/>
        <v>(n): sai lầm</v>
      </c>
      <c r="G1553" s="6" t="s">
        <v>43211</v>
      </c>
      <c r="H1553" s="6" t="s">
        <v>43212</v>
      </c>
      <c r="I1553" s="7">
        <f t="shared" si="3"/>
        <v>0.815964455</v>
      </c>
    </row>
    <row r="1554">
      <c r="A1554" s="4">
        <v>1554.0</v>
      </c>
      <c r="B1554" s="3" t="s">
        <v>43213</v>
      </c>
      <c r="C1554" s="6" t="s">
        <v>74</v>
      </c>
      <c r="D1554" s="6" t="s">
        <v>8715</v>
      </c>
      <c r="E1554" s="3" t="str">
        <f t="shared" si="1"/>
        <v>expense&lt;br&gt;&lt;div class="audio"&gt;[sound:expense.mp3]&lt;/div&gt;</v>
      </c>
      <c r="F1554" s="3" t="str">
        <f t="shared" si="2"/>
        <v>(n): chi phí</v>
      </c>
      <c r="G1554" s="6" t="s">
        <v>43214</v>
      </c>
      <c r="H1554" s="6" t="s">
        <v>43215</v>
      </c>
      <c r="I1554" s="7">
        <f t="shared" si="3"/>
        <v>0.5788577115</v>
      </c>
    </row>
    <row r="1555">
      <c r="A1555" s="4">
        <v>1555.0</v>
      </c>
      <c r="B1555" s="3" t="s">
        <v>43216</v>
      </c>
      <c r="C1555" s="6" t="s">
        <v>74</v>
      </c>
      <c r="D1555" s="6" t="s">
        <v>33806</v>
      </c>
      <c r="E1555" s="3" t="str">
        <f t="shared" si="1"/>
        <v>bowl&lt;br&gt;&lt;div class="audio"&gt;[sound:bowl.mp3]&lt;/div&gt;</v>
      </c>
      <c r="F1555" s="3" t="str">
        <f t="shared" si="2"/>
        <v>(n): cái bát</v>
      </c>
      <c r="G1555" s="6" t="s">
        <v>43217</v>
      </c>
      <c r="H1555" s="6" t="s">
        <v>43218</v>
      </c>
      <c r="I1555" s="7">
        <f t="shared" si="3"/>
        <v>0.3240955795</v>
      </c>
    </row>
    <row r="1556">
      <c r="A1556" s="4">
        <v>1556.0</v>
      </c>
      <c r="B1556" s="3" t="s">
        <v>43219</v>
      </c>
      <c r="C1556" s="6" t="s">
        <v>74</v>
      </c>
      <c r="D1556" s="6" t="s">
        <v>4179</v>
      </c>
      <c r="E1556" s="3" t="str">
        <f t="shared" si="1"/>
        <v>accident&lt;br&gt;&lt;div class="audio"&gt;[sound:accident.mp3]&lt;/div&gt;</v>
      </c>
      <c r="F1556" s="3" t="str">
        <f t="shared" si="2"/>
        <v>(n): tai nạn</v>
      </c>
      <c r="G1556" s="6" t="s">
        <v>43220</v>
      </c>
      <c r="H1556" s="6" t="s">
        <v>43221</v>
      </c>
      <c r="I1556" s="7">
        <f t="shared" si="3"/>
        <v>0.39924779</v>
      </c>
    </row>
    <row r="1557">
      <c r="A1557" s="4">
        <v>1557.0</v>
      </c>
      <c r="B1557" s="3" t="s">
        <v>43222</v>
      </c>
      <c r="C1557" s="6" t="s">
        <v>74</v>
      </c>
      <c r="D1557" s="8" t="s">
        <v>984</v>
      </c>
      <c r="E1557" s="3" t="str">
        <f t="shared" si="1"/>
        <v>soul&lt;br&gt;&lt;div class="audio"&gt;[sound:soul.mp3]&lt;/div&gt;</v>
      </c>
      <c r="F1557" s="3" t="str">
        <f t="shared" si="2"/>
        <v>(n): tâm hồn</v>
      </c>
      <c r="G1557" s="8" t="s">
        <v>43223</v>
      </c>
      <c r="H1557" s="8" t="s">
        <v>43224</v>
      </c>
      <c r="I1557" s="7">
        <f t="shared" si="3"/>
        <v>0.7456267632</v>
      </c>
    </row>
    <row r="1558">
      <c r="A1558" s="4">
        <v>1558.0</v>
      </c>
      <c r="B1558" s="3" t="s">
        <v>43225</v>
      </c>
      <c r="C1558" s="6" t="s">
        <v>74</v>
      </c>
      <c r="D1558" s="6" t="s">
        <v>43226</v>
      </c>
      <c r="E1558" s="3" t="str">
        <f t="shared" si="1"/>
        <v>nose&lt;br&gt;&lt;div class="audio"&gt;[sound:nose.mp3]&lt;/div&gt;</v>
      </c>
      <c r="F1558" s="3" t="str">
        <f t="shared" si="2"/>
        <v>(n): cái mũi</v>
      </c>
      <c r="G1558" s="6" t="s">
        <v>43227</v>
      </c>
      <c r="H1558" s="6" t="s">
        <v>43228</v>
      </c>
      <c r="I1558" s="7">
        <f t="shared" si="3"/>
        <v>0.06451888286</v>
      </c>
    </row>
    <row r="1559">
      <c r="A1559" s="4">
        <v>1559.0</v>
      </c>
      <c r="B1559" s="3" t="s">
        <v>43229</v>
      </c>
      <c r="C1559" s="6" t="s">
        <v>74</v>
      </c>
      <c r="D1559" s="6" t="s">
        <v>412</v>
      </c>
      <c r="E1559" s="3" t="str">
        <f t="shared" si="1"/>
        <v>kid&lt;br&gt;&lt;div class="audio"&gt;[sound:kid.mp3]&lt;/div&gt;</v>
      </c>
      <c r="F1559" s="3" t="str">
        <f t="shared" si="2"/>
        <v>(n): trẻ con</v>
      </c>
      <c r="G1559" s="6" t="s">
        <v>43230</v>
      </c>
      <c r="H1559" s="6" t="s">
        <v>43231</v>
      </c>
      <c r="I1559" s="7">
        <f t="shared" si="3"/>
        <v>0.5877969757</v>
      </c>
    </row>
    <row r="1560">
      <c r="A1560" s="4">
        <v>1560.0</v>
      </c>
      <c r="B1560" s="3" t="s">
        <v>43232</v>
      </c>
      <c r="C1560" s="6" t="s">
        <v>11</v>
      </c>
      <c r="D1560" s="6" t="s">
        <v>10985</v>
      </c>
      <c r="E1560" s="3" t="str">
        <f t="shared" si="1"/>
        <v>rich&lt;br&gt;&lt;div class="audio"&gt;[sound:rich.mp3]&lt;/div&gt;</v>
      </c>
      <c r="F1560" s="3" t="str">
        <f t="shared" si="2"/>
        <v>(adj): giàu có</v>
      </c>
      <c r="G1560" s="6" t="s">
        <v>43233</v>
      </c>
      <c r="H1560" s="6" t="s">
        <v>43234</v>
      </c>
      <c r="I1560" s="7">
        <f t="shared" si="3"/>
        <v>0.7352902585</v>
      </c>
    </row>
    <row r="1561">
      <c r="A1561" s="4">
        <v>1561.0</v>
      </c>
      <c r="B1561" s="3" t="s">
        <v>43235</v>
      </c>
      <c r="C1561" s="6" t="s">
        <v>74</v>
      </c>
      <c r="D1561" s="6" t="s">
        <v>27967</v>
      </c>
      <c r="E1561" s="3" t="str">
        <f t="shared" si="1"/>
        <v>instrument&lt;br&gt;&lt;div class="audio"&gt;[sound:instrument.mp3]&lt;/div&gt;</v>
      </c>
      <c r="F1561" s="3" t="str">
        <f t="shared" si="2"/>
        <v>(n): nhạc cụ</v>
      </c>
      <c r="G1561" s="6" t="s">
        <v>43236</v>
      </c>
      <c r="H1561" s="6" t="s">
        <v>43237</v>
      </c>
      <c r="I1561" s="7">
        <f t="shared" si="3"/>
        <v>0.8271752397</v>
      </c>
    </row>
    <row r="1562">
      <c r="A1562" s="4">
        <v>1562.0</v>
      </c>
      <c r="B1562" s="3" t="s">
        <v>43238</v>
      </c>
      <c r="C1562" s="6" t="s">
        <v>74</v>
      </c>
      <c r="D1562" s="6" t="s">
        <v>43239</v>
      </c>
      <c r="E1562" s="3" t="str">
        <f t="shared" si="1"/>
        <v>bush&lt;br&gt;&lt;div class="audio"&gt;[sound:bush.mp3]&lt;/div&gt;</v>
      </c>
      <c r="F1562" s="3" t="str">
        <f t="shared" si="2"/>
        <v>(n): bụi cây</v>
      </c>
      <c r="G1562" s="6" t="s">
        <v>43240</v>
      </c>
      <c r="H1562" s="6" t="s">
        <v>43241</v>
      </c>
      <c r="I1562" s="7">
        <f t="shared" si="3"/>
        <v>0.1307040595</v>
      </c>
    </row>
    <row r="1563">
      <c r="A1563" s="4">
        <v>1563.0</v>
      </c>
      <c r="B1563" s="3" t="s">
        <v>43242</v>
      </c>
      <c r="C1563" s="6" t="s">
        <v>74</v>
      </c>
      <c r="D1563" s="6" t="s">
        <v>1799</v>
      </c>
      <c r="E1563" s="3" t="str">
        <f t="shared" si="1"/>
        <v>behaviour&lt;br&gt;&lt;div class="audio"&gt;[sound:behaviour.mp3]&lt;/div&gt;</v>
      </c>
      <c r="F1563" s="3" t="str">
        <f t="shared" si="2"/>
        <v>(n): hành vi</v>
      </c>
      <c r="G1563" s="6" t="s">
        <v>43243</v>
      </c>
      <c r="H1563" s="6" t="s">
        <v>43244</v>
      </c>
      <c r="I1563" s="7">
        <f t="shared" si="3"/>
        <v>0.4425759327</v>
      </c>
    </row>
    <row r="1564">
      <c r="A1564" s="4">
        <v>1564.0</v>
      </c>
      <c r="B1564" s="3" t="s">
        <v>43245</v>
      </c>
      <c r="C1564" s="6" t="s">
        <v>24</v>
      </c>
      <c r="D1564" s="6" t="s">
        <v>43246</v>
      </c>
      <c r="E1564" s="3" t="str">
        <f t="shared" si="1"/>
        <v>attend&lt;br&gt;&lt;div class="audio"&gt;[sound:attend.mp3]&lt;/div&gt;</v>
      </c>
      <c r="F1564" s="3" t="str">
        <f t="shared" si="2"/>
        <v>(v): tham dự</v>
      </c>
      <c r="G1564" s="6" t="s">
        <v>43247</v>
      </c>
      <c r="H1564" s="6" t="s">
        <v>43248</v>
      </c>
      <c r="I1564" s="7">
        <f t="shared" si="3"/>
        <v>0.2300191784</v>
      </c>
    </row>
    <row r="1565">
      <c r="A1565" s="4">
        <v>1565.0</v>
      </c>
      <c r="B1565" s="3" t="s">
        <v>43249</v>
      </c>
      <c r="C1565" s="6" t="s">
        <v>85</v>
      </c>
      <c r="D1565" s="6" t="s">
        <v>42116</v>
      </c>
      <c r="E1565" s="3" t="str">
        <f t="shared" si="1"/>
        <v>initially&lt;br&gt;&lt;div class="audio"&gt;[sound:initially.mp3]&lt;/div&gt;</v>
      </c>
      <c r="F1565" s="3" t="str">
        <f t="shared" si="2"/>
        <v>(adv): ban đầu</v>
      </c>
      <c r="G1565" s="6" t="s">
        <v>43250</v>
      </c>
      <c r="H1565" s="6" t="s">
        <v>43251</v>
      </c>
      <c r="I1565" s="7">
        <f t="shared" si="3"/>
        <v>0.8172856381</v>
      </c>
    </row>
    <row r="1566">
      <c r="A1566" s="4">
        <v>1566.0</v>
      </c>
      <c r="B1566" s="3" t="s">
        <v>43252</v>
      </c>
      <c r="C1566" s="6" t="s">
        <v>24</v>
      </c>
      <c r="D1566" s="6" t="s">
        <v>2755</v>
      </c>
      <c r="E1566" s="3" t="str">
        <f t="shared" si="1"/>
        <v>consist&lt;br&gt;&lt;div class="audio"&gt;[sound:consist.mp3]&lt;/div&gt;</v>
      </c>
      <c r="F1566" s="3" t="str">
        <f t="shared" si="2"/>
        <v>(v): bao gồm</v>
      </c>
      <c r="G1566" s="6" t="s">
        <v>43253</v>
      </c>
      <c r="H1566" s="6" t="s">
        <v>43254</v>
      </c>
      <c r="I1566" s="7">
        <f t="shared" si="3"/>
        <v>0.9081731883</v>
      </c>
    </row>
    <row r="1567">
      <c r="A1567" s="4">
        <v>1567.0</v>
      </c>
      <c r="B1567" s="3" t="s">
        <v>43255</v>
      </c>
      <c r="C1567" s="6" t="s">
        <v>11</v>
      </c>
      <c r="D1567" s="6" t="s">
        <v>13180</v>
      </c>
      <c r="E1567" s="3" t="str">
        <f t="shared" si="1"/>
        <v>classic&lt;br&gt;&lt;div class="audio"&gt;[sound:classic.mp3]&lt;/div&gt;</v>
      </c>
      <c r="F1567" s="3" t="str">
        <f t="shared" si="2"/>
        <v>(adj): cổ điển</v>
      </c>
      <c r="G1567" s="6" t="s">
        <v>43256</v>
      </c>
      <c r="H1567" s="6" t="s">
        <v>43257</v>
      </c>
      <c r="I1567" s="7">
        <f t="shared" si="3"/>
        <v>0.1345019553</v>
      </c>
    </row>
    <row r="1568">
      <c r="A1568" s="4">
        <v>1568.0</v>
      </c>
      <c r="B1568" s="3" t="s">
        <v>43258</v>
      </c>
      <c r="C1568" s="6" t="s">
        <v>85</v>
      </c>
      <c r="D1568" s="6" t="s">
        <v>1585</v>
      </c>
      <c r="E1568" s="3" t="str">
        <f t="shared" si="1"/>
        <v>nearly&lt;br&gt;&lt;div class="audio"&gt;[sound:nearly.mp3]&lt;/div&gt;</v>
      </c>
      <c r="F1568" s="3" t="str">
        <f t="shared" si="2"/>
        <v>(adv): gần như</v>
      </c>
      <c r="G1568" s="6" t="s">
        <v>43259</v>
      </c>
      <c r="H1568" s="6" t="s">
        <v>43260</v>
      </c>
      <c r="I1568" s="7">
        <f t="shared" si="3"/>
        <v>0.2005494404</v>
      </c>
    </row>
    <row r="1569">
      <c r="A1569" s="4">
        <v>1569.0</v>
      </c>
      <c r="B1569" s="3" t="s">
        <v>43261</v>
      </c>
      <c r="C1569" s="6" t="s">
        <v>85</v>
      </c>
      <c r="D1569" s="6" t="s">
        <v>43262</v>
      </c>
      <c r="E1569" s="3" t="str">
        <f t="shared" si="1"/>
        <v>heavily&lt;br&gt;&lt;div class="audio"&gt;[sound:heavily.mp3]&lt;/div&gt;</v>
      </c>
      <c r="F1569" s="3" t="str">
        <f t="shared" si="2"/>
        <v>(adv): nặng nề</v>
      </c>
      <c r="G1569" s="6" t="s">
        <v>43263</v>
      </c>
      <c r="H1569" s="6" t="s">
        <v>43264</v>
      </c>
      <c r="I1569" s="7">
        <f t="shared" si="3"/>
        <v>0.07365088168</v>
      </c>
    </row>
    <row r="1570">
      <c r="A1570" s="4">
        <v>1570.0</v>
      </c>
      <c r="B1570" s="3" t="s">
        <v>43265</v>
      </c>
      <c r="C1570" s="6" t="s">
        <v>11</v>
      </c>
      <c r="D1570" s="6" t="s">
        <v>43266</v>
      </c>
      <c r="E1570" s="3" t="str">
        <f t="shared" si="1"/>
        <v>worst&lt;br&gt;&lt;div class="audio"&gt;[sound:worst.mp3]&lt;/div&gt;</v>
      </c>
      <c r="F1570" s="3" t="str">
        <f t="shared" si="2"/>
        <v>(adj): tệ nhất</v>
      </c>
      <c r="G1570" s="6" t="s">
        <v>43267</v>
      </c>
      <c r="H1570" s="6" t="s">
        <v>43268</v>
      </c>
      <c r="I1570" s="7">
        <f t="shared" si="3"/>
        <v>0.6270084216</v>
      </c>
    </row>
    <row r="1571">
      <c r="A1571" s="4">
        <v>1571.0</v>
      </c>
      <c r="B1571" s="3" t="s">
        <v>43269</v>
      </c>
      <c r="C1571" s="6" t="s">
        <v>85</v>
      </c>
      <c r="D1571" s="6" t="s">
        <v>14740</v>
      </c>
      <c r="E1571" s="3" t="str">
        <f t="shared" si="1"/>
        <v>indeed&lt;br&gt;&lt;div class="audio"&gt;[sound:indeed.mp3]&lt;/div&gt;</v>
      </c>
      <c r="F1571" s="3" t="str">
        <f t="shared" si="2"/>
        <v>(adv): thực sự</v>
      </c>
      <c r="G1571" s="6" t="s">
        <v>43270</v>
      </c>
      <c r="H1571" s="6" t="s">
        <v>43271</v>
      </c>
      <c r="I1571" s="7">
        <f t="shared" si="3"/>
        <v>0.4140648947</v>
      </c>
    </row>
    <row r="1572">
      <c r="A1572" s="4">
        <v>1572.0</v>
      </c>
      <c r="B1572" s="3" t="s">
        <v>43272</v>
      </c>
      <c r="C1572" s="6" t="s">
        <v>85</v>
      </c>
      <c r="D1572" s="6" t="s">
        <v>42116</v>
      </c>
      <c r="E1572" s="3" t="str">
        <f t="shared" si="1"/>
        <v>originally&lt;br&gt;&lt;div class="audio"&gt;[sound:originally.mp3]&lt;/div&gt;</v>
      </c>
      <c r="F1572" s="3" t="str">
        <f t="shared" si="2"/>
        <v>(adv): ban đầu</v>
      </c>
      <c r="G1572" s="6" t="s">
        <v>43273</v>
      </c>
      <c r="H1572" s="6" t="s">
        <v>43274</v>
      </c>
      <c r="I1572" s="7">
        <f t="shared" si="3"/>
        <v>0.3516960707</v>
      </c>
    </row>
    <row r="1573">
      <c r="A1573" s="4">
        <v>1573.0</v>
      </c>
      <c r="B1573" s="3" t="s">
        <v>43275</v>
      </c>
      <c r="C1573" s="6" t="s">
        <v>74</v>
      </c>
      <c r="D1573" s="6" t="s">
        <v>21420</v>
      </c>
      <c r="E1573" s="3" t="str">
        <f t="shared" si="1"/>
        <v>coast&lt;br&gt;&lt;div class="audio"&gt;[sound:coast.mp3]&lt;/div&gt;</v>
      </c>
      <c r="F1573" s="3" t="str">
        <f t="shared" si="2"/>
        <v>(n): bờ biển</v>
      </c>
      <c r="G1573" s="6" t="s">
        <v>43276</v>
      </c>
      <c r="H1573" s="6" t="s">
        <v>43277</v>
      </c>
      <c r="I1573" s="7">
        <f t="shared" si="3"/>
        <v>0.4540681399</v>
      </c>
    </row>
    <row r="1574">
      <c r="A1574" s="4">
        <v>1574.0</v>
      </c>
      <c r="B1574" s="3" t="s">
        <v>43278</v>
      </c>
      <c r="C1574" s="6" t="s">
        <v>74</v>
      </c>
      <c r="D1574" s="6" t="s">
        <v>28274</v>
      </c>
      <c r="E1574" s="3" t="str">
        <f t="shared" si="1"/>
        <v>chart&lt;br&gt;&lt;div class="audio"&gt;[sound:chart.mp3]&lt;/div&gt;</v>
      </c>
      <c r="F1574" s="3" t="str">
        <f t="shared" si="2"/>
        <v>(n): biểu đồ</v>
      </c>
      <c r="G1574" s="6" t="s">
        <v>43279</v>
      </c>
      <c r="H1574" s="6" t="s">
        <v>43280</v>
      </c>
      <c r="I1574" s="7">
        <f t="shared" si="3"/>
        <v>0.6212389695</v>
      </c>
    </row>
    <row r="1575">
      <c r="A1575" s="4">
        <v>1575.0</v>
      </c>
      <c r="B1575" s="3" t="s">
        <v>43281</v>
      </c>
      <c r="C1575" s="6" t="s">
        <v>74</v>
      </c>
      <c r="D1575" s="6" t="s">
        <v>32272</v>
      </c>
      <c r="E1575" s="3" t="str">
        <f t="shared" si="1"/>
        <v>pattern&lt;br&gt;&lt;div class="audio"&gt;[sound:pattern.mp3]&lt;/div&gt;</v>
      </c>
      <c r="F1575" s="3" t="str">
        <f t="shared" si="2"/>
        <v>(n): mô hình</v>
      </c>
      <c r="G1575" s="6" t="s">
        <v>43282</v>
      </c>
      <c r="H1575" s="6" t="s">
        <v>43283</v>
      </c>
      <c r="I1575" s="7">
        <f t="shared" si="3"/>
        <v>0.2986448852</v>
      </c>
    </row>
    <row r="1576">
      <c r="A1576" s="4">
        <v>1576.0</v>
      </c>
      <c r="B1576" s="3" t="s">
        <v>43284</v>
      </c>
      <c r="C1576" s="6" t="s">
        <v>74</v>
      </c>
      <c r="D1576" s="6" t="s">
        <v>43285</v>
      </c>
      <c r="E1576" s="3" t="str">
        <f t="shared" si="1"/>
        <v>photo&lt;br&gt;&lt;div class="audio"&gt;[sound:photo.mp3]&lt;/div&gt;</v>
      </c>
      <c r="F1576" s="3" t="str">
        <f t="shared" si="2"/>
        <v>(n): bức ảnh</v>
      </c>
      <c r="G1576" s="6" t="s">
        <v>43286</v>
      </c>
      <c r="H1576" s="6" t="s">
        <v>43287</v>
      </c>
      <c r="I1576" s="7">
        <f t="shared" si="3"/>
        <v>0.6958043668</v>
      </c>
    </row>
    <row r="1577">
      <c r="A1577" s="4">
        <v>1577.0</v>
      </c>
      <c r="B1577" s="3" t="s">
        <v>43288</v>
      </c>
      <c r="C1577" s="6" t="s">
        <v>24</v>
      </c>
      <c r="D1577" s="6" t="s">
        <v>8182</v>
      </c>
      <c r="E1577" s="3" t="str">
        <f t="shared" si="1"/>
        <v>maintain&lt;br&gt;&lt;div class="audio"&gt;[sound:maintain.mp3]&lt;/div&gt;</v>
      </c>
      <c r="F1577" s="3" t="str">
        <f t="shared" si="2"/>
        <v>(v): duy trì</v>
      </c>
      <c r="G1577" s="6" t="s">
        <v>43289</v>
      </c>
      <c r="H1577" s="6" t="s">
        <v>43290</v>
      </c>
      <c r="I1577" s="7">
        <f t="shared" si="3"/>
        <v>0.1015093717</v>
      </c>
    </row>
    <row r="1578">
      <c r="A1578" s="4">
        <v>1578.0</v>
      </c>
      <c r="B1578" s="3" t="s">
        <v>43291</v>
      </c>
      <c r="C1578" s="6" t="s">
        <v>85</v>
      </c>
      <c r="D1578" s="6" t="s">
        <v>6989</v>
      </c>
      <c r="E1578" s="3" t="str">
        <f t="shared" si="1"/>
        <v>greatly&lt;br&gt;&lt;div class="audio"&gt;[sound:greatly.mp3]&lt;/div&gt;</v>
      </c>
      <c r="F1578" s="3" t="str">
        <f t="shared" si="2"/>
        <v>(adv): đáng kể</v>
      </c>
      <c r="G1578" s="6" t="s">
        <v>43292</v>
      </c>
      <c r="H1578" s="6" t="s">
        <v>43293</v>
      </c>
      <c r="I1578" s="7">
        <f t="shared" si="3"/>
        <v>0.479405668</v>
      </c>
    </row>
    <row r="1579">
      <c r="A1579" s="4">
        <v>1579.0</v>
      </c>
      <c r="B1579" s="3" t="s">
        <v>43294</v>
      </c>
      <c r="C1579" s="6" t="s">
        <v>24</v>
      </c>
      <c r="D1579" s="6" t="s">
        <v>43295</v>
      </c>
      <c r="E1579" s="3" t="str">
        <f t="shared" si="1"/>
        <v>excuse&lt;br&gt;&lt;div class="audio"&gt;[sound:excuse.mp3]&lt;/div&gt;</v>
      </c>
      <c r="F1579" s="3" t="str">
        <f t="shared" si="2"/>
        <v>(v): tha lỗi</v>
      </c>
      <c r="G1579" s="6" t="s">
        <v>43296</v>
      </c>
      <c r="H1579" s="6" t="s">
        <v>43297</v>
      </c>
      <c r="I1579" s="7">
        <f t="shared" si="3"/>
        <v>0.7646211164</v>
      </c>
    </row>
    <row r="1580">
      <c r="A1580" s="4">
        <v>1580.0</v>
      </c>
      <c r="B1580" s="3" t="s">
        <v>43298</v>
      </c>
      <c r="C1580" s="6" t="s">
        <v>74</v>
      </c>
      <c r="D1580" s="6" t="s">
        <v>43299</v>
      </c>
      <c r="E1580" s="3" t="str">
        <f t="shared" si="1"/>
        <v>button&lt;br&gt;&lt;div class="audio"&gt;[sound:button.mp3]&lt;/div&gt;</v>
      </c>
      <c r="F1580" s="3" t="str">
        <f t="shared" si="2"/>
        <v>(n): cái nút</v>
      </c>
      <c r="G1580" s="6" t="s">
        <v>43300</v>
      </c>
      <c r="H1580" s="6" t="s">
        <v>43301</v>
      </c>
      <c r="I1580" s="7">
        <f t="shared" si="3"/>
        <v>0.9601491559</v>
      </c>
    </row>
    <row r="1581">
      <c r="A1581" s="4">
        <v>1581.0</v>
      </c>
      <c r="B1581" s="3" t="s">
        <v>43302</v>
      </c>
      <c r="C1581" s="6" t="s">
        <v>74</v>
      </c>
      <c r="D1581" s="6" t="s">
        <v>3791</v>
      </c>
      <c r="E1581" s="3" t="str">
        <f t="shared" si="1"/>
        <v>attitude&lt;br&gt;&lt;div class="audio"&gt;[sound:attitude.mp3]&lt;/div&gt;</v>
      </c>
      <c r="F1581" s="3" t="str">
        <f t="shared" si="2"/>
        <v>(n): thái độ</v>
      </c>
      <c r="G1581" s="6" t="s">
        <v>43303</v>
      </c>
      <c r="H1581" s="6" t="s">
        <v>43304</v>
      </c>
      <c r="I1581" s="7">
        <f t="shared" si="3"/>
        <v>0.6001911845</v>
      </c>
    </row>
    <row r="1582">
      <c r="A1582" s="4">
        <v>1582.0</v>
      </c>
      <c r="B1582" s="3" t="s">
        <v>43305</v>
      </c>
      <c r="C1582" s="6" t="s">
        <v>74</v>
      </c>
      <c r="D1582" s="6" t="s">
        <v>17394</v>
      </c>
      <c r="E1582" s="3" t="str">
        <f t="shared" si="1"/>
        <v>intelligence&lt;br&gt;&lt;div class="audio"&gt;[sound:intelligence.mp3]&lt;/div&gt;</v>
      </c>
      <c r="F1582" s="3" t="str">
        <f t="shared" si="2"/>
        <v>(n): trí tuệ</v>
      </c>
      <c r="G1582" s="6" t="s">
        <v>43306</v>
      </c>
      <c r="H1582" s="6" t="s">
        <v>43307</v>
      </c>
      <c r="I1582" s="7">
        <f t="shared" si="3"/>
        <v>0.9083566274</v>
      </c>
    </row>
    <row r="1583">
      <c r="A1583" s="4">
        <v>1583.0</v>
      </c>
      <c r="B1583" s="3" t="s">
        <v>43308</v>
      </c>
      <c r="C1583" s="6" t="s">
        <v>74</v>
      </c>
      <c r="D1583" s="6" t="s">
        <v>43309</v>
      </c>
      <c r="E1583" s="3" t="str">
        <f t="shared" si="1"/>
        <v>artist&lt;br&gt;&lt;div class="audio"&gt;[sound:artist.mp3]&lt;/div&gt;</v>
      </c>
      <c r="F1583" s="3" t="str">
        <f t="shared" si="2"/>
        <v>(n): nghệ sĩ</v>
      </c>
      <c r="G1583" s="6" t="s">
        <v>43310</v>
      </c>
      <c r="H1583" s="6" t="s">
        <v>43311</v>
      </c>
      <c r="I1583" s="7">
        <f t="shared" si="3"/>
        <v>0.2003267934</v>
      </c>
    </row>
    <row r="1584">
      <c r="A1584" s="4">
        <v>1584.0</v>
      </c>
      <c r="B1584" s="3" t="s">
        <v>43312</v>
      </c>
      <c r="C1584" s="6" t="s">
        <v>74</v>
      </c>
      <c r="D1584" s="6" t="s">
        <v>43313</v>
      </c>
      <c r="E1584" s="3" t="str">
        <f t="shared" si="1"/>
        <v>incident&lt;br&gt;&lt;div class="audio"&gt;[sound:incident.mp3]&lt;/div&gt;</v>
      </c>
      <c r="F1584" s="3" t="str">
        <f t="shared" si="2"/>
        <v>(n): vụ việc</v>
      </c>
      <c r="G1584" s="6" t="s">
        <v>43314</v>
      </c>
      <c r="H1584" s="6" t="s">
        <v>43315</v>
      </c>
      <c r="I1584" s="7">
        <f t="shared" si="3"/>
        <v>0.6492915128</v>
      </c>
    </row>
    <row r="1585">
      <c r="A1585" s="4">
        <v>1585.0</v>
      </c>
      <c r="B1585" s="3" t="s">
        <v>43316</v>
      </c>
      <c r="C1585" s="6" t="s">
        <v>74</v>
      </c>
      <c r="D1585" s="6" t="s">
        <v>11364</v>
      </c>
      <c r="E1585" s="3" t="str">
        <f t="shared" si="1"/>
        <v>engine&lt;br&gt;&lt;div class="audio"&gt;[sound:engine.mp3]&lt;/div&gt;</v>
      </c>
      <c r="F1585" s="3" t="str">
        <f t="shared" si="2"/>
        <v>(n): động cơ</v>
      </c>
      <c r="G1585" s="6" t="s">
        <v>43317</v>
      </c>
      <c r="H1585" s="6" t="s">
        <v>43318</v>
      </c>
      <c r="I1585" s="7">
        <f t="shared" si="3"/>
        <v>0.5941054032</v>
      </c>
    </row>
    <row r="1586">
      <c r="A1586" s="4">
        <v>1586.0</v>
      </c>
      <c r="B1586" s="3" t="s">
        <v>43319</v>
      </c>
      <c r="C1586" s="6" t="s">
        <v>74</v>
      </c>
      <c r="D1586" s="6" t="s">
        <v>26597</v>
      </c>
      <c r="E1586" s="3" t="str">
        <f t="shared" si="1"/>
        <v>host&lt;br&gt;&lt;div class="audio"&gt;[sound:host.mp3]&lt;/div&gt;</v>
      </c>
      <c r="F1586" s="3" t="str">
        <f t="shared" si="2"/>
        <v>(n): chủ nhà</v>
      </c>
      <c r="G1586" s="6" t="s">
        <v>43320</v>
      </c>
      <c r="H1586" s="6" t="s">
        <v>43321</v>
      </c>
      <c r="I1586" s="7">
        <f t="shared" si="3"/>
        <v>0.05432307302</v>
      </c>
    </row>
    <row r="1587">
      <c r="A1587" s="4">
        <v>1587.0</v>
      </c>
      <c r="B1587" s="3" t="s">
        <v>43322</v>
      </c>
      <c r="C1587" s="6" t="s">
        <v>74</v>
      </c>
      <c r="D1587" s="6" t="s">
        <v>43323</v>
      </c>
      <c r="E1587" s="3" t="str">
        <f t="shared" si="1"/>
        <v>lawyer&lt;br&gt;&lt;div class="audio"&gt;[sound:lawyer.mp3]&lt;/div&gt;</v>
      </c>
      <c r="F1587" s="3" t="str">
        <f t="shared" si="2"/>
        <v>(n): luật sư</v>
      </c>
      <c r="G1587" s="6" t="s">
        <v>43324</v>
      </c>
      <c r="H1587" s="6" t="s">
        <v>43325</v>
      </c>
      <c r="I1587" s="7">
        <f t="shared" si="3"/>
        <v>0.5106277229</v>
      </c>
    </row>
    <row r="1588">
      <c r="A1588" s="4">
        <v>1588.0</v>
      </c>
      <c r="B1588" s="3" t="s">
        <v>43326</v>
      </c>
      <c r="C1588" s="6" t="s">
        <v>11</v>
      </c>
      <c r="D1588" s="6" t="s">
        <v>31741</v>
      </c>
      <c r="E1588" s="3" t="str">
        <f t="shared" si="1"/>
        <v>broken&lt;br&gt;&lt;div class="audio"&gt;[sound:broken.mp3]&lt;/div&gt;</v>
      </c>
      <c r="F1588" s="3" t="str">
        <f t="shared" si="2"/>
        <v>(adj): bị hỏng</v>
      </c>
      <c r="G1588" s="6" t="s">
        <v>43327</v>
      </c>
      <c r="H1588" s="6" t="s">
        <v>43328</v>
      </c>
      <c r="I1588" s="7">
        <f t="shared" si="3"/>
        <v>0.68466517</v>
      </c>
    </row>
    <row r="1589">
      <c r="A1589" s="4">
        <v>1589.0</v>
      </c>
      <c r="B1589" s="3" t="s">
        <v>43329</v>
      </c>
      <c r="C1589" s="6" t="s">
        <v>74</v>
      </c>
      <c r="D1589" s="6" t="s">
        <v>7078</v>
      </c>
      <c r="E1589" s="3" t="str">
        <f t="shared" si="1"/>
        <v>proposal&lt;br&gt;&lt;div class="audio"&gt;[sound:proposal.mp3]&lt;/div&gt;</v>
      </c>
      <c r="F1589" s="3" t="str">
        <f t="shared" si="2"/>
        <v>(n): đề xuất</v>
      </c>
      <c r="G1589" s="6" t="s">
        <v>43330</v>
      </c>
      <c r="H1589" s="6" t="s">
        <v>43331</v>
      </c>
      <c r="I1589" s="7">
        <f t="shared" si="3"/>
        <v>0.7221663172</v>
      </c>
    </row>
    <row r="1590">
      <c r="A1590" s="4">
        <v>1590.0</v>
      </c>
      <c r="B1590" s="3" t="s">
        <v>43332</v>
      </c>
      <c r="C1590" s="6" t="s">
        <v>24</v>
      </c>
      <c r="D1590" s="6" t="s">
        <v>18007</v>
      </c>
      <c r="E1590" s="3" t="str">
        <f t="shared" si="1"/>
        <v>capture&lt;br&gt;&lt;div class="audio"&gt;[sound:capture.mp3]&lt;/div&gt;</v>
      </c>
      <c r="F1590" s="3" t="str">
        <f t="shared" si="2"/>
        <v>(v): bắt giữ</v>
      </c>
      <c r="G1590" s="6" t="s">
        <v>43333</v>
      </c>
      <c r="H1590" s="6" t="s">
        <v>43334</v>
      </c>
      <c r="I1590" s="7">
        <f t="shared" si="3"/>
        <v>0.6083321853</v>
      </c>
    </row>
    <row r="1591">
      <c r="A1591" s="4">
        <v>1591.0</v>
      </c>
      <c r="B1591" s="3" t="s">
        <v>43335</v>
      </c>
      <c r="C1591" s="6" t="s">
        <v>74</v>
      </c>
      <c r="D1591" s="6" t="s">
        <v>43336</v>
      </c>
      <c r="E1591" s="3" t="str">
        <f t="shared" si="1"/>
        <v>bomb&lt;br&gt;&lt;div class="audio"&gt;[sound:bomb.mp3]&lt;/div&gt;</v>
      </c>
      <c r="F1591" s="3" t="str">
        <f t="shared" si="2"/>
        <v>(n): quả bom</v>
      </c>
      <c r="G1591" s="6" t="s">
        <v>43337</v>
      </c>
      <c r="H1591" s="6" t="s">
        <v>43338</v>
      </c>
      <c r="I1591" s="7">
        <f t="shared" si="3"/>
        <v>0.4797226314</v>
      </c>
    </row>
    <row r="1592">
      <c r="A1592" s="4">
        <v>1592.0</v>
      </c>
      <c r="B1592" s="3" t="s">
        <v>43339</v>
      </c>
      <c r="C1592" s="6" t="s">
        <v>74</v>
      </c>
      <c r="D1592" s="8" t="s">
        <v>21420</v>
      </c>
      <c r="E1592" s="3" t="str">
        <f t="shared" si="1"/>
        <v>shore&lt;br&gt;&lt;div class="audio"&gt;[sound:shore.mp3]&lt;/div&gt;</v>
      </c>
      <c r="F1592" s="3" t="str">
        <f t="shared" si="2"/>
        <v>(n): bờ biển</v>
      </c>
      <c r="G1592" s="8" t="s">
        <v>43340</v>
      </c>
      <c r="H1592" s="8" t="s">
        <v>43341</v>
      </c>
      <c r="I1592" s="7">
        <f t="shared" si="3"/>
        <v>0.2047969001</v>
      </c>
    </row>
    <row r="1593">
      <c r="A1593" s="4">
        <v>1593.0</v>
      </c>
      <c r="B1593" s="3" t="s">
        <v>43342</v>
      </c>
      <c r="C1593" s="6" t="s">
        <v>74</v>
      </c>
      <c r="D1593" s="6" t="s">
        <v>3216</v>
      </c>
      <c r="E1593" s="3" t="str">
        <f t="shared" si="1"/>
        <v>factory&lt;br&gt;&lt;div class="audio"&gt;[sound:factory.mp3]&lt;/div&gt;</v>
      </c>
      <c r="F1593" s="3" t="str">
        <f t="shared" si="2"/>
        <v>(n): nhà máy</v>
      </c>
      <c r="G1593" s="6" t="s">
        <v>43343</v>
      </c>
      <c r="H1593" s="6" t="s">
        <v>43344</v>
      </c>
      <c r="I1593" s="7">
        <f t="shared" si="3"/>
        <v>0.6430771225</v>
      </c>
    </row>
    <row r="1594">
      <c r="A1594" s="4">
        <v>1594.0</v>
      </c>
      <c r="B1594" s="3" t="s">
        <v>43345</v>
      </c>
      <c r="C1594" s="6" t="s">
        <v>11</v>
      </c>
      <c r="D1594" s="6" t="s">
        <v>14138</v>
      </c>
      <c r="E1594" s="3" t="str">
        <f t="shared" si="1"/>
        <v>chemical&lt;br&gt;&lt;div class="audio"&gt;[sound:chemical.mp3]&lt;/div&gt;</v>
      </c>
      <c r="F1594" s="3" t="str">
        <f t="shared" si="2"/>
        <v>(adj): hóa học</v>
      </c>
      <c r="G1594" s="6" t="s">
        <v>43346</v>
      </c>
      <c r="H1594" s="6" t="s">
        <v>43347</v>
      </c>
      <c r="I1594" s="7">
        <f t="shared" si="3"/>
        <v>0.01227175671</v>
      </c>
    </row>
    <row r="1595">
      <c r="A1595" s="4">
        <v>1595.0</v>
      </c>
      <c r="B1595" s="3" t="s">
        <v>43348</v>
      </c>
      <c r="C1595" s="6" t="s">
        <v>74</v>
      </c>
      <c r="D1595" s="6" t="s">
        <v>32272</v>
      </c>
      <c r="E1595" s="3" t="str">
        <f t="shared" si="1"/>
        <v>model&lt;br&gt;&lt;div class="audio"&gt;[sound:model.mp3]&lt;/div&gt;</v>
      </c>
      <c r="F1595" s="3" t="str">
        <f t="shared" si="2"/>
        <v>(n): mô hình</v>
      </c>
      <c r="G1595" s="6" t="s">
        <v>43349</v>
      </c>
      <c r="H1595" s="6" t="s">
        <v>43350</v>
      </c>
      <c r="I1595" s="7">
        <f t="shared" si="3"/>
        <v>0.3708332116</v>
      </c>
    </row>
    <row r="1596">
      <c r="A1596" s="4">
        <v>1596.0</v>
      </c>
      <c r="B1596" s="3" t="s">
        <v>43351</v>
      </c>
      <c r="C1596" s="6" t="s">
        <v>74</v>
      </c>
      <c r="D1596" s="6" t="s">
        <v>9710</v>
      </c>
      <c r="E1596" s="3" t="str">
        <f t="shared" si="1"/>
        <v>lesson&lt;br&gt;&lt;div class="audio"&gt;[sound:lesson.mp3]&lt;/div&gt;</v>
      </c>
      <c r="F1596" s="3" t="str">
        <f t="shared" si="2"/>
        <v>(n): bài học</v>
      </c>
      <c r="G1596" s="6" t="s">
        <v>43352</v>
      </c>
      <c r="H1596" s="6" t="s">
        <v>43353</v>
      </c>
      <c r="I1596" s="7">
        <f t="shared" si="3"/>
        <v>0.6769483854</v>
      </c>
    </row>
    <row r="1597">
      <c r="A1597" s="4">
        <v>1597.0</v>
      </c>
      <c r="B1597" s="3" t="s">
        <v>43354</v>
      </c>
      <c r="C1597" s="6" t="s">
        <v>24</v>
      </c>
      <c r="D1597" s="6" t="s">
        <v>4134</v>
      </c>
      <c r="E1597" s="3" t="str">
        <f t="shared" si="1"/>
        <v>expand&lt;br&gt;&lt;div class="audio"&gt;[sound:expand.mp3]&lt;/div&gt;</v>
      </c>
      <c r="F1597" s="3" t="str">
        <f t="shared" si="2"/>
        <v>(v): mở rộng</v>
      </c>
      <c r="G1597" s="6" t="s">
        <v>43355</v>
      </c>
      <c r="H1597" s="6" t="s">
        <v>43356</v>
      </c>
      <c r="I1597" s="7">
        <f t="shared" si="3"/>
        <v>0.9982119637</v>
      </c>
    </row>
    <row r="1598">
      <c r="A1598" s="4">
        <v>1598.0</v>
      </c>
      <c r="B1598" s="3" t="s">
        <v>43357</v>
      </c>
      <c r="C1598" s="6" t="s">
        <v>11</v>
      </c>
      <c r="D1598" s="8" t="s">
        <v>6989</v>
      </c>
      <c r="E1598" s="3" t="str">
        <f t="shared" si="1"/>
        <v>substantial&lt;br&gt;&lt;div class="audio"&gt;[sound:substantial.mp3]&lt;/div&gt;</v>
      </c>
      <c r="F1598" s="3" t="str">
        <f t="shared" si="2"/>
        <v>(adj): đáng kể</v>
      </c>
      <c r="G1598" s="8" t="s">
        <v>43358</v>
      </c>
      <c r="H1598" s="8" t="s">
        <v>43359</v>
      </c>
      <c r="I1598" s="7">
        <f t="shared" si="3"/>
        <v>0.4774290366</v>
      </c>
    </row>
    <row r="1599">
      <c r="A1599" s="4">
        <v>1599.0</v>
      </c>
      <c r="B1599" s="3" t="s">
        <v>43360</v>
      </c>
      <c r="C1599" s="6" t="s">
        <v>74</v>
      </c>
      <c r="D1599" s="6" t="s">
        <v>27187</v>
      </c>
      <c r="E1599" s="3" t="str">
        <f t="shared" si="1"/>
        <v>theatre&lt;br&gt;&lt;div class="audio"&gt;[sound:theatre.mp3]&lt;/div&gt;</v>
      </c>
      <c r="F1599" s="3" t="str">
        <f t="shared" si="2"/>
        <v>(n): nhà hát</v>
      </c>
      <c r="G1599" s="6" t="s">
        <v>43361</v>
      </c>
      <c r="H1599" s="6" t="s">
        <v>43362</v>
      </c>
      <c r="I1599" s="7">
        <f t="shared" si="3"/>
        <v>0.7697726664</v>
      </c>
    </row>
    <row r="1600">
      <c r="A1600" s="4">
        <v>1600.0</v>
      </c>
      <c r="B1600" s="3" t="s">
        <v>43363</v>
      </c>
      <c r="C1600" s="6" t="s">
        <v>11</v>
      </c>
      <c r="D1600" s="6" t="s">
        <v>1897</v>
      </c>
      <c r="E1600" s="3" t="str">
        <f t="shared" si="1"/>
        <v>actual&lt;br&gt;&lt;div class="audio"&gt;[sound:actual.mp3]&lt;/div&gt;</v>
      </c>
      <c r="F1600" s="3" t="str">
        <f t="shared" si="2"/>
        <v>(adj): thực tế</v>
      </c>
      <c r="G1600" s="6" t="s">
        <v>43364</v>
      </c>
      <c r="H1600" s="6" t="s">
        <v>43365</v>
      </c>
      <c r="I1600" s="7">
        <f t="shared" si="3"/>
        <v>0.9445994395</v>
      </c>
    </row>
    <row r="1601">
      <c r="A1601" s="4">
        <v>1601.0</v>
      </c>
      <c r="B1601" s="3" t="s">
        <v>43366</v>
      </c>
      <c r="C1601" s="6" t="s">
        <v>74</v>
      </c>
      <c r="D1601" s="6" t="s">
        <v>4608</v>
      </c>
      <c r="E1601" s="3" t="str">
        <f t="shared" si="1"/>
        <v>requirement&lt;br&gt;&lt;div class="audio"&gt;[sound:requirement.mp3]&lt;/div&gt;</v>
      </c>
      <c r="F1601" s="3" t="str">
        <f t="shared" si="2"/>
        <v>(n): yêu cầu</v>
      </c>
      <c r="G1601" s="6" t="s">
        <v>43367</v>
      </c>
      <c r="H1601" s="6" t="s">
        <v>43368</v>
      </c>
      <c r="I1601" s="7">
        <f t="shared" si="3"/>
        <v>0.3922565431</v>
      </c>
    </row>
    <row r="1602">
      <c r="A1602" s="4">
        <v>1602.0</v>
      </c>
      <c r="B1602" s="3" t="s">
        <v>43369</v>
      </c>
      <c r="C1602" s="6" t="s">
        <v>74</v>
      </c>
      <c r="D1602" s="6" t="s">
        <v>13727</v>
      </c>
      <c r="E1602" s="3" t="str">
        <f t="shared" si="1"/>
        <v>author&lt;br&gt;&lt;div class="audio"&gt;[sound:author.mp3]&lt;/div&gt;</v>
      </c>
      <c r="F1602" s="3" t="str">
        <f t="shared" si="2"/>
        <v>(n): tác giả</v>
      </c>
      <c r="G1602" s="6" t="s">
        <v>43370</v>
      </c>
      <c r="H1602" s="6" t="s">
        <v>43371</v>
      </c>
      <c r="I1602" s="7">
        <f t="shared" si="3"/>
        <v>0.3290841701</v>
      </c>
    </row>
    <row r="1603">
      <c r="A1603" s="4">
        <v>1603.0</v>
      </c>
      <c r="B1603" s="3" t="s">
        <v>43372</v>
      </c>
      <c r="C1603" s="6" t="s">
        <v>24</v>
      </c>
      <c r="D1603" s="6" t="s">
        <v>7868</v>
      </c>
      <c r="E1603" s="3" t="str">
        <f t="shared" si="1"/>
        <v>rely&lt;br&gt;&lt;div class="audio"&gt;[sound:rely.mp3]&lt;/div&gt;</v>
      </c>
      <c r="F1603" s="3" t="str">
        <f t="shared" si="2"/>
        <v>(v): tin cậy</v>
      </c>
      <c r="G1603" s="6" t="s">
        <v>43373</v>
      </c>
      <c r="H1603" s="6" t="s">
        <v>43374</v>
      </c>
      <c r="I1603" s="7">
        <f t="shared" si="3"/>
        <v>0.3639513698</v>
      </c>
    </row>
    <row r="1604">
      <c r="A1604" s="4">
        <v>1604.0</v>
      </c>
      <c r="B1604" s="3" t="s">
        <v>43375</v>
      </c>
      <c r="C1604" s="6" t="s">
        <v>11</v>
      </c>
      <c r="D1604" s="6" t="s">
        <v>43376</v>
      </c>
      <c r="E1604" s="3" t="str">
        <f t="shared" si="1"/>
        <v>confident&lt;br&gt;&lt;div class="audio"&gt;[sound:confident.mp3]&lt;/div&gt;</v>
      </c>
      <c r="F1604" s="3" t="str">
        <f t="shared" si="2"/>
        <v>(adj): tự tin</v>
      </c>
      <c r="G1604" s="6" t="s">
        <v>43377</v>
      </c>
      <c r="H1604" s="6" t="s">
        <v>43378</v>
      </c>
      <c r="I1604" s="7">
        <f t="shared" si="3"/>
        <v>0.2150760215</v>
      </c>
    </row>
    <row r="1605">
      <c r="A1605" s="4">
        <v>1605.0</v>
      </c>
      <c r="B1605" s="3" t="s">
        <v>43379</v>
      </c>
      <c r="C1605" s="6" t="s">
        <v>74</v>
      </c>
      <c r="D1605" s="6" t="s">
        <v>13945</v>
      </c>
      <c r="E1605" s="3" t="str">
        <f t="shared" si="1"/>
        <v>enemy&lt;br&gt;&lt;div class="audio"&gt;[sound:enemy.mp3]&lt;/div&gt;</v>
      </c>
      <c r="F1605" s="3" t="str">
        <f t="shared" si="2"/>
        <v>(n): kẻ thù</v>
      </c>
      <c r="G1605" s="6" t="s">
        <v>43380</v>
      </c>
      <c r="H1605" s="6" t="s">
        <v>43381</v>
      </c>
      <c r="I1605" s="7">
        <f t="shared" si="3"/>
        <v>0.8590448597</v>
      </c>
    </row>
    <row r="1606">
      <c r="A1606" s="4">
        <v>1606.0</v>
      </c>
      <c r="B1606" s="3" t="s">
        <v>43382</v>
      </c>
      <c r="C1606" s="6" t="s">
        <v>11</v>
      </c>
      <c r="D1606" s="6" t="s">
        <v>43383</v>
      </c>
      <c r="E1606" s="3" t="str">
        <f t="shared" si="1"/>
        <v>lost&lt;br&gt;&lt;div class="audio"&gt;[sound:lost.mp3]&lt;/div&gt;</v>
      </c>
      <c r="F1606" s="3" t="str">
        <f t="shared" si="2"/>
        <v>(adj): bị lạc</v>
      </c>
      <c r="G1606" s="6" t="s">
        <v>43384</v>
      </c>
      <c r="H1606" s="6" t="s">
        <v>43385</v>
      </c>
      <c r="I1606" s="7">
        <f t="shared" si="3"/>
        <v>0.3987463024</v>
      </c>
    </row>
    <row r="1607">
      <c r="A1607" s="4">
        <v>1607.0</v>
      </c>
      <c r="B1607" s="3" t="s">
        <v>43386</v>
      </c>
      <c r="C1607" s="6" t="s">
        <v>24</v>
      </c>
      <c r="D1607" s="6" t="s">
        <v>17564</v>
      </c>
      <c r="E1607" s="3" t="str">
        <f t="shared" si="1"/>
        <v>recommend&lt;br&gt;&lt;div class="audio"&gt;[sound:recommend.mp3]&lt;/div&gt;</v>
      </c>
      <c r="F1607" s="3" t="str">
        <f t="shared" si="2"/>
        <v>(v): khuyên</v>
      </c>
      <c r="G1607" s="6" t="s">
        <v>43387</v>
      </c>
      <c r="H1607" s="6" t="s">
        <v>43388</v>
      </c>
      <c r="I1607" s="7">
        <f t="shared" si="3"/>
        <v>0.6891988399</v>
      </c>
    </row>
    <row r="1608">
      <c r="A1608" s="4">
        <v>1608.0</v>
      </c>
      <c r="B1608" s="3" t="s">
        <v>43389</v>
      </c>
      <c r="C1608" s="6" t="s">
        <v>11</v>
      </c>
      <c r="D1608" s="6" t="s">
        <v>4632</v>
      </c>
      <c r="E1608" s="3" t="str">
        <f t="shared" si="1"/>
        <v>internal&lt;br&gt;&lt;div class="audio"&gt;[sound:internal.mp3]&lt;/div&gt;</v>
      </c>
      <c r="F1608" s="3" t="str">
        <f t="shared" si="2"/>
        <v>(adj): nội bộ</v>
      </c>
      <c r="G1608" s="6" t="s">
        <v>43390</v>
      </c>
      <c r="H1608" s="6" t="s">
        <v>43391</v>
      </c>
      <c r="I1608" s="7">
        <f t="shared" si="3"/>
        <v>0.2777583923</v>
      </c>
    </row>
    <row r="1609">
      <c r="A1609" s="4">
        <v>1609.0</v>
      </c>
      <c r="B1609" s="3" t="s">
        <v>43392</v>
      </c>
      <c r="C1609" s="6" t="s">
        <v>85</v>
      </c>
      <c r="D1609" s="6" t="s">
        <v>4638</v>
      </c>
      <c r="E1609" s="3" t="str">
        <f t="shared" si="1"/>
        <v>incredibly&lt;br&gt;&lt;div class="audio"&gt;[sound:incredibly.mp3]&lt;/div&gt;</v>
      </c>
      <c r="F1609" s="3" t="str">
        <f t="shared" si="2"/>
        <v>(adv): cực kỳ</v>
      </c>
      <c r="G1609" s="6" t="s">
        <v>43393</v>
      </c>
      <c r="H1609" s="6" t="s">
        <v>43394</v>
      </c>
      <c r="I1609" s="7">
        <f t="shared" si="3"/>
        <v>0.8239749297</v>
      </c>
    </row>
    <row r="1610">
      <c r="A1610" s="4">
        <v>1610.0</v>
      </c>
      <c r="B1610" s="3" t="s">
        <v>43395</v>
      </c>
      <c r="C1610" s="6" t="s">
        <v>74</v>
      </c>
      <c r="D1610" s="6" t="s">
        <v>6188</v>
      </c>
      <c r="E1610" s="3" t="str">
        <f t="shared" si="1"/>
        <v>exam&lt;br&gt;&lt;div class="audio"&gt;[sound:exam.mp3]&lt;/div&gt;</v>
      </c>
      <c r="F1610" s="3" t="str">
        <f t="shared" si="2"/>
        <v>(n): kỳ thi</v>
      </c>
      <c r="G1610" s="6" t="s">
        <v>43396</v>
      </c>
      <c r="H1610" s="6" t="s">
        <v>43397</v>
      </c>
      <c r="I1610" s="7">
        <f t="shared" si="3"/>
        <v>0.7998784468</v>
      </c>
    </row>
    <row r="1611">
      <c r="A1611" s="4">
        <v>1611.0</v>
      </c>
      <c r="B1611" s="3" t="s">
        <v>43398</v>
      </c>
      <c r="C1611" s="6" t="s">
        <v>11</v>
      </c>
      <c r="D1611" s="6" t="s">
        <v>43399</v>
      </c>
      <c r="E1611" s="3" t="str">
        <f t="shared" si="1"/>
        <v>tiny&lt;br&gt;&lt;div class="audio"&gt;[sound:tiny.mp3]&lt;/div&gt;</v>
      </c>
      <c r="F1611" s="3" t="str">
        <f t="shared" si="2"/>
        <v>(adj): nhỏ bé</v>
      </c>
      <c r="G1611" s="6" t="s">
        <v>43400</v>
      </c>
      <c r="H1611" s="6" t="s">
        <v>43401</v>
      </c>
      <c r="I1611" s="7">
        <f t="shared" si="3"/>
        <v>0.8738516683</v>
      </c>
    </row>
    <row r="1612">
      <c r="A1612" s="4">
        <v>1612.0</v>
      </c>
      <c r="B1612" s="3" t="s">
        <v>43402</v>
      </c>
      <c r="C1612" s="6" t="s">
        <v>74</v>
      </c>
      <c r="D1612" s="6" t="s">
        <v>2581</v>
      </c>
      <c r="E1612" s="3" t="str">
        <f t="shared" si="1"/>
        <v>beauty&lt;br&gt;&lt;div class="audio"&gt;[sound:beauty.mp3]&lt;/div&gt;</v>
      </c>
      <c r="F1612" s="3" t="str">
        <f t="shared" si="2"/>
        <v>(n): vẻ đẹp</v>
      </c>
      <c r="G1612" s="6" t="s">
        <v>43403</v>
      </c>
      <c r="H1612" s="6" t="s">
        <v>43404</v>
      </c>
      <c r="I1612" s="7">
        <f t="shared" si="3"/>
        <v>0.4356883005</v>
      </c>
    </row>
    <row r="1613">
      <c r="A1613" s="4">
        <v>1613.0</v>
      </c>
      <c r="B1613" s="3" t="s">
        <v>43405</v>
      </c>
      <c r="C1613" s="6" t="s">
        <v>74</v>
      </c>
      <c r="D1613" s="6" t="s">
        <v>109</v>
      </c>
      <c r="E1613" s="3" t="str">
        <f t="shared" si="1"/>
        <v>affair&lt;br&gt;&lt;div class="audio"&gt;[sound:affair.mp3]&lt;/div&gt;</v>
      </c>
      <c r="F1613" s="3" t="str">
        <f t="shared" si="2"/>
        <v>(n): vấn đề</v>
      </c>
      <c r="G1613" s="6" t="s">
        <v>43406</v>
      </c>
      <c r="H1613" s="6" t="s">
        <v>43407</v>
      </c>
      <c r="I1613" s="7">
        <f t="shared" si="3"/>
        <v>0.2745822671</v>
      </c>
    </row>
    <row r="1614">
      <c r="A1614" s="4">
        <v>1614.0</v>
      </c>
      <c r="B1614" s="3" t="s">
        <v>43408</v>
      </c>
      <c r="C1614" s="6" t="s">
        <v>74</v>
      </c>
      <c r="D1614" s="6" t="s">
        <v>42232</v>
      </c>
      <c r="E1614" s="3" t="str">
        <f t="shared" si="1"/>
        <v>commission&lt;br&gt;&lt;div class="audio"&gt;[sound:commission.mp3]&lt;/div&gt;</v>
      </c>
      <c r="F1614" s="3" t="str">
        <f t="shared" si="2"/>
        <v>(n): ủy ban</v>
      </c>
      <c r="G1614" s="6" t="s">
        <v>43409</v>
      </c>
      <c r="H1614" s="6" t="s">
        <v>43410</v>
      </c>
      <c r="I1614" s="7">
        <f t="shared" si="3"/>
        <v>0.4434646099</v>
      </c>
    </row>
    <row r="1615">
      <c r="A1615" s="4">
        <v>1615.0</v>
      </c>
      <c r="B1615" s="3" t="s">
        <v>43411</v>
      </c>
      <c r="C1615" s="6" t="s">
        <v>74</v>
      </c>
      <c r="D1615" s="6" t="s">
        <v>8099</v>
      </c>
      <c r="E1615" s="3" t="str">
        <f t="shared" si="1"/>
        <v>guard&lt;br&gt;&lt;div class="audio"&gt;[sound:guard.mp3]&lt;/div&gt;</v>
      </c>
      <c r="F1615" s="3" t="str">
        <f t="shared" si="2"/>
        <v>(n): bảo vệ</v>
      </c>
      <c r="G1615" s="6" t="s">
        <v>43412</v>
      </c>
      <c r="H1615" s="6" t="s">
        <v>43413</v>
      </c>
      <c r="I1615" s="7">
        <f t="shared" si="3"/>
        <v>0.06287688284</v>
      </c>
    </row>
    <row r="1616">
      <c r="A1616" s="4">
        <v>1616.0</v>
      </c>
      <c r="B1616" s="3" t="s">
        <v>43414</v>
      </c>
      <c r="C1616" s="6" t="s">
        <v>74</v>
      </c>
      <c r="D1616" s="6" t="s">
        <v>26748</v>
      </c>
      <c r="E1616" s="3" t="str">
        <f t="shared" si="1"/>
        <v>lady&lt;br&gt;&lt;div class="audio"&gt;[sound:lady.mp3]&lt;/div&gt;</v>
      </c>
      <c r="F1616" s="3" t="str">
        <f t="shared" si="2"/>
        <v>(n): quý bà</v>
      </c>
      <c r="G1616" s="6" t="s">
        <v>43415</v>
      </c>
      <c r="H1616" s="6" t="s">
        <v>43416</v>
      </c>
      <c r="I1616" s="7">
        <f t="shared" si="3"/>
        <v>0.7320264684</v>
      </c>
    </row>
    <row r="1617">
      <c r="A1617" s="4">
        <v>1617.0</v>
      </c>
      <c r="B1617" s="3" t="s">
        <v>43417</v>
      </c>
      <c r="C1617" s="6" t="s">
        <v>74</v>
      </c>
      <c r="D1617" s="8" t="s">
        <v>43418</v>
      </c>
      <c r="E1617" s="3" t="str">
        <f t="shared" si="1"/>
        <v>shock&lt;br&gt;&lt;div class="audio"&gt;[sound:shock.mp3]&lt;/div&gt;</v>
      </c>
      <c r="F1617" s="3" t="str">
        <f t="shared" si="2"/>
        <v>(n): cú sốc</v>
      </c>
      <c r="G1617" s="8" t="s">
        <v>43419</v>
      </c>
      <c r="H1617" s="8" t="s">
        <v>43420</v>
      </c>
      <c r="I1617" s="7">
        <f t="shared" si="3"/>
        <v>0.7072944803</v>
      </c>
    </row>
    <row r="1618">
      <c r="A1618" s="4">
        <v>1618.0</v>
      </c>
      <c r="B1618" s="3" t="s">
        <v>43421</v>
      </c>
      <c r="C1618" s="6" t="s">
        <v>74</v>
      </c>
      <c r="D1618" s="6" t="s">
        <v>2593</v>
      </c>
      <c r="E1618" s="3" t="str">
        <f t="shared" si="1"/>
        <v>scale&lt;br&gt;&lt;div class="audio"&gt;[sound:scale.mp3]&lt;/div&gt;</v>
      </c>
      <c r="F1618" s="3" t="str">
        <f t="shared" si="2"/>
        <v>(n): quy mô</v>
      </c>
      <c r="G1618" s="6" t="s">
        <v>43422</v>
      </c>
      <c r="H1618" s="6" t="s">
        <v>43423</v>
      </c>
      <c r="I1618" s="7">
        <f t="shared" si="3"/>
        <v>0.07653111584</v>
      </c>
    </row>
    <row r="1619">
      <c r="A1619" s="4">
        <v>1619.0</v>
      </c>
      <c r="B1619" s="3" t="s">
        <v>43424</v>
      </c>
      <c r="C1619" s="6" t="s">
        <v>11</v>
      </c>
      <c r="D1619" s="6" t="s">
        <v>30847</v>
      </c>
      <c r="E1619" s="3" t="str">
        <f t="shared" si="1"/>
        <v>enormous&lt;br&gt;&lt;div class="audio"&gt;[sound:enormous.mp3]&lt;/div&gt;</v>
      </c>
      <c r="F1619" s="3" t="str">
        <f t="shared" si="2"/>
        <v>(adj): to lớn</v>
      </c>
      <c r="G1619" s="6" t="s">
        <v>43425</v>
      </c>
      <c r="H1619" s="6" t="s">
        <v>43426</v>
      </c>
      <c r="I1619" s="7">
        <f t="shared" si="3"/>
        <v>0.5143711307</v>
      </c>
    </row>
    <row r="1620">
      <c r="A1620" s="4">
        <v>1620.0</v>
      </c>
      <c r="B1620" s="3" t="s">
        <v>43427</v>
      </c>
      <c r="C1620" s="6" t="s">
        <v>11</v>
      </c>
      <c r="D1620" s="6" t="s">
        <v>43428</v>
      </c>
      <c r="E1620" s="3" t="str">
        <f t="shared" si="1"/>
        <v>worse&lt;br&gt;&lt;div class="audio"&gt;[sound:worse.mp3]&lt;/div&gt;</v>
      </c>
      <c r="F1620" s="3" t="str">
        <f t="shared" si="2"/>
        <v>(adj): tệ hơn</v>
      </c>
      <c r="G1620" s="6" t="s">
        <v>43429</v>
      </c>
      <c r="H1620" s="6" t="s">
        <v>43430</v>
      </c>
      <c r="I1620" s="7">
        <f t="shared" si="3"/>
        <v>0.0576946996</v>
      </c>
    </row>
    <row r="1621">
      <c r="A1621" s="4">
        <v>1621.0</v>
      </c>
      <c r="B1621" s="3" t="s">
        <v>43431</v>
      </c>
      <c r="C1621" s="6" t="s">
        <v>74</v>
      </c>
      <c r="D1621" s="6" t="s">
        <v>43432</v>
      </c>
      <c r="E1621" s="3" t="str">
        <f t="shared" si="1"/>
        <v>implication&lt;br&gt;&lt;div class="audio"&gt;[sound:implication.mp3]&lt;/div&gt;</v>
      </c>
      <c r="F1621" s="3" t="str">
        <f t="shared" si="2"/>
        <v>(n): hệ quả</v>
      </c>
      <c r="G1621" s="6" t="s">
        <v>43433</v>
      </c>
      <c r="H1621" s="6" t="s">
        <v>43434</v>
      </c>
      <c r="I1621" s="7">
        <f t="shared" si="3"/>
        <v>0.4310860064</v>
      </c>
    </row>
    <row r="1622">
      <c r="A1622" s="4">
        <v>1622.0</v>
      </c>
      <c r="B1622" s="3" t="s">
        <v>6596</v>
      </c>
      <c r="C1622" s="6" t="s">
        <v>74</v>
      </c>
      <c r="D1622" s="6" t="s">
        <v>43435</v>
      </c>
      <c r="E1622" s="3" t="str">
        <f t="shared" si="1"/>
        <v>gas&lt;br&gt;&lt;div class="audio"&gt;[sound:gas.mp3]&lt;/div&gt;</v>
      </c>
      <c r="F1622" s="3" t="str">
        <f t="shared" si="2"/>
        <v>(n): khí ga</v>
      </c>
      <c r="G1622" s="6" t="s">
        <v>43436</v>
      </c>
      <c r="H1622" s="6" t="s">
        <v>43437</v>
      </c>
      <c r="I1622" s="7">
        <f t="shared" si="3"/>
        <v>0.459741057</v>
      </c>
    </row>
    <row r="1623">
      <c r="A1623" s="4">
        <v>1623.0</v>
      </c>
      <c r="B1623" s="3" t="s">
        <v>43438</v>
      </c>
      <c r="C1623" s="6" t="s">
        <v>74</v>
      </c>
      <c r="D1623" s="6" t="s">
        <v>1508</v>
      </c>
      <c r="E1623" s="3" t="str">
        <f t="shared" si="1"/>
        <v>extent&lt;br&gt;&lt;div class="audio"&gt;[sound:extent.mp3]&lt;/div&gt;</v>
      </c>
      <c r="F1623" s="3" t="str">
        <f t="shared" si="2"/>
        <v>(n): mức độ</v>
      </c>
      <c r="G1623" s="6" t="s">
        <v>43439</v>
      </c>
      <c r="H1623" s="6" t="s">
        <v>43440</v>
      </c>
      <c r="I1623" s="7">
        <f t="shared" si="3"/>
        <v>0.3265957988</v>
      </c>
    </row>
    <row r="1624">
      <c r="A1624" s="4">
        <v>1624.0</v>
      </c>
      <c r="B1624" s="3" t="s">
        <v>43441</v>
      </c>
      <c r="C1624" s="6" t="s">
        <v>74</v>
      </c>
      <c r="D1624" s="6" t="s">
        <v>21262</v>
      </c>
      <c r="E1624" s="3" t="str">
        <f t="shared" si="1"/>
        <v>tuesday&lt;br&gt;&lt;div class="audio"&gt;[sound:tuesday.mp3]&lt;/div&gt;</v>
      </c>
      <c r="F1624" s="3" t="str">
        <f t="shared" si="2"/>
        <v>(n): thứ ba</v>
      </c>
      <c r="G1624" s="6" t="s">
        <v>43442</v>
      </c>
      <c r="H1624" s="6" t="s">
        <v>43443</v>
      </c>
      <c r="I1624" s="7">
        <f t="shared" si="3"/>
        <v>0.6376695764</v>
      </c>
    </row>
    <row r="1625">
      <c r="A1625" s="4">
        <v>1625.0</v>
      </c>
      <c r="B1625" s="3" t="s">
        <v>43444</v>
      </c>
      <c r="C1625" s="6" t="s">
        <v>74</v>
      </c>
      <c r="D1625" s="6" t="s">
        <v>7024</v>
      </c>
      <c r="E1625" s="3" t="str">
        <f t="shared" si="1"/>
        <v>location&lt;br&gt;&lt;div class="audio"&gt;[sound:location.mp3]&lt;/div&gt;</v>
      </c>
      <c r="F1625" s="3" t="str">
        <f t="shared" si="2"/>
        <v>(n): vị trí</v>
      </c>
      <c r="G1625" s="6" t="s">
        <v>43445</v>
      </c>
      <c r="H1625" s="6" t="s">
        <v>43446</v>
      </c>
      <c r="I1625" s="7">
        <f t="shared" si="3"/>
        <v>0.9776975915</v>
      </c>
    </row>
    <row r="1626">
      <c r="A1626" s="4">
        <v>1626.0</v>
      </c>
      <c r="B1626" s="3" t="s">
        <v>43447</v>
      </c>
      <c r="C1626" s="6" t="s">
        <v>74</v>
      </c>
      <c r="D1626" s="8" t="s">
        <v>41090</v>
      </c>
      <c r="E1626" s="3" t="str">
        <f t="shared" si="1"/>
        <v>sequence&lt;br&gt;&lt;div class="audio"&gt;[sound:sequence.mp3]&lt;/div&gt;</v>
      </c>
      <c r="F1626" s="3" t="str">
        <f t="shared" si="2"/>
        <v>(n): chuỗi</v>
      </c>
      <c r="G1626" s="8" t="s">
        <v>43448</v>
      </c>
      <c r="H1626" s="8" t="s">
        <v>43449</v>
      </c>
      <c r="I1626" s="7">
        <f t="shared" si="3"/>
        <v>0.5394394993</v>
      </c>
    </row>
    <row r="1627">
      <c r="A1627" s="4">
        <v>1627.0</v>
      </c>
      <c r="B1627" s="3" t="s">
        <v>43450</v>
      </c>
      <c r="C1627" s="6" t="s">
        <v>74</v>
      </c>
      <c r="D1627" s="6" t="s">
        <v>24754</v>
      </c>
      <c r="E1627" s="3" t="str">
        <f t="shared" si="1"/>
        <v>egg&lt;br&gt;&lt;div class="audio"&gt;[sound:egg.mp3]&lt;/div&gt;</v>
      </c>
      <c r="F1627" s="3" t="str">
        <f t="shared" si="2"/>
        <v>(n): trứng</v>
      </c>
      <c r="G1627" s="6" t="s">
        <v>43451</v>
      </c>
      <c r="H1627" s="6" t="s">
        <v>43452</v>
      </c>
      <c r="I1627" s="7">
        <f t="shared" si="3"/>
        <v>0.3757790702</v>
      </c>
    </row>
    <row r="1628">
      <c r="A1628" s="4">
        <v>1628.0</v>
      </c>
      <c r="B1628" s="3" t="s">
        <v>43453</v>
      </c>
      <c r="C1628" s="6" t="s">
        <v>11</v>
      </c>
      <c r="D1628" s="6" t="s">
        <v>13008</v>
      </c>
      <c r="E1628" s="3" t="str">
        <f t="shared" si="1"/>
        <v>prior&lt;br&gt;&lt;div class="audio"&gt;[sound:prior.mp3]&lt;/div&gt;</v>
      </c>
      <c r="F1628" s="3" t="str">
        <f t="shared" si="2"/>
        <v>(adj): trước</v>
      </c>
      <c r="G1628" s="6" t="s">
        <v>43454</v>
      </c>
      <c r="H1628" s="6" t="s">
        <v>43455</v>
      </c>
      <c r="I1628" s="7">
        <f t="shared" si="3"/>
        <v>0.2107775953</v>
      </c>
    </row>
    <row r="1629">
      <c r="A1629" s="4">
        <v>1629.0</v>
      </c>
      <c r="B1629" s="3" t="s">
        <v>43456</v>
      </c>
      <c r="C1629" s="6" t="s">
        <v>74</v>
      </c>
      <c r="D1629" s="6" t="s">
        <v>190</v>
      </c>
      <c r="E1629" s="3" t="str">
        <f t="shared" si="1"/>
        <v>mouth&lt;br&gt;&lt;div class="audio"&gt;[sound:mouth.mp3]&lt;/div&gt;</v>
      </c>
      <c r="F1629" s="3" t="str">
        <f t="shared" si="2"/>
        <v>(n): miệng</v>
      </c>
      <c r="G1629" s="6" t="s">
        <v>43457</v>
      </c>
      <c r="H1629" s="6" t="s">
        <v>43458</v>
      </c>
      <c r="I1629" s="7">
        <f t="shared" si="3"/>
        <v>0.6932796233</v>
      </c>
    </row>
    <row r="1630">
      <c r="A1630" s="4">
        <v>1630.0</v>
      </c>
      <c r="B1630" s="3" t="s">
        <v>43459</v>
      </c>
      <c r="C1630" s="6" t="s">
        <v>11</v>
      </c>
      <c r="D1630" s="6" t="s">
        <v>13008</v>
      </c>
      <c r="E1630" s="3" t="str">
        <f t="shared" si="1"/>
        <v>previous&lt;br&gt;&lt;div class="audio"&gt;[sound:previous.mp3]&lt;/div&gt;</v>
      </c>
      <c r="F1630" s="3" t="str">
        <f t="shared" si="2"/>
        <v>(adj): trước</v>
      </c>
      <c r="G1630" s="6" t="s">
        <v>43460</v>
      </c>
      <c r="H1630" s="6" t="s">
        <v>43461</v>
      </c>
      <c r="I1630" s="7">
        <f t="shared" si="3"/>
        <v>0.1150341486</v>
      </c>
    </row>
    <row r="1631">
      <c r="A1631" s="4">
        <v>1631.0</v>
      </c>
      <c r="B1631" s="3" t="s">
        <v>43462</v>
      </c>
      <c r="C1631" s="6" t="s">
        <v>74</v>
      </c>
      <c r="D1631" s="6" t="s">
        <v>4649</v>
      </c>
      <c r="E1631" s="3" t="str">
        <f t="shared" si="1"/>
        <v>engineer&lt;br&gt;&lt;div class="audio"&gt;[sound:engineer.mp3]&lt;/div&gt;</v>
      </c>
      <c r="F1631" s="3" t="str">
        <f t="shared" si="2"/>
        <v>(n): kỹ sư</v>
      </c>
      <c r="G1631" s="6" t="s">
        <v>43463</v>
      </c>
      <c r="H1631" s="6" t="s">
        <v>43464</v>
      </c>
      <c r="I1631" s="7">
        <f t="shared" si="3"/>
        <v>0.3232356606</v>
      </c>
    </row>
    <row r="1632">
      <c r="A1632" s="4">
        <v>1632.0</v>
      </c>
      <c r="B1632" s="3" t="s">
        <v>43465</v>
      </c>
      <c r="C1632" s="6" t="s">
        <v>74</v>
      </c>
      <c r="D1632" s="6" t="s">
        <v>2906</v>
      </c>
      <c r="E1632" s="3" t="str">
        <f t="shared" si="1"/>
        <v>drug&lt;br&gt;&lt;div class="audio"&gt;[sound:drug.mp3]&lt;/div&gt;</v>
      </c>
      <c r="F1632" s="3" t="str">
        <f t="shared" si="2"/>
        <v>(n): thuốc</v>
      </c>
      <c r="G1632" s="6" t="s">
        <v>43466</v>
      </c>
      <c r="H1632" s="6" t="s">
        <v>43467</v>
      </c>
      <c r="I1632" s="7">
        <f t="shared" si="3"/>
        <v>0.9414745418</v>
      </c>
    </row>
    <row r="1633">
      <c r="A1633" s="4">
        <v>1633.0</v>
      </c>
      <c r="B1633" s="3" t="s">
        <v>43468</v>
      </c>
      <c r="C1633" s="6" t="s">
        <v>11</v>
      </c>
      <c r="D1633" s="6" t="s">
        <v>40291</v>
      </c>
      <c r="E1633" s="3" t="str">
        <f t="shared" si="1"/>
        <v>chief&lt;br&gt;&lt;div class="audio"&gt;[sound:chief.mp3]&lt;/div&gt;</v>
      </c>
      <c r="F1633" s="3" t="str">
        <f t="shared" si="2"/>
        <v>(adj): chính</v>
      </c>
      <c r="G1633" s="6" t="s">
        <v>43469</v>
      </c>
      <c r="H1633" s="6" t="s">
        <v>43470</v>
      </c>
      <c r="I1633" s="7">
        <f t="shared" si="3"/>
        <v>0.06776481613</v>
      </c>
    </row>
    <row r="1634">
      <c r="A1634" s="4">
        <v>1634.0</v>
      </c>
      <c r="B1634" s="3" t="s">
        <v>43471</v>
      </c>
      <c r="C1634" s="6" t="s">
        <v>11</v>
      </c>
      <c r="D1634" s="6" t="s">
        <v>9115</v>
      </c>
      <c r="E1634" s="3" t="str">
        <f t="shared" si="1"/>
        <v>warm&lt;br&gt;&lt;div class="audio"&gt;[sound:warm.mp3]&lt;/div&gt;</v>
      </c>
      <c r="F1634" s="3" t="str">
        <f t="shared" si="2"/>
        <v>(adj): ấm áp</v>
      </c>
      <c r="G1634" s="6" t="s">
        <v>43472</v>
      </c>
      <c r="H1634" s="6" t="s">
        <v>43473</v>
      </c>
      <c r="I1634" s="7">
        <f t="shared" si="3"/>
        <v>0.5543545956</v>
      </c>
    </row>
    <row r="1635">
      <c r="A1635" s="4">
        <v>1635.0</v>
      </c>
      <c r="B1635" s="3" t="s">
        <v>43474</v>
      </c>
      <c r="C1635" s="6" t="s">
        <v>74</v>
      </c>
      <c r="D1635" s="6" t="s">
        <v>11407</v>
      </c>
      <c r="E1635" s="3" t="str">
        <f t="shared" si="1"/>
        <v>housing&lt;br&gt;&lt;div class="audio"&gt;[sound:housing.mp3]&lt;/div&gt;</v>
      </c>
      <c r="F1635" s="3" t="str">
        <f t="shared" si="2"/>
        <v>(n): nhà ở</v>
      </c>
      <c r="G1635" s="6" t="s">
        <v>43475</v>
      </c>
      <c r="H1635" s="6" t="s">
        <v>43476</v>
      </c>
      <c r="I1635" s="7">
        <f t="shared" si="3"/>
        <v>0.4849258473</v>
      </c>
    </row>
    <row r="1636">
      <c r="A1636" s="4">
        <v>1636.0</v>
      </c>
      <c r="B1636" s="3" t="s">
        <v>43477</v>
      </c>
      <c r="C1636" s="6" t="s">
        <v>11</v>
      </c>
      <c r="D1636" s="6" t="s">
        <v>40291</v>
      </c>
      <c r="E1636" s="3" t="str">
        <f t="shared" si="1"/>
        <v>prime&lt;br&gt;&lt;div class="audio"&gt;[sound:prime.mp3]&lt;/div&gt;</v>
      </c>
      <c r="F1636" s="3" t="str">
        <f t="shared" si="2"/>
        <v>(adj): chính</v>
      </c>
      <c r="G1636" s="6" t="s">
        <v>43478</v>
      </c>
      <c r="H1636" s="6" t="s">
        <v>43479</v>
      </c>
      <c r="I1636" s="7">
        <f t="shared" si="3"/>
        <v>0.7319744226</v>
      </c>
    </row>
    <row r="1637">
      <c r="A1637" s="4">
        <v>1637.0</v>
      </c>
      <c r="B1637" s="3" t="s">
        <v>43480</v>
      </c>
      <c r="C1637" s="6" t="s">
        <v>74</v>
      </c>
      <c r="D1637" s="6" t="s">
        <v>4654</v>
      </c>
      <c r="E1637" s="3" t="str">
        <f t="shared" si="1"/>
        <v>facility&lt;br&gt;&lt;div class="audio"&gt;[sound:facility.mp3]&lt;/div&gt;</v>
      </c>
      <c r="F1637" s="3" t="str">
        <f t="shared" si="2"/>
        <v>(n): cơ sở</v>
      </c>
      <c r="G1637" s="6" t="s">
        <v>43481</v>
      </c>
      <c r="H1637" s="6" t="s">
        <v>43482</v>
      </c>
      <c r="I1637" s="7">
        <f t="shared" si="3"/>
        <v>0.9959699804</v>
      </c>
    </row>
    <row r="1638">
      <c r="A1638" s="4">
        <v>1638.0</v>
      </c>
      <c r="B1638" s="3" t="s">
        <v>43483</v>
      </c>
      <c r="C1638" s="6" t="s">
        <v>24</v>
      </c>
      <c r="D1638" s="6" t="s">
        <v>43484</v>
      </c>
      <c r="E1638" s="3" t="str">
        <f t="shared" si="1"/>
        <v>imply&lt;br&gt;&lt;div class="audio"&gt;[sound:imply.mp3]&lt;/div&gt;</v>
      </c>
      <c r="F1638" s="3" t="str">
        <f t="shared" si="2"/>
        <v>(v): ngụ ý</v>
      </c>
      <c r="G1638" s="6" t="s">
        <v>43485</v>
      </c>
      <c r="H1638" s="6" t="s">
        <v>43486</v>
      </c>
      <c r="I1638" s="7">
        <f t="shared" si="3"/>
        <v>0.5676403328</v>
      </c>
    </row>
    <row r="1639">
      <c r="A1639" s="4">
        <v>1639.0</v>
      </c>
      <c r="B1639" s="3" t="s">
        <v>43487</v>
      </c>
      <c r="C1639" s="6" t="s">
        <v>24</v>
      </c>
      <c r="D1639" s="8" t="s">
        <v>31257</v>
      </c>
      <c r="E1639" s="3" t="str">
        <f t="shared" si="1"/>
        <v>smell&lt;br&gt;&lt;div class="audio"&gt;[sound:smell.mp3]&lt;/div&gt;</v>
      </c>
      <c r="F1639" s="3" t="str">
        <f t="shared" si="2"/>
        <v>(v): ngửi</v>
      </c>
      <c r="G1639" s="8" t="s">
        <v>43488</v>
      </c>
      <c r="H1639" s="8" t="s">
        <v>43489</v>
      </c>
      <c r="I1639" s="7">
        <f t="shared" si="3"/>
        <v>0.9473951767</v>
      </c>
    </row>
    <row r="1640">
      <c r="A1640" s="4">
        <v>1640.0</v>
      </c>
      <c r="B1640" s="3" t="s">
        <v>43490</v>
      </c>
      <c r="C1640" s="6" t="s">
        <v>74</v>
      </c>
      <c r="D1640" s="6" t="s">
        <v>20092</v>
      </c>
      <c r="E1640" s="3" t="str">
        <f t="shared" si="1"/>
        <v>circuit&lt;br&gt;&lt;div class="audio"&gt;[sound:circuit.mp3]&lt;/div&gt;</v>
      </c>
      <c r="F1640" s="3" t="str">
        <f t="shared" si="2"/>
        <v>(n): mạch</v>
      </c>
      <c r="G1640" s="6" t="s">
        <v>43491</v>
      </c>
      <c r="H1640" s="6" t="s">
        <v>43492</v>
      </c>
      <c r="I1640" s="7">
        <f t="shared" si="3"/>
        <v>0.1392262029</v>
      </c>
    </row>
    <row r="1641">
      <c r="A1641" s="4">
        <v>1641.0</v>
      </c>
      <c r="B1641" s="3" t="s">
        <v>43493</v>
      </c>
      <c r="C1641" s="6" t="s">
        <v>11</v>
      </c>
      <c r="D1641" s="6" t="s">
        <v>21575</v>
      </c>
      <c r="E1641" s="3" t="str">
        <f t="shared" si="1"/>
        <v>fresh&lt;br&gt;&lt;div class="audio"&gt;[sound:fresh.mp3]&lt;/div&gt;</v>
      </c>
      <c r="F1641" s="3" t="str">
        <f t="shared" si="2"/>
        <v>(adj): tươi</v>
      </c>
      <c r="G1641" s="6" t="s">
        <v>43494</v>
      </c>
      <c r="H1641" s="6" t="s">
        <v>43495</v>
      </c>
      <c r="I1641" s="7">
        <f t="shared" si="3"/>
        <v>0.9583728523</v>
      </c>
    </row>
    <row r="1642">
      <c r="A1642" s="4">
        <v>1642.0</v>
      </c>
      <c r="B1642" s="3" t="s">
        <v>43496</v>
      </c>
      <c r="C1642" s="6" t="s">
        <v>74</v>
      </c>
      <c r="D1642" s="6" t="s">
        <v>43497</v>
      </c>
      <c r="E1642" s="3" t="str">
        <f t="shared" si="1"/>
        <v>command&lt;br&gt;&lt;div class="audio"&gt;[sound:command.mp3]&lt;/div&gt;</v>
      </c>
      <c r="F1642" s="3" t="str">
        <f t="shared" si="2"/>
        <v>(n): lệnh</v>
      </c>
      <c r="G1642" s="6" t="s">
        <v>43498</v>
      </c>
      <c r="H1642" s="6" t="s">
        <v>43499</v>
      </c>
      <c r="I1642" s="7">
        <f t="shared" si="3"/>
        <v>0.9150664203</v>
      </c>
    </row>
    <row r="1643">
      <c r="A1643" s="4">
        <v>1643.0</v>
      </c>
      <c r="B1643" s="3" t="s">
        <v>43500</v>
      </c>
      <c r="C1643" s="6" t="s">
        <v>74</v>
      </c>
      <c r="D1643" s="6" t="s">
        <v>6442</v>
      </c>
      <c r="E1643" s="3" t="str">
        <f t="shared" si="1"/>
        <v>breast&lt;br&gt;&lt;div class="audio"&gt;[sound:breast.mp3]&lt;/div&gt;</v>
      </c>
      <c r="F1643" s="3" t="str">
        <f t="shared" si="2"/>
        <v>(n): ngực</v>
      </c>
      <c r="G1643" s="6" t="s">
        <v>43501</v>
      </c>
      <c r="H1643" s="6" t="s">
        <v>43502</v>
      </c>
      <c r="I1643" s="7">
        <f t="shared" si="3"/>
        <v>0.5611070799</v>
      </c>
    </row>
    <row r="1644">
      <c r="A1644" s="4">
        <v>1644.0</v>
      </c>
      <c r="B1644" s="3" t="s">
        <v>43503</v>
      </c>
      <c r="C1644" s="6" t="s">
        <v>74</v>
      </c>
      <c r="D1644" s="6" t="s">
        <v>6442</v>
      </c>
      <c r="E1644" s="3" t="str">
        <f t="shared" si="1"/>
        <v>chest&lt;br&gt;&lt;div class="audio"&gt;[sound:chest.mp3]&lt;/div&gt;</v>
      </c>
      <c r="F1644" s="3" t="str">
        <f t="shared" si="2"/>
        <v>(n): ngực</v>
      </c>
      <c r="G1644" s="6" t="s">
        <v>43504</v>
      </c>
      <c r="H1644" s="6" t="s">
        <v>43505</v>
      </c>
      <c r="I1644" s="7">
        <f t="shared" si="3"/>
        <v>0.5436198233</v>
      </c>
    </row>
    <row r="1645">
      <c r="A1645" s="4">
        <v>1645.0</v>
      </c>
      <c r="B1645" s="3" t="s">
        <v>43506</v>
      </c>
      <c r="C1645" s="6" t="s">
        <v>74</v>
      </c>
      <c r="D1645" s="6" t="s">
        <v>5010</v>
      </c>
      <c r="E1645" s="3" t="str">
        <f t="shared" si="1"/>
        <v>movie&lt;br&gt;&lt;div class="audio"&gt;[sound:movie.mp3]&lt;/div&gt;</v>
      </c>
      <c r="F1645" s="3" t="str">
        <f t="shared" si="2"/>
        <v>(n): phim</v>
      </c>
      <c r="G1645" s="6" t="s">
        <v>43507</v>
      </c>
      <c r="H1645" s="6" t="s">
        <v>40303</v>
      </c>
      <c r="I1645" s="7">
        <f t="shared" si="3"/>
        <v>0.05970453787</v>
      </c>
    </row>
    <row r="1646">
      <c r="A1646" s="4">
        <v>1646.0</v>
      </c>
      <c r="B1646" s="3" t="s">
        <v>43508</v>
      </c>
      <c r="C1646" s="6" t="s">
        <v>11</v>
      </c>
      <c r="D1646" s="8" t="s">
        <v>15069</v>
      </c>
      <c r="E1646" s="3" t="str">
        <f t="shared" si="1"/>
        <v>sweet&lt;br&gt;&lt;div class="audio"&gt;[sound:sweet.mp3]&lt;/div&gt;</v>
      </c>
      <c r="F1646" s="3" t="str">
        <f t="shared" si="2"/>
        <v>(adj): ngọt</v>
      </c>
      <c r="G1646" s="8" t="s">
        <v>43509</v>
      </c>
      <c r="H1646" s="8" t="s">
        <v>43510</v>
      </c>
      <c r="I1646" s="7">
        <f t="shared" si="3"/>
        <v>0.1932229725</v>
      </c>
    </row>
    <row r="1647">
      <c r="A1647" s="4">
        <v>1647.0</v>
      </c>
      <c r="B1647" s="3" t="s">
        <v>43511</v>
      </c>
      <c r="C1647" s="6" t="s">
        <v>11</v>
      </c>
      <c r="D1647" s="6" t="s">
        <v>1326</v>
      </c>
      <c r="E1647" s="3" t="str">
        <f t="shared" si="1"/>
        <v>wide&lt;br&gt;&lt;div class="audio"&gt;[sound:wide.mp3]&lt;/div&gt;</v>
      </c>
      <c r="F1647" s="3" t="str">
        <f t="shared" si="2"/>
        <v>(adj): rộng</v>
      </c>
      <c r="G1647" s="6" t="s">
        <v>43512</v>
      </c>
      <c r="H1647" s="6" t="s">
        <v>43513</v>
      </c>
      <c r="I1647" s="7">
        <f t="shared" si="3"/>
        <v>0.3455003082</v>
      </c>
    </row>
    <row r="1648">
      <c r="A1648" s="4">
        <v>1648.0</v>
      </c>
      <c r="B1648" s="3" t="s">
        <v>43514</v>
      </c>
      <c r="C1648" s="6" t="s">
        <v>74</v>
      </c>
      <c r="D1648" s="6" t="s">
        <v>2895</v>
      </c>
      <c r="E1648" s="3" t="str">
        <f t="shared" si="1"/>
        <v>electricity&lt;br&gt;&lt;div class="audio"&gt;[sound:electricity.mp3]&lt;/div&gt;</v>
      </c>
      <c r="F1648" s="3" t="str">
        <f t="shared" si="2"/>
        <v>(n): điện</v>
      </c>
      <c r="G1648" s="6" t="s">
        <v>43515</v>
      </c>
      <c r="H1648" s="6" t="s">
        <v>43516</v>
      </c>
      <c r="I1648" s="7">
        <f t="shared" si="3"/>
        <v>0.5649348074</v>
      </c>
    </row>
    <row r="1649">
      <c r="A1649" s="4">
        <v>1649.0</v>
      </c>
      <c r="B1649" s="3" t="s">
        <v>43517</v>
      </c>
      <c r="C1649" s="6" t="s">
        <v>24</v>
      </c>
      <c r="D1649" s="6" t="s">
        <v>26809</v>
      </c>
      <c r="E1649" s="3" t="str">
        <f t="shared" si="1"/>
        <v>employ&lt;br&gt;&lt;div class="audio"&gt;[sound:employ.mp3]&lt;/div&gt;</v>
      </c>
      <c r="F1649" s="3" t="str">
        <f t="shared" si="2"/>
        <v>(v): thuê</v>
      </c>
      <c r="G1649" s="6" t="s">
        <v>43518</v>
      </c>
      <c r="H1649" s="6" t="s">
        <v>43519</v>
      </c>
      <c r="I1649" s="7">
        <f t="shared" si="3"/>
        <v>0.9699439041</v>
      </c>
    </row>
    <row r="1650">
      <c r="A1650" s="4">
        <v>1650.0</v>
      </c>
      <c r="B1650" s="3" t="s">
        <v>43520</v>
      </c>
      <c r="C1650" s="6" t="s">
        <v>74</v>
      </c>
      <c r="D1650" s="6" t="s">
        <v>43521</v>
      </c>
      <c r="E1650" s="3" t="str">
        <f t="shared" si="1"/>
        <v>camp&lt;br&gt;&lt;div class="audio"&gt;[sound:camp.mp3]&lt;/div&gt;</v>
      </c>
      <c r="F1650" s="3" t="str">
        <f t="shared" si="2"/>
        <v>(n): trại</v>
      </c>
      <c r="G1650" s="6" t="s">
        <v>43522</v>
      </c>
      <c r="H1650" s="6" t="s">
        <v>43523</v>
      </c>
      <c r="I1650" s="7">
        <f t="shared" si="3"/>
        <v>0.5227222412</v>
      </c>
    </row>
    <row r="1651">
      <c r="A1651" s="4">
        <v>1651.0</v>
      </c>
      <c r="B1651" s="3" t="s">
        <v>43524</v>
      </c>
      <c r="C1651" s="6" t="s">
        <v>24</v>
      </c>
      <c r="D1651" s="6" t="s">
        <v>43525</v>
      </c>
      <c r="E1651" s="3" t="str">
        <f t="shared" si="1"/>
        <v>wish&lt;br&gt;&lt;div class="audio"&gt;[sound:wish.mp3]&lt;/div&gt;</v>
      </c>
      <c r="F1651" s="3" t="str">
        <f t="shared" si="2"/>
        <v>(v): ước</v>
      </c>
      <c r="G1651" s="6" t="s">
        <v>43526</v>
      </c>
      <c r="H1651" s="6" t="s">
        <v>43527</v>
      </c>
      <c r="I1651" s="7">
        <f t="shared" si="3"/>
        <v>0.3996743322</v>
      </c>
    </row>
    <row r="1652">
      <c r="A1652" s="4">
        <v>1652.0</v>
      </c>
      <c r="B1652" s="3" t="s">
        <v>43528</v>
      </c>
      <c r="C1652" s="6" t="s">
        <v>74</v>
      </c>
      <c r="D1652" s="6" t="s">
        <v>43529</v>
      </c>
      <c r="E1652" s="3" t="str">
        <f t="shared" si="1"/>
        <v>cable&lt;br&gt;&lt;div class="audio"&gt;[sound:cable.mp3]&lt;/div&gt;</v>
      </c>
      <c r="F1652" s="3" t="str">
        <f t="shared" si="2"/>
        <v>(n): cáp</v>
      </c>
      <c r="G1652" s="6" t="s">
        <v>43530</v>
      </c>
      <c r="H1652" s="6" t="s">
        <v>43531</v>
      </c>
      <c r="I1652" s="7">
        <f t="shared" si="3"/>
        <v>0.975928838</v>
      </c>
    </row>
    <row r="1653">
      <c r="A1653" s="4">
        <v>1653.0</v>
      </c>
      <c r="B1653" s="3" t="s">
        <v>43532</v>
      </c>
      <c r="C1653" s="6" t="s">
        <v>24</v>
      </c>
      <c r="D1653" s="8" t="s">
        <v>7463</v>
      </c>
      <c r="E1653" s="3" t="str">
        <f t="shared" si="1"/>
        <v>shout&lt;br&gt;&lt;div class="audio"&gt;[sound:shout.mp3]&lt;/div&gt;</v>
      </c>
      <c r="F1653" s="3" t="str">
        <f t="shared" si="2"/>
        <v>(v): hét</v>
      </c>
      <c r="G1653" s="8" t="s">
        <v>43533</v>
      </c>
      <c r="H1653" s="8" t="s">
        <v>43534</v>
      </c>
      <c r="I1653" s="7">
        <f t="shared" si="3"/>
        <v>0.07499545957</v>
      </c>
    </row>
    <row r="1654">
      <c r="A1654" s="4">
        <v>1654.0</v>
      </c>
      <c r="B1654" s="3" t="s">
        <v>43535</v>
      </c>
      <c r="C1654" s="6" t="s">
        <v>11</v>
      </c>
      <c r="D1654" s="6" t="s">
        <v>43536</v>
      </c>
      <c r="E1654" s="3" t="str">
        <f t="shared" si="1"/>
        <v>former&lt;br&gt;&lt;div class="audio"&gt;[sound:former.mp3]&lt;/div&gt;</v>
      </c>
      <c r="F1654" s="3" t="str">
        <f t="shared" si="2"/>
        <v>(adj): cựu</v>
      </c>
      <c r="G1654" s="6" t="s">
        <v>43537</v>
      </c>
      <c r="H1654" s="6" t="s">
        <v>43538</v>
      </c>
      <c r="I1654" s="7">
        <f t="shared" si="3"/>
        <v>0.04211558037</v>
      </c>
    </row>
    <row r="1655">
      <c r="A1655" s="4">
        <v>1655.0</v>
      </c>
      <c r="B1655" s="3" t="s">
        <v>43539</v>
      </c>
      <c r="C1655" s="6" t="s">
        <v>33</v>
      </c>
      <c r="D1655" s="6" t="s">
        <v>38</v>
      </c>
      <c r="E1655" s="3" t="str">
        <f t="shared" si="1"/>
        <v>hey&lt;br&gt;&lt;div class="audio"&gt;[sound:hey.mp3]&lt;/div&gt;</v>
      </c>
      <c r="F1655" s="3" t="str">
        <f t="shared" si="2"/>
        <v>(int): này</v>
      </c>
      <c r="G1655" s="6" t="s">
        <v>43540</v>
      </c>
      <c r="H1655" s="6" t="s">
        <v>43541</v>
      </c>
      <c r="I1655" s="7">
        <f t="shared" si="3"/>
        <v>0.6284249374</v>
      </c>
    </row>
    <row r="1656">
      <c r="A1656" s="4">
        <v>1656.0</v>
      </c>
      <c r="B1656" s="3" t="s">
        <v>43542</v>
      </c>
      <c r="C1656" s="6" t="s">
        <v>74</v>
      </c>
      <c r="D1656" s="6" t="s">
        <v>18632</v>
      </c>
      <c r="E1656" s="3" t="str">
        <f t="shared" si="1"/>
        <v>pair&lt;br&gt;&lt;div class="audio"&gt;[sound:pair.mp3]&lt;/div&gt;</v>
      </c>
      <c r="F1656" s="3" t="str">
        <f t="shared" si="2"/>
        <v>(n): đôi</v>
      </c>
      <c r="G1656" s="6" t="s">
        <v>43543</v>
      </c>
      <c r="H1656" s="6" t="s">
        <v>43544</v>
      </c>
      <c r="I1656" s="7">
        <f t="shared" si="3"/>
        <v>0.525095274</v>
      </c>
    </row>
    <row r="1657">
      <c r="A1657" s="4">
        <v>1657.0</v>
      </c>
      <c r="B1657" s="3" t="s">
        <v>43545</v>
      </c>
      <c r="C1657" s="6" t="s">
        <v>85</v>
      </c>
      <c r="D1657" s="6" t="s">
        <v>960</v>
      </c>
      <c r="E1657" s="3" t="str">
        <f t="shared" si="1"/>
        <v>pretty&lt;br&gt;&lt;div class="audio"&gt;[sound:pretty.mp3]&lt;/div&gt;</v>
      </c>
      <c r="F1657" s="3" t="str">
        <f t="shared" si="2"/>
        <v>(adv): khá</v>
      </c>
      <c r="G1657" s="6" t="s">
        <v>43546</v>
      </c>
      <c r="H1657" s="6" t="s">
        <v>43547</v>
      </c>
      <c r="I1657" s="7">
        <f t="shared" si="3"/>
        <v>0.5632773726</v>
      </c>
    </row>
    <row r="1658">
      <c r="A1658" s="4">
        <v>1658.0</v>
      </c>
      <c r="B1658" s="3" t="s">
        <v>43548</v>
      </c>
      <c r="C1658" s="6" t="s">
        <v>74</v>
      </c>
      <c r="D1658" s="6" t="s">
        <v>43549</v>
      </c>
      <c r="E1658" s="3" t="str">
        <f t="shared" si="1"/>
        <v>mark&lt;br&gt;&lt;div class="audio"&gt;[sound:mark.mp3]&lt;/div&gt;</v>
      </c>
      <c r="F1658" s="3" t="str">
        <f t="shared" si="2"/>
        <v>(n): dấu</v>
      </c>
      <c r="G1658" s="6" t="s">
        <v>43550</v>
      </c>
      <c r="H1658" s="6" t="s">
        <v>43551</v>
      </c>
      <c r="I1658" s="7">
        <f t="shared" si="3"/>
        <v>0.6025597003</v>
      </c>
    </row>
    <row r="1659">
      <c r="A1659" s="4">
        <v>1659.0</v>
      </c>
      <c r="B1659" s="3" t="s">
        <v>43552</v>
      </c>
      <c r="C1659" s="6" t="s">
        <v>24</v>
      </c>
      <c r="D1659" s="6" t="s">
        <v>12078</v>
      </c>
      <c r="E1659" s="3" t="str">
        <f t="shared" si="1"/>
        <v>invite&lt;br&gt;&lt;div class="audio"&gt;[sound:invite.mp3]&lt;/div&gt;</v>
      </c>
      <c r="F1659" s="3" t="str">
        <f t="shared" si="2"/>
        <v>(v): mời</v>
      </c>
      <c r="G1659" s="6" t="s">
        <v>43553</v>
      </c>
      <c r="H1659" s="6" t="s">
        <v>43554</v>
      </c>
      <c r="I1659" s="7">
        <f t="shared" si="3"/>
        <v>0.4654237335</v>
      </c>
    </row>
    <row r="1660">
      <c r="A1660" s="4">
        <v>1660.0</v>
      </c>
      <c r="B1660" s="3" t="s">
        <v>43555</v>
      </c>
      <c r="C1660" s="6" t="s">
        <v>24</v>
      </c>
      <c r="D1660" s="6" t="s">
        <v>18448</v>
      </c>
      <c r="E1660" s="3" t="str">
        <f t="shared" si="1"/>
        <v>roll&lt;br&gt;&lt;div class="audio"&gt;[sound:roll.mp3]&lt;/div&gt;</v>
      </c>
      <c r="F1660" s="3" t="str">
        <f t="shared" si="2"/>
        <v>(v): lăn</v>
      </c>
      <c r="G1660" s="6" t="s">
        <v>43556</v>
      </c>
      <c r="H1660" s="6" t="s">
        <v>43557</v>
      </c>
      <c r="I1660" s="7">
        <f t="shared" si="3"/>
        <v>0.1475024147</v>
      </c>
    </row>
    <row r="1661">
      <c r="A1661" s="4">
        <v>1661.0</v>
      </c>
      <c r="B1661" s="3" t="s">
        <v>43558</v>
      </c>
      <c r="C1661" s="6" t="s">
        <v>24</v>
      </c>
      <c r="D1661" s="8" t="s">
        <v>10143</v>
      </c>
      <c r="E1661" s="3" t="str">
        <f t="shared" si="1"/>
        <v>sing&lt;br&gt;&lt;div class="audio"&gt;[sound:sing.mp3]&lt;/div&gt;</v>
      </c>
      <c r="F1661" s="3" t="str">
        <f t="shared" si="2"/>
        <v>(v): hát</v>
      </c>
      <c r="G1661" s="8" t="s">
        <v>43559</v>
      </c>
      <c r="H1661" s="8" t="s">
        <v>43560</v>
      </c>
      <c r="I1661" s="7">
        <f t="shared" si="3"/>
        <v>0.7496418598</v>
      </c>
    </row>
    <row r="1662">
      <c r="A1662" s="4">
        <v>1662.0</v>
      </c>
      <c r="B1662" s="3" t="s">
        <v>43561</v>
      </c>
      <c r="C1662" s="6" t="s">
        <v>24</v>
      </c>
      <c r="D1662" s="8" t="s">
        <v>10008</v>
      </c>
      <c r="E1662" s="3" t="str">
        <f t="shared" si="1"/>
        <v>submit&lt;br&gt;&lt;div class="audio"&gt;[sound:submit.mp3]&lt;/div&gt;</v>
      </c>
      <c r="F1662" s="3" t="str">
        <f t="shared" si="2"/>
        <v>(v): nộp</v>
      </c>
      <c r="G1662" s="8" t="s">
        <v>43562</v>
      </c>
      <c r="H1662" s="8" t="s">
        <v>43563</v>
      </c>
      <c r="I1662" s="7">
        <f t="shared" si="3"/>
        <v>0.9531798948</v>
      </c>
    </row>
    <row r="1663">
      <c r="A1663" s="4">
        <v>1663.0</v>
      </c>
      <c r="B1663" s="3" t="s">
        <v>43564</v>
      </c>
      <c r="C1663" s="6" t="s">
        <v>74</v>
      </c>
      <c r="D1663" s="6" t="s">
        <v>32492</v>
      </c>
      <c r="E1663" s="3" t="str">
        <f t="shared" si="1"/>
        <v>column&lt;br&gt;&lt;div class="audio"&gt;[sound:column.mp3]&lt;/div&gt;</v>
      </c>
      <c r="F1663" s="3" t="str">
        <f t="shared" si="2"/>
        <v>(n): cột</v>
      </c>
      <c r="G1663" s="6" t="s">
        <v>43565</v>
      </c>
      <c r="H1663" s="6" t="s">
        <v>43566</v>
      </c>
      <c r="I1663" s="7">
        <f t="shared" si="3"/>
        <v>0.3036550402</v>
      </c>
    </row>
    <row r="1664">
      <c r="A1664" s="4">
        <v>1664.0</v>
      </c>
      <c r="B1664" s="3" t="s">
        <v>43567</v>
      </c>
      <c r="C1664" s="6" t="s">
        <v>11</v>
      </c>
      <c r="D1664" s="6" t="s">
        <v>43568</v>
      </c>
      <c r="E1664" s="3" t="str">
        <f t="shared" si="1"/>
        <v>grey&lt;br&gt;&lt;div class="audio"&gt;[sound:grey.mp3]&lt;/div&gt;</v>
      </c>
      <c r="F1664" s="3" t="str">
        <f t="shared" si="2"/>
        <v>(adj): xám</v>
      </c>
      <c r="G1664" s="6" t="s">
        <v>43569</v>
      </c>
      <c r="H1664" s="6" t="s">
        <v>43570</v>
      </c>
      <c r="I1664" s="7">
        <f t="shared" si="3"/>
        <v>0.01625938464</v>
      </c>
    </row>
    <row r="1665">
      <c r="A1665" s="4">
        <v>1665.0</v>
      </c>
      <c r="B1665" s="3" t="s">
        <v>43571</v>
      </c>
      <c r="C1665" s="6" t="s">
        <v>24</v>
      </c>
      <c r="D1665" s="6" t="s">
        <v>43572</v>
      </c>
      <c r="E1665" s="3" t="str">
        <f t="shared" si="1"/>
        <v>cast&lt;br&gt;&lt;div class="audio"&gt;[sound:cast.mp3]&lt;/div&gt;</v>
      </c>
      <c r="F1665" s="3" t="str">
        <f t="shared" si="2"/>
        <v>(v): đúc</v>
      </c>
      <c r="G1665" s="6" t="s">
        <v>43573</v>
      </c>
      <c r="H1665" s="6" t="s">
        <v>43574</v>
      </c>
      <c r="I1665" s="7">
        <f t="shared" si="3"/>
        <v>0.6694954482</v>
      </c>
    </row>
    <row r="1666">
      <c r="A1666" s="4">
        <v>1666.0</v>
      </c>
      <c r="B1666" s="3" t="s">
        <v>43575</v>
      </c>
      <c r="C1666" s="6" t="s">
        <v>11</v>
      </c>
      <c r="D1666" s="8" t="s">
        <v>43576</v>
      </c>
      <c r="E1666" s="3" t="str">
        <f t="shared" si="1"/>
        <v>sick&lt;br&gt;&lt;div class="audio"&gt;[sound:sick.mp3]&lt;/div&gt;</v>
      </c>
      <c r="F1666" s="3" t="str">
        <f t="shared" si="2"/>
        <v>(adj): ốm</v>
      </c>
      <c r="G1666" s="8" t="s">
        <v>43577</v>
      </c>
      <c r="H1666" s="8" t="s">
        <v>43578</v>
      </c>
      <c r="I1666" s="7">
        <f t="shared" si="3"/>
        <v>0.008835477225</v>
      </c>
    </row>
    <row r="1667">
      <c r="A1667" s="4">
        <v>1667.0</v>
      </c>
      <c r="B1667" s="3" t="s">
        <v>43579</v>
      </c>
      <c r="C1667" s="6" t="s">
        <v>74</v>
      </c>
      <c r="D1667" s="6" t="s">
        <v>43580</v>
      </c>
      <c r="E1667" s="3" t="str">
        <f t="shared" si="1"/>
        <v>chicken&lt;br&gt;&lt;div class="audio"&gt;[sound:chicken.mp3]&lt;/div&gt;</v>
      </c>
      <c r="F1667" s="3" t="str">
        <f t="shared" si="2"/>
        <v>(n): gà</v>
      </c>
      <c r="G1667" s="6" t="s">
        <v>43581</v>
      </c>
      <c r="H1667" s="6" t="s">
        <v>43582</v>
      </c>
      <c r="I1667" s="7">
        <f t="shared" si="3"/>
        <v>0.527793535</v>
      </c>
    </row>
    <row r="1668">
      <c r="A1668" s="4">
        <v>1668.0</v>
      </c>
      <c r="B1668" s="3" t="s">
        <v>43583</v>
      </c>
      <c r="C1668" s="6" t="s">
        <v>74</v>
      </c>
      <c r="D1668" s="6" t="s">
        <v>6319</v>
      </c>
      <c r="E1668" s="3" t="str">
        <f t="shared" si="1"/>
        <v>fish&lt;br&gt;&lt;div class="audio"&gt;[sound:fish.mp3]&lt;/div&gt;</v>
      </c>
      <c r="F1668" s="3" t="str">
        <f t="shared" si="2"/>
        <v>(n): cá</v>
      </c>
      <c r="G1668" s="6" t="s">
        <v>43584</v>
      </c>
      <c r="H1668" s="6" t="s">
        <v>43585</v>
      </c>
      <c r="I1668" s="7">
        <f t="shared" si="3"/>
        <v>0.7670366546</v>
      </c>
    </row>
    <row r="1669">
      <c r="A1669" s="4">
        <v>1669.0</v>
      </c>
      <c r="B1669" s="3" t="s">
        <v>43586</v>
      </c>
      <c r="C1669" s="6" t="s">
        <v>74</v>
      </c>
      <c r="D1669" s="6" t="s">
        <v>5021</v>
      </c>
      <c r="E1669" s="3" t="str">
        <f t="shared" si="1"/>
        <v>ice&lt;br&gt;&lt;div class="audio"&gt;[sound:ice.mp3]&lt;/div&gt;</v>
      </c>
      <c r="F1669" s="3" t="str">
        <f t="shared" si="2"/>
        <v>(n): đá</v>
      </c>
      <c r="G1669" s="6" t="s">
        <v>43587</v>
      </c>
      <c r="H1669" s="6" t="s">
        <v>43588</v>
      </c>
      <c r="I1669" s="7">
        <f t="shared" si="3"/>
        <v>0.8636814979</v>
      </c>
    </row>
    <row r="1670">
      <c r="A1670" s="4">
        <v>1670.0</v>
      </c>
      <c r="B1670" s="3" t="s">
        <v>43589</v>
      </c>
      <c r="C1670" s="6" t="s">
        <v>11</v>
      </c>
      <c r="D1670" s="6" t="s">
        <v>43590</v>
      </c>
      <c r="E1670" s="3" t="str">
        <f t="shared" si="1"/>
        <v>female&lt;br&gt;&lt;div class="audio"&gt;[sound:female.mp3]&lt;/div&gt;</v>
      </c>
      <c r="F1670" s="3" t="str">
        <f t="shared" si="2"/>
        <v>(adj): nữ</v>
      </c>
      <c r="G1670" s="6" t="s">
        <v>43591</v>
      </c>
      <c r="H1670" s="6" t="s">
        <v>43592</v>
      </c>
      <c r="I1670" s="7">
        <f t="shared" si="3"/>
        <v>0.5000005855</v>
      </c>
    </row>
    <row r="1671">
      <c r="A1671" s="4">
        <v>1671.0</v>
      </c>
      <c r="B1671" s="3" t="s">
        <v>43593</v>
      </c>
      <c r="C1671" s="6" t="s">
        <v>74</v>
      </c>
      <c r="D1671" s="6" t="s">
        <v>15460</v>
      </c>
      <c r="E1671" s="3" t="str">
        <f t="shared" si="1"/>
        <v>hat&lt;br&gt;&lt;div class="audio"&gt;[sound:hat.mp3]&lt;/div&gt;</v>
      </c>
      <c r="F1671" s="3" t="str">
        <f t="shared" si="2"/>
        <v>(n): mũ</v>
      </c>
      <c r="G1671" s="6" t="s">
        <v>43594</v>
      </c>
      <c r="H1671" s="6" t="s">
        <v>43595</v>
      </c>
      <c r="I1671" s="7">
        <f t="shared" si="3"/>
        <v>0.8840276103</v>
      </c>
    </row>
    <row r="1672">
      <c r="A1672" s="4">
        <v>1672.0</v>
      </c>
      <c r="B1672" s="3" t="s">
        <v>43596</v>
      </c>
      <c r="C1672" s="6" t="s">
        <v>74</v>
      </c>
      <c r="D1672" s="8" t="s">
        <v>35806</v>
      </c>
      <c r="E1672" s="3" t="str">
        <f t="shared" si="1"/>
        <v>shell&lt;br&gt;&lt;div class="audio"&gt;[sound:shell.mp3]&lt;/div&gt;</v>
      </c>
      <c r="F1672" s="3" t="str">
        <f t="shared" si="2"/>
        <v>(n): vỏ</v>
      </c>
      <c r="G1672" s="8" t="s">
        <v>43597</v>
      </c>
      <c r="H1672" s="8" t="s">
        <v>43598</v>
      </c>
      <c r="I1672" s="7">
        <f t="shared" si="3"/>
        <v>0.01420224033</v>
      </c>
    </row>
    <row r="1673">
      <c r="A1673" s="4">
        <v>1673.0</v>
      </c>
      <c r="B1673" s="3" t="s">
        <v>43599</v>
      </c>
      <c r="C1673" s="6" t="s">
        <v>74</v>
      </c>
      <c r="D1673" s="6" t="s">
        <v>18597</v>
      </c>
      <c r="E1673" s="3" t="str">
        <f t="shared" si="1"/>
        <v>grass&lt;br&gt;&lt;div class="audio"&gt;[sound:grass.mp3]&lt;/div&gt;</v>
      </c>
      <c r="F1673" s="3" t="str">
        <f t="shared" si="2"/>
        <v>(n): cỏ</v>
      </c>
      <c r="G1673" s="6" t="s">
        <v>43600</v>
      </c>
      <c r="H1673" s="6" t="s">
        <v>43601</v>
      </c>
      <c r="I1673" s="7">
        <f t="shared" si="3"/>
        <v>0.3186337197</v>
      </c>
    </row>
    <row r="1674">
      <c r="A1674" s="4">
        <v>1674.0</v>
      </c>
      <c r="B1674" s="3" t="s">
        <v>43602</v>
      </c>
      <c r="C1674" s="6" t="s">
        <v>74</v>
      </c>
      <c r="D1674" s="6" t="s">
        <v>5021</v>
      </c>
      <c r="E1674" s="3" t="str">
        <f t="shared" si="1"/>
        <v>rock&lt;br&gt;&lt;div class="audio"&gt;[sound:rock.mp3]&lt;/div&gt;</v>
      </c>
      <c r="F1674" s="3" t="str">
        <f t="shared" si="2"/>
        <v>(n): đá</v>
      </c>
      <c r="G1674" s="6" t="s">
        <v>43603</v>
      </c>
      <c r="H1674" s="6" t="s">
        <v>38764</v>
      </c>
      <c r="I1674" s="7">
        <f t="shared" si="3"/>
        <v>0.4187312548</v>
      </c>
    </row>
    <row r="1675">
      <c r="A1675" s="4">
        <v>1675.0</v>
      </c>
      <c r="B1675" s="3" t="s">
        <v>43604</v>
      </c>
      <c r="C1675" s="6" t="s">
        <v>11</v>
      </c>
      <c r="D1675" s="8" t="s">
        <v>15091</v>
      </c>
      <c r="E1675" s="3" t="str">
        <f t="shared" si="1"/>
        <v>sufficient&lt;br&gt;&lt;div class="audio"&gt;[sound:sufficient.mp3]&lt;/div&gt;</v>
      </c>
      <c r="F1675" s="3" t="str">
        <f t="shared" si="2"/>
        <v>(adj): đủ</v>
      </c>
      <c r="G1675" s="8" t="s">
        <v>43605</v>
      </c>
      <c r="H1675" s="8" t="s">
        <v>43606</v>
      </c>
      <c r="I1675" s="7">
        <f t="shared" si="3"/>
        <v>0.419902076</v>
      </c>
    </row>
    <row r="1676">
      <c r="A1676" s="4">
        <v>1676.0</v>
      </c>
      <c r="B1676" s="3" t="s">
        <v>43607</v>
      </c>
      <c r="C1676" s="6" t="s">
        <v>24</v>
      </c>
      <c r="D1676" s="6" t="s">
        <v>7143</v>
      </c>
      <c r="E1676" s="3" t="str">
        <f t="shared" si="1"/>
        <v>display&lt;br&gt;&lt;div class="audio"&gt;[sound:display.mp3]&lt;/div&gt;</v>
      </c>
      <c r="F1676" s="3" t="str">
        <f t="shared" si="2"/>
        <v>(v): trưng bày</v>
      </c>
      <c r="G1676" s="6" t="s">
        <v>43608</v>
      </c>
      <c r="H1676" s="6" t="s">
        <v>43609</v>
      </c>
      <c r="I1676" s="7">
        <f t="shared" si="3"/>
        <v>0.9695167765</v>
      </c>
    </row>
    <row r="1677">
      <c r="A1677" s="4">
        <v>1677.0</v>
      </c>
      <c r="B1677" s="3" t="s">
        <v>43610</v>
      </c>
      <c r="C1677" s="6" t="s">
        <v>24</v>
      </c>
      <c r="D1677" s="6" t="s">
        <v>11138</v>
      </c>
      <c r="E1677" s="3" t="str">
        <f t="shared" si="1"/>
        <v>cry&lt;br&gt;&lt;div class="audio"&gt;[sound:cry.mp3]&lt;/div&gt;</v>
      </c>
      <c r="F1677" s="3" t="str">
        <f t="shared" si="2"/>
        <v>(v): khóc</v>
      </c>
      <c r="G1677" s="6" t="s">
        <v>43611</v>
      </c>
      <c r="H1677" s="6" t="s">
        <v>43612</v>
      </c>
      <c r="I1677" s="7">
        <f t="shared" si="3"/>
        <v>0.7265031107</v>
      </c>
    </row>
    <row r="1678">
      <c r="A1678" s="4">
        <v>1678.0</v>
      </c>
      <c r="B1678" s="3" t="s">
        <v>43613</v>
      </c>
      <c r="C1678" s="6" t="s">
        <v>11</v>
      </c>
      <c r="D1678" s="6" t="s">
        <v>43614</v>
      </c>
      <c r="E1678" s="3" t="str">
        <f t="shared" si="1"/>
        <v>corporate&lt;br&gt;&lt;div class="audio"&gt;[sound:corporate.mp3]&lt;/div&gt;</v>
      </c>
      <c r="F1678" s="3" t="str">
        <f t="shared" si="2"/>
        <v>(adj): thuộc doanh nghiệp</v>
      </c>
      <c r="G1678" s="6" t="s">
        <v>43615</v>
      </c>
      <c r="H1678" s="6" t="s">
        <v>43616</v>
      </c>
      <c r="I1678" s="7">
        <f t="shared" si="3"/>
        <v>0.1951976072</v>
      </c>
    </row>
    <row r="1679">
      <c r="A1679" s="4">
        <v>1679.0</v>
      </c>
      <c r="B1679" s="3" t="s">
        <v>43617</v>
      </c>
      <c r="C1679" s="6" t="s">
        <v>74</v>
      </c>
      <c r="D1679" s="6" t="s">
        <v>43618</v>
      </c>
      <c r="E1679" s="3" t="str">
        <f t="shared" si="1"/>
        <v>debate&lt;br&gt;&lt;div class="audio"&gt;[sound:debate.mp3]&lt;/div&gt;</v>
      </c>
      <c r="F1679" s="3" t="str">
        <f t="shared" si="2"/>
        <v>(n): cuộc tranh luận</v>
      </c>
      <c r="G1679" s="6" t="s">
        <v>43619</v>
      </c>
      <c r="H1679" s="6" t="s">
        <v>43620</v>
      </c>
      <c r="I1679" s="7">
        <f t="shared" si="3"/>
        <v>0.3800755699</v>
      </c>
    </row>
    <row r="1680">
      <c r="A1680" s="4">
        <v>1680.0</v>
      </c>
      <c r="B1680" s="3" t="s">
        <v>43621</v>
      </c>
      <c r="C1680" s="6" t="s">
        <v>24</v>
      </c>
      <c r="D1680" s="6" t="s">
        <v>43622</v>
      </c>
      <c r="E1680" s="3" t="str">
        <f t="shared" si="1"/>
        <v>earn&lt;br&gt;&lt;div class="audio"&gt;[sound:earn.mp3]&lt;/div&gt;</v>
      </c>
      <c r="F1680" s="3" t="str">
        <f t="shared" si="2"/>
        <v>(v): kiếm được</v>
      </c>
      <c r="G1680" s="6" t="s">
        <v>43623</v>
      </c>
      <c r="H1680" s="6" t="s">
        <v>43624</v>
      </c>
      <c r="I1680" s="7">
        <f t="shared" si="3"/>
        <v>0.5729642469</v>
      </c>
    </row>
    <row r="1681">
      <c r="A1681" s="4">
        <v>1681.0</v>
      </c>
      <c r="B1681" s="3" t="s">
        <v>43625</v>
      </c>
      <c r="C1681" s="6" t="s">
        <v>11</v>
      </c>
      <c r="D1681" s="6" t="s">
        <v>23885</v>
      </c>
      <c r="E1681" s="3" t="str">
        <f t="shared" si="1"/>
        <v>gentle&lt;br&gt;&lt;div class="audio"&gt;[sound:gentle.mp3]&lt;/div&gt;</v>
      </c>
      <c r="F1681" s="3" t="str">
        <f t="shared" si="2"/>
        <v>(adj): nhẹ nhàng</v>
      </c>
      <c r="G1681" s="6" t="s">
        <v>43626</v>
      </c>
      <c r="H1681" s="6" t="s">
        <v>43627</v>
      </c>
      <c r="I1681" s="7">
        <f t="shared" si="3"/>
        <v>0.5864080214</v>
      </c>
    </row>
    <row r="1682">
      <c r="A1682" s="4">
        <v>1682.0</v>
      </c>
      <c r="B1682" s="3" t="s">
        <v>43628</v>
      </c>
      <c r="C1682" s="6" t="s">
        <v>24</v>
      </c>
      <c r="D1682" s="6" t="s">
        <v>40220</v>
      </c>
      <c r="E1682" s="3" t="str">
        <f t="shared" si="1"/>
        <v>guarantee&lt;br&gt;&lt;div class="audio"&gt;[sound:guarantee.mp3]&lt;/div&gt;</v>
      </c>
      <c r="F1682" s="3" t="str">
        <f t="shared" si="2"/>
        <v>(v): đảm bảo</v>
      </c>
      <c r="G1682" s="6" t="s">
        <v>43629</v>
      </c>
      <c r="H1682" s="6" t="s">
        <v>43630</v>
      </c>
      <c r="I1682" s="7">
        <f t="shared" si="3"/>
        <v>0.4660177076</v>
      </c>
    </row>
    <row r="1683">
      <c r="A1683" s="4">
        <v>1683.0</v>
      </c>
      <c r="B1683" s="3" t="s">
        <v>43631</v>
      </c>
      <c r="C1683" s="6" t="s">
        <v>24</v>
      </c>
      <c r="D1683" s="6" t="s">
        <v>5446</v>
      </c>
      <c r="E1683" s="3" t="str">
        <f t="shared" si="1"/>
        <v>transfer&lt;br&gt;&lt;div class="audio"&gt;[sound:transfer.mp3]&lt;/div&gt;</v>
      </c>
      <c r="F1683" s="3" t="str">
        <f t="shared" si="2"/>
        <v>(v): chuyển</v>
      </c>
      <c r="G1683" s="6" t="s">
        <v>43632</v>
      </c>
      <c r="H1683" s="6" t="s">
        <v>43633</v>
      </c>
      <c r="I1683" s="7">
        <f t="shared" si="3"/>
        <v>0.2534574272</v>
      </c>
    </row>
    <row r="1684">
      <c r="A1684" s="4">
        <v>1684.0</v>
      </c>
      <c r="B1684" s="3" t="s">
        <v>43634</v>
      </c>
      <c r="C1684" s="6" t="s">
        <v>74</v>
      </c>
      <c r="D1684" s="6" t="s">
        <v>24960</v>
      </c>
      <c r="E1684" s="3" t="str">
        <f t="shared" si="1"/>
        <v>ticket&lt;br&gt;&lt;div class="audio"&gt;[sound:ticket.mp3]&lt;/div&gt;</v>
      </c>
      <c r="F1684" s="3" t="str">
        <f t="shared" si="2"/>
        <v>(n): vé</v>
      </c>
      <c r="G1684" s="6" t="s">
        <v>43635</v>
      </c>
      <c r="H1684" s="6" t="s">
        <v>43636</v>
      </c>
      <c r="I1684" s="7">
        <f t="shared" si="3"/>
        <v>0.05017734719</v>
      </c>
    </row>
    <row r="1685">
      <c r="A1685" s="4">
        <v>1685.0</v>
      </c>
      <c r="B1685" s="3" t="s">
        <v>43637</v>
      </c>
      <c r="C1685" s="6" t="s">
        <v>11</v>
      </c>
      <c r="D1685" s="6" t="s">
        <v>43638</v>
      </c>
      <c r="E1685" s="3" t="str">
        <f t="shared" si="1"/>
        <v>digital&lt;br&gt;&lt;div class="audio"&gt;[sound:digital.mp3]&lt;/div&gt;</v>
      </c>
      <c r="F1685" s="3" t="str">
        <f t="shared" si="2"/>
        <v>(adj): kỹ thuật số</v>
      </c>
      <c r="G1685" s="6" t="s">
        <v>43639</v>
      </c>
      <c r="H1685" s="6" t="s">
        <v>43640</v>
      </c>
      <c r="I1685" s="7">
        <f t="shared" si="3"/>
        <v>0.1806505323</v>
      </c>
    </row>
    <row r="1686">
      <c r="A1686" s="4">
        <v>1686.0</v>
      </c>
      <c r="B1686" s="3" t="s">
        <v>43641</v>
      </c>
      <c r="C1686" s="6" t="s">
        <v>24</v>
      </c>
      <c r="D1686" s="6" t="s">
        <v>11905</v>
      </c>
      <c r="E1686" s="3" t="str">
        <f t="shared" si="1"/>
        <v>cross&lt;br&gt;&lt;div class="audio"&gt;[sound:cross.mp3]&lt;/div&gt;</v>
      </c>
      <c r="F1686" s="3" t="str">
        <f t="shared" si="2"/>
        <v>(v): băng qua</v>
      </c>
      <c r="G1686" s="6" t="s">
        <v>43642</v>
      </c>
      <c r="H1686" s="6" t="s">
        <v>43643</v>
      </c>
      <c r="I1686" s="7">
        <f t="shared" si="3"/>
        <v>0.6286373704</v>
      </c>
    </row>
    <row r="1687">
      <c r="A1687" s="4">
        <v>1687.0</v>
      </c>
      <c r="B1687" s="3" t="s">
        <v>43644</v>
      </c>
      <c r="C1687" s="6" t="s">
        <v>11</v>
      </c>
      <c r="D1687" s="6" t="s">
        <v>43645</v>
      </c>
      <c r="E1687" s="3" t="str">
        <f t="shared" si="1"/>
        <v>critical&lt;br&gt;&lt;div class="audio"&gt;[sound:critical.mp3]&lt;/div&gt;</v>
      </c>
      <c r="F1687" s="3" t="str">
        <f t="shared" si="2"/>
        <v>(adj): mang tính phê bình</v>
      </c>
      <c r="G1687" s="6" t="s">
        <v>43646</v>
      </c>
      <c r="H1687" s="6" t="s">
        <v>43647</v>
      </c>
      <c r="I1687" s="7">
        <f t="shared" si="3"/>
        <v>0.6330097294</v>
      </c>
    </row>
    <row r="1688">
      <c r="A1688" s="4">
        <v>1688.0</v>
      </c>
      <c r="B1688" s="3" t="s">
        <v>43648</v>
      </c>
      <c r="C1688" s="6" t="s">
        <v>74</v>
      </c>
      <c r="D1688" s="6" t="s">
        <v>43649</v>
      </c>
      <c r="E1688" s="3" t="str">
        <f t="shared" si="1"/>
        <v>tear&lt;br&gt;&lt;div class="audio"&gt;[sound:tear.mp3]&lt;/div&gt;</v>
      </c>
      <c r="F1688" s="3" t="str">
        <f t="shared" si="2"/>
        <v>(n): giọt nước mắt</v>
      </c>
      <c r="G1688" s="6" t="s">
        <v>43650</v>
      </c>
      <c r="H1688" s="6" t="s">
        <v>43651</v>
      </c>
      <c r="I1688" s="7">
        <f t="shared" si="3"/>
        <v>0.2220497041</v>
      </c>
    </row>
    <row r="1689">
      <c r="A1689" s="4">
        <v>1689.0</v>
      </c>
      <c r="B1689" s="3" t="s">
        <v>43652</v>
      </c>
      <c r="C1689" s="6" t="s">
        <v>74</v>
      </c>
      <c r="D1689" s="6" t="s">
        <v>43653</v>
      </c>
      <c r="E1689" s="3" t="str">
        <f t="shared" si="1"/>
        <v>democracy&lt;br&gt;&lt;div class="audio"&gt;[sound:democracy.mp3]&lt;/div&gt;</v>
      </c>
      <c r="F1689" s="3" t="str">
        <f t="shared" si="2"/>
        <v>(n): nền dân chủ</v>
      </c>
      <c r="G1689" s="6" t="s">
        <v>43654</v>
      </c>
      <c r="H1689" s="6" t="s">
        <v>43655</v>
      </c>
      <c r="I1689" s="7">
        <f t="shared" si="3"/>
        <v>0.1286888337</v>
      </c>
    </row>
    <row r="1690">
      <c r="A1690" s="4">
        <v>1690.0</v>
      </c>
      <c r="B1690" s="3" t="s">
        <v>43656</v>
      </c>
      <c r="C1690" s="6" t="s">
        <v>11</v>
      </c>
      <c r="D1690" s="6" t="s">
        <v>3050</v>
      </c>
      <c r="E1690" s="3" t="str">
        <f t="shared" si="1"/>
        <v>glad&lt;br&gt;&lt;div class="audio"&gt;[sound:glad.mp3]&lt;/div&gt;</v>
      </c>
      <c r="F1690" s="3" t="str">
        <f t="shared" si="2"/>
        <v>(adj): vui mừng</v>
      </c>
      <c r="G1690" s="6" t="s">
        <v>43657</v>
      </c>
      <c r="H1690" s="6" t="s">
        <v>43658</v>
      </c>
      <c r="I1690" s="7">
        <f t="shared" si="3"/>
        <v>0.1152582686</v>
      </c>
    </row>
    <row r="1691">
      <c r="A1691" s="4">
        <v>1691.0</v>
      </c>
      <c r="B1691" s="3" t="s">
        <v>43659</v>
      </c>
      <c r="C1691" s="6" t="s">
        <v>74</v>
      </c>
      <c r="D1691" s="6" t="s">
        <v>8625</v>
      </c>
      <c r="E1691" s="3" t="str">
        <f t="shared" si="1"/>
        <v>ear&lt;br&gt;&lt;div class="audio"&gt;[sound:ear.mp3]&lt;/div&gt;</v>
      </c>
      <c r="F1691" s="3" t="str">
        <f t="shared" si="2"/>
        <v>(n): tai</v>
      </c>
      <c r="G1691" s="6" t="s">
        <v>43660</v>
      </c>
      <c r="H1691" s="6" t="s">
        <v>43661</v>
      </c>
      <c r="I1691" s="7">
        <f t="shared" si="3"/>
        <v>0.6715697453</v>
      </c>
    </row>
    <row r="1692">
      <c r="A1692" s="4">
        <v>1692.0</v>
      </c>
      <c r="B1692" s="3" t="s">
        <v>43662</v>
      </c>
      <c r="C1692" s="6" t="s">
        <v>74</v>
      </c>
      <c r="D1692" s="6" t="s">
        <v>31504</v>
      </c>
      <c r="E1692" s="3" t="str">
        <f t="shared" si="1"/>
        <v>distance&lt;br&gt;&lt;div class="audio"&gt;[sound:distance.mp3]&lt;/div&gt;</v>
      </c>
      <c r="F1692" s="3" t="str">
        <f t="shared" si="2"/>
        <v>(n): khoảng cách</v>
      </c>
      <c r="G1692" s="6" t="s">
        <v>43663</v>
      </c>
      <c r="H1692" s="6" t="s">
        <v>43664</v>
      </c>
      <c r="I1692" s="7">
        <f t="shared" si="3"/>
        <v>0.2095096928</v>
      </c>
    </row>
    <row r="1693">
      <c r="A1693" s="4">
        <v>1693.0</v>
      </c>
      <c r="B1693" s="3" t="s">
        <v>43665</v>
      </c>
      <c r="C1693" s="6" t="s">
        <v>74</v>
      </c>
      <c r="D1693" s="6" t="s">
        <v>24614</v>
      </c>
      <c r="E1693" s="3" t="str">
        <f t="shared" si="1"/>
        <v>dance&lt;br&gt;&lt;div class="audio"&gt;[sound:dance.mp3]&lt;/div&gt;</v>
      </c>
      <c r="F1693" s="3" t="str">
        <f t="shared" si="2"/>
        <v>(n): điệu nhảy</v>
      </c>
      <c r="G1693" s="6" t="s">
        <v>43666</v>
      </c>
      <c r="H1693" s="6" t="s">
        <v>43667</v>
      </c>
      <c r="I1693" s="7">
        <f t="shared" si="3"/>
        <v>0.04685018638</v>
      </c>
    </row>
    <row r="1694">
      <c r="A1694" s="4">
        <v>1694.0</v>
      </c>
      <c r="B1694" s="3" t="s">
        <v>43668</v>
      </c>
      <c r="C1694" s="6" t="s">
        <v>74</v>
      </c>
      <c r="D1694" s="6" t="s">
        <v>43669</v>
      </c>
      <c r="E1694" s="3" t="str">
        <f t="shared" si="1"/>
        <v>gaze&lt;br&gt;&lt;div class="audio"&gt;[sound:gaze.mp3]&lt;/div&gt;</v>
      </c>
      <c r="F1694" s="3" t="str">
        <f t="shared" si="2"/>
        <v>(n): cái nhìn chằm chằm</v>
      </c>
      <c r="G1694" s="6" t="s">
        <v>43670</v>
      </c>
      <c r="H1694" s="6" t="s">
        <v>43671</v>
      </c>
      <c r="I1694" s="7">
        <f t="shared" si="3"/>
        <v>0.4653242476</v>
      </c>
    </row>
    <row r="1695">
      <c r="A1695" s="4">
        <v>1695.0</v>
      </c>
      <c r="B1695" s="3" t="s">
        <v>43672</v>
      </c>
      <c r="C1695" s="6" t="s">
        <v>85</v>
      </c>
      <c r="D1695" s="6" t="s">
        <v>43673</v>
      </c>
      <c r="E1695" s="3" t="str">
        <f t="shared" si="1"/>
        <v>easily&lt;br&gt;&lt;div class="audio"&gt;[sound:easily.mp3]&lt;/div&gt;</v>
      </c>
      <c r="F1695" s="3" t="str">
        <f t="shared" si="2"/>
        <v>(adv): một cách dễ dàng</v>
      </c>
      <c r="G1695" s="6" t="s">
        <v>43674</v>
      </c>
      <c r="H1695" s="6" t="s">
        <v>43675</v>
      </c>
      <c r="I1695" s="7">
        <f t="shared" si="3"/>
        <v>0.6953693811</v>
      </c>
    </row>
    <row r="1696">
      <c r="A1696" s="4">
        <v>1696.0</v>
      </c>
      <c r="B1696" s="3" t="s">
        <v>43676</v>
      </c>
      <c r="C1696" s="6" t="s">
        <v>74</v>
      </c>
      <c r="D1696" s="6" t="s">
        <v>43677</v>
      </c>
      <c r="E1696" s="3" t="str">
        <f t="shared" si="1"/>
        <v>visitor&lt;br&gt;&lt;div class="audio"&gt;[sound:visitor.mp3]&lt;/div&gt;</v>
      </c>
      <c r="F1696" s="3" t="str">
        <f t="shared" si="2"/>
        <v>(n): khách tham quan</v>
      </c>
      <c r="G1696" s="6" t="s">
        <v>43678</v>
      </c>
      <c r="H1696" s="6" t="s">
        <v>43679</v>
      </c>
      <c r="I1696" s="7">
        <f t="shared" si="3"/>
        <v>0.4000635385</v>
      </c>
    </row>
    <row r="1697">
      <c r="A1697" s="4">
        <v>1697.0</v>
      </c>
      <c r="B1697" s="3" t="s">
        <v>43680</v>
      </c>
      <c r="C1697" s="6" t="s">
        <v>85</v>
      </c>
      <c r="D1697" s="6" t="s">
        <v>5214</v>
      </c>
      <c r="E1697" s="3" t="str">
        <f t="shared" si="1"/>
        <v>typically&lt;br&gt;&lt;div class="audio"&gt;[sound:typically.mp3]&lt;/div&gt;</v>
      </c>
      <c r="F1697" s="3" t="str">
        <f t="shared" si="2"/>
        <v>(adv): thông thường</v>
      </c>
      <c r="G1697" s="6" t="s">
        <v>43681</v>
      </c>
      <c r="H1697" s="6" t="s">
        <v>43682</v>
      </c>
      <c r="I1697" s="7">
        <f t="shared" si="3"/>
        <v>0.8232143322</v>
      </c>
    </row>
    <row r="1698">
      <c r="A1698" s="4">
        <v>1698.0</v>
      </c>
      <c r="B1698" s="3" t="s">
        <v>43683</v>
      </c>
      <c r="C1698" s="6" t="s">
        <v>24</v>
      </c>
      <c r="D1698" s="6" t="s">
        <v>10348</v>
      </c>
      <c r="E1698" s="3" t="str">
        <f t="shared" si="1"/>
        <v>convince&lt;br&gt;&lt;div class="audio"&gt;[sound:convince.mp3]&lt;/div&gt;</v>
      </c>
      <c r="F1698" s="3" t="str">
        <f t="shared" si="2"/>
        <v>(v): thuyết phục</v>
      </c>
      <c r="G1698" s="6" t="s">
        <v>43684</v>
      </c>
      <c r="H1698" s="6" t="s">
        <v>43685</v>
      </c>
      <c r="I1698" s="7">
        <f t="shared" si="3"/>
        <v>0.8273336397</v>
      </c>
    </row>
    <row r="1699">
      <c r="A1699" s="4">
        <v>1699.0</v>
      </c>
      <c r="B1699" s="3" t="s">
        <v>43686</v>
      </c>
      <c r="C1699" s="6" t="s">
        <v>74</v>
      </c>
      <c r="D1699" s="8" t="s">
        <v>24467</v>
      </c>
      <c r="E1699" s="3" t="str">
        <f t="shared" si="1"/>
        <v>symptom&lt;br&gt;&lt;div class="audio"&gt;[sound:symptom.mp3]&lt;/div&gt;</v>
      </c>
      <c r="F1699" s="3" t="str">
        <f t="shared" si="2"/>
        <v>(n): triệu chứng</v>
      </c>
      <c r="G1699" s="8" t="s">
        <v>43687</v>
      </c>
      <c r="H1699" s="8" t="s">
        <v>43688</v>
      </c>
      <c r="I1699" s="7">
        <f t="shared" si="3"/>
        <v>0.9714976277</v>
      </c>
    </row>
    <row r="1700">
      <c r="A1700" s="4">
        <v>1700.0</v>
      </c>
      <c r="B1700" s="3" t="s">
        <v>43689</v>
      </c>
      <c r="C1700" s="6" t="s">
        <v>74</v>
      </c>
      <c r="D1700" s="6" t="s">
        <v>10541</v>
      </c>
      <c r="E1700" s="3" t="str">
        <f t="shared" si="1"/>
        <v>vehicle&lt;br&gt;&lt;div class="audio"&gt;[sound:vehicle.mp3]&lt;/div&gt;</v>
      </c>
      <c r="F1700" s="3" t="str">
        <f t="shared" si="2"/>
        <v>(n): phương tiện</v>
      </c>
      <c r="G1700" s="6" t="s">
        <v>43690</v>
      </c>
      <c r="H1700" s="6" t="s">
        <v>43691</v>
      </c>
      <c r="I1700" s="7">
        <f t="shared" si="3"/>
        <v>0.6725981794</v>
      </c>
    </row>
    <row r="1701">
      <c r="A1701" s="4">
        <v>1701.0</v>
      </c>
      <c r="B1701" s="3" t="s">
        <v>43692</v>
      </c>
      <c r="C1701" s="6" t="s">
        <v>74</v>
      </c>
      <c r="D1701" s="6" t="s">
        <v>43693</v>
      </c>
      <c r="E1701" s="3" t="str">
        <f t="shared" si="1"/>
        <v>tone&lt;br&gt;&lt;div class="audio"&gt;[sound:tone.mp3]&lt;/div&gt;</v>
      </c>
      <c r="F1701" s="3" t="str">
        <f t="shared" si="2"/>
        <v>(n): giọng điệu</v>
      </c>
      <c r="G1701" s="6" t="s">
        <v>43694</v>
      </c>
      <c r="H1701" s="6" t="s">
        <v>43695</v>
      </c>
      <c r="I1701" s="7">
        <f t="shared" si="3"/>
        <v>0.1547926614</v>
      </c>
    </row>
    <row r="1702">
      <c r="A1702" s="4">
        <v>1702.0</v>
      </c>
      <c r="B1702" s="3" t="s">
        <v>43696</v>
      </c>
      <c r="C1702" s="6" t="s">
        <v>11</v>
      </c>
      <c r="D1702" s="6" t="s">
        <v>38623</v>
      </c>
      <c r="E1702" s="3" t="str">
        <f t="shared" si="1"/>
        <v>unable&lt;br&gt;&lt;div class="audio"&gt;[sound:unable.mp3]&lt;/div&gt;</v>
      </c>
      <c r="F1702" s="3" t="str">
        <f t="shared" si="2"/>
        <v>(adj): không thể</v>
      </c>
      <c r="G1702" s="6" t="s">
        <v>43697</v>
      </c>
      <c r="H1702" s="6" t="s">
        <v>43698</v>
      </c>
      <c r="I1702" s="7">
        <f t="shared" si="3"/>
        <v>0.478753369</v>
      </c>
    </row>
    <row r="1703">
      <c r="A1703" s="4">
        <v>1703.0</v>
      </c>
      <c r="B1703" s="3" t="s">
        <v>43699</v>
      </c>
      <c r="C1703" s="6" t="s">
        <v>74</v>
      </c>
      <c r="D1703" s="6" t="s">
        <v>43700</v>
      </c>
      <c r="E1703" s="3" t="str">
        <f t="shared" si="1"/>
        <v>victim&lt;br&gt;&lt;div class="audio"&gt;[sound:victim.mp3]&lt;/div&gt;</v>
      </c>
      <c r="F1703" s="3" t="str">
        <f t="shared" si="2"/>
        <v>(n): nạn nhân</v>
      </c>
      <c r="G1703" s="6" t="s">
        <v>43701</v>
      </c>
      <c r="H1703" s="6" t="s">
        <v>43702</v>
      </c>
      <c r="I1703" s="7">
        <f t="shared" si="3"/>
        <v>0.716372537</v>
      </c>
    </row>
    <row r="1704">
      <c r="A1704" s="4">
        <v>1704.0</v>
      </c>
      <c r="B1704" s="3" t="s">
        <v>43703</v>
      </c>
      <c r="C1704" s="6" t="s">
        <v>74</v>
      </c>
      <c r="D1704" s="6" t="s">
        <v>43704</v>
      </c>
      <c r="E1704" s="3" t="str">
        <f t="shared" si="1"/>
        <v>wave&lt;br&gt;&lt;div class="audio"&gt;[sound:wave.mp3]&lt;/div&gt;</v>
      </c>
      <c r="F1704" s="3" t="str">
        <f t="shared" si="2"/>
        <v>(n): con sóng</v>
      </c>
      <c r="G1704" s="6" t="s">
        <v>43705</v>
      </c>
      <c r="H1704" s="6" t="s">
        <v>43706</v>
      </c>
      <c r="I1704" s="7">
        <f t="shared" si="3"/>
        <v>0.9130672182</v>
      </c>
    </row>
    <row r="1705">
      <c r="A1705" s="4">
        <v>1705.0</v>
      </c>
      <c r="B1705" s="3" t="s">
        <v>43707</v>
      </c>
      <c r="C1705" s="6" t="s">
        <v>74</v>
      </c>
      <c r="D1705" s="6" t="s">
        <v>5371</v>
      </c>
      <c r="E1705" s="3" t="str">
        <f t="shared" si="1"/>
        <v>jacket&lt;br&gt;&lt;div class="audio"&gt;[sound:jacket.mp3]&lt;/div&gt;</v>
      </c>
      <c r="F1705" s="3" t="str">
        <f t="shared" si="2"/>
        <v>(n): áo khoác</v>
      </c>
      <c r="G1705" s="6" t="s">
        <v>43708</v>
      </c>
      <c r="H1705" s="6" t="s">
        <v>43709</v>
      </c>
      <c r="I1705" s="7">
        <f t="shared" si="3"/>
        <v>0.2880736179</v>
      </c>
    </row>
    <row r="1706">
      <c r="A1706" s="4">
        <v>1706.0</v>
      </c>
      <c r="B1706" s="3" t="s">
        <v>43710</v>
      </c>
      <c r="C1706" s="6" t="s">
        <v>11</v>
      </c>
      <c r="D1706" s="6" t="s">
        <v>12820</v>
      </c>
      <c r="E1706" s="3" t="str">
        <f t="shared" si="1"/>
        <v>unique&lt;br&gt;&lt;div class="audio"&gt;[sound:unique.mp3]&lt;/div&gt;</v>
      </c>
      <c r="F1706" s="3" t="str">
        <f t="shared" si="2"/>
        <v>(adj): độc đáo</v>
      </c>
      <c r="G1706" s="6" t="s">
        <v>43711</v>
      </c>
      <c r="H1706" s="6" t="s">
        <v>43712</v>
      </c>
      <c r="I1706" s="7">
        <f t="shared" si="3"/>
        <v>0.3170681965</v>
      </c>
    </row>
    <row r="1707">
      <c r="A1707" s="4">
        <v>1707.0</v>
      </c>
      <c r="B1707" s="3" t="s">
        <v>43713</v>
      </c>
      <c r="C1707" s="6" t="s">
        <v>24</v>
      </c>
      <c r="D1707" s="6" t="s">
        <v>7457</v>
      </c>
      <c r="E1707" s="3" t="str">
        <f t="shared" si="1"/>
        <v>destroy&lt;br&gt;&lt;div class="audio"&gt;[sound:destroy.mp3]&lt;/div&gt;</v>
      </c>
      <c r="F1707" s="3" t="str">
        <f t="shared" si="2"/>
        <v>(v): phá hủy</v>
      </c>
      <c r="G1707" s="6" t="s">
        <v>43714</v>
      </c>
      <c r="H1707" s="6" t="s">
        <v>43715</v>
      </c>
      <c r="I1707" s="7">
        <f t="shared" si="3"/>
        <v>0.1793601199</v>
      </c>
    </row>
    <row r="1708">
      <c r="A1708" s="4">
        <v>1708.0</v>
      </c>
      <c r="B1708" s="3" t="s">
        <v>43716</v>
      </c>
      <c r="C1708" s="6" t="s">
        <v>24</v>
      </c>
      <c r="D1708" s="6" t="s">
        <v>28704</v>
      </c>
      <c r="E1708" s="3" t="str">
        <f t="shared" si="1"/>
        <v>govern&lt;br&gt;&lt;div class="audio"&gt;[sound:govern.mp3]&lt;/div&gt;</v>
      </c>
      <c r="F1708" s="3" t="str">
        <f t="shared" si="2"/>
        <v>(v): cai trị</v>
      </c>
      <c r="G1708" s="6" t="s">
        <v>43717</v>
      </c>
      <c r="H1708" s="6" t="s">
        <v>43718</v>
      </c>
      <c r="I1708" s="7">
        <f t="shared" si="3"/>
        <v>0.7960660318</v>
      </c>
    </row>
    <row r="1709">
      <c r="A1709" s="4">
        <v>1709.0</v>
      </c>
      <c r="B1709" s="3" t="s">
        <v>43719</v>
      </c>
      <c r="C1709" s="6" t="s">
        <v>85</v>
      </c>
      <c r="D1709" s="6" t="s">
        <v>14029</v>
      </c>
      <c r="E1709" s="3" t="str">
        <f t="shared" si="1"/>
        <v>gradually&lt;br&gt;&lt;div class="audio"&gt;[sound:gradually.mp3]&lt;/div&gt;</v>
      </c>
      <c r="F1709" s="3" t="str">
        <f t="shared" si="2"/>
        <v>(adv): dần dần</v>
      </c>
      <c r="G1709" s="6" t="s">
        <v>43720</v>
      </c>
      <c r="H1709" s="6" t="s">
        <v>43721</v>
      </c>
      <c r="I1709" s="7">
        <f t="shared" si="3"/>
        <v>0.3542002741</v>
      </c>
    </row>
    <row r="1710">
      <c r="A1710" s="4">
        <v>1710.0</v>
      </c>
      <c r="B1710" s="3" t="s">
        <v>43722</v>
      </c>
      <c r="C1710" s="6" t="s">
        <v>74</v>
      </c>
      <c r="D1710" s="6" t="s">
        <v>9939</v>
      </c>
      <c r="E1710" s="3" t="str">
        <f t="shared" si="1"/>
        <v>thursday&lt;br&gt;&lt;div class="audio"&gt;[sound:thursday.mp3]&lt;/div&gt;</v>
      </c>
      <c r="F1710" s="3" t="str">
        <f t="shared" si="2"/>
        <v>(n): thứ năm</v>
      </c>
      <c r="G1710" s="6" t="s">
        <v>43723</v>
      </c>
      <c r="H1710" s="6" t="s">
        <v>43724</v>
      </c>
      <c r="I1710" s="7">
        <f t="shared" si="3"/>
        <v>0.04550620053</v>
      </c>
    </row>
    <row r="1711">
      <c r="A1711" s="4">
        <v>1711.0</v>
      </c>
      <c r="B1711" s="3" t="s">
        <v>43725</v>
      </c>
      <c r="C1711" s="6" t="s">
        <v>24</v>
      </c>
      <c r="D1711" s="6" t="s">
        <v>26187</v>
      </c>
      <c r="E1711" s="3" t="str">
        <f t="shared" si="1"/>
        <v>threaten&lt;br&gt;&lt;div class="audio"&gt;[sound:threaten.mp3]&lt;/div&gt;</v>
      </c>
      <c r="F1711" s="3" t="str">
        <f t="shared" si="2"/>
        <v>(v): đe dọa</v>
      </c>
      <c r="G1711" s="6" t="s">
        <v>43726</v>
      </c>
      <c r="H1711" s="6" t="s">
        <v>43727</v>
      </c>
      <c r="I1711" s="7">
        <f t="shared" si="3"/>
        <v>0.03899703055</v>
      </c>
    </row>
    <row r="1712">
      <c r="A1712" s="4">
        <v>1712.0</v>
      </c>
      <c r="B1712" s="3" t="s">
        <v>43728</v>
      </c>
      <c r="C1712" s="6" t="s">
        <v>74</v>
      </c>
      <c r="D1712" s="6" t="s">
        <v>17570</v>
      </c>
      <c r="E1712" s="3" t="str">
        <f t="shared" si="1"/>
        <v>wednesday&lt;br&gt;&lt;div class="audio"&gt;[sound:wednesday.mp3]&lt;/div&gt;</v>
      </c>
      <c r="F1712" s="3" t="str">
        <f t="shared" si="2"/>
        <v>(n): thứ tư</v>
      </c>
      <c r="G1712" s="6" t="s">
        <v>43729</v>
      </c>
      <c r="H1712" s="6" t="s">
        <v>43730</v>
      </c>
      <c r="I1712" s="7">
        <f t="shared" si="3"/>
        <v>0.6559350373</v>
      </c>
    </row>
    <row r="1713">
      <c r="A1713" s="4">
        <v>1713.0</v>
      </c>
      <c r="B1713" s="3" t="s">
        <v>43731</v>
      </c>
      <c r="C1713" s="6" t="s">
        <v>24</v>
      </c>
      <c r="D1713" s="6" t="s">
        <v>4157</v>
      </c>
      <c r="E1713" s="3" t="str">
        <f t="shared" si="1"/>
        <v>tie&lt;br&gt;&lt;div class="audio"&gt;[sound:tie.mp3]&lt;/div&gt;</v>
      </c>
      <c r="F1713" s="3" t="str">
        <f t="shared" si="2"/>
        <v>(v): buộc</v>
      </c>
      <c r="G1713" s="6" t="s">
        <v>43732</v>
      </c>
      <c r="H1713" s="6" t="s">
        <v>43733</v>
      </c>
      <c r="I1713" s="7">
        <f t="shared" si="3"/>
        <v>0.2964912003</v>
      </c>
    </row>
    <row r="1714">
      <c r="A1714" s="4">
        <v>1714.0</v>
      </c>
      <c r="B1714" s="3" t="s">
        <v>43734</v>
      </c>
      <c r="C1714" s="6" t="s">
        <v>74</v>
      </c>
      <c r="D1714" s="6" t="s">
        <v>43735</v>
      </c>
      <c r="E1714" s="3" t="str">
        <f t="shared" si="1"/>
        <v>tip&lt;br&gt;&lt;div class="audio"&gt;[sound:tip.mp3]&lt;/div&gt;</v>
      </c>
      <c r="F1714" s="3" t="str">
        <f t="shared" si="2"/>
        <v>(n): mẹo</v>
      </c>
      <c r="G1714" s="6" t="s">
        <v>43736</v>
      </c>
      <c r="H1714" s="6" t="s">
        <v>43737</v>
      </c>
      <c r="I1714" s="7">
        <f t="shared" si="3"/>
        <v>0.9537399634</v>
      </c>
    </row>
    <row r="1715">
      <c r="A1715" s="4">
        <v>1715.0</v>
      </c>
      <c r="B1715" s="3" t="s">
        <v>43738</v>
      </c>
      <c r="C1715" s="6" t="s">
        <v>11</v>
      </c>
      <c r="D1715" s="6" t="s">
        <v>18337</v>
      </c>
      <c r="E1715" s="3" t="str">
        <f t="shared" si="1"/>
        <v>thick&lt;br&gt;&lt;div class="audio"&gt;[sound:thick.mp3]&lt;/div&gt;</v>
      </c>
      <c r="F1715" s="3" t="str">
        <f t="shared" si="2"/>
        <v>(adj): dày</v>
      </c>
      <c r="G1715" s="6" t="s">
        <v>43739</v>
      </c>
      <c r="H1715" s="6" t="s">
        <v>43740</v>
      </c>
      <c r="I1715" s="7">
        <f t="shared" si="3"/>
        <v>0.4088448972</v>
      </c>
    </row>
    <row r="1716">
      <c r="A1716" s="4">
        <v>1716.0</v>
      </c>
      <c r="B1716" s="3" t="s">
        <v>43741</v>
      </c>
      <c r="C1716" s="6" t="s">
        <v>24</v>
      </c>
      <c r="D1716" s="6" t="s">
        <v>43742</v>
      </c>
      <c r="E1716" s="3" t="str">
        <f t="shared" si="1"/>
        <v>knock&lt;br&gt;&lt;div class="audio"&gt;[sound:knock.mp3]&lt;/div&gt;</v>
      </c>
      <c r="F1716" s="3" t="str">
        <f t="shared" si="2"/>
        <v>(v): gõ</v>
      </c>
      <c r="G1716" s="6" t="s">
        <v>43743</v>
      </c>
      <c r="H1716" s="6" t="s">
        <v>43744</v>
      </c>
      <c r="I1716" s="7">
        <f t="shared" si="3"/>
        <v>0.02591259644</v>
      </c>
    </row>
    <row r="1717">
      <c r="A1717" s="4">
        <v>1717.0</v>
      </c>
      <c r="B1717" s="3" t="s">
        <v>43745</v>
      </c>
      <c r="C1717" s="6" t="s">
        <v>24</v>
      </c>
      <c r="D1717" s="6" t="s">
        <v>8453</v>
      </c>
      <c r="E1717" s="3" t="str">
        <f t="shared" si="1"/>
        <v>divide&lt;br&gt;&lt;div class="audio"&gt;[sound:divide.mp3]&lt;/div&gt;</v>
      </c>
      <c r="F1717" s="3" t="str">
        <f t="shared" si="2"/>
        <v>(v): chia</v>
      </c>
      <c r="G1717" s="6" t="s">
        <v>43746</v>
      </c>
      <c r="H1717" s="6" t="s">
        <v>43747</v>
      </c>
      <c r="I1717" s="7">
        <f t="shared" si="3"/>
        <v>0.1507112337</v>
      </c>
    </row>
    <row r="1718">
      <c r="A1718" s="4">
        <v>1718.0</v>
      </c>
      <c r="B1718" s="3" t="s">
        <v>43748</v>
      </c>
      <c r="C1718" s="6" t="s">
        <v>74</v>
      </c>
      <c r="D1718" s="6" t="s">
        <v>842</v>
      </c>
      <c r="E1718" s="3" t="str">
        <f t="shared" si="1"/>
        <v>dad&lt;br&gt;&lt;div class="audio"&gt;[sound:dad.mp3]&lt;/div&gt;</v>
      </c>
      <c r="F1718" s="3" t="str">
        <f t="shared" si="2"/>
        <v>(n): bố</v>
      </c>
      <c r="G1718" s="6" t="s">
        <v>43749</v>
      </c>
      <c r="H1718" s="6" t="s">
        <v>43750</v>
      </c>
      <c r="I1718" s="7">
        <f t="shared" si="3"/>
        <v>0.776869929</v>
      </c>
    </row>
    <row r="1719">
      <c r="A1719" s="4">
        <v>1719.0</v>
      </c>
      <c r="B1719" s="3" t="s">
        <v>43751</v>
      </c>
      <c r="C1719" s="6" t="s">
        <v>74</v>
      </c>
      <c r="D1719" s="6" t="s">
        <v>40055</v>
      </c>
      <c r="E1719" s="3" t="str">
        <f t="shared" si="1"/>
        <v>tension&lt;br&gt;&lt;div class="audio"&gt;[sound:tension.mp3]&lt;/div&gt;</v>
      </c>
      <c r="F1719" s="3" t="str">
        <f t="shared" si="2"/>
        <v>(n): sự căng thẳng</v>
      </c>
      <c r="G1719" s="6" t="s">
        <v>43752</v>
      </c>
      <c r="H1719" s="6" t="s">
        <v>43753</v>
      </c>
      <c r="I1719" s="7">
        <f t="shared" si="3"/>
        <v>0.4658239913</v>
      </c>
    </row>
    <row r="1720">
      <c r="A1720" s="4">
        <v>1720.0</v>
      </c>
      <c r="B1720" s="3" t="s">
        <v>43754</v>
      </c>
      <c r="C1720" s="6" t="s">
        <v>74</v>
      </c>
      <c r="D1720" s="6" t="s">
        <v>687</v>
      </c>
      <c r="E1720" s="3" t="str">
        <f t="shared" si="1"/>
        <v>telephone&lt;br&gt;&lt;div class="audio"&gt;[sound:telephone.mp3]&lt;/div&gt;</v>
      </c>
      <c r="F1720" s="3" t="str">
        <f t="shared" si="2"/>
        <v>(n): điện thoại</v>
      </c>
      <c r="G1720" s="6" t="s">
        <v>43755</v>
      </c>
      <c r="H1720" s="6" t="s">
        <v>43756</v>
      </c>
      <c r="I1720" s="7">
        <f t="shared" si="3"/>
        <v>0.08499239848</v>
      </c>
    </row>
    <row r="1721">
      <c r="A1721" s="4">
        <v>1721.0</v>
      </c>
      <c r="B1721" s="3" t="s">
        <v>43757</v>
      </c>
      <c r="C1721" s="6" t="s">
        <v>74</v>
      </c>
      <c r="D1721" s="6" t="s">
        <v>43758</v>
      </c>
      <c r="E1721" s="3" t="str">
        <f t="shared" si="1"/>
        <v>governor&lt;br&gt;&lt;div class="audio"&gt;[sound:governor.mp3]&lt;/div&gt;</v>
      </c>
      <c r="F1721" s="3" t="str">
        <f t="shared" si="2"/>
        <v>(n): thống đốc</v>
      </c>
      <c r="G1721" s="6" t="s">
        <v>43759</v>
      </c>
      <c r="H1721" s="6" t="s">
        <v>43760</v>
      </c>
      <c r="I1721" s="7">
        <f t="shared" si="3"/>
        <v>0.3574437957</v>
      </c>
    </row>
    <row r="1722">
      <c r="A1722" s="4">
        <v>1722.0</v>
      </c>
      <c r="B1722" s="3" t="s">
        <v>43761</v>
      </c>
      <c r="C1722" s="6" t="s">
        <v>74</v>
      </c>
      <c r="D1722" s="6" t="s">
        <v>14431</v>
      </c>
      <c r="E1722" s="3" t="str">
        <f t="shared" si="1"/>
        <v>duty&lt;br&gt;&lt;div class="audio"&gt;[sound:duty.mp3]&lt;/div&gt;</v>
      </c>
      <c r="F1722" s="3" t="str">
        <f t="shared" si="2"/>
        <v>(n): nhiệm vụ</v>
      </c>
      <c r="G1722" s="6" t="s">
        <v>43762</v>
      </c>
      <c r="H1722" s="6" t="s">
        <v>43763</v>
      </c>
      <c r="I1722" s="7">
        <f t="shared" si="3"/>
        <v>0.1052549279</v>
      </c>
    </row>
    <row r="1723">
      <c r="A1723" s="4">
        <v>1723.0</v>
      </c>
      <c r="B1723" s="3" t="s">
        <v>43764</v>
      </c>
      <c r="C1723" s="6" t="s">
        <v>24</v>
      </c>
      <c r="D1723" s="6" t="s">
        <v>43765</v>
      </c>
      <c r="E1723" s="3" t="str">
        <f t="shared" si="1"/>
        <v>cook&lt;br&gt;&lt;div class="audio"&gt;[sound:cook.mp3]&lt;/div&gt;</v>
      </c>
      <c r="F1723" s="3" t="str">
        <f t="shared" si="2"/>
        <v>(v): nấu ăn</v>
      </c>
      <c r="G1723" s="6" t="s">
        <v>43766</v>
      </c>
      <c r="H1723" s="6" t="s">
        <v>43767</v>
      </c>
      <c r="I1723" s="7">
        <f t="shared" si="3"/>
        <v>0.08594459351</v>
      </c>
    </row>
    <row r="1724">
      <c r="A1724" s="4">
        <v>1724.0</v>
      </c>
      <c r="B1724" s="3" t="s">
        <v>43768</v>
      </c>
      <c r="C1724" s="6" t="s">
        <v>24</v>
      </c>
      <c r="D1724" s="6" t="s">
        <v>8099</v>
      </c>
      <c r="E1724" s="3" t="str">
        <f t="shared" si="1"/>
        <v>defend&lt;br&gt;&lt;div class="audio"&gt;[sound:defend.mp3]&lt;/div&gt;</v>
      </c>
      <c r="F1724" s="3" t="str">
        <f t="shared" si="2"/>
        <v>(v): bảo vệ</v>
      </c>
      <c r="G1724" s="6" t="s">
        <v>43769</v>
      </c>
      <c r="H1724" s="6" t="s">
        <v>43770</v>
      </c>
      <c r="I1724" s="7">
        <f t="shared" si="3"/>
        <v>0.8195226626</v>
      </c>
    </row>
    <row r="1725">
      <c r="A1725" s="4">
        <v>1725.0</v>
      </c>
      <c r="B1725" s="3" t="s">
        <v>43771</v>
      </c>
      <c r="C1725" s="6" t="s">
        <v>11</v>
      </c>
      <c r="D1725" s="6" t="s">
        <v>43772</v>
      </c>
      <c r="E1725" s="3" t="str">
        <f t="shared" si="1"/>
        <v>eastern&lt;br&gt;&lt;div class="audio"&gt;[sound:eastern.mp3]&lt;/div&gt;</v>
      </c>
      <c r="F1725" s="3" t="str">
        <f t="shared" si="2"/>
        <v>(adj): thuộc phía đông</v>
      </c>
      <c r="G1725" s="6" t="s">
        <v>43773</v>
      </c>
      <c r="H1725" s="6" t="s">
        <v>43774</v>
      </c>
      <c r="I1725" s="7">
        <f t="shared" si="3"/>
        <v>0.8611120983</v>
      </c>
    </row>
    <row r="1726">
      <c r="A1726" s="4">
        <v>1726.0</v>
      </c>
      <c r="B1726" s="3" t="s">
        <v>43775</v>
      </c>
      <c r="C1726" s="6" t="s">
        <v>24</v>
      </c>
      <c r="D1726" s="6" t="s">
        <v>8430</v>
      </c>
      <c r="E1726" s="3" t="str">
        <f t="shared" si="1"/>
        <v>disappear&lt;br&gt;&lt;div class="audio"&gt;[sound:disappear.mp3]&lt;/div&gt;</v>
      </c>
      <c r="F1726" s="3" t="str">
        <f t="shared" si="2"/>
        <v>(v): biến mất</v>
      </c>
      <c r="G1726" s="6" t="s">
        <v>43776</v>
      </c>
      <c r="H1726" s="6" t="s">
        <v>43777</v>
      </c>
      <c r="I1726" s="7">
        <f t="shared" si="3"/>
        <v>0.2132621825</v>
      </c>
    </row>
    <row r="1727">
      <c r="A1727" s="4">
        <v>1727.0</v>
      </c>
      <c r="B1727" s="3" t="s">
        <v>43778</v>
      </c>
      <c r="C1727" s="6" t="s">
        <v>11</v>
      </c>
      <c r="D1727" s="6" t="s">
        <v>43779</v>
      </c>
      <c r="E1727" s="3" t="str">
        <f t="shared" si="1"/>
        <v>crucial&lt;br&gt;&lt;div class="audio"&gt;[sound:crucial.mp3]&lt;/div&gt;</v>
      </c>
      <c r="F1727" s="3" t="str">
        <f t="shared" si="2"/>
        <v>(adj): cốt yếu</v>
      </c>
      <c r="G1727" s="6" t="s">
        <v>43780</v>
      </c>
      <c r="H1727" s="6" t="s">
        <v>43781</v>
      </c>
      <c r="I1727" s="7">
        <f t="shared" si="3"/>
        <v>0.9006746377</v>
      </c>
    </row>
    <row r="1728">
      <c r="A1728" s="4">
        <v>1728.0</v>
      </c>
      <c r="B1728" s="3" t="s">
        <v>43782</v>
      </c>
      <c r="C1728" s="6" t="s">
        <v>74</v>
      </c>
      <c r="D1728" s="6" t="s">
        <v>43783</v>
      </c>
      <c r="E1728" s="3" t="str">
        <f t="shared" si="1"/>
        <v>graduate&lt;br&gt;&lt;div class="audio"&gt;[sound:graduate.mp3]&lt;/div&gt;</v>
      </c>
      <c r="F1728" s="3" t="str">
        <f t="shared" si="2"/>
        <v>(n): sinh viên tốt nghiệp</v>
      </c>
      <c r="G1728" s="6" t="s">
        <v>43784</v>
      </c>
      <c r="H1728" s="6" t="s">
        <v>43785</v>
      </c>
      <c r="I1728" s="7">
        <f t="shared" si="3"/>
        <v>0.1802168428</v>
      </c>
    </row>
    <row r="1729">
      <c r="A1729" s="4">
        <v>1729.0</v>
      </c>
      <c r="B1729" s="3" t="s">
        <v>43786</v>
      </c>
      <c r="C1729" s="6" t="s">
        <v>85</v>
      </c>
      <c r="D1729" s="8" t="s">
        <v>43787</v>
      </c>
      <c r="E1729" s="3" t="str">
        <f t="shared" si="1"/>
        <v>strictly&lt;br&gt;&lt;div class="audio"&gt;[sound:strictly.mp3]&lt;/div&gt;</v>
      </c>
      <c r="F1729" s="3" t="str">
        <f t="shared" si="2"/>
        <v>(adv): một cách nghiêm ngặt</v>
      </c>
      <c r="G1729" s="8" t="s">
        <v>43788</v>
      </c>
      <c r="H1729" s="8" t="s">
        <v>43789</v>
      </c>
      <c r="I1729" s="7">
        <f t="shared" si="3"/>
        <v>0.9816412368</v>
      </c>
    </row>
    <row r="1730">
      <c r="A1730" s="4">
        <v>1730.0</v>
      </c>
      <c r="B1730" s="3" t="s">
        <v>43790</v>
      </c>
      <c r="C1730" s="6" t="s">
        <v>85</v>
      </c>
      <c r="D1730" s="6" t="s">
        <v>40436</v>
      </c>
      <c r="E1730" s="3" t="str">
        <f t="shared" si="1"/>
        <v>rapidly&lt;br&gt;&lt;div class="audio"&gt;[sound:rapidly.mp3]&lt;/div&gt;</v>
      </c>
      <c r="F1730" s="3" t="str">
        <f t="shared" si="2"/>
        <v>(adv): một cách nhanh chóng</v>
      </c>
      <c r="G1730" s="6" t="s">
        <v>43791</v>
      </c>
      <c r="H1730" s="6" t="s">
        <v>43792</v>
      </c>
      <c r="I1730" s="7">
        <f t="shared" si="3"/>
        <v>0.9767672428</v>
      </c>
    </row>
    <row r="1731">
      <c r="A1731" s="4">
        <v>1731.0</v>
      </c>
      <c r="B1731" s="3" t="s">
        <v>43793</v>
      </c>
      <c r="C1731" s="6" t="s">
        <v>74</v>
      </c>
      <c r="D1731" s="6" t="s">
        <v>43794</v>
      </c>
      <c r="E1731" s="3" t="str">
        <f t="shared" si="1"/>
        <v>competitor&lt;br&gt;&lt;div class="audio"&gt;[sound:competitor.mp3]&lt;/div&gt;</v>
      </c>
      <c r="F1731" s="3" t="str">
        <f t="shared" si="2"/>
        <v>(n): đối thủ cạnh tranh</v>
      </c>
      <c r="G1731" s="6" t="s">
        <v>43795</v>
      </c>
      <c r="H1731" s="6" t="s">
        <v>43796</v>
      </c>
      <c r="I1731" s="7">
        <f t="shared" si="3"/>
        <v>0.8717521046</v>
      </c>
    </row>
    <row r="1732">
      <c r="A1732" s="4">
        <v>1732.0</v>
      </c>
      <c r="B1732" s="3" t="s">
        <v>43797</v>
      </c>
      <c r="C1732" s="6" t="s">
        <v>85</v>
      </c>
      <c r="D1732" s="6" t="s">
        <v>43798</v>
      </c>
      <c r="E1732" s="3" t="str">
        <f t="shared" si="1"/>
        <v>relatively&lt;br&gt;&lt;div class="audio"&gt;[sound:relatively.mp3]&lt;/div&gt;</v>
      </c>
      <c r="F1732" s="3" t="str">
        <f t="shared" si="2"/>
        <v>(adv): một cách tương đối</v>
      </c>
      <c r="G1732" s="6" t="s">
        <v>43799</v>
      </c>
      <c r="H1732" s="6" t="s">
        <v>43800</v>
      </c>
      <c r="I1732" s="7">
        <f t="shared" si="3"/>
        <v>0.8951296531</v>
      </c>
    </row>
    <row r="1733">
      <c r="A1733" s="4">
        <v>1733.0</v>
      </c>
      <c r="B1733" s="3" t="s">
        <v>43801</v>
      </c>
      <c r="C1733" s="6" t="s">
        <v>74</v>
      </c>
      <c r="D1733" s="6" t="s">
        <v>43802</v>
      </c>
      <c r="E1733" s="3" t="str">
        <f t="shared" si="1"/>
        <v>fellow&lt;br&gt;&lt;div class="audio"&gt;[sound:fellow.mp3]&lt;/div&gt;</v>
      </c>
      <c r="F1733" s="3" t="str">
        <f t="shared" si="2"/>
        <v>(n): người đồng nghiệp</v>
      </c>
      <c r="G1733" s="6" t="s">
        <v>43803</v>
      </c>
      <c r="H1733" s="6" t="s">
        <v>43804</v>
      </c>
      <c r="I1733" s="7">
        <f t="shared" si="3"/>
        <v>0.4324496331</v>
      </c>
    </row>
    <row r="1734">
      <c r="A1734" s="4">
        <v>1734.0</v>
      </c>
      <c r="B1734" s="3" t="s">
        <v>43805</v>
      </c>
      <c r="C1734" s="6" t="s">
        <v>85</v>
      </c>
      <c r="D1734" s="6" t="s">
        <v>43806</v>
      </c>
      <c r="E1734" s="3" t="str">
        <f t="shared" si="1"/>
        <v>briefly&lt;br&gt;&lt;div class="audio"&gt;[sound:briefly.mp3]&lt;/div&gt;</v>
      </c>
      <c r="F1734" s="3" t="str">
        <f t="shared" si="2"/>
        <v>(adv): một cách ngắn gọn</v>
      </c>
      <c r="G1734" s="6" t="s">
        <v>43807</v>
      </c>
      <c r="H1734" s="6" t="s">
        <v>43808</v>
      </c>
      <c r="I1734" s="7">
        <f t="shared" si="3"/>
        <v>0.7572419687</v>
      </c>
    </row>
    <row r="1735">
      <c r="A1735" s="4">
        <v>1735.0</v>
      </c>
      <c r="B1735" s="3" t="s">
        <v>43809</v>
      </c>
      <c r="C1735" s="6" t="s">
        <v>85</v>
      </c>
      <c r="D1735" s="6" t="s">
        <v>43810</v>
      </c>
      <c r="E1735" s="3" t="str">
        <f t="shared" si="1"/>
        <v>quietly&lt;br&gt;&lt;div class="audio"&gt;[sound:quietly.mp3]&lt;/div&gt;</v>
      </c>
      <c r="F1735" s="3" t="str">
        <f t="shared" si="2"/>
        <v>(adv): một cách yên tĩnh</v>
      </c>
      <c r="G1735" s="6" t="s">
        <v>43811</v>
      </c>
      <c r="H1735" s="6" t="s">
        <v>43812</v>
      </c>
      <c r="I1735" s="7">
        <f t="shared" si="3"/>
        <v>0.8230718889</v>
      </c>
    </row>
    <row r="1736">
      <c r="A1736" s="4">
        <v>1736.0</v>
      </c>
      <c r="B1736" s="3" t="s">
        <v>43813</v>
      </c>
      <c r="C1736" s="6" t="s">
        <v>74</v>
      </c>
      <c r="D1736" s="6" t="s">
        <v>43814</v>
      </c>
      <c r="E1736" s="3" t="str">
        <f t="shared" si="1"/>
        <v>leadership&lt;br&gt;&lt;div class="audio"&gt;[sound:leadership.mp3]&lt;/div&gt;</v>
      </c>
      <c r="F1736" s="3" t="str">
        <f t="shared" si="2"/>
        <v>(n): kỹ năng lãnh đạo</v>
      </c>
      <c r="G1736" s="6" t="s">
        <v>43815</v>
      </c>
      <c r="H1736" s="6" t="s">
        <v>43816</v>
      </c>
      <c r="I1736" s="7">
        <f t="shared" si="3"/>
        <v>0.8852833699</v>
      </c>
    </row>
    <row r="1737">
      <c r="A1737" s="4">
        <v>1737.0</v>
      </c>
      <c r="B1737" s="3" t="s">
        <v>43817</v>
      </c>
      <c r="C1737" s="6" t="s">
        <v>74</v>
      </c>
      <c r="D1737" s="6" t="s">
        <v>43818</v>
      </c>
      <c r="E1737" s="3" t="str">
        <f t="shared" si="1"/>
        <v>making&lt;br&gt;&lt;div class="audio"&gt;[sound:making.mp3]&lt;/div&gt;</v>
      </c>
      <c r="F1737" s="3" t="str">
        <f t="shared" si="2"/>
        <v>(n): quá trình tạo ra</v>
      </c>
      <c r="G1737" s="6" t="s">
        <v>43819</v>
      </c>
      <c r="H1737" s="6" t="s">
        <v>43820</v>
      </c>
      <c r="I1737" s="7">
        <f t="shared" si="3"/>
        <v>0.4024020563</v>
      </c>
    </row>
    <row r="1738">
      <c r="A1738" s="4">
        <v>1738.0</v>
      </c>
      <c r="B1738" s="3" t="s">
        <v>43821</v>
      </c>
      <c r="C1738" s="6" t="s">
        <v>74</v>
      </c>
      <c r="D1738" s="8" t="s">
        <v>43822</v>
      </c>
      <c r="E1738" s="3" t="str">
        <f t="shared" si="1"/>
        <v>statistic&lt;br&gt;&lt;div class="audio"&gt;[sound:statistic.mp3]&lt;/div&gt;</v>
      </c>
      <c r="F1738" s="3" t="str">
        <f t="shared" si="2"/>
        <v>(n): số liệu thống kê</v>
      </c>
      <c r="G1738" s="8" t="s">
        <v>43823</v>
      </c>
      <c r="H1738" s="8" t="s">
        <v>43824</v>
      </c>
      <c r="I1738" s="7">
        <f t="shared" si="3"/>
        <v>0.7445264372</v>
      </c>
    </row>
    <row r="1739">
      <c r="A1739" s="4">
        <v>1739.0</v>
      </c>
      <c r="B1739" s="3" t="s">
        <v>43825</v>
      </c>
      <c r="C1739" s="6" t="s">
        <v>74</v>
      </c>
      <c r="D1739" s="6" t="s">
        <v>43826</v>
      </c>
      <c r="E1739" s="3" t="str">
        <f t="shared" si="1"/>
        <v>finding&lt;br&gt;&lt;div class="audio"&gt;[sound:finding.mp3]&lt;/div&gt;</v>
      </c>
      <c r="F1739" s="3" t="str">
        <f t="shared" si="2"/>
        <v>(n): kết quả tìm kiếm</v>
      </c>
      <c r="G1739" s="6" t="s">
        <v>43827</v>
      </c>
      <c r="H1739" s="6" t="s">
        <v>43828</v>
      </c>
      <c r="I1739" s="7">
        <f t="shared" si="3"/>
        <v>0.3653461159</v>
      </c>
    </row>
    <row r="1740">
      <c r="A1740" s="4">
        <v>1740.0</v>
      </c>
      <c r="B1740" s="3" t="s">
        <v>43829</v>
      </c>
      <c r="C1740" s="6" t="s">
        <v>24</v>
      </c>
      <c r="D1740" s="6" t="s">
        <v>43830</v>
      </c>
      <c r="E1740" s="3" t="str">
        <f t="shared" si="1"/>
        <v>inspire&lt;br&gt;&lt;div class="audio"&gt;[sound:inspire.mp3]&lt;/div&gt;</v>
      </c>
      <c r="F1740" s="3" t="str">
        <f t="shared" si="2"/>
        <v>(v): truyền cảm hứng</v>
      </c>
      <c r="G1740" s="6" t="s">
        <v>43831</v>
      </c>
      <c r="H1740" s="6" t="s">
        <v>43832</v>
      </c>
      <c r="I1740" s="7">
        <f t="shared" si="3"/>
        <v>0.4220135593</v>
      </c>
    </row>
    <row r="1741">
      <c r="A1741" s="4">
        <v>1741.0</v>
      </c>
      <c r="B1741" s="3" t="s">
        <v>43833</v>
      </c>
      <c r="C1741" s="6" t="s">
        <v>74</v>
      </c>
      <c r="D1741" s="6" t="s">
        <v>43834</v>
      </c>
      <c r="E1741" s="3" t="str">
        <f t="shared" si="1"/>
        <v>saving&lt;br&gt;&lt;div class="audio"&gt;[sound:saving.mp3]&lt;/div&gt;</v>
      </c>
      <c r="F1741" s="3" t="str">
        <f t="shared" si="2"/>
        <v>(n): khoản tiết kiệm</v>
      </c>
      <c r="G1741" s="6" t="s">
        <v>43835</v>
      </c>
      <c r="H1741" s="6" t="s">
        <v>43836</v>
      </c>
      <c r="I1741" s="7">
        <f t="shared" si="3"/>
        <v>0.3195532481</v>
      </c>
    </row>
    <row r="1742">
      <c r="A1742" s="4">
        <v>1742.0</v>
      </c>
      <c r="B1742" s="3" t="s">
        <v>43837</v>
      </c>
      <c r="C1742" s="6" t="s">
        <v>74</v>
      </c>
      <c r="D1742" s="6" t="s">
        <v>43838</v>
      </c>
      <c r="E1742" s="3" t="str">
        <f t="shared" si="1"/>
        <v>percentage&lt;br&gt;&lt;div class="audio"&gt;[sound:percentage.mp3]&lt;/div&gt;</v>
      </c>
      <c r="F1742" s="3" t="str">
        <f t="shared" si="2"/>
        <v>(n): tỷ lệ phần trăm</v>
      </c>
      <c r="G1742" s="6" t="s">
        <v>43839</v>
      </c>
      <c r="H1742" s="6" t="s">
        <v>43840</v>
      </c>
      <c r="I1742" s="7">
        <f t="shared" si="3"/>
        <v>0.270888547</v>
      </c>
    </row>
    <row r="1743">
      <c r="A1743" s="4">
        <v>1743.0</v>
      </c>
      <c r="B1743" s="3" t="s">
        <v>43841</v>
      </c>
      <c r="C1743" s="6" t="s">
        <v>11</v>
      </c>
      <c r="D1743" s="6" t="s">
        <v>43842</v>
      </c>
      <c r="E1743" s="3" t="str">
        <f t="shared" si="1"/>
        <v>electric&lt;br&gt;&lt;div class="audio"&gt;[sound:electric.mp3]&lt;/div&gt;</v>
      </c>
      <c r="F1743" s="3" t="str">
        <f t="shared" si="2"/>
        <v>(adj): chạy bằng điện</v>
      </c>
      <c r="G1743" s="6" t="s">
        <v>43843</v>
      </c>
      <c r="H1743" s="6" t="s">
        <v>43844</v>
      </c>
      <c r="I1743" s="7">
        <f t="shared" si="3"/>
        <v>0.302557837</v>
      </c>
    </row>
    <row r="1744">
      <c r="A1744" s="4">
        <v>1744.0</v>
      </c>
      <c r="B1744" s="3" t="s">
        <v>43845</v>
      </c>
      <c r="C1744" s="6" t="s">
        <v>11</v>
      </c>
      <c r="D1744" s="6" t="s">
        <v>43846</v>
      </c>
      <c r="E1744" s="3" t="str">
        <f t="shared" si="1"/>
        <v>religious&lt;br&gt;&lt;div class="audio"&gt;[sound:religious.mp3]&lt;/div&gt;</v>
      </c>
      <c r="F1744" s="3" t="str">
        <f t="shared" si="2"/>
        <v>(adj): thuộc tôn giáo</v>
      </c>
      <c r="G1744" s="6" t="s">
        <v>43847</v>
      </c>
      <c r="H1744" s="6" t="s">
        <v>43848</v>
      </c>
      <c r="I1744" s="7">
        <f t="shared" si="3"/>
        <v>0.2637353745</v>
      </c>
    </row>
    <row r="1745">
      <c r="A1745" s="4">
        <v>1745.0</v>
      </c>
      <c r="B1745" s="3" t="s">
        <v>43849</v>
      </c>
      <c r="C1745" s="6" t="s">
        <v>74</v>
      </c>
      <c r="D1745" s="6" t="s">
        <v>43850</v>
      </c>
      <c r="E1745" s="3" t="str">
        <f t="shared" si="1"/>
        <v>november&lt;br&gt;&lt;div class="audio"&gt;[sound:november.mp3]&lt;/div&gt;</v>
      </c>
      <c r="F1745" s="3" t="str">
        <f t="shared" si="2"/>
        <v>(n): tháng mười một</v>
      </c>
      <c r="G1745" s="6" t="s">
        <v>43851</v>
      </c>
      <c r="H1745" s="6" t="s">
        <v>43852</v>
      </c>
      <c r="I1745" s="7">
        <f t="shared" si="3"/>
        <v>0.7709555472</v>
      </c>
    </row>
    <row r="1746">
      <c r="A1746" s="4">
        <v>1746.0</v>
      </c>
      <c r="B1746" s="3" t="s">
        <v>43853</v>
      </c>
      <c r="C1746" s="6" t="s">
        <v>74</v>
      </c>
      <c r="D1746" s="6" t="s">
        <v>43854</v>
      </c>
      <c r="E1746" s="3" t="str">
        <f t="shared" si="1"/>
        <v>representative&lt;br&gt;&lt;div class="audio"&gt;[sound:representative.mp3]&lt;/div&gt;</v>
      </c>
      <c r="F1746" s="3" t="str">
        <f t="shared" si="2"/>
        <v>(n): người đại diện</v>
      </c>
      <c r="G1746" s="6" t="s">
        <v>43855</v>
      </c>
      <c r="H1746" s="6" t="s">
        <v>43856</v>
      </c>
      <c r="I1746" s="7">
        <f t="shared" si="3"/>
        <v>0.0357330128</v>
      </c>
    </row>
    <row r="1747">
      <c r="A1747" s="4">
        <v>1747.0</v>
      </c>
      <c r="B1747" s="3" t="s">
        <v>43857</v>
      </c>
      <c r="C1747" s="6" t="s">
        <v>74</v>
      </c>
      <c r="D1747" s="6" t="s">
        <v>43858</v>
      </c>
      <c r="E1747" s="3" t="str">
        <f t="shared" si="1"/>
        <v>protest&lt;br&gt;&lt;div class="audio"&gt;[sound:protest.mp3]&lt;/div&gt;</v>
      </c>
      <c r="F1747" s="3" t="str">
        <f t="shared" si="2"/>
        <v>(n): cuộc biểu tình</v>
      </c>
      <c r="G1747" s="6" t="s">
        <v>43859</v>
      </c>
      <c r="H1747" s="6" t="s">
        <v>43860</v>
      </c>
      <c r="I1747" s="7">
        <f t="shared" si="3"/>
        <v>0.9187983749</v>
      </c>
    </row>
    <row r="1748">
      <c r="A1748" s="4">
        <v>1748.0</v>
      </c>
      <c r="B1748" s="3" t="s">
        <v>43861</v>
      </c>
      <c r="C1748" s="6" t="s">
        <v>11</v>
      </c>
      <c r="D1748" s="8" t="s">
        <v>43862</v>
      </c>
      <c r="E1748" s="3" t="str">
        <f t="shared" si="1"/>
        <v>surprising&lt;br&gt;&lt;div class="audio"&gt;[sound:surprising.mp3]&lt;/div&gt;</v>
      </c>
      <c r="F1748" s="3" t="str">
        <f t="shared" si="2"/>
        <v>(adj): gây ngạc nhiên</v>
      </c>
      <c r="G1748" s="8" t="s">
        <v>43863</v>
      </c>
      <c r="H1748" s="8" t="s">
        <v>43864</v>
      </c>
      <c r="I1748" s="7">
        <f t="shared" si="3"/>
        <v>0.01471490096</v>
      </c>
    </row>
    <row r="1749">
      <c r="A1749" s="4">
        <v>1749.0</v>
      </c>
      <c r="B1749" s="3" t="s">
        <v>43865</v>
      </c>
      <c r="C1749" s="6" t="s">
        <v>74</v>
      </c>
      <c r="D1749" s="8" t="s">
        <v>43866</v>
      </c>
      <c r="E1749" s="3" t="str">
        <f t="shared" si="1"/>
        <v>senator&lt;br&gt;&lt;div class="audio"&gt;[sound:senator.mp3]&lt;/div&gt;</v>
      </c>
      <c r="F1749" s="3" t="str">
        <f t="shared" si="2"/>
        <v>(n): thượng nghị sĩ</v>
      </c>
      <c r="G1749" s="8" t="s">
        <v>43867</v>
      </c>
      <c r="H1749" s="8" t="s">
        <v>43868</v>
      </c>
      <c r="I1749" s="7">
        <f t="shared" si="3"/>
        <v>0.06549937321</v>
      </c>
    </row>
    <row r="1750">
      <c r="A1750" s="4">
        <v>1750.0</v>
      </c>
      <c r="B1750" s="3" t="s">
        <v>43869</v>
      </c>
      <c r="C1750" s="6" t="s">
        <v>11</v>
      </c>
      <c r="D1750" s="6" t="s">
        <v>43870</v>
      </c>
      <c r="E1750" s="3" t="str">
        <f t="shared" si="1"/>
        <v>scientific&lt;br&gt;&lt;div class="audio"&gt;[sound:scientific.mp3]&lt;/div&gt;</v>
      </c>
      <c r="F1750" s="3" t="str">
        <f t="shared" si="2"/>
        <v>(adj): thuộc khoa học</v>
      </c>
      <c r="G1750" s="6" t="s">
        <v>43871</v>
      </c>
      <c r="H1750" s="6" t="s">
        <v>43872</v>
      </c>
      <c r="I1750" s="7">
        <f t="shared" si="3"/>
        <v>0.01332894514</v>
      </c>
    </row>
    <row r="1751">
      <c r="A1751" s="4">
        <v>1751.0</v>
      </c>
      <c r="B1751" s="3" t="s">
        <v>43873</v>
      </c>
      <c r="C1751" s="6" t="s">
        <v>85</v>
      </c>
      <c r="D1751" s="6" t="s">
        <v>43874</v>
      </c>
      <c r="E1751" s="3" t="str">
        <f t="shared" si="1"/>
        <v>unfortunately&lt;br&gt;&lt;div class="audio"&gt;[sound:unfortunately.mp3]&lt;/div&gt;</v>
      </c>
      <c r="F1751" s="3" t="str">
        <f t="shared" si="2"/>
        <v>(adv): không may thay</v>
      </c>
      <c r="G1751" s="6" t="s">
        <v>43875</v>
      </c>
      <c r="H1751" s="6" t="s">
        <v>43876</v>
      </c>
      <c r="I1751" s="7">
        <f t="shared" si="3"/>
        <v>0.5098984404</v>
      </c>
    </row>
    <row r="1752">
      <c r="A1752" s="4">
        <v>1752.0</v>
      </c>
      <c r="B1752" s="3" t="s">
        <v>43877</v>
      </c>
      <c r="C1752" s="6" t="s">
        <v>74</v>
      </c>
      <c r="D1752" s="6" t="s">
        <v>43878</v>
      </c>
      <c r="E1752" s="3" t="str">
        <f t="shared" si="1"/>
        <v>aids&lt;br&gt;&lt;div class="audio"&gt;[sound:aids.mp3]&lt;/div&gt;</v>
      </c>
      <c r="F1752" s="3" t="str">
        <f t="shared" si="2"/>
        <v>(n): căn bệnh aids</v>
      </c>
      <c r="G1752" s="6" t="s">
        <v>43879</v>
      </c>
      <c r="H1752" s="6" t="s">
        <v>43880</v>
      </c>
      <c r="I1752" s="7">
        <f t="shared" si="3"/>
        <v>0.8595621979</v>
      </c>
    </row>
    <row r="1753">
      <c r="A1753" s="4">
        <v>1753.0</v>
      </c>
      <c r="B1753" s="3" t="s">
        <v>43881</v>
      </c>
      <c r="C1753" s="6" t="s">
        <v>74</v>
      </c>
      <c r="D1753" s="6" t="s">
        <v>41596</v>
      </c>
      <c r="E1753" s="3" t="str">
        <f t="shared" si="1"/>
        <v>recommendation&lt;br&gt;&lt;div class="audio"&gt;[sound:recommendation.mp3]&lt;/div&gt;</v>
      </c>
      <c r="F1753" s="3" t="str">
        <f t="shared" si="2"/>
        <v>(n): sự giới thiệu</v>
      </c>
      <c r="G1753" s="6" t="s">
        <v>43882</v>
      </c>
      <c r="H1753" s="6" t="s">
        <v>43883</v>
      </c>
      <c r="I1753" s="7">
        <f t="shared" si="3"/>
        <v>0.09570133271</v>
      </c>
    </row>
    <row r="1754">
      <c r="A1754" s="4">
        <v>1754.0</v>
      </c>
      <c r="B1754" s="3" t="s">
        <v>43884</v>
      </c>
      <c r="C1754" s="6" t="s">
        <v>74</v>
      </c>
      <c r="D1754" s="6" t="s">
        <v>43885</v>
      </c>
      <c r="E1754" s="3" t="str">
        <f t="shared" si="1"/>
        <v>promotion&lt;br&gt;&lt;div class="audio"&gt;[sound:promotion.mp3]&lt;/div&gt;</v>
      </c>
      <c r="F1754" s="3" t="str">
        <f t="shared" si="2"/>
        <v>(n): sự thăng tiến</v>
      </c>
      <c r="G1754" s="6" t="s">
        <v>43886</v>
      </c>
      <c r="H1754" s="6" t="s">
        <v>43887</v>
      </c>
      <c r="I1754" s="7">
        <f t="shared" si="3"/>
        <v>0.05518344875</v>
      </c>
    </row>
    <row r="1755">
      <c r="A1755" s="4">
        <v>1755.0</v>
      </c>
      <c r="B1755" s="3" t="s">
        <v>43888</v>
      </c>
      <c r="C1755" s="6" t="s">
        <v>74</v>
      </c>
      <c r="D1755" s="6" t="s">
        <v>43889</v>
      </c>
      <c r="E1755" s="3" t="str">
        <f t="shared" si="1"/>
        <v>excitement&lt;br&gt;&lt;div class="audio"&gt;[sound:excitement.mp3]&lt;/div&gt;</v>
      </c>
      <c r="F1755" s="3" t="str">
        <f t="shared" si="2"/>
        <v>(n): sự phấn khích</v>
      </c>
      <c r="G1755" s="6" t="s">
        <v>43890</v>
      </c>
      <c r="H1755" s="6" t="s">
        <v>43891</v>
      </c>
      <c r="I1755" s="7">
        <f t="shared" si="3"/>
        <v>0.1463338159</v>
      </c>
    </row>
    <row r="1756">
      <c r="A1756" s="4">
        <v>1756.0</v>
      </c>
      <c r="B1756" s="3" t="s">
        <v>43892</v>
      </c>
      <c r="C1756" s="6" t="s">
        <v>74</v>
      </c>
      <c r="D1756" s="6" t="s">
        <v>43893</v>
      </c>
      <c r="E1756" s="3" t="str">
        <f t="shared" si="1"/>
        <v>implementation&lt;br&gt;&lt;div class="audio"&gt;[sound:implementation.mp3]&lt;/div&gt;</v>
      </c>
      <c r="F1756" s="3" t="str">
        <f t="shared" si="2"/>
        <v>(n): sự triển khai</v>
      </c>
      <c r="G1756" s="6" t="s">
        <v>43894</v>
      </c>
      <c r="H1756" s="6" t="s">
        <v>43895</v>
      </c>
      <c r="I1756" s="7">
        <f t="shared" si="3"/>
        <v>0.64454631</v>
      </c>
    </row>
    <row r="1757">
      <c r="A1757" s="4">
        <v>1757.0</v>
      </c>
      <c r="B1757" s="3" t="s">
        <v>43896</v>
      </c>
      <c r="C1757" s="6" t="s">
        <v>11</v>
      </c>
      <c r="D1757" s="6" t="s">
        <v>43897</v>
      </c>
      <c r="E1757" s="3" t="str">
        <f t="shared" si="1"/>
        <v>expected&lt;br&gt;&lt;div class="audio"&gt;[sound:expected.mp3]&lt;/div&gt;</v>
      </c>
      <c r="F1757" s="3" t="str">
        <f t="shared" si="2"/>
        <v>(adj): được mong đợi</v>
      </c>
      <c r="G1757" s="6" t="s">
        <v>43898</v>
      </c>
      <c r="H1757" s="6" t="s">
        <v>43899</v>
      </c>
      <c r="I1757" s="7">
        <f t="shared" si="3"/>
        <v>0.4795489665</v>
      </c>
    </row>
    <row r="1758">
      <c r="A1758" s="4">
        <v>1758.0</v>
      </c>
      <c r="B1758" s="3" t="s">
        <v>43900</v>
      </c>
      <c r="C1758" s="6" t="s">
        <v>11</v>
      </c>
      <c r="D1758" s="8" t="s">
        <v>43901</v>
      </c>
      <c r="E1758" s="3" t="str">
        <f t="shared" si="1"/>
        <v>structural&lt;br&gt;&lt;div class="audio"&gt;[sound:structural.mp3]&lt;/div&gt;</v>
      </c>
      <c r="F1758" s="3" t="str">
        <f t="shared" si="2"/>
        <v>(adj): thuộc kết cấu</v>
      </c>
      <c r="G1758" s="8" t="s">
        <v>43902</v>
      </c>
      <c r="H1758" s="8" t="s">
        <v>43903</v>
      </c>
      <c r="I1758" s="7">
        <f t="shared" si="3"/>
        <v>0.8441958884</v>
      </c>
    </row>
    <row r="1759">
      <c r="A1759" s="4">
        <v>1759.0</v>
      </c>
      <c r="B1759" s="3" t="s">
        <v>43904</v>
      </c>
      <c r="C1759" s="6" t="s">
        <v>11</v>
      </c>
      <c r="D1759" s="6" t="s">
        <v>22878</v>
      </c>
      <c r="E1759" s="3" t="str">
        <f t="shared" si="1"/>
        <v>prepared&lt;br&gt;&lt;div class="audio"&gt;[sound:prepared.mp3]&lt;/div&gt;</v>
      </c>
      <c r="F1759" s="3" t="str">
        <f t="shared" si="2"/>
        <v>(adj): được chuẩn bị</v>
      </c>
      <c r="G1759" s="6" t="s">
        <v>43905</v>
      </c>
      <c r="H1759" s="6" t="s">
        <v>43906</v>
      </c>
      <c r="I1759" s="7">
        <f t="shared" si="3"/>
        <v>0.9322067839</v>
      </c>
    </row>
    <row r="1760">
      <c r="A1760" s="4">
        <v>1760.0</v>
      </c>
      <c r="B1760" s="3" t="s">
        <v>43907</v>
      </c>
      <c r="C1760" s="6" t="s">
        <v>74</v>
      </c>
      <c r="D1760" s="6" t="s">
        <v>15545</v>
      </c>
      <c r="E1760" s="3" t="str">
        <f t="shared" si="1"/>
        <v>transportation&lt;br&gt;&lt;div class="audio"&gt;[sound:transportation.mp3]&lt;/div&gt;</v>
      </c>
      <c r="F1760" s="3" t="str">
        <f t="shared" si="2"/>
        <v>(n): sự vận chuyển</v>
      </c>
      <c r="G1760" s="6" t="s">
        <v>43908</v>
      </c>
      <c r="H1760" s="6" t="s">
        <v>43909</v>
      </c>
      <c r="I1760" s="7">
        <f t="shared" si="3"/>
        <v>0.0004646556715</v>
      </c>
    </row>
    <row r="1761">
      <c r="A1761" s="4">
        <v>1761.0</v>
      </c>
      <c r="B1761" s="3" t="s">
        <v>43910</v>
      </c>
      <c r="C1761" s="6" t="s">
        <v>74</v>
      </c>
      <c r="D1761" s="6" t="s">
        <v>43911</v>
      </c>
      <c r="E1761" s="3" t="str">
        <f t="shared" si="1"/>
        <v>infrastructure&lt;br&gt;&lt;div class="audio"&gt;[sound:infrastructure.mp3]&lt;/div&gt;</v>
      </c>
      <c r="F1761" s="3" t="str">
        <f t="shared" si="2"/>
        <v>(n): cơ sở hạ tầng</v>
      </c>
      <c r="G1761" s="6" t="s">
        <v>43912</v>
      </c>
      <c r="H1761" s="6" t="s">
        <v>43913</v>
      </c>
      <c r="I1761" s="7">
        <f t="shared" si="3"/>
        <v>0.4449576301</v>
      </c>
    </row>
    <row r="1762">
      <c r="A1762" s="4">
        <v>1762.0</v>
      </c>
      <c r="B1762" s="3" t="s">
        <v>43914</v>
      </c>
      <c r="C1762" s="6" t="s">
        <v>74</v>
      </c>
      <c r="D1762" s="6" t="s">
        <v>43915</v>
      </c>
      <c r="E1762" s="3" t="str">
        <f t="shared" si="1"/>
        <v>interpretation&lt;br&gt;&lt;div class="audio"&gt;[sound:interpretation.mp3]&lt;/div&gt;</v>
      </c>
      <c r="F1762" s="3" t="str">
        <f t="shared" si="2"/>
        <v>(n): sự thông dịch</v>
      </c>
      <c r="G1762" s="6" t="s">
        <v>43916</v>
      </c>
      <c r="H1762" s="6" t="s">
        <v>43917</v>
      </c>
      <c r="I1762" s="7">
        <f t="shared" si="3"/>
        <v>0.909486164</v>
      </c>
    </row>
    <row r="1763">
      <c r="A1763" s="4">
        <v>1763.0</v>
      </c>
      <c r="B1763" s="3" t="s">
        <v>43918</v>
      </c>
      <c r="C1763" s="6" t="s">
        <v>24</v>
      </c>
      <c r="D1763" s="6" t="s">
        <v>35310</v>
      </c>
      <c r="E1763" s="3" t="str">
        <f t="shared" si="1"/>
        <v>confuse&lt;br&gt;&lt;div class="audio"&gt;[sound:confuse.mp3]&lt;/div&gt;</v>
      </c>
      <c r="F1763" s="3" t="str">
        <f t="shared" si="2"/>
        <v>(v): gây nhầm lẫn</v>
      </c>
      <c r="G1763" s="6" t="s">
        <v>43919</v>
      </c>
      <c r="H1763" s="6" t="s">
        <v>43920</v>
      </c>
      <c r="I1763" s="7">
        <f t="shared" si="3"/>
        <v>0.9596745157</v>
      </c>
    </row>
    <row r="1764">
      <c r="A1764" s="4">
        <v>1764.0</v>
      </c>
      <c r="B1764" s="3" t="s">
        <v>43921</v>
      </c>
      <c r="C1764" s="6" t="s">
        <v>74</v>
      </c>
      <c r="D1764" s="6" t="s">
        <v>43922</v>
      </c>
      <c r="E1764" s="3" t="str">
        <f t="shared" si="1"/>
        <v>delivery&lt;br&gt;&lt;div class="audio"&gt;[sound:delivery.mp3]&lt;/div&gt;</v>
      </c>
      <c r="F1764" s="3" t="str">
        <f t="shared" si="2"/>
        <v>(n): sự giao hàng</v>
      </c>
      <c r="G1764" s="6" t="s">
        <v>43923</v>
      </c>
      <c r="H1764" s="6" t="s">
        <v>43924</v>
      </c>
      <c r="I1764" s="7">
        <f t="shared" si="3"/>
        <v>0.8316823854</v>
      </c>
    </row>
    <row r="1765">
      <c r="A1765" s="4">
        <v>1765.0</v>
      </c>
      <c r="B1765" s="3" t="s">
        <v>43925</v>
      </c>
      <c r="C1765" s="6" t="s">
        <v>11</v>
      </c>
      <c r="D1765" s="6" t="s">
        <v>41611</v>
      </c>
      <c r="E1765" s="3" t="str">
        <f t="shared" si="1"/>
        <v>relevant&lt;br&gt;&lt;div class="audio"&gt;[sound:relevant.mp3]&lt;/div&gt;</v>
      </c>
      <c r="F1765" s="3" t="str">
        <f t="shared" si="2"/>
        <v>(adj): có liên quan</v>
      </c>
      <c r="G1765" s="6" t="s">
        <v>43926</v>
      </c>
      <c r="H1765" s="6" t="s">
        <v>43927</v>
      </c>
      <c r="I1765" s="7">
        <f t="shared" si="3"/>
        <v>0.5570893902</v>
      </c>
    </row>
    <row r="1766">
      <c r="A1766" s="4">
        <v>1766.0</v>
      </c>
      <c r="B1766" s="3" t="s">
        <v>43928</v>
      </c>
      <c r="C1766" s="6" t="s">
        <v>74</v>
      </c>
      <c r="D1766" s="6" t="s">
        <v>4341</v>
      </c>
      <c r="E1766" s="3" t="str">
        <f t="shared" si="1"/>
        <v>fan&lt;br&gt;&lt;div class="audio"&gt;[sound:fan.mp3]&lt;/div&gt;</v>
      </c>
      <c r="F1766" s="3" t="str">
        <f t="shared" si="2"/>
        <v>(n): người hâm mộ</v>
      </c>
      <c r="G1766" s="6" t="s">
        <v>43929</v>
      </c>
      <c r="H1766" s="6" t="s">
        <v>43930</v>
      </c>
      <c r="I1766" s="7">
        <f t="shared" si="3"/>
        <v>0.8687970376</v>
      </c>
    </row>
    <row r="1767">
      <c r="A1767" s="4">
        <v>1767.0</v>
      </c>
      <c r="B1767" s="3" t="s">
        <v>43931</v>
      </c>
      <c r="C1767" s="6" t="s">
        <v>74</v>
      </c>
      <c r="D1767" s="6" t="s">
        <v>2524</v>
      </c>
      <c r="E1767" s="3" t="str">
        <f t="shared" si="1"/>
        <v>producer&lt;br&gt;&lt;div class="audio"&gt;[sound:producer.mp3]&lt;/div&gt;</v>
      </c>
      <c r="F1767" s="3" t="str">
        <f t="shared" si="2"/>
        <v>(n): nhà sản xuất</v>
      </c>
      <c r="G1767" s="6" t="s">
        <v>43932</v>
      </c>
      <c r="H1767" s="6" t="s">
        <v>43933</v>
      </c>
      <c r="I1767" s="7">
        <f t="shared" si="3"/>
        <v>0.7490159019</v>
      </c>
    </row>
    <row r="1768">
      <c r="A1768" s="4">
        <v>1768.0</v>
      </c>
      <c r="B1768" s="3" t="s">
        <v>43934</v>
      </c>
      <c r="C1768" s="6" t="s">
        <v>74</v>
      </c>
      <c r="D1768" s="6" t="s">
        <v>4352</v>
      </c>
      <c r="E1768" s="3" t="str">
        <f t="shared" si="1"/>
        <v>estate&lt;br&gt;&lt;div class="audio"&gt;[sound:estate.mp3]&lt;/div&gt;</v>
      </c>
      <c r="F1768" s="3" t="str">
        <f t="shared" si="2"/>
        <v>(n): bất động sản</v>
      </c>
      <c r="G1768" s="6" t="s">
        <v>43935</v>
      </c>
      <c r="H1768" s="6" t="s">
        <v>43936</v>
      </c>
      <c r="I1768" s="7">
        <f t="shared" si="3"/>
        <v>0.0320898931</v>
      </c>
    </row>
    <row r="1769">
      <c r="A1769" s="4">
        <v>1769.0</v>
      </c>
      <c r="B1769" s="3" t="s">
        <v>43937</v>
      </c>
      <c r="C1769" s="6" t="s">
        <v>74</v>
      </c>
      <c r="D1769" s="6" t="s">
        <v>43938</v>
      </c>
      <c r="E1769" s="3" t="str">
        <f t="shared" si="1"/>
        <v>cleaning&lt;br&gt;&lt;div class="audio"&gt;[sound:cleaning.mp3]&lt;/div&gt;</v>
      </c>
      <c r="F1769" s="3" t="str">
        <f t="shared" si="2"/>
        <v>(n): việc lau dọn</v>
      </c>
      <c r="G1769" s="6" t="s">
        <v>43939</v>
      </c>
      <c r="H1769" s="6" t="s">
        <v>43940</v>
      </c>
      <c r="I1769" s="7">
        <f t="shared" si="3"/>
        <v>0.1827295764</v>
      </c>
    </row>
    <row r="1770">
      <c r="A1770" s="4">
        <v>1770.0</v>
      </c>
      <c r="B1770" s="3" t="s">
        <v>43941</v>
      </c>
      <c r="C1770" s="6" t="s">
        <v>74</v>
      </c>
      <c r="D1770" s="6" t="s">
        <v>43942</v>
      </c>
      <c r="E1770" s="3" t="str">
        <f t="shared" si="1"/>
        <v>booking&lt;br&gt;&lt;div class="audio"&gt;[sound:booking.mp3]&lt;/div&gt;</v>
      </c>
      <c r="F1770" s="3" t="str">
        <f t="shared" si="2"/>
        <v>(n): việc đặt chỗ</v>
      </c>
      <c r="G1770" s="6" t="s">
        <v>43943</v>
      </c>
      <c r="H1770" s="6" t="s">
        <v>43944</v>
      </c>
      <c r="I1770" s="7">
        <f t="shared" si="3"/>
        <v>0.9296294528</v>
      </c>
    </row>
    <row r="1771">
      <c r="A1771" s="4">
        <v>1771.0</v>
      </c>
      <c r="B1771" s="3" t="s">
        <v>43945</v>
      </c>
      <c r="C1771" s="6" t="s">
        <v>85</v>
      </c>
      <c r="D1771" s="6" t="s">
        <v>9297</v>
      </c>
      <c r="E1771" s="3" t="str">
        <f t="shared" si="1"/>
        <v>frequently&lt;br&gt;&lt;div class="audio"&gt;[sound:frequently.mp3]&lt;/div&gt;</v>
      </c>
      <c r="F1771" s="3" t="str">
        <f t="shared" si="2"/>
        <v>(adv): thường xuyên</v>
      </c>
      <c r="G1771" s="6" t="s">
        <v>43946</v>
      </c>
      <c r="H1771" s="6" t="s">
        <v>43947</v>
      </c>
      <c r="I1771" s="7">
        <f t="shared" si="3"/>
        <v>0.2115992483</v>
      </c>
    </row>
    <row r="1772">
      <c r="A1772" s="4">
        <v>1772.0</v>
      </c>
      <c r="B1772" s="3" t="s">
        <v>43948</v>
      </c>
      <c r="C1772" s="6" t="s">
        <v>11</v>
      </c>
      <c r="D1772" s="8" t="s">
        <v>43949</v>
      </c>
      <c r="E1772" s="3" t="str">
        <f t="shared" si="1"/>
        <v>spoken&lt;br&gt;&lt;div class="audio"&gt;[sound:spoken.mp3]&lt;/div&gt;</v>
      </c>
      <c r="F1772" s="3" t="str">
        <f t="shared" si="2"/>
        <v>(adj): bằng lời nói</v>
      </c>
      <c r="G1772" s="8" t="s">
        <v>43950</v>
      </c>
      <c r="H1772" s="8" t="s">
        <v>43951</v>
      </c>
      <c r="I1772" s="7">
        <f t="shared" si="3"/>
        <v>0.7311097377</v>
      </c>
    </row>
    <row r="1773">
      <c r="A1773" s="4">
        <v>1773.0</v>
      </c>
      <c r="B1773" s="3" t="s">
        <v>43952</v>
      </c>
      <c r="C1773" s="6" t="s">
        <v>74</v>
      </c>
      <c r="D1773" s="6" t="s">
        <v>18901</v>
      </c>
      <c r="E1773" s="3" t="str">
        <f t="shared" si="1"/>
        <v>recognition&lt;br&gt;&lt;div class="audio"&gt;[sound:recognition.mp3]&lt;/div&gt;</v>
      </c>
      <c r="F1773" s="3" t="str">
        <f t="shared" si="2"/>
        <v>(n): sự công nhận</v>
      </c>
      <c r="G1773" s="6" t="s">
        <v>43953</v>
      </c>
      <c r="H1773" s="6" t="s">
        <v>43954</v>
      </c>
      <c r="I1773" s="7">
        <f t="shared" si="3"/>
        <v>0.5361120064</v>
      </c>
    </row>
    <row r="1774">
      <c r="A1774" s="4">
        <v>1774.0</v>
      </c>
      <c r="B1774" s="3" t="s">
        <v>43955</v>
      </c>
      <c r="C1774" s="6" t="s">
        <v>74</v>
      </c>
      <c r="D1774" s="6" t="s">
        <v>43956</v>
      </c>
      <c r="E1774" s="3" t="str">
        <f t="shared" si="1"/>
        <v>warning&lt;br&gt;&lt;div class="audio"&gt;[sound:warning.mp3]&lt;/div&gt;</v>
      </c>
      <c r="F1774" s="3" t="str">
        <f t="shared" si="2"/>
        <v>(n): lời cảnh báo</v>
      </c>
      <c r="G1774" s="6" t="s">
        <v>43957</v>
      </c>
      <c r="H1774" s="6" t="s">
        <v>43958</v>
      </c>
      <c r="I1774" s="7">
        <f t="shared" si="3"/>
        <v>0.9507768657</v>
      </c>
    </row>
    <row r="1775">
      <c r="A1775" s="4">
        <v>1775.0</v>
      </c>
      <c r="B1775" s="3" t="s">
        <v>43959</v>
      </c>
      <c r="C1775" s="6" t="s">
        <v>74</v>
      </c>
      <c r="D1775" s="6" t="s">
        <v>43960</v>
      </c>
      <c r="E1775" s="3" t="str">
        <f t="shared" si="1"/>
        <v>championship&lt;br&gt;&lt;div class="audio"&gt;[sound:championship.mp3]&lt;/div&gt;</v>
      </c>
      <c r="F1775" s="3" t="str">
        <f t="shared" si="2"/>
        <v>(n): giải vô địch</v>
      </c>
      <c r="G1775" s="6" t="s">
        <v>43961</v>
      </c>
      <c r="H1775" s="6" t="s">
        <v>43962</v>
      </c>
      <c r="I1775" s="7">
        <f t="shared" si="3"/>
        <v>0.07633259285</v>
      </c>
    </row>
    <row r="1776">
      <c r="A1776" s="4">
        <v>1776.0</v>
      </c>
      <c r="B1776" s="3" t="s">
        <v>43963</v>
      </c>
      <c r="C1776" s="6" t="s">
        <v>11</v>
      </c>
      <c r="D1776" s="6" t="s">
        <v>43964</v>
      </c>
      <c r="E1776" s="3" t="str">
        <f t="shared" si="1"/>
        <v>illegal&lt;br&gt;&lt;div class="audio"&gt;[sound:illegal.mp3]&lt;/div&gt;</v>
      </c>
      <c r="F1776" s="3" t="str">
        <f t="shared" si="2"/>
        <v>(adj): bất hợp pháp</v>
      </c>
      <c r="G1776" s="6" t="s">
        <v>43965</v>
      </c>
      <c r="H1776" s="6" t="s">
        <v>43966</v>
      </c>
      <c r="I1776" s="7">
        <f t="shared" si="3"/>
        <v>0.7215166823</v>
      </c>
    </row>
    <row r="1777">
      <c r="A1777" s="4">
        <v>1777.0</v>
      </c>
      <c r="B1777" s="3" t="s">
        <v>43967</v>
      </c>
      <c r="C1777" s="6" t="s">
        <v>74</v>
      </c>
      <c r="D1777" s="6" t="s">
        <v>43968</v>
      </c>
      <c r="E1777" s="3" t="str">
        <f t="shared" si="1"/>
        <v>panel&lt;br&gt;&lt;div class="audio"&gt;[sound:panel.mp3]&lt;/div&gt;</v>
      </c>
      <c r="F1777" s="3" t="str">
        <f t="shared" si="2"/>
        <v>(n): ban hội thẩm</v>
      </c>
      <c r="G1777" s="6" t="s">
        <v>43969</v>
      </c>
      <c r="H1777" s="6" t="s">
        <v>43970</v>
      </c>
      <c r="I1777" s="7">
        <f t="shared" si="3"/>
        <v>0.2570287925</v>
      </c>
    </row>
    <row r="1778">
      <c r="A1778" s="4">
        <v>1778.0</v>
      </c>
      <c r="B1778" s="3" t="s">
        <v>43971</v>
      </c>
      <c r="C1778" s="6" t="s">
        <v>74</v>
      </c>
      <c r="D1778" s="6" t="s">
        <v>17302</v>
      </c>
      <c r="E1778" s="3" t="str">
        <f t="shared" si="1"/>
        <v>scientist&lt;br&gt;&lt;div class="audio"&gt;[sound:scientist.mp3]&lt;/div&gt;</v>
      </c>
      <c r="F1778" s="3" t="str">
        <f t="shared" si="2"/>
        <v>(n): nhà khoa học</v>
      </c>
      <c r="G1778" s="6" t="s">
        <v>43972</v>
      </c>
      <c r="H1778" s="6" t="s">
        <v>43973</v>
      </c>
      <c r="I1778" s="7">
        <f t="shared" si="3"/>
        <v>0.04268265114</v>
      </c>
    </row>
    <row r="1779">
      <c r="A1779" s="4">
        <v>1779.0</v>
      </c>
      <c r="B1779" s="3" t="s">
        <v>43974</v>
      </c>
      <c r="C1779" s="6" t="s">
        <v>74</v>
      </c>
      <c r="D1779" s="6" t="s">
        <v>2310</v>
      </c>
      <c r="E1779" s="3" t="str">
        <f t="shared" si="1"/>
        <v>enterprise&lt;br&gt;&lt;div class="audio"&gt;[sound:enterprise.mp3]&lt;/div&gt;</v>
      </c>
      <c r="F1779" s="3" t="str">
        <f t="shared" si="2"/>
        <v>(n): doanh nghiệp</v>
      </c>
      <c r="G1779" s="6" t="s">
        <v>43975</v>
      </c>
      <c r="H1779" s="6" t="s">
        <v>43976</v>
      </c>
      <c r="I1779" s="7">
        <f t="shared" si="3"/>
        <v>0.2797495661</v>
      </c>
    </row>
    <row r="1780">
      <c r="A1780" s="4">
        <v>1780.0</v>
      </c>
      <c r="B1780" s="3" t="s">
        <v>43977</v>
      </c>
      <c r="C1780" s="6" t="s">
        <v>24</v>
      </c>
      <c r="D1780" s="6" t="s">
        <v>43978</v>
      </c>
      <c r="E1780" s="3" t="str">
        <f t="shared" si="1"/>
        <v>satisfy&lt;br&gt;&lt;div class="audio"&gt;[sound:satisfy.mp3]&lt;/div&gt;</v>
      </c>
      <c r="F1780" s="3" t="str">
        <f t="shared" si="2"/>
        <v>(v): làm thỏa mãn</v>
      </c>
      <c r="G1780" s="6" t="s">
        <v>43979</v>
      </c>
      <c r="H1780" s="6" t="s">
        <v>43980</v>
      </c>
      <c r="I1780" s="7">
        <f t="shared" si="3"/>
        <v>0.9757178934</v>
      </c>
    </row>
    <row r="1781">
      <c r="A1781" s="4">
        <v>1781.0</v>
      </c>
      <c r="B1781" s="3" t="s">
        <v>43981</v>
      </c>
      <c r="C1781" s="6" t="s">
        <v>74</v>
      </c>
      <c r="D1781" s="6" t="s">
        <v>43982</v>
      </c>
      <c r="E1781" s="3" t="str">
        <f t="shared" si="1"/>
        <v>interaction&lt;br&gt;&lt;div class="audio"&gt;[sound:interaction.mp3]&lt;/div&gt;</v>
      </c>
      <c r="F1781" s="3" t="str">
        <f t="shared" si="2"/>
        <v>(n): sự tương tác</v>
      </c>
      <c r="G1781" s="6" t="s">
        <v>43983</v>
      </c>
      <c r="H1781" s="6" t="s">
        <v>43984</v>
      </c>
      <c r="I1781" s="7">
        <f t="shared" si="3"/>
        <v>0.7347565688</v>
      </c>
    </row>
    <row r="1782">
      <c r="A1782" s="4">
        <v>1782.0</v>
      </c>
      <c r="B1782" s="3" t="s">
        <v>43985</v>
      </c>
      <c r="C1782" s="6" t="s">
        <v>74</v>
      </c>
      <c r="D1782" s="6" t="s">
        <v>43986</v>
      </c>
      <c r="E1782" s="3" t="str">
        <f t="shared" si="1"/>
        <v>presence&lt;br&gt;&lt;div class="audio"&gt;[sound:presence.mp3]&lt;/div&gt;</v>
      </c>
      <c r="F1782" s="3" t="str">
        <f t="shared" si="2"/>
        <v>(n): sự hiện diện</v>
      </c>
      <c r="G1782" s="6" t="s">
        <v>43987</v>
      </c>
      <c r="H1782" s="6" t="s">
        <v>43988</v>
      </c>
      <c r="I1782" s="7">
        <f t="shared" si="3"/>
        <v>0.7680525825</v>
      </c>
    </row>
    <row r="1783">
      <c r="A1783" s="4">
        <v>1783.0</v>
      </c>
      <c r="B1783" s="3" t="s">
        <v>43989</v>
      </c>
      <c r="C1783" s="6" t="s">
        <v>74</v>
      </c>
      <c r="D1783" s="6" t="s">
        <v>31504</v>
      </c>
      <c r="E1783" s="3" t="str">
        <f t="shared" si="1"/>
        <v>gap&lt;br&gt;&lt;div class="audio"&gt;[sound:gap.mp3]&lt;/div&gt;</v>
      </c>
      <c r="F1783" s="3" t="str">
        <f t="shared" si="2"/>
        <v>(n): khoảng cách</v>
      </c>
      <c r="G1783" s="6" t="s">
        <v>43990</v>
      </c>
      <c r="H1783" s="6" t="s">
        <v>43991</v>
      </c>
      <c r="I1783" s="7">
        <f t="shared" si="3"/>
        <v>0.03570355432</v>
      </c>
    </row>
    <row r="1784">
      <c r="A1784" s="4">
        <v>1784.0</v>
      </c>
      <c r="B1784" s="3" t="s">
        <v>43992</v>
      </c>
      <c r="C1784" s="6" t="s">
        <v>58</v>
      </c>
      <c r="D1784" s="8" t="s">
        <v>43993</v>
      </c>
      <c r="E1784" s="3" t="str">
        <f t="shared" si="1"/>
        <v>seventy&lt;br&gt;&lt;div class="audio"&gt;[sound:seventy.mp3]&lt;/div&gt;</v>
      </c>
      <c r="F1784" s="3" t="str">
        <f t="shared" si="2"/>
        <v>(num): số bảy mươi</v>
      </c>
      <c r="G1784" s="8" t="s">
        <v>43994</v>
      </c>
      <c r="H1784" s="8" t="s">
        <v>43995</v>
      </c>
      <c r="I1784" s="7">
        <f t="shared" si="3"/>
        <v>0.31827243</v>
      </c>
    </row>
    <row r="1785">
      <c r="A1785" s="4">
        <v>1785.0</v>
      </c>
      <c r="B1785" s="3" t="s">
        <v>43996</v>
      </c>
      <c r="C1785" s="6" t="s">
        <v>74</v>
      </c>
      <c r="D1785" s="6" t="s">
        <v>17918</v>
      </c>
      <c r="E1785" s="3" t="str">
        <f t="shared" si="1"/>
        <v>award&lt;br&gt;&lt;div class="audio"&gt;[sound:award.mp3]&lt;/div&gt;</v>
      </c>
      <c r="F1785" s="3" t="str">
        <f t="shared" si="2"/>
        <v>(n): giải thưởng</v>
      </c>
      <c r="G1785" s="6" t="s">
        <v>43997</v>
      </c>
      <c r="H1785" s="6" t="s">
        <v>43998</v>
      </c>
      <c r="I1785" s="7">
        <f t="shared" si="3"/>
        <v>0.8102755314</v>
      </c>
    </row>
    <row r="1786">
      <c r="A1786" s="4">
        <v>1786.0</v>
      </c>
      <c r="B1786" s="3" t="s">
        <v>43999</v>
      </c>
      <c r="C1786" s="6" t="s">
        <v>74</v>
      </c>
      <c r="D1786" s="6" t="s">
        <v>44000</v>
      </c>
      <c r="E1786" s="3" t="str">
        <f t="shared" si="1"/>
        <v>absence&lt;br&gt;&lt;div class="audio"&gt;[sound:absence.mp3]&lt;/div&gt;</v>
      </c>
      <c r="F1786" s="3" t="str">
        <f t="shared" si="2"/>
        <v>(n): sự vắng mặt</v>
      </c>
      <c r="G1786" s="6" t="s">
        <v>44001</v>
      </c>
      <c r="H1786" s="6" t="s">
        <v>44002</v>
      </c>
      <c r="I1786" s="7">
        <f t="shared" si="3"/>
        <v>0.4934120049</v>
      </c>
    </row>
    <row r="1787">
      <c r="A1787" s="4">
        <v>1787.0</v>
      </c>
      <c r="B1787" s="3" t="s">
        <v>44003</v>
      </c>
      <c r="C1787" s="6" t="s">
        <v>11</v>
      </c>
      <c r="D1787" s="6" t="s">
        <v>5073</v>
      </c>
      <c r="E1787" s="3" t="str">
        <f t="shared" si="1"/>
        <v>ordinary&lt;br&gt;&lt;div class="audio"&gt;[sound:ordinary.mp3]&lt;/div&gt;</v>
      </c>
      <c r="F1787" s="3" t="str">
        <f t="shared" si="2"/>
        <v>(adj): bình thường</v>
      </c>
      <c r="G1787" s="6" t="s">
        <v>44004</v>
      </c>
      <c r="H1787" s="6" t="s">
        <v>44005</v>
      </c>
      <c r="I1787" s="7">
        <f t="shared" si="3"/>
        <v>0.1727135287</v>
      </c>
    </row>
    <row r="1788">
      <c r="A1788" s="4">
        <v>1788.0</v>
      </c>
      <c r="B1788" s="3" t="s">
        <v>44006</v>
      </c>
      <c r="C1788" s="6" t="s">
        <v>74</v>
      </c>
      <c r="D1788" s="6" t="s">
        <v>44007</v>
      </c>
      <c r="E1788" s="3" t="str">
        <f t="shared" si="1"/>
        <v>relief&lt;br&gt;&lt;div class="audio"&gt;[sound:relief.mp3]&lt;/div&gt;</v>
      </c>
      <c r="F1788" s="3" t="str">
        <f t="shared" si="2"/>
        <v>(n): sự nhẹ nhõm</v>
      </c>
      <c r="G1788" s="6" t="s">
        <v>44008</v>
      </c>
      <c r="H1788" s="6" t="s">
        <v>44009</v>
      </c>
      <c r="I1788" s="7">
        <f t="shared" si="3"/>
        <v>0.3898127617</v>
      </c>
    </row>
    <row r="1789">
      <c r="A1789" s="4">
        <v>1789.0</v>
      </c>
      <c r="B1789" s="3" t="s">
        <v>44010</v>
      </c>
      <c r="C1789" s="6" t="s">
        <v>74</v>
      </c>
      <c r="D1789" s="6" t="s">
        <v>20598</v>
      </c>
      <c r="E1789" s="3" t="str">
        <f t="shared" si="1"/>
        <v>cafe&lt;br&gt;&lt;div class="audio"&gt;[sound:cafe.mp3]&lt;/div&gt;</v>
      </c>
      <c r="F1789" s="3" t="str">
        <f t="shared" si="2"/>
        <v>(n): quán cà phê</v>
      </c>
      <c r="G1789" s="6" t="s">
        <v>44011</v>
      </c>
      <c r="H1789" s="6" t="s">
        <v>44012</v>
      </c>
      <c r="I1789" s="7">
        <f t="shared" si="3"/>
        <v>0.06445384548</v>
      </c>
    </row>
    <row r="1790">
      <c r="A1790" s="4">
        <v>1790.0</v>
      </c>
      <c r="B1790" s="3" t="s">
        <v>44013</v>
      </c>
      <c r="C1790" s="6" t="s">
        <v>24</v>
      </c>
      <c r="D1790" s="6" t="s">
        <v>44014</v>
      </c>
      <c r="E1790" s="3" t="str">
        <f t="shared" si="1"/>
        <v>highlight&lt;br&gt;&lt;div class="audio"&gt;[sound:highlight.mp3]&lt;/div&gt;</v>
      </c>
      <c r="F1790" s="3" t="str">
        <f t="shared" si="2"/>
        <v>(v): làm nổi bật</v>
      </c>
      <c r="G1790" s="6" t="s">
        <v>44015</v>
      </c>
      <c r="H1790" s="6" t="s">
        <v>44016</v>
      </c>
      <c r="I1790" s="7">
        <f t="shared" si="3"/>
        <v>0.3378051913</v>
      </c>
    </row>
    <row r="1791">
      <c r="A1791" s="4">
        <v>1791.0</v>
      </c>
      <c r="B1791" s="3" t="s">
        <v>44017</v>
      </c>
      <c r="C1791" s="6" t="s">
        <v>74</v>
      </c>
      <c r="D1791" s="6" t="s">
        <v>10541</v>
      </c>
      <c r="E1791" s="3" t="str">
        <f t="shared" si="1"/>
        <v>means&lt;br&gt;&lt;div class="audio"&gt;[sound:means.mp3]&lt;/div&gt;</v>
      </c>
      <c r="F1791" s="3" t="str">
        <f t="shared" si="2"/>
        <v>(n): phương tiện</v>
      </c>
      <c r="G1791" s="6" t="s">
        <v>44018</v>
      </c>
      <c r="H1791" s="6" t="s">
        <v>44019</v>
      </c>
      <c r="I1791" s="7">
        <f t="shared" si="3"/>
        <v>0.8553248149</v>
      </c>
    </row>
    <row r="1792">
      <c r="A1792" s="4">
        <v>1792.0</v>
      </c>
      <c r="B1792" s="3" t="s">
        <v>44020</v>
      </c>
      <c r="C1792" s="6" t="s">
        <v>74</v>
      </c>
      <c r="D1792" s="6" t="s">
        <v>44021</v>
      </c>
      <c r="E1792" s="3" t="str">
        <f t="shared" si="1"/>
        <v>consumption&lt;br&gt;&lt;div class="audio"&gt;[sound:consumption.mp3]&lt;/div&gt;</v>
      </c>
      <c r="F1792" s="3" t="str">
        <f t="shared" si="2"/>
        <v>(n): sự tiêu thụ</v>
      </c>
      <c r="G1792" s="6" t="s">
        <v>44022</v>
      </c>
      <c r="H1792" s="6" t="s">
        <v>44023</v>
      </c>
      <c r="I1792" s="7">
        <f t="shared" si="3"/>
        <v>0.01116324276</v>
      </c>
    </row>
    <row r="1793">
      <c r="A1793" s="4">
        <v>1793.0</v>
      </c>
      <c r="B1793" s="3" t="s">
        <v>44024</v>
      </c>
      <c r="C1793" s="6" t="s">
        <v>74</v>
      </c>
      <c r="D1793" s="6" t="s">
        <v>17918</v>
      </c>
      <c r="E1793" s="3" t="str">
        <f t="shared" si="1"/>
        <v>prize&lt;br&gt;&lt;div class="audio"&gt;[sound:prize.mp3]&lt;/div&gt;</v>
      </c>
      <c r="F1793" s="3" t="str">
        <f t="shared" si="2"/>
        <v>(n): giải thưởng</v>
      </c>
      <c r="G1793" s="6" t="s">
        <v>44025</v>
      </c>
      <c r="H1793" s="6" t="s">
        <v>44026</v>
      </c>
      <c r="I1793" s="7">
        <f t="shared" si="3"/>
        <v>0.6313144915</v>
      </c>
    </row>
    <row r="1794">
      <c r="A1794" s="4">
        <v>1794.0</v>
      </c>
      <c r="B1794" s="3" t="s">
        <v>44027</v>
      </c>
      <c r="C1794" s="6" t="s">
        <v>74</v>
      </c>
      <c r="D1794" s="8" t="s">
        <v>44028</v>
      </c>
      <c r="E1794" s="3" t="str">
        <f t="shared" si="1"/>
        <v>survival&lt;br&gt;&lt;div class="audio"&gt;[sound:survival.mp3]&lt;/div&gt;</v>
      </c>
      <c r="F1794" s="3" t="str">
        <f t="shared" si="2"/>
        <v>(n): sự sống sót</v>
      </c>
      <c r="G1794" s="8" t="s">
        <v>44029</v>
      </c>
      <c r="H1794" s="8" t="s">
        <v>44030</v>
      </c>
      <c r="I1794" s="7">
        <f t="shared" si="3"/>
        <v>0.4665922659</v>
      </c>
    </row>
    <row r="1795">
      <c r="A1795" s="4">
        <v>1795.0</v>
      </c>
      <c r="B1795" s="3" t="s">
        <v>44031</v>
      </c>
      <c r="C1795" s="6" t="s">
        <v>74</v>
      </c>
      <c r="D1795" s="6" t="s">
        <v>10693</v>
      </c>
      <c r="E1795" s="3" t="str">
        <f t="shared" si="1"/>
        <v>profession&lt;br&gt;&lt;div class="audio"&gt;[sound:profession.mp3]&lt;/div&gt;</v>
      </c>
      <c r="F1795" s="3" t="str">
        <f t="shared" si="2"/>
        <v>(n): nghề nghiệp</v>
      </c>
      <c r="G1795" s="6" t="s">
        <v>44032</v>
      </c>
      <c r="H1795" s="6" t="s">
        <v>44033</v>
      </c>
      <c r="I1795" s="7">
        <f t="shared" si="3"/>
        <v>0.9904188168</v>
      </c>
    </row>
    <row r="1796">
      <c r="A1796" s="4">
        <v>1796.0</v>
      </c>
      <c r="B1796" s="3" t="s">
        <v>44034</v>
      </c>
      <c r="C1796" s="6" t="s">
        <v>74</v>
      </c>
      <c r="D1796" s="6" t="s">
        <v>12423</v>
      </c>
      <c r="E1796" s="3" t="str">
        <f t="shared" si="1"/>
        <v>opposition&lt;br&gt;&lt;div class="audio"&gt;[sound:opposition.mp3]&lt;/div&gt;</v>
      </c>
      <c r="F1796" s="3" t="str">
        <f t="shared" si="2"/>
        <v>(n): sự phản đối</v>
      </c>
      <c r="G1796" s="6" t="s">
        <v>44035</v>
      </c>
      <c r="H1796" s="6" t="s">
        <v>44036</v>
      </c>
      <c r="I1796" s="7">
        <f t="shared" si="3"/>
        <v>0.9363335642</v>
      </c>
    </row>
    <row r="1797">
      <c r="A1797" s="4">
        <v>1797.0</v>
      </c>
      <c r="B1797" s="3" t="s">
        <v>44037</v>
      </c>
      <c r="C1797" s="6" t="s">
        <v>74</v>
      </c>
      <c r="D1797" s="6" t="s">
        <v>15677</v>
      </c>
      <c r="E1797" s="3" t="str">
        <f t="shared" si="1"/>
        <v>provision&lt;br&gt;&lt;div class="audio"&gt;[sound:provision.mp3]&lt;/div&gt;</v>
      </c>
      <c r="F1797" s="3" t="str">
        <f t="shared" si="2"/>
        <v>(n): sự cung cấp</v>
      </c>
      <c r="G1797" s="6" t="s">
        <v>44038</v>
      </c>
      <c r="H1797" s="6" t="s">
        <v>44039</v>
      </c>
      <c r="I1797" s="7">
        <f t="shared" si="3"/>
        <v>0.3631975716</v>
      </c>
    </row>
    <row r="1798">
      <c r="A1798" s="4">
        <v>1798.0</v>
      </c>
      <c r="B1798" s="3" t="s">
        <v>44040</v>
      </c>
      <c r="C1798" s="6" t="s">
        <v>74</v>
      </c>
      <c r="D1798" s="6" t="s">
        <v>44041</v>
      </c>
      <c r="E1798" s="3" t="str">
        <f t="shared" si="1"/>
        <v>publication&lt;br&gt;&lt;div class="audio"&gt;[sound:publication.mp3]&lt;/div&gt;</v>
      </c>
      <c r="F1798" s="3" t="str">
        <f t="shared" si="2"/>
        <v>(n): sự xuất bản</v>
      </c>
      <c r="G1798" s="6" t="s">
        <v>44042</v>
      </c>
      <c r="H1798" s="6" t="s">
        <v>44043</v>
      </c>
      <c r="I1798" s="7">
        <f t="shared" si="3"/>
        <v>0.1863068269</v>
      </c>
    </row>
    <row r="1799">
      <c r="A1799" s="4">
        <v>1799.0</v>
      </c>
      <c r="B1799" s="3" t="s">
        <v>44044</v>
      </c>
      <c r="C1799" s="6" t="s">
        <v>58</v>
      </c>
      <c r="D1799" s="8" t="s">
        <v>44045</v>
      </c>
      <c r="E1799" s="3" t="str">
        <f t="shared" si="1"/>
        <v>sixty&lt;br&gt;&lt;div class="audio"&gt;[sound:sixty.mp3]&lt;/div&gt;</v>
      </c>
      <c r="F1799" s="3" t="str">
        <f t="shared" si="2"/>
        <v>(num): số sáu mươi</v>
      </c>
      <c r="G1799" s="8" t="s">
        <v>44046</v>
      </c>
      <c r="H1799" s="8" t="s">
        <v>44047</v>
      </c>
      <c r="I1799" s="7">
        <f t="shared" si="3"/>
        <v>0.4602259478</v>
      </c>
    </row>
    <row r="1800">
      <c r="A1800" s="4">
        <v>1800.0</v>
      </c>
      <c r="B1800" s="3" t="s">
        <v>44048</v>
      </c>
      <c r="C1800" s="6" t="s">
        <v>74</v>
      </c>
      <c r="D1800" s="6" t="s">
        <v>6722</v>
      </c>
      <c r="E1800" s="3" t="str">
        <f t="shared" si="1"/>
        <v>victory&lt;br&gt;&lt;div class="audio"&gt;[sound:victory.mp3]&lt;/div&gt;</v>
      </c>
      <c r="F1800" s="3" t="str">
        <f t="shared" si="2"/>
        <v>(n): chiến thắng</v>
      </c>
      <c r="G1800" s="6" t="s">
        <v>44049</v>
      </c>
      <c r="H1800" s="6" t="s">
        <v>44050</v>
      </c>
      <c r="I1800" s="7">
        <f t="shared" si="3"/>
        <v>0.7691981454</v>
      </c>
    </row>
    <row r="1801">
      <c r="A1801" s="4">
        <v>1801.0</v>
      </c>
      <c r="B1801" s="3" t="s">
        <v>44051</v>
      </c>
      <c r="C1801" s="6" t="s">
        <v>74</v>
      </c>
      <c r="D1801" s="6" t="s">
        <v>44052</v>
      </c>
      <c r="E1801" s="3" t="str">
        <f t="shared" si="1"/>
        <v>representation&lt;br&gt;&lt;div class="audio"&gt;[sound:representation.mp3]&lt;/div&gt;</v>
      </c>
      <c r="F1801" s="3" t="str">
        <f t="shared" si="2"/>
        <v>(n): sự đại diện</v>
      </c>
      <c r="G1801" s="6" t="s">
        <v>44053</v>
      </c>
      <c r="H1801" s="6" t="s">
        <v>44054</v>
      </c>
      <c r="I1801" s="7">
        <f t="shared" si="3"/>
        <v>0.2185758103</v>
      </c>
    </row>
    <row r="1802">
      <c r="A1802" s="4">
        <v>1802.0</v>
      </c>
      <c r="B1802" s="3" t="s">
        <v>44055</v>
      </c>
      <c r="C1802" s="6" t="s">
        <v>74</v>
      </c>
      <c r="D1802" s="6" t="s">
        <v>19156</v>
      </c>
      <c r="E1802" s="3" t="str">
        <f t="shared" si="1"/>
        <v>incentive&lt;br&gt;&lt;div class="audio"&gt;[sound:incentive.mp3]&lt;/div&gt;</v>
      </c>
      <c r="F1802" s="3" t="str">
        <f t="shared" si="2"/>
        <v>(n): sự khích lệ</v>
      </c>
      <c r="G1802" s="6" t="s">
        <v>44056</v>
      </c>
      <c r="H1802" s="6" t="s">
        <v>44057</v>
      </c>
      <c r="I1802" s="7">
        <f t="shared" si="3"/>
        <v>0.4107952269</v>
      </c>
    </row>
    <row r="1803">
      <c r="A1803" s="4">
        <v>1803.0</v>
      </c>
      <c r="B1803" s="3" t="s">
        <v>44058</v>
      </c>
      <c r="C1803" s="6" t="s">
        <v>74</v>
      </c>
      <c r="D1803" s="6" t="s">
        <v>44059</v>
      </c>
      <c r="E1803" s="3" t="str">
        <f t="shared" si="1"/>
        <v>involvement&lt;br&gt;&lt;div class="audio"&gt;[sound:involvement.mp3]&lt;/div&gt;</v>
      </c>
      <c r="F1803" s="3" t="str">
        <f t="shared" si="2"/>
        <v>(n): sự tham gia</v>
      </c>
      <c r="G1803" s="6" t="s">
        <v>44060</v>
      </c>
      <c r="H1803" s="6" t="s">
        <v>44061</v>
      </c>
      <c r="I1803" s="7">
        <f t="shared" si="3"/>
        <v>0.8208658844</v>
      </c>
    </row>
    <row r="1804">
      <c r="A1804" s="4">
        <v>1804.0</v>
      </c>
      <c r="B1804" s="3" t="s">
        <v>44062</v>
      </c>
      <c r="C1804" s="6" t="s">
        <v>74</v>
      </c>
      <c r="D1804" s="8" t="s">
        <v>44063</v>
      </c>
      <c r="E1804" s="3" t="str">
        <f t="shared" si="1"/>
        <v>sensitivity&lt;br&gt;&lt;div class="audio"&gt;[sound:sensitivity.mp3]&lt;/div&gt;</v>
      </c>
      <c r="F1804" s="3" t="str">
        <f t="shared" si="2"/>
        <v>(n): sự nhạy cảm</v>
      </c>
      <c r="G1804" s="8" t="s">
        <v>44064</v>
      </c>
      <c r="H1804" s="8" t="s">
        <v>44065</v>
      </c>
      <c r="I1804" s="7">
        <f t="shared" si="3"/>
        <v>0.5110546849</v>
      </c>
    </row>
    <row r="1805">
      <c r="A1805" s="4">
        <v>1805.0</v>
      </c>
      <c r="B1805" s="3" t="s">
        <v>44066</v>
      </c>
      <c r="C1805" s="6" t="s">
        <v>74</v>
      </c>
      <c r="D1805" s="6" t="s">
        <v>44067</v>
      </c>
      <c r="E1805" s="3" t="str">
        <f t="shared" si="1"/>
        <v>recovery&lt;br&gt;&lt;div class="audio"&gt;[sound:recovery.mp3]&lt;/div&gt;</v>
      </c>
      <c r="F1805" s="3" t="str">
        <f t="shared" si="2"/>
        <v>(n): sự hồi phục</v>
      </c>
      <c r="G1805" s="6" t="s">
        <v>44068</v>
      </c>
      <c r="H1805" s="6" t="s">
        <v>44069</v>
      </c>
      <c r="I1805" s="7">
        <f t="shared" si="3"/>
        <v>0.9434770855</v>
      </c>
    </row>
    <row r="1806">
      <c r="A1806" s="4">
        <v>1806.0</v>
      </c>
      <c r="B1806" s="3" t="s">
        <v>44070</v>
      </c>
      <c r="C1806" s="6" t="s">
        <v>74</v>
      </c>
      <c r="D1806" s="6" t="s">
        <v>44071</v>
      </c>
      <c r="E1806" s="3" t="str">
        <f t="shared" si="1"/>
        <v>privacy&lt;br&gt;&lt;div class="audio"&gt;[sound:privacy.mp3]&lt;/div&gt;</v>
      </c>
      <c r="F1806" s="3" t="str">
        <f t="shared" si="2"/>
        <v>(n): sự riêng tư</v>
      </c>
      <c r="G1806" s="6" t="s">
        <v>44072</v>
      </c>
      <c r="H1806" s="6" t="s">
        <v>44073</v>
      </c>
      <c r="I1806" s="7">
        <f t="shared" si="3"/>
        <v>0.5893660621</v>
      </c>
    </row>
    <row r="1807">
      <c r="A1807" s="4">
        <v>1807.0</v>
      </c>
      <c r="B1807" s="3" t="s">
        <v>44074</v>
      </c>
      <c r="C1807" s="6" t="s">
        <v>11</v>
      </c>
      <c r="D1807" s="6" t="s">
        <v>44075</v>
      </c>
      <c r="E1807" s="3" t="str">
        <f t="shared" si="1"/>
        <v>formal&lt;br&gt;&lt;div class="audio"&gt;[sound:formal.mp3]&lt;/div&gt;</v>
      </c>
      <c r="F1807" s="3" t="str">
        <f t="shared" si="2"/>
        <v>(adj): trang trọng</v>
      </c>
      <c r="G1807" s="6" t="s">
        <v>44076</v>
      </c>
      <c r="H1807" s="6" t="s">
        <v>44077</v>
      </c>
      <c r="I1807" s="7">
        <f t="shared" si="3"/>
        <v>0.2585603024</v>
      </c>
    </row>
    <row r="1808">
      <c r="A1808" s="4">
        <v>1808.0</v>
      </c>
      <c r="B1808" s="3" t="s">
        <v>44078</v>
      </c>
      <c r="C1808" s="6" t="s">
        <v>74</v>
      </c>
      <c r="D1808" s="6" t="s">
        <v>44079</v>
      </c>
      <c r="E1808" s="3" t="str">
        <f t="shared" si="1"/>
        <v>route&lt;br&gt;&lt;div class="audio"&gt;[sound:route.mp3]&lt;/div&gt;</v>
      </c>
      <c r="F1808" s="3" t="str">
        <f t="shared" si="2"/>
        <v>(n): tuyến đường</v>
      </c>
      <c r="G1808" s="6" t="s">
        <v>44080</v>
      </c>
      <c r="H1808" s="6" t="s">
        <v>44081</v>
      </c>
      <c r="I1808" s="7">
        <f t="shared" si="3"/>
        <v>0.8048888525</v>
      </c>
    </row>
    <row r="1809">
      <c r="A1809" s="4">
        <v>1809.0</v>
      </c>
      <c r="B1809" s="3" t="s">
        <v>44082</v>
      </c>
      <c r="C1809" s="6" t="s">
        <v>24</v>
      </c>
      <c r="D1809" s="8" t="s">
        <v>44083</v>
      </c>
      <c r="E1809" s="3" t="str">
        <f t="shared" si="1"/>
        <v>slip&lt;br&gt;&lt;div class="audio"&gt;[sound:slip.mp3]&lt;/div&gt;</v>
      </c>
      <c r="F1809" s="3" t="str">
        <f t="shared" si="2"/>
        <v>(v): trượt chân</v>
      </c>
      <c r="G1809" s="8" t="s">
        <v>44084</v>
      </c>
      <c r="H1809" s="8" t="s">
        <v>44085</v>
      </c>
      <c r="I1809" s="7">
        <f t="shared" si="3"/>
        <v>0.4739121485</v>
      </c>
    </row>
    <row r="1810">
      <c r="A1810" s="4">
        <v>1810.0</v>
      </c>
      <c r="B1810" s="3" t="s">
        <v>44086</v>
      </c>
      <c r="C1810" s="6" t="s">
        <v>24</v>
      </c>
      <c r="D1810" s="6" t="s">
        <v>44087</v>
      </c>
      <c r="E1810" s="3" t="str">
        <f t="shared" si="1"/>
        <v>interpret&lt;br&gt;&lt;div class="audio"&gt;[sound:interpret.mp3]&lt;/div&gt;</v>
      </c>
      <c r="F1810" s="3" t="str">
        <f t="shared" si="2"/>
        <v>(v): thông dịch</v>
      </c>
      <c r="G1810" s="6" t="s">
        <v>44088</v>
      </c>
      <c r="H1810" s="6" t="s">
        <v>44089</v>
      </c>
      <c r="I1810" s="7">
        <f t="shared" si="3"/>
        <v>0.1144368237</v>
      </c>
    </row>
    <row r="1811">
      <c r="A1811" s="4">
        <v>1811.0</v>
      </c>
      <c r="B1811" s="3" t="s">
        <v>44090</v>
      </c>
      <c r="C1811" s="6" t="s">
        <v>74</v>
      </c>
      <c r="D1811" s="6" t="s">
        <v>17101</v>
      </c>
      <c r="E1811" s="3" t="str">
        <f t="shared" si="1"/>
        <v>schedule&lt;br&gt;&lt;div class="audio"&gt;[sound:schedule.mp3]&lt;/div&gt;</v>
      </c>
      <c r="F1811" s="3" t="str">
        <f t="shared" si="2"/>
        <v>(n): lịch trình</v>
      </c>
      <c r="G1811" s="6" t="s">
        <v>44091</v>
      </c>
      <c r="H1811" s="6" t="s">
        <v>44092</v>
      </c>
      <c r="I1811" s="7">
        <f t="shared" si="3"/>
        <v>0.4052328936</v>
      </c>
    </row>
    <row r="1812">
      <c r="A1812" s="4">
        <v>1812.0</v>
      </c>
      <c r="B1812" s="3" t="s">
        <v>44093</v>
      </c>
      <c r="C1812" s="6" t="s">
        <v>74</v>
      </c>
      <c r="D1812" s="6" t="s">
        <v>40637</v>
      </c>
      <c r="E1812" s="3" t="str">
        <f t="shared" si="1"/>
        <v>proof&lt;br&gt;&lt;div class="audio"&gt;[sound:proof.mp3]&lt;/div&gt;</v>
      </c>
      <c r="F1812" s="3" t="str">
        <f t="shared" si="2"/>
        <v>(n): bằng chứng</v>
      </c>
      <c r="G1812" s="6" t="s">
        <v>44094</v>
      </c>
      <c r="H1812" s="6" t="s">
        <v>44095</v>
      </c>
      <c r="I1812" s="7">
        <f t="shared" si="3"/>
        <v>0.4470536612</v>
      </c>
    </row>
    <row r="1813">
      <c r="A1813" s="4">
        <v>1813.0</v>
      </c>
      <c r="B1813" s="3" t="s">
        <v>44096</v>
      </c>
      <c r="C1813" s="6" t="s">
        <v>74</v>
      </c>
      <c r="D1813" s="6" t="s">
        <v>44097</v>
      </c>
      <c r="E1813" s="3" t="str">
        <f t="shared" si="1"/>
        <v>cigarette&lt;br&gt;&lt;div class="audio"&gt;[sound:cigarette.mp3]&lt;/div&gt;</v>
      </c>
      <c r="F1813" s="3" t="str">
        <f t="shared" si="2"/>
        <v>(n): điếu thuốc</v>
      </c>
      <c r="G1813" s="6" t="s">
        <v>44098</v>
      </c>
      <c r="H1813" s="6" t="s">
        <v>44099</v>
      </c>
      <c r="I1813" s="7">
        <f t="shared" si="3"/>
        <v>0.9994018869</v>
      </c>
    </row>
    <row r="1814">
      <c r="A1814" s="4">
        <v>1814.0</v>
      </c>
      <c r="B1814" s="3" t="s">
        <v>44100</v>
      </c>
      <c r="C1814" s="6" t="s">
        <v>74</v>
      </c>
      <c r="D1814" s="8" t="s">
        <v>42797</v>
      </c>
      <c r="E1814" s="3" t="str">
        <f t="shared" si="1"/>
        <v>specialist&lt;br&gt;&lt;div class="audio"&gt;[sound:specialist.mp3]&lt;/div&gt;</v>
      </c>
      <c r="F1814" s="3" t="str">
        <f t="shared" si="2"/>
        <v>(n): chuyên gia</v>
      </c>
      <c r="G1814" s="8" t="s">
        <v>44101</v>
      </c>
      <c r="H1814" s="8" t="s">
        <v>44102</v>
      </c>
      <c r="I1814" s="7">
        <f t="shared" si="3"/>
        <v>0.5591718162</v>
      </c>
    </row>
    <row r="1815">
      <c r="A1815" s="4">
        <v>1815.0</v>
      </c>
      <c r="B1815" s="3" t="s">
        <v>44103</v>
      </c>
      <c r="C1815" s="6" t="s">
        <v>11</v>
      </c>
      <c r="D1815" s="8" t="s">
        <v>44104</v>
      </c>
      <c r="E1815" s="3" t="str">
        <f t="shared" si="1"/>
        <v>skilled&lt;br&gt;&lt;div class="audio"&gt;[sound:skilled.mp3]&lt;/div&gt;</v>
      </c>
      <c r="F1815" s="3" t="str">
        <f t="shared" si="2"/>
        <v>(adj): có kỹ năng</v>
      </c>
      <c r="G1815" s="8" t="s">
        <v>44105</v>
      </c>
      <c r="H1815" s="8" t="s">
        <v>44106</v>
      </c>
      <c r="I1815" s="7">
        <f t="shared" si="3"/>
        <v>0.08103231501</v>
      </c>
    </row>
    <row r="1816">
      <c r="A1816" s="4">
        <v>1816.0</v>
      </c>
      <c r="B1816" s="3" t="s">
        <v>44107</v>
      </c>
      <c r="C1816" s="6" t="s">
        <v>74</v>
      </c>
      <c r="D1816" s="6" t="s">
        <v>44108</v>
      </c>
      <c r="E1816" s="3" t="str">
        <f t="shared" si="1"/>
        <v>businessman&lt;br&gt;&lt;div class="audio"&gt;[sound:businessman.mp3]&lt;/div&gt;</v>
      </c>
      <c r="F1816" s="3" t="str">
        <f t="shared" si="2"/>
        <v>(n): doanh nhân</v>
      </c>
      <c r="G1816" s="6" t="s">
        <v>44109</v>
      </c>
      <c r="H1816" s="6" t="s">
        <v>44110</v>
      </c>
      <c r="I1816" s="7">
        <f t="shared" si="3"/>
        <v>0.1482062856</v>
      </c>
    </row>
    <row r="1817">
      <c r="A1817" s="4">
        <v>1817.0</v>
      </c>
      <c r="B1817" s="3" t="s">
        <v>44111</v>
      </c>
      <c r="C1817" s="6" t="s">
        <v>74</v>
      </c>
      <c r="D1817" s="8" t="s">
        <v>11621</v>
      </c>
      <c r="E1817" s="3" t="str">
        <f t="shared" si="1"/>
        <v>surgery&lt;br&gt;&lt;div class="audio"&gt;[sound:surgery.mp3]&lt;/div&gt;</v>
      </c>
      <c r="F1817" s="3" t="str">
        <f t="shared" si="2"/>
        <v>(n): phẫu thuật</v>
      </c>
      <c r="G1817" s="8" t="s">
        <v>44112</v>
      </c>
      <c r="H1817" s="8" t="s">
        <v>44113</v>
      </c>
      <c r="I1817" s="7">
        <f t="shared" si="3"/>
        <v>0.2966433877</v>
      </c>
    </row>
    <row r="1818">
      <c r="A1818" s="4">
        <v>1818.0</v>
      </c>
      <c r="B1818" s="3" t="s">
        <v>44114</v>
      </c>
      <c r="C1818" s="6" t="s">
        <v>74</v>
      </c>
      <c r="D1818" s="6" t="s">
        <v>44115</v>
      </c>
      <c r="E1818" s="3" t="str">
        <f t="shared" si="1"/>
        <v>guitar&lt;br&gt;&lt;div class="audio"&gt;[sound:guitar.mp3]&lt;/div&gt;</v>
      </c>
      <c r="F1818" s="3" t="str">
        <f t="shared" si="2"/>
        <v>(n): đàn ghi ta</v>
      </c>
      <c r="G1818" s="6" t="s">
        <v>44116</v>
      </c>
      <c r="H1818" s="6" t="s">
        <v>44117</v>
      </c>
      <c r="I1818" s="7">
        <f t="shared" si="3"/>
        <v>0.8348635322</v>
      </c>
    </row>
    <row r="1819">
      <c r="A1819" s="4">
        <v>1819.0</v>
      </c>
      <c r="B1819" s="3" t="s">
        <v>44118</v>
      </c>
      <c r="C1819" s="6" t="s">
        <v>85</v>
      </c>
      <c r="D1819" s="6" t="s">
        <v>44119</v>
      </c>
      <c r="E1819" s="3" t="str">
        <f t="shared" si="1"/>
        <v>honestly&lt;br&gt;&lt;div class="audio"&gt;[sound:honestly.mp3]&lt;/div&gt;</v>
      </c>
      <c r="F1819" s="3" t="str">
        <f t="shared" si="2"/>
        <v>(adv): thành thật</v>
      </c>
      <c r="G1819" s="6" t="s">
        <v>44120</v>
      </c>
      <c r="H1819" s="6" t="s">
        <v>44121</v>
      </c>
      <c r="I1819" s="7">
        <f t="shared" si="3"/>
        <v>0.1533834354</v>
      </c>
    </row>
    <row r="1820">
      <c r="A1820" s="4">
        <v>1820.0</v>
      </c>
      <c r="B1820" s="3" t="s">
        <v>44122</v>
      </c>
      <c r="C1820" s="6" t="s">
        <v>24</v>
      </c>
      <c r="D1820" s="6" t="s">
        <v>44123</v>
      </c>
      <c r="E1820" s="3" t="str">
        <f t="shared" si="1"/>
        <v>chat&lt;br&gt;&lt;div class="audio"&gt;[sound:chat.mp3]&lt;/div&gt;</v>
      </c>
      <c r="F1820" s="3" t="str">
        <f t="shared" si="2"/>
        <v>(v): trò chuyện</v>
      </c>
      <c r="G1820" s="6" t="s">
        <v>44124</v>
      </c>
      <c r="H1820" s="6" t="s">
        <v>44125</v>
      </c>
      <c r="I1820" s="7">
        <f t="shared" si="3"/>
        <v>0.8427265122</v>
      </c>
    </row>
    <row r="1821">
      <c r="A1821" s="4">
        <v>1821.0</v>
      </c>
      <c r="B1821" s="3" t="s">
        <v>44126</v>
      </c>
      <c r="C1821" s="6" t="s">
        <v>74</v>
      </c>
      <c r="D1821" s="6" t="s">
        <v>44127</v>
      </c>
      <c r="E1821" s="3" t="str">
        <f t="shared" si="1"/>
        <v>recording&lt;br&gt;&lt;div class="audio"&gt;[sound:recording.mp3]&lt;/div&gt;</v>
      </c>
      <c r="F1821" s="3" t="str">
        <f t="shared" si="2"/>
        <v>(n): bản ghi âm</v>
      </c>
      <c r="G1821" s="6" t="s">
        <v>44128</v>
      </c>
      <c r="H1821" s="6" t="s">
        <v>44129</v>
      </c>
      <c r="I1821" s="7">
        <f t="shared" si="3"/>
        <v>0.7675492259</v>
      </c>
    </row>
    <row r="1822">
      <c r="A1822" s="4">
        <v>1822.0</v>
      </c>
      <c r="B1822" s="3" t="s">
        <v>44130</v>
      </c>
      <c r="C1822" s="6" t="s">
        <v>11</v>
      </c>
      <c r="D1822" s="6" t="s">
        <v>23458</v>
      </c>
      <c r="E1822" s="3" t="str">
        <f t="shared" si="1"/>
        <v>honest&lt;br&gt;&lt;div class="audio"&gt;[sound:honest.mp3]&lt;/div&gt;</v>
      </c>
      <c r="F1822" s="3" t="str">
        <f t="shared" si="2"/>
        <v>(adj): trung thực</v>
      </c>
      <c r="G1822" s="6" t="s">
        <v>44131</v>
      </c>
      <c r="H1822" s="6" t="s">
        <v>44132</v>
      </c>
      <c r="I1822" s="7">
        <f t="shared" si="3"/>
        <v>0.5033176977</v>
      </c>
    </row>
    <row r="1823">
      <c r="A1823" s="4">
        <v>1823.0</v>
      </c>
      <c r="B1823" s="3" t="s">
        <v>44133</v>
      </c>
      <c r="C1823" s="6" t="s">
        <v>74</v>
      </c>
      <c r="D1823" s="6" t="s">
        <v>44134</v>
      </c>
      <c r="E1823" s="3" t="str">
        <f t="shared" si="1"/>
        <v>ring&lt;br&gt;&lt;div class="audio"&gt;[sound:ring.mp3]&lt;/div&gt;</v>
      </c>
      <c r="F1823" s="3" t="str">
        <f t="shared" si="2"/>
        <v>(n): chiếc nhẫn</v>
      </c>
      <c r="G1823" s="6" t="s">
        <v>44135</v>
      </c>
      <c r="H1823" s="6" t="s">
        <v>44136</v>
      </c>
      <c r="I1823" s="7">
        <f t="shared" si="3"/>
        <v>0.4804933807</v>
      </c>
    </row>
    <row r="1824">
      <c r="A1824" s="4">
        <v>1824.0</v>
      </c>
      <c r="B1824" s="3" t="s">
        <v>44137</v>
      </c>
      <c r="C1824" s="6" t="s">
        <v>74</v>
      </c>
      <c r="D1824" s="6" t="s">
        <v>10291</v>
      </c>
      <c r="E1824" s="3" t="str">
        <f t="shared" si="1"/>
        <v>fashion&lt;br&gt;&lt;div class="audio"&gt;[sound:fashion.mp3]&lt;/div&gt;</v>
      </c>
      <c r="F1824" s="3" t="str">
        <f t="shared" si="2"/>
        <v>(n): thời trang</v>
      </c>
      <c r="G1824" s="6" t="s">
        <v>44138</v>
      </c>
      <c r="H1824" s="6" t="s">
        <v>44139</v>
      </c>
      <c r="I1824" s="7">
        <f t="shared" si="3"/>
        <v>0.06947501947</v>
      </c>
    </row>
    <row r="1825">
      <c r="A1825" s="4">
        <v>1825.0</v>
      </c>
      <c r="B1825" s="3" t="s">
        <v>44140</v>
      </c>
      <c r="C1825" s="6" t="s">
        <v>74</v>
      </c>
      <c r="D1825" s="6" t="s">
        <v>44141</v>
      </c>
      <c r="E1825" s="3" t="str">
        <f t="shared" si="1"/>
        <v>processing&lt;br&gt;&lt;div class="audio"&gt;[sound:processing.mp3]&lt;/div&gt;</v>
      </c>
      <c r="F1825" s="3" t="str">
        <f t="shared" si="2"/>
        <v>(n): việc xử lý</v>
      </c>
      <c r="G1825" s="6" t="s">
        <v>44142</v>
      </c>
      <c r="H1825" s="6" t="s">
        <v>44143</v>
      </c>
      <c r="I1825" s="7">
        <f t="shared" si="3"/>
        <v>0.5973401129</v>
      </c>
    </row>
    <row r="1826">
      <c r="A1826" s="4">
        <v>1826.0</v>
      </c>
      <c r="B1826" s="3" t="s">
        <v>44144</v>
      </c>
      <c r="C1826" s="6" t="s">
        <v>74</v>
      </c>
      <c r="D1826" s="6" t="s">
        <v>44145</v>
      </c>
      <c r="E1826" s="3" t="str">
        <f t="shared" si="1"/>
        <v>october&lt;br&gt;&lt;div class="audio"&gt;[sound:october.mp3]&lt;/div&gt;</v>
      </c>
      <c r="F1826" s="3" t="str">
        <f t="shared" si="2"/>
        <v>(n): tháng mười</v>
      </c>
      <c r="G1826" s="6" t="s">
        <v>44146</v>
      </c>
      <c r="H1826" s="6" t="s">
        <v>44147</v>
      </c>
      <c r="I1826" s="7">
        <f t="shared" si="3"/>
        <v>0.03125963719</v>
      </c>
    </row>
    <row r="1827">
      <c r="A1827" s="4">
        <v>1827.0</v>
      </c>
      <c r="B1827" s="3" t="s">
        <v>44148</v>
      </c>
      <c r="C1827" s="6" t="s">
        <v>74</v>
      </c>
      <c r="D1827" s="6" t="s">
        <v>1879</v>
      </c>
      <c r="E1827" s="3" t="str">
        <f t="shared" si="1"/>
        <v>existence&lt;br&gt;&lt;div class="audio"&gt;[sound:existence.mp3]&lt;/div&gt;</v>
      </c>
      <c r="F1827" s="3" t="str">
        <f t="shared" si="2"/>
        <v>(n): sự tồn tại</v>
      </c>
      <c r="G1827" s="6" t="s">
        <v>44149</v>
      </c>
      <c r="H1827" s="6" t="s">
        <v>44150</v>
      </c>
      <c r="I1827" s="7">
        <f t="shared" si="3"/>
        <v>0.341808208</v>
      </c>
    </row>
    <row r="1828">
      <c r="A1828" s="4">
        <v>1828.0</v>
      </c>
      <c r="B1828" s="3" t="s">
        <v>44151</v>
      </c>
      <c r="C1828" s="6" t="s">
        <v>74</v>
      </c>
      <c r="D1828" s="6" t="s">
        <v>17765</v>
      </c>
      <c r="E1828" s="3" t="str">
        <f t="shared" si="1"/>
        <v>extension&lt;br&gt;&lt;div class="audio"&gt;[sound:extension.mp3]&lt;/div&gt;</v>
      </c>
      <c r="F1828" s="3" t="str">
        <f t="shared" si="2"/>
        <v>(n): sự mở rộng</v>
      </c>
      <c r="G1828" s="6" t="s">
        <v>44152</v>
      </c>
      <c r="H1828" s="6" t="s">
        <v>44153</v>
      </c>
      <c r="I1828" s="7">
        <f t="shared" si="3"/>
        <v>0.07663161786</v>
      </c>
    </row>
    <row r="1829">
      <c r="A1829" s="4">
        <v>1829.0</v>
      </c>
      <c r="B1829" s="3" t="s">
        <v>44154</v>
      </c>
      <c r="C1829" s="6" t="s">
        <v>11</v>
      </c>
      <c r="D1829" s="6" t="s">
        <v>44155</v>
      </c>
      <c r="E1829" s="3" t="str">
        <f t="shared" si="1"/>
        <v>familiar&lt;br&gt;&lt;div class="audio"&gt;[sound:familiar.mp3]&lt;/div&gt;</v>
      </c>
      <c r="F1829" s="3" t="str">
        <f t="shared" si="2"/>
        <v>(adj): quen thuộc</v>
      </c>
      <c r="G1829" s="6" t="s">
        <v>44156</v>
      </c>
      <c r="H1829" s="6" t="s">
        <v>44157</v>
      </c>
      <c r="I1829" s="7">
        <f t="shared" si="3"/>
        <v>0.5860661788</v>
      </c>
    </row>
    <row r="1830">
      <c r="A1830" s="4">
        <v>1830.0</v>
      </c>
      <c r="B1830" s="3" t="s">
        <v>44158</v>
      </c>
      <c r="C1830" s="6" t="s">
        <v>74</v>
      </c>
      <c r="D1830" s="6" t="s">
        <v>44159</v>
      </c>
      <c r="E1830" s="3" t="str">
        <f t="shared" si="1"/>
        <v>holding&lt;br&gt;&lt;div class="audio"&gt;[sound:holding.mp3]&lt;/div&gt;</v>
      </c>
      <c r="F1830" s="3" t="str">
        <f t="shared" si="2"/>
        <v>(n): sự nắm giữ</v>
      </c>
      <c r="G1830" s="6" t="s">
        <v>44160</v>
      </c>
      <c r="H1830" s="6" t="s">
        <v>44161</v>
      </c>
      <c r="I1830" s="7">
        <f t="shared" si="3"/>
        <v>0.7317876136</v>
      </c>
    </row>
    <row r="1831">
      <c r="A1831" s="4">
        <v>1831.0</v>
      </c>
      <c r="B1831" s="3" t="s">
        <v>44162</v>
      </c>
      <c r="C1831" s="6" t="s">
        <v>74</v>
      </c>
      <c r="D1831" s="6" t="s">
        <v>44163</v>
      </c>
      <c r="E1831" s="3" t="str">
        <f t="shared" si="1"/>
        <v>investor&lt;br&gt;&lt;div class="audio"&gt;[sound:investor.mp3]&lt;/div&gt;</v>
      </c>
      <c r="F1831" s="3" t="str">
        <f t="shared" si="2"/>
        <v>(n): nhà đầu tư</v>
      </c>
      <c r="G1831" s="6" t="s">
        <v>44164</v>
      </c>
      <c r="H1831" s="6" t="s">
        <v>44165</v>
      </c>
      <c r="I1831" s="7">
        <f t="shared" si="3"/>
        <v>0.8487373392</v>
      </c>
    </row>
    <row r="1832">
      <c r="A1832" s="4">
        <v>1832.0</v>
      </c>
      <c r="B1832" s="3" t="s">
        <v>44166</v>
      </c>
      <c r="C1832" s="6" t="s">
        <v>74</v>
      </c>
      <c r="D1832" s="6" t="s">
        <v>44167</v>
      </c>
      <c r="E1832" s="3" t="str">
        <f t="shared" si="1"/>
        <v>appeal&lt;br&gt;&lt;div class="audio"&gt;[sound:appeal.mp3]&lt;/div&gt;</v>
      </c>
      <c r="F1832" s="3" t="str">
        <f t="shared" si="2"/>
        <v>(n): sự hấp dẫn</v>
      </c>
      <c r="G1832" s="6" t="s">
        <v>44168</v>
      </c>
      <c r="H1832" s="6" t="s">
        <v>44169</v>
      </c>
      <c r="I1832" s="7">
        <f t="shared" si="3"/>
        <v>0.3394869624</v>
      </c>
    </row>
    <row r="1833">
      <c r="A1833" s="4">
        <v>1833.0</v>
      </c>
      <c r="B1833" s="3" t="s">
        <v>44170</v>
      </c>
      <c r="C1833" s="6" t="s">
        <v>74</v>
      </c>
      <c r="D1833" s="6" t="s">
        <v>6796</v>
      </c>
      <c r="E1833" s="3" t="str">
        <f t="shared" si="1"/>
        <v>registration&lt;br&gt;&lt;div class="audio"&gt;[sound:registration.mp3]&lt;/div&gt;</v>
      </c>
      <c r="F1833" s="3" t="str">
        <f t="shared" si="2"/>
        <v>(n): sự đăng ký</v>
      </c>
      <c r="G1833" s="6" t="s">
        <v>44171</v>
      </c>
      <c r="H1833" s="6" t="s">
        <v>44172</v>
      </c>
      <c r="I1833" s="7">
        <f t="shared" si="3"/>
        <v>0.5008770969</v>
      </c>
    </row>
    <row r="1834">
      <c r="A1834" s="4">
        <v>1834.0</v>
      </c>
      <c r="B1834" s="3" t="s">
        <v>44173</v>
      </c>
      <c r="C1834" s="6" t="s">
        <v>11</v>
      </c>
      <c r="D1834" s="6" t="s">
        <v>32127</v>
      </c>
      <c r="E1834" s="3" t="str">
        <f t="shared" si="1"/>
        <v>empty&lt;br&gt;&lt;div class="audio"&gt;[sound:empty.mp3]&lt;/div&gt;</v>
      </c>
      <c r="F1834" s="3" t="str">
        <f t="shared" si="2"/>
        <v>(adj): trống rỗng</v>
      </c>
      <c r="G1834" s="6" t="s">
        <v>44174</v>
      </c>
      <c r="H1834" s="6" t="s">
        <v>44175</v>
      </c>
      <c r="I1834" s="7">
        <f t="shared" si="3"/>
        <v>0.5021566567</v>
      </c>
    </row>
    <row r="1835">
      <c r="A1835" s="4">
        <v>1835.0</v>
      </c>
      <c r="B1835" s="3" t="s">
        <v>44176</v>
      </c>
      <c r="C1835" s="6" t="s">
        <v>74</v>
      </c>
      <c r="D1835" s="8" t="s">
        <v>5806</v>
      </c>
      <c r="E1835" s="3" t="str">
        <f t="shared" si="1"/>
        <v>shipping&lt;br&gt;&lt;div class="audio"&gt;[sound:shipping.mp3]&lt;/div&gt;</v>
      </c>
      <c r="F1835" s="3" t="str">
        <f t="shared" si="2"/>
        <v>(n): vận chuyển</v>
      </c>
      <c r="G1835" s="8" t="s">
        <v>44177</v>
      </c>
      <c r="H1835" s="8" t="s">
        <v>44178</v>
      </c>
      <c r="I1835" s="7">
        <f t="shared" si="3"/>
        <v>0.5760322427</v>
      </c>
    </row>
    <row r="1836">
      <c r="A1836" s="4">
        <v>1836.0</v>
      </c>
      <c r="B1836" s="3" t="s">
        <v>44179</v>
      </c>
      <c r="C1836" s="6" t="s">
        <v>74</v>
      </c>
      <c r="D1836" s="8" t="s">
        <v>44180</v>
      </c>
      <c r="E1836" s="3" t="str">
        <f t="shared" si="1"/>
        <v>shooting&lt;br&gt;&lt;div class="audio"&gt;[sound:shooting.mp3]&lt;/div&gt;</v>
      </c>
      <c r="F1836" s="3" t="str">
        <f t="shared" si="2"/>
        <v>(n): vụ nổ súng</v>
      </c>
      <c r="G1836" s="8" t="s">
        <v>44181</v>
      </c>
      <c r="H1836" s="8" t="s">
        <v>44182</v>
      </c>
      <c r="I1836" s="7">
        <f t="shared" si="3"/>
        <v>0.1224436208</v>
      </c>
    </row>
    <row r="1837">
      <c r="A1837" s="4">
        <v>1837.0</v>
      </c>
      <c r="B1837" s="3" t="s">
        <v>44183</v>
      </c>
      <c r="C1837" s="6" t="s">
        <v>11</v>
      </c>
      <c r="D1837" s="6" t="s">
        <v>17480</v>
      </c>
      <c r="E1837" s="3" t="str">
        <f t="shared" si="1"/>
        <v>intelligent&lt;br&gt;&lt;div class="audio"&gt;[sound:intelligent.mp3]&lt;/div&gt;</v>
      </c>
      <c r="F1837" s="3" t="str">
        <f t="shared" si="2"/>
        <v>(adj): thông minh</v>
      </c>
      <c r="G1837" s="6" t="s">
        <v>44184</v>
      </c>
      <c r="H1837" s="6" t="s">
        <v>44185</v>
      </c>
      <c r="I1837" s="7">
        <f t="shared" si="3"/>
        <v>0.2465574286</v>
      </c>
    </row>
    <row r="1838">
      <c r="A1838" s="4">
        <v>1838.0</v>
      </c>
      <c r="B1838" s="3" t="s">
        <v>44186</v>
      </c>
      <c r="C1838" s="6" t="s">
        <v>74</v>
      </c>
      <c r="D1838" s="8" t="s">
        <v>44187</v>
      </c>
      <c r="E1838" s="3" t="str">
        <f t="shared" si="1"/>
        <v>suffering&lt;br&gt;&lt;div class="audio"&gt;[sound:suffering.mp3]&lt;/div&gt;</v>
      </c>
      <c r="F1838" s="3" t="str">
        <f t="shared" si="2"/>
        <v>(n): sự đau khổ</v>
      </c>
      <c r="G1838" s="8" t="s">
        <v>44188</v>
      </c>
      <c r="H1838" s="8" t="s">
        <v>44189</v>
      </c>
      <c r="I1838" s="7">
        <f t="shared" si="3"/>
        <v>0.2376841262</v>
      </c>
    </row>
    <row r="1839">
      <c r="A1839" s="4">
        <v>1839.0</v>
      </c>
      <c r="B1839" s="3" t="s">
        <v>44190</v>
      </c>
      <c r="C1839" s="6" t="s">
        <v>24</v>
      </c>
      <c r="D1839" s="8" t="s">
        <v>26692</v>
      </c>
      <c r="E1839" s="3" t="str">
        <f t="shared" si="1"/>
        <v>shine&lt;br&gt;&lt;div class="audio"&gt;[sound:shine.mp3]&lt;/div&gt;</v>
      </c>
      <c r="F1839" s="3" t="str">
        <f t="shared" si="2"/>
        <v>(v): chiếu sáng</v>
      </c>
      <c r="G1839" s="8" t="s">
        <v>44191</v>
      </c>
      <c r="H1839" s="8" t="s">
        <v>44192</v>
      </c>
      <c r="I1839" s="7">
        <f t="shared" si="3"/>
        <v>0.05752705063</v>
      </c>
    </row>
    <row r="1840">
      <c r="A1840" s="4">
        <v>1840.0</v>
      </c>
      <c r="B1840" s="3" t="s">
        <v>44193</v>
      </c>
      <c r="C1840" s="6" t="s">
        <v>11</v>
      </c>
      <c r="D1840" s="8" t="s">
        <v>1348</v>
      </c>
      <c r="E1840" s="3" t="str">
        <f t="shared" si="1"/>
        <v>surrounding&lt;br&gt;&lt;div class="audio"&gt;[sound:surrounding.mp3]&lt;/div&gt;</v>
      </c>
      <c r="F1840" s="3" t="str">
        <f t="shared" si="2"/>
        <v>(adj): xung quanh</v>
      </c>
      <c r="G1840" s="8" t="s">
        <v>44194</v>
      </c>
      <c r="H1840" s="8" t="s">
        <v>44195</v>
      </c>
      <c r="I1840" s="7">
        <f t="shared" si="3"/>
        <v>0.5651156693</v>
      </c>
    </row>
    <row r="1841">
      <c r="A1841" s="4">
        <v>1841.0</v>
      </c>
      <c r="B1841" s="3" t="s">
        <v>44196</v>
      </c>
      <c r="C1841" s="6" t="s">
        <v>74</v>
      </c>
      <c r="D1841" s="6" t="s">
        <v>12515</v>
      </c>
      <c r="E1841" s="3" t="str">
        <f t="shared" si="1"/>
        <v>restriction&lt;br&gt;&lt;div class="audio"&gt;[sound:restriction.mp3]&lt;/div&gt;</v>
      </c>
      <c r="F1841" s="3" t="str">
        <f t="shared" si="2"/>
        <v>(n): sự hạn chế</v>
      </c>
      <c r="G1841" s="6" t="s">
        <v>44197</v>
      </c>
      <c r="H1841" s="6" t="s">
        <v>44198</v>
      </c>
      <c r="I1841" s="7">
        <f t="shared" si="3"/>
        <v>0.7582879791</v>
      </c>
    </row>
    <row r="1842">
      <c r="A1842" s="4">
        <v>1842.0</v>
      </c>
      <c r="B1842" s="3" t="s">
        <v>44199</v>
      </c>
      <c r="C1842" s="6" t="s">
        <v>74</v>
      </c>
      <c r="D1842" s="6" t="s">
        <v>44200</v>
      </c>
      <c r="E1842" s="3" t="str">
        <f t="shared" si="1"/>
        <v>confusion&lt;br&gt;&lt;div class="audio"&gt;[sound:confusion.mp3]&lt;/div&gt;</v>
      </c>
      <c r="F1842" s="3" t="str">
        <f t="shared" si="2"/>
        <v>(n): sự bối rối</v>
      </c>
      <c r="G1842" s="6" t="s">
        <v>44201</v>
      </c>
      <c r="H1842" s="6" t="s">
        <v>44202</v>
      </c>
      <c r="I1842" s="7">
        <f t="shared" si="3"/>
        <v>0.9783259578</v>
      </c>
    </row>
    <row r="1843">
      <c r="A1843" s="4">
        <v>1843.0</v>
      </c>
      <c r="B1843" s="3" t="s">
        <v>44203</v>
      </c>
      <c r="C1843" s="6" t="s">
        <v>74</v>
      </c>
      <c r="D1843" s="6" t="s">
        <v>44204</v>
      </c>
      <c r="E1843" s="3" t="str">
        <f t="shared" si="1"/>
        <v>immigration&lt;br&gt;&lt;div class="audio"&gt;[sound:immigration.mp3]&lt;/div&gt;</v>
      </c>
      <c r="F1843" s="3" t="str">
        <f t="shared" si="2"/>
        <v>(n): sự nhập cư</v>
      </c>
      <c r="G1843" s="6" t="s">
        <v>44205</v>
      </c>
      <c r="H1843" s="6" t="s">
        <v>44206</v>
      </c>
      <c r="I1843" s="7">
        <f t="shared" si="3"/>
        <v>0.8495185156</v>
      </c>
    </row>
    <row r="1844">
      <c r="A1844" s="4">
        <v>1844.0</v>
      </c>
      <c r="B1844" s="3" t="s">
        <v>44207</v>
      </c>
      <c r="C1844" s="6" t="s">
        <v>74</v>
      </c>
      <c r="D1844" s="6" t="s">
        <v>44208</v>
      </c>
      <c r="E1844" s="3" t="str">
        <f t="shared" si="1"/>
        <v>partnership&lt;br&gt;&lt;div class="audio"&gt;[sound:partnership.mp3]&lt;/div&gt;</v>
      </c>
      <c r="F1844" s="3" t="str">
        <f t="shared" si="2"/>
        <v>(n): sự hợp tác</v>
      </c>
      <c r="G1844" s="6" t="s">
        <v>44209</v>
      </c>
      <c r="H1844" s="6" t="s">
        <v>44210</v>
      </c>
      <c r="I1844" s="7">
        <f t="shared" si="3"/>
        <v>0.5272982744</v>
      </c>
    </row>
    <row r="1845">
      <c r="A1845" s="4">
        <v>1845.0</v>
      </c>
      <c r="B1845" s="3" t="s">
        <v>44211</v>
      </c>
      <c r="C1845" s="6" t="s">
        <v>74</v>
      </c>
      <c r="D1845" s="6" t="s">
        <v>7921</v>
      </c>
      <c r="E1845" s="3" t="str">
        <f t="shared" si="1"/>
        <v>battle&lt;br&gt;&lt;div class="audio"&gt;[sound:battle.mp3]&lt;/div&gt;</v>
      </c>
      <c r="F1845" s="3" t="str">
        <f t="shared" si="2"/>
        <v>(n): trận chiến</v>
      </c>
      <c r="G1845" s="6" t="s">
        <v>44212</v>
      </c>
      <c r="H1845" s="6" t="s">
        <v>44213</v>
      </c>
      <c r="I1845" s="7">
        <f t="shared" si="3"/>
        <v>0.2832897682</v>
      </c>
    </row>
    <row r="1846">
      <c r="A1846" s="4">
        <v>1846.0</v>
      </c>
      <c r="B1846" s="3" t="s">
        <v>44214</v>
      </c>
      <c r="C1846" s="6" t="s">
        <v>74</v>
      </c>
      <c r="D1846" s="6" t="s">
        <v>41750</v>
      </c>
      <c r="E1846" s="3" t="str">
        <f t="shared" si="1"/>
        <v>advance&lt;br&gt;&lt;div class="audio"&gt;[sound:advance.mp3]&lt;/div&gt;</v>
      </c>
      <c r="F1846" s="3" t="str">
        <f t="shared" si="2"/>
        <v>(n): sự tiến bộ</v>
      </c>
      <c r="G1846" s="6" t="s">
        <v>44215</v>
      </c>
      <c r="H1846" s="6" t="s">
        <v>44216</v>
      </c>
      <c r="I1846" s="7">
        <f t="shared" si="3"/>
        <v>0.4274807286</v>
      </c>
    </row>
    <row r="1847">
      <c r="A1847" s="4">
        <v>1847.0</v>
      </c>
      <c r="B1847" s="3" t="s">
        <v>44217</v>
      </c>
      <c r="C1847" s="6" t="s">
        <v>74</v>
      </c>
      <c r="D1847" s="6" t="s">
        <v>44218</v>
      </c>
      <c r="E1847" s="3" t="str">
        <f t="shared" si="1"/>
        <v>arrangement&lt;br&gt;&lt;div class="audio"&gt;[sound:arrangement.mp3]&lt;/div&gt;</v>
      </c>
      <c r="F1847" s="3" t="str">
        <f t="shared" si="2"/>
        <v>(n): sự sắp xếp</v>
      </c>
      <c r="G1847" s="6" t="s">
        <v>44219</v>
      </c>
      <c r="H1847" s="6" t="s">
        <v>44220</v>
      </c>
      <c r="I1847" s="7">
        <f t="shared" si="3"/>
        <v>0.5808830758</v>
      </c>
    </row>
    <row r="1848">
      <c r="A1848" s="4">
        <v>1848.0</v>
      </c>
      <c r="B1848" s="3" t="s">
        <v>44221</v>
      </c>
      <c r="C1848" s="6" t="s">
        <v>24</v>
      </c>
      <c r="D1848" s="6" t="s">
        <v>5226</v>
      </c>
      <c r="E1848" s="3" t="str">
        <f t="shared" si="1"/>
        <v>implement&lt;br&gt;&lt;div class="audio"&gt;[sound:implement.mp3]&lt;/div&gt;</v>
      </c>
      <c r="F1848" s="3" t="str">
        <f t="shared" si="2"/>
        <v>(v): triển khai</v>
      </c>
      <c r="G1848" s="6" t="s">
        <v>44222</v>
      </c>
      <c r="H1848" s="6" t="s">
        <v>44223</v>
      </c>
      <c r="I1848" s="7">
        <f t="shared" si="3"/>
        <v>0.08871215367</v>
      </c>
    </row>
    <row r="1849">
      <c r="A1849" s="4">
        <v>1849.0</v>
      </c>
      <c r="B1849" s="3" t="s">
        <v>44224</v>
      </c>
      <c r="C1849" s="6" t="s">
        <v>24</v>
      </c>
      <c r="D1849" s="8" t="s">
        <v>5906</v>
      </c>
      <c r="E1849" s="3" t="str">
        <f t="shared" si="1"/>
        <v>strengthen&lt;br&gt;&lt;div class="audio"&gt;[sound:strengthen.mp3]&lt;/div&gt;</v>
      </c>
      <c r="F1849" s="3" t="str">
        <f t="shared" si="2"/>
        <v>(v): tăng cường</v>
      </c>
      <c r="G1849" s="8" t="s">
        <v>44225</v>
      </c>
      <c r="H1849" s="8" t="s">
        <v>44226</v>
      </c>
      <c r="I1849" s="7">
        <f t="shared" si="3"/>
        <v>0.6369525739</v>
      </c>
    </row>
    <row r="1850">
      <c r="A1850" s="4">
        <v>1850.0</v>
      </c>
      <c r="B1850" s="3" t="s">
        <v>44227</v>
      </c>
      <c r="C1850" s="6" t="s">
        <v>74</v>
      </c>
      <c r="D1850" s="8" t="s">
        <v>44228</v>
      </c>
      <c r="E1850" s="3" t="str">
        <f t="shared" si="1"/>
        <v>stability&lt;br&gt;&lt;div class="audio"&gt;[sound:stability.mp3]&lt;/div&gt;</v>
      </c>
      <c r="F1850" s="3" t="str">
        <f t="shared" si="2"/>
        <v>(n): sự ổn định</v>
      </c>
      <c r="G1850" s="8" t="s">
        <v>44229</v>
      </c>
      <c r="H1850" s="8" t="s">
        <v>44230</v>
      </c>
      <c r="I1850" s="7">
        <f t="shared" si="3"/>
        <v>0.4718359434</v>
      </c>
    </row>
    <row r="1851">
      <c r="A1851" s="4">
        <v>1851.0</v>
      </c>
      <c r="B1851" s="3" t="s">
        <v>44231</v>
      </c>
      <c r="C1851" s="6" t="s">
        <v>11</v>
      </c>
      <c r="D1851" s="6" t="s">
        <v>44232</v>
      </c>
      <c r="E1851" s="3" t="str">
        <f t="shared" si="1"/>
        <v>regional&lt;br&gt;&lt;div class="audio"&gt;[sound:regional.mp3]&lt;/div&gt;</v>
      </c>
      <c r="F1851" s="3" t="str">
        <f t="shared" si="2"/>
        <v>(adj): thuộc vùng</v>
      </c>
      <c r="G1851" s="6" t="s">
        <v>44233</v>
      </c>
      <c r="H1851" s="6" t="s">
        <v>44234</v>
      </c>
      <c r="I1851" s="7">
        <f t="shared" si="3"/>
        <v>0.7810995567</v>
      </c>
    </row>
    <row r="1852">
      <c r="A1852" s="4">
        <v>1852.0</v>
      </c>
      <c r="B1852" s="3" t="s">
        <v>44235</v>
      </c>
      <c r="C1852" s="6" t="s">
        <v>74</v>
      </c>
      <c r="D1852" s="6" t="s">
        <v>41710</v>
      </c>
      <c r="E1852" s="3" t="str">
        <f t="shared" si="1"/>
        <v>engagement&lt;br&gt;&lt;div class="audio"&gt;[sound:engagement.mp3]&lt;/div&gt;</v>
      </c>
      <c r="F1852" s="3" t="str">
        <f t="shared" si="2"/>
        <v>(n): sự cam kết</v>
      </c>
      <c r="G1852" s="6" t="s">
        <v>44236</v>
      </c>
      <c r="H1852" s="6" t="s">
        <v>44237</v>
      </c>
      <c r="I1852" s="7">
        <f t="shared" si="3"/>
        <v>0.1668097445</v>
      </c>
    </row>
    <row r="1853">
      <c r="A1853" s="4">
        <v>1853.0</v>
      </c>
      <c r="B1853" s="3" t="s">
        <v>44238</v>
      </c>
      <c r="C1853" s="6" t="s">
        <v>85</v>
      </c>
      <c r="D1853" s="6" t="s">
        <v>42915</v>
      </c>
      <c r="E1853" s="3" t="str">
        <f t="shared" si="1"/>
        <v>basically&lt;br&gt;&lt;div class="audio"&gt;[sound:basically.mp3]&lt;/div&gt;</v>
      </c>
      <c r="F1853" s="3" t="str">
        <f t="shared" si="2"/>
        <v>(adv): về cơ bản</v>
      </c>
      <c r="G1853" s="6" t="s">
        <v>44239</v>
      </c>
      <c r="H1853" s="6" t="s">
        <v>44240</v>
      </c>
      <c r="I1853" s="7">
        <f t="shared" si="3"/>
        <v>0.0942448946</v>
      </c>
    </row>
    <row r="1854">
      <c r="A1854" s="4">
        <v>1854.0</v>
      </c>
      <c r="B1854" s="3" t="s">
        <v>44241</v>
      </c>
      <c r="C1854" s="6" t="s">
        <v>11</v>
      </c>
      <c r="D1854" s="6" t="s">
        <v>44242</v>
      </c>
      <c r="E1854" s="3" t="str">
        <f t="shared" si="1"/>
        <v>conscious&lt;br&gt;&lt;div class="audio"&gt;[sound:conscious.mp3]&lt;/div&gt;</v>
      </c>
      <c r="F1854" s="3" t="str">
        <f t="shared" si="2"/>
        <v>(adj): có ý thức</v>
      </c>
      <c r="G1854" s="6" t="s">
        <v>44243</v>
      </c>
      <c r="H1854" s="6" t="s">
        <v>44244</v>
      </c>
      <c r="I1854" s="7">
        <f t="shared" si="3"/>
        <v>0.7265792854</v>
      </c>
    </row>
    <row r="1855">
      <c r="A1855" s="4">
        <v>1855.0</v>
      </c>
      <c r="B1855" s="3" t="s">
        <v>44245</v>
      </c>
      <c r="C1855" s="6" t="s">
        <v>24</v>
      </c>
      <c r="D1855" s="6" t="s">
        <v>5712</v>
      </c>
      <c r="E1855" s="3" t="str">
        <f t="shared" si="1"/>
        <v>reserve&lt;br&gt;&lt;div class="audio"&gt;[sound:reserve.mp3]&lt;/div&gt;</v>
      </c>
      <c r="F1855" s="3" t="str">
        <f t="shared" si="2"/>
        <v>(v): đặt trước</v>
      </c>
      <c r="G1855" s="6" t="s">
        <v>44246</v>
      </c>
      <c r="H1855" s="6" t="s">
        <v>44247</v>
      </c>
      <c r="I1855" s="7">
        <f t="shared" si="3"/>
        <v>0.3056657505</v>
      </c>
    </row>
    <row r="1856">
      <c r="A1856" s="4">
        <v>1856.0</v>
      </c>
      <c r="B1856" s="3" t="s">
        <v>44248</v>
      </c>
      <c r="C1856" s="6" t="s">
        <v>74</v>
      </c>
      <c r="D1856" s="8" t="s">
        <v>13715</v>
      </c>
      <c r="E1856" s="3" t="str">
        <f t="shared" si="1"/>
        <v>stair&lt;br&gt;&lt;div class="audio"&gt;[sound:stair.mp3]&lt;/div&gt;</v>
      </c>
      <c r="F1856" s="3" t="str">
        <f t="shared" si="2"/>
        <v>(n): cầu thang</v>
      </c>
      <c r="G1856" s="8" t="s">
        <v>44249</v>
      </c>
      <c r="H1856" s="8" t="s">
        <v>44250</v>
      </c>
      <c r="I1856" s="7">
        <f t="shared" si="3"/>
        <v>0.189563902</v>
      </c>
    </row>
    <row r="1857">
      <c r="A1857" s="4">
        <v>1857.0</v>
      </c>
      <c r="B1857" s="3" t="s">
        <v>44251</v>
      </c>
      <c r="C1857" s="6" t="s">
        <v>24</v>
      </c>
      <c r="D1857" s="6" t="s">
        <v>44252</v>
      </c>
      <c r="E1857" s="3" t="str">
        <f t="shared" si="1"/>
        <v>compose&lt;br&gt;&lt;div class="audio"&gt;[sound:compose.mp3]&lt;/div&gt;</v>
      </c>
      <c r="F1857" s="3" t="str">
        <f t="shared" si="2"/>
        <v>(v): soạn thảo</v>
      </c>
      <c r="G1857" s="6" t="s">
        <v>44253</v>
      </c>
      <c r="H1857" s="6" t="s">
        <v>44254</v>
      </c>
      <c r="I1857" s="7">
        <f t="shared" si="3"/>
        <v>0.8086479338</v>
      </c>
    </row>
    <row r="1858">
      <c r="A1858" s="4">
        <v>1858.0</v>
      </c>
      <c r="B1858" s="3" t="s">
        <v>44255</v>
      </c>
      <c r="C1858" s="6" t="s">
        <v>74</v>
      </c>
      <c r="D1858" s="6" t="s">
        <v>6019</v>
      </c>
      <c r="E1858" s="3" t="str">
        <f t="shared" si="1"/>
        <v>path&lt;br&gt;&lt;div class="audio"&gt;[sound:path.mp3]&lt;/div&gt;</v>
      </c>
      <c r="F1858" s="3" t="str">
        <f t="shared" si="2"/>
        <v>(n): con đường</v>
      </c>
      <c r="G1858" s="6" t="s">
        <v>44256</v>
      </c>
      <c r="H1858" s="6" t="s">
        <v>44257</v>
      </c>
      <c r="I1858" s="7">
        <f t="shared" si="3"/>
        <v>0.9320550461</v>
      </c>
    </row>
    <row r="1859">
      <c r="A1859" s="4">
        <v>1859.0</v>
      </c>
      <c r="B1859" s="3" t="s">
        <v>44258</v>
      </c>
      <c r="C1859" s="6" t="s">
        <v>74</v>
      </c>
      <c r="D1859" s="6" t="s">
        <v>6825</v>
      </c>
      <c r="E1859" s="3" t="str">
        <f t="shared" si="1"/>
        <v>guideline&lt;br&gt;&lt;div class="audio"&gt;[sound:guideline.mp3]&lt;/div&gt;</v>
      </c>
      <c r="F1859" s="3" t="str">
        <f t="shared" si="2"/>
        <v>(n): hướng dẫn</v>
      </c>
      <c r="G1859" s="6" t="s">
        <v>44259</v>
      </c>
      <c r="H1859" s="6" t="s">
        <v>44260</v>
      </c>
      <c r="I1859" s="7">
        <f t="shared" si="3"/>
        <v>0.8629679164</v>
      </c>
    </row>
    <row r="1860">
      <c r="A1860" s="4">
        <v>1860.0</v>
      </c>
      <c r="B1860" s="3" t="s">
        <v>44261</v>
      </c>
      <c r="C1860" s="6" t="s">
        <v>11</v>
      </c>
      <c r="D1860" s="6" t="s">
        <v>44262</v>
      </c>
      <c r="E1860" s="3" t="str">
        <f t="shared" si="1"/>
        <v>generous&lt;br&gt;&lt;div class="audio"&gt;[sound:generous.mp3]&lt;/div&gt;</v>
      </c>
      <c r="F1860" s="3" t="str">
        <f t="shared" si="2"/>
        <v>(adj): hào phóng</v>
      </c>
      <c r="G1860" s="6" t="s">
        <v>44263</v>
      </c>
      <c r="H1860" s="6" t="s">
        <v>44264</v>
      </c>
      <c r="I1860" s="7">
        <f t="shared" si="3"/>
        <v>0.1400415071</v>
      </c>
    </row>
    <row r="1861">
      <c r="A1861" s="4">
        <v>1861.0</v>
      </c>
      <c r="B1861" s="3" t="s">
        <v>44265</v>
      </c>
      <c r="C1861" s="6" t="s">
        <v>11</v>
      </c>
      <c r="D1861" s="6" t="s">
        <v>44266</v>
      </c>
      <c r="E1861" s="3" t="str">
        <f t="shared" si="1"/>
        <v>living&lt;br&gt;&lt;div class="audio"&gt;[sound:living.mp3]&lt;/div&gt;</v>
      </c>
      <c r="F1861" s="3" t="str">
        <f t="shared" si="2"/>
        <v>(adj): đang sống</v>
      </c>
      <c r="G1861" s="6" t="s">
        <v>44267</v>
      </c>
      <c r="H1861" s="6" t="s">
        <v>44268</v>
      </c>
      <c r="I1861" s="7">
        <f t="shared" si="3"/>
        <v>0.03855150377</v>
      </c>
    </row>
    <row r="1862">
      <c r="A1862" s="4">
        <v>1862.0</v>
      </c>
      <c r="B1862" s="3" t="s">
        <v>44269</v>
      </c>
      <c r="C1862" s="6" t="s">
        <v>11</v>
      </c>
      <c r="D1862" s="8" t="s">
        <v>44270</v>
      </c>
      <c r="E1862" s="3" t="str">
        <f t="shared" si="1"/>
        <v>standing&lt;br&gt;&lt;div class="audio"&gt;[sound:standing.mp3]&lt;/div&gt;</v>
      </c>
      <c r="F1862" s="3" t="str">
        <f t="shared" si="2"/>
        <v>(adj): đang đứng</v>
      </c>
      <c r="G1862" s="8" t="s">
        <v>44271</v>
      </c>
      <c r="H1862" s="8" t="s">
        <v>44272</v>
      </c>
      <c r="I1862" s="7">
        <f t="shared" si="3"/>
        <v>0.2359538786</v>
      </c>
    </row>
    <row r="1863">
      <c r="A1863" s="4">
        <v>1863.0</v>
      </c>
      <c r="B1863" s="3" t="s">
        <v>44273</v>
      </c>
      <c r="C1863" s="6" t="s">
        <v>85</v>
      </c>
      <c r="D1863" s="6" t="s">
        <v>3449</v>
      </c>
      <c r="E1863" s="3" t="str">
        <f t="shared" si="1"/>
        <v>previously&lt;br&gt;&lt;div class="audio"&gt;[sound:previously.mp3]&lt;/div&gt;</v>
      </c>
      <c r="F1863" s="3" t="str">
        <f t="shared" si="2"/>
        <v>(adv): trước đây</v>
      </c>
      <c r="G1863" s="6" t="s">
        <v>44274</v>
      </c>
      <c r="H1863" s="6" t="s">
        <v>44275</v>
      </c>
      <c r="I1863" s="7">
        <f t="shared" si="3"/>
        <v>0.4874821691</v>
      </c>
    </row>
    <row r="1864">
      <c r="A1864" s="4">
        <v>1864.0</v>
      </c>
      <c r="B1864" s="3" t="s">
        <v>44276</v>
      </c>
      <c r="C1864" s="6" t="s">
        <v>11</v>
      </c>
      <c r="D1864" s="6" t="s">
        <v>44277</v>
      </c>
      <c r="E1864" s="3" t="str">
        <f t="shared" si="1"/>
        <v>bored&lt;br&gt;&lt;div class="audio"&gt;[sound:bored.mp3]&lt;/div&gt;</v>
      </c>
      <c r="F1864" s="3" t="str">
        <f t="shared" si="2"/>
        <v>(adj): buồn chán</v>
      </c>
      <c r="G1864" s="6" t="s">
        <v>44278</v>
      </c>
      <c r="H1864" s="6" t="s">
        <v>44279</v>
      </c>
      <c r="I1864" s="7">
        <f t="shared" si="3"/>
        <v>0.5756980687</v>
      </c>
    </row>
    <row r="1865">
      <c r="A1865" s="4">
        <v>1865.0</v>
      </c>
      <c r="B1865" s="3" t="s">
        <v>44280</v>
      </c>
      <c r="C1865" s="6" t="s">
        <v>74</v>
      </c>
      <c r="D1865" s="6" t="s">
        <v>44281</v>
      </c>
      <c r="E1865" s="3" t="str">
        <f t="shared" si="1"/>
        <v>rent&lt;br&gt;&lt;div class="audio"&gt;[sound:rent.mp3]&lt;/div&gt;</v>
      </c>
      <c r="F1865" s="3" t="str">
        <f t="shared" si="2"/>
        <v>(n): tiền thuê</v>
      </c>
      <c r="G1865" s="6" t="s">
        <v>44282</v>
      </c>
      <c r="H1865" s="6" t="s">
        <v>44283</v>
      </c>
      <c r="I1865" s="7">
        <f t="shared" si="3"/>
        <v>0.004994369383</v>
      </c>
    </row>
    <row r="1866">
      <c r="A1866" s="4">
        <v>1866.0</v>
      </c>
      <c r="B1866" s="3" t="s">
        <v>44284</v>
      </c>
      <c r="C1866" s="6" t="s">
        <v>74</v>
      </c>
      <c r="D1866" s="6" t="s">
        <v>5436</v>
      </c>
      <c r="E1866" s="3" t="str">
        <f t="shared" si="1"/>
        <v>ad&lt;br&gt;&lt;div class="audio"&gt;[sound:ad.mp3]&lt;/div&gt;</v>
      </c>
      <c r="F1866" s="3" t="str">
        <f t="shared" si="2"/>
        <v>(n): quảng cáo</v>
      </c>
      <c r="G1866" s="6" t="s">
        <v>44285</v>
      </c>
      <c r="H1866" s="6" t="s">
        <v>44286</v>
      </c>
      <c r="I1866" s="7">
        <f t="shared" si="3"/>
        <v>0.009381813939</v>
      </c>
    </row>
    <row r="1867">
      <c r="A1867" s="4">
        <v>1867.0</v>
      </c>
      <c r="B1867" s="3" t="s">
        <v>44287</v>
      </c>
      <c r="C1867" s="6" t="s">
        <v>11</v>
      </c>
      <c r="D1867" s="6" t="s">
        <v>20258</v>
      </c>
      <c r="E1867" s="3" t="str">
        <f t="shared" si="1"/>
        <v>relative&lt;br&gt;&lt;div class="audio"&gt;[sound:relative.mp3]&lt;/div&gt;</v>
      </c>
      <c r="F1867" s="3" t="str">
        <f t="shared" si="2"/>
        <v>(adj): tương đối</v>
      </c>
      <c r="G1867" s="6" t="s">
        <v>44288</v>
      </c>
      <c r="H1867" s="6" t="s">
        <v>44289</v>
      </c>
      <c r="I1867" s="7">
        <f t="shared" si="3"/>
        <v>0.8012573182</v>
      </c>
    </row>
    <row r="1868">
      <c r="A1868" s="4">
        <v>1868.0</v>
      </c>
      <c r="B1868" s="3" t="s">
        <v>44290</v>
      </c>
      <c r="C1868" s="6" t="s">
        <v>11</v>
      </c>
      <c r="D1868" s="6" t="s">
        <v>2032</v>
      </c>
      <c r="E1868" s="3" t="str">
        <f t="shared" si="1"/>
        <v>wonderful&lt;br&gt;&lt;div class="audio"&gt;[sound:wonderful.mp3]&lt;/div&gt;</v>
      </c>
      <c r="F1868" s="3" t="str">
        <f t="shared" si="2"/>
        <v>(adj): tuyệt vời</v>
      </c>
      <c r="G1868" s="6" t="s">
        <v>44291</v>
      </c>
      <c r="H1868" s="6" t="s">
        <v>44292</v>
      </c>
      <c r="I1868" s="7">
        <f t="shared" si="3"/>
        <v>0.4177120712</v>
      </c>
    </row>
    <row r="1869">
      <c r="A1869" s="4">
        <v>1869.0</v>
      </c>
      <c r="B1869" s="3" t="s">
        <v>44293</v>
      </c>
      <c r="C1869" s="6" t="s">
        <v>74</v>
      </c>
      <c r="D1869" s="6" t="s">
        <v>44294</v>
      </c>
      <c r="E1869" s="3" t="str">
        <f t="shared" si="1"/>
        <v>container&lt;br&gt;&lt;div class="audio"&gt;[sound:container.mp3]&lt;/div&gt;</v>
      </c>
      <c r="F1869" s="3" t="str">
        <f t="shared" si="2"/>
        <v>(n): cái thùng</v>
      </c>
      <c r="G1869" s="6" t="s">
        <v>44295</v>
      </c>
      <c r="H1869" s="6" t="s">
        <v>44296</v>
      </c>
      <c r="I1869" s="7">
        <f t="shared" si="3"/>
        <v>0.9048281283</v>
      </c>
    </row>
    <row r="1870">
      <c r="A1870" s="4">
        <v>1870.0</v>
      </c>
      <c r="B1870" s="3" t="s">
        <v>44297</v>
      </c>
      <c r="C1870" s="6" t="s">
        <v>24</v>
      </c>
      <c r="D1870" s="6" t="s">
        <v>7734</v>
      </c>
      <c r="E1870" s="3" t="str">
        <f t="shared" si="1"/>
        <v>emphasize&lt;br&gt;&lt;div class="audio"&gt;[sound:emphasize.mp3]&lt;/div&gt;</v>
      </c>
      <c r="F1870" s="3" t="str">
        <f t="shared" si="2"/>
        <v>(v): nhấn mạnh</v>
      </c>
      <c r="G1870" s="6" t="s">
        <v>44298</v>
      </c>
      <c r="H1870" s="6" t="s">
        <v>44299</v>
      </c>
      <c r="I1870" s="7">
        <f t="shared" si="3"/>
        <v>0.8656623575</v>
      </c>
    </row>
    <row r="1871">
      <c r="A1871" s="4">
        <v>1871.0</v>
      </c>
      <c r="B1871" s="3" t="s">
        <v>44300</v>
      </c>
      <c r="C1871" s="6" t="s">
        <v>24</v>
      </c>
      <c r="D1871" s="6" t="s">
        <v>4949</v>
      </c>
      <c r="E1871" s="3" t="str">
        <f t="shared" si="1"/>
        <v>inform&lt;br&gt;&lt;div class="audio"&gt;[sound:inform.mp3]&lt;/div&gt;</v>
      </c>
      <c r="F1871" s="3" t="str">
        <f t="shared" si="2"/>
        <v>(v): thông báo</v>
      </c>
      <c r="G1871" s="6" t="s">
        <v>44301</v>
      </c>
      <c r="H1871" s="6" t="s">
        <v>44302</v>
      </c>
      <c r="I1871" s="7">
        <f t="shared" si="3"/>
        <v>0.55894897</v>
      </c>
    </row>
    <row r="1872">
      <c r="A1872" s="4">
        <v>1872.0</v>
      </c>
      <c r="B1872" s="3" t="s">
        <v>44303</v>
      </c>
      <c r="C1872" s="6" t="s">
        <v>74</v>
      </c>
      <c r="D1872" s="6" t="s">
        <v>44304</v>
      </c>
      <c r="E1872" s="3" t="str">
        <f t="shared" si="1"/>
        <v>running&lt;br&gt;&lt;div class="audio"&gt;[sound:running.mp3]&lt;/div&gt;</v>
      </c>
      <c r="F1872" s="3" t="str">
        <f t="shared" si="2"/>
        <v>(n): việc chạy</v>
      </c>
      <c r="G1872" s="6" t="s">
        <v>44305</v>
      </c>
      <c r="H1872" s="6" t="s">
        <v>44306</v>
      </c>
      <c r="I1872" s="7">
        <f t="shared" si="3"/>
        <v>0.404310027</v>
      </c>
    </row>
    <row r="1873">
      <c r="A1873" s="4">
        <v>1873.0</v>
      </c>
      <c r="B1873" s="3" t="s">
        <v>44307</v>
      </c>
      <c r="C1873" s="6" t="s">
        <v>74</v>
      </c>
      <c r="D1873" s="6" t="s">
        <v>3881</v>
      </c>
      <c r="E1873" s="3" t="str">
        <f t="shared" si="1"/>
        <v>cake&lt;br&gt;&lt;div class="audio"&gt;[sound:cake.mp3]&lt;/div&gt;</v>
      </c>
      <c r="F1873" s="3" t="str">
        <f t="shared" si="2"/>
        <v>(n): bánh ngọt</v>
      </c>
      <c r="G1873" s="6" t="s">
        <v>44308</v>
      </c>
      <c r="H1873" s="6" t="s">
        <v>44309</v>
      </c>
      <c r="I1873" s="7">
        <f t="shared" si="3"/>
        <v>0.4598277102</v>
      </c>
    </row>
    <row r="1874">
      <c r="A1874" s="4">
        <v>1874.0</v>
      </c>
      <c r="B1874" s="3" t="s">
        <v>44310</v>
      </c>
      <c r="C1874" s="6" t="s">
        <v>11</v>
      </c>
      <c r="D1874" s="6" t="s">
        <v>21313</v>
      </c>
      <c r="E1874" s="3" t="str">
        <f t="shared" si="1"/>
        <v>academic&lt;br&gt;&lt;div class="audio"&gt;[sound:academic.mp3]&lt;/div&gt;</v>
      </c>
      <c r="F1874" s="3" t="str">
        <f t="shared" si="2"/>
        <v>(adj): học thuật</v>
      </c>
      <c r="G1874" s="6" t="s">
        <v>44311</v>
      </c>
      <c r="H1874" s="6" t="s">
        <v>44312</v>
      </c>
      <c r="I1874" s="7">
        <f t="shared" si="3"/>
        <v>0.97748321</v>
      </c>
    </row>
    <row r="1875">
      <c r="A1875" s="4">
        <v>1875.0</v>
      </c>
      <c r="B1875" s="3" t="s">
        <v>44313</v>
      </c>
      <c r="C1875" s="6" t="s">
        <v>11</v>
      </c>
      <c r="D1875" s="6" t="s">
        <v>14679</v>
      </c>
      <c r="E1875" s="3" t="str">
        <f t="shared" si="1"/>
        <v>calm&lt;br&gt;&lt;div class="audio"&gt;[sound:calm.mp3]&lt;/div&gt;</v>
      </c>
      <c r="F1875" s="3" t="str">
        <f t="shared" si="2"/>
        <v>(adj): bình tĩnh</v>
      </c>
      <c r="G1875" s="6" t="s">
        <v>44314</v>
      </c>
      <c r="H1875" s="6" t="s">
        <v>44315</v>
      </c>
      <c r="I1875" s="7">
        <f t="shared" si="3"/>
        <v>0.2812449621</v>
      </c>
    </row>
    <row r="1876">
      <c r="A1876" s="4">
        <v>1876.0</v>
      </c>
      <c r="B1876" s="3" t="s">
        <v>44316</v>
      </c>
      <c r="C1876" s="6" t="s">
        <v>11</v>
      </c>
      <c r="D1876" s="6" t="s">
        <v>2032</v>
      </c>
      <c r="E1876" s="3" t="str">
        <f t="shared" si="1"/>
        <v>fantastic&lt;br&gt;&lt;div class="audio"&gt;[sound:fantastic.mp3]&lt;/div&gt;</v>
      </c>
      <c r="F1876" s="3" t="str">
        <f t="shared" si="2"/>
        <v>(adj): tuyệt vời</v>
      </c>
      <c r="G1876" s="6" t="s">
        <v>44317</v>
      </c>
      <c r="H1876" s="6" t="s">
        <v>38912</v>
      </c>
      <c r="I1876" s="7">
        <f t="shared" si="3"/>
        <v>0.1069169304</v>
      </c>
    </row>
    <row r="1877">
      <c r="A1877" s="4">
        <v>1877.0</v>
      </c>
      <c r="B1877" s="3" t="s">
        <v>44318</v>
      </c>
      <c r="C1877" s="6" t="s">
        <v>74</v>
      </c>
      <c r="D1877" s="6" t="s">
        <v>8363</v>
      </c>
      <c r="E1877" s="3" t="str">
        <f t="shared" si="1"/>
        <v>revenue&lt;br&gt;&lt;div class="audio"&gt;[sound:revenue.mp3]&lt;/div&gt;</v>
      </c>
      <c r="F1877" s="3" t="str">
        <f t="shared" si="2"/>
        <v>(n): doanh thu</v>
      </c>
      <c r="G1877" s="6" t="s">
        <v>44319</v>
      </c>
      <c r="H1877" s="6" t="s">
        <v>44320</v>
      </c>
      <c r="I1877" s="7">
        <f t="shared" si="3"/>
        <v>0.3949677794</v>
      </c>
    </row>
    <row r="1878">
      <c r="A1878" s="4">
        <v>1878.0</v>
      </c>
      <c r="B1878" s="3" t="s">
        <v>44321</v>
      </c>
      <c r="C1878" s="6" t="s">
        <v>74</v>
      </c>
      <c r="D1878" s="6" t="s">
        <v>44322</v>
      </c>
      <c r="E1878" s="3" t="str">
        <f t="shared" si="1"/>
        <v>judge&lt;br&gt;&lt;div class="audio"&gt;[sound:judge.mp3]&lt;/div&gt;</v>
      </c>
      <c r="F1878" s="3" t="str">
        <f t="shared" si="2"/>
        <v>(n): thẩm phán</v>
      </c>
      <c r="G1878" s="6" t="s">
        <v>44323</v>
      </c>
      <c r="H1878" s="6" t="s">
        <v>44324</v>
      </c>
      <c r="I1878" s="7">
        <f t="shared" si="3"/>
        <v>0.6210068384</v>
      </c>
    </row>
    <row r="1879">
      <c r="A1879" s="4">
        <v>1879.0</v>
      </c>
      <c r="B1879" s="3" t="s">
        <v>44325</v>
      </c>
      <c r="C1879" s="6" t="s">
        <v>74</v>
      </c>
      <c r="D1879" s="6" t="s">
        <v>13192</v>
      </c>
      <c r="E1879" s="3" t="str">
        <f t="shared" si="1"/>
        <v>minister&lt;br&gt;&lt;div class="audio"&gt;[sound:minister.mp3]&lt;/div&gt;</v>
      </c>
      <c r="F1879" s="3" t="str">
        <f t="shared" si="2"/>
        <v>(n): bộ trưởng</v>
      </c>
      <c r="G1879" s="6" t="s">
        <v>44326</v>
      </c>
      <c r="H1879" s="6" t="s">
        <v>44327</v>
      </c>
      <c r="I1879" s="7">
        <f t="shared" si="3"/>
        <v>0.7473423426</v>
      </c>
    </row>
    <row r="1880">
      <c r="A1880" s="4">
        <v>1880.0</v>
      </c>
      <c r="B1880" s="3" t="s">
        <v>44328</v>
      </c>
      <c r="C1880" s="6" t="s">
        <v>74</v>
      </c>
      <c r="D1880" s="6" t="s">
        <v>44329</v>
      </c>
      <c r="E1880" s="3" t="str">
        <f t="shared" si="1"/>
        <v>opening&lt;br&gt;&lt;div class="audio"&gt;[sound:opening.mp3]&lt;/div&gt;</v>
      </c>
      <c r="F1880" s="3" t="str">
        <f t="shared" si="2"/>
        <v>(n): sự mở đầu</v>
      </c>
      <c r="G1880" s="6" t="s">
        <v>44330</v>
      </c>
      <c r="H1880" s="6" t="s">
        <v>44331</v>
      </c>
      <c r="I1880" s="7">
        <f t="shared" si="3"/>
        <v>0.3190988555</v>
      </c>
    </row>
    <row r="1881">
      <c r="A1881" s="4">
        <v>1881.0</v>
      </c>
      <c r="B1881" s="3" t="s">
        <v>44332</v>
      </c>
      <c r="C1881" s="6" t="s">
        <v>74</v>
      </c>
      <c r="D1881" s="6" t="s">
        <v>44333</v>
      </c>
      <c r="E1881" s="3" t="str">
        <f t="shared" si="1"/>
        <v>euro&lt;br&gt;&lt;div class="audio"&gt;[sound:euro.mp3]&lt;/div&gt;</v>
      </c>
      <c r="F1881" s="3" t="str">
        <f t="shared" si="2"/>
        <v>(n): đồng euro</v>
      </c>
      <c r="G1881" s="6" t="s">
        <v>44334</v>
      </c>
      <c r="H1881" s="6" t="s">
        <v>44335</v>
      </c>
      <c r="I1881" s="7">
        <f t="shared" si="3"/>
        <v>0.4080292683</v>
      </c>
    </row>
    <row r="1882">
      <c r="A1882" s="4">
        <v>1882.0</v>
      </c>
      <c r="B1882" s="3" t="s">
        <v>44336</v>
      </c>
      <c r="C1882" s="6" t="s">
        <v>74</v>
      </c>
      <c r="D1882" s="6" t="s">
        <v>34638</v>
      </c>
      <c r="E1882" s="3" t="str">
        <f t="shared" si="1"/>
        <v>ocean&lt;br&gt;&lt;div class="audio"&gt;[sound:ocean.mp3]&lt;/div&gt;</v>
      </c>
      <c r="F1882" s="3" t="str">
        <f t="shared" si="2"/>
        <v>(n): đại dương</v>
      </c>
      <c r="G1882" s="6" t="s">
        <v>44337</v>
      </c>
      <c r="H1882" s="6" t="s">
        <v>44338</v>
      </c>
      <c r="I1882" s="7">
        <f t="shared" si="3"/>
        <v>0.114822524</v>
      </c>
    </row>
    <row r="1883">
      <c r="A1883" s="4">
        <v>1883.0</v>
      </c>
      <c r="B1883" s="3" t="s">
        <v>44339</v>
      </c>
      <c r="C1883" s="6" t="s">
        <v>11</v>
      </c>
      <c r="D1883" s="6" t="s">
        <v>44340</v>
      </c>
      <c r="E1883" s="3" t="str">
        <f t="shared" si="1"/>
        <v>constant&lt;br&gt;&lt;div class="audio"&gt;[sound:constant.mp3]&lt;/div&gt;</v>
      </c>
      <c r="F1883" s="3" t="str">
        <f t="shared" si="2"/>
        <v>(adj): không đổi</v>
      </c>
      <c r="G1883" s="6" t="s">
        <v>44341</v>
      </c>
      <c r="H1883" s="6" t="s">
        <v>44342</v>
      </c>
      <c r="I1883" s="7">
        <f t="shared" si="3"/>
        <v>0.7392070084</v>
      </c>
    </row>
    <row r="1884">
      <c r="A1884" s="4">
        <v>1884.0</v>
      </c>
      <c r="B1884" s="3" t="s">
        <v>44343</v>
      </c>
      <c r="C1884" s="6" t="s">
        <v>11</v>
      </c>
      <c r="D1884" s="8" t="s">
        <v>4903</v>
      </c>
      <c r="E1884" s="3" t="str">
        <f t="shared" si="1"/>
        <v>subsequent&lt;br&gt;&lt;div class="audio"&gt;[sound:subsequent.mp3]&lt;/div&gt;</v>
      </c>
      <c r="F1884" s="3" t="str">
        <f t="shared" si="2"/>
        <v>(adj): tiếp theo</v>
      </c>
      <c r="G1884" s="8" t="s">
        <v>44344</v>
      </c>
      <c r="H1884" s="8" t="s">
        <v>44345</v>
      </c>
      <c r="I1884" s="7">
        <f t="shared" si="3"/>
        <v>0.4456476993</v>
      </c>
    </row>
    <row r="1885">
      <c r="A1885" s="4">
        <v>1885.0</v>
      </c>
      <c r="B1885" s="3" t="s">
        <v>44346</v>
      </c>
      <c r="C1885" s="6" t="s">
        <v>24</v>
      </c>
      <c r="D1885" s="6" t="s">
        <v>4807</v>
      </c>
      <c r="E1885" s="3" t="str">
        <f t="shared" si="1"/>
        <v>broadcast&lt;br&gt;&lt;div class="audio"&gt;[sound:broadcast.mp3]&lt;/div&gt;</v>
      </c>
      <c r="F1885" s="3" t="str">
        <f t="shared" si="2"/>
        <v>(v): phát sóng</v>
      </c>
      <c r="G1885" s="6" t="s">
        <v>44347</v>
      </c>
      <c r="H1885" s="6" t="s">
        <v>44348</v>
      </c>
      <c r="I1885" s="7">
        <f t="shared" si="3"/>
        <v>0.5178957537</v>
      </c>
    </row>
    <row r="1886">
      <c r="A1886" s="4">
        <v>1886.0</v>
      </c>
      <c r="B1886" s="3" t="s">
        <v>44349</v>
      </c>
      <c r="C1886" s="6" t="s">
        <v>24</v>
      </c>
      <c r="D1886" s="6" t="s">
        <v>20213</v>
      </c>
      <c r="E1886" s="3" t="str">
        <f t="shared" si="1"/>
        <v>approve&lt;br&gt;&lt;div class="audio"&gt;[sound:approve.mp3]&lt;/div&gt;</v>
      </c>
      <c r="F1886" s="3" t="str">
        <f t="shared" si="2"/>
        <v>(v): phê duyệt</v>
      </c>
      <c r="G1886" s="6" t="s">
        <v>44350</v>
      </c>
      <c r="H1886" s="6" t="s">
        <v>44351</v>
      </c>
      <c r="I1886" s="7">
        <f t="shared" si="3"/>
        <v>0.9671243141</v>
      </c>
    </row>
    <row r="1887">
      <c r="A1887" s="4">
        <v>1887.0</v>
      </c>
      <c r="B1887" s="3" t="s">
        <v>44352</v>
      </c>
      <c r="C1887" s="6" t="s">
        <v>11</v>
      </c>
      <c r="D1887" s="6" t="s">
        <v>128</v>
      </c>
      <c r="E1887" s="3" t="str">
        <f t="shared" si="1"/>
        <v>inner&lt;br&gt;&lt;div class="audio"&gt;[sound:inner.mp3]&lt;/div&gt;</v>
      </c>
      <c r="F1887" s="3" t="str">
        <f t="shared" si="2"/>
        <v>(adj): bên trong</v>
      </c>
      <c r="G1887" s="6" t="s">
        <v>44353</v>
      </c>
      <c r="H1887" s="6" t="s">
        <v>44354</v>
      </c>
      <c r="I1887" s="7">
        <f t="shared" si="3"/>
        <v>0.7086665433</v>
      </c>
    </row>
    <row r="1888">
      <c r="A1888" s="4">
        <v>1888.0</v>
      </c>
      <c r="B1888" s="3" t="s">
        <v>44355</v>
      </c>
      <c r="C1888" s="6" t="s">
        <v>24</v>
      </c>
      <c r="D1888" s="6" t="s">
        <v>44356</v>
      </c>
      <c r="E1888" s="3" t="str">
        <f t="shared" si="1"/>
        <v>adopt&lt;br&gt;&lt;div class="audio"&gt;[sound:adopt.mp3]&lt;/div&gt;</v>
      </c>
      <c r="F1888" s="3" t="str">
        <f t="shared" si="2"/>
        <v>(v): nhận nuôi</v>
      </c>
      <c r="G1888" s="6" t="s">
        <v>44357</v>
      </c>
      <c r="H1888" s="6" t="s">
        <v>44358</v>
      </c>
      <c r="I1888" s="7">
        <f t="shared" si="3"/>
        <v>0.2427906617</v>
      </c>
    </row>
    <row r="1889">
      <c r="A1889" s="4">
        <v>1889.0</v>
      </c>
      <c r="B1889" s="3" t="s">
        <v>44359</v>
      </c>
      <c r="C1889" s="6" t="s">
        <v>74</v>
      </c>
      <c r="D1889" s="6" t="s">
        <v>44360</v>
      </c>
      <c r="E1889" s="3" t="str">
        <f t="shared" si="1"/>
        <v>bedroom&lt;br&gt;&lt;div class="audio"&gt;[sound:bedroom.mp3]&lt;/div&gt;</v>
      </c>
      <c r="F1889" s="3" t="str">
        <f t="shared" si="2"/>
        <v>(n): phòng ngủ</v>
      </c>
      <c r="G1889" s="6" t="s">
        <v>44361</v>
      </c>
      <c r="H1889" s="6" t="s">
        <v>44362</v>
      </c>
      <c r="I1889" s="7">
        <f t="shared" si="3"/>
        <v>0.160344364</v>
      </c>
    </row>
    <row r="1890">
      <c r="A1890" s="4">
        <v>1890.0</v>
      </c>
      <c r="B1890" s="3" t="s">
        <v>44363</v>
      </c>
      <c r="C1890" s="6" t="s">
        <v>24</v>
      </c>
      <c r="D1890" s="6" t="s">
        <v>44364</v>
      </c>
      <c r="E1890" s="3" t="str">
        <f t="shared" si="1"/>
        <v>proceed&lt;br&gt;&lt;div class="audio"&gt;[sound:proceed.mp3]&lt;/div&gt;</v>
      </c>
      <c r="F1890" s="3" t="str">
        <f t="shared" si="2"/>
        <v>(v): tiến hành</v>
      </c>
      <c r="G1890" s="6" t="s">
        <v>44365</v>
      </c>
      <c r="H1890" s="6" t="s">
        <v>44366</v>
      </c>
      <c r="I1890" s="7">
        <f t="shared" si="3"/>
        <v>0.09625817439</v>
      </c>
    </row>
    <row r="1891">
      <c r="A1891" s="4">
        <v>1891.0</v>
      </c>
      <c r="B1891" s="3" t="s">
        <v>44367</v>
      </c>
      <c r="C1891" s="6" t="s">
        <v>74</v>
      </c>
      <c r="D1891" s="6" t="s">
        <v>44368</v>
      </c>
      <c r="E1891" s="3" t="str">
        <f t="shared" si="1"/>
        <v>era&lt;br&gt;&lt;div class="audio"&gt;[sound:era.mp3]&lt;/div&gt;</v>
      </c>
      <c r="F1891" s="3" t="str">
        <f t="shared" si="2"/>
        <v>(n): kỷ nguyên</v>
      </c>
      <c r="G1891" s="6" t="s">
        <v>44369</v>
      </c>
      <c r="H1891" s="6" t="s">
        <v>44370</v>
      </c>
      <c r="I1891" s="7">
        <f t="shared" si="3"/>
        <v>0.9729580125</v>
      </c>
    </row>
    <row r="1892">
      <c r="A1892" s="4">
        <v>1892.0</v>
      </c>
      <c r="B1892" s="3" t="s">
        <v>44371</v>
      </c>
      <c r="C1892" s="6" t="s">
        <v>24</v>
      </c>
      <c r="D1892" s="6" t="s">
        <v>10777</v>
      </c>
      <c r="E1892" s="3" t="str">
        <f t="shared" si="1"/>
        <v>analyse&lt;br&gt;&lt;div class="audio"&gt;[sound:analyse.mp3]&lt;/div&gt;</v>
      </c>
      <c r="F1892" s="3" t="str">
        <f t="shared" si="2"/>
        <v>(v): phân tích</v>
      </c>
      <c r="G1892" s="6" t="s">
        <v>44372</v>
      </c>
      <c r="H1892" s="6" t="s">
        <v>44373</v>
      </c>
      <c r="I1892" s="7">
        <f t="shared" si="3"/>
        <v>0.8903900204</v>
      </c>
    </row>
    <row r="1893">
      <c r="A1893" s="4">
        <v>1893.0</v>
      </c>
      <c r="B1893" s="3" t="s">
        <v>44374</v>
      </c>
      <c r="C1893" s="6" t="s">
        <v>11</v>
      </c>
      <c r="D1893" s="6" t="s">
        <v>20364</v>
      </c>
      <c r="E1893" s="3" t="str">
        <f t="shared" si="1"/>
        <v>favourite&lt;br&gt;&lt;div class="audio"&gt;[sound:favourite.mp3]&lt;/div&gt;</v>
      </c>
      <c r="F1893" s="3" t="str">
        <f t="shared" si="2"/>
        <v>(adj): yêu thích</v>
      </c>
      <c r="G1893" s="6" t="s">
        <v>44375</v>
      </c>
      <c r="H1893" s="6" t="s">
        <v>44376</v>
      </c>
      <c r="I1893" s="7">
        <f t="shared" si="3"/>
        <v>0.03783185263</v>
      </c>
    </row>
    <row r="1894">
      <c r="A1894" s="4">
        <v>1894.0</v>
      </c>
      <c r="B1894" s="3" t="s">
        <v>44377</v>
      </c>
      <c r="C1894" s="6" t="s">
        <v>74</v>
      </c>
      <c r="D1894" s="6" t="s">
        <v>44378</v>
      </c>
      <c r="E1894" s="3" t="str">
        <f t="shared" si="1"/>
        <v>charity&lt;br&gt;&lt;div class="audio"&gt;[sound:charity.mp3]&lt;/div&gt;</v>
      </c>
      <c r="F1894" s="3" t="str">
        <f t="shared" si="2"/>
        <v>(n): từ thiện</v>
      </c>
      <c r="G1894" s="6" t="s">
        <v>44379</v>
      </c>
      <c r="H1894" s="6" t="s">
        <v>44380</v>
      </c>
      <c r="I1894" s="7">
        <f t="shared" si="3"/>
        <v>0.4477887429</v>
      </c>
    </row>
    <row r="1895">
      <c r="A1895" s="4">
        <v>1895.0</v>
      </c>
      <c r="B1895" s="3" t="s">
        <v>44381</v>
      </c>
      <c r="C1895" s="6" t="s">
        <v>74</v>
      </c>
      <c r="D1895" s="6" t="s">
        <v>44382</v>
      </c>
      <c r="E1895" s="3" t="str">
        <f t="shared" si="1"/>
        <v>chocolate&lt;br&gt;&lt;div class="audio"&gt;[sound:chocolate.mp3]&lt;/div&gt;</v>
      </c>
      <c r="F1895" s="3" t="str">
        <f t="shared" si="2"/>
        <v>(n): sô cô la</v>
      </c>
      <c r="G1895" s="6" t="s">
        <v>44383</v>
      </c>
      <c r="H1895" s="6" t="s">
        <v>44384</v>
      </c>
      <c r="I1895" s="7">
        <f t="shared" si="3"/>
        <v>0.6351720938</v>
      </c>
    </row>
    <row r="1896">
      <c r="A1896" s="4">
        <v>1896.0</v>
      </c>
      <c r="B1896" s="3" t="s">
        <v>44385</v>
      </c>
      <c r="C1896" s="6" t="s">
        <v>74</v>
      </c>
      <c r="D1896" s="6" t="s">
        <v>11238</v>
      </c>
      <c r="E1896" s="3" t="str">
        <f t="shared" si="1"/>
        <v>app&lt;br&gt;&lt;div class="audio"&gt;[sound:app.mp3]&lt;/div&gt;</v>
      </c>
      <c r="F1896" s="3" t="str">
        <f t="shared" si="2"/>
        <v>(n): ứng dụng</v>
      </c>
      <c r="G1896" s="6" t="s">
        <v>44386</v>
      </c>
      <c r="H1896" s="6" t="s">
        <v>44387</v>
      </c>
      <c r="I1896" s="7">
        <f t="shared" si="3"/>
        <v>0.9131312851</v>
      </c>
    </row>
    <row r="1897">
      <c r="A1897" s="4">
        <v>1897.0</v>
      </c>
      <c r="B1897" s="3" t="s">
        <v>44388</v>
      </c>
      <c r="C1897" s="6" t="s">
        <v>74</v>
      </c>
      <c r="D1897" s="6" t="s">
        <v>21513</v>
      </c>
      <c r="E1897" s="3" t="str">
        <f t="shared" si="1"/>
        <v>fruit&lt;br&gt;&lt;div class="audio"&gt;[sound:fruit.mp3]&lt;/div&gt;</v>
      </c>
      <c r="F1897" s="3" t="str">
        <f t="shared" si="2"/>
        <v>(n): trái cây</v>
      </c>
      <c r="G1897" s="6" t="s">
        <v>44389</v>
      </c>
      <c r="H1897" s="6" t="s">
        <v>44390</v>
      </c>
      <c r="I1897" s="7">
        <f t="shared" si="3"/>
        <v>0.5237209723</v>
      </c>
    </row>
    <row r="1898">
      <c r="A1898" s="4">
        <v>1898.0</v>
      </c>
      <c r="B1898" s="3" t="s">
        <v>44391</v>
      </c>
      <c r="C1898" s="6" t="s">
        <v>74</v>
      </c>
      <c r="D1898" s="6" t="s">
        <v>17849</v>
      </c>
      <c r="E1898" s="3" t="str">
        <f t="shared" si="1"/>
        <v>being&lt;br&gt;&lt;div class="audio"&gt;[sound:being.mp3]&lt;/div&gt;</v>
      </c>
      <c r="F1898" s="3" t="str">
        <f t="shared" si="2"/>
        <v>(n): sinh vật</v>
      </c>
      <c r="G1898" s="6" t="s">
        <v>44392</v>
      </c>
      <c r="H1898" s="6" t="s">
        <v>44393</v>
      </c>
      <c r="I1898" s="7">
        <f t="shared" si="3"/>
        <v>0.1954942538</v>
      </c>
    </row>
    <row r="1899">
      <c r="A1899" s="4">
        <v>1899.0</v>
      </c>
      <c r="B1899" s="3" t="s">
        <v>44394</v>
      </c>
      <c r="C1899" s="6" t="s">
        <v>11</v>
      </c>
      <c r="D1899" s="6" t="s">
        <v>32233</v>
      </c>
      <c r="E1899" s="3" t="str">
        <f t="shared" si="1"/>
        <v>brief&lt;br&gt;&lt;div class="audio"&gt;[sound:brief.mp3]&lt;/div&gt;</v>
      </c>
      <c r="F1899" s="3" t="str">
        <f t="shared" si="2"/>
        <v>(adj): ngắn gọn</v>
      </c>
      <c r="G1899" s="6" t="s">
        <v>44395</v>
      </c>
      <c r="H1899" s="6" t="s">
        <v>44396</v>
      </c>
      <c r="I1899" s="7">
        <f t="shared" si="3"/>
        <v>0.6731056174</v>
      </c>
    </row>
    <row r="1900">
      <c r="A1900" s="4">
        <v>1900.0</v>
      </c>
      <c r="B1900" s="3" t="s">
        <v>44397</v>
      </c>
      <c r="C1900" s="6" t="s">
        <v>74</v>
      </c>
      <c r="D1900" s="6" t="s">
        <v>12791</v>
      </c>
      <c r="E1900" s="3" t="str">
        <f t="shared" si="1"/>
        <v>hero&lt;br&gt;&lt;div class="audio"&gt;[sound:hero.mp3]&lt;/div&gt;</v>
      </c>
      <c r="F1900" s="3" t="str">
        <f t="shared" si="2"/>
        <v>(n): anh hùng</v>
      </c>
      <c r="G1900" s="6" t="s">
        <v>44398</v>
      </c>
      <c r="H1900" s="6" t="s">
        <v>44399</v>
      </c>
      <c r="I1900" s="7">
        <f t="shared" si="3"/>
        <v>0.9100812527</v>
      </c>
    </row>
    <row r="1901">
      <c r="A1901" s="4">
        <v>1901.0</v>
      </c>
      <c r="B1901" s="3" t="s">
        <v>44400</v>
      </c>
      <c r="C1901" s="6" t="s">
        <v>11</v>
      </c>
      <c r="D1901" s="6" t="s">
        <v>44401</v>
      </c>
      <c r="E1901" s="3" t="str">
        <f t="shared" si="1"/>
        <v>alive&lt;br&gt;&lt;div class="audio"&gt;[sound:alive.mp3]&lt;/div&gt;</v>
      </c>
      <c r="F1901" s="3" t="str">
        <f t="shared" si="2"/>
        <v>(adj): còn sống</v>
      </c>
      <c r="G1901" s="6" t="s">
        <v>44402</v>
      </c>
      <c r="H1901" s="6" t="s">
        <v>44403</v>
      </c>
      <c r="I1901" s="7">
        <f t="shared" si="3"/>
        <v>0.3715883076</v>
      </c>
    </row>
    <row r="1902">
      <c r="A1902" s="4">
        <v>1902.0</v>
      </c>
      <c r="B1902" s="3" t="s">
        <v>44404</v>
      </c>
      <c r="C1902" s="6" t="s">
        <v>74</v>
      </c>
      <c r="D1902" s="6" t="s">
        <v>17024</v>
      </c>
      <c r="E1902" s="3" t="str">
        <f t="shared" si="1"/>
        <v>rank&lt;br&gt;&lt;div class="audio"&gt;[sound:rank.mp3]&lt;/div&gt;</v>
      </c>
      <c r="F1902" s="3" t="str">
        <f t="shared" si="2"/>
        <v>(n): thứ hạng</v>
      </c>
      <c r="G1902" s="6" t="s">
        <v>44405</v>
      </c>
      <c r="H1902" s="6" t="s">
        <v>44406</v>
      </c>
      <c r="I1902" s="7">
        <f t="shared" si="3"/>
        <v>0.9842057555</v>
      </c>
    </row>
    <row r="1903">
      <c r="A1903" s="4">
        <v>1903.0</v>
      </c>
      <c r="B1903" s="3" t="s">
        <v>44407</v>
      </c>
      <c r="C1903" s="6" t="s">
        <v>74</v>
      </c>
      <c r="D1903" s="6" t="s">
        <v>2440</v>
      </c>
      <c r="E1903" s="3" t="str">
        <f t="shared" si="1"/>
        <v>engineering&lt;br&gt;&lt;div class="audio"&gt;[sound:engineering.mp3]&lt;/div&gt;</v>
      </c>
      <c r="F1903" s="3" t="str">
        <f t="shared" si="2"/>
        <v>(n): kỹ thuật</v>
      </c>
      <c r="G1903" s="6" t="s">
        <v>44408</v>
      </c>
      <c r="H1903" s="6" t="s">
        <v>44409</v>
      </c>
      <c r="I1903" s="7">
        <f t="shared" si="3"/>
        <v>0.5433548828</v>
      </c>
    </row>
    <row r="1904">
      <c r="A1904" s="4">
        <v>1904.0</v>
      </c>
      <c r="B1904" s="3" t="s">
        <v>44410</v>
      </c>
      <c r="C1904" s="6" t="s">
        <v>24</v>
      </c>
      <c r="D1904" s="6" t="s">
        <v>41906</v>
      </c>
      <c r="E1904" s="3" t="str">
        <f t="shared" si="1"/>
        <v>react&lt;br&gt;&lt;div class="audio"&gt;[sound:react.mp3]&lt;/div&gt;</v>
      </c>
      <c r="F1904" s="3" t="str">
        <f t="shared" si="2"/>
        <v>(v): phản ứng</v>
      </c>
      <c r="G1904" s="6" t="s">
        <v>44411</v>
      </c>
      <c r="H1904" s="6" t="s">
        <v>44412</v>
      </c>
      <c r="I1904" s="7">
        <f t="shared" si="3"/>
        <v>0.4006293318</v>
      </c>
    </row>
    <row r="1905">
      <c r="A1905" s="4">
        <v>1905.0</v>
      </c>
      <c r="B1905" s="3" t="s">
        <v>44413</v>
      </c>
      <c r="C1905" s="6" t="s">
        <v>24</v>
      </c>
      <c r="D1905" s="8" t="s">
        <v>44414</v>
      </c>
      <c r="E1905" s="3" t="str">
        <f t="shared" si="1"/>
        <v>spell&lt;br&gt;&lt;div class="audio"&gt;[sound:spell.mp3]&lt;/div&gt;</v>
      </c>
      <c r="F1905" s="3" t="str">
        <f t="shared" si="2"/>
        <v>(v): đánh vần</v>
      </c>
      <c r="G1905" s="8" t="s">
        <v>44415</v>
      </c>
      <c r="H1905" s="8" t="s">
        <v>44416</v>
      </c>
      <c r="I1905" s="7">
        <f t="shared" si="3"/>
        <v>0.5866996553</v>
      </c>
    </row>
    <row r="1906">
      <c r="A1906" s="4">
        <v>1906.0</v>
      </c>
      <c r="B1906" s="3" t="s">
        <v>44417</v>
      </c>
      <c r="C1906" s="6" t="s">
        <v>74</v>
      </c>
      <c r="D1906" s="6" t="s">
        <v>44418</v>
      </c>
      <c r="E1906" s="3" t="str">
        <f t="shared" si="1"/>
        <v>appointment&lt;br&gt;&lt;div class="audio"&gt;[sound:appointment.mp3]&lt;/div&gt;</v>
      </c>
      <c r="F1906" s="3" t="str">
        <f t="shared" si="2"/>
        <v>(n): cuộc hẹn</v>
      </c>
      <c r="G1906" s="6" t="s">
        <v>44419</v>
      </c>
      <c r="H1906" s="6" t="s">
        <v>44420</v>
      </c>
      <c r="I1906" s="7">
        <f t="shared" si="3"/>
        <v>0.3491647906</v>
      </c>
    </row>
    <row r="1907">
      <c r="A1907" s="4">
        <v>1907.0</v>
      </c>
      <c r="B1907" s="3" t="s">
        <v>44421</v>
      </c>
      <c r="C1907" s="6" t="s">
        <v>85</v>
      </c>
      <c r="D1907" s="6" t="s">
        <v>36403</v>
      </c>
      <c r="E1907" s="3" t="str">
        <f t="shared" si="1"/>
        <v>rarely&lt;br&gt;&lt;div class="audio"&gt;[sound:rarely.mp3]&lt;/div&gt;</v>
      </c>
      <c r="F1907" s="3" t="str">
        <f t="shared" si="2"/>
        <v>(adv): hiếm khi</v>
      </c>
      <c r="G1907" s="6" t="s">
        <v>44422</v>
      </c>
      <c r="H1907" s="6" t="s">
        <v>44423</v>
      </c>
      <c r="I1907" s="7">
        <f t="shared" si="3"/>
        <v>0.2070519968</v>
      </c>
    </row>
    <row r="1908">
      <c r="A1908" s="4">
        <v>1908.0</v>
      </c>
      <c r="B1908" s="3" t="s">
        <v>44424</v>
      </c>
      <c r="C1908" s="6" t="s">
        <v>74</v>
      </c>
      <c r="D1908" s="6" t="s">
        <v>44425</v>
      </c>
      <c r="E1908" s="3" t="str">
        <f t="shared" si="1"/>
        <v>package&lt;br&gt;&lt;div class="audio"&gt;[sound:package.mp3]&lt;/div&gt;</v>
      </c>
      <c r="F1908" s="3" t="str">
        <f t="shared" si="2"/>
        <v>(n): gói hàng</v>
      </c>
      <c r="G1908" s="6" t="s">
        <v>44426</v>
      </c>
      <c r="H1908" s="6" t="s">
        <v>44427</v>
      </c>
      <c r="I1908" s="7">
        <f t="shared" si="3"/>
        <v>0.349709326</v>
      </c>
    </row>
    <row r="1909">
      <c r="A1909" s="4">
        <v>1909.0</v>
      </c>
      <c r="B1909" s="3" t="s">
        <v>44428</v>
      </c>
      <c r="C1909" s="6" t="s">
        <v>74</v>
      </c>
      <c r="D1909" s="6" t="s">
        <v>5118</v>
      </c>
      <c r="E1909" s="3" t="str">
        <f t="shared" si="1"/>
        <v>library&lt;br&gt;&lt;div class="audio"&gt;[sound:library.mp3]&lt;/div&gt;</v>
      </c>
      <c r="F1909" s="3" t="str">
        <f t="shared" si="2"/>
        <v>(n): thư viện</v>
      </c>
      <c r="G1909" s="6" t="s">
        <v>44429</v>
      </c>
      <c r="H1909" s="6" t="s">
        <v>44430</v>
      </c>
      <c r="I1909" s="7">
        <f t="shared" si="3"/>
        <v>0.5794344277</v>
      </c>
    </row>
    <row r="1910">
      <c r="A1910" s="4">
        <v>1910.0</v>
      </c>
      <c r="B1910" s="3" t="s">
        <v>44431</v>
      </c>
      <c r="C1910" s="6" t="s">
        <v>24</v>
      </c>
      <c r="D1910" s="6" t="s">
        <v>4128</v>
      </c>
      <c r="E1910" s="3" t="str">
        <f t="shared" si="1"/>
        <v>wake&lt;br&gt;&lt;div class="audio"&gt;[sound:wake.mp3]&lt;/div&gt;</v>
      </c>
      <c r="F1910" s="3" t="str">
        <f t="shared" si="2"/>
        <v>(v): thức dậy</v>
      </c>
      <c r="G1910" s="6" t="s">
        <v>44432</v>
      </c>
      <c r="H1910" s="6" t="s">
        <v>44433</v>
      </c>
      <c r="I1910" s="7">
        <f t="shared" si="3"/>
        <v>0.5295814185</v>
      </c>
    </row>
    <row r="1911">
      <c r="A1911" s="4">
        <v>1911.0</v>
      </c>
      <c r="B1911" s="3" t="s">
        <v>44434</v>
      </c>
      <c r="C1911" s="6" t="s">
        <v>74</v>
      </c>
      <c r="D1911" s="6" t="s">
        <v>19670</v>
      </c>
      <c r="E1911" s="3" t="str">
        <f t="shared" si="1"/>
        <v>hell&lt;br&gt;&lt;div class="audio"&gt;[sound:hell.mp3]&lt;/div&gt;</v>
      </c>
      <c r="F1911" s="3" t="str">
        <f t="shared" si="2"/>
        <v>(n): địa ngục</v>
      </c>
      <c r="G1911" s="6" t="s">
        <v>44435</v>
      </c>
      <c r="H1911" s="6" t="s">
        <v>44436</v>
      </c>
      <c r="I1911" s="7">
        <f t="shared" si="3"/>
        <v>0.6994676188</v>
      </c>
    </row>
    <row r="1912">
      <c r="A1912" s="4">
        <v>1912.0</v>
      </c>
      <c r="B1912" s="3" t="s">
        <v>44437</v>
      </c>
      <c r="C1912" s="6" t="s">
        <v>74</v>
      </c>
      <c r="D1912" s="6" t="s">
        <v>7306</v>
      </c>
      <c r="E1912" s="3" t="str">
        <f t="shared" si="1"/>
        <v>pleasure&lt;br&gt;&lt;div class="audio"&gt;[sound:pleasure.mp3]&lt;/div&gt;</v>
      </c>
      <c r="F1912" s="3" t="str">
        <f t="shared" si="2"/>
        <v>(n): niềm vui</v>
      </c>
      <c r="G1912" s="6" t="s">
        <v>44438</v>
      </c>
      <c r="H1912" s="6" t="s">
        <v>44439</v>
      </c>
      <c r="I1912" s="7">
        <f t="shared" si="3"/>
        <v>0.09633103217</v>
      </c>
    </row>
    <row r="1913">
      <c r="A1913" s="4">
        <v>1913.0</v>
      </c>
      <c r="B1913" s="3" t="s">
        <v>44440</v>
      </c>
      <c r="C1913" s="6" t="s">
        <v>85</v>
      </c>
      <c r="D1913" s="6" t="s">
        <v>5734</v>
      </c>
      <c r="E1913" s="3" t="str">
        <f t="shared" si="1"/>
        <v>constantly&lt;br&gt;&lt;div class="audio"&gt;[sound:constantly.mp3]&lt;/div&gt;</v>
      </c>
      <c r="F1913" s="3" t="str">
        <f t="shared" si="2"/>
        <v>(adv): liên tục</v>
      </c>
      <c r="G1913" s="6" t="s">
        <v>44441</v>
      </c>
      <c r="H1913" s="6" t="s">
        <v>44442</v>
      </c>
      <c r="I1913" s="7">
        <f t="shared" si="3"/>
        <v>0.1393859443</v>
      </c>
    </row>
    <row r="1914">
      <c r="A1914" s="4">
        <v>1914.0</v>
      </c>
      <c r="B1914" s="3" t="s">
        <v>44443</v>
      </c>
      <c r="C1914" s="6" t="s">
        <v>11</v>
      </c>
      <c r="D1914" s="6" t="s">
        <v>8784</v>
      </c>
      <c r="E1914" s="3" t="str">
        <f t="shared" si="1"/>
        <v>complicated&lt;br&gt;&lt;div class="audio"&gt;[sound:complicated.mp3]&lt;/div&gt;</v>
      </c>
      <c r="F1914" s="3" t="str">
        <f t="shared" si="2"/>
        <v>(adj): phức tạp</v>
      </c>
      <c r="G1914" s="6" t="s">
        <v>44444</v>
      </c>
      <c r="H1914" s="6" t="s">
        <v>44445</v>
      </c>
      <c r="I1914" s="7">
        <f t="shared" si="3"/>
        <v>0.3833322292</v>
      </c>
    </row>
    <row r="1915">
      <c r="A1915" s="4">
        <v>1915.0</v>
      </c>
      <c r="B1915" s="3" t="s">
        <v>44446</v>
      </c>
      <c r="C1915" s="6" t="s">
        <v>11</v>
      </c>
      <c r="D1915" s="6" t="s">
        <v>44447</v>
      </c>
      <c r="E1915" s="3" t="str">
        <f t="shared" si="1"/>
        <v>worth&lt;br&gt;&lt;div class="audio"&gt;[sound:worth.mp3]&lt;/div&gt;</v>
      </c>
      <c r="F1915" s="3" t="str">
        <f t="shared" si="2"/>
        <v>(adj): đáng giá</v>
      </c>
      <c r="G1915" s="6" t="s">
        <v>44448</v>
      </c>
      <c r="H1915" s="6" t="s">
        <v>44449</v>
      </c>
      <c r="I1915" s="7">
        <f t="shared" si="3"/>
        <v>0.237772932</v>
      </c>
    </row>
    <row r="1916">
      <c r="A1916" s="4">
        <v>1916.0</v>
      </c>
      <c r="B1916" s="3" t="s">
        <v>44450</v>
      </c>
      <c r="C1916" s="6" t="s">
        <v>24</v>
      </c>
      <c r="D1916" s="6" t="s">
        <v>44451</v>
      </c>
      <c r="E1916" s="3" t="str">
        <f t="shared" si="1"/>
        <v>arise&lt;br&gt;&lt;div class="audio"&gt;[sound:arise.mp3]&lt;/div&gt;</v>
      </c>
      <c r="F1916" s="3" t="str">
        <f t="shared" si="2"/>
        <v>(v): nảy sinh</v>
      </c>
      <c r="G1916" s="6" t="s">
        <v>44452</v>
      </c>
      <c r="H1916" s="6" t="s">
        <v>44453</v>
      </c>
      <c r="I1916" s="7">
        <f t="shared" si="3"/>
        <v>0.4768338834</v>
      </c>
    </row>
    <row r="1917">
      <c r="A1917" s="4">
        <v>1917.0</v>
      </c>
      <c r="B1917" s="3" t="s">
        <v>44454</v>
      </c>
      <c r="C1917" s="6" t="s">
        <v>74</v>
      </c>
      <c r="D1917" s="6" t="s">
        <v>8436</v>
      </c>
      <c r="E1917" s="3" t="str">
        <f t="shared" si="1"/>
        <v>objective&lt;br&gt;&lt;div class="audio"&gt;[sound:objective.mp3]&lt;/div&gt;</v>
      </c>
      <c r="F1917" s="3" t="str">
        <f t="shared" si="2"/>
        <v>(n): mục tiêu</v>
      </c>
      <c r="G1917" s="6" t="s">
        <v>44455</v>
      </c>
      <c r="H1917" s="6" t="s">
        <v>44456</v>
      </c>
      <c r="I1917" s="7">
        <f t="shared" si="3"/>
        <v>0.3440595994</v>
      </c>
    </row>
    <row r="1918">
      <c r="A1918" s="4">
        <v>1918.0</v>
      </c>
      <c r="B1918" s="3" t="s">
        <v>44457</v>
      </c>
      <c r="C1918" s="6" t="s">
        <v>24</v>
      </c>
      <c r="D1918" s="8" t="s">
        <v>8535</v>
      </c>
      <c r="E1918" s="3" t="str">
        <f t="shared" si="1"/>
        <v>specify&lt;br&gt;&lt;div class="audio"&gt;[sound:specify.mp3]&lt;/div&gt;</v>
      </c>
      <c r="F1918" s="3" t="str">
        <f t="shared" si="2"/>
        <v>(v): chỉ định</v>
      </c>
      <c r="G1918" s="8" t="s">
        <v>44458</v>
      </c>
      <c r="H1918" s="8" t="s">
        <v>44459</v>
      </c>
      <c r="I1918" s="7">
        <f t="shared" si="3"/>
        <v>0.005245974039</v>
      </c>
    </row>
    <row r="1919">
      <c r="A1919" s="4">
        <v>1919.0</v>
      </c>
      <c r="B1919" s="3" t="s">
        <v>44460</v>
      </c>
      <c r="C1919" s="6" t="s">
        <v>24</v>
      </c>
      <c r="D1919" s="6" t="s">
        <v>5640</v>
      </c>
      <c r="E1919" s="3" t="str">
        <f t="shared" si="1"/>
        <v>investigate&lt;br&gt;&lt;div class="audio"&gt;[sound:investigate.mp3]&lt;/div&gt;</v>
      </c>
      <c r="F1919" s="3" t="str">
        <f t="shared" si="2"/>
        <v>(v): điều tra</v>
      </c>
      <c r="G1919" s="6" t="s">
        <v>44461</v>
      </c>
      <c r="H1919" s="6" t="s">
        <v>44462</v>
      </c>
      <c r="I1919" s="7">
        <f t="shared" si="3"/>
        <v>0.3895745654</v>
      </c>
    </row>
    <row r="1920">
      <c r="A1920" s="4">
        <v>1920.0</v>
      </c>
      <c r="B1920" s="3" t="s">
        <v>44463</v>
      </c>
      <c r="C1920" s="6" t="s">
        <v>74</v>
      </c>
      <c r="D1920" s="6" t="s">
        <v>41920</v>
      </c>
      <c r="E1920" s="3" t="str">
        <f t="shared" si="1"/>
        <v>belief&lt;br&gt;&lt;div class="audio"&gt;[sound:belief.mp3]&lt;/div&gt;</v>
      </c>
      <c r="F1920" s="3" t="str">
        <f t="shared" si="2"/>
        <v>(n): niềm tin</v>
      </c>
      <c r="G1920" s="6" t="s">
        <v>44464</v>
      </c>
      <c r="H1920" s="6" t="s">
        <v>44465</v>
      </c>
      <c r="I1920" s="7">
        <f t="shared" si="3"/>
        <v>0.9079081199</v>
      </c>
    </row>
    <row r="1921">
      <c r="A1921" s="4">
        <v>1921.0</v>
      </c>
      <c r="B1921" s="3" t="s">
        <v>44466</v>
      </c>
      <c r="C1921" s="6" t="s">
        <v>11</v>
      </c>
      <c r="D1921" s="6" t="s">
        <v>32627</v>
      </c>
      <c r="E1921" s="3" t="str">
        <f t="shared" si="1"/>
        <v>attractive&lt;br&gt;&lt;div class="audio"&gt;[sound:attractive.mp3]&lt;/div&gt;</v>
      </c>
      <c r="F1921" s="3" t="str">
        <f t="shared" si="2"/>
        <v>(adj): quyến rũ</v>
      </c>
      <c r="G1921" s="6" t="s">
        <v>44467</v>
      </c>
      <c r="H1921" s="6" t="s">
        <v>44468</v>
      </c>
      <c r="I1921" s="7">
        <f t="shared" si="3"/>
        <v>0.2475365369</v>
      </c>
    </row>
    <row r="1922">
      <c r="A1922" s="4">
        <v>1922.0</v>
      </c>
      <c r="B1922" s="3" t="s">
        <v>44469</v>
      </c>
      <c r="C1922" s="6" t="s">
        <v>58</v>
      </c>
      <c r="D1922" s="6" t="s">
        <v>44470</v>
      </c>
      <c r="E1922" s="3" t="str">
        <f t="shared" si="1"/>
        <v>fifty&lt;br&gt;&lt;div class="audio"&gt;[sound:fifty.mp3]&lt;/div&gt;</v>
      </c>
      <c r="F1922" s="3" t="str">
        <f t="shared" si="2"/>
        <v>(num): năm mươi</v>
      </c>
      <c r="G1922" s="6" t="s">
        <v>44471</v>
      </c>
      <c r="H1922" s="6" t="s">
        <v>44472</v>
      </c>
      <c r="I1922" s="7">
        <f t="shared" si="3"/>
        <v>0.9531818842</v>
      </c>
    </row>
    <row r="1923">
      <c r="A1923" s="4">
        <v>1923.0</v>
      </c>
      <c r="B1923" s="3" t="s">
        <v>44473</v>
      </c>
      <c r="C1923" s="6" t="s">
        <v>24</v>
      </c>
      <c r="D1923" s="6" t="s">
        <v>3394</v>
      </c>
      <c r="E1923" s="3" t="str">
        <f t="shared" si="1"/>
        <v>recover&lt;br&gt;&lt;div class="audio"&gt;[sound:recover.mp3]&lt;/div&gt;</v>
      </c>
      <c r="F1923" s="3" t="str">
        <f t="shared" si="2"/>
        <v>(v): hồi phục</v>
      </c>
      <c r="G1923" s="6" t="s">
        <v>44474</v>
      </c>
      <c r="H1923" s="6" t="s">
        <v>44475</v>
      </c>
      <c r="I1923" s="7">
        <f t="shared" si="3"/>
        <v>0.009406200082</v>
      </c>
    </row>
    <row r="1924">
      <c r="A1924" s="4">
        <v>1924.0</v>
      </c>
      <c r="B1924" s="3" t="s">
        <v>44476</v>
      </c>
      <c r="C1924" s="6" t="s">
        <v>11</v>
      </c>
      <c r="D1924" s="8" t="s">
        <v>26569</v>
      </c>
      <c r="E1924" s="3" t="str">
        <f t="shared" si="1"/>
        <v>stupid&lt;br&gt;&lt;div class="audio"&gt;[sound:stupid.mp3]&lt;/div&gt;</v>
      </c>
      <c r="F1924" s="3" t="str">
        <f t="shared" si="2"/>
        <v>(adj): ngu ngốc</v>
      </c>
      <c r="G1924" s="8" t="s">
        <v>44477</v>
      </c>
      <c r="H1924" s="8" t="s">
        <v>44478</v>
      </c>
      <c r="I1924" s="7">
        <f t="shared" si="3"/>
        <v>0.07431111761</v>
      </c>
    </row>
    <row r="1925">
      <c r="A1925" s="4">
        <v>1925.0</v>
      </c>
      <c r="B1925" s="3" t="s">
        <v>44479</v>
      </c>
      <c r="C1925" s="6" t="s">
        <v>74</v>
      </c>
      <c r="D1925" s="6" t="s">
        <v>44480</v>
      </c>
      <c r="E1925" s="3" t="str">
        <f t="shared" si="1"/>
        <v>bird&lt;br&gt;&lt;div class="audio"&gt;[sound:bird.mp3]&lt;/div&gt;</v>
      </c>
      <c r="F1925" s="3" t="str">
        <f t="shared" si="2"/>
        <v>(n): con chim</v>
      </c>
      <c r="G1925" s="6" t="s">
        <v>44481</v>
      </c>
      <c r="H1925" s="6" t="s">
        <v>44482</v>
      </c>
      <c r="I1925" s="7">
        <f t="shared" si="3"/>
        <v>0.08216543655</v>
      </c>
    </row>
    <row r="1926">
      <c r="A1926" s="4">
        <v>1926.0</v>
      </c>
      <c r="B1926" s="3" t="s">
        <v>44483</v>
      </c>
      <c r="C1926" s="6" t="s">
        <v>74</v>
      </c>
      <c r="D1926" s="6" t="s">
        <v>1577</v>
      </c>
      <c r="E1926" s="3" t="str">
        <f t="shared" si="1"/>
        <v>executive&lt;br&gt;&lt;div class="audio"&gt;[sound:executive.mp3]&lt;/div&gt;</v>
      </c>
      <c r="F1926" s="3" t="str">
        <f t="shared" si="2"/>
        <v>(n): giám đốc</v>
      </c>
      <c r="G1926" s="6" t="s">
        <v>44484</v>
      </c>
      <c r="H1926" s="6" t="s">
        <v>44485</v>
      </c>
      <c r="I1926" s="7">
        <f t="shared" si="3"/>
        <v>0.6941141821</v>
      </c>
    </row>
    <row r="1927">
      <c r="A1927" s="4">
        <v>1927.0</v>
      </c>
      <c r="B1927" s="3" t="s">
        <v>44486</v>
      </c>
      <c r="C1927" s="6" t="s">
        <v>74</v>
      </c>
      <c r="D1927" s="6" t="s">
        <v>17974</v>
      </c>
      <c r="E1927" s="3" t="str">
        <f t="shared" si="1"/>
        <v>farmer&lt;br&gt;&lt;div class="audio"&gt;[sound:farmer.mp3]&lt;/div&gt;</v>
      </c>
      <c r="F1927" s="3" t="str">
        <f t="shared" si="2"/>
        <v>(n): nông dân</v>
      </c>
      <c r="G1927" s="6" t="s">
        <v>44487</v>
      </c>
      <c r="H1927" s="6" t="s">
        <v>44488</v>
      </c>
      <c r="I1927" s="7">
        <f t="shared" si="3"/>
        <v>0.4911811198</v>
      </c>
    </row>
    <row r="1928">
      <c r="A1928" s="4">
        <v>1928.0</v>
      </c>
      <c r="B1928" s="3" t="s">
        <v>44489</v>
      </c>
      <c r="C1928" s="6" t="s">
        <v>74</v>
      </c>
      <c r="D1928" s="6" t="s">
        <v>4537</v>
      </c>
      <c r="E1928" s="3" t="str">
        <f t="shared" si="1"/>
        <v>handling&lt;br&gt;&lt;div class="audio"&gt;[sound:handling.mp3]&lt;/div&gt;</v>
      </c>
      <c r="F1928" s="3" t="str">
        <f t="shared" si="2"/>
        <v>(n): sự xử lý</v>
      </c>
      <c r="G1928" s="6" t="s">
        <v>44490</v>
      </c>
      <c r="H1928" s="6" t="s">
        <v>44491</v>
      </c>
      <c r="I1928" s="7">
        <f t="shared" si="3"/>
        <v>0.6523398872</v>
      </c>
    </row>
    <row r="1929">
      <c r="A1929" s="4">
        <v>1929.0</v>
      </c>
      <c r="B1929" s="3" t="s">
        <v>44492</v>
      </c>
      <c r="C1929" s="6" t="s">
        <v>74</v>
      </c>
      <c r="D1929" s="6" t="s">
        <v>16846</v>
      </c>
      <c r="E1929" s="3" t="str">
        <f t="shared" si="1"/>
        <v>majority&lt;br&gt;&lt;div class="audio"&gt;[sound:majority.mp3]&lt;/div&gt;</v>
      </c>
      <c r="F1929" s="3" t="str">
        <f t="shared" si="2"/>
        <v>(n): phần lớn</v>
      </c>
      <c r="G1929" s="6" t="s">
        <v>44493</v>
      </c>
      <c r="H1929" s="6" t="s">
        <v>44494</v>
      </c>
      <c r="I1929" s="7">
        <f t="shared" si="3"/>
        <v>0.7502904971</v>
      </c>
    </row>
    <row r="1930">
      <c r="A1930" s="4">
        <v>1930.0</v>
      </c>
      <c r="B1930" s="3" t="s">
        <v>44495</v>
      </c>
      <c r="C1930" s="6" t="s">
        <v>74</v>
      </c>
      <c r="D1930" s="6" t="s">
        <v>28588</v>
      </c>
      <c r="E1930" s="3" t="str">
        <f t="shared" si="1"/>
        <v>queen&lt;br&gt;&lt;div class="audio"&gt;[sound:queen.mp3]&lt;/div&gt;</v>
      </c>
      <c r="F1930" s="3" t="str">
        <f t="shared" si="2"/>
        <v>(n): nữ hoàng</v>
      </c>
      <c r="G1930" s="6" t="s">
        <v>44496</v>
      </c>
      <c r="H1930" s="6" t="s">
        <v>44497</v>
      </c>
      <c r="I1930" s="7">
        <f t="shared" si="3"/>
        <v>0.9966933874</v>
      </c>
    </row>
    <row r="1931">
      <c r="A1931" s="4">
        <v>1931.0</v>
      </c>
      <c r="B1931" s="3" t="s">
        <v>44498</v>
      </c>
      <c r="C1931" s="6" t="s">
        <v>74</v>
      </c>
      <c r="D1931" s="6" t="s">
        <v>5857</v>
      </c>
      <c r="E1931" s="3" t="str">
        <f t="shared" si="1"/>
        <v>rating&lt;br&gt;&lt;div class="audio"&gt;[sound:rating.mp3]&lt;/div&gt;</v>
      </c>
      <c r="F1931" s="3" t="str">
        <f t="shared" si="2"/>
        <v>(n): đánh giá</v>
      </c>
      <c r="G1931" s="6" t="s">
        <v>44499</v>
      </c>
      <c r="H1931" s="6" t="s">
        <v>44500</v>
      </c>
      <c r="I1931" s="7">
        <f t="shared" si="3"/>
        <v>0.3816800612</v>
      </c>
    </row>
    <row r="1932">
      <c r="A1932" s="4">
        <v>1932.0</v>
      </c>
      <c r="B1932" s="3" t="s">
        <v>44501</v>
      </c>
      <c r="C1932" s="6" t="s">
        <v>74</v>
      </c>
      <c r="D1932" s="6" t="s">
        <v>44502</v>
      </c>
      <c r="E1932" s="3" t="str">
        <f t="shared" si="1"/>
        <v>wedding&lt;br&gt;&lt;div class="audio"&gt;[sound:wedding.mp3]&lt;/div&gt;</v>
      </c>
      <c r="F1932" s="3" t="str">
        <f t="shared" si="2"/>
        <v>(n): đám cưới</v>
      </c>
      <c r="G1932" s="6" t="s">
        <v>44503</v>
      </c>
      <c r="H1932" s="6" t="s">
        <v>44504</v>
      </c>
      <c r="I1932" s="7">
        <f t="shared" si="3"/>
        <v>0.1925033734</v>
      </c>
    </row>
    <row r="1933">
      <c r="A1933" s="4">
        <v>1933.0</v>
      </c>
      <c r="B1933" s="3" t="s">
        <v>44505</v>
      </c>
      <c r="C1933" s="6" t="s">
        <v>74</v>
      </c>
      <c r="D1933" s="6" t="s">
        <v>1851</v>
      </c>
      <c r="E1933" s="3" t="str">
        <f t="shared" si="1"/>
        <v>possibility&lt;br&gt;&lt;div class="audio"&gt;[sound:possibility.mp3]&lt;/div&gt;</v>
      </c>
      <c r="F1933" s="3" t="str">
        <f t="shared" si="2"/>
        <v>(n): khả năng</v>
      </c>
      <c r="G1933" s="6" t="s">
        <v>44506</v>
      </c>
      <c r="H1933" s="6" t="s">
        <v>44507</v>
      </c>
      <c r="I1933" s="7">
        <f t="shared" si="3"/>
        <v>0.5832189294</v>
      </c>
    </row>
    <row r="1934">
      <c r="A1934" s="4">
        <v>1934.0</v>
      </c>
      <c r="B1934" s="3" t="s">
        <v>44508</v>
      </c>
      <c r="C1934" s="6" t="s">
        <v>24</v>
      </c>
      <c r="D1934" s="6" t="s">
        <v>1885</v>
      </c>
      <c r="E1934" s="3" t="str">
        <f t="shared" si="1"/>
        <v>acquire&lt;br&gt;&lt;div class="audio"&gt;[sound:acquire.mp3]&lt;/div&gt;</v>
      </c>
      <c r="F1934" s="3" t="str">
        <f t="shared" si="2"/>
        <v>(v): thu được</v>
      </c>
      <c r="G1934" s="6" t="s">
        <v>44509</v>
      </c>
      <c r="H1934" s="6" t="s">
        <v>44510</v>
      </c>
      <c r="I1934" s="7">
        <f t="shared" si="3"/>
        <v>0.5172632669</v>
      </c>
    </row>
    <row r="1935">
      <c r="A1935" s="4">
        <v>1935.0</v>
      </c>
      <c r="B1935" s="3" t="s">
        <v>44511</v>
      </c>
      <c r="C1935" s="6" t="s">
        <v>24</v>
      </c>
      <c r="D1935" s="6" t="s">
        <v>44512</v>
      </c>
      <c r="E1935" s="3" t="str">
        <f t="shared" si="1"/>
        <v>bury&lt;br&gt;&lt;div class="audio"&gt;[sound:bury.mp3]&lt;/div&gt;</v>
      </c>
      <c r="F1935" s="3" t="str">
        <f t="shared" si="2"/>
        <v>(v): chôn cất</v>
      </c>
      <c r="G1935" s="6" t="s">
        <v>44513</v>
      </c>
      <c r="H1935" s="6" t="s">
        <v>44514</v>
      </c>
      <c r="I1935" s="7">
        <f t="shared" si="3"/>
        <v>0.5534692306</v>
      </c>
    </row>
    <row r="1936">
      <c r="A1936" s="4">
        <v>1936.0</v>
      </c>
      <c r="B1936" s="3" t="s">
        <v>44515</v>
      </c>
      <c r="C1936" s="6" t="s">
        <v>11</v>
      </c>
      <c r="D1936" s="6" t="s">
        <v>15988</v>
      </c>
      <c r="E1936" s="3" t="str">
        <f t="shared" si="1"/>
        <v>extreme&lt;br&gt;&lt;div class="audio"&gt;[sound:extreme.mp3]&lt;/div&gt;</v>
      </c>
      <c r="F1936" s="3" t="str">
        <f t="shared" si="2"/>
        <v>(adj): cực đoan</v>
      </c>
      <c r="G1936" s="6" t="s">
        <v>44516</v>
      </c>
      <c r="H1936" s="6" t="s">
        <v>44517</v>
      </c>
      <c r="I1936" s="7">
        <f t="shared" si="3"/>
        <v>0.8834707273</v>
      </c>
    </row>
    <row r="1937">
      <c r="A1937" s="4">
        <v>1937.0</v>
      </c>
      <c r="B1937" s="3" t="s">
        <v>44518</v>
      </c>
      <c r="C1937" s="6" t="s">
        <v>11</v>
      </c>
      <c r="D1937" s="6" t="s">
        <v>13462</v>
      </c>
      <c r="E1937" s="3" t="str">
        <f t="shared" si="1"/>
        <v>opposite&lt;br&gt;&lt;div class="audio"&gt;[sound:opposite.mp3]&lt;/div&gt;</v>
      </c>
      <c r="F1937" s="3" t="str">
        <f t="shared" si="2"/>
        <v>(adj): đối diện</v>
      </c>
      <c r="G1937" s="6" t="s">
        <v>44519</v>
      </c>
      <c r="H1937" s="6" t="s">
        <v>44520</v>
      </c>
      <c r="I1937" s="7">
        <f t="shared" si="3"/>
        <v>0.7010767851</v>
      </c>
    </row>
    <row r="1938">
      <c r="A1938" s="4">
        <v>1938.0</v>
      </c>
      <c r="B1938" s="3" t="s">
        <v>44521</v>
      </c>
      <c r="C1938" s="6" t="s">
        <v>74</v>
      </c>
      <c r="D1938" s="6" t="s">
        <v>14298</v>
      </c>
      <c r="E1938" s="3" t="str">
        <f t="shared" si="1"/>
        <v>religion&lt;br&gt;&lt;div class="audio"&gt;[sound:religion.mp3]&lt;/div&gt;</v>
      </c>
      <c r="F1938" s="3" t="str">
        <f t="shared" si="2"/>
        <v>(n): tôn giáo</v>
      </c>
      <c r="G1938" s="6" t="s">
        <v>44522</v>
      </c>
      <c r="H1938" s="6" t="s">
        <v>44523</v>
      </c>
      <c r="I1938" s="7">
        <f t="shared" si="3"/>
        <v>0.7530703821</v>
      </c>
    </row>
    <row r="1939">
      <c r="A1939" s="4">
        <v>1939.0</v>
      </c>
      <c r="B1939" s="3" t="s">
        <v>44524</v>
      </c>
      <c r="C1939" s="6" t="s">
        <v>74</v>
      </c>
      <c r="D1939" s="6" t="s">
        <v>44525</v>
      </c>
      <c r="E1939" s="3" t="str">
        <f t="shared" si="1"/>
        <v>comedy&lt;br&gt;&lt;div class="audio"&gt;[sound:comedy.mp3]&lt;/div&gt;</v>
      </c>
      <c r="F1939" s="3" t="str">
        <f t="shared" si="2"/>
        <v>(n): phim hài</v>
      </c>
      <c r="G1939" s="6" t="s">
        <v>44526</v>
      </c>
      <c r="H1939" s="6" t="s">
        <v>44527</v>
      </c>
      <c r="I1939" s="7">
        <f t="shared" si="3"/>
        <v>0.9452134994</v>
      </c>
    </row>
    <row r="1940">
      <c r="A1940" s="4">
        <v>1940.0</v>
      </c>
      <c r="B1940" s="3" t="s">
        <v>44528</v>
      </c>
      <c r="C1940" s="6" t="s">
        <v>74</v>
      </c>
      <c r="D1940" s="6" t="s">
        <v>28501</v>
      </c>
      <c r="E1940" s="3" t="str">
        <f t="shared" si="1"/>
        <v>exception&lt;br&gt;&lt;div class="audio"&gt;[sound:exception.mp3]&lt;/div&gt;</v>
      </c>
      <c r="F1940" s="3" t="str">
        <f t="shared" si="2"/>
        <v>(n): ngoại lệ</v>
      </c>
      <c r="G1940" s="6" t="s">
        <v>44529</v>
      </c>
      <c r="H1940" s="6" t="s">
        <v>44530</v>
      </c>
      <c r="I1940" s="7">
        <f t="shared" si="3"/>
        <v>0.4242550325</v>
      </c>
    </row>
    <row r="1941">
      <c r="A1941" s="4">
        <v>1941.0</v>
      </c>
      <c r="B1941" s="3" t="s">
        <v>44531</v>
      </c>
      <c r="C1941" s="6" t="s">
        <v>11</v>
      </c>
      <c r="D1941" s="6" t="s">
        <v>17692</v>
      </c>
      <c r="E1941" s="3" t="str">
        <f t="shared" si="1"/>
        <v>ideal&lt;br&gt;&lt;div class="audio"&gt;[sound:ideal.mp3]&lt;/div&gt;</v>
      </c>
      <c r="F1941" s="3" t="str">
        <f t="shared" si="2"/>
        <v>(adj): lý tưởng</v>
      </c>
      <c r="G1941" s="6" t="s">
        <v>44532</v>
      </c>
      <c r="H1941" s="6" t="s">
        <v>44533</v>
      </c>
      <c r="I1941" s="7">
        <f t="shared" si="3"/>
        <v>0.8198970685</v>
      </c>
    </row>
    <row r="1942">
      <c r="A1942" s="4">
        <v>1942.0</v>
      </c>
      <c r="B1942" s="3" t="s">
        <v>44534</v>
      </c>
      <c r="C1942" s="6" t="s">
        <v>74</v>
      </c>
      <c r="D1942" s="6" t="s">
        <v>3892</v>
      </c>
      <c r="E1942" s="3" t="str">
        <f t="shared" si="1"/>
        <v>restaurant&lt;br&gt;&lt;div class="audio"&gt;[sound:restaurant.mp3]&lt;/div&gt;</v>
      </c>
      <c r="F1942" s="3" t="str">
        <f t="shared" si="2"/>
        <v>(n): nhà hàng</v>
      </c>
      <c r="G1942" s="6" t="s">
        <v>44535</v>
      </c>
      <c r="H1942" s="6" t="s">
        <v>44536</v>
      </c>
      <c r="I1942" s="7">
        <f t="shared" si="3"/>
        <v>0.8694097582</v>
      </c>
    </row>
    <row r="1943">
      <c r="A1943" s="4">
        <v>1943.0</v>
      </c>
      <c r="B1943" s="3" t="s">
        <v>44537</v>
      </c>
      <c r="C1943" s="6" t="s">
        <v>74</v>
      </c>
      <c r="D1943" s="6" t="s">
        <v>2326</v>
      </c>
      <c r="E1943" s="3" t="str">
        <f t="shared" si="1"/>
        <v>scheme&lt;br&gt;&lt;div class="audio"&gt;[sound:scheme.mp3]&lt;/div&gt;</v>
      </c>
      <c r="F1943" s="3" t="str">
        <f t="shared" si="2"/>
        <v>(n): kế hoạch</v>
      </c>
      <c r="G1943" s="6" t="s">
        <v>44538</v>
      </c>
      <c r="H1943" s="6" t="s">
        <v>44539</v>
      </c>
      <c r="I1943" s="7">
        <f t="shared" si="3"/>
        <v>0.3431701788</v>
      </c>
    </row>
    <row r="1944">
      <c r="A1944" s="4">
        <v>1944.0</v>
      </c>
      <c r="B1944" s="3" t="s">
        <v>44540</v>
      </c>
      <c r="C1944" s="6" t="s">
        <v>24</v>
      </c>
      <c r="D1944" s="6" t="s">
        <v>8078</v>
      </c>
      <c r="E1944" s="3" t="str">
        <f t="shared" si="1"/>
        <v>enhance&lt;br&gt;&lt;div class="audio"&gt;[sound:enhance.mp3]&lt;/div&gt;</v>
      </c>
      <c r="F1944" s="3" t="str">
        <f t="shared" si="2"/>
        <v>(v): nâng cao</v>
      </c>
      <c r="G1944" s="6" t="s">
        <v>44541</v>
      </c>
      <c r="H1944" s="6" t="s">
        <v>44542</v>
      </c>
      <c r="I1944" s="7">
        <f t="shared" si="3"/>
        <v>0.6427244457</v>
      </c>
    </row>
    <row r="1945">
      <c r="A1945" s="4">
        <v>1945.0</v>
      </c>
      <c r="B1945" s="3" t="s">
        <v>44543</v>
      </c>
      <c r="C1945" s="6" t="s">
        <v>24</v>
      </c>
      <c r="D1945" s="8" t="s">
        <v>44544</v>
      </c>
      <c r="E1945" s="3" t="str">
        <f t="shared" si="1"/>
        <v>swing&lt;br&gt;&lt;div class="audio"&gt;[sound:swing.mp3]&lt;/div&gt;</v>
      </c>
      <c r="F1945" s="3" t="str">
        <f t="shared" si="2"/>
        <v>(v): đung đưa</v>
      </c>
      <c r="G1945" s="8" t="s">
        <v>44545</v>
      </c>
      <c r="H1945" s="8" t="s">
        <v>44546</v>
      </c>
      <c r="I1945" s="7">
        <f t="shared" si="3"/>
        <v>0.02122919292</v>
      </c>
    </row>
    <row r="1946">
      <c r="A1946" s="4">
        <v>1946.0</v>
      </c>
      <c r="B1946" s="3" t="s">
        <v>44547</v>
      </c>
      <c r="C1946" s="6" t="s">
        <v>11</v>
      </c>
      <c r="D1946" s="6" t="s">
        <v>44548</v>
      </c>
      <c r="E1946" s="3" t="str">
        <f t="shared" si="1"/>
        <v>annual&lt;br&gt;&lt;div class="audio"&gt;[sound:annual.mp3]&lt;/div&gt;</v>
      </c>
      <c r="F1946" s="3" t="str">
        <f t="shared" si="2"/>
        <v>(adj): hàng năm</v>
      </c>
      <c r="G1946" s="6" t="s">
        <v>44549</v>
      </c>
      <c r="H1946" s="6" t="s">
        <v>44550</v>
      </c>
      <c r="I1946" s="7">
        <f t="shared" si="3"/>
        <v>0.6467099532</v>
      </c>
    </row>
    <row r="1947">
      <c r="A1947" s="4">
        <v>1947.0</v>
      </c>
      <c r="B1947" s="3" t="s">
        <v>44551</v>
      </c>
      <c r="C1947" s="6" t="s">
        <v>74</v>
      </c>
      <c r="D1947" s="6" t="s">
        <v>3717</v>
      </c>
      <c r="E1947" s="3" t="str">
        <f t="shared" si="1"/>
        <v>quantity&lt;br&gt;&lt;div class="audio"&gt;[sound:quantity.mp3]&lt;/div&gt;</v>
      </c>
      <c r="F1947" s="3" t="str">
        <f t="shared" si="2"/>
        <v>(n): số lượng</v>
      </c>
      <c r="G1947" s="6" t="s">
        <v>44552</v>
      </c>
      <c r="H1947" s="6" t="s">
        <v>44553</v>
      </c>
      <c r="I1947" s="7">
        <f t="shared" si="3"/>
        <v>0.7997192061</v>
      </c>
    </row>
    <row r="1948">
      <c r="A1948" s="4">
        <v>1948.0</v>
      </c>
      <c r="B1948" s="3" t="s">
        <v>44554</v>
      </c>
      <c r="C1948" s="6" t="s">
        <v>74</v>
      </c>
      <c r="D1948" s="6" t="s">
        <v>44555</v>
      </c>
      <c r="E1948" s="3" t="str">
        <f t="shared" si="1"/>
        <v>funding&lt;br&gt;&lt;div class="audio"&gt;[sound:funding.mp3]&lt;/div&gt;</v>
      </c>
      <c r="F1948" s="3" t="str">
        <f t="shared" si="2"/>
        <v>(n): kinh phí</v>
      </c>
      <c r="G1948" s="6" t="s">
        <v>44556</v>
      </c>
      <c r="H1948" s="6" t="s">
        <v>44557</v>
      </c>
      <c r="I1948" s="7">
        <f t="shared" si="3"/>
        <v>0.8159155506</v>
      </c>
    </row>
    <row r="1949">
      <c r="A1949" s="4">
        <v>1949.0</v>
      </c>
      <c r="B1949" s="3" t="s">
        <v>44558</v>
      </c>
      <c r="C1949" s="6" t="s">
        <v>24</v>
      </c>
      <c r="D1949" s="6" t="s">
        <v>5857</v>
      </c>
      <c r="E1949" s="3" t="str">
        <f t="shared" si="1"/>
        <v>evaluate&lt;br&gt;&lt;div class="audio"&gt;[sound:evaluate.mp3]&lt;/div&gt;</v>
      </c>
      <c r="F1949" s="3" t="str">
        <f t="shared" si="2"/>
        <v>(v): đánh giá</v>
      </c>
      <c r="G1949" s="6" t="s">
        <v>44559</v>
      </c>
      <c r="H1949" s="6" t="s">
        <v>44560</v>
      </c>
      <c r="I1949" s="7">
        <f t="shared" si="3"/>
        <v>0.8247549479</v>
      </c>
    </row>
    <row r="1950">
      <c r="A1950" s="4">
        <v>1950.0</v>
      </c>
      <c r="B1950" s="3" t="s">
        <v>44561</v>
      </c>
      <c r="C1950" s="6" t="s">
        <v>74</v>
      </c>
      <c r="D1950" s="6" t="s">
        <v>44562</v>
      </c>
      <c r="E1950" s="3" t="str">
        <f t="shared" si="1"/>
        <v>characteristic&lt;br&gt;&lt;div class="audio"&gt;[sound:characteristic.mp3]&lt;/div&gt;</v>
      </c>
      <c r="F1950" s="3" t="str">
        <f t="shared" si="2"/>
        <v>(n): đặc điểm</v>
      </c>
      <c r="G1950" s="6" t="s">
        <v>44563</v>
      </c>
      <c r="H1950" s="6" t="s">
        <v>44564</v>
      </c>
      <c r="I1950" s="7">
        <f t="shared" si="3"/>
        <v>0.939066564</v>
      </c>
    </row>
    <row r="1951">
      <c r="A1951" s="4">
        <v>1951.0</v>
      </c>
      <c r="B1951" s="3" t="s">
        <v>44565</v>
      </c>
      <c r="C1951" s="6" t="s">
        <v>11</v>
      </c>
      <c r="D1951" s="6" t="s">
        <v>5841</v>
      </c>
      <c r="E1951" s="3" t="str">
        <f t="shared" si="1"/>
        <v>angry&lt;br&gt;&lt;div class="audio"&gt;[sound:angry.mp3]&lt;/div&gt;</v>
      </c>
      <c r="F1951" s="3" t="str">
        <f t="shared" si="2"/>
        <v>(adj): tức giận</v>
      </c>
      <c r="G1951" s="6" t="s">
        <v>44566</v>
      </c>
      <c r="H1951" s="6" t="s">
        <v>44567</v>
      </c>
      <c r="I1951" s="7">
        <f t="shared" si="3"/>
        <v>0.06310560814</v>
      </c>
    </row>
    <row r="1952">
      <c r="A1952" s="4">
        <v>1952.0</v>
      </c>
      <c r="B1952" s="3" t="s">
        <v>44568</v>
      </c>
      <c r="C1952" s="6" t="s">
        <v>74</v>
      </c>
      <c r="D1952" s="6" t="s">
        <v>15211</v>
      </c>
      <c r="E1952" s="3" t="str">
        <f t="shared" si="1"/>
        <v>winter&lt;br&gt;&lt;div class="audio"&gt;[sound:winter.mp3]&lt;/div&gt;</v>
      </c>
      <c r="F1952" s="3" t="str">
        <f t="shared" si="2"/>
        <v>(n): mùa đông</v>
      </c>
      <c r="G1952" s="6" t="s">
        <v>44569</v>
      </c>
      <c r="H1952" s="6" t="s">
        <v>44570</v>
      </c>
      <c r="I1952" s="7">
        <f t="shared" si="3"/>
        <v>0.8712565836</v>
      </c>
    </row>
    <row r="1953">
      <c r="A1953" s="4">
        <v>1953.0</v>
      </c>
      <c r="B1953" s="3" t="s">
        <v>44571</v>
      </c>
      <c r="C1953" s="6" t="s">
        <v>63</v>
      </c>
      <c r="D1953" s="6" t="s">
        <v>44572</v>
      </c>
      <c r="E1953" s="3" t="str">
        <f t="shared" si="1"/>
        <v>concerning&lt;br&gt;&lt;div class="audio"&gt;[sound:concerning.mp3]&lt;/div&gt;</v>
      </c>
      <c r="F1953" s="3" t="str">
        <f t="shared" si="2"/>
        <v>(prep): về việc</v>
      </c>
      <c r="G1953" s="6" t="s">
        <v>44573</v>
      </c>
      <c r="H1953" s="6" t="s">
        <v>44574</v>
      </c>
      <c r="I1953" s="7">
        <f t="shared" si="3"/>
        <v>0.88584017</v>
      </c>
    </row>
    <row r="1954">
      <c r="A1954" s="4">
        <v>1954.0</v>
      </c>
      <c r="B1954" s="3" t="s">
        <v>44575</v>
      </c>
      <c r="C1954" s="6" t="s">
        <v>24</v>
      </c>
      <c r="D1954" s="6" t="s">
        <v>2119</v>
      </c>
      <c r="E1954" s="3" t="str">
        <f t="shared" si="1"/>
        <v>worry&lt;br&gt;&lt;div class="audio"&gt;[sound:worry.mp3]&lt;/div&gt;</v>
      </c>
      <c r="F1954" s="3" t="str">
        <f t="shared" si="2"/>
        <v>(v): lo lắng</v>
      </c>
      <c r="G1954" s="6" t="s">
        <v>44576</v>
      </c>
      <c r="H1954" s="6" t="s">
        <v>44577</v>
      </c>
      <c r="I1954" s="7">
        <f t="shared" si="3"/>
        <v>0.5874926682</v>
      </c>
    </row>
    <row r="1955">
      <c r="A1955" s="4">
        <v>1955.0</v>
      </c>
      <c r="B1955" s="3" t="s">
        <v>44578</v>
      </c>
      <c r="C1955" s="6" t="s">
        <v>74</v>
      </c>
      <c r="D1955" s="6" t="s">
        <v>12044</v>
      </c>
      <c r="E1955" s="3" t="str">
        <f t="shared" si="1"/>
        <v>cheese&lt;br&gt;&lt;div class="audio"&gt;[sound:cheese.mp3]&lt;/div&gt;</v>
      </c>
      <c r="F1955" s="3" t="str">
        <f t="shared" si="2"/>
        <v>(n): phô mai</v>
      </c>
      <c r="G1955" s="6" t="s">
        <v>44579</v>
      </c>
      <c r="H1955" s="6" t="s">
        <v>44580</v>
      </c>
      <c r="I1955" s="7">
        <f t="shared" si="3"/>
        <v>0.8271406998</v>
      </c>
    </row>
    <row r="1956">
      <c r="A1956" s="4">
        <v>1956.0</v>
      </c>
      <c r="B1956" s="3" t="s">
        <v>44581</v>
      </c>
      <c r="C1956" s="6" t="s">
        <v>11</v>
      </c>
      <c r="D1956" s="6" t="s">
        <v>44582</v>
      </c>
      <c r="E1956" s="3" t="str">
        <f t="shared" si="1"/>
        <v>conservative&lt;br&gt;&lt;div class="audio"&gt;[sound:conservative.mp3]&lt;/div&gt;</v>
      </c>
      <c r="F1956" s="3" t="str">
        <f t="shared" si="2"/>
        <v>(adj): bảo thủ</v>
      </c>
      <c r="G1956" s="6" t="s">
        <v>44583</v>
      </c>
      <c r="H1956" s="6" t="s">
        <v>44584</v>
      </c>
      <c r="I1956" s="7">
        <f t="shared" si="3"/>
        <v>0.7776912331</v>
      </c>
    </row>
    <row r="1957">
      <c r="A1957" s="4">
        <v>1957.0</v>
      </c>
      <c r="B1957" s="3" t="s">
        <v>44585</v>
      </c>
      <c r="C1957" s="6" t="s">
        <v>11</v>
      </c>
      <c r="D1957" s="6" t="s">
        <v>35563</v>
      </c>
      <c r="E1957" s="3" t="str">
        <f t="shared" si="1"/>
        <v>confused&lt;br&gt;&lt;div class="audio"&gt;[sound:confused.mp3]&lt;/div&gt;</v>
      </c>
      <c r="F1957" s="3" t="str">
        <f t="shared" si="2"/>
        <v>(adj): bối rối</v>
      </c>
      <c r="G1957" s="6" t="s">
        <v>44586</v>
      </c>
      <c r="H1957" s="6" t="s">
        <v>44587</v>
      </c>
      <c r="I1957" s="7">
        <f t="shared" si="3"/>
        <v>0.7776481025</v>
      </c>
    </row>
    <row r="1958">
      <c r="A1958" s="4">
        <v>1958.0</v>
      </c>
      <c r="B1958" s="3" t="s">
        <v>44588</v>
      </c>
      <c r="C1958" s="6" t="s">
        <v>11</v>
      </c>
      <c r="D1958" s="6" t="s">
        <v>11124</v>
      </c>
      <c r="E1958" s="3" t="str">
        <f t="shared" si="1"/>
        <v>electronic&lt;br&gt;&lt;div class="audio"&gt;[sound:electronic.mp3]&lt;/div&gt;</v>
      </c>
      <c r="F1958" s="3" t="str">
        <f t="shared" si="2"/>
        <v>(adj): điện tử</v>
      </c>
      <c r="G1958" s="6" t="s">
        <v>44589</v>
      </c>
      <c r="H1958" s="6" t="s">
        <v>44590</v>
      </c>
      <c r="I1958" s="7">
        <f t="shared" si="3"/>
        <v>0.6891614401</v>
      </c>
    </row>
    <row r="1959">
      <c r="A1959" s="4">
        <v>1959.0</v>
      </c>
      <c r="B1959" s="3" t="s">
        <v>44591</v>
      </c>
      <c r="C1959" s="6" t="s">
        <v>24</v>
      </c>
      <c r="D1959" s="6" t="s">
        <v>3785</v>
      </c>
      <c r="E1959" s="3" t="str">
        <f t="shared" si="1"/>
        <v>recall&lt;br&gt;&lt;div class="audio"&gt;[sound:recall.mp3]&lt;/div&gt;</v>
      </c>
      <c r="F1959" s="3" t="str">
        <f t="shared" si="2"/>
        <v>(v): nhớ lại</v>
      </c>
      <c r="G1959" s="6" t="s">
        <v>44592</v>
      </c>
      <c r="H1959" s="6" t="s">
        <v>44593</v>
      </c>
      <c r="I1959" s="7">
        <f t="shared" si="3"/>
        <v>0.7004285138</v>
      </c>
    </row>
    <row r="1960">
      <c r="A1960" s="4">
        <v>1960.0</v>
      </c>
      <c r="B1960" s="3" t="s">
        <v>44594</v>
      </c>
      <c r="C1960" s="6" t="s">
        <v>11</v>
      </c>
      <c r="D1960" s="6" t="s">
        <v>2119</v>
      </c>
      <c r="E1960" s="3" t="str">
        <f t="shared" si="1"/>
        <v>nervous&lt;br&gt;&lt;div class="audio"&gt;[sound:nervous.mp3]&lt;/div&gt;</v>
      </c>
      <c r="F1960" s="3" t="str">
        <f t="shared" si="2"/>
        <v>(adj): lo lắng</v>
      </c>
      <c r="G1960" s="6" t="s">
        <v>44595</v>
      </c>
      <c r="H1960" s="6" t="s">
        <v>44596</v>
      </c>
      <c r="I1960" s="7">
        <f t="shared" si="3"/>
        <v>0.4718259236</v>
      </c>
    </row>
    <row r="1961">
      <c r="A1961" s="4">
        <v>1961.0</v>
      </c>
      <c r="B1961" s="3" t="s">
        <v>44597</v>
      </c>
      <c r="C1961" s="6" t="s">
        <v>24</v>
      </c>
      <c r="D1961" s="6" t="s">
        <v>44598</v>
      </c>
      <c r="E1961" s="3" t="str">
        <f t="shared" si="1"/>
        <v>intend&lt;br&gt;&lt;div class="audio"&gt;[sound:intend.mp3]&lt;/div&gt;</v>
      </c>
      <c r="F1961" s="3" t="str">
        <f t="shared" si="2"/>
        <v>(v): dự định</v>
      </c>
      <c r="G1961" s="6" t="s">
        <v>44599</v>
      </c>
      <c r="H1961" s="6" t="s">
        <v>44600</v>
      </c>
      <c r="I1961" s="7">
        <f t="shared" si="3"/>
        <v>0.6113845021</v>
      </c>
    </row>
    <row r="1962">
      <c r="A1962" s="4">
        <v>1962.0</v>
      </c>
      <c r="B1962" s="3" t="s">
        <v>44601</v>
      </c>
      <c r="C1962" s="6" t="s">
        <v>74</v>
      </c>
      <c r="D1962" s="6" t="s">
        <v>44602</v>
      </c>
      <c r="E1962" s="3" t="str">
        <f t="shared" si="1"/>
        <v>football&lt;br&gt;&lt;div class="audio"&gt;[sound:football.mp3]&lt;/div&gt;</v>
      </c>
      <c r="F1962" s="3" t="str">
        <f t="shared" si="2"/>
        <v>(n): bóng đá</v>
      </c>
      <c r="G1962" s="6" t="s">
        <v>44603</v>
      </c>
      <c r="H1962" s="6" t="s">
        <v>44604</v>
      </c>
      <c r="I1962" s="7">
        <f t="shared" si="3"/>
        <v>0.4881746644</v>
      </c>
    </row>
    <row r="1963">
      <c r="A1963" s="4">
        <v>1963.0</v>
      </c>
      <c r="B1963" s="3" t="s">
        <v>44605</v>
      </c>
      <c r="C1963" s="6" t="s">
        <v>11</v>
      </c>
      <c r="D1963" s="6" t="s">
        <v>6082</v>
      </c>
      <c r="E1963" s="3" t="str">
        <f t="shared" si="1"/>
        <v>permanent&lt;br&gt;&lt;div class="audio"&gt;[sound:permanent.mp3]&lt;/div&gt;</v>
      </c>
      <c r="F1963" s="3" t="str">
        <f t="shared" si="2"/>
        <v>(adj): lâu dài</v>
      </c>
      <c r="G1963" s="6" t="s">
        <v>44606</v>
      </c>
      <c r="H1963" s="6" t="s">
        <v>44607</v>
      </c>
      <c r="I1963" s="7">
        <f t="shared" si="3"/>
        <v>0.5417546979</v>
      </c>
    </row>
    <row r="1964">
      <c r="A1964" s="4">
        <v>1964.0</v>
      </c>
      <c r="B1964" s="3" t="s">
        <v>44608</v>
      </c>
      <c r="C1964" s="6" t="s">
        <v>24</v>
      </c>
      <c r="D1964" s="6" t="s">
        <v>39823</v>
      </c>
      <c r="E1964" s="3" t="str">
        <f t="shared" si="1"/>
        <v>install&lt;br&gt;&lt;div class="audio"&gt;[sound:install.mp3]&lt;/div&gt;</v>
      </c>
      <c r="F1964" s="3" t="str">
        <f t="shared" si="2"/>
        <v>(v): cài đặt</v>
      </c>
      <c r="G1964" s="6" t="s">
        <v>44609</v>
      </c>
      <c r="H1964" s="6" t="s">
        <v>44610</v>
      </c>
      <c r="I1964" s="7">
        <f t="shared" si="3"/>
        <v>0.6066069515</v>
      </c>
    </row>
    <row r="1965">
      <c r="A1965" s="4">
        <v>1965.0</v>
      </c>
      <c r="B1965" s="3" t="s">
        <v>44611</v>
      </c>
      <c r="C1965" s="6" t="s">
        <v>74</v>
      </c>
      <c r="D1965" s="6" t="s">
        <v>14138</v>
      </c>
      <c r="E1965" s="3" t="str">
        <f t="shared" si="1"/>
        <v>chemistry&lt;br&gt;&lt;div class="audio"&gt;[sound:chemistry.mp3]&lt;/div&gt;</v>
      </c>
      <c r="F1965" s="3" t="str">
        <f t="shared" si="2"/>
        <v>(n): hóa học</v>
      </c>
      <c r="G1965" s="6" t="s">
        <v>44612</v>
      </c>
      <c r="H1965" s="6" t="s">
        <v>44613</v>
      </c>
      <c r="I1965" s="7">
        <f t="shared" si="3"/>
        <v>0.6984405214</v>
      </c>
    </row>
    <row r="1966">
      <c r="A1966" s="4">
        <v>1966.0</v>
      </c>
      <c r="B1966" s="3" t="s">
        <v>44614</v>
      </c>
      <c r="C1966" s="6" t="s">
        <v>11</v>
      </c>
      <c r="D1966" s="6" t="s">
        <v>6989</v>
      </c>
      <c r="E1966" s="3" t="str">
        <f t="shared" si="1"/>
        <v>considerable&lt;br&gt;&lt;div class="audio"&gt;[sound:considerable.mp3]&lt;/div&gt;</v>
      </c>
      <c r="F1966" s="3" t="str">
        <f t="shared" si="2"/>
        <v>(adj): đáng kể</v>
      </c>
      <c r="G1966" s="6" t="s">
        <v>44615</v>
      </c>
      <c r="H1966" s="6" t="s">
        <v>44616</v>
      </c>
      <c r="I1966" s="7">
        <f t="shared" si="3"/>
        <v>0.9238981543</v>
      </c>
    </row>
    <row r="1967">
      <c r="A1967" s="4">
        <v>1967.0</v>
      </c>
      <c r="B1967" s="3" t="s">
        <v>44617</v>
      </c>
      <c r="C1967" s="6" t="s">
        <v>74</v>
      </c>
      <c r="D1967" s="6" t="s">
        <v>44618</v>
      </c>
      <c r="E1967" s="3" t="str">
        <f t="shared" si="1"/>
        <v>honour&lt;br&gt;&lt;div class="audio"&gt;[sound:honour.mp3]&lt;/div&gt;</v>
      </c>
      <c r="F1967" s="3" t="str">
        <f t="shared" si="2"/>
        <v>(n): vinh dự</v>
      </c>
      <c r="G1967" s="6" t="s">
        <v>44619</v>
      </c>
      <c r="H1967" s="6" t="s">
        <v>44620</v>
      </c>
      <c r="I1967" s="7">
        <f t="shared" si="3"/>
        <v>0.211594888</v>
      </c>
    </row>
    <row r="1968">
      <c r="A1968" s="4">
        <v>1968.0</v>
      </c>
      <c r="B1968" s="3" t="s">
        <v>44621</v>
      </c>
      <c r="C1968" s="6" t="s">
        <v>11</v>
      </c>
      <c r="D1968" s="6" t="s">
        <v>44622</v>
      </c>
      <c r="E1968" s="3" t="str">
        <f t="shared" si="1"/>
        <v>bold&lt;br&gt;&lt;div class="audio"&gt;[sound:bold.mp3]&lt;/div&gt;</v>
      </c>
      <c r="F1968" s="3" t="str">
        <f t="shared" si="2"/>
        <v>(adj): táo bạo</v>
      </c>
      <c r="G1968" s="6" t="s">
        <v>44623</v>
      </c>
      <c r="H1968" s="6" t="s">
        <v>44624</v>
      </c>
      <c r="I1968" s="7">
        <f t="shared" si="3"/>
        <v>0.2586664586</v>
      </c>
    </row>
    <row r="1969">
      <c r="A1969" s="4">
        <v>1969.0</v>
      </c>
      <c r="B1969" s="3" t="s">
        <v>44625</v>
      </c>
      <c r="C1969" s="6" t="s">
        <v>74</v>
      </c>
      <c r="D1969" s="6" t="s">
        <v>44626</v>
      </c>
      <c r="E1969" s="3" t="str">
        <f t="shared" si="1"/>
        <v>cloud&lt;br&gt;&lt;div class="audio"&gt;[sound:cloud.mp3]&lt;/div&gt;</v>
      </c>
      <c r="F1969" s="3" t="str">
        <f t="shared" si="2"/>
        <v>(n): đám mây</v>
      </c>
      <c r="G1969" s="6" t="s">
        <v>44627</v>
      </c>
      <c r="H1969" s="6" t="s">
        <v>44628</v>
      </c>
      <c r="I1969" s="7">
        <f t="shared" si="3"/>
        <v>0.06464454477</v>
      </c>
    </row>
    <row r="1970">
      <c r="A1970" s="4">
        <v>1970.0</v>
      </c>
      <c r="B1970" s="3" t="s">
        <v>44629</v>
      </c>
      <c r="C1970" s="6" t="s">
        <v>24</v>
      </c>
      <c r="D1970" s="6" t="s">
        <v>16649</v>
      </c>
      <c r="E1970" s="3" t="str">
        <f t="shared" si="1"/>
        <v>arrange&lt;br&gt;&lt;div class="audio"&gt;[sound:arrange.mp3]&lt;/div&gt;</v>
      </c>
      <c r="F1970" s="3" t="str">
        <f t="shared" si="2"/>
        <v>(v): sắp xếp</v>
      </c>
      <c r="G1970" s="6" t="s">
        <v>44630</v>
      </c>
      <c r="H1970" s="6" t="s">
        <v>44631</v>
      </c>
      <c r="I1970" s="7">
        <f t="shared" si="3"/>
        <v>0.04966327759</v>
      </c>
    </row>
    <row r="1971">
      <c r="A1971" s="4">
        <v>1971.0</v>
      </c>
      <c r="B1971" s="3" t="s">
        <v>44632</v>
      </c>
      <c r="C1971" s="6" t="s">
        <v>74</v>
      </c>
      <c r="D1971" s="6" t="s">
        <v>44633</v>
      </c>
      <c r="E1971" s="3" t="str">
        <f t="shared" si="1"/>
        <v>input&lt;br&gt;&lt;div class="audio"&gt;[sound:input.mp3]&lt;/div&gt;</v>
      </c>
      <c r="F1971" s="3" t="str">
        <f t="shared" si="2"/>
        <v>(n): đầu vào</v>
      </c>
      <c r="G1971" s="6" t="s">
        <v>44634</v>
      </c>
      <c r="H1971" s="6" t="s">
        <v>44635</v>
      </c>
      <c r="I1971" s="7">
        <f t="shared" si="3"/>
        <v>0.8492702011</v>
      </c>
    </row>
    <row r="1972">
      <c r="A1972" s="4">
        <v>1972.0</v>
      </c>
      <c r="B1972" s="3" t="s">
        <v>44636</v>
      </c>
      <c r="C1972" s="6" t="s">
        <v>11</v>
      </c>
      <c r="D1972" s="8" t="s">
        <v>20527</v>
      </c>
      <c r="E1972" s="3" t="str">
        <f t="shared" si="1"/>
        <v>silent&lt;br&gt;&lt;div class="audio"&gt;[sound:silent.mp3]&lt;/div&gt;</v>
      </c>
      <c r="F1972" s="3" t="str">
        <f t="shared" si="2"/>
        <v>(adj): im lặng</v>
      </c>
      <c r="G1972" s="8" t="s">
        <v>44637</v>
      </c>
      <c r="H1972" s="8" t="s">
        <v>44638</v>
      </c>
      <c r="I1972" s="7">
        <f t="shared" si="3"/>
        <v>0.4853586812</v>
      </c>
    </row>
    <row r="1973">
      <c r="A1973" s="4">
        <v>1973.0</v>
      </c>
      <c r="B1973" s="3" t="s">
        <v>44639</v>
      </c>
      <c r="C1973" s="6" t="s">
        <v>24</v>
      </c>
      <c r="D1973" s="6" t="s">
        <v>18484</v>
      </c>
      <c r="E1973" s="3" t="str">
        <f t="shared" si="1"/>
        <v>register&lt;br&gt;&lt;div class="audio"&gt;[sound:register.mp3]&lt;/div&gt;</v>
      </c>
      <c r="F1973" s="3" t="str">
        <f t="shared" si="2"/>
        <v>(v): đăng ký</v>
      </c>
      <c r="G1973" s="6" t="s">
        <v>44640</v>
      </c>
      <c r="H1973" s="6" t="s">
        <v>44641</v>
      </c>
      <c r="I1973" s="7">
        <f t="shared" si="3"/>
        <v>0.3895295186</v>
      </c>
    </row>
    <row r="1974">
      <c r="A1974" s="4">
        <v>1974.0</v>
      </c>
      <c r="B1974" s="3" t="s">
        <v>44642</v>
      </c>
      <c r="C1974" s="6" t="s">
        <v>24</v>
      </c>
      <c r="D1974" s="6" t="s">
        <v>8088</v>
      </c>
      <c r="E1974" s="3" t="str">
        <f t="shared" si="1"/>
        <v>repeat&lt;br&gt;&lt;div class="audio"&gt;[sound:repeat.mp3]&lt;/div&gt;</v>
      </c>
      <c r="F1974" s="3" t="str">
        <f t="shared" si="2"/>
        <v>(v): lặp lại</v>
      </c>
      <c r="G1974" s="6" t="s">
        <v>44643</v>
      </c>
      <c r="H1974" s="6" t="s">
        <v>44644</v>
      </c>
      <c r="I1974" s="7">
        <f t="shared" si="3"/>
        <v>0.1176415631</v>
      </c>
    </row>
    <row r="1975">
      <c r="A1975" s="4">
        <v>1975.0</v>
      </c>
      <c r="B1975" s="3" t="s">
        <v>44645</v>
      </c>
      <c r="C1975" s="6" t="s">
        <v>74</v>
      </c>
      <c r="D1975" s="6" t="s">
        <v>20994</v>
      </c>
      <c r="E1975" s="3" t="str">
        <f t="shared" si="1"/>
        <v>application&lt;br&gt;&lt;div class="audio"&gt;[sound:application.mp3]&lt;/div&gt;</v>
      </c>
      <c r="F1975" s="3" t="str">
        <f t="shared" si="2"/>
        <v>(n): đơn xin</v>
      </c>
      <c r="G1975" s="6" t="s">
        <v>44646</v>
      </c>
      <c r="H1975" s="6" t="s">
        <v>44647</v>
      </c>
      <c r="I1975" s="7">
        <f t="shared" si="3"/>
        <v>0.5010978906</v>
      </c>
    </row>
    <row r="1976">
      <c r="A1976" s="4">
        <v>1976.0</v>
      </c>
      <c r="B1976" s="3" t="s">
        <v>44648</v>
      </c>
      <c r="C1976" s="6" t="s">
        <v>24</v>
      </c>
      <c r="D1976" s="6" t="s">
        <v>1627</v>
      </c>
      <c r="E1976" s="3" t="str">
        <f t="shared" si="1"/>
        <v>reply&lt;br&gt;&lt;div class="audio"&gt;[sound:reply.mp3]&lt;/div&gt;</v>
      </c>
      <c r="F1976" s="3" t="str">
        <f t="shared" si="2"/>
        <v>(v): trả lời</v>
      </c>
      <c r="G1976" s="6" t="s">
        <v>44649</v>
      </c>
      <c r="H1976" s="6" t="s">
        <v>44650</v>
      </c>
      <c r="I1976" s="7">
        <f t="shared" si="3"/>
        <v>0.2836412397</v>
      </c>
    </row>
    <row r="1977">
      <c r="A1977" s="4">
        <v>1977.0</v>
      </c>
      <c r="B1977" s="3" t="s">
        <v>44651</v>
      </c>
      <c r="C1977" s="6" t="s">
        <v>11</v>
      </c>
      <c r="D1977" s="8" t="s">
        <v>44652</v>
      </c>
      <c r="E1977" s="3" t="str">
        <f t="shared" si="1"/>
        <v>steady&lt;br&gt;&lt;div class="audio"&gt;[sound:steady.mp3]&lt;/div&gt;</v>
      </c>
      <c r="F1977" s="3" t="str">
        <f t="shared" si="2"/>
        <v>(adj): đều đặn</v>
      </c>
      <c r="G1977" s="8" t="s">
        <v>44653</v>
      </c>
      <c r="H1977" s="8" t="s">
        <v>44654</v>
      </c>
      <c r="I1977" s="7">
        <f t="shared" si="3"/>
        <v>0.8624675789</v>
      </c>
    </row>
    <row r="1978">
      <c r="A1978" s="4">
        <v>1978.0</v>
      </c>
      <c r="B1978" s="3" t="s">
        <v>44655</v>
      </c>
      <c r="C1978" s="6" t="s">
        <v>74</v>
      </c>
      <c r="D1978" s="6" t="s">
        <v>14734</v>
      </c>
      <c r="E1978" s="3" t="str">
        <f t="shared" si="1"/>
        <v>writer&lt;br&gt;&lt;div class="audio"&gt;[sound:writer.mp3]&lt;/div&gt;</v>
      </c>
      <c r="F1978" s="3" t="str">
        <f t="shared" si="2"/>
        <v>(n): nhà văn</v>
      </c>
      <c r="G1978" s="6" t="s">
        <v>44656</v>
      </c>
      <c r="H1978" s="6" t="s">
        <v>44657</v>
      </c>
      <c r="I1978" s="7">
        <f t="shared" si="3"/>
        <v>0.1149568779</v>
      </c>
    </row>
    <row r="1979">
      <c r="A1979" s="4">
        <v>1979.0</v>
      </c>
      <c r="B1979" s="3" t="s">
        <v>44658</v>
      </c>
      <c r="C1979" s="6" t="s">
        <v>11</v>
      </c>
      <c r="D1979" s="6" t="s">
        <v>13180</v>
      </c>
      <c r="E1979" s="3" t="str">
        <f t="shared" si="1"/>
        <v>classical&lt;br&gt;&lt;div class="audio"&gt;[sound:classical.mp3]&lt;/div&gt;</v>
      </c>
      <c r="F1979" s="3" t="str">
        <f t="shared" si="2"/>
        <v>(adj): cổ điển</v>
      </c>
      <c r="G1979" s="6" t="s">
        <v>44659</v>
      </c>
      <c r="H1979" s="6" t="s">
        <v>44660</v>
      </c>
      <c r="I1979" s="7">
        <f t="shared" si="3"/>
        <v>0.2969552651</v>
      </c>
    </row>
    <row r="1980">
      <c r="A1980" s="4">
        <v>1980.0</v>
      </c>
      <c r="B1980" s="3" t="s">
        <v>44661</v>
      </c>
      <c r="C1980" s="6" t="s">
        <v>74</v>
      </c>
      <c r="D1980" s="6" t="s">
        <v>44662</v>
      </c>
      <c r="E1980" s="3" t="str">
        <f t="shared" si="1"/>
        <v>joke&lt;br&gt;&lt;div class="audio"&gt;[sound:joke.mp3]&lt;/div&gt;</v>
      </c>
      <c r="F1980" s="3" t="str">
        <f t="shared" si="2"/>
        <v>(n): trò đùa</v>
      </c>
      <c r="G1980" s="6" t="s">
        <v>44663</v>
      </c>
      <c r="H1980" s="6" t="s">
        <v>44664</v>
      </c>
      <c r="I1980" s="7">
        <f t="shared" si="3"/>
        <v>0.07033879897</v>
      </c>
    </row>
    <row r="1981">
      <c r="A1981" s="4">
        <v>1981.0</v>
      </c>
      <c r="B1981" s="3" t="s">
        <v>44665</v>
      </c>
      <c r="C1981" s="6" t="s">
        <v>11</v>
      </c>
      <c r="D1981" s="6" t="s">
        <v>44666</v>
      </c>
      <c r="E1981" s="3" t="str">
        <f t="shared" si="1"/>
        <v>located&lt;br&gt;&lt;div class="audio"&gt;[sound:located.mp3]&lt;/div&gt;</v>
      </c>
      <c r="F1981" s="3" t="str">
        <f t="shared" si="2"/>
        <v>(adj): nằm tại</v>
      </c>
      <c r="G1981" s="6" t="s">
        <v>44667</v>
      </c>
      <c r="H1981" s="6" t="s">
        <v>44668</v>
      </c>
      <c r="I1981" s="7">
        <f t="shared" si="3"/>
        <v>0.5227188818</v>
      </c>
    </row>
    <row r="1982">
      <c r="A1982" s="4">
        <v>1982.0</v>
      </c>
      <c r="B1982" s="3" t="s">
        <v>44669</v>
      </c>
      <c r="C1982" s="6" t="s">
        <v>74</v>
      </c>
      <c r="D1982" s="6" t="s">
        <v>10492</v>
      </c>
      <c r="E1982" s="3" t="str">
        <f t="shared" si="1"/>
        <v>plane&lt;br&gt;&lt;div class="audio"&gt;[sound:plane.mp3]&lt;/div&gt;</v>
      </c>
      <c r="F1982" s="3" t="str">
        <f t="shared" si="2"/>
        <v>(n): máy bay</v>
      </c>
      <c r="G1982" s="6" t="s">
        <v>44670</v>
      </c>
      <c r="H1982" s="6" t="s">
        <v>44671</v>
      </c>
      <c r="I1982" s="7">
        <f t="shared" si="3"/>
        <v>0.9316078476</v>
      </c>
    </row>
    <row r="1983">
      <c r="A1983" s="4">
        <v>1983.0</v>
      </c>
      <c r="B1983" s="3" t="s">
        <v>44672</v>
      </c>
      <c r="C1983" s="6" t="s">
        <v>74</v>
      </c>
      <c r="D1983" s="6" t="s">
        <v>44673</v>
      </c>
      <c r="E1983" s="3" t="str">
        <f t="shared" si="1"/>
        <v>prisoner&lt;br&gt;&lt;div class="audio"&gt;[sound:prisoner.mp3]&lt;/div&gt;</v>
      </c>
      <c r="F1983" s="3" t="str">
        <f t="shared" si="2"/>
        <v>(n): tù nhân</v>
      </c>
      <c r="G1983" s="6" t="s">
        <v>44674</v>
      </c>
      <c r="H1983" s="6" t="s">
        <v>44675</v>
      </c>
      <c r="I1983" s="7">
        <f t="shared" si="3"/>
        <v>0.4009952783</v>
      </c>
    </row>
    <row r="1984">
      <c r="A1984" s="4">
        <v>1984.0</v>
      </c>
      <c r="B1984" s="3" t="s">
        <v>44676</v>
      </c>
      <c r="C1984" s="6" t="s">
        <v>74</v>
      </c>
      <c r="D1984" s="6" t="s">
        <v>13490</v>
      </c>
      <c r="E1984" s="3" t="str">
        <f t="shared" si="1"/>
        <v>professor&lt;br&gt;&lt;div class="audio"&gt;[sound:professor.mp3]&lt;/div&gt;</v>
      </c>
      <c r="F1984" s="3" t="str">
        <f t="shared" si="2"/>
        <v>(n): giáo sư</v>
      </c>
      <c r="G1984" s="6" t="s">
        <v>44677</v>
      </c>
      <c r="H1984" s="6" t="s">
        <v>44678</v>
      </c>
      <c r="I1984" s="7">
        <f t="shared" si="3"/>
        <v>0.2769590778</v>
      </c>
    </row>
    <row r="1985">
      <c r="A1985" s="4">
        <v>1985.0</v>
      </c>
      <c r="B1985" s="3" t="s">
        <v>44679</v>
      </c>
      <c r="C1985" s="6" t="s">
        <v>74</v>
      </c>
      <c r="D1985" s="6" t="s">
        <v>14912</v>
      </c>
      <c r="E1985" s="3" t="str">
        <f t="shared" si="1"/>
        <v>roof&lt;br&gt;&lt;div class="audio"&gt;[sound:roof.mp3]&lt;/div&gt;</v>
      </c>
      <c r="F1985" s="3" t="str">
        <f t="shared" si="2"/>
        <v>(n): mái nhà</v>
      </c>
      <c r="G1985" s="6" t="s">
        <v>44680</v>
      </c>
      <c r="H1985" s="6" t="s">
        <v>44681</v>
      </c>
      <c r="I1985" s="7">
        <f t="shared" si="3"/>
        <v>0.8818873994</v>
      </c>
    </row>
    <row r="1986">
      <c r="A1986" s="4">
        <v>1986.0</v>
      </c>
      <c r="B1986" s="3" t="s">
        <v>44682</v>
      </c>
      <c r="C1986" s="6" t="s">
        <v>11</v>
      </c>
      <c r="D1986" s="8" t="s">
        <v>26052</v>
      </c>
      <c r="E1986" s="3" t="str">
        <f t="shared" si="1"/>
        <v>sophisticated&lt;br&gt;&lt;div class="audio"&gt;[sound:sophisticated.mp3]&lt;/div&gt;</v>
      </c>
      <c r="F1986" s="3" t="str">
        <f t="shared" si="2"/>
        <v>(adj): tinh vi</v>
      </c>
      <c r="G1986" s="8" t="s">
        <v>44683</v>
      </c>
      <c r="H1986" s="8" t="s">
        <v>44684</v>
      </c>
      <c r="I1986" s="7">
        <f t="shared" si="3"/>
        <v>0.1425307897</v>
      </c>
    </row>
    <row r="1987">
      <c r="A1987" s="4">
        <v>1987.0</v>
      </c>
      <c r="B1987" s="3" t="s">
        <v>44685</v>
      </c>
      <c r="C1987" s="6" t="s">
        <v>11</v>
      </c>
      <c r="D1987" s="6" t="s">
        <v>44686</v>
      </c>
      <c r="E1987" s="3" t="str">
        <f t="shared" si="1"/>
        <v>hidden&lt;br&gt;&lt;div class="audio"&gt;[sound:hidden.mp3]&lt;/div&gt;</v>
      </c>
      <c r="F1987" s="3" t="str">
        <f t="shared" si="2"/>
        <v>(adj): ẩn giấu</v>
      </c>
      <c r="G1987" s="6" t="s">
        <v>44687</v>
      </c>
      <c r="H1987" s="6" t="s">
        <v>44688</v>
      </c>
      <c r="I1987" s="7">
        <f t="shared" si="3"/>
        <v>0.6468229573</v>
      </c>
    </row>
    <row r="1988">
      <c r="A1988" s="4">
        <v>1988.0</v>
      </c>
      <c r="B1988" s="3" t="s">
        <v>44689</v>
      </c>
      <c r="C1988" s="6" t="s">
        <v>74</v>
      </c>
      <c r="D1988" s="6" t="s">
        <v>29546</v>
      </c>
      <c r="E1988" s="3" t="str">
        <f t="shared" si="1"/>
        <v>wheel&lt;br&gt;&lt;div class="audio"&gt;[sound:wheel.mp3]&lt;/div&gt;</v>
      </c>
      <c r="F1988" s="3" t="str">
        <f t="shared" si="2"/>
        <v>(n): bánh xe</v>
      </c>
      <c r="G1988" s="6" t="s">
        <v>44690</v>
      </c>
      <c r="H1988" s="6" t="s">
        <v>44691</v>
      </c>
      <c r="I1988" s="7">
        <f t="shared" si="3"/>
        <v>0.03211461177</v>
      </c>
    </row>
    <row r="1989">
      <c r="A1989" s="4">
        <v>1989.0</v>
      </c>
      <c r="B1989" s="3" t="s">
        <v>44692</v>
      </c>
      <c r="C1989" s="6" t="s">
        <v>11</v>
      </c>
      <c r="D1989" s="6" t="s">
        <v>26004</v>
      </c>
      <c r="E1989" s="3" t="str">
        <f t="shared" si="1"/>
        <v>grand&lt;br&gt;&lt;div class="audio"&gt;[sound:grand.mp3]&lt;/div&gt;</v>
      </c>
      <c r="F1989" s="3" t="str">
        <f t="shared" si="2"/>
        <v>(adj): hùng vĩ</v>
      </c>
      <c r="G1989" s="6" t="s">
        <v>44693</v>
      </c>
      <c r="H1989" s="6" t="s">
        <v>44694</v>
      </c>
      <c r="I1989" s="7">
        <f t="shared" si="3"/>
        <v>0.01497121688</v>
      </c>
    </row>
    <row r="1990">
      <c r="A1990" s="4">
        <v>1990.0</v>
      </c>
      <c r="B1990" s="3" t="s">
        <v>44695</v>
      </c>
      <c r="C1990" s="6" t="s">
        <v>74</v>
      </c>
      <c r="D1990" s="6" t="s">
        <v>27236</v>
      </c>
      <c r="E1990" s="3" t="str">
        <f t="shared" si="1"/>
        <v>coal&lt;br&gt;&lt;div class="audio"&gt;[sound:coal.mp3]&lt;/div&gt;</v>
      </c>
      <c r="F1990" s="3" t="str">
        <f t="shared" si="2"/>
        <v>(n): than đá</v>
      </c>
      <c r="G1990" s="6" t="s">
        <v>44696</v>
      </c>
      <c r="H1990" s="6" t="s">
        <v>44697</v>
      </c>
      <c r="I1990" s="7">
        <f t="shared" si="3"/>
        <v>0.5941412218</v>
      </c>
    </row>
    <row r="1991">
      <c r="A1991" s="4">
        <v>1991.0</v>
      </c>
      <c r="B1991" s="3" t="s">
        <v>44698</v>
      </c>
      <c r="C1991" s="6" t="s">
        <v>24</v>
      </c>
      <c r="D1991" s="6" t="s">
        <v>7398</v>
      </c>
      <c r="E1991" s="3" t="str">
        <f t="shared" si="1"/>
        <v>reject&lt;br&gt;&lt;div class="audio"&gt;[sound:reject.mp3]&lt;/div&gt;</v>
      </c>
      <c r="F1991" s="3" t="str">
        <f t="shared" si="2"/>
        <v>(v): từ chối</v>
      </c>
      <c r="G1991" s="6" t="s">
        <v>44699</v>
      </c>
      <c r="H1991" s="6" t="s">
        <v>44700</v>
      </c>
      <c r="I1991" s="7">
        <f t="shared" si="3"/>
        <v>0.1082614775</v>
      </c>
    </row>
    <row r="1992">
      <c r="A1992" s="4">
        <v>1992.0</v>
      </c>
      <c r="B1992" s="3" t="s">
        <v>44701</v>
      </c>
      <c r="C1992" s="6" t="s">
        <v>24</v>
      </c>
      <c r="D1992" s="6" t="s">
        <v>1597</v>
      </c>
      <c r="E1992" s="3" t="str">
        <f t="shared" si="1"/>
        <v>marry&lt;br&gt;&lt;div class="audio"&gt;[sound:marry.mp3]&lt;/div&gt;</v>
      </c>
      <c r="F1992" s="3" t="str">
        <f t="shared" si="2"/>
        <v>(v): kết hôn</v>
      </c>
      <c r="G1992" s="6" t="s">
        <v>44702</v>
      </c>
      <c r="H1992" s="6" t="s">
        <v>44703</v>
      </c>
      <c r="I1992" s="7">
        <f t="shared" si="3"/>
        <v>0.1907354787</v>
      </c>
    </row>
    <row r="1993">
      <c r="A1993" s="4">
        <v>1993.0</v>
      </c>
      <c r="B1993" s="3" t="s">
        <v>44704</v>
      </c>
      <c r="C1993" s="6" t="s">
        <v>74</v>
      </c>
      <c r="D1993" s="6" t="s">
        <v>13372</v>
      </c>
      <c r="E1993" s="3" t="str">
        <f t="shared" si="1"/>
        <v>violence&lt;br&gt;&lt;div class="audio"&gt;[sound:violence.mp3]&lt;/div&gt;</v>
      </c>
      <c r="F1993" s="3" t="str">
        <f t="shared" si="2"/>
        <v>(n): bạo lực</v>
      </c>
      <c r="G1993" s="6" t="s">
        <v>44705</v>
      </c>
      <c r="H1993" s="6" t="s">
        <v>44706</v>
      </c>
      <c r="I1993" s="7">
        <f t="shared" si="3"/>
        <v>0.8501404601</v>
      </c>
    </row>
    <row r="1994">
      <c r="A1994" s="4">
        <v>1994.0</v>
      </c>
      <c r="B1994" s="3" t="s">
        <v>44707</v>
      </c>
      <c r="C1994" s="6" t="s">
        <v>11</v>
      </c>
      <c r="D1994" s="6" t="s">
        <v>23049</v>
      </c>
      <c r="E1994" s="3" t="str">
        <f t="shared" si="1"/>
        <v>helpful&lt;br&gt;&lt;div class="audio"&gt;[sound:helpful.mp3]&lt;/div&gt;</v>
      </c>
      <c r="F1994" s="3" t="str">
        <f t="shared" si="2"/>
        <v>(adj): hữu ích</v>
      </c>
      <c r="G1994" s="6" t="s">
        <v>44708</v>
      </c>
      <c r="H1994" s="6" t="s">
        <v>44709</v>
      </c>
      <c r="I1994" s="7">
        <f t="shared" si="3"/>
        <v>0.5999501018</v>
      </c>
    </row>
    <row r="1995">
      <c r="A1995" s="4">
        <v>1995.0</v>
      </c>
      <c r="B1995" s="3" t="s">
        <v>44710</v>
      </c>
      <c r="C1995" s="6" t="s">
        <v>74</v>
      </c>
      <c r="D1995" s="6" t="s">
        <v>4920</v>
      </c>
      <c r="E1995" s="3" t="str">
        <f t="shared" si="1"/>
        <v>friday&lt;br&gt;&lt;div class="audio"&gt;[sound:friday.mp3]&lt;/div&gt;</v>
      </c>
      <c r="F1995" s="3" t="str">
        <f t="shared" si="2"/>
        <v>(n): thứ sáu</v>
      </c>
      <c r="G1995" s="6" t="s">
        <v>44711</v>
      </c>
      <c r="H1995" s="6" t="s">
        <v>44712</v>
      </c>
      <c r="I1995" s="7">
        <f t="shared" si="3"/>
        <v>0.8539075687</v>
      </c>
    </row>
    <row r="1996">
      <c r="A1996" s="4">
        <v>1996.0</v>
      </c>
      <c r="B1996" s="3" t="s">
        <v>44713</v>
      </c>
      <c r="C1996" s="6" t="s">
        <v>11</v>
      </c>
      <c r="D1996" s="6" t="s">
        <v>44714</v>
      </c>
      <c r="E1996" s="3" t="str">
        <f t="shared" si="1"/>
        <v>existing&lt;br&gt;&lt;div class="audio"&gt;[sound:existing.mp3]&lt;/div&gt;</v>
      </c>
      <c r="F1996" s="3" t="str">
        <f t="shared" si="2"/>
        <v>(adj): hiện có</v>
      </c>
      <c r="G1996" s="6" t="s">
        <v>44715</v>
      </c>
      <c r="H1996" s="6" t="s">
        <v>44716</v>
      </c>
      <c r="I1996" s="7">
        <f t="shared" si="3"/>
        <v>0.1616420778</v>
      </c>
    </row>
    <row r="1997">
      <c r="A1997" s="4">
        <v>1997.0</v>
      </c>
      <c r="B1997" s="3" t="s">
        <v>44717</v>
      </c>
      <c r="C1997" s="6" t="s">
        <v>63</v>
      </c>
      <c r="D1997" s="6" t="s">
        <v>39265</v>
      </c>
      <c r="E1997" s="3" t="str">
        <f t="shared" si="1"/>
        <v>till&lt;br&gt;&lt;div class="audio"&gt;[sound:till.mp3]&lt;/div&gt;</v>
      </c>
      <c r="F1997" s="3" t="str">
        <f t="shared" si="2"/>
        <v>(prep): cho đến</v>
      </c>
      <c r="G1997" s="6" t="s">
        <v>44718</v>
      </c>
      <c r="H1997" s="6" t="s">
        <v>44719</v>
      </c>
      <c r="I1997" s="7">
        <f t="shared" si="3"/>
        <v>0.08757111197</v>
      </c>
    </row>
    <row r="1998">
      <c r="A1998" s="4">
        <v>1998.0</v>
      </c>
      <c r="B1998" s="3" t="s">
        <v>44720</v>
      </c>
      <c r="C1998" s="6" t="s">
        <v>24</v>
      </c>
      <c r="D1998" s="6" t="s">
        <v>44721</v>
      </c>
      <c r="E1998" s="3" t="str">
        <f t="shared" si="1"/>
        <v>celebrate&lt;br&gt;&lt;div class="audio"&gt;[sound:celebrate.mp3]&lt;/div&gt;</v>
      </c>
      <c r="F1998" s="3" t="str">
        <f t="shared" si="2"/>
        <v>(v): ăn mừng</v>
      </c>
      <c r="G1998" s="6" t="s">
        <v>44722</v>
      </c>
      <c r="H1998" s="6" t="s">
        <v>44723</v>
      </c>
      <c r="I1998" s="7">
        <f t="shared" si="3"/>
        <v>0.5703582498</v>
      </c>
    </row>
    <row r="1999">
      <c r="A1999" s="4">
        <v>1999.0</v>
      </c>
      <c r="B1999" s="3" t="s">
        <v>44724</v>
      </c>
      <c r="C1999" s="6" t="s">
        <v>74</v>
      </c>
      <c r="D1999" s="6" t="s">
        <v>1320</v>
      </c>
      <c r="E1999" s="3" t="str">
        <f t="shared" si="1"/>
        <v>outcome&lt;br&gt;&lt;div class="audio"&gt;[sound:outcome.mp3]&lt;/div&gt;</v>
      </c>
      <c r="F1999" s="3" t="str">
        <f t="shared" si="2"/>
        <v>(n): kết quả</v>
      </c>
      <c r="G1999" s="6" t="s">
        <v>44725</v>
      </c>
      <c r="H1999" s="6" t="s">
        <v>44726</v>
      </c>
      <c r="I1999" s="7">
        <f t="shared" si="3"/>
        <v>0.7869958764</v>
      </c>
    </row>
    <row r="2000">
      <c r="A2000" s="4">
        <v>2000.0</v>
      </c>
      <c r="B2000" s="3" t="s">
        <v>44727</v>
      </c>
      <c r="C2000" s="6" t="s">
        <v>74</v>
      </c>
      <c r="D2000" s="8" t="s">
        <v>44602</v>
      </c>
      <c r="E2000" s="3" t="str">
        <f t="shared" si="1"/>
        <v>soccer&lt;br&gt;&lt;div class="audio"&gt;[sound:soccer.mp3]&lt;/div&gt;</v>
      </c>
      <c r="F2000" s="3" t="str">
        <f t="shared" si="2"/>
        <v>(n): bóng đá</v>
      </c>
      <c r="G2000" s="8" t="s">
        <v>44728</v>
      </c>
      <c r="H2000" s="8" t="s">
        <v>44729</v>
      </c>
      <c r="I2000" s="7">
        <f t="shared" si="3"/>
        <v>0.08367918043</v>
      </c>
    </row>
    <row r="2001">
      <c r="A2001" s="4">
        <v>2001.0</v>
      </c>
      <c r="B2001" s="3" t="s">
        <v>44730</v>
      </c>
      <c r="C2001" s="6" t="s">
        <v>74</v>
      </c>
      <c r="D2001" s="6" t="s">
        <v>3412</v>
      </c>
      <c r="E2001" s="3" t="str">
        <f t="shared" si="1"/>
        <v>saturday&lt;br&gt;&lt;div class="audio"&gt;[sound:saturday.mp3]&lt;/div&gt;</v>
      </c>
      <c r="F2001" s="3" t="str">
        <f t="shared" si="2"/>
        <v>(n): thứ bảy</v>
      </c>
      <c r="G2001" s="6" t="s">
        <v>44731</v>
      </c>
      <c r="H2001" s="6" t="s">
        <v>44732</v>
      </c>
      <c r="I2001" s="7">
        <f t="shared" si="3"/>
        <v>0.03410864649</v>
      </c>
    </row>
    <row r="2002">
      <c r="A2002" s="4">
        <v>2002.0</v>
      </c>
      <c r="B2002" s="3" t="s">
        <v>44733</v>
      </c>
      <c r="C2002" s="6" t="s">
        <v>74</v>
      </c>
      <c r="D2002" s="6" t="s">
        <v>1296</v>
      </c>
      <c r="E2002" s="3" t="str">
        <f t="shared" si="1"/>
        <v>meaning&lt;br&gt;&lt;div class="audio"&gt;[sound:meaning.mp3]&lt;/div&gt;</v>
      </c>
      <c r="F2002" s="3" t="str">
        <f t="shared" si="2"/>
        <v>(n): ý nghĩa</v>
      </c>
      <c r="G2002" s="6" t="s">
        <v>44734</v>
      </c>
      <c r="H2002" s="6" t="s">
        <v>44735</v>
      </c>
      <c r="I2002" s="7">
        <f t="shared" si="3"/>
        <v>0.3284908661</v>
      </c>
    </row>
    <row r="2003">
      <c r="A2003" s="4">
        <v>2003.0</v>
      </c>
      <c r="B2003" s="3" t="s">
        <v>44736</v>
      </c>
      <c r="C2003" s="6" t="s">
        <v>74</v>
      </c>
      <c r="D2003" s="6" t="s">
        <v>44737</v>
      </c>
      <c r="E2003" s="3" t="str">
        <f t="shared" si="1"/>
        <v>index&lt;br&gt;&lt;div class="audio"&gt;[sound:index.mp3]&lt;/div&gt;</v>
      </c>
      <c r="F2003" s="3" t="str">
        <f t="shared" si="2"/>
        <v>(n): chỉ mục</v>
      </c>
      <c r="G2003" s="6" t="s">
        <v>44738</v>
      </c>
      <c r="H2003" s="6" t="s">
        <v>44739</v>
      </c>
      <c r="I2003" s="7">
        <f t="shared" si="3"/>
        <v>0.7816625142</v>
      </c>
    </row>
    <row r="2004">
      <c r="A2004" s="4">
        <v>2004.0</v>
      </c>
      <c r="B2004" s="3" t="s">
        <v>44740</v>
      </c>
      <c r="C2004" s="6" t="s">
        <v>74</v>
      </c>
      <c r="D2004" s="6" t="s">
        <v>3479</v>
      </c>
      <c r="E2004" s="3" t="str">
        <f t="shared" si="1"/>
        <v>meal&lt;br&gt;&lt;div class="audio"&gt;[sound:meal.mp3]&lt;/div&gt;</v>
      </c>
      <c r="F2004" s="3" t="str">
        <f t="shared" si="2"/>
        <v>(n): bữa ăn</v>
      </c>
      <c r="G2004" s="6" t="s">
        <v>44741</v>
      </c>
      <c r="H2004" s="6" t="s">
        <v>44742</v>
      </c>
      <c r="I2004" s="7">
        <f t="shared" si="3"/>
        <v>0.9054953913</v>
      </c>
    </row>
    <row r="2005">
      <c r="A2005" s="4">
        <v>2005.0</v>
      </c>
      <c r="B2005" s="3" t="s">
        <v>44743</v>
      </c>
      <c r="C2005" s="6" t="s">
        <v>74</v>
      </c>
      <c r="D2005" s="6" t="s">
        <v>44744</v>
      </c>
      <c r="E2005" s="3" t="str">
        <f t="shared" si="1"/>
        <v>consultant&lt;br&gt;&lt;div class="audio"&gt;[sound:consultant.mp3]&lt;/div&gt;</v>
      </c>
      <c r="F2005" s="3" t="str">
        <f t="shared" si="2"/>
        <v>(n): cố vấn</v>
      </c>
      <c r="G2005" s="6" t="s">
        <v>44745</v>
      </c>
      <c r="H2005" s="6" t="s">
        <v>44746</v>
      </c>
      <c r="I2005" s="7">
        <f t="shared" si="3"/>
        <v>0.653230106</v>
      </c>
    </row>
    <row r="2006">
      <c r="A2006" s="4">
        <v>2006.0</v>
      </c>
      <c r="B2006" s="3" t="s">
        <v>44747</v>
      </c>
      <c r="C2006" s="6" t="s">
        <v>11</v>
      </c>
      <c r="D2006" s="6" t="s">
        <v>13002</v>
      </c>
      <c r="E2006" s="3" t="str">
        <f t="shared" si="1"/>
        <v>proud&lt;br&gt;&lt;div class="audio"&gt;[sound:proud.mp3]&lt;/div&gt;</v>
      </c>
      <c r="F2006" s="3" t="str">
        <f t="shared" si="2"/>
        <v>(adj): tự hào</v>
      </c>
      <c r="G2006" s="6" t="s">
        <v>44748</v>
      </c>
      <c r="H2006" s="6" t="s">
        <v>44749</v>
      </c>
      <c r="I2006" s="7">
        <f t="shared" si="3"/>
        <v>0.1969411949</v>
      </c>
    </row>
    <row r="2007">
      <c r="A2007" s="4">
        <v>2007.0</v>
      </c>
      <c r="B2007" s="3" t="s">
        <v>44750</v>
      </c>
      <c r="C2007" s="6" t="s">
        <v>74</v>
      </c>
      <c r="D2007" s="6" t="s">
        <v>11395</v>
      </c>
      <c r="E2007" s="3" t="str">
        <f t="shared" si="1"/>
        <v>intention&lt;br&gt;&lt;div class="audio"&gt;[sound:intention.mp3]&lt;/div&gt;</v>
      </c>
      <c r="F2007" s="3" t="str">
        <f t="shared" si="2"/>
        <v>(n): ý định</v>
      </c>
      <c r="G2007" s="6" t="s">
        <v>44751</v>
      </c>
      <c r="H2007" s="6" t="s">
        <v>44752</v>
      </c>
      <c r="I2007" s="7">
        <f t="shared" si="3"/>
        <v>0.2925181012</v>
      </c>
    </row>
    <row r="2008">
      <c r="A2008" s="4">
        <v>2008.0</v>
      </c>
      <c r="B2008" s="3" t="s">
        <v>44753</v>
      </c>
      <c r="C2008" s="6" t="s">
        <v>24</v>
      </c>
      <c r="D2008" s="6" t="s">
        <v>4795</v>
      </c>
      <c r="E2008" s="3" t="str">
        <f t="shared" si="1"/>
        <v>invest&lt;br&gt;&lt;div class="audio"&gt;[sound:invest.mp3]&lt;/div&gt;</v>
      </c>
      <c r="F2008" s="3" t="str">
        <f t="shared" si="2"/>
        <v>(v): đầu tư</v>
      </c>
      <c r="G2008" s="6" t="s">
        <v>44754</v>
      </c>
      <c r="H2008" s="6" t="s">
        <v>44755</v>
      </c>
      <c r="I2008" s="7">
        <f t="shared" si="3"/>
        <v>0.8351853228</v>
      </c>
    </row>
    <row r="2009">
      <c r="A2009" s="4">
        <v>2009.0</v>
      </c>
      <c r="B2009" s="3" t="s">
        <v>44756</v>
      </c>
      <c r="C2009" s="6" t="s">
        <v>24</v>
      </c>
      <c r="D2009" s="6" t="s">
        <v>44757</v>
      </c>
      <c r="E2009" s="3" t="str">
        <f t="shared" si="1"/>
        <v>wonder&lt;br&gt;&lt;div class="audio"&gt;[sound:wonder.mp3]&lt;/div&gt;</v>
      </c>
      <c r="F2009" s="3" t="str">
        <f t="shared" si="2"/>
        <v>(v): tự hỏi</v>
      </c>
      <c r="G2009" s="6" t="s">
        <v>44758</v>
      </c>
      <c r="H2009" s="6" t="s">
        <v>44759</v>
      </c>
      <c r="I2009" s="7">
        <f t="shared" si="3"/>
        <v>0.2987193663</v>
      </c>
    </row>
    <row r="2010">
      <c r="A2010" s="4">
        <v>2010.0</v>
      </c>
      <c r="B2010" s="3" t="s">
        <v>44760</v>
      </c>
      <c r="C2010" s="6" t="s">
        <v>85</v>
      </c>
      <c r="D2010" s="6" t="s">
        <v>466</v>
      </c>
      <c r="E2010" s="3" t="str">
        <f t="shared" si="1"/>
        <v>hence&lt;br&gt;&lt;div class="audio"&gt;[sound:hence.mp3]&lt;/div&gt;</v>
      </c>
      <c r="F2010" s="3" t="str">
        <f t="shared" si="2"/>
        <v>(adv): vì vậy</v>
      </c>
      <c r="G2010" s="6" t="s">
        <v>44761</v>
      </c>
      <c r="H2010" s="6" t="s">
        <v>44762</v>
      </c>
      <c r="I2010" s="7">
        <f t="shared" si="3"/>
        <v>0.1795507951</v>
      </c>
    </row>
    <row r="2011">
      <c r="A2011" s="4">
        <v>2011.0</v>
      </c>
      <c r="B2011" s="3" t="s">
        <v>44763</v>
      </c>
      <c r="C2011" s="6" t="s">
        <v>74</v>
      </c>
      <c r="D2011" s="8" t="s">
        <v>24115</v>
      </c>
      <c r="E2011" s="3" t="str">
        <f t="shared" si="1"/>
        <v>stomach&lt;br&gt;&lt;div class="audio"&gt;[sound:stomach.mp3]&lt;/div&gt;</v>
      </c>
      <c r="F2011" s="3" t="str">
        <f t="shared" si="2"/>
        <v>(n): dạ dày</v>
      </c>
      <c r="G2011" s="8" t="s">
        <v>44764</v>
      </c>
      <c r="H2011" s="8" t="s">
        <v>44765</v>
      </c>
      <c r="I2011" s="7">
        <f t="shared" si="3"/>
        <v>0.2365109669</v>
      </c>
    </row>
    <row r="2012">
      <c r="A2012" s="4">
        <v>2012.0</v>
      </c>
      <c r="B2012" s="3" t="s">
        <v>44766</v>
      </c>
      <c r="C2012" s="6" t="s">
        <v>74</v>
      </c>
      <c r="D2012" s="6" t="s">
        <v>44767</v>
      </c>
      <c r="E2012" s="3" t="str">
        <f t="shared" si="1"/>
        <v>fee&lt;br&gt;&lt;div class="audio"&gt;[sound:fee.mp3]&lt;/div&gt;</v>
      </c>
      <c r="F2012" s="3" t="str">
        <f t="shared" si="2"/>
        <v>(n): lệ phí</v>
      </c>
      <c r="G2012" s="6" t="s">
        <v>44768</v>
      </c>
      <c r="H2012" s="6" t="s">
        <v>44769</v>
      </c>
      <c r="I2012" s="7">
        <f t="shared" si="3"/>
        <v>0.4433940587</v>
      </c>
    </row>
    <row r="2013">
      <c r="A2013" s="4">
        <v>2013.0</v>
      </c>
      <c r="B2013" s="3" t="s">
        <v>44770</v>
      </c>
      <c r="C2013" s="6" t="s">
        <v>74</v>
      </c>
      <c r="D2013" s="6" t="s">
        <v>44771</v>
      </c>
      <c r="E2013" s="3" t="str">
        <f t="shared" si="1"/>
        <v>cd&lt;br&gt;&lt;div class="audio"&gt;[sound:cd.mp3]&lt;/div&gt;</v>
      </c>
      <c r="F2013" s="3" t="str">
        <f t="shared" si="2"/>
        <v>(n): đĩa cd</v>
      </c>
      <c r="G2013" s="6" t="s">
        <v>44772</v>
      </c>
      <c r="H2013" s="6" t="s">
        <v>44773</v>
      </c>
      <c r="I2013" s="7">
        <f t="shared" si="3"/>
        <v>0.9256648087</v>
      </c>
    </row>
    <row r="2014">
      <c r="A2014" s="4">
        <v>2014.0</v>
      </c>
      <c r="B2014" s="3" t="s">
        <v>44774</v>
      </c>
      <c r="C2014" s="6" t="s">
        <v>74</v>
      </c>
      <c r="D2014" s="8" t="s">
        <v>11674</v>
      </c>
      <c r="E2014" s="3" t="str">
        <f t="shared" si="1"/>
        <v>signature&lt;br&gt;&lt;div class="audio"&gt;[sound:signature.mp3]&lt;/div&gt;</v>
      </c>
      <c r="F2014" s="3" t="str">
        <f t="shared" si="2"/>
        <v>(n): chữ ký</v>
      </c>
      <c r="G2014" s="8" t="s">
        <v>44775</v>
      </c>
      <c r="H2014" s="8" t="s">
        <v>44776</v>
      </c>
      <c r="I2014" s="7">
        <f t="shared" si="3"/>
        <v>0.2078613534</v>
      </c>
    </row>
    <row r="2015">
      <c r="A2015" s="4">
        <v>2015.0</v>
      </c>
      <c r="B2015" s="3" t="s">
        <v>44777</v>
      </c>
      <c r="C2015" s="6" t="s">
        <v>74</v>
      </c>
      <c r="D2015" s="6" t="s">
        <v>44778</v>
      </c>
      <c r="E2015" s="3" t="str">
        <f t="shared" si="1"/>
        <v>holder&lt;br&gt;&lt;div class="audio"&gt;[sound:holder.mp3]&lt;/div&gt;</v>
      </c>
      <c r="F2015" s="3" t="str">
        <f t="shared" si="2"/>
        <v>(n): giá đỡ</v>
      </c>
      <c r="G2015" s="6" t="s">
        <v>44779</v>
      </c>
      <c r="H2015" s="6" t="s">
        <v>44780</v>
      </c>
      <c r="I2015" s="7">
        <f t="shared" si="3"/>
        <v>0.2243817728</v>
      </c>
    </row>
    <row r="2016">
      <c r="A2016" s="4">
        <v>2016.0</v>
      </c>
      <c r="B2016" s="3" t="s">
        <v>44781</v>
      </c>
      <c r="C2016" s="6" t="s">
        <v>74</v>
      </c>
      <c r="D2016" s="6" t="s">
        <v>3195</v>
      </c>
      <c r="E2016" s="3" t="str">
        <f t="shared" si="1"/>
        <v>apartment&lt;br&gt;&lt;div class="audio"&gt;[sound:apartment.mp3]&lt;/div&gt;</v>
      </c>
      <c r="F2016" s="3" t="str">
        <f t="shared" si="2"/>
        <v>(n): căn hộ</v>
      </c>
      <c r="G2016" s="6" t="s">
        <v>44782</v>
      </c>
      <c r="H2016" s="6" t="s">
        <v>44783</v>
      </c>
      <c r="I2016" s="7">
        <f t="shared" si="3"/>
        <v>0.427116685</v>
      </c>
    </row>
    <row r="2017">
      <c r="A2017" s="4">
        <v>2017.0</v>
      </c>
      <c r="B2017" s="3" t="s">
        <v>44784</v>
      </c>
      <c r="C2017" s="6" t="s">
        <v>11</v>
      </c>
      <c r="D2017" s="6" t="s">
        <v>13186</v>
      </c>
      <c r="E2017" s="3" t="str">
        <f t="shared" si="1"/>
        <v>reasonable&lt;br&gt;&lt;div class="audio"&gt;[sound:reasonable.mp3]&lt;/div&gt;</v>
      </c>
      <c r="F2017" s="3" t="str">
        <f t="shared" si="2"/>
        <v>(adj): hợp lý</v>
      </c>
      <c r="G2017" s="6" t="s">
        <v>44785</v>
      </c>
      <c r="H2017" s="6" t="s">
        <v>44786</v>
      </c>
      <c r="I2017" s="7">
        <f t="shared" si="3"/>
        <v>0.053834529</v>
      </c>
    </row>
    <row r="2018">
      <c r="A2018" s="4">
        <v>2018.0</v>
      </c>
      <c r="B2018" s="3" t="s">
        <v>44787</v>
      </c>
      <c r="C2018" s="6" t="s">
        <v>74</v>
      </c>
      <c r="D2018" s="6" t="s">
        <v>6188</v>
      </c>
      <c r="E2018" s="3" t="str">
        <f t="shared" si="1"/>
        <v>examination&lt;br&gt;&lt;div class="audio"&gt;[sound:examination.mp3]&lt;/div&gt;</v>
      </c>
      <c r="F2018" s="3" t="str">
        <f t="shared" si="2"/>
        <v>(n): kỳ thi</v>
      </c>
      <c r="G2018" s="6" t="s">
        <v>44788</v>
      </c>
      <c r="H2018" s="6" t="s">
        <v>44789</v>
      </c>
      <c r="I2018" s="7">
        <f t="shared" si="3"/>
        <v>0.4736307553</v>
      </c>
    </row>
    <row r="2019">
      <c r="A2019" s="4">
        <v>2019.0</v>
      </c>
      <c r="B2019" s="3" t="s">
        <v>44790</v>
      </c>
      <c r="C2019" s="6" t="s">
        <v>74</v>
      </c>
      <c r="D2019" s="6" t="s">
        <v>17065</v>
      </c>
      <c r="E2019" s="3" t="str">
        <f t="shared" si="1"/>
        <v>resident&lt;br&gt;&lt;div class="audio"&gt;[sound:resident.mp3]&lt;/div&gt;</v>
      </c>
      <c r="F2019" s="3" t="str">
        <f t="shared" si="2"/>
        <v>(n): cư dân</v>
      </c>
      <c r="G2019" s="6" t="s">
        <v>44791</v>
      </c>
      <c r="H2019" s="6" t="s">
        <v>44792</v>
      </c>
      <c r="I2019" s="7">
        <f t="shared" si="3"/>
        <v>0.1535805486</v>
      </c>
    </row>
    <row r="2020">
      <c r="A2020" s="4">
        <v>2020.0</v>
      </c>
      <c r="B2020" s="3" t="s">
        <v>44793</v>
      </c>
      <c r="C2020" s="6" t="s">
        <v>74</v>
      </c>
      <c r="D2020" s="6" t="s">
        <v>44794</v>
      </c>
      <c r="E2020" s="3" t="str">
        <f t="shared" si="1"/>
        <v>printer&lt;br&gt;&lt;div class="audio"&gt;[sound:printer.mp3]&lt;/div&gt;</v>
      </c>
      <c r="F2020" s="3" t="str">
        <f t="shared" si="2"/>
        <v>(n): máy in</v>
      </c>
      <c r="G2020" s="6" t="s">
        <v>44795</v>
      </c>
      <c r="H2020" s="6" t="s">
        <v>44796</v>
      </c>
      <c r="I2020" s="7">
        <f t="shared" si="3"/>
        <v>0.6713085453</v>
      </c>
    </row>
    <row r="2021">
      <c r="A2021" s="4">
        <v>2021.0</v>
      </c>
      <c r="B2021" s="3" t="s">
        <v>44797</v>
      </c>
      <c r="C2021" s="6" t="s">
        <v>11</v>
      </c>
      <c r="D2021" s="6" t="s">
        <v>44798</v>
      </c>
      <c r="E2021" s="3" t="str">
        <f t="shared" si="1"/>
        <v>coloured&lt;br&gt;&lt;div class="audio"&gt;[sound:coloured.mp3]&lt;/div&gt;</v>
      </c>
      <c r="F2021" s="3" t="str">
        <f t="shared" si="2"/>
        <v>(adj): có màu</v>
      </c>
      <c r="G2021" s="6" t="s">
        <v>44799</v>
      </c>
      <c r="H2021" s="6" t="s">
        <v>44800</v>
      </c>
      <c r="I2021" s="7">
        <f t="shared" si="3"/>
        <v>0.3961794334</v>
      </c>
    </row>
    <row r="2022">
      <c r="A2022" s="4">
        <v>2022.0</v>
      </c>
      <c r="B2022" s="3" t="s">
        <v>44801</v>
      </c>
      <c r="C2022" s="6" t="s">
        <v>74</v>
      </c>
      <c r="D2022" s="6" t="s">
        <v>16207</v>
      </c>
      <c r="E2022" s="3" t="str">
        <f t="shared" si="1"/>
        <v>weapon&lt;br&gt;&lt;div class="audio"&gt;[sound:weapon.mp3]&lt;/div&gt;</v>
      </c>
      <c r="F2022" s="3" t="str">
        <f t="shared" si="2"/>
        <v>(n): vũ khí</v>
      </c>
      <c r="G2022" s="6" t="s">
        <v>44802</v>
      </c>
      <c r="H2022" s="6" t="s">
        <v>44803</v>
      </c>
      <c r="I2022" s="7">
        <f t="shared" si="3"/>
        <v>0.3268141141</v>
      </c>
    </row>
    <row r="2023">
      <c r="A2023" s="4">
        <v>2023.0</v>
      </c>
      <c r="B2023" s="3" t="s">
        <v>44804</v>
      </c>
      <c r="C2023" s="6" t="s">
        <v>74</v>
      </c>
      <c r="D2023" s="6" t="s">
        <v>16207</v>
      </c>
      <c r="E2023" s="3" t="str">
        <f t="shared" si="1"/>
        <v>arms&lt;br&gt;&lt;div class="audio"&gt;[sound:arms.mp3]&lt;/div&gt;</v>
      </c>
      <c r="F2023" s="3" t="str">
        <f t="shared" si="2"/>
        <v>(n): vũ khí</v>
      </c>
      <c r="G2023" s="6" t="s">
        <v>44805</v>
      </c>
      <c r="H2023" s="6" t="s">
        <v>44806</v>
      </c>
      <c r="I2023" s="7">
        <f t="shared" si="3"/>
        <v>0.7653380953</v>
      </c>
    </row>
    <row r="2024">
      <c r="A2024" s="4">
        <v>2024.0</v>
      </c>
      <c r="B2024" s="3" t="s">
        <v>44807</v>
      </c>
      <c r="C2024" s="6" t="s">
        <v>74</v>
      </c>
      <c r="D2024" s="6" t="s">
        <v>44808</v>
      </c>
      <c r="E2024" s="3" t="str">
        <f t="shared" si="1"/>
        <v>pool&lt;br&gt;&lt;div class="audio"&gt;[sound:pool.mp3]&lt;/div&gt;</v>
      </c>
      <c r="F2024" s="3" t="str">
        <f t="shared" si="2"/>
        <v>(n): hồ bơi</v>
      </c>
      <c r="G2024" s="6" t="s">
        <v>44809</v>
      </c>
      <c r="H2024" s="6" t="s">
        <v>44810</v>
      </c>
      <c r="I2024" s="7">
        <f t="shared" si="3"/>
        <v>0.7815540726</v>
      </c>
    </row>
    <row r="2025">
      <c r="A2025" s="4">
        <v>2025.0</v>
      </c>
      <c r="B2025" s="3" t="s">
        <v>44811</v>
      </c>
      <c r="C2025" s="6" t="s">
        <v>24</v>
      </c>
      <c r="D2025" s="6" t="s">
        <v>44812</v>
      </c>
      <c r="E2025" s="3" t="str">
        <f t="shared" si="1"/>
        <v>launch&lt;br&gt;&lt;div class="audio"&gt;[sound:launch.mp3]&lt;/div&gt;</v>
      </c>
      <c r="F2025" s="3" t="str">
        <f t="shared" si="2"/>
        <v>(v): ra mắt</v>
      </c>
      <c r="G2025" s="6" t="s">
        <v>44813</v>
      </c>
      <c r="H2025" s="6" t="s">
        <v>44814</v>
      </c>
      <c r="I2025" s="7">
        <f t="shared" si="3"/>
        <v>0.8591594109</v>
      </c>
    </row>
    <row r="2026">
      <c r="A2026" s="4">
        <v>2026.0</v>
      </c>
      <c r="B2026" s="3" t="s">
        <v>44815</v>
      </c>
      <c r="C2026" s="6" t="s">
        <v>74</v>
      </c>
      <c r="D2026" s="6" t="s">
        <v>13025</v>
      </c>
      <c r="E2026" s="3" t="str">
        <f t="shared" si="1"/>
        <v>proportion&lt;br&gt;&lt;div class="audio"&gt;[sound:proportion.mp3]&lt;/div&gt;</v>
      </c>
      <c r="F2026" s="3" t="str">
        <f t="shared" si="2"/>
        <v>(n): tỷ lệ</v>
      </c>
      <c r="G2026" s="6" t="s">
        <v>44816</v>
      </c>
      <c r="H2026" s="6" t="s">
        <v>44817</v>
      </c>
      <c r="I2026" s="7">
        <f t="shared" si="3"/>
        <v>0.08266834005</v>
      </c>
    </row>
    <row r="2027">
      <c r="A2027" s="4">
        <v>2027.0</v>
      </c>
      <c r="B2027" s="3" t="s">
        <v>44818</v>
      </c>
      <c r="C2027" s="6" t="s">
        <v>24</v>
      </c>
      <c r="D2027" s="6" t="s">
        <v>15257</v>
      </c>
      <c r="E2027" s="3" t="str">
        <f t="shared" si="1"/>
        <v>quit&lt;br&gt;&lt;div class="audio"&gt;[sound:quit.mp3]&lt;/div&gt;</v>
      </c>
      <c r="F2027" s="3" t="str">
        <f t="shared" si="2"/>
        <v>(v): từ bỏ</v>
      </c>
      <c r="G2027" s="6" t="s">
        <v>44819</v>
      </c>
      <c r="H2027" s="6" t="s">
        <v>44820</v>
      </c>
      <c r="I2027" s="7">
        <f t="shared" si="3"/>
        <v>0.01565353246</v>
      </c>
    </row>
    <row r="2028">
      <c r="A2028" s="4">
        <v>2028.0</v>
      </c>
      <c r="B2028" s="3" t="s">
        <v>44821</v>
      </c>
      <c r="C2028" s="6" t="s">
        <v>74</v>
      </c>
      <c r="D2028" s="8" t="s">
        <v>22856</v>
      </c>
      <c r="E2028" s="3" t="str">
        <f t="shared" si="1"/>
        <v>singer&lt;br&gt;&lt;div class="audio"&gt;[sound:singer.mp3]&lt;/div&gt;</v>
      </c>
      <c r="F2028" s="3" t="str">
        <f t="shared" si="2"/>
        <v>(n): ca sĩ</v>
      </c>
      <c r="G2028" s="8" t="s">
        <v>44822</v>
      </c>
      <c r="H2028" s="8" t="s">
        <v>44823</v>
      </c>
      <c r="I2028" s="7">
        <f t="shared" si="3"/>
        <v>0.7034258314</v>
      </c>
    </row>
    <row r="2029">
      <c r="A2029" s="4">
        <v>2029.0</v>
      </c>
      <c r="B2029" s="3" t="s">
        <v>44824</v>
      </c>
      <c r="C2029" s="6" t="s">
        <v>24</v>
      </c>
      <c r="D2029" s="6" t="s">
        <v>44825</v>
      </c>
      <c r="E2029" s="3" t="str">
        <f t="shared" si="1"/>
        <v>ride&lt;br&gt;&lt;div class="audio"&gt;[sound:ride.mp3]&lt;/div&gt;</v>
      </c>
      <c r="F2029" s="3" t="str">
        <f t="shared" si="2"/>
        <v>(v): đi xe</v>
      </c>
      <c r="G2029" s="6" t="s">
        <v>44826</v>
      </c>
      <c r="H2029" s="6" t="s">
        <v>44827</v>
      </c>
      <c r="I2029" s="7">
        <f t="shared" si="3"/>
        <v>0.5717839775</v>
      </c>
    </row>
    <row r="2030">
      <c r="A2030" s="4">
        <v>2030.0</v>
      </c>
      <c r="B2030" s="3" t="s">
        <v>44828</v>
      </c>
      <c r="C2030" s="6" t="s">
        <v>85</v>
      </c>
      <c r="D2030" s="6" t="s">
        <v>7212</v>
      </c>
      <c r="E2030" s="3" t="str">
        <f t="shared" si="1"/>
        <v>possibly&lt;br&gt;&lt;div class="audio"&gt;[sound:possibly.mp3]&lt;/div&gt;</v>
      </c>
      <c r="F2030" s="3" t="str">
        <f t="shared" si="2"/>
        <v>(adv): có lẽ</v>
      </c>
      <c r="G2030" s="6" t="s">
        <v>44829</v>
      </c>
      <c r="H2030" s="6" t="s">
        <v>44830</v>
      </c>
      <c r="I2030" s="7">
        <f t="shared" si="3"/>
        <v>0.352146332</v>
      </c>
    </row>
    <row r="2031">
      <c r="A2031" s="4">
        <v>2031.0</v>
      </c>
      <c r="B2031" s="3" t="s">
        <v>44831</v>
      </c>
      <c r="C2031" s="6" t="s">
        <v>74</v>
      </c>
      <c r="D2031" s="8" t="s">
        <v>4145</v>
      </c>
      <c r="E2031" s="3" t="str">
        <f t="shared" si="1"/>
        <v>sugar&lt;br&gt;&lt;div class="audio"&gt;[sound:sugar.mp3]&lt;/div&gt;</v>
      </c>
      <c r="F2031" s="3" t="str">
        <f t="shared" si="2"/>
        <v>(n): đường</v>
      </c>
      <c r="G2031" s="8" t="s">
        <v>44832</v>
      </c>
      <c r="H2031" s="8" t="s">
        <v>44833</v>
      </c>
      <c r="I2031" s="7">
        <f t="shared" si="3"/>
        <v>0.01328030406</v>
      </c>
    </row>
    <row r="2032">
      <c r="A2032" s="4">
        <v>2032.0</v>
      </c>
      <c r="B2032" s="3" t="s">
        <v>44834</v>
      </c>
      <c r="C2032" s="6" t="s">
        <v>24</v>
      </c>
      <c r="D2032" s="8" t="s">
        <v>24260</v>
      </c>
      <c r="E2032" s="3" t="str">
        <f t="shared" si="1"/>
        <v>slide&lt;br&gt;&lt;div class="audio"&gt;[sound:slide.mp3]&lt;/div&gt;</v>
      </c>
      <c r="F2032" s="3" t="str">
        <f t="shared" si="2"/>
        <v>(v): trượt</v>
      </c>
      <c r="G2032" s="8" t="s">
        <v>44835</v>
      </c>
      <c r="H2032" s="8" t="s">
        <v>44836</v>
      </c>
      <c r="I2032" s="7">
        <f t="shared" si="3"/>
        <v>0.3927972387</v>
      </c>
    </row>
    <row r="2033">
      <c r="A2033" s="4">
        <v>2033.0</v>
      </c>
      <c r="B2033" s="3" t="s">
        <v>44837</v>
      </c>
      <c r="C2033" s="6" t="s">
        <v>11</v>
      </c>
      <c r="D2033" s="6" t="s">
        <v>40291</v>
      </c>
      <c r="E2033" s="3" t="str">
        <f t="shared" si="1"/>
        <v>principal&lt;br&gt;&lt;div class="audio"&gt;[sound:principal.mp3]&lt;/div&gt;</v>
      </c>
      <c r="F2033" s="3" t="str">
        <f t="shared" si="2"/>
        <v>(adj): chính</v>
      </c>
      <c r="G2033" s="6" t="s">
        <v>44838</v>
      </c>
      <c r="H2033" s="6" t="s">
        <v>44839</v>
      </c>
      <c r="I2033" s="7">
        <f t="shared" si="3"/>
        <v>0.7067029538</v>
      </c>
    </row>
    <row r="2034">
      <c r="A2034" s="4">
        <v>2034.0</v>
      </c>
      <c r="B2034" s="3" t="s">
        <v>44840</v>
      </c>
      <c r="C2034" s="6" t="s">
        <v>74</v>
      </c>
      <c r="D2034" s="8" t="s">
        <v>8873</v>
      </c>
      <c r="E2034" s="3" t="str">
        <f t="shared" si="1"/>
        <v>snow&lt;br&gt;&lt;div class="audio"&gt;[sound:snow.mp3]&lt;/div&gt;</v>
      </c>
      <c r="F2034" s="3" t="str">
        <f t="shared" si="2"/>
        <v>(n): tuyết</v>
      </c>
      <c r="G2034" s="8" t="s">
        <v>44841</v>
      </c>
      <c r="H2034" s="8" t="s">
        <v>44842</v>
      </c>
      <c r="I2034" s="7">
        <f t="shared" si="3"/>
        <v>0.1865048087</v>
      </c>
    </row>
    <row r="2035">
      <c r="A2035" s="4">
        <v>2035.0</v>
      </c>
      <c r="B2035" s="3" t="s">
        <v>44843</v>
      </c>
      <c r="C2035" s="6" t="s">
        <v>74</v>
      </c>
      <c r="D2035" s="6" t="s">
        <v>4654</v>
      </c>
      <c r="E2035" s="3" t="str">
        <f t="shared" si="1"/>
        <v>establishment&lt;br&gt;&lt;div class="audio"&gt;[sound:establishment.mp3]&lt;/div&gt;</v>
      </c>
      <c r="F2035" s="3" t="str">
        <f t="shared" si="2"/>
        <v>(n): cơ sở</v>
      </c>
      <c r="G2035" s="6" t="s">
        <v>44844</v>
      </c>
      <c r="H2035" s="6" t="s">
        <v>44845</v>
      </c>
      <c r="I2035" s="7">
        <f t="shared" si="3"/>
        <v>0.83736338</v>
      </c>
    </row>
    <row r="2036">
      <c r="A2036" s="4">
        <v>2036.0</v>
      </c>
      <c r="B2036" s="3" t="s">
        <v>44846</v>
      </c>
      <c r="C2036" s="6" t="s">
        <v>74</v>
      </c>
      <c r="D2036" s="6" t="s">
        <v>39827</v>
      </c>
      <c r="E2036" s="3" t="str">
        <f t="shared" si="1"/>
        <v>profile&lt;br&gt;&lt;div class="audio"&gt;[sound:profile.mp3]&lt;/div&gt;</v>
      </c>
      <c r="F2036" s="3" t="str">
        <f t="shared" si="2"/>
        <v>(n): hồ sơ</v>
      </c>
      <c r="G2036" s="6" t="s">
        <v>44847</v>
      </c>
      <c r="H2036" s="6" t="s">
        <v>44848</v>
      </c>
      <c r="I2036" s="7">
        <f t="shared" si="3"/>
        <v>0.7562560224</v>
      </c>
    </row>
    <row r="2037">
      <c r="A2037" s="4">
        <v>2037.0</v>
      </c>
      <c r="B2037" s="3" t="s">
        <v>44849</v>
      </c>
      <c r="C2037" s="6" t="s">
        <v>74</v>
      </c>
      <c r="D2037" s="6" t="s">
        <v>29021</v>
      </c>
      <c r="E2037" s="3" t="str">
        <f t="shared" si="1"/>
        <v>county&lt;br&gt;&lt;div class="audio"&gt;[sound:county.mp3]&lt;/div&gt;</v>
      </c>
      <c r="F2037" s="3" t="str">
        <f t="shared" si="2"/>
        <v>(n): quận</v>
      </c>
      <c r="G2037" s="6" t="s">
        <v>44850</v>
      </c>
      <c r="H2037" s="6" t="s">
        <v>44851</v>
      </c>
      <c r="I2037" s="7">
        <f t="shared" si="3"/>
        <v>0.1193793054</v>
      </c>
    </row>
    <row r="2038">
      <c r="A2038" s="4">
        <v>2038.0</v>
      </c>
      <c r="B2038" s="3" t="s">
        <v>44852</v>
      </c>
      <c r="C2038" s="6" t="s">
        <v>74</v>
      </c>
      <c r="D2038" s="6" t="s">
        <v>44853</v>
      </c>
      <c r="E2038" s="3" t="str">
        <f t="shared" si="1"/>
        <v>institute&lt;br&gt;&lt;div class="audio"&gt;[sound:institute.mp3]&lt;/div&gt;</v>
      </c>
      <c r="F2038" s="3" t="str">
        <f t="shared" si="2"/>
        <v>(n): viện</v>
      </c>
      <c r="G2038" s="6" t="s">
        <v>44854</v>
      </c>
      <c r="H2038" s="6" t="s">
        <v>44855</v>
      </c>
      <c r="I2038" s="7">
        <f t="shared" si="3"/>
        <v>0.4100579747</v>
      </c>
    </row>
    <row r="2039">
      <c r="A2039" s="4">
        <v>2039.0</v>
      </c>
      <c r="B2039" s="3" t="s">
        <v>44856</v>
      </c>
      <c r="C2039" s="6" t="s">
        <v>33</v>
      </c>
      <c r="D2039" s="6" t="s">
        <v>44857</v>
      </c>
      <c r="E2039" s="3" t="str">
        <f t="shared" si="1"/>
        <v>hi&lt;br&gt;&lt;div class="audio"&gt;[sound:hi.mp3]&lt;/div&gt;</v>
      </c>
      <c r="F2039" s="3" t="str">
        <f t="shared" si="2"/>
        <v>(int): chào</v>
      </c>
      <c r="G2039" s="6" t="s">
        <v>44858</v>
      </c>
      <c r="H2039" s="6" t="s">
        <v>44859</v>
      </c>
      <c r="I2039" s="7">
        <f t="shared" si="3"/>
        <v>0.7632002878</v>
      </c>
    </row>
    <row r="2040">
      <c r="A2040" s="4">
        <v>2040.0</v>
      </c>
      <c r="B2040" s="3" t="s">
        <v>44860</v>
      </c>
      <c r="C2040" s="6" t="s">
        <v>74</v>
      </c>
      <c r="D2040" s="8" t="s">
        <v>31752</v>
      </c>
      <c r="E2040" s="3" t="str">
        <f t="shared" si="1"/>
        <v>smoke&lt;br&gt;&lt;div class="audio"&gt;[sound:smoke.mp3]&lt;/div&gt;</v>
      </c>
      <c r="F2040" s="3" t="str">
        <f t="shared" si="2"/>
        <v>(n): khói</v>
      </c>
      <c r="G2040" s="8" t="s">
        <v>44861</v>
      </c>
      <c r="H2040" s="8" t="s">
        <v>44862</v>
      </c>
      <c r="I2040" s="7">
        <f t="shared" si="3"/>
        <v>0.2418976216</v>
      </c>
    </row>
    <row r="2041">
      <c r="A2041" s="4">
        <v>2041.0</v>
      </c>
      <c r="B2041" s="3" t="s">
        <v>44863</v>
      </c>
      <c r="C2041" s="6" t="s">
        <v>11</v>
      </c>
      <c r="D2041" s="6" t="s">
        <v>4777</v>
      </c>
      <c r="E2041" s="3" t="str">
        <f t="shared" si="1"/>
        <v>sad&lt;br&gt;&lt;div class="audio"&gt;[sound:sad.mp3]&lt;/div&gt;</v>
      </c>
      <c r="F2041" s="3" t="str">
        <f t="shared" si="2"/>
        <v>(adj): buồn</v>
      </c>
      <c r="G2041" s="6" t="s">
        <v>44864</v>
      </c>
      <c r="H2041" s="6" t="s">
        <v>44865</v>
      </c>
      <c r="I2041" s="7">
        <f t="shared" si="3"/>
        <v>0.2503204118</v>
      </c>
    </row>
    <row r="2042">
      <c r="A2042" s="4">
        <v>2042.0</v>
      </c>
      <c r="B2042" s="3" t="s">
        <v>44866</v>
      </c>
      <c r="C2042" s="6" t="s">
        <v>24</v>
      </c>
      <c r="D2042" s="6" t="s">
        <v>44867</v>
      </c>
      <c r="E2042" s="3" t="str">
        <f t="shared" si="1"/>
        <v>wash&lt;br&gt;&lt;div class="audio"&gt;[sound:wash.mp3]&lt;/div&gt;</v>
      </c>
      <c r="F2042" s="3" t="str">
        <f t="shared" si="2"/>
        <v>(v): giặt</v>
      </c>
      <c r="G2042" s="6" t="s">
        <v>44868</v>
      </c>
      <c r="H2042" s="6" t="s">
        <v>44869</v>
      </c>
      <c r="I2042" s="7">
        <f t="shared" si="3"/>
        <v>0.004266357459</v>
      </c>
    </row>
    <row r="2043">
      <c r="A2043" s="4">
        <v>2043.0</v>
      </c>
      <c r="B2043" s="3" t="s">
        <v>44870</v>
      </c>
      <c r="C2043" s="6" t="s">
        <v>24</v>
      </c>
      <c r="D2043" s="6" t="s">
        <v>4196</v>
      </c>
      <c r="E2043" s="3" t="str">
        <f t="shared" si="1"/>
        <v>lift&lt;br&gt;&lt;div class="audio"&gt;[sound:lift.mp3]&lt;/div&gt;</v>
      </c>
      <c r="F2043" s="3" t="str">
        <f t="shared" si="2"/>
        <v>(v): nâng</v>
      </c>
      <c r="G2043" s="6" t="s">
        <v>44871</v>
      </c>
      <c r="H2043" s="6" t="s">
        <v>44872</v>
      </c>
      <c r="I2043" s="7">
        <f t="shared" si="3"/>
        <v>0.2966693596</v>
      </c>
    </row>
    <row r="2044">
      <c r="A2044" s="4">
        <v>2044.0</v>
      </c>
      <c r="B2044" s="3" t="s">
        <v>44873</v>
      </c>
      <c r="C2044" s="6" t="s">
        <v>24</v>
      </c>
      <c r="D2044" s="8" t="s">
        <v>8453</v>
      </c>
      <c r="E2044" s="3" t="str">
        <f t="shared" si="1"/>
        <v>split&lt;br&gt;&lt;div class="audio"&gt;[sound:split.mp3]&lt;/div&gt;</v>
      </c>
      <c r="F2044" s="3" t="str">
        <f t="shared" si="2"/>
        <v>(v): chia</v>
      </c>
      <c r="G2044" s="8" t="s">
        <v>44874</v>
      </c>
      <c r="H2044" s="8" t="s">
        <v>44875</v>
      </c>
      <c r="I2044" s="7">
        <f t="shared" si="3"/>
        <v>0.5281613456</v>
      </c>
    </row>
    <row r="2045">
      <c r="A2045" s="4">
        <v>2045.0</v>
      </c>
      <c r="B2045" s="3" t="s">
        <v>44876</v>
      </c>
      <c r="C2045" s="6" t="s">
        <v>24</v>
      </c>
      <c r="D2045" s="8" t="s">
        <v>21581</v>
      </c>
      <c r="E2045" s="3" t="str">
        <f t="shared" si="1"/>
        <v>sink&lt;br&gt;&lt;div class="audio"&gt;[sound:sink.mp3]&lt;/div&gt;</v>
      </c>
      <c r="F2045" s="3" t="str">
        <f t="shared" si="2"/>
        <v>(v): chìm</v>
      </c>
      <c r="G2045" s="8" t="s">
        <v>44877</v>
      </c>
      <c r="H2045" s="8" t="s">
        <v>44878</v>
      </c>
      <c r="I2045" s="7">
        <f t="shared" si="3"/>
        <v>0.3105402849</v>
      </c>
    </row>
    <row r="2046">
      <c r="A2046" s="4">
        <v>2046.0</v>
      </c>
      <c r="B2046" s="3" t="s">
        <v>44879</v>
      </c>
      <c r="C2046" s="6" t="s">
        <v>74</v>
      </c>
      <c r="D2046" s="6" t="s">
        <v>29436</v>
      </c>
      <c r="E2046" s="3" t="str">
        <f t="shared" si="1"/>
        <v>nurse&lt;br&gt;&lt;div class="audio"&gt;[sound:nurse.mp3]&lt;/div&gt;</v>
      </c>
      <c r="F2046" s="3" t="str">
        <f t="shared" si="2"/>
        <v>(n): y tá</v>
      </c>
      <c r="G2046" s="6" t="s">
        <v>44880</v>
      </c>
      <c r="H2046" s="6" t="s">
        <v>44881</v>
      </c>
      <c r="I2046" s="7">
        <f t="shared" si="3"/>
        <v>0.3018586345</v>
      </c>
    </row>
    <row r="2047">
      <c r="A2047" s="4">
        <v>2047.0</v>
      </c>
      <c r="B2047" s="3" t="s">
        <v>44882</v>
      </c>
      <c r="C2047" s="6" t="s">
        <v>74</v>
      </c>
      <c r="D2047" s="6" t="s">
        <v>15269</v>
      </c>
      <c r="E2047" s="3" t="str">
        <f t="shared" si="1"/>
        <v>port&lt;br&gt;&lt;div class="audio"&gt;[sound:port.mp3]&lt;/div&gt;</v>
      </c>
      <c r="F2047" s="3" t="str">
        <f t="shared" si="2"/>
        <v>(n): cảng</v>
      </c>
      <c r="G2047" s="6" t="s">
        <v>44883</v>
      </c>
      <c r="H2047" s="6" t="s">
        <v>44884</v>
      </c>
      <c r="I2047" s="7">
        <f t="shared" si="3"/>
        <v>0.9461887618</v>
      </c>
    </row>
    <row r="2048">
      <c r="A2048" s="4">
        <v>2048.0</v>
      </c>
      <c r="B2048" s="3" t="s">
        <v>44885</v>
      </c>
      <c r="C2048" s="6" t="s">
        <v>74</v>
      </c>
      <c r="D2048" s="8" t="s">
        <v>44886</v>
      </c>
      <c r="E2048" s="3" t="str">
        <f t="shared" si="1"/>
        <v>species&lt;br&gt;&lt;div class="audio"&gt;[sound:species.mp3]&lt;/div&gt;</v>
      </c>
      <c r="F2048" s="3" t="str">
        <f t="shared" si="2"/>
        <v>(n): loài</v>
      </c>
      <c r="G2048" s="8" t="s">
        <v>44887</v>
      </c>
      <c r="H2048" s="8" t="s">
        <v>44888</v>
      </c>
      <c r="I2048" s="7">
        <f t="shared" si="3"/>
        <v>0.7320038882</v>
      </c>
    </row>
    <row r="2049">
      <c r="A2049" s="4">
        <v>2049.0</v>
      </c>
      <c r="B2049" s="3" t="s">
        <v>44889</v>
      </c>
      <c r="C2049" s="6" t="s">
        <v>74</v>
      </c>
      <c r="D2049" s="8" t="s">
        <v>7903</v>
      </c>
      <c r="E2049" s="3" t="str">
        <f t="shared" si="1"/>
        <v>substance&lt;br&gt;&lt;div class="audio"&gt;[sound:substance.mp3]&lt;/div&gt;</v>
      </c>
      <c r="F2049" s="3" t="str">
        <f t="shared" si="2"/>
        <v>(n): chất</v>
      </c>
      <c r="G2049" s="8" t="s">
        <v>44890</v>
      </c>
      <c r="H2049" s="8" t="s">
        <v>44891</v>
      </c>
      <c r="I2049" s="7">
        <f t="shared" si="3"/>
        <v>0.5018699022</v>
      </c>
    </row>
    <row r="2050">
      <c r="A2050" s="4">
        <v>2050.0</v>
      </c>
      <c r="B2050" s="3" t="s">
        <v>44892</v>
      </c>
      <c r="C2050" s="6" t="s">
        <v>74</v>
      </c>
      <c r="D2050" s="8" t="s">
        <v>44893</v>
      </c>
      <c r="E2050" s="3" t="str">
        <f t="shared" si="1"/>
        <v>sum&lt;br&gt;&lt;div class="audio"&gt;[sound:sum.mp3]&lt;/div&gt;</v>
      </c>
      <c r="F2050" s="3" t="str">
        <f t="shared" si="2"/>
        <v>(n): tổng</v>
      </c>
      <c r="G2050" s="8" t="s">
        <v>44894</v>
      </c>
      <c r="H2050" s="8" t="s">
        <v>44895</v>
      </c>
      <c r="I2050" s="7">
        <f t="shared" si="3"/>
        <v>0.05144147755</v>
      </c>
    </row>
    <row r="2051">
      <c r="A2051" s="4">
        <v>2051.0</v>
      </c>
      <c r="B2051" s="3" t="s">
        <v>44896</v>
      </c>
      <c r="C2051" s="6" t="s">
        <v>63</v>
      </c>
      <c r="D2051" s="6" t="s">
        <v>5996</v>
      </c>
      <c r="E2051" s="3" t="str">
        <f t="shared" si="1"/>
        <v>plus&lt;br&gt;&lt;div class="audio"&gt;[sound:plus.mp3]&lt;/div&gt;</v>
      </c>
      <c r="F2051" s="3" t="str">
        <f t="shared" si="2"/>
        <v>(prep): cộng</v>
      </c>
      <c r="G2051" s="6" t="s">
        <v>44897</v>
      </c>
      <c r="H2051" s="6" t="s">
        <v>44898</v>
      </c>
      <c r="I2051" s="7">
        <f t="shared" si="3"/>
        <v>0.8456399855</v>
      </c>
    </row>
    <row r="2052">
      <c r="A2052" s="4">
        <v>2052.0</v>
      </c>
      <c r="B2052" s="3" t="s">
        <v>44899</v>
      </c>
      <c r="C2052" s="6" t="s">
        <v>11</v>
      </c>
      <c r="D2052" s="6" t="s">
        <v>2929</v>
      </c>
      <c r="E2052" s="3" t="str">
        <f t="shared" si="1"/>
        <v>weak&lt;br&gt;&lt;div class="audio"&gt;[sound:weak.mp3]&lt;/div&gt;</v>
      </c>
      <c r="F2052" s="3" t="str">
        <f t="shared" si="2"/>
        <v>(adj): yếu</v>
      </c>
      <c r="G2052" s="6" t="s">
        <v>44900</v>
      </c>
      <c r="H2052" s="6" t="s">
        <v>44901</v>
      </c>
      <c r="I2052" s="7">
        <f t="shared" si="3"/>
        <v>0.4375887604</v>
      </c>
    </row>
    <row r="2053">
      <c r="A2053" s="4">
        <v>2053.0</v>
      </c>
      <c r="B2053" s="3" t="s">
        <v>44902</v>
      </c>
      <c r="C2053" s="6" t="s">
        <v>85</v>
      </c>
      <c r="D2053" s="8" t="s">
        <v>3068</v>
      </c>
      <c r="E2053" s="3" t="str">
        <f t="shared" si="1"/>
        <v>shortly&lt;br&gt;&lt;div class="audio"&gt;[sound:shortly.mp3]&lt;/div&gt;</v>
      </c>
      <c r="F2053" s="3" t="str">
        <f t="shared" si="2"/>
        <v>(adv): sớm</v>
      </c>
      <c r="G2053" s="8" t="s">
        <v>44903</v>
      </c>
      <c r="H2053" s="8" t="s">
        <v>44904</v>
      </c>
      <c r="I2053" s="7">
        <f t="shared" si="3"/>
        <v>0.9114285096</v>
      </c>
    </row>
    <row r="2054">
      <c r="A2054" s="4">
        <v>2054.0</v>
      </c>
      <c r="B2054" s="3" t="s">
        <v>44905</v>
      </c>
      <c r="C2054" s="6" t="s">
        <v>74</v>
      </c>
      <c r="D2054" s="6" t="s">
        <v>6215</v>
      </c>
      <c r="E2054" s="3" t="str">
        <f t="shared" si="1"/>
        <v>rain&lt;br&gt;&lt;div class="audio"&gt;[sound:rain.mp3]&lt;/div&gt;</v>
      </c>
      <c r="F2054" s="3" t="str">
        <f t="shared" si="2"/>
        <v>(n): mưa</v>
      </c>
      <c r="G2054" s="6" t="s">
        <v>44906</v>
      </c>
      <c r="H2054" s="6" t="s">
        <v>44907</v>
      </c>
      <c r="I2054" s="7">
        <f t="shared" si="3"/>
        <v>0.1210608009</v>
      </c>
    </row>
    <row r="2055">
      <c r="A2055" s="4">
        <v>2055.0</v>
      </c>
      <c r="B2055" s="3" t="s">
        <v>44908</v>
      </c>
      <c r="C2055" s="6" t="s">
        <v>24</v>
      </c>
      <c r="D2055" s="8" t="s">
        <v>23949</v>
      </c>
      <c r="E2055" s="3" t="str">
        <f t="shared" si="1"/>
        <v>swim&lt;br&gt;&lt;div class="audio"&gt;[sound:swim.mp3]&lt;/div&gt;</v>
      </c>
      <c r="F2055" s="3" t="str">
        <f t="shared" si="2"/>
        <v>(v): bơi</v>
      </c>
      <c r="G2055" s="8" t="s">
        <v>44909</v>
      </c>
      <c r="H2055" s="8" t="s">
        <v>44910</v>
      </c>
      <c r="I2055" s="7">
        <f t="shared" si="3"/>
        <v>0.1825100907</v>
      </c>
    </row>
    <row r="2056">
      <c r="A2056" s="4">
        <v>2056.0</v>
      </c>
      <c r="B2056" s="3" t="s">
        <v>44911</v>
      </c>
      <c r="C2056" s="6" t="s">
        <v>74</v>
      </c>
      <c r="D2056" s="6" t="s">
        <v>4206</v>
      </c>
      <c r="E2056" s="3" t="str">
        <f t="shared" si="1"/>
        <v>sample&lt;br&gt;&lt;div class="audio"&gt;[sound:sample.mp3]&lt;/div&gt;</v>
      </c>
      <c r="F2056" s="3" t="str">
        <f t="shared" si="2"/>
        <v>(n): mẫu</v>
      </c>
      <c r="G2056" s="6" t="s">
        <v>44912</v>
      </c>
      <c r="H2056" s="6" t="s">
        <v>44913</v>
      </c>
      <c r="I2056" s="7">
        <f t="shared" si="3"/>
        <v>0.6328019009</v>
      </c>
    </row>
    <row r="2057">
      <c r="A2057" s="4">
        <v>2057.0</v>
      </c>
      <c r="B2057" s="3" t="s">
        <v>44914</v>
      </c>
      <c r="C2057" s="6" t="s">
        <v>74</v>
      </c>
      <c r="D2057" s="6" t="s">
        <v>44915</v>
      </c>
      <c r="E2057" s="3" t="str">
        <f t="shared" si="1"/>
        <v>mile&lt;br&gt;&lt;div class="audio"&gt;[sound:mile.mp3]&lt;/div&gt;</v>
      </c>
      <c r="F2057" s="3" t="str">
        <f t="shared" si="2"/>
        <v>(n): dặm</v>
      </c>
      <c r="G2057" s="6" t="s">
        <v>44916</v>
      </c>
      <c r="H2057" s="6" t="s">
        <v>44917</v>
      </c>
      <c r="I2057" s="7">
        <f t="shared" si="3"/>
        <v>0.7635139614</v>
      </c>
    </row>
    <row r="2058">
      <c r="A2058" s="4">
        <v>2058.0</v>
      </c>
      <c r="B2058" s="3" t="s">
        <v>44918</v>
      </c>
      <c r="C2058" s="6" t="s">
        <v>74</v>
      </c>
      <c r="D2058" s="6" t="s">
        <v>44919</v>
      </c>
      <c r="E2058" s="3" t="str">
        <f t="shared" si="1"/>
        <v>occasion&lt;br&gt;&lt;div class="audio"&gt;[sound:occasion.mp3]&lt;/div&gt;</v>
      </c>
      <c r="F2058" s="3" t="str">
        <f t="shared" si="2"/>
        <v>(n): dịp</v>
      </c>
      <c r="G2058" s="6" t="s">
        <v>44920</v>
      </c>
      <c r="H2058" s="6" t="s">
        <v>44921</v>
      </c>
      <c r="I2058" s="7">
        <f t="shared" si="3"/>
        <v>0.7234351491</v>
      </c>
    </row>
    <row r="2059">
      <c r="A2059" s="4">
        <v>2059.0</v>
      </c>
      <c r="B2059" s="3" t="s">
        <v>44922</v>
      </c>
      <c r="C2059" s="6" t="s">
        <v>74</v>
      </c>
      <c r="D2059" s="6" t="s">
        <v>6539</v>
      </c>
      <c r="E2059" s="3" t="str">
        <f t="shared" si="1"/>
        <v>fault&lt;br&gt;&lt;div class="audio"&gt;[sound:fault.mp3]&lt;/div&gt;</v>
      </c>
      <c r="F2059" s="3" t="str">
        <f t="shared" si="2"/>
        <v>(n): lỗi</v>
      </c>
      <c r="G2059" s="6" t="s">
        <v>44923</v>
      </c>
      <c r="H2059" s="6" t="s">
        <v>44924</v>
      </c>
      <c r="I2059" s="7">
        <f t="shared" si="3"/>
        <v>0.8825770341</v>
      </c>
    </row>
    <row r="2060">
      <c r="A2060" s="4">
        <v>2060.0</v>
      </c>
      <c r="B2060" s="3" t="s">
        <v>44925</v>
      </c>
      <c r="C2060" s="6" t="s">
        <v>74</v>
      </c>
      <c r="D2060" s="6" t="s">
        <v>9055</v>
      </c>
      <c r="E2060" s="3" t="str">
        <f t="shared" si="1"/>
        <v>iron&lt;br&gt;&lt;div class="audio"&gt;[sound:iron.mp3]&lt;/div&gt;</v>
      </c>
      <c r="F2060" s="3" t="str">
        <f t="shared" si="2"/>
        <v>(n): sắt</v>
      </c>
      <c r="G2060" s="6" t="s">
        <v>44926</v>
      </c>
      <c r="H2060" s="6" t="s">
        <v>44927</v>
      </c>
      <c r="I2060" s="7">
        <f t="shared" si="3"/>
        <v>0.3332874756</v>
      </c>
    </row>
    <row r="2061">
      <c r="A2061" s="4">
        <v>2061.0</v>
      </c>
      <c r="B2061" s="3" t="s">
        <v>44928</v>
      </c>
      <c r="C2061" s="6" t="s">
        <v>11</v>
      </c>
      <c r="D2061" s="6" t="s">
        <v>18510</v>
      </c>
      <c r="E2061" s="3" t="str">
        <f t="shared" si="1"/>
        <v>dry&lt;br&gt;&lt;div class="audio"&gt;[sound:dry.mp3]&lt;/div&gt;</v>
      </c>
      <c r="F2061" s="3" t="str">
        <f t="shared" si="2"/>
        <v>(adj): khô</v>
      </c>
      <c r="G2061" s="6" t="s">
        <v>44929</v>
      </c>
      <c r="H2061" s="6" t="s">
        <v>44930</v>
      </c>
      <c r="I2061" s="7">
        <f t="shared" si="3"/>
        <v>0.912365437</v>
      </c>
    </row>
    <row r="2062">
      <c r="A2062" s="4">
        <v>2062.0</v>
      </c>
      <c r="B2062" s="3" t="s">
        <v>44931</v>
      </c>
      <c r="C2062" s="6" t="s">
        <v>74</v>
      </c>
      <c r="D2062" s="8" t="s">
        <v>5101</v>
      </c>
      <c r="E2062" s="3" t="str">
        <f t="shared" si="1"/>
        <v>storm&lt;br&gt;&lt;div class="audio"&gt;[sound:storm.mp3]&lt;/div&gt;</v>
      </c>
      <c r="F2062" s="3" t="str">
        <f t="shared" si="2"/>
        <v>(n): bão</v>
      </c>
      <c r="G2062" s="8" t="s">
        <v>44932</v>
      </c>
      <c r="H2062" s="8" t="s">
        <v>44933</v>
      </c>
      <c r="I2062" s="7">
        <f t="shared" si="3"/>
        <v>0.5660903724</v>
      </c>
    </row>
    <row r="2063">
      <c r="A2063" s="4">
        <v>2063.0</v>
      </c>
      <c r="B2063" s="3" t="s">
        <v>44934</v>
      </c>
      <c r="C2063" s="6" t="s">
        <v>74</v>
      </c>
      <c r="D2063" s="6" t="s">
        <v>20154</v>
      </c>
      <c r="E2063" s="3" t="str">
        <f t="shared" si="1"/>
        <v>fund&lt;br&gt;&lt;div class="audio"&gt;[sound:fund.mp3]&lt;/div&gt;</v>
      </c>
      <c r="F2063" s="3" t="str">
        <f t="shared" si="2"/>
        <v>(n): quỹ</v>
      </c>
      <c r="G2063" s="6" t="s">
        <v>44935</v>
      </c>
      <c r="H2063" s="6" t="s">
        <v>44936</v>
      </c>
      <c r="I2063" s="7">
        <f t="shared" si="3"/>
        <v>0.1557830872</v>
      </c>
    </row>
    <row r="2064">
      <c r="A2064" s="4">
        <v>2064.0</v>
      </c>
      <c r="B2064" s="3" t="s">
        <v>44937</v>
      </c>
      <c r="C2064" s="6" t="s">
        <v>74</v>
      </c>
      <c r="D2064" s="8" t="s">
        <v>29027</v>
      </c>
      <c r="E2064" s="3" t="str">
        <f t="shared" si="1"/>
        <v>string&lt;br&gt;&lt;div class="audio"&gt;[sound:string.mp3]&lt;/div&gt;</v>
      </c>
      <c r="F2064" s="3" t="str">
        <f t="shared" si="2"/>
        <v>(n): dây</v>
      </c>
      <c r="G2064" s="8" t="s">
        <v>44938</v>
      </c>
      <c r="H2064" s="8" t="s">
        <v>44939</v>
      </c>
      <c r="I2064" s="7">
        <f t="shared" si="3"/>
        <v>0.2723300605</v>
      </c>
    </row>
    <row r="2065">
      <c r="A2065" s="4">
        <v>2065.0</v>
      </c>
      <c r="B2065" s="3" t="s">
        <v>44940</v>
      </c>
      <c r="C2065" s="6" t="s">
        <v>74</v>
      </c>
      <c r="D2065" s="6" t="s">
        <v>35752</v>
      </c>
      <c r="E2065" s="3" t="str">
        <f t="shared" si="1"/>
        <v>bunch&lt;br&gt;&lt;div class="audio"&gt;[sound:bunch.mp3]&lt;/div&gt;</v>
      </c>
      <c r="F2065" s="3" t="str">
        <f t="shared" si="2"/>
        <v>(n): bó</v>
      </c>
      <c r="G2065" s="6" t="s">
        <v>44941</v>
      </c>
      <c r="H2065" s="6" t="s">
        <v>44942</v>
      </c>
      <c r="I2065" s="7">
        <f t="shared" si="3"/>
        <v>0.8156972514</v>
      </c>
    </row>
    <row r="2066">
      <c r="A2066" s="4">
        <v>2066.0</v>
      </c>
      <c r="B2066" s="3" t="s">
        <v>44943</v>
      </c>
      <c r="C2066" s="6" t="s">
        <v>24</v>
      </c>
      <c r="D2066" s="6" t="s">
        <v>5021</v>
      </c>
      <c r="E2066" s="3" t="str">
        <f t="shared" si="1"/>
        <v>kick&lt;br&gt;&lt;div class="audio"&gt;[sound:kick.mp3]&lt;/div&gt;</v>
      </c>
      <c r="F2066" s="3" t="str">
        <f t="shared" si="2"/>
        <v>(v): đá</v>
      </c>
      <c r="G2066" s="6" t="s">
        <v>44944</v>
      </c>
      <c r="H2066" s="6" t="s">
        <v>44945</v>
      </c>
      <c r="I2066" s="7">
        <f t="shared" si="3"/>
        <v>0.2563814115</v>
      </c>
    </row>
    <row r="2067">
      <c r="A2067" s="4">
        <v>2067.0</v>
      </c>
      <c r="B2067" s="3" t="s">
        <v>44946</v>
      </c>
      <c r="C2067" s="6" t="s">
        <v>58</v>
      </c>
      <c r="D2067" s="6" t="s">
        <v>44947</v>
      </c>
      <c r="E2067" s="3" t="str">
        <f t="shared" si="1"/>
        <v>billion&lt;br&gt;&lt;div class="audio"&gt;[sound:billion.mp3]&lt;/div&gt;</v>
      </c>
      <c r="F2067" s="3" t="str">
        <f t="shared" si="2"/>
        <v>(num): tỷ</v>
      </c>
      <c r="G2067" s="6" t="s">
        <v>44948</v>
      </c>
      <c r="H2067" s="6" t="s">
        <v>44949</v>
      </c>
      <c r="I2067" s="7">
        <f t="shared" si="3"/>
        <v>0.3175110309</v>
      </c>
    </row>
    <row r="2068">
      <c r="A2068" s="4">
        <v>2068.0</v>
      </c>
      <c r="B2068" s="3" t="s">
        <v>44950</v>
      </c>
      <c r="C2068" s="6" t="s">
        <v>74</v>
      </c>
      <c r="D2068" s="6" t="s">
        <v>848</v>
      </c>
      <c r="E2068" s="3" t="str">
        <f t="shared" si="1"/>
        <v>mum&lt;br&gt;&lt;div class="audio"&gt;[sound:mum.mp3]&lt;/div&gt;</v>
      </c>
      <c r="F2068" s="3" t="str">
        <f t="shared" si="2"/>
        <v>(n): mẹ</v>
      </c>
      <c r="G2068" s="6" t="s">
        <v>44951</v>
      </c>
      <c r="H2068" s="6" t="s">
        <v>44952</v>
      </c>
      <c r="I2068" s="7">
        <f t="shared" si="3"/>
        <v>0.5397924753</v>
      </c>
    </row>
    <row r="2069">
      <c r="A2069" s="4">
        <v>2069.0</v>
      </c>
      <c r="B2069" s="3" t="s">
        <v>44953</v>
      </c>
      <c r="C2069" s="6" t="s">
        <v>74</v>
      </c>
      <c r="D2069" s="6" t="s">
        <v>4306</v>
      </c>
      <c r="E2069" s="3" t="str">
        <f t="shared" si="1"/>
        <v>grandmother&lt;br&gt;&lt;div class="audio"&gt;[sound:grandmother.mp3]&lt;/div&gt;</v>
      </c>
      <c r="F2069" s="3" t="str">
        <f t="shared" si="2"/>
        <v>(n): bà</v>
      </c>
      <c r="G2069" s="6" t="s">
        <v>44954</v>
      </c>
      <c r="H2069" s="6" t="s">
        <v>44955</v>
      </c>
      <c r="I2069" s="7">
        <f t="shared" si="3"/>
        <v>0.7415976011</v>
      </c>
    </row>
    <row r="2070">
      <c r="A2070" s="4">
        <v>2070.0</v>
      </c>
      <c r="B2070" s="3" t="s">
        <v>44956</v>
      </c>
      <c r="C2070" s="6" t="s">
        <v>11</v>
      </c>
      <c r="D2070" s="6" t="s">
        <v>43576</v>
      </c>
      <c r="E2070" s="3" t="str">
        <f t="shared" si="1"/>
        <v>ill&lt;br&gt;&lt;div class="audio"&gt;[sound:ill.mp3]&lt;/div&gt;</v>
      </c>
      <c r="F2070" s="3" t="str">
        <f t="shared" si="2"/>
        <v>(adj): ốm</v>
      </c>
      <c r="G2070" s="6" t="s">
        <v>44957</v>
      </c>
      <c r="H2070" s="6" t="s">
        <v>44958</v>
      </c>
      <c r="I2070" s="7">
        <f t="shared" si="3"/>
        <v>0.6243965636</v>
      </c>
    </row>
    <row r="2071">
      <c r="A2071" s="4">
        <v>2071.0</v>
      </c>
      <c r="B2071" s="3" t="s">
        <v>44959</v>
      </c>
      <c r="C2071" s="6" t="s">
        <v>74</v>
      </c>
      <c r="D2071" s="6" t="s">
        <v>26297</v>
      </c>
      <c r="E2071" s="3" t="str">
        <f t="shared" si="1"/>
        <v>cheek&lt;br&gt;&lt;div class="audio"&gt;[sound:cheek.mp3]&lt;/div&gt;</v>
      </c>
      <c r="F2071" s="3" t="str">
        <f t="shared" si="2"/>
        <v>(n): má</v>
      </c>
      <c r="G2071" s="6" t="s">
        <v>44960</v>
      </c>
      <c r="H2071" s="6" t="s">
        <v>44961</v>
      </c>
      <c r="I2071" s="7">
        <f t="shared" si="3"/>
        <v>0.76529904</v>
      </c>
    </row>
    <row r="2072">
      <c r="A2072" s="4">
        <v>2072.0</v>
      </c>
      <c r="B2072" s="3" t="s">
        <v>44962</v>
      </c>
      <c r="C2072" s="6" t="s">
        <v>74</v>
      </c>
      <c r="D2072" s="6" t="s">
        <v>16405</v>
      </c>
      <c r="E2072" s="3" t="str">
        <f t="shared" si="1"/>
        <v>root&lt;br&gt;&lt;div class="audio"&gt;[sound:root.mp3]&lt;/div&gt;</v>
      </c>
      <c r="F2072" s="3" t="str">
        <f t="shared" si="2"/>
        <v>(n): rễ</v>
      </c>
      <c r="G2072" s="6" t="s">
        <v>44963</v>
      </c>
      <c r="H2072" s="6" t="s">
        <v>44964</v>
      </c>
      <c r="I2072" s="7">
        <f t="shared" si="3"/>
        <v>0.4644514118</v>
      </c>
    </row>
    <row r="2073">
      <c r="A2073" s="4">
        <v>2073.0</v>
      </c>
      <c r="B2073" s="3" t="s">
        <v>44965</v>
      </c>
      <c r="C2073" s="6" t="s">
        <v>33</v>
      </c>
      <c r="D2073" s="6" t="s">
        <v>44966</v>
      </c>
      <c r="E2073" s="3" t="str">
        <f t="shared" si="1"/>
        <v>ah&lt;br&gt;&lt;div class="audio"&gt;[sound:ah.mp3]&lt;/div&gt;</v>
      </c>
      <c r="F2073" s="3" t="str">
        <f t="shared" si="2"/>
        <v>(int): á</v>
      </c>
      <c r="G2073" s="6" t="s">
        <v>44967</v>
      </c>
      <c r="H2073" s="6" t="s">
        <v>44968</v>
      </c>
      <c r="I2073" s="7">
        <f t="shared" si="3"/>
        <v>0.6303319128</v>
      </c>
    </row>
    <row r="2074">
      <c r="A2074" s="4">
        <v>2074.0</v>
      </c>
      <c r="B2074" s="3" t="s">
        <v>44969</v>
      </c>
      <c r="C2074" s="6" t="s">
        <v>74</v>
      </c>
      <c r="D2074" s="6" t="s">
        <v>44970</v>
      </c>
      <c r="E2074" s="3" t="str">
        <f t="shared" si="1"/>
        <v>december&lt;br&gt;&lt;div class="audio"&gt;[sound:december.mp3]&lt;/div&gt;</v>
      </c>
      <c r="F2074" s="3" t="str">
        <f t="shared" si="2"/>
        <v>(n): tháng 12</v>
      </c>
      <c r="G2074" s="6" t="s">
        <v>44971</v>
      </c>
      <c r="H2074" s="6" t="s">
        <v>44972</v>
      </c>
      <c r="I2074" s="7">
        <f t="shared" si="3"/>
        <v>0.365995498</v>
      </c>
    </row>
    <row r="2075">
      <c r="A2075" s="4">
        <v>2075.0</v>
      </c>
      <c r="B2075" s="3" t="s">
        <v>44973</v>
      </c>
      <c r="C2075" s="6" t="s">
        <v>74</v>
      </c>
      <c r="D2075" s="6" t="s">
        <v>8992</v>
      </c>
      <c r="E2075" s="3" t="str">
        <f t="shared" si="1"/>
        <v>document&lt;br&gt;&lt;div class="audio"&gt;[sound:document.mp3]&lt;/div&gt;</v>
      </c>
      <c r="F2075" s="3" t="str">
        <f t="shared" si="2"/>
        <v>(n): tài liệu</v>
      </c>
      <c r="G2075" s="6" t="s">
        <v>44974</v>
      </c>
      <c r="H2075" s="6" t="s">
        <v>44975</v>
      </c>
      <c r="I2075" s="7">
        <f t="shared" si="3"/>
        <v>0.1130995117</v>
      </c>
    </row>
    <row r="2076">
      <c r="A2076" s="4">
        <v>2076.0</v>
      </c>
      <c r="B2076" s="3" t="s">
        <v>44976</v>
      </c>
      <c r="C2076" s="6" t="s">
        <v>74</v>
      </c>
      <c r="D2076" s="6" t="s">
        <v>44977</v>
      </c>
      <c r="E2076" s="3" t="str">
        <f t="shared" si="1"/>
        <v>tablet&lt;br&gt;&lt;div class="audio"&gt;[sound:tablet.mp3]&lt;/div&gt;</v>
      </c>
      <c r="F2076" s="3" t="str">
        <f t="shared" si="2"/>
        <v>(n): máy tính bảng</v>
      </c>
      <c r="G2076" s="6" t="s">
        <v>44978</v>
      </c>
      <c r="H2076" s="6" t="s">
        <v>44979</v>
      </c>
      <c r="I2076" s="7">
        <f t="shared" si="3"/>
        <v>0.3514555186</v>
      </c>
    </row>
    <row r="2077">
      <c r="A2077" s="4">
        <v>2077.0</v>
      </c>
      <c r="B2077" s="3" t="s">
        <v>44980</v>
      </c>
      <c r="C2077" s="6" t="s">
        <v>74</v>
      </c>
      <c r="D2077" s="6" t="s">
        <v>15607</v>
      </c>
      <c r="E2077" s="3" t="str">
        <f t="shared" si="1"/>
        <v>division&lt;br&gt;&lt;div class="audio"&gt;[sound:division.mp3]&lt;/div&gt;</v>
      </c>
      <c r="F2077" s="3" t="str">
        <f t="shared" si="2"/>
        <v>(n): sự phân chia</v>
      </c>
      <c r="G2077" s="6" t="s">
        <v>44981</v>
      </c>
      <c r="H2077" s="6" t="s">
        <v>44982</v>
      </c>
      <c r="I2077" s="7">
        <f t="shared" si="3"/>
        <v>0.8577848717</v>
      </c>
    </row>
    <row r="2078">
      <c r="A2078" s="4">
        <v>2078.0</v>
      </c>
      <c r="B2078" s="3" t="s">
        <v>44983</v>
      </c>
      <c r="C2078" s="6" t="s">
        <v>11</v>
      </c>
      <c r="D2078" s="6" t="s">
        <v>44984</v>
      </c>
      <c r="E2078" s="3" t="str">
        <f t="shared" si="1"/>
        <v>convenient&lt;br&gt;&lt;div class="audio"&gt;[sound:convenient.mp3]&lt;/div&gt;</v>
      </c>
      <c r="F2078" s="3" t="str">
        <f t="shared" si="2"/>
        <v>(adj): thuận tiện</v>
      </c>
      <c r="G2078" s="6" t="s">
        <v>44985</v>
      </c>
      <c r="H2078" s="6" t="s">
        <v>44986</v>
      </c>
      <c r="I2078" s="7">
        <f t="shared" si="3"/>
        <v>0.5537416951</v>
      </c>
    </row>
    <row r="2079">
      <c r="A2079" s="4">
        <v>2079.0</v>
      </c>
      <c r="B2079" s="3" t="s">
        <v>44987</v>
      </c>
      <c r="C2079" s="6" t="s">
        <v>24</v>
      </c>
      <c r="D2079" s="6" t="s">
        <v>26890</v>
      </c>
      <c r="E2079" s="3" t="str">
        <f t="shared" si="1"/>
        <v>declare&lt;br&gt;&lt;div class="audio"&gt;[sound:declare.mp3]&lt;/div&gt;</v>
      </c>
      <c r="F2079" s="3" t="str">
        <f t="shared" si="2"/>
        <v>(v): tuyên bố</v>
      </c>
      <c r="G2079" s="6" t="s">
        <v>44988</v>
      </c>
      <c r="H2079" s="6" t="s">
        <v>44989</v>
      </c>
      <c r="I2079" s="7">
        <f t="shared" si="3"/>
        <v>0.2635081259</v>
      </c>
    </row>
    <row r="2080">
      <c r="A2080" s="4">
        <v>2080.0</v>
      </c>
      <c r="B2080" s="3" t="s">
        <v>44990</v>
      </c>
      <c r="C2080" s="6" t="s">
        <v>11</v>
      </c>
      <c r="D2080" s="6" t="s">
        <v>8282</v>
      </c>
      <c r="E2080" s="3" t="str">
        <f t="shared" si="1"/>
        <v>giant&lt;br&gt;&lt;div class="audio"&gt;[sound:giant.mp3]&lt;/div&gt;</v>
      </c>
      <c r="F2080" s="3" t="str">
        <f t="shared" si="2"/>
        <v>(adj): khổng lồ</v>
      </c>
      <c r="G2080" s="6" t="s">
        <v>44991</v>
      </c>
      <c r="H2080" s="6" t="s">
        <v>44992</v>
      </c>
      <c r="I2080" s="7">
        <f t="shared" si="3"/>
        <v>0.9102637991</v>
      </c>
    </row>
    <row r="2081">
      <c r="A2081" s="4">
        <v>2081.0</v>
      </c>
      <c r="B2081" s="3" t="s">
        <v>44993</v>
      </c>
      <c r="C2081" s="6" t="s">
        <v>74</v>
      </c>
      <c r="D2081" s="6" t="s">
        <v>16039</v>
      </c>
      <c r="E2081" s="3" t="str">
        <f t="shared" si="1"/>
        <v>territory&lt;br&gt;&lt;div class="audio"&gt;[sound:territory.mp3]&lt;/div&gt;</v>
      </c>
      <c r="F2081" s="3" t="str">
        <f t="shared" si="2"/>
        <v>(n): lãnh thổ</v>
      </c>
      <c r="G2081" s="6" t="s">
        <v>44994</v>
      </c>
      <c r="H2081" s="6" t="s">
        <v>44995</v>
      </c>
      <c r="I2081" s="7">
        <f t="shared" si="3"/>
        <v>0.1287216733</v>
      </c>
    </row>
    <row r="2082">
      <c r="A2082" s="4">
        <v>2082.0</v>
      </c>
      <c r="B2082" s="3" t="s">
        <v>44996</v>
      </c>
      <c r="C2082" s="6" t="s">
        <v>74</v>
      </c>
      <c r="D2082" s="6" t="s">
        <v>44997</v>
      </c>
      <c r="E2082" s="3" t="str">
        <f t="shared" si="1"/>
        <v>decade&lt;br&gt;&lt;div class="audio"&gt;[sound:decade.mp3]&lt;/div&gt;</v>
      </c>
      <c r="F2082" s="3" t="str">
        <f t="shared" si="2"/>
        <v>(n): thập kỷ</v>
      </c>
      <c r="G2082" s="6" t="s">
        <v>44998</v>
      </c>
      <c r="H2082" s="6" t="s">
        <v>44999</v>
      </c>
      <c r="I2082" s="7">
        <f t="shared" si="3"/>
        <v>0.1152467841</v>
      </c>
    </row>
    <row r="2083">
      <c r="A2083" s="4">
        <v>2083.0</v>
      </c>
      <c r="B2083" s="3" t="s">
        <v>45000</v>
      </c>
      <c r="C2083" s="6" t="s">
        <v>74</v>
      </c>
      <c r="D2083" s="6" t="s">
        <v>21741</v>
      </c>
      <c r="E2083" s="3" t="str">
        <f t="shared" si="1"/>
        <v>drama&lt;br&gt;&lt;div class="audio"&gt;[sound:drama.mp3]&lt;/div&gt;</v>
      </c>
      <c r="F2083" s="3" t="str">
        <f t="shared" si="2"/>
        <v>(n): kịch</v>
      </c>
      <c r="G2083" s="6" t="s">
        <v>45001</v>
      </c>
      <c r="H2083" s="6" t="s">
        <v>45002</v>
      </c>
      <c r="I2083" s="7">
        <f t="shared" si="3"/>
        <v>0.6329594349</v>
      </c>
    </row>
    <row r="2084">
      <c r="A2084" s="4">
        <v>2084.0</v>
      </c>
      <c r="B2084" s="3" t="s">
        <v>45003</v>
      </c>
      <c r="C2084" s="6" t="s">
        <v>85</v>
      </c>
      <c r="D2084" s="6" t="s">
        <v>45004</v>
      </c>
      <c r="E2084" s="3" t="str">
        <f t="shared" si="1"/>
        <v>deeply&lt;br&gt;&lt;div class="audio"&gt;[sound:deeply.mp3]&lt;/div&gt;</v>
      </c>
      <c r="F2084" s="3" t="str">
        <f t="shared" si="2"/>
        <v>(adv): một cách sâu sắc</v>
      </c>
      <c r="G2084" s="6" t="s">
        <v>45005</v>
      </c>
      <c r="H2084" s="6" t="s">
        <v>45006</v>
      </c>
      <c r="I2084" s="7">
        <f t="shared" si="3"/>
        <v>0.3383046919</v>
      </c>
    </row>
    <row r="2085">
      <c r="A2085" s="4">
        <v>2085.0</v>
      </c>
      <c r="B2085" s="3" t="s">
        <v>45007</v>
      </c>
      <c r="C2085" s="6" t="s">
        <v>74</v>
      </c>
      <c r="D2085" s="6" t="s">
        <v>36002</v>
      </c>
      <c r="E2085" s="3" t="str">
        <f t="shared" si="1"/>
        <v>teenager&lt;br&gt;&lt;div class="audio"&gt;[sound:teenager.mp3]&lt;/div&gt;</v>
      </c>
      <c r="F2085" s="3" t="str">
        <f t="shared" si="2"/>
        <v>(n): thanh thiếu niên</v>
      </c>
      <c r="G2085" s="6" t="s">
        <v>45008</v>
      </c>
      <c r="H2085" s="6" t="s">
        <v>45009</v>
      </c>
      <c r="I2085" s="7">
        <f t="shared" si="3"/>
        <v>0.8657431719</v>
      </c>
    </row>
    <row r="2086">
      <c r="A2086" s="4">
        <v>2086.0</v>
      </c>
      <c r="B2086" s="3" t="s">
        <v>45010</v>
      </c>
      <c r="C2086" s="6" t="s">
        <v>74</v>
      </c>
      <c r="D2086" s="6" t="s">
        <v>45011</v>
      </c>
      <c r="E2086" s="3" t="str">
        <f t="shared" si="1"/>
        <v>controversy&lt;br&gt;&lt;div class="audio"&gt;[sound:controversy.mp3]&lt;/div&gt;</v>
      </c>
      <c r="F2086" s="3" t="str">
        <f t="shared" si="2"/>
        <v>(n): cuộc tranh cãi</v>
      </c>
      <c r="G2086" s="6" t="s">
        <v>45012</v>
      </c>
      <c r="H2086" s="6" t="s">
        <v>45013</v>
      </c>
      <c r="I2086" s="7">
        <f t="shared" si="3"/>
        <v>0.3364524614</v>
      </c>
    </row>
    <row r="2087">
      <c r="A2087" s="4">
        <v>2087.0</v>
      </c>
      <c r="B2087" s="3" t="s">
        <v>45014</v>
      </c>
      <c r="C2087" s="6" t="s">
        <v>74</v>
      </c>
      <c r="D2087" s="6" t="s">
        <v>45015</v>
      </c>
      <c r="E2087" s="3" t="str">
        <f t="shared" si="1"/>
        <v>editor&lt;br&gt;&lt;div class="audio"&gt;[sound:editor.mp3]&lt;/div&gt;</v>
      </c>
      <c r="F2087" s="3" t="str">
        <f t="shared" si="2"/>
        <v>(n): biên tập viên</v>
      </c>
      <c r="G2087" s="6" t="s">
        <v>45016</v>
      </c>
      <c r="H2087" s="6" t="s">
        <v>45017</v>
      </c>
      <c r="I2087" s="7">
        <f t="shared" si="3"/>
        <v>0.8357055578</v>
      </c>
    </row>
    <row r="2088">
      <c r="A2088" s="4">
        <v>2088.0</v>
      </c>
      <c r="B2088" s="3" t="s">
        <v>45018</v>
      </c>
      <c r="C2088" s="6" t="s">
        <v>74</v>
      </c>
      <c r="D2088" s="6" t="s">
        <v>45019</v>
      </c>
      <c r="E2088" s="3" t="str">
        <f t="shared" si="1"/>
        <v>tourist&lt;br&gt;&lt;div class="audio"&gt;[sound:tourist.mp3]&lt;/div&gt;</v>
      </c>
      <c r="F2088" s="3" t="str">
        <f t="shared" si="2"/>
        <v>(n): khách du lịch</v>
      </c>
      <c r="G2088" s="6" t="s">
        <v>45020</v>
      </c>
      <c r="H2088" s="6" t="s">
        <v>45021</v>
      </c>
      <c r="I2088" s="7">
        <f t="shared" si="3"/>
        <v>0.06172915339</v>
      </c>
    </row>
    <row r="2089">
      <c r="A2089" s="4">
        <v>2089.0</v>
      </c>
      <c r="B2089" s="3" t="s">
        <v>45022</v>
      </c>
      <c r="C2089" s="6" t="s">
        <v>74</v>
      </c>
      <c r="D2089" s="6" t="s">
        <v>45023</v>
      </c>
      <c r="E2089" s="3" t="str">
        <f t="shared" si="1"/>
        <v>globalization&lt;br&gt;&lt;div class="audio"&gt;[sound:globalization.mp3]&lt;/div&gt;</v>
      </c>
      <c r="F2089" s="3" t="str">
        <f t="shared" si="2"/>
        <v>(n): toàn cầu hóa</v>
      </c>
      <c r="G2089" s="6" t="s">
        <v>45024</v>
      </c>
      <c r="H2089" s="6" t="s">
        <v>45025</v>
      </c>
      <c r="I2089" s="7">
        <f t="shared" si="3"/>
        <v>0.7537559009</v>
      </c>
    </row>
    <row r="2090">
      <c r="A2090" s="4">
        <v>2090.0</v>
      </c>
      <c r="B2090" s="3" t="s">
        <v>45026</v>
      </c>
      <c r="C2090" s="6" t="s">
        <v>74</v>
      </c>
      <c r="D2090" s="6" t="s">
        <v>2081</v>
      </c>
      <c r="E2090" s="3" t="str">
        <f t="shared" si="1"/>
        <v>tale&lt;br&gt;&lt;div class="audio"&gt;[sound:tale.mp3]&lt;/div&gt;</v>
      </c>
      <c r="F2090" s="3" t="str">
        <f t="shared" si="2"/>
        <v>(n): câu chuyện</v>
      </c>
      <c r="G2090" s="6" t="s">
        <v>45027</v>
      </c>
      <c r="H2090" s="6" t="s">
        <v>45028</v>
      </c>
      <c r="I2090" s="7">
        <f t="shared" si="3"/>
        <v>0.8116336708</v>
      </c>
    </row>
    <row r="2091">
      <c r="A2091" s="4">
        <v>2091.0</v>
      </c>
      <c r="B2091" s="3" t="s">
        <v>45029</v>
      </c>
      <c r="C2091" s="6" t="s">
        <v>74</v>
      </c>
      <c r="D2091" s="6" t="s">
        <v>45030</v>
      </c>
      <c r="E2091" s="3" t="str">
        <f t="shared" si="1"/>
        <v>trick&lt;br&gt;&lt;div class="audio"&gt;[sound:trick.mp3]&lt;/div&gt;</v>
      </c>
      <c r="F2091" s="3" t="str">
        <f t="shared" si="2"/>
        <v>(n): thủ thuật</v>
      </c>
      <c r="G2091" s="6" t="s">
        <v>45031</v>
      </c>
      <c r="H2091" s="6" t="s">
        <v>45032</v>
      </c>
      <c r="I2091" s="7">
        <f t="shared" si="3"/>
        <v>0.8794649816</v>
      </c>
    </row>
    <row r="2092">
      <c r="A2092" s="4">
        <v>2092.0</v>
      </c>
      <c r="B2092" s="3" t="s">
        <v>45033</v>
      </c>
      <c r="C2092" s="6" t="s">
        <v>85</v>
      </c>
      <c r="D2092" s="6" t="s">
        <v>23885</v>
      </c>
      <c r="E2092" s="3" t="str">
        <f t="shared" si="1"/>
        <v>gently&lt;br&gt;&lt;div class="audio"&gt;[sound:gently.mp3]&lt;/div&gt;</v>
      </c>
      <c r="F2092" s="3" t="str">
        <f t="shared" si="2"/>
        <v>(adv): nhẹ nhàng</v>
      </c>
      <c r="G2092" s="6" t="s">
        <v>45034</v>
      </c>
      <c r="H2092" s="6" t="s">
        <v>45035</v>
      </c>
      <c r="I2092" s="7">
        <f t="shared" si="3"/>
        <v>0.07701382114</v>
      </c>
    </row>
    <row r="2093">
      <c r="A2093" s="4">
        <v>2093.0</v>
      </c>
      <c r="B2093" s="3" t="s">
        <v>45036</v>
      </c>
      <c r="C2093" s="6" t="s">
        <v>74</v>
      </c>
      <c r="D2093" s="6" t="s">
        <v>17837</v>
      </c>
      <c r="E2093" s="3" t="str">
        <f t="shared" si="1"/>
        <v>therapy&lt;br&gt;&lt;div class="audio"&gt;[sound:therapy.mp3]&lt;/div&gt;</v>
      </c>
      <c r="F2093" s="3" t="str">
        <f t="shared" si="2"/>
        <v>(n): trị liệu</v>
      </c>
      <c r="G2093" s="6" t="s">
        <v>45037</v>
      </c>
      <c r="H2093" s="6" t="s">
        <v>45038</v>
      </c>
      <c r="I2093" s="7">
        <f t="shared" si="3"/>
        <v>0.5499727255</v>
      </c>
    </row>
    <row r="2094">
      <c r="A2094" s="4">
        <v>2094.0</v>
      </c>
      <c r="B2094" s="3" t="s">
        <v>45039</v>
      </c>
      <c r="C2094" s="6" t="s">
        <v>58</v>
      </c>
      <c r="D2094" s="6" t="s">
        <v>45040</v>
      </c>
      <c r="E2094" s="3" t="str">
        <f t="shared" si="1"/>
        <v>twelve&lt;br&gt;&lt;div class="audio"&gt;[sound:twelve.mp3]&lt;/div&gt;</v>
      </c>
      <c r="F2094" s="3" t="str">
        <f t="shared" si="2"/>
        <v>(num): mười hai</v>
      </c>
      <c r="G2094" s="6" t="s">
        <v>45041</v>
      </c>
      <c r="H2094" s="6" t="s">
        <v>45042</v>
      </c>
      <c r="I2094" s="7">
        <f t="shared" si="3"/>
        <v>0.03241387427</v>
      </c>
    </row>
    <row r="2095">
      <c r="A2095" s="4">
        <v>2095.0</v>
      </c>
      <c r="B2095" s="3" t="s">
        <v>45043</v>
      </c>
      <c r="C2095" s="6" t="s">
        <v>74</v>
      </c>
      <c r="D2095" s="6" t="s">
        <v>5750</v>
      </c>
      <c r="E2095" s="3" t="str">
        <f t="shared" si="1"/>
        <v>toy&lt;br&gt;&lt;div class="audio"&gt;[sound:toy.mp3]&lt;/div&gt;</v>
      </c>
      <c r="F2095" s="3" t="str">
        <f t="shared" si="2"/>
        <v>(n): đồ chơi</v>
      </c>
      <c r="G2095" s="6" t="s">
        <v>45044</v>
      </c>
      <c r="H2095" s="6" t="s">
        <v>45045</v>
      </c>
      <c r="I2095" s="7">
        <f t="shared" si="3"/>
        <v>0.3289487936</v>
      </c>
    </row>
    <row r="2096">
      <c r="A2096" s="4">
        <v>2096.0</v>
      </c>
      <c r="B2096" s="3" t="s">
        <v>45046</v>
      </c>
      <c r="C2096" s="6" t="s">
        <v>74</v>
      </c>
      <c r="D2096" s="6" t="s">
        <v>42198</v>
      </c>
      <c r="E2096" s="3" t="str">
        <f t="shared" si="1"/>
        <v>jail&lt;br&gt;&lt;div class="audio"&gt;[sound:jail.mp3]&lt;/div&gt;</v>
      </c>
      <c r="F2096" s="3" t="str">
        <f t="shared" si="2"/>
        <v>(n): nhà tù</v>
      </c>
      <c r="G2096" s="6" t="s">
        <v>45047</v>
      </c>
      <c r="H2096" s="6" t="s">
        <v>45048</v>
      </c>
      <c r="I2096" s="7">
        <f t="shared" si="3"/>
        <v>0.6858033098</v>
      </c>
    </row>
    <row r="2097">
      <c r="A2097" s="4">
        <v>2097.0</v>
      </c>
      <c r="B2097" s="3" t="s">
        <v>45049</v>
      </c>
      <c r="C2097" s="6" t="s">
        <v>74</v>
      </c>
      <c r="D2097" s="6" t="s">
        <v>11818</v>
      </c>
      <c r="E2097" s="3" t="str">
        <f t="shared" si="1"/>
        <v>truck&lt;br&gt;&lt;div class="audio"&gt;[sound:truck.mp3]&lt;/div&gt;</v>
      </c>
      <c r="F2097" s="3" t="str">
        <f t="shared" si="2"/>
        <v>(n): xe tải</v>
      </c>
      <c r="G2097" s="6" t="s">
        <v>45050</v>
      </c>
      <c r="H2097" s="6" t="s">
        <v>45051</v>
      </c>
      <c r="I2097" s="7">
        <f t="shared" si="3"/>
        <v>0.8759050032</v>
      </c>
    </row>
    <row r="2098">
      <c r="A2098" s="4">
        <v>2098.0</v>
      </c>
      <c r="B2098" s="3" t="s">
        <v>45052</v>
      </c>
      <c r="C2098" s="6" t="s">
        <v>74</v>
      </c>
      <c r="D2098" s="6" t="s">
        <v>29021</v>
      </c>
      <c r="E2098" s="3" t="str">
        <f t="shared" si="1"/>
        <v>district&lt;br&gt;&lt;div class="audio"&gt;[sound:district.mp3]&lt;/div&gt;</v>
      </c>
      <c r="F2098" s="3" t="str">
        <f t="shared" si="2"/>
        <v>(n): quận</v>
      </c>
      <c r="G2098" s="6" t="s">
        <v>45053</v>
      </c>
      <c r="H2098" s="6" t="s">
        <v>45054</v>
      </c>
      <c r="I2098" s="7">
        <f t="shared" si="3"/>
        <v>0.9848419584</v>
      </c>
    </row>
    <row r="2099">
      <c r="A2099" s="4">
        <v>2099.0</v>
      </c>
      <c r="B2099" s="3" t="s">
        <v>45055</v>
      </c>
      <c r="C2099" s="6" t="s">
        <v>74</v>
      </c>
      <c r="D2099" s="6" t="s">
        <v>3860</v>
      </c>
      <c r="E2099" s="3" t="str">
        <f t="shared" si="1"/>
        <v>grandfather&lt;br&gt;&lt;div class="audio"&gt;[sound:grandfather.mp3]&lt;/div&gt;</v>
      </c>
      <c r="F2099" s="3" t="str">
        <f t="shared" si="2"/>
        <v>(n): ông</v>
      </c>
      <c r="G2099" s="6" t="s">
        <v>45056</v>
      </c>
      <c r="H2099" s="6" t="s">
        <v>45057</v>
      </c>
      <c r="I2099" s="7">
        <f t="shared" si="3"/>
        <v>0.9530418309</v>
      </c>
    </row>
    <row r="2100">
      <c r="A2100" s="4">
        <v>2100.0</v>
      </c>
      <c r="B2100" s="3" t="s">
        <v>45058</v>
      </c>
      <c r="C2100" s="6" t="s">
        <v>74</v>
      </c>
      <c r="D2100" s="6" t="s">
        <v>45059</v>
      </c>
      <c r="E2100" s="3" t="str">
        <f t="shared" si="1"/>
        <v>desire&lt;br&gt;&lt;div class="audio"&gt;[sound:desire.mp3]&lt;/div&gt;</v>
      </c>
      <c r="F2100" s="3" t="str">
        <f t="shared" si="2"/>
        <v>(n): khao khát</v>
      </c>
      <c r="G2100" s="6" t="s">
        <v>45060</v>
      </c>
      <c r="H2100" s="6" t="s">
        <v>45061</v>
      </c>
      <c r="I2100" s="7">
        <f t="shared" si="3"/>
        <v>0.1702630566</v>
      </c>
    </row>
    <row r="2101">
      <c r="A2101" s="4">
        <v>2101.0</v>
      </c>
      <c r="B2101" s="3" t="s">
        <v>45062</v>
      </c>
      <c r="C2101" s="6" t="s">
        <v>11</v>
      </c>
      <c r="D2101" s="6" t="s">
        <v>45063</v>
      </c>
      <c r="E2101" s="3" t="str">
        <f t="shared" si="1"/>
        <v>crazy&lt;br&gt;&lt;div class="audio"&gt;[sound:crazy.mp3]&lt;/div&gt;</v>
      </c>
      <c r="F2101" s="3" t="str">
        <f t="shared" si="2"/>
        <v>(adj): điên rồ</v>
      </c>
      <c r="G2101" s="6" t="s">
        <v>45064</v>
      </c>
      <c r="H2101" s="6" t="s">
        <v>45065</v>
      </c>
      <c r="I2101" s="7">
        <f t="shared" si="3"/>
        <v>0.4705033692</v>
      </c>
    </row>
    <row r="2102">
      <c r="A2102" s="4">
        <v>2102.0</v>
      </c>
      <c r="B2102" s="3" t="s">
        <v>45066</v>
      </c>
      <c r="C2102" s="6" t="s">
        <v>74</v>
      </c>
      <c r="D2102" s="6" t="s">
        <v>45067</v>
      </c>
      <c r="E2102" s="3" t="str">
        <f t="shared" si="1"/>
        <v>drawing&lt;br&gt;&lt;div class="audio"&gt;[sound:drawing.mp3]&lt;/div&gt;</v>
      </c>
      <c r="F2102" s="3" t="str">
        <f t="shared" si="2"/>
        <v>(n): bản vẽ</v>
      </c>
      <c r="G2102" s="6" t="s">
        <v>45068</v>
      </c>
      <c r="H2102" s="6" t="s">
        <v>45069</v>
      </c>
      <c r="I2102" s="7">
        <f t="shared" si="3"/>
        <v>0.7065872594</v>
      </c>
    </row>
    <row r="2103">
      <c r="A2103" s="4">
        <v>2103.0</v>
      </c>
      <c r="B2103" s="3" t="s">
        <v>45070</v>
      </c>
      <c r="C2103" s="6" t="s">
        <v>74</v>
      </c>
      <c r="D2103" s="6" t="s">
        <v>45071</v>
      </c>
      <c r="E2103" s="3" t="str">
        <f t="shared" si="1"/>
        <v>cooking&lt;br&gt;&lt;div class="audio"&gt;[sound:cooking.mp3]&lt;/div&gt;</v>
      </c>
      <c r="F2103" s="3" t="str">
        <f t="shared" si="2"/>
        <v>(n): việc nấu ăn</v>
      </c>
      <c r="G2103" s="6" t="s">
        <v>45072</v>
      </c>
      <c r="H2103" s="6" t="s">
        <v>45073</v>
      </c>
      <c r="I2103" s="7">
        <f t="shared" si="3"/>
        <v>0.08723677781</v>
      </c>
    </row>
    <row r="2104">
      <c r="A2104" s="4">
        <v>2104.0</v>
      </c>
      <c r="B2104" s="3" t="s">
        <v>45074</v>
      </c>
      <c r="C2104" s="6" t="s">
        <v>24</v>
      </c>
      <c r="D2104" s="6" t="s">
        <v>15839</v>
      </c>
      <c r="E2104" s="3" t="str">
        <f t="shared" si="1"/>
        <v>deserve&lt;br&gt;&lt;div class="audio"&gt;[sound:deserve.mp3]&lt;/div&gt;</v>
      </c>
      <c r="F2104" s="3" t="str">
        <f t="shared" si="2"/>
        <v>(v): xứng đáng</v>
      </c>
      <c r="G2104" s="6" t="s">
        <v>45075</v>
      </c>
      <c r="H2104" s="6" t="s">
        <v>45076</v>
      </c>
      <c r="I2104" s="7">
        <f t="shared" si="3"/>
        <v>0.6173476536</v>
      </c>
    </row>
    <row r="2105">
      <c r="A2105" s="4">
        <v>2105.0</v>
      </c>
      <c r="B2105" s="3" t="s">
        <v>45077</v>
      </c>
      <c r="C2105" s="6" t="s">
        <v>74</v>
      </c>
      <c r="D2105" s="6" t="s">
        <v>45078</v>
      </c>
      <c r="E2105" s="3" t="str">
        <f t="shared" si="1"/>
        <v>glance&lt;br&gt;&lt;div class="audio"&gt;[sound:glance.mp3]&lt;/div&gt;</v>
      </c>
      <c r="F2105" s="3" t="str">
        <f t="shared" si="2"/>
        <v>(n): cái liếc</v>
      </c>
      <c r="G2105" s="6" t="s">
        <v>45079</v>
      </c>
      <c r="H2105" s="6" t="s">
        <v>45080</v>
      </c>
      <c r="I2105" s="7">
        <f t="shared" si="3"/>
        <v>0.3025482785</v>
      </c>
    </row>
    <row r="2106">
      <c r="A2106" s="4">
        <v>2106.0</v>
      </c>
      <c r="B2106" s="3" t="s">
        <v>45081</v>
      </c>
      <c r="C2106" s="6" t="s">
        <v>24</v>
      </c>
      <c r="D2106" s="6" t="s">
        <v>45082</v>
      </c>
      <c r="E2106" s="3" t="str">
        <f t="shared" si="1"/>
        <v>tap&lt;br&gt;&lt;div class="audio"&gt;[sound:tap.mp3]&lt;/div&gt;</v>
      </c>
      <c r="F2106" s="3" t="str">
        <f t="shared" si="2"/>
        <v>(v): chạm nhẹ</v>
      </c>
      <c r="G2106" s="6" t="s">
        <v>45083</v>
      </c>
      <c r="H2106" s="6" t="s">
        <v>45084</v>
      </c>
      <c r="I2106" s="7">
        <f t="shared" si="3"/>
        <v>0.7455676439</v>
      </c>
    </row>
    <row r="2107">
      <c r="A2107" s="4">
        <v>2107.0</v>
      </c>
      <c r="B2107" s="3" t="s">
        <v>45085</v>
      </c>
      <c r="C2107" s="6" t="s">
        <v>24</v>
      </c>
      <c r="D2107" s="6" t="s">
        <v>1775</v>
      </c>
      <c r="E2107" s="3" t="str">
        <f t="shared" si="1"/>
        <v>drag&lt;br&gt;&lt;div class="audio"&gt;[sound:drag.mp3]&lt;/div&gt;</v>
      </c>
      <c r="F2107" s="3" t="str">
        <f t="shared" si="2"/>
        <v>(v): kéo</v>
      </c>
      <c r="G2107" s="6" t="s">
        <v>45086</v>
      </c>
      <c r="H2107" s="6" t="s">
        <v>45087</v>
      </c>
      <c r="I2107" s="7">
        <f t="shared" si="3"/>
        <v>0.3149893016</v>
      </c>
    </row>
    <row r="2108">
      <c r="A2108" s="4">
        <v>2108.0</v>
      </c>
      <c r="B2108" s="3" t="s">
        <v>45088</v>
      </c>
      <c r="C2108" s="6" t="s">
        <v>11</v>
      </c>
      <c r="D2108" s="6" t="s">
        <v>45089</v>
      </c>
      <c r="E2108" s="3" t="str">
        <f t="shared" si="1"/>
        <v>educational&lt;br&gt;&lt;div class="audio"&gt;[sound:educational.mp3]&lt;/div&gt;</v>
      </c>
      <c r="F2108" s="3" t="str">
        <f t="shared" si="2"/>
        <v>(adj): mang tính giáo dục</v>
      </c>
      <c r="G2108" s="6" t="s">
        <v>45090</v>
      </c>
      <c r="H2108" s="6" t="s">
        <v>45091</v>
      </c>
      <c r="I2108" s="7">
        <f t="shared" si="3"/>
        <v>0.6677717194</v>
      </c>
    </row>
    <row r="2109">
      <c r="A2109" s="4">
        <v>2109.0</v>
      </c>
      <c r="B2109" s="3" t="s">
        <v>45092</v>
      </c>
      <c r="C2109" s="6" t="s">
        <v>74</v>
      </c>
      <c r="D2109" s="6" t="s">
        <v>45093</v>
      </c>
      <c r="E2109" s="3" t="str">
        <f t="shared" si="1"/>
        <v>delay&lt;br&gt;&lt;div class="audio"&gt;[sound:delay.mp3]&lt;/div&gt;</v>
      </c>
      <c r="F2109" s="3" t="str">
        <f t="shared" si="2"/>
        <v>(n): sự trì hoãn</v>
      </c>
      <c r="G2109" s="6" t="s">
        <v>45094</v>
      </c>
      <c r="H2109" s="6" t="s">
        <v>45095</v>
      </c>
      <c r="I2109" s="7">
        <f t="shared" si="3"/>
        <v>0.01558792094</v>
      </c>
    </row>
    <row r="2110">
      <c r="A2110" s="4">
        <v>2110.0</v>
      </c>
      <c r="B2110" s="3" t="s">
        <v>45096</v>
      </c>
      <c r="C2110" s="6" t="s">
        <v>24</v>
      </c>
      <c r="D2110" s="6" t="s">
        <v>8425</v>
      </c>
      <c r="E2110" s="3" t="str">
        <f t="shared" si="1"/>
        <v>criticize&lt;br&gt;&lt;div class="audio"&gt;[sound:criticize.mp3]&lt;/div&gt;</v>
      </c>
      <c r="F2110" s="3" t="str">
        <f t="shared" si="2"/>
        <v>(v): phê bình</v>
      </c>
      <c r="G2110" s="6" t="s">
        <v>45097</v>
      </c>
      <c r="H2110" s="6" t="s">
        <v>45098</v>
      </c>
      <c r="I2110" s="7">
        <f t="shared" si="3"/>
        <v>0.856833183</v>
      </c>
    </row>
    <row r="2111">
      <c r="A2111" s="4">
        <v>2111.0</v>
      </c>
      <c r="B2111" s="3" t="s">
        <v>45099</v>
      </c>
      <c r="C2111" s="6" t="s">
        <v>85</v>
      </c>
      <c r="D2111" s="6" t="s">
        <v>41545</v>
      </c>
      <c r="E2111" s="3" t="str">
        <f t="shared" si="1"/>
        <v>correctly&lt;br&gt;&lt;div class="audio"&gt;[sound:correctly.mp3]&lt;/div&gt;</v>
      </c>
      <c r="F2111" s="3" t="str">
        <f t="shared" si="2"/>
        <v>(adv): một cách đúng đắn</v>
      </c>
      <c r="G2111" s="6" t="s">
        <v>45100</v>
      </c>
      <c r="H2111" s="6" t="s">
        <v>45101</v>
      </c>
      <c r="I2111" s="7">
        <f t="shared" si="3"/>
        <v>0.09998280213</v>
      </c>
    </row>
    <row r="2112">
      <c r="A2112" s="4">
        <v>2112.0</v>
      </c>
      <c r="B2112" s="3" t="s">
        <v>45102</v>
      </c>
      <c r="C2112" s="6" t="s">
        <v>74</v>
      </c>
      <c r="D2112" s="6" t="s">
        <v>9436</v>
      </c>
      <c r="E2112" s="3" t="str">
        <f t="shared" si="1"/>
        <v>definition&lt;br&gt;&lt;div class="audio"&gt;[sound:definition.mp3]&lt;/div&gt;</v>
      </c>
      <c r="F2112" s="3" t="str">
        <f t="shared" si="2"/>
        <v>(n): định nghĩa</v>
      </c>
      <c r="G2112" s="6" t="s">
        <v>45103</v>
      </c>
      <c r="H2112" s="6" t="s">
        <v>45104</v>
      </c>
      <c r="I2112" s="7">
        <f t="shared" si="3"/>
        <v>0.4391035984</v>
      </c>
    </row>
    <row r="2113">
      <c r="A2113" s="4">
        <v>2113.0</v>
      </c>
      <c r="B2113" s="3" t="s">
        <v>45105</v>
      </c>
      <c r="C2113" s="6" t="s">
        <v>11</v>
      </c>
      <c r="D2113" s="6" t="s">
        <v>45106</v>
      </c>
      <c r="E2113" s="3" t="str">
        <f t="shared" si="1"/>
        <v>domestic&lt;br&gt;&lt;div class="audio"&gt;[sound:domestic.mp3]&lt;/div&gt;</v>
      </c>
      <c r="F2113" s="3" t="str">
        <f t="shared" si="2"/>
        <v>(adj): trong nước</v>
      </c>
      <c r="G2113" s="6" t="s">
        <v>45107</v>
      </c>
      <c r="H2113" s="6" t="s">
        <v>45108</v>
      </c>
      <c r="I2113" s="7">
        <f t="shared" si="3"/>
        <v>0.410165627</v>
      </c>
    </row>
    <row r="2114">
      <c r="A2114" s="4">
        <v>2114.0</v>
      </c>
      <c r="B2114" s="3" t="s">
        <v>45109</v>
      </c>
      <c r="C2114" s="6" t="s">
        <v>74</v>
      </c>
      <c r="D2114" s="6" t="s">
        <v>11786</v>
      </c>
      <c r="E2114" s="3" t="str">
        <f t="shared" si="1"/>
        <v>tape&lt;br&gt;&lt;div class="audio"&gt;[sound:tape.mp3]&lt;/div&gt;</v>
      </c>
      <c r="F2114" s="3" t="str">
        <f t="shared" si="2"/>
        <v>(n): băng dính</v>
      </c>
      <c r="G2114" s="6" t="s">
        <v>45110</v>
      </c>
      <c r="H2114" s="6" t="s">
        <v>45111</v>
      </c>
      <c r="I2114" s="7">
        <f t="shared" si="3"/>
        <v>0.07628546921</v>
      </c>
    </row>
    <row r="2115">
      <c r="A2115" s="4">
        <v>2115.0</v>
      </c>
      <c r="B2115" s="3" t="s">
        <v>45112</v>
      </c>
      <c r="C2115" s="6" t="s">
        <v>74</v>
      </c>
      <c r="D2115" s="6" t="s">
        <v>8408</v>
      </c>
      <c r="E2115" s="3" t="str">
        <f t="shared" si="1"/>
        <v>tendency&lt;br&gt;&lt;div class="audio"&gt;[sound:tendency.mp3]&lt;/div&gt;</v>
      </c>
      <c r="F2115" s="3" t="str">
        <f t="shared" si="2"/>
        <v>(n): xu hướng</v>
      </c>
      <c r="G2115" s="6" t="s">
        <v>45113</v>
      </c>
      <c r="H2115" s="6" t="s">
        <v>45114</v>
      </c>
      <c r="I2115" s="7">
        <f t="shared" si="3"/>
        <v>0.6858616206</v>
      </c>
    </row>
    <row r="2116">
      <c r="A2116" s="4">
        <v>2116.0</v>
      </c>
      <c r="B2116" s="3" t="s">
        <v>45115</v>
      </c>
      <c r="C2116" s="6" t="s">
        <v>74</v>
      </c>
      <c r="D2116" s="6" t="s">
        <v>26425</v>
      </c>
      <c r="E2116" s="3" t="str">
        <f t="shared" si="1"/>
        <v>ghost&lt;br&gt;&lt;div class="audio"&gt;[sound:ghost.mp3]&lt;/div&gt;</v>
      </c>
      <c r="F2116" s="3" t="str">
        <f t="shared" si="2"/>
        <v>(n): ma</v>
      </c>
      <c r="G2116" s="6" t="s">
        <v>45116</v>
      </c>
      <c r="H2116" s="6" t="s">
        <v>45117</v>
      </c>
      <c r="I2116" s="7">
        <f t="shared" si="3"/>
        <v>0.2522848487</v>
      </c>
    </row>
    <row r="2117">
      <c r="A2117" s="4">
        <v>2117.0</v>
      </c>
      <c r="B2117" s="3" t="s">
        <v>45118</v>
      </c>
      <c r="C2117" s="6" t="s">
        <v>11</v>
      </c>
      <c r="D2117" s="6" t="s">
        <v>4554</v>
      </c>
      <c r="E2117" s="3" t="str">
        <f t="shared" si="1"/>
        <v>detailed&lt;br&gt;&lt;div class="audio"&gt;[sound:detailed.mp3]&lt;/div&gt;</v>
      </c>
      <c r="F2117" s="3" t="str">
        <f t="shared" si="2"/>
        <v>(adj): chi tiết</v>
      </c>
      <c r="G2117" s="6" t="s">
        <v>45119</v>
      </c>
      <c r="H2117" s="6" t="s">
        <v>45120</v>
      </c>
      <c r="I2117" s="7">
        <f t="shared" si="3"/>
        <v>0.05577483513</v>
      </c>
    </row>
    <row r="2118">
      <c r="A2118" s="4">
        <v>2118.0</v>
      </c>
      <c r="B2118" s="3" t="s">
        <v>45121</v>
      </c>
      <c r="C2118" s="6" t="s">
        <v>74</v>
      </c>
      <c r="D2118" s="6" t="s">
        <v>28644</v>
      </c>
      <c r="E2118" s="3" t="str">
        <f t="shared" si="1"/>
        <v>crowd&lt;br&gt;&lt;div class="audio"&gt;[sound:crowd.mp3]&lt;/div&gt;</v>
      </c>
      <c r="F2118" s="3" t="str">
        <f t="shared" si="2"/>
        <v>(n): đám đông</v>
      </c>
      <c r="G2118" s="6" t="s">
        <v>45122</v>
      </c>
      <c r="H2118" s="6" t="s">
        <v>45123</v>
      </c>
      <c r="I2118" s="7">
        <f t="shared" si="3"/>
        <v>0.5178210527</v>
      </c>
    </row>
    <row r="2119">
      <c r="A2119" s="4">
        <v>2119.0</v>
      </c>
      <c r="B2119" s="3" t="s">
        <v>45124</v>
      </c>
      <c r="C2119" s="6" t="s">
        <v>74</v>
      </c>
      <c r="D2119" s="6" t="s">
        <v>45125</v>
      </c>
      <c r="E2119" s="3" t="str">
        <f t="shared" si="1"/>
        <v>clerk&lt;br&gt;&lt;div class="audio"&gt;[sound:clerk.mp3]&lt;/div&gt;</v>
      </c>
      <c r="F2119" s="3" t="str">
        <f t="shared" si="2"/>
        <v>(n): nhân viên văn phòng</v>
      </c>
      <c r="G2119" s="6" t="s">
        <v>45126</v>
      </c>
      <c r="H2119" s="6" t="s">
        <v>45127</v>
      </c>
      <c r="I2119" s="7">
        <f t="shared" si="3"/>
        <v>0.9208119195</v>
      </c>
    </row>
    <row r="2120">
      <c r="A2120" s="4">
        <v>2120.0</v>
      </c>
      <c r="B2120" s="3" t="s">
        <v>45128</v>
      </c>
      <c r="C2120" s="6" t="s">
        <v>85</v>
      </c>
      <c r="D2120" s="6" t="s">
        <v>45129</v>
      </c>
      <c r="E2120" s="3" t="str">
        <f t="shared" si="1"/>
        <v>equally&lt;br&gt;&lt;div class="audio"&gt;[sound:equally.mp3]&lt;/div&gt;</v>
      </c>
      <c r="F2120" s="3" t="str">
        <f t="shared" si="2"/>
        <v>(adv): một cách bình đẳng</v>
      </c>
      <c r="G2120" s="6" t="s">
        <v>45130</v>
      </c>
      <c r="H2120" s="6" t="s">
        <v>45131</v>
      </c>
      <c r="I2120" s="7">
        <f t="shared" si="3"/>
        <v>0.07701138019</v>
      </c>
    </row>
    <row r="2121">
      <c r="A2121" s="4">
        <v>2121.0</v>
      </c>
      <c r="B2121" s="3" t="s">
        <v>45132</v>
      </c>
      <c r="C2121" s="6" t="s">
        <v>85</v>
      </c>
      <c r="D2121" s="6" t="s">
        <v>45133</v>
      </c>
      <c r="E2121" s="3" t="str">
        <f t="shared" si="1"/>
        <v>consistently&lt;br&gt;&lt;div class="audio"&gt;[sound:consistently.mp3]&lt;/div&gt;</v>
      </c>
      <c r="F2121" s="3" t="str">
        <f t="shared" si="2"/>
        <v>(adv): một cách nhất quán</v>
      </c>
      <c r="G2121" s="6" t="s">
        <v>45134</v>
      </c>
      <c r="H2121" s="6" t="s">
        <v>45135</v>
      </c>
      <c r="I2121" s="7">
        <f t="shared" si="3"/>
        <v>0.6689241783</v>
      </c>
    </row>
    <row r="2122">
      <c r="A2122" s="4">
        <v>2122.0</v>
      </c>
      <c r="B2122" s="3" t="s">
        <v>45136</v>
      </c>
      <c r="C2122" s="6" t="s">
        <v>74</v>
      </c>
      <c r="D2122" s="6" t="s">
        <v>45137</v>
      </c>
      <c r="E2122" s="3" t="str">
        <f t="shared" si="1"/>
        <v>campus&lt;br&gt;&lt;div class="audio"&gt;[sound:campus.mp3]&lt;/div&gt;</v>
      </c>
      <c r="F2122" s="3" t="str">
        <f t="shared" si="2"/>
        <v>(n): khuôn viên trường</v>
      </c>
      <c r="G2122" s="6" t="s">
        <v>45138</v>
      </c>
      <c r="H2122" s="6" t="s">
        <v>45139</v>
      </c>
      <c r="I2122" s="7">
        <f t="shared" si="3"/>
        <v>0.8547446948</v>
      </c>
    </row>
    <row r="2123">
      <c r="A2123" s="4">
        <v>2123.0</v>
      </c>
      <c r="B2123" s="3" t="s">
        <v>45140</v>
      </c>
      <c r="C2123" s="6" t="s">
        <v>85</v>
      </c>
      <c r="D2123" s="6" t="s">
        <v>42500</v>
      </c>
      <c r="E2123" s="3" t="str">
        <f t="shared" si="1"/>
        <v>efficiently&lt;br&gt;&lt;div class="audio"&gt;[sound:efficiently.mp3]&lt;/div&gt;</v>
      </c>
      <c r="F2123" s="3" t="str">
        <f t="shared" si="2"/>
        <v>(adv): một cách hiệu quả</v>
      </c>
      <c r="G2123" s="6" t="s">
        <v>45141</v>
      </c>
      <c r="H2123" s="6" t="s">
        <v>45142</v>
      </c>
      <c r="I2123" s="7">
        <f t="shared" si="3"/>
        <v>0.6614394629</v>
      </c>
    </row>
    <row r="2124">
      <c r="A2124" s="4">
        <v>2124.0</v>
      </c>
      <c r="B2124" s="3" t="s">
        <v>45143</v>
      </c>
      <c r="C2124" s="6" t="s">
        <v>24</v>
      </c>
      <c r="D2124" s="6" t="s">
        <v>45144</v>
      </c>
      <c r="E2124" s="3" t="str">
        <f t="shared" si="1"/>
        <v>consult&lt;br&gt;&lt;div class="audio"&gt;[sound:consult.mp3]&lt;/div&gt;</v>
      </c>
      <c r="F2124" s="3" t="str">
        <f t="shared" si="2"/>
        <v>(v): tham khảo ý kiến</v>
      </c>
      <c r="G2124" s="6" t="s">
        <v>45145</v>
      </c>
      <c r="H2124" s="6" t="s">
        <v>45146</v>
      </c>
      <c r="I2124" s="7">
        <f t="shared" si="3"/>
        <v>0.8037946082</v>
      </c>
    </row>
    <row r="2125">
      <c r="A2125" s="4">
        <v>2125.0</v>
      </c>
      <c r="B2125" s="3" t="s">
        <v>45147</v>
      </c>
      <c r="C2125" s="6" t="s">
        <v>74</v>
      </c>
      <c r="D2125" s="6" t="s">
        <v>45148</v>
      </c>
      <c r="E2125" s="3" t="str">
        <f t="shared" si="1"/>
        <v>presentation&lt;br&gt;&lt;div class="audio"&gt;[sound:presentation.mp3]&lt;/div&gt;</v>
      </c>
      <c r="F2125" s="3" t="str">
        <f t="shared" si="2"/>
        <v>(n): bài thuyết trình</v>
      </c>
      <c r="G2125" s="6" t="s">
        <v>45149</v>
      </c>
      <c r="H2125" s="6" t="s">
        <v>45150</v>
      </c>
      <c r="I2125" s="7">
        <f t="shared" si="3"/>
        <v>0.5938917071</v>
      </c>
    </row>
    <row r="2126">
      <c r="A2126" s="4">
        <v>2126.0</v>
      </c>
      <c r="B2126" s="3" t="s">
        <v>45151</v>
      </c>
      <c r="C2126" s="6" t="s">
        <v>85</v>
      </c>
      <c r="D2126" s="8" t="s">
        <v>40448</v>
      </c>
      <c r="E2126" s="3" t="str">
        <f t="shared" si="1"/>
        <v>substantially&lt;br&gt;&lt;div class="audio"&gt;[sound:substantially.mp3]&lt;/div&gt;</v>
      </c>
      <c r="F2126" s="3" t="str">
        <f t="shared" si="2"/>
        <v>(adv): một cách đáng kể</v>
      </c>
      <c r="G2126" s="8" t="s">
        <v>45152</v>
      </c>
      <c r="H2126" s="8" t="s">
        <v>45153</v>
      </c>
      <c r="I2126" s="7">
        <f t="shared" si="3"/>
        <v>0.4668062757</v>
      </c>
    </row>
    <row r="2127">
      <c r="A2127" s="4">
        <v>2127.0</v>
      </c>
      <c r="B2127" s="3" t="s">
        <v>45154</v>
      </c>
      <c r="C2127" s="6" t="s">
        <v>74</v>
      </c>
      <c r="D2127" s="8" t="s">
        <v>388</v>
      </c>
      <c r="E2127" s="3" t="str">
        <f t="shared" si="1"/>
        <v>span&lt;br&gt;&lt;div class="audio"&gt;[sound:span.mp3]&lt;/div&gt;</v>
      </c>
      <c r="F2127" s="3" t="str">
        <f t="shared" si="2"/>
        <v>(n): khoảng thời gian</v>
      </c>
      <c r="G2127" s="8" t="s">
        <v>45155</v>
      </c>
      <c r="H2127" s="8" t="s">
        <v>45156</v>
      </c>
      <c r="I2127" s="7">
        <f t="shared" si="3"/>
        <v>0.06371443054</v>
      </c>
    </row>
    <row r="2128">
      <c r="A2128" s="4">
        <v>2128.0</v>
      </c>
      <c r="B2128" s="3" t="s">
        <v>45157</v>
      </c>
      <c r="C2128" s="6" t="s">
        <v>11</v>
      </c>
      <c r="D2128" s="6" t="s">
        <v>45158</v>
      </c>
      <c r="E2128" s="3" t="str">
        <f t="shared" si="1"/>
        <v>acceptable&lt;br&gt;&lt;div class="audio"&gt;[sound:acceptable.mp3]&lt;/div&gt;</v>
      </c>
      <c r="F2128" s="3" t="str">
        <f t="shared" si="2"/>
        <v>(adj): có thể chấp nhận</v>
      </c>
      <c r="G2128" s="6" t="s">
        <v>45159</v>
      </c>
      <c r="H2128" s="6" t="s">
        <v>45160</v>
      </c>
      <c r="I2128" s="7">
        <f t="shared" si="3"/>
        <v>0.5491544181</v>
      </c>
    </row>
    <row r="2129">
      <c r="A2129" s="4">
        <v>2129.0</v>
      </c>
      <c r="B2129" s="3" t="s">
        <v>45161</v>
      </c>
      <c r="C2129" s="6" t="s">
        <v>11</v>
      </c>
      <c r="D2129" s="6" t="s">
        <v>45162</v>
      </c>
      <c r="E2129" s="3" t="str">
        <f t="shared" si="1"/>
        <v>mental&lt;br&gt;&lt;div class="audio"&gt;[sound:mental.mp3]&lt;/div&gt;</v>
      </c>
      <c r="F2129" s="3" t="str">
        <f t="shared" si="2"/>
        <v>(adj): thuộc tinh thần</v>
      </c>
      <c r="G2129" s="6" t="s">
        <v>45163</v>
      </c>
      <c r="H2129" s="6" t="s">
        <v>45164</v>
      </c>
      <c r="I2129" s="7">
        <f t="shared" si="3"/>
        <v>0.5791912783</v>
      </c>
    </row>
    <row r="2130">
      <c r="A2130" s="4">
        <v>2130.0</v>
      </c>
      <c r="B2130" s="3" t="s">
        <v>45165</v>
      </c>
      <c r="C2130" s="6" t="s">
        <v>11</v>
      </c>
      <c r="D2130" s="6" t="s">
        <v>45166</v>
      </c>
      <c r="E2130" s="3" t="str">
        <f t="shared" si="1"/>
        <v>historic&lt;br&gt;&lt;div class="audio"&gt;[sound:historic.mp3]&lt;/div&gt;</v>
      </c>
      <c r="F2130" s="3" t="str">
        <f t="shared" si="2"/>
        <v>(adj): có tính lịch sử</v>
      </c>
      <c r="G2130" s="6" t="s">
        <v>45167</v>
      </c>
      <c r="H2130" s="6" t="s">
        <v>45168</v>
      </c>
      <c r="I2130" s="7">
        <f t="shared" si="3"/>
        <v>0.6609729875</v>
      </c>
    </row>
    <row r="2131">
      <c r="A2131" s="4">
        <v>2131.0</v>
      </c>
      <c r="B2131" s="3" t="s">
        <v>45169</v>
      </c>
      <c r="C2131" s="6" t="s">
        <v>74</v>
      </c>
      <c r="D2131" s="6" t="s">
        <v>45170</v>
      </c>
      <c r="E2131" s="3" t="str">
        <f t="shared" si="1"/>
        <v>celebrity&lt;br&gt;&lt;div class="audio"&gt;[sound:celebrity.mp3]&lt;/div&gt;</v>
      </c>
      <c r="F2131" s="3" t="str">
        <f t="shared" si="2"/>
        <v>(n): người nổi tiếng</v>
      </c>
      <c r="G2131" s="6" t="s">
        <v>45171</v>
      </c>
      <c r="H2131" s="6" t="s">
        <v>45172</v>
      </c>
      <c r="I2131" s="7">
        <f t="shared" si="3"/>
        <v>0.3783230751</v>
      </c>
    </row>
    <row r="2132">
      <c r="A2132" s="4">
        <v>2132.0</v>
      </c>
      <c r="B2132" s="3" t="s">
        <v>45173</v>
      </c>
      <c r="C2132" s="6" t="s">
        <v>74</v>
      </c>
      <c r="D2132" s="6" t="s">
        <v>45174</v>
      </c>
      <c r="E2132" s="3" t="str">
        <f t="shared" si="1"/>
        <v>advertising&lt;br&gt;&lt;div class="audio"&gt;[sound:advertising.mp3]&lt;/div&gt;</v>
      </c>
      <c r="F2132" s="3" t="str">
        <f t="shared" si="2"/>
        <v>(n): ngành quảng cáo</v>
      </c>
      <c r="G2132" s="6" t="s">
        <v>45175</v>
      </c>
      <c r="H2132" s="6" t="s">
        <v>45176</v>
      </c>
      <c r="I2132" s="7">
        <f t="shared" si="3"/>
        <v>0.205277772</v>
      </c>
    </row>
    <row r="2133">
      <c r="A2133" s="4">
        <v>2133.0</v>
      </c>
      <c r="B2133" s="3" t="s">
        <v>45177</v>
      </c>
      <c r="C2133" s="6" t="s">
        <v>11</v>
      </c>
      <c r="D2133" s="6" t="s">
        <v>45178</v>
      </c>
      <c r="E2133" s="3" t="str">
        <f t="shared" si="1"/>
        <v>convinced&lt;br&gt;&lt;div class="audio"&gt;[sound:convinced.mp3]&lt;/div&gt;</v>
      </c>
      <c r="F2133" s="3" t="str">
        <f t="shared" si="2"/>
        <v>(adj): bị thuyết phục</v>
      </c>
      <c r="G2133" s="6" t="s">
        <v>45179</v>
      </c>
      <c r="H2133" s="6" t="s">
        <v>45180</v>
      </c>
      <c r="I2133" s="7">
        <f t="shared" si="3"/>
        <v>0.05547058336</v>
      </c>
    </row>
    <row r="2134">
      <c r="A2134" s="4">
        <v>2134.0</v>
      </c>
      <c r="B2134" s="3" t="s">
        <v>45181</v>
      </c>
      <c r="C2134" s="6" t="s">
        <v>24</v>
      </c>
      <c r="D2134" s="8" t="s">
        <v>28198</v>
      </c>
      <c r="E2134" s="3" t="str">
        <f t="shared" si="1"/>
        <v>stare&lt;br&gt;&lt;div class="audio"&gt;[sound:stare.mp3]&lt;/div&gt;</v>
      </c>
      <c r="F2134" s="3" t="str">
        <f t="shared" si="2"/>
        <v>(v): nhìn chằm chằm</v>
      </c>
      <c r="G2134" s="8" t="s">
        <v>45182</v>
      </c>
      <c r="H2134" s="8" t="s">
        <v>45183</v>
      </c>
      <c r="I2134" s="7">
        <f t="shared" si="3"/>
        <v>0.2070562353</v>
      </c>
    </row>
    <row r="2135">
      <c r="A2135" s="4">
        <v>2135.0</v>
      </c>
      <c r="B2135" s="3" t="s">
        <v>45184</v>
      </c>
      <c r="C2135" s="6" t="s">
        <v>11</v>
      </c>
      <c r="D2135" s="8" t="s">
        <v>45185</v>
      </c>
      <c r="E2135" s="3" t="str">
        <f t="shared" si="1"/>
        <v>spiritual&lt;br&gt;&lt;div class="audio"&gt;[sound:spiritual.mp3]&lt;/div&gt;</v>
      </c>
      <c r="F2135" s="3" t="str">
        <f t="shared" si="2"/>
        <v>(adj): thuộc tâm linh</v>
      </c>
      <c r="G2135" s="8" t="s">
        <v>45186</v>
      </c>
      <c r="H2135" s="8" t="s">
        <v>45187</v>
      </c>
      <c r="I2135" s="7">
        <f t="shared" si="3"/>
        <v>0.8335865928</v>
      </c>
    </row>
    <row r="2136">
      <c r="A2136" s="4">
        <v>2136.0</v>
      </c>
      <c r="B2136" s="3" t="s">
        <v>45188</v>
      </c>
      <c r="C2136" s="6" t="s">
        <v>11</v>
      </c>
      <c r="D2136" s="6" t="s">
        <v>45189</v>
      </c>
      <c r="E2136" s="3" t="str">
        <f t="shared" si="1"/>
        <v>experienced&lt;br&gt;&lt;div class="audio"&gt;[sound:experienced.mp3]&lt;/div&gt;</v>
      </c>
      <c r="F2136" s="3" t="str">
        <f t="shared" si="2"/>
        <v>(adj): có kinh nghiệm</v>
      </c>
      <c r="G2136" s="6" t="s">
        <v>45190</v>
      </c>
      <c r="H2136" s="6" t="s">
        <v>45191</v>
      </c>
      <c r="I2136" s="7">
        <f t="shared" si="3"/>
        <v>0.3566102851</v>
      </c>
    </row>
    <row r="2137">
      <c r="A2137" s="4">
        <v>2137.0</v>
      </c>
      <c r="B2137" s="3" t="s">
        <v>45192</v>
      </c>
      <c r="C2137" s="6" t="s">
        <v>74</v>
      </c>
      <c r="D2137" s="6" t="s">
        <v>45193</v>
      </c>
      <c r="E2137" s="3" t="str">
        <f t="shared" si="1"/>
        <v>infection&lt;br&gt;&lt;div class="audio"&gt;[sound:infection.mp3]&lt;/div&gt;</v>
      </c>
      <c r="F2137" s="3" t="str">
        <f t="shared" si="2"/>
        <v>(n): sự nhiễm trùng</v>
      </c>
      <c r="G2137" s="6" t="s">
        <v>45194</v>
      </c>
      <c r="H2137" s="6" t="s">
        <v>45195</v>
      </c>
      <c r="I2137" s="7">
        <f t="shared" si="3"/>
        <v>0.2895049296</v>
      </c>
    </row>
    <row r="2138">
      <c r="A2138" s="4">
        <v>2138.0</v>
      </c>
      <c r="B2138" s="3" t="s">
        <v>45196</v>
      </c>
      <c r="C2138" s="6" t="s">
        <v>74</v>
      </c>
      <c r="D2138" s="8" t="s">
        <v>45197</v>
      </c>
      <c r="E2138" s="3" t="str">
        <f t="shared" si="1"/>
        <v>smoking&lt;br&gt;&lt;div class="audio"&gt;[sound:smoking.mp3]&lt;/div&gt;</v>
      </c>
      <c r="F2138" s="3" t="str">
        <f t="shared" si="2"/>
        <v>(n): việc hút thuốc</v>
      </c>
      <c r="G2138" s="8" t="s">
        <v>45198</v>
      </c>
      <c r="H2138" s="8" t="s">
        <v>45199</v>
      </c>
      <c r="I2138" s="7">
        <f t="shared" si="3"/>
        <v>0.668570069</v>
      </c>
    </row>
    <row r="2139">
      <c r="A2139" s="4">
        <v>2139.0</v>
      </c>
      <c r="B2139" s="3" t="s">
        <v>45200</v>
      </c>
      <c r="C2139" s="6" t="s">
        <v>74</v>
      </c>
      <c r="D2139" s="6" t="s">
        <v>45201</v>
      </c>
      <c r="E2139" s="3" t="str">
        <f t="shared" si="1"/>
        <v>inspector&lt;br&gt;&lt;div class="audio"&gt;[sound:inspector.mp3]&lt;/div&gt;</v>
      </c>
      <c r="F2139" s="3" t="str">
        <f t="shared" si="2"/>
        <v>(n): người kiểm tra</v>
      </c>
      <c r="G2139" s="6" t="s">
        <v>45202</v>
      </c>
      <c r="H2139" s="6" t="s">
        <v>45203</v>
      </c>
      <c r="I2139" s="7">
        <f t="shared" si="3"/>
        <v>0.8111782996</v>
      </c>
    </row>
    <row r="2140">
      <c r="A2140" s="4">
        <v>2140.0</v>
      </c>
      <c r="B2140" s="3" t="s">
        <v>45204</v>
      </c>
      <c r="C2140" s="6" t="s">
        <v>74</v>
      </c>
      <c r="D2140" s="6" t="s">
        <v>45205</v>
      </c>
      <c r="E2140" s="3" t="str">
        <f t="shared" si="1"/>
        <v>unemployment&lt;br&gt;&lt;div class="audio"&gt;[sound:unemployment.mp3]&lt;/div&gt;</v>
      </c>
      <c r="F2140" s="3" t="str">
        <f t="shared" si="2"/>
        <v>(n): sự thất nghiệp</v>
      </c>
      <c r="G2140" s="6" t="s">
        <v>45206</v>
      </c>
      <c r="H2140" s="6" t="s">
        <v>45207</v>
      </c>
      <c r="I2140" s="7">
        <f t="shared" si="3"/>
        <v>0.5032305325</v>
      </c>
    </row>
    <row r="2141">
      <c r="A2141" s="4">
        <v>2141.0</v>
      </c>
      <c r="B2141" s="3" t="s">
        <v>45208</v>
      </c>
      <c r="C2141" s="6" t="s">
        <v>11</v>
      </c>
      <c r="D2141" s="6" t="s">
        <v>45209</v>
      </c>
      <c r="E2141" s="3" t="str">
        <f t="shared" si="1"/>
        <v>visual&lt;br&gt;&lt;div class="audio"&gt;[sound:visual.mp3]&lt;/div&gt;</v>
      </c>
      <c r="F2141" s="3" t="str">
        <f t="shared" si="2"/>
        <v>(adj): thuộc thị giác</v>
      </c>
      <c r="G2141" s="6" t="s">
        <v>45210</v>
      </c>
      <c r="H2141" s="6" t="s">
        <v>45211</v>
      </c>
      <c r="I2141" s="7">
        <f t="shared" si="3"/>
        <v>0.1141463202</v>
      </c>
    </row>
    <row r="2142">
      <c r="A2142" s="4">
        <v>2142.0</v>
      </c>
      <c r="B2142" s="3" t="s">
        <v>45212</v>
      </c>
      <c r="C2142" s="6" t="s">
        <v>74</v>
      </c>
      <c r="D2142" s="6" t="s">
        <v>45213</v>
      </c>
      <c r="E2142" s="3" t="str">
        <f t="shared" si="1"/>
        <v>birthday&lt;br&gt;&lt;div class="audio"&gt;[sound:birthday.mp3]&lt;/div&gt;</v>
      </c>
      <c r="F2142" s="3" t="str">
        <f t="shared" si="2"/>
        <v>(n): ngày sinh nhật</v>
      </c>
      <c r="G2142" s="6" t="s">
        <v>45214</v>
      </c>
      <c r="H2142" s="6" t="s">
        <v>45215</v>
      </c>
      <c r="I2142" s="7">
        <f t="shared" si="3"/>
        <v>0.6547067496</v>
      </c>
    </row>
    <row r="2143">
      <c r="A2143" s="4">
        <v>2143.0</v>
      </c>
      <c r="B2143" s="3" t="s">
        <v>45216</v>
      </c>
      <c r="C2143" s="6" t="s">
        <v>74</v>
      </c>
      <c r="D2143" s="6" t="s">
        <v>45217</v>
      </c>
      <c r="E2143" s="3" t="str">
        <f t="shared" si="1"/>
        <v>adventure&lt;br&gt;&lt;div class="audio"&gt;[sound:adventure.mp3]&lt;/div&gt;</v>
      </c>
      <c r="F2143" s="3" t="str">
        <f t="shared" si="2"/>
        <v>(n): cuộc phiêu lưu</v>
      </c>
      <c r="G2143" s="6" t="s">
        <v>45218</v>
      </c>
      <c r="H2143" s="6" t="s">
        <v>45219</v>
      </c>
      <c r="I2143" s="7">
        <f t="shared" si="3"/>
        <v>0.7981896329</v>
      </c>
    </row>
    <row r="2144">
      <c r="A2144" s="4">
        <v>2144.0</v>
      </c>
      <c r="B2144" s="3" t="s">
        <v>45220</v>
      </c>
      <c r="C2144" s="6" t="s">
        <v>11</v>
      </c>
      <c r="D2144" s="6" t="s">
        <v>45221</v>
      </c>
      <c r="E2144" s="3" t="str">
        <f t="shared" si="1"/>
        <v>military&lt;br&gt;&lt;div class="audio"&gt;[sound:military.mp3]&lt;/div&gt;</v>
      </c>
      <c r="F2144" s="3" t="str">
        <f t="shared" si="2"/>
        <v>(adj): thuộc quân sự</v>
      </c>
      <c r="G2144" s="6" t="s">
        <v>45222</v>
      </c>
      <c r="H2144" s="6" t="s">
        <v>45223</v>
      </c>
      <c r="I2144" s="7">
        <f t="shared" si="3"/>
        <v>0.2544896812</v>
      </c>
    </row>
    <row r="2145">
      <c r="A2145" s="4">
        <v>2145.0</v>
      </c>
      <c r="B2145" s="3" t="s">
        <v>45224</v>
      </c>
      <c r="C2145" s="6" t="s">
        <v>74</v>
      </c>
      <c r="D2145" s="6" t="s">
        <v>45225</v>
      </c>
      <c r="E2145" s="3" t="str">
        <f t="shared" si="1"/>
        <v>immigrant&lt;br&gt;&lt;div class="audio"&gt;[sound:immigrant.mp3]&lt;/div&gt;</v>
      </c>
      <c r="F2145" s="3" t="str">
        <f t="shared" si="2"/>
        <v>(n): người nhập cư</v>
      </c>
      <c r="G2145" s="6" t="s">
        <v>45226</v>
      </c>
      <c r="H2145" s="6" t="s">
        <v>45227</v>
      </c>
      <c r="I2145" s="7">
        <f t="shared" si="3"/>
        <v>0.4155330173</v>
      </c>
    </row>
    <row r="2146">
      <c r="A2146" s="4">
        <v>2146.0</v>
      </c>
      <c r="B2146" s="3" t="s">
        <v>45228</v>
      </c>
      <c r="C2146" s="6" t="s">
        <v>74</v>
      </c>
      <c r="D2146" s="6" t="s">
        <v>23529</v>
      </c>
      <c r="E2146" s="3" t="str">
        <f t="shared" si="1"/>
        <v>companion&lt;br&gt;&lt;div class="audio"&gt;[sound:companion.mp3]&lt;/div&gt;</v>
      </c>
      <c r="F2146" s="3" t="str">
        <f t="shared" si="2"/>
        <v>(n): bạn đồng hành</v>
      </c>
      <c r="G2146" s="6" t="s">
        <v>45229</v>
      </c>
      <c r="H2146" s="6" t="s">
        <v>45230</v>
      </c>
      <c r="I2146" s="7">
        <f t="shared" si="3"/>
        <v>0.1710718701</v>
      </c>
    </row>
    <row r="2147">
      <c r="A2147" s="4">
        <v>2147.0</v>
      </c>
      <c r="B2147" s="3" t="s">
        <v>45231</v>
      </c>
      <c r="C2147" s="6" t="s">
        <v>11</v>
      </c>
      <c r="D2147" s="6" t="s">
        <v>45232</v>
      </c>
      <c r="E2147" s="3" t="str">
        <f t="shared" si="1"/>
        <v>integrated&lt;br&gt;&lt;div class="audio"&gt;[sound:integrated.mp3]&lt;/div&gt;</v>
      </c>
      <c r="F2147" s="3" t="str">
        <f t="shared" si="2"/>
        <v>(adj): được tích hợp</v>
      </c>
      <c r="G2147" s="6" t="s">
        <v>45233</v>
      </c>
      <c r="H2147" s="6" t="s">
        <v>45234</v>
      </c>
      <c r="I2147" s="7">
        <f t="shared" si="3"/>
        <v>0.5336666545</v>
      </c>
    </row>
    <row r="2148">
      <c r="A2148" s="4">
        <v>2148.0</v>
      </c>
      <c r="B2148" s="3" t="s">
        <v>45235</v>
      </c>
      <c r="C2148" s="6" t="s">
        <v>11</v>
      </c>
      <c r="D2148" s="6" t="s">
        <v>45236</v>
      </c>
      <c r="E2148" s="3" t="str">
        <f t="shared" si="1"/>
        <v>intellectual&lt;br&gt;&lt;div class="audio"&gt;[sound:intellectual.mp3]&lt;/div&gt;</v>
      </c>
      <c r="F2148" s="3" t="str">
        <f t="shared" si="2"/>
        <v>(adj): thuộc trí tuệ</v>
      </c>
      <c r="G2148" s="6" t="s">
        <v>45237</v>
      </c>
      <c r="H2148" s="6" t="s">
        <v>45238</v>
      </c>
      <c r="I2148" s="7">
        <f t="shared" si="3"/>
        <v>0.7862820353</v>
      </c>
    </row>
    <row r="2149">
      <c r="A2149" s="4">
        <v>2149.0</v>
      </c>
      <c r="B2149" s="3" t="s">
        <v>45239</v>
      </c>
      <c r="C2149" s="6" t="s">
        <v>11</v>
      </c>
      <c r="D2149" s="8" t="s">
        <v>45240</v>
      </c>
      <c r="E2149" s="3" t="str">
        <f t="shared" si="1"/>
        <v>shaped&lt;br&gt;&lt;div class="audio"&gt;[sound:shaped.mp3]&lt;/div&gt;</v>
      </c>
      <c r="F2149" s="3" t="str">
        <f t="shared" si="2"/>
        <v>(adj): được tạo hình</v>
      </c>
      <c r="G2149" s="8" t="s">
        <v>45241</v>
      </c>
      <c r="H2149" s="8" t="s">
        <v>45242</v>
      </c>
      <c r="I2149" s="7">
        <f t="shared" si="3"/>
        <v>0.1965594747</v>
      </c>
    </row>
    <row r="2150">
      <c r="A2150" s="4">
        <v>2150.0</v>
      </c>
      <c r="B2150" s="3" t="s">
        <v>45243</v>
      </c>
      <c r="C2150" s="6" t="s">
        <v>74</v>
      </c>
      <c r="D2150" s="6" t="s">
        <v>45244</v>
      </c>
      <c r="E2150" s="3" t="str">
        <f t="shared" si="1"/>
        <v>announcement&lt;br&gt;&lt;div class="audio"&gt;[sound:announcement.mp3]&lt;/div&gt;</v>
      </c>
      <c r="F2150" s="3" t="str">
        <f t="shared" si="2"/>
        <v>(n): lời thông báo</v>
      </c>
      <c r="G2150" s="6" t="s">
        <v>45245</v>
      </c>
      <c r="H2150" s="6" t="s">
        <v>45246</v>
      </c>
      <c r="I2150" s="7">
        <f t="shared" si="3"/>
        <v>0.7048296259</v>
      </c>
    </row>
    <row r="2151">
      <c r="A2151" s="4">
        <v>2151.0</v>
      </c>
      <c r="B2151" s="3" t="s">
        <v>45247</v>
      </c>
      <c r="C2151" s="6" t="s">
        <v>74</v>
      </c>
      <c r="D2151" s="6" t="s">
        <v>3174</v>
      </c>
      <c r="E2151" s="3" t="str">
        <f t="shared" si="1"/>
        <v>atmosphere&lt;br&gt;&lt;div class="audio"&gt;[sound:atmosphere.mp3]&lt;/div&gt;</v>
      </c>
      <c r="F2151" s="3" t="str">
        <f t="shared" si="2"/>
        <v>(n): bầu không khí</v>
      </c>
      <c r="G2151" s="6" t="s">
        <v>45248</v>
      </c>
      <c r="H2151" s="6" t="s">
        <v>45249</v>
      </c>
      <c r="I2151" s="7">
        <f t="shared" si="3"/>
        <v>0.3585586509</v>
      </c>
    </row>
    <row r="2152">
      <c r="A2152" s="4">
        <v>2152.0</v>
      </c>
      <c r="B2152" s="3" t="s">
        <v>45250</v>
      </c>
      <c r="C2152" s="6" t="s">
        <v>74</v>
      </c>
      <c r="D2152" s="6" t="s">
        <v>45251</v>
      </c>
      <c r="E2152" s="3" t="str">
        <f t="shared" si="1"/>
        <v>cleaner&lt;br&gt;&lt;div class="audio"&gt;[sound:cleaner.mp3]&lt;/div&gt;</v>
      </c>
      <c r="F2152" s="3" t="str">
        <f t="shared" si="2"/>
        <v>(n): người dọn dẹp</v>
      </c>
      <c r="G2152" s="6" t="s">
        <v>45252</v>
      </c>
      <c r="H2152" s="6" t="s">
        <v>45253</v>
      </c>
      <c r="I2152" s="7">
        <f t="shared" si="3"/>
        <v>0.3914447284</v>
      </c>
    </row>
    <row r="2153">
      <c r="A2153" s="4">
        <v>2153.0</v>
      </c>
      <c r="B2153" s="3" t="s">
        <v>45254</v>
      </c>
      <c r="C2153" s="6" t="s">
        <v>74</v>
      </c>
      <c r="D2153" s="6" t="s">
        <v>45255</v>
      </c>
      <c r="E2153" s="3" t="str">
        <f t="shared" si="1"/>
        <v>washing&lt;br&gt;&lt;div class="audio"&gt;[sound:washing.mp3]&lt;/div&gt;</v>
      </c>
      <c r="F2153" s="3" t="str">
        <f t="shared" si="2"/>
        <v>(n): việc giặt giũ</v>
      </c>
      <c r="G2153" s="6" t="s">
        <v>45256</v>
      </c>
      <c r="H2153" s="6" t="s">
        <v>45257</v>
      </c>
      <c r="I2153" s="7">
        <f t="shared" si="3"/>
        <v>0.829552615</v>
      </c>
    </row>
    <row r="2154">
      <c r="A2154" s="4">
        <v>2154.0</v>
      </c>
      <c r="B2154" s="3" t="s">
        <v>45258</v>
      </c>
      <c r="C2154" s="6" t="s">
        <v>74</v>
      </c>
      <c r="D2154" s="8" t="s">
        <v>40055</v>
      </c>
      <c r="E2154" s="3" t="str">
        <f t="shared" si="1"/>
        <v>strain&lt;br&gt;&lt;div class="audio"&gt;[sound:strain.mp3]&lt;/div&gt;</v>
      </c>
      <c r="F2154" s="3" t="str">
        <f t="shared" si="2"/>
        <v>(n): sự căng thẳng</v>
      </c>
      <c r="G2154" s="8" t="s">
        <v>45259</v>
      </c>
      <c r="H2154" s="8" t="s">
        <v>45260</v>
      </c>
      <c r="I2154" s="7">
        <f t="shared" si="3"/>
        <v>0.5441670565</v>
      </c>
    </row>
    <row r="2155">
      <c r="A2155" s="4">
        <v>2155.0</v>
      </c>
      <c r="B2155" s="3" t="s">
        <v>45261</v>
      </c>
      <c r="C2155" s="6" t="s">
        <v>11</v>
      </c>
      <c r="D2155" s="6" t="s">
        <v>45262</v>
      </c>
      <c r="E2155" s="3" t="str">
        <f t="shared" si="1"/>
        <v>institutional&lt;br&gt;&lt;div class="audio"&gt;[sound:institutional.mp3]&lt;/div&gt;</v>
      </c>
      <c r="F2155" s="3" t="str">
        <f t="shared" si="2"/>
        <v>(adj): thuộc tổ chức</v>
      </c>
      <c r="G2155" s="6" t="s">
        <v>45263</v>
      </c>
      <c r="H2155" s="6" t="s">
        <v>45264</v>
      </c>
      <c r="I2155" s="7">
        <f t="shared" si="3"/>
        <v>0.02509064431</v>
      </c>
    </row>
    <row r="2156">
      <c r="A2156" s="4">
        <v>2156.0</v>
      </c>
      <c r="B2156" s="3" t="s">
        <v>45265</v>
      </c>
      <c r="C2156" s="6" t="s">
        <v>74</v>
      </c>
      <c r="D2156" s="6" t="s">
        <v>45266</v>
      </c>
      <c r="E2156" s="3" t="str">
        <f t="shared" si="1"/>
        <v>horror&lt;br&gt;&lt;div class="audio"&gt;[sound:horror.mp3]&lt;/div&gt;</v>
      </c>
      <c r="F2156" s="3" t="str">
        <f t="shared" si="2"/>
        <v>(n): sự kinh hoàng</v>
      </c>
      <c r="G2156" s="6" t="s">
        <v>45267</v>
      </c>
      <c r="H2156" s="6" t="s">
        <v>45268</v>
      </c>
      <c r="I2156" s="7">
        <f t="shared" si="3"/>
        <v>0.3951676835</v>
      </c>
    </row>
    <row r="2157">
      <c r="A2157" s="4">
        <v>2157.0</v>
      </c>
      <c r="B2157" s="3" t="s">
        <v>45269</v>
      </c>
      <c r="C2157" s="6" t="s">
        <v>74</v>
      </c>
      <c r="D2157" s="6" t="s">
        <v>45270</v>
      </c>
      <c r="E2157" s="3" t="str">
        <f t="shared" si="1"/>
        <v>essay&lt;br&gt;&lt;div class="audio"&gt;[sound:essay.mp3]&lt;/div&gt;</v>
      </c>
      <c r="F2157" s="3" t="str">
        <f t="shared" si="2"/>
        <v>(n): bài tiểu luận</v>
      </c>
      <c r="G2157" s="6" t="s">
        <v>45271</v>
      </c>
      <c r="H2157" s="6" t="s">
        <v>45272</v>
      </c>
      <c r="I2157" s="7">
        <f t="shared" si="3"/>
        <v>0.06129483026</v>
      </c>
    </row>
    <row r="2158">
      <c r="A2158" s="4">
        <v>2158.0</v>
      </c>
      <c r="B2158" s="3" t="s">
        <v>45273</v>
      </c>
      <c r="C2158" s="6" t="s">
        <v>74</v>
      </c>
      <c r="D2158" s="6" t="s">
        <v>45274</v>
      </c>
      <c r="E2158" s="3" t="str">
        <f t="shared" si="1"/>
        <v>bug&lt;br&gt;&lt;div class="audio"&gt;[sound:bug.mp3]&lt;/div&gt;</v>
      </c>
      <c r="F2158" s="3" t="str">
        <f t="shared" si="2"/>
        <v>(n): lỗi máy tính</v>
      </c>
      <c r="G2158" s="6" t="s">
        <v>45275</v>
      </c>
      <c r="H2158" s="6" t="s">
        <v>45276</v>
      </c>
      <c r="I2158" s="7">
        <f t="shared" si="3"/>
        <v>0.1024930433</v>
      </c>
    </row>
    <row r="2159">
      <c r="A2159" s="4">
        <v>2159.0</v>
      </c>
      <c r="B2159" s="3" t="s">
        <v>45277</v>
      </c>
      <c r="C2159" s="6" t="s">
        <v>74</v>
      </c>
      <c r="D2159" s="6" t="s">
        <v>10173</v>
      </c>
      <c r="E2159" s="3" t="str">
        <f t="shared" si="1"/>
        <v>ownership&lt;br&gt;&lt;div class="audio"&gt;[sound:ownership.mp3]&lt;/div&gt;</v>
      </c>
      <c r="F2159" s="3" t="str">
        <f t="shared" si="2"/>
        <v>(n): quyền sở hữu</v>
      </c>
      <c r="G2159" s="6" t="s">
        <v>45278</v>
      </c>
      <c r="H2159" s="6" t="s">
        <v>45279</v>
      </c>
      <c r="I2159" s="7">
        <f t="shared" si="3"/>
        <v>0.1248923404</v>
      </c>
    </row>
    <row r="2160">
      <c r="A2160" s="4">
        <v>2160.0</v>
      </c>
      <c r="B2160" s="3" t="s">
        <v>45280</v>
      </c>
      <c r="C2160" s="6" t="s">
        <v>85</v>
      </c>
      <c r="D2160" s="6" t="s">
        <v>949</v>
      </c>
      <c r="E2160" s="3" t="str">
        <f t="shared" si="1"/>
        <v>instantly&lt;br&gt;&lt;div class="audio"&gt;[sound:instantly.mp3]&lt;/div&gt;</v>
      </c>
      <c r="F2160" s="3" t="str">
        <f t="shared" si="2"/>
        <v>(adv): ngay lập tức</v>
      </c>
      <c r="G2160" s="6" t="s">
        <v>45281</v>
      </c>
      <c r="H2160" s="6" t="s">
        <v>45282</v>
      </c>
      <c r="I2160" s="7">
        <f t="shared" si="3"/>
        <v>0.05592773303</v>
      </c>
    </row>
    <row r="2161">
      <c r="A2161" s="4">
        <v>2161.0</v>
      </c>
      <c r="B2161" s="3" t="s">
        <v>45283</v>
      </c>
      <c r="C2161" s="6" t="s">
        <v>74</v>
      </c>
      <c r="D2161" s="6" t="s">
        <v>45284</v>
      </c>
      <c r="E2161" s="3" t="str">
        <f t="shared" si="1"/>
        <v>cap&lt;br&gt;&lt;div class="audio"&gt;[sound:cap.mp3]&lt;/div&gt;</v>
      </c>
      <c r="F2161" s="3" t="str">
        <f t="shared" si="2"/>
        <v>(n): mũ lưỡi trai</v>
      </c>
      <c r="G2161" s="6" t="s">
        <v>45285</v>
      </c>
      <c r="H2161" s="6" t="s">
        <v>45286</v>
      </c>
      <c r="I2161" s="7">
        <f t="shared" si="3"/>
        <v>0.4399804571</v>
      </c>
    </row>
    <row r="2162">
      <c r="A2162" s="4">
        <v>2162.0</v>
      </c>
      <c r="B2162" s="3" t="s">
        <v>45287</v>
      </c>
      <c r="C2162" s="6" t="s">
        <v>74</v>
      </c>
      <c r="D2162" s="6" t="s">
        <v>45288</v>
      </c>
      <c r="E2162" s="3" t="str">
        <f t="shared" si="1"/>
        <v>certainty&lt;br&gt;&lt;div class="audio"&gt;[sound:certainty.mp3]&lt;/div&gt;</v>
      </c>
      <c r="F2162" s="3" t="str">
        <f t="shared" si="2"/>
        <v>(n): sự chắc chắn</v>
      </c>
      <c r="G2162" s="6" t="s">
        <v>45289</v>
      </c>
      <c r="H2162" s="6" t="s">
        <v>45290</v>
      </c>
      <c r="I2162" s="7">
        <f t="shared" si="3"/>
        <v>0.6945466163</v>
      </c>
    </row>
    <row r="2163">
      <c r="A2163" s="4">
        <v>2163.0</v>
      </c>
      <c r="B2163" s="3" t="s">
        <v>45291</v>
      </c>
      <c r="C2163" s="6" t="s">
        <v>74</v>
      </c>
      <c r="D2163" s="6" t="s">
        <v>12339</v>
      </c>
      <c r="E2163" s="3" t="str">
        <f t="shared" si="1"/>
        <v>guidance&lt;br&gt;&lt;div class="audio"&gt;[sound:guidance.mp3]&lt;/div&gt;</v>
      </c>
      <c r="F2163" s="3" t="str">
        <f t="shared" si="2"/>
        <v>(n): sự hướng dẫn</v>
      </c>
      <c r="G2163" s="6" t="s">
        <v>45292</v>
      </c>
      <c r="H2163" s="6" t="s">
        <v>45293</v>
      </c>
      <c r="I2163" s="7">
        <f t="shared" si="3"/>
        <v>0.8547858077</v>
      </c>
    </row>
    <row r="2164">
      <c r="A2164" s="4">
        <v>2164.0</v>
      </c>
      <c r="B2164" s="3" t="s">
        <v>45294</v>
      </c>
      <c r="C2164" s="6" t="s">
        <v>11</v>
      </c>
      <c r="D2164" s="6" t="s">
        <v>45295</v>
      </c>
      <c r="E2164" s="3" t="str">
        <f t="shared" si="1"/>
        <v>intended&lt;br&gt;&lt;div class="audio"&gt;[sound:intended.mp3]&lt;/div&gt;</v>
      </c>
      <c r="F2164" s="3" t="str">
        <f t="shared" si="2"/>
        <v>(adj): được dự định</v>
      </c>
      <c r="G2164" s="6" t="s">
        <v>45296</v>
      </c>
      <c r="H2164" s="6" t="s">
        <v>45297</v>
      </c>
      <c r="I2164" s="7">
        <f t="shared" si="3"/>
        <v>0.3273436088</v>
      </c>
    </row>
    <row r="2165">
      <c r="A2165" s="4">
        <v>2165.0</v>
      </c>
      <c r="B2165" s="3" t="s">
        <v>45298</v>
      </c>
      <c r="C2165" s="6" t="s">
        <v>85</v>
      </c>
      <c r="D2165" s="6" t="s">
        <v>45299</v>
      </c>
      <c r="E2165" s="3" t="str">
        <f t="shared" si="1"/>
        <v>meanwhile&lt;br&gt;&lt;div class="audio"&gt;[sound:meanwhile.mp3]&lt;/div&gt;</v>
      </c>
      <c r="F2165" s="3" t="str">
        <f t="shared" si="2"/>
        <v>(adv): trong khi đó</v>
      </c>
      <c r="G2165" s="6" t="s">
        <v>45300</v>
      </c>
      <c r="H2165" s="6" t="s">
        <v>45301</v>
      </c>
      <c r="I2165" s="7">
        <f t="shared" si="3"/>
        <v>0.09638667495</v>
      </c>
    </row>
    <row r="2166">
      <c r="A2166" s="4">
        <v>2166.0</v>
      </c>
      <c r="B2166" s="3" t="s">
        <v>45302</v>
      </c>
      <c r="C2166" s="6" t="s">
        <v>74</v>
      </c>
      <c r="D2166" s="6" t="s">
        <v>15573</v>
      </c>
      <c r="E2166" s="3" t="str">
        <f t="shared" si="1"/>
        <v>compromise&lt;br&gt;&lt;div class="audio"&gt;[sound:compromise.mp3]&lt;/div&gt;</v>
      </c>
      <c r="F2166" s="3" t="str">
        <f t="shared" si="2"/>
        <v>(n): sự thỏa hiệp</v>
      </c>
      <c r="G2166" s="6" t="s">
        <v>45303</v>
      </c>
      <c r="H2166" s="6" t="s">
        <v>45304</v>
      </c>
      <c r="I2166" s="7">
        <f t="shared" si="3"/>
        <v>0.2945959481</v>
      </c>
    </row>
    <row r="2167">
      <c r="A2167" s="4">
        <v>2167.0</v>
      </c>
      <c r="B2167" s="3" t="s">
        <v>45305</v>
      </c>
      <c r="C2167" s="6" t="s">
        <v>74</v>
      </c>
      <c r="D2167" s="6" t="s">
        <v>45306</v>
      </c>
      <c r="E2167" s="3" t="str">
        <f t="shared" si="1"/>
        <v>insight&lt;br&gt;&lt;div class="audio"&gt;[sound:insight.mp3]&lt;/div&gt;</v>
      </c>
      <c r="F2167" s="3" t="str">
        <f t="shared" si="2"/>
        <v>(n): sự sáng suốt</v>
      </c>
      <c r="G2167" s="6" t="s">
        <v>45307</v>
      </c>
      <c r="H2167" s="6" t="s">
        <v>45308</v>
      </c>
      <c r="I2167" s="7">
        <f t="shared" si="3"/>
        <v>0.05495504784</v>
      </c>
    </row>
    <row r="2168">
      <c r="A2168" s="4">
        <v>2168.0</v>
      </c>
      <c r="B2168" s="3" t="s">
        <v>45309</v>
      </c>
      <c r="C2168" s="6" t="s">
        <v>74</v>
      </c>
      <c r="D2168" s="6" t="s">
        <v>45310</v>
      </c>
      <c r="E2168" s="3" t="str">
        <f t="shared" si="1"/>
        <v>identification&lt;br&gt;&lt;div class="audio"&gt;[sound:identification.mp3]&lt;/div&gt;</v>
      </c>
      <c r="F2168" s="3" t="str">
        <f t="shared" si="2"/>
        <v>(n): sự nhận diện</v>
      </c>
      <c r="G2168" s="6" t="s">
        <v>45311</v>
      </c>
      <c r="H2168" s="6" t="s">
        <v>45312</v>
      </c>
      <c r="I2168" s="7">
        <f t="shared" si="3"/>
        <v>0.5174815505</v>
      </c>
    </row>
    <row r="2169">
      <c r="A2169" s="4">
        <v>2169.0</v>
      </c>
      <c r="B2169" s="3" t="s">
        <v>45313</v>
      </c>
      <c r="C2169" s="6" t="s">
        <v>74</v>
      </c>
      <c r="D2169" s="6" t="s">
        <v>45314</v>
      </c>
      <c r="E2169" s="3" t="str">
        <f t="shared" si="1"/>
        <v>fighting&lt;br&gt;&lt;div class="audio"&gt;[sound:fighting.mp3]&lt;/div&gt;</v>
      </c>
      <c r="F2169" s="3" t="str">
        <f t="shared" si="2"/>
        <v>(n): sự chiến đấu</v>
      </c>
      <c r="G2169" s="6" t="s">
        <v>45315</v>
      </c>
      <c r="H2169" s="6" t="s">
        <v>45316</v>
      </c>
      <c r="I2169" s="7">
        <f t="shared" si="3"/>
        <v>0.2304860282</v>
      </c>
    </row>
    <row r="2170">
      <c r="A2170" s="4">
        <v>2170.0</v>
      </c>
      <c r="B2170" s="3" t="s">
        <v>45317</v>
      </c>
      <c r="C2170" s="6" t="s">
        <v>74</v>
      </c>
      <c r="D2170" s="8" t="s">
        <v>45318</v>
      </c>
      <c r="E2170" s="3" t="str">
        <f t="shared" si="1"/>
        <v>swimming&lt;br&gt;&lt;div class="audio"&gt;[sound:swimming.mp3]&lt;/div&gt;</v>
      </c>
      <c r="F2170" s="3" t="str">
        <f t="shared" si="2"/>
        <v>(n): việc bơi lội</v>
      </c>
      <c r="G2170" s="8" t="s">
        <v>45319</v>
      </c>
      <c r="H2170" s="8" t="s">
        <v>45320</v>
      </c>
      <c r="I2170" s="7">
        <f t="shared" si="3"/>
        <v>0.296168189</v>
      </c>
    </row>
    <row r="2171">
      <c r="A2171" s="4">
        <v>2171.0</v>
      </c>
      <c r="B2171" s="3" t="s">
        <v>45321</v>
      </c>
      <c r="C2171" s="6" t="s">
        <v>74</v>
      </c>
      <c r="D2171" s="6" t="s">
        <v>45322</v>
      </c>
      <c r="E2171" s="3" t="str">
        <f t="shared" si="1"/>
        <v>builder&lt;br&gt;&lt;div class="audio"&gt;[sound:builder.mp3]&lt;/div&gt;</v>
      </c>
      <c r="F2171" s="3" t="str">
        <f t="shared" si="2"/>
        <v>(n): thợ xây dựng</v>
      </c>
      <c r="G2171" s="6" t="s">
        <v>45323</v>
      </c>
      <c r="H2171" s="6" t="s">
        <v>45324</v>
      </c>
      <c r="I2171" s="7">
        <f t="shared" si="3"/>
        <v>0.3262904754</v>
      </c>
    </row>
    <row r="2172">
      <c r="A2172" s="4">
        <v>2172.0</v>
      </c>
      <c r="B2172" s="3" t="s">
        <v>45325</v>
      </c>
      <c r="C2172" s="6" t="s">
        <v>74</v>
      </c>
      <c r="D2172" s="6" t="s">
        <v>41627</v>
      </c>
      <c r="E2172" s="3" t="str">
        <f t="shared" si="1"/>
        <v>consultation&lt;br&gt;&lt;div class="audio"&gt;[sound:consultation.mp3]&lt;/div&gt;</v>
      </c>
      <c r="F2172" s="3" t="str">
        <f t="shared" si="2"/>
        <v>(n): sự tham khảo</v>
      </c>
      <c r="G2172" s="6" t="s">
        <v>45326</v>
      </c>
      <c r="H2172" s="6" t="s">
        <v>45327</v>
      </c>
      <c r="I2172" s="7">
        <f t="shared" si="3"/>
        <v>0.9495234328</v>
      </c>
    </row>
    <row r="2173">
      <c r="A2173" s="4">
        <v>2173.0</v>
      </c>
      <c r="B2173" s="3" t="s">
        <v>45328</v>
      </c>
      <c r="C2173" s="6" t="s">
        <v>11</v>
      </c>
      <c r="D2173" s="8" t="s">
        <v>45329</v>
      </c>
      <c r="E2173" s="3" t="str">
        <f t="shared" si="1"/>
        <v>situated&lt;br&gt;&lt;div class="audio"&gt;[sound:situated.mp3]&lt;/div&gt;</v>
      </c>
      <c r="F2173" s="3" t="str">
        <f t="shared" si="2"/>
        <v>(adj): được đặt tại</v>
      </c>
      <c r="G2173" s="8" t="s">
        <v>45330</v>
      </c>
      <c r="H2173" s="8" t="s">
        <v>45331</v>
      </c>
      <c r="I2173" s="7">
        <f t="shared" si="3"/>
        <v>0.2299224346</v>
      </c>
    </row>
    <row r="2174">
      <c r="A2174" s="4">
        <v>2174.0</v>
      </c>
      <c r="B2174" s="3" t="s">
        <v>45332</v>
      </c>
      <c r="C2174" s="6" t="s">
        <v>74</v>
      </c>
      <c r="D2174" s="6" t="s">
        <v>45333</v>
      </c>
      <c r="E2174" s="3" t="str">
        <f t="shared" si="1"/>
        <v>intervention&lt;br&gt;&lt;div class="audio"&gt;[sound:intervention.mp3]&lt;/div&gt;</v>
      </c>
      <c r="F2174" s="3" t="str">
        <f t="shared" si="2"/>
        <v>(n): sự can thiệp</v>
      </c>
      <c r="G2174" s="6" t="s">
        <v>45334</v>
      </c>
      <c r="H2174" s="6" t="s">
        <v>45335</v>
      </c>
      <c r="I2174" s="7">
        <f t="shared" si="3"/>
        <v>0.1882573982</v>
      </c>
    </row>
    <row r="2175">
      <c r="A2175" s="4">
        <v>2175.0</v>
      </c>
      <c r="B2175" s="3" t="s">
        <v>45336</v>
      </c>
      <c r="C2175" s="6" t="s">
        <v>74</v>
      </c>
      <c r="D2175" s="8" t="s">
        <v>15584</v>
      </c>
      <c r="E2175" s="3" t="str">
        <f t="shared" si="1"/>
        <v>set-up&lt;br&gt;&lt;div class="audio"&gt;[sound:set-up.mp3]&lt;/div&gt;</v>
      </c>
      <c r="F2175" s="3" t="str">
        <f t="shared" si="2"/>
        <v>(n): sự thiết lập</v>
      </c>
      <c r="G2175" s="8" t="s">
        <v>45337</v>
      </c>
      <c r="H2175" s="8" t="s">
        <v>45338</v>
      </c>
      <c r="I2175" s="7">
        <f t="shared" si="3"/>
        <v>0.5620221</v>
      </c>
    </row>
    <row r="2176">
      <c r="A2176" s="4">
        <v>2176.0</v>
      </c>
      <c r="B2176" s="3" t="s">
        <v>45339</v>
      </c>
      <c r="C2176" s="6" t="s">
        <v>74</v>
      </c>
      <c r="D2176" s="8" t="s">
        <v>37933</v>
      </c>
      <c r="E2176" s="3" t="str">
        <f t="shared" si="1"/>
        <v>shortage&lt;br&gt;&lt;div class="audio"&gt;[sound:shortage.mp3]&lt;/div&gt;</v>
      </c>
      <c r="F2176" s="3" t="str">
        <f t="shared" si="2"/>
        <v>(n): sự thiếu hụt</v>
      </c>
      <c r="G2176" s="8" t="s">
        <v>45340</v>
      </c>
      <c r="H2176" s="8" t="s">
        <v>45341</v>
      </c>
      <c r="I2176" s="7">
        <f t="shared" si="3"/>
        <v>0.7013431502</v>
      </c>
    </row>
    <row r="2177">
      <c r="A2177" s="4">
        <v>2177.0</v>
      </c>
      <c r="B2177" s="3" t="s">
        <v>45342</v>
      </c>
      <c r="C2177" s="6" t="s">
        <v>11</v>
      </c>
      <c r="D2177" s="6" t="s">
        <v>41611</v>
      </c>
      <c r="E2177" s="3" t="str">
        <f t="shared" si="1"/>
        <v>associated&lt;br&gt;&lt;div class="audio"&gt;[sound:associated.mp3]&lt;/div&gt;</v>
      </c>
      <c r="F2177" s="3" t="str">
        <f t="shared" si="2"/>
        <v>(adj): có liên quan</v>
      </c>
      <c r="G2177" s="6" t="s">
        <v>45343</v>
      </c>
      <c r="H2177" s="6" t="s">
        <v>45344</v>
      </c>
      <c r="I2177" s="7">
        <f t="shared" si="3"/>
        <v>0.07821833449</v>
      </c>
    </row>
    <row r="2178">
      <c r="A2178" s="4">
        <v>2178.0</v>
      </c>
      <c r="B2178" s="3" t="s">
        <v>45345</v>
      </c>
      <c r="C2178" s="6" t="s">
        <v>11</v>
      </c>
      <c r="D2178" s="6" t="s">
        <v>45346</v>
      </c>
      <c r="E2178" s="3" t="str">
        <f t="shared" si="1"/>
        <v>urban&lt;br&gt;&lt;div class="audio"&gt;[sound:urban.mp3]&lt;/div&gt;</v>
      </c>
      <c r="F2178" s="3" t="str">
        <f t="shared" si="2"/>
        <v>(adj): thuộc đô thị</v>
      </c>
      <c r="G2178" s="6" t="s">
        <v>45347</v>
      </c>
      <c r="H2178" s="6" t="s">
        <v>45348</v>
      </c>
      <c r="I2178" s="7">
        <f t="shared" si="3"/>
        <v>0.3647159552</v>
      </c>
    </row>
    <row r="2179">
      <c r="A2179" s="4">
        <v>2179.0</v>
      </c>
      <c r="B2179" s="3" t="s">
        <v>45349</v>
      </c>
      <c r="C2179" s="6" t="s">
        <v>24</v>
      </c>
      <c r="D2179" s="6" t="s">
        <v>45350</v>
      </c>
      <c r="E2179" s="3" t="str">
        <f t="shared" si="1"/>
        <v>impress&lt;br&gt;&lt;div class="audio"&gt;[sound:impress.mp3]&lt;/div&gt;</v>
      </c>
      <c r="F2179" s="3" t="str">
        <f t="shared" si="2"/>
        <v>(v): gây ấn tượng</v>
      </c>
      <c r="G2179" s="6" t="s">
        <v>45351</v>
      </c>
      <c r="H2179" s="6" t="s">
        <v>45352</v>
      </c>
      <c r="I2179" s="7">
        <f t="shared" si="3"/>
        <v>0.4133247522</v>
      </c>
    </row>
    <row r="2180">
      <c r="A2180" s="4">
        <v>2180.0</v>
      </c>
      <c r="B2180" s="3" t="s">
        <v>45353</v>
      </c>
      <c r="C2180" s="6" t="s">
        <v>74</v>
      </c>
      <c r="D2180" s="6" t="s">
        <v>45354</v>
      </c>
      <c r="E2180" s="3" t="str">
        <f t="shared" si="1"/>
        <v>equality&lt;br&gt;&lt;div class="audio"&gt;[sound:equality.mp3]&lt;/div&gt;</v>
      </c>
      <c r="F2180" s="3" t="str">
        <f t="shared" si="2"/>
        <v>(n): sự bình đẳng</v>
      </c>
      <c r="G2180" s="6" t="s">
        <v>45355</v>
      </c>
      <c r="H2180" s="6" t="s">
        <v>45356</v>
      </c>
      <c r="I2180" s="7">
        <f t="shared" si="3"/>
        <v>0.3814187546</v>
      </c>
    </row>
    <row r="2181">
      <c r="A2181" s="4">
        <v>2181.0</v>
      </c>
      <c r="B2181" s="3" t="s">
        <v>45357</v>
      </c>
      <c r="C2181" s="6" t="s">
        <v>74</v>
      </c>
      <c r="D2181" s="6" t="s">
        <v>1781</v>
      </c>
      <c r="E2181" s="3" t="str">
        <f t="shared" si="1"/>
        <v>awareness&lt;br&gt;&lt;div class="audio"&gt;[sound:awareness.mp3]&lt;/div&gt;</v>
      </c>
      <c r="F2181" s="3" t="str">
        <f t="shared" si="2"/>
        <v>(n): sự nhận thức</v>
      </c>
      <c r="G2181" s="6" t="s">
        <v>45358</v>
      </c>
      <c r="H2181" s="6" t="s">
        <v>45359</v>
      </c>
      <c r="I2181" s="7">
        <f t="shared" si="3"/>
        <v>0.5982754881</v>
      </c>
    </row>
    <row r="2182">
      <c r="A2182" s="4">
        <v>2182.0</v>
      </c>
      <c r="B2182" s="3" t="s">
        <v>45360</v>
      </c>
      <c r="C2182" s="6" t="s">
        <v>74</v>
      </c>
      <c r="D2182" s="6" t="s">
        <v>45361</v>
      </c>
      <c r="E2182" s="3" t="str">
        <f t="shared" si="1"/>
        <v>approval&lt;br&gt;&lt;div class="audio"&gt;[sound:approval.mp3]&lt;/div&gt;</v>
      </c>
      <c r="F2182" s="3" t="str">
        <f t="shared" si="2"/>
        <v>(n): sự phê duyệt</v>
      </c>
      <c r="G2182" s="6" t="s">
        <v>45362</v>
      </c>
      <c r="H2182" s="6" t="s">
        <v>45363</v>
      </c>
      <c r="I2182" s="7">
        <f t="shared" si="3"/>
        <v>0.9915425715</v>
      </c>
    </row>
    <row r="2183">
      <c r="A2183" s="4">
        <v>2183.0</v>
      </c>
      <c r="B2183" s="3" t="s">
        <v>45364</v>
      </c>
      <c r="C2183" s="6" t="s">
        <v>74</v>
      </c>
      <c r="D2183" s="6" t="s">
        <v>45365</v>
      </c>
      <c r="E2183" s="3" t="str">
        <f t="shared" si="1"/>
        <v>collaboration&lt;br&gt;&lt;div class="audio"&gt;[sound:collaboration.mp3]&lt;/div&gt;</v>
      </c>
      <c r="F2183" s="3" t="str">
        <f t="shared" si="2"/>
        <v>(n): sự cộng tác</v>
      </c>
      <c r="G2183" s="6" t="s">
        <v>45366</v>
      </c>
      <c r="H2183" s="6" t="s">
        <v>45367</v>
      </c>
      <c r="I2183" s="7">
        <f t="shared" si="3"/>
        <v>0.04940009598</v>
      </c>
    </row>
    <row r="2184">
      <c r="A2184" s="4">
        <v>2184.0</v>
      </c>
      <c r="B2184" s="3" t="s">
        <v>45368</v>
      </c>
      <c r="C2184" s="6" t="s">
        <v>74</v>
      </c>
      <c r="D2184" s="6" t="s">
        <v>24170</v>
      </c>
      <c r="E2184" s="3" t="str">
        <f t="shared" si="1"/>
        <v>bonus&lt;br&gt;&lt;div class="audio"&gt;[sound:bonus.mp3]&lt;/div&gt;</v>
      </c>
      <c r="F2184" s="3" t="str">
        <f t="shared" si="2"/>
        <v>(n): tiền thưởng</v>
      </c>
      <c r="G2184" s="6" t="s">
        <v>45369</v>
      </c>
      <c r="H2184" s="6" t="s">
        <v>45370</v>
      </c>
      <c r="I2184" s="7">
        <f t="shared" si="3"/>
        <v>0.6846413457</v>
      </c>
    </row>
    <row r="2185">
      <c r="A2185" s="4">
        <v>2185.0</v>
      </c>
      <c r="B2185" s="3" t="s">
        <v>45371</v>
      </c>
      <c r="C2185" s="6" t="s">
        <v>74</v>
      </c>
      <c r="D2185" s="6" t="s">
        <v>45372</v>
      </c>
      <c r="E2185" s="3" t="str">
        <f t="shared" si="1"/>
        <v>consciousness&lt;br&gt;&lt;div class="audio"&gt;[sound:consciousness.mp3]&lt;/div&gt;</v>
      </c>
      <c r="F2185" s="3" t="str">
        <f t="shared" si="2"/>
        <v>(n): sự tỉnh táo</v>
      </c>
      <c r="G2185" s="6" t="s">
        <v>45373</v>
      </c>
      <c r="H2185" s="6" t="s">
        <v>45374</v>
      </c>
      <c r="I2185" s="7">
        <f t="shared" si="3"/>
        <v>0.1206777403</v>
      </c>
    </row>
    <row r="2186">
      <c r="A2186" s="4">
        <v>2186.0</v>
      </c>
      <c r="B2186" s="3" t="s">
        <v>45375</v>
      </c>
      <c r="C2186" s="6" t="s">
        <v>74</v>
      </c>
      <c r="D2186" s="6" t="s">
        <v>35334</v>
      </c>
      <c r="E2186" s="3" t="str">
        <f t="shared" si="1"/>
        <v>abuse&lt;br&gt;&lt;div class="audio"&gt;[sound:abuse.mp3]&lt;/div&gt;</v>
      </c>
      <c r="F2186" s="3" t="str">
        <f t="shared" si="2"/>
        <v>(n): sự lạm dụng</v>
      </c>
      <c r="G2186" s="6" t="s">
        <v>45376</v>
      </c>
      <c r="H2186" s="6" t="s">
        <v>45377</v>
      </c>
      <c r="I2186" s="7">
        <f t="shared" si="3"/>
        <v>0.9710378609</v>
      </c>
    </row>
    <row r="2187">
      <c r="A2187" s="4">
        <v>2187.0</v>
      </c>
      <c r="B2187" s="3" t="s">
        <v>45378</v>
      </c>
      <c r="C2187" s="6" t="s">
        <v>74</v>
      </c>
      <c r="D2187" s="8" t="s">
        <v>45379</v>
      </c>
      <c r="E2187" s="3" t="str">
        <f t="shared" si="1"/>
        <v>singing&lt;br&gt;&lt;div class="audio"&gt;[sound:singing.mp3]&lt;/div&gt;</v>
      </c>
      <c r="F2187" s="3" t="str">
        <f t="shared" si="2"/>
        <v>(n): việc ca hát</v>
      </c>
      <c r="G2187" s="8" t="s">
        <v>45380</v>
      </c>
      <c r="H2187" s="8" t="s">
        <v>45381</v>
      </c>
      <c r="I2187" s="7">
        <f t="shared" si="3"/>
        <v>0.06960955483</v>
      </c>
    </row>
    <row r="2188">
      <c r="A2188" s="4">
        <v>2188.0</v>
      </c>
      <c r="B2188" s="3" t="s">
        <v>45382</v>
      </c>
      <c r="C2188" s="6" t="s">
        <v>74</v>
      </c>
      <c r="D2188" s="6" t="s">
        <v>45383</v>
      </c>
      <c r="E2188" s="3" t="str">
        <f t="shared" si="1"/>
        <v>confirmation&lt;br&gt;&lt;div class="audio"&gt;[sound:confirmation.mp3]&lt;/div&gt;</v>
      </c>
      <c r="F2188" s="3" t="str">
        <f t="shared" si="2"/>
        <v>(n): sự xác nhận</v>
      </c>
      <c r="G2188" s="6" t="s">
        <v>45384</v>
      </c>
      <c r="H2188" s="6" t="s">
        <v>45385</v>
      </c>
      <c r="I2188" s="7">
        <f t="shared" si="3"/>
        <v>0.1639644198</v>
      </c>
    </row>
    <row r="2189">
      <c r="A2189" s="4">
        <v>2189.0</v>
      </c>
      <c r="B2189" s="3" t="s">
        <v>45386</v>
      </c>
      <c r="C2189" s="6" t="s">
        <v>11</v>
      </c>
      <c r="D2189" s="6" t="s">
        <v>45387</v>
      </c>
      <c r="E2189" s="3" t="str">
        <f t="shared" si="1"/>
        <v>impressed&lt;br&gt;&lt;div class="audio"&gt;[sound:impressed.mp3]&lt;/div&gt;</v>
      </c>
      <c r="F2189" s="3" t="str">
        <f t="shared" si="2"/>
        <v>(adj): bị ấn tượng</v>
      </c>
      <c r="G2189" s="6" t="s">
        <v>45388</v>
      </c>
      <c r="H2189" s="6" t="s">
        <v>45389</v>
      </c>
      <c r="I2189" s="7">
        <f t="shared" si="3"/>
        <v>0.3664988186</v>
      </c>
    </row>
    <row r="2190">
      <c r="A2190" s="4">
        <v>2190.0</v>
      </c>
      <c r="B2190" s="3" t="s">
        <v>45390</v>
      </c>
      <c r="C2190" s="6" t="s">
        <v>74</v>
      </c>
      <c r="D2190" s="6" t="s">
        <v>45391</v>
      </c>
      <c r="E2190" s="3" t="str">
        <f t="shared" si="1"/>
        <v>exposure&lt;br&gt;&lt;div class="audio"&gt;[sound:exposure.mp3]&lt;/div&gt;</v>
      </c>
      <c r="F2190" s="3" t="str">
        <f t="shared" si="2"/>
        <v>(n): sự tiếp xúc</v>
      </c>
      <c r="G2190" s="6" t="s">
        <v>45392</v>
      </c>
      <c r="H2190" s="6" t="s">
        <v>45393</v>
      </c>
      <c r="I2190" s="7">
        <f t="shared" si="3"/>
        <v>0.5623062459</v>
      </c>
    </row>
    <row r="2191">
      <c r="A2191" s="4">
        <v>2191.0</v>
      </c>
      <c r="B2191" s="3" t="s">
        <v>45394</v>
      </c>
      <c r="C2191" s="6" t="s">
        <v>74</v>
      </c>
      <c r="D2191" s="6" t="s">
        <v>45395</v>
      </c>
      <c r="E2191" s="3" t="str">
        <f t="shared" si="1"/>
        <v>browser&lt;br&gt;&lt;div class="audio"&gt;[sound:browser.mp3]&lt;/div&gt;</v>
      </c>
      <c r="F2191" s="3" t="str">
        <f t="shared" si="2"/>
        <v>(n): trình duyệt</v>
      </c>
      <c r="G2191" s="6" t="s">
        <v>45396</v>
      </c>
      <c r="H2191" s="6" t="s">
        <v>45397</v>
      </c>
      <c r="I2191" s="7">
        <f t="shared" si="3"/>
        <v>0.5785528921</v>
      </c>
    </row>
    <row r="2192">
      <c r="A2192" s="4">
        <v>2192.0</v>
      </c>
      <c r="B2192" s="3" t="s">
        <v>45398</v>
      </c>
      <c r="C2192" s="6" t="s">
        <v>74</v>
      </c>
      <c r="D2192" s="6" t="s">
        <v>45399</v>
      </c>
      <c r="E2192" s="3" t="str">
        <f t="shared" si="1"/>
        <v>complexity&lt;br&gt;&lt;div class="audio"&gt;[sound:complexity.mp3]&lt;/div&gt;</v>
      </c>
      <c r="F2192" s="3" t="str">
        <f t="shared" si="2"/>
        <v>(n): sự phức tạp</v>
      </c>
      <c r="G2192" s="6" t="s">
        <v>45400</v>
      </c>
      <c r="H2192" s="6" t="s">
        <v>45401</v>
      </c>
      <c r="I2192" s="7">
        <f t="shared" si="3"/>
        <v>0.2524698333</v>
      </c>
    </row>
    <row r="2193">
      <c r="A2193" s="4">
        <v>2193.0</v>
      </c>
      <c r="B2193" s="3" t="s">
        <v>45402</v>
      </c>
      <c r="C2193" s="6" t="s">
        <v>74</v>
      </c>
      <c r="D2193" s="6" t="s">
        <v>41666</v>
      </c>
      <c r="E2193" s="3" t="str">
        <f t="shared" si="1"/>
        <v>evaluation&lt;br&gt;&lt;div class="audio"&gt;[sound:evaluation.mp3]&lt;/div&gt;</v>
      </c>
      <c r="F2193" s="3" t="str">
        <f t="shared" si="2"/>
        <v>(n): sự đánh giá</v>
      </c>
      <c r="G2193" s="6" t="s">
        <v>45403</v>
      </c>
      <c r="H2193" s="6" t="s">
        <v>45404</v>
      </c>
      <c r="I2193" s="7">
        <f t="shared" si="3"/>
        <v>0.69076412</v>
      </c>
    </row>
    <row r="2194">
      <c r="A2194" s="4">
        <v>2194.0</v>
      </c>
      <c r="B2194" s="3" t="s">
        <v>45405</v>
      </c>
      <c r="C2194" s="6" t="s">
        <v>74</v>
      </c>
      <c r="D2194" s="6" t="s">
        <v>41666</v>
      </c>
      <c r="E2194" s="3" t="str">
        <f t="shared" si="1"/>
        <v>assessment&lt;br&gt;&lt;div class="audio"&gt;[sound:assessment.mp3]&lt;/div&gt;</v>
      </c>
      <c r="F2194" s="3" t="str">
        <f t="shared" si="2"/>
        <v>(n): sự đánh giá</v>
      </c>
      <c r="G2194" s="6" t="s">
        <v>45406</v>
      </c>
      <c r="H2194" s="6" t="s">
        <v>45407</v>
      </c>
      <c r="I2194" s="7">
        <f t="shared" si="3"/>
        <v>0.1443408401</v>
      </c>
    </row>
    <row r="2195">
      <c r="A2195" s="4">
        <v>2195.0</v>
      </c>
      <c r="B2195" s="3" t="s">
        <v>45408</v>
      </c>
      <c r="C2195" s="6" t="s">
        <v>74</v>
      </c>
      <c r="D2195" s="6" t="s">
        <v>45409</v>
      </c>
      <c r="E2195" s="3" t="str">
        <f t="shared" si="1"/>
        <v>inquiry&lt;br&gt;&lt;div class="audio"&gt;[sound:inquiry.mp3]&lt;/div&gt;</v>
      </c>
      <c r="F2195" s="3" t="str">
        <f t="shared" si="2"/>
        <v>(n): sự hỏi thăm</v>
      </c>
      <c r="G2195" s="6" t="s">
        <v>45410</v>
      </c>
      <c r="H2195" s="6" t="s">
        <v>45411</v>
      </c>
      <c r="I2195" s="7">
        <f t="shared" si="3"/>
        <v>0.244557659</v>
      </c>
    </row>
    <row r="2196">
      <c r="A2196" s="4">
        <v>2196.0</v>
      </c>
      <c r="B2196" s="3" t="s">
        <v>45412</v>
      </c>
      <c r="C2196" s="6" t="s">
        <v>11</v>
      </c>
      <c r="D2196" s="6" t="s">
        <v>45413</v>
      </c>
      <c r="E2196" s="3" t="str">
        <f t="shared" si="1"/>
        <v>unusual&lt;br&gt;&lt;div class="audio"&gt;[sound:unusual.mp3]&lt;/div&gt;</v>
      </c>
      <c r="F2196" s="3" t="str">
        <f t="shared" si="2"/>
        <v>(adj): khác thường</v>
      </c>
      <c r="G2196" s="6" t="s">
        <v>45414</v>
      </c>
      <c r="H2196" s="6" t="s">
        <v>45415</v>
      </c>
      <c r="I2196" s="7">
        <f t="shared" si="3"/>
        <v>0.07530986666</v>
      </c>
    </row>
    <row r="2197">
      <c r="A2197" s="4">
        <v>2197.0</v>
      </c>
      <c r="B2197" s="3" t="s">
        <v>45416</v>
      </c>
      <c r="C2197" s="6" t="s">
        <v>63</v>
      </c>
      <c r="D2197" s="6" t="s">
        <v>45417</v>
      </c>
      <c r="E2197" s="3" t="str">
        <f t="shared" si="1"/>
        <v>unlike&lt;br&gt;&lt;div class="audio"&gt;[sound:unlike.mp3]&lt;/div&gt;</v>
      </c>
      <c r="F2197" s="3" t="str">
        <f t="shared" si="2"/>
        <v>(prep): không giống</v>
      </c>
      <c r="G2197" s="6" t="s">
        <v>45418</v>
      </c>
      <c r="H2197" s="6" t="s">
        <v>45419</v>
      </c>
      <c r="I2197" s="7">
        <f t="shared" si="3"/>
        <v>0.3454103955</v>
      </c>
    </row>
    <row r="2198">
      <c r="A2198" s="4">
        <v>2198.0</v>
      </c>
      <c r="B2198" s="3" t="s">
        <v>45420</v>
      </c>
      <c r="C2198" s="6" t="s">
        <v>74</v>
      </c>
      <c r="D2198" s="6" t="s">
        <v>45421</v>
      </c>
      <c r="E2198" s="3" t="str">
        <f t="shared" si="1"/>
        <v>integration&lt;br&gt;&lt;div class="audio"&gt;[sound:integration.mp3]&lt;/div&gt;</v>
      </c>
      <c r="F2198" s="3" t="str">
        <f t="shared" si="2"/>
        <v>(n): sự tích hợp</v>
      </c>
      <c r="G2198" s="6" t="s">
        <v>45422</v>
      </c>
      <c r="H2198" s="6" t="s">
        <v>45423</v>
      </c>
      <c r="I2198" s="7">
        <f t="shared" si="3"/>
        <v>0.9409353848</v>
      </c>
    </row>
    <row r="2199">
      <c r="A2199" s="4">
        <v>2199.0</v>
      </c>
      <c r="B2199" s="3" t="s">
        <v>45424</v>
      </c>
      <c r="C2199" s="6" t="s">
        <v>11</v>
      </c>
      <c r="D2199" s="8" t="s">
        <v>9945</v>
      </c>
      <c r="E2199" s="3" t="str">
        <f t="shared" si="1"/>
        <v>specialized&lt;br&gt;&lt;div class="audio"&gt;[sound:specialized.mp3]&lt;/div&gt;</v>
      </c>
      <c r="F2199" s="3" t="str">
        <f t="shared" si="2"/>
        <v>(adj): chuyên dụng</v>
      </c>
      <c r="G2199" s="8" t="s">
        <v>45425</v>
      </c>
      <c r="H2199" s="8" t="s">
        <v>45426</v>
      </c>
      <c r="I2199" s="7">
        <f t="shared" si="3"/>
        <v>0.6278649659</v>
      </c>
    </row>
    <row r="2200">
      <c r="A2200" s="4">
        <v>2200.0</v>
      </c>
      <c r="B2200" s="3" t="s">
        <v>45427</v>
      </c>
      <c r="C2200" s="6" t="s">
        <v>24</v>
      </c>
      <c r="D2200" s="6" t="s">
        <v>11183</v>
      </c>
      <c r="E2200" s="3" t="str">
        <f t="shared" si="1"/>
        <v>demonstrate&lt;br&gt;&lt;div class="audio"&gt;[sound:demonstrate.mp3]&lt;/div&gt;</v>
      </c>
      <c r="F2200" s="3" t="str">
        <f t="shared" si="2"/>
        <v>(v): chứng minh</v>
      </c>
      <c r="G2200" s="6" t="s">
        <v>45428</v>
      </c>
      <c r="H2200" s="6" t="s">
        <v>45429</v>
      </c>
      <c r="I2200" s="7">
        <f t="shared" si="3"/>
        <v>0.002117241308</v>
      </c>
    </row>
    <row r="2201">
      <c r="A2201" s="4">
        <v>2201.0</v>
      </c>
      <c r="B2201" s="3" t="s">
        <v>45430</v>
      </c>
      <c r="C2201" s="6" t="s">
        <v>74</v>
      </c>
      <c r="D2201" s="6" t="s">
        <v>36319</v>
      </c>
      <c r="E2201" s="3" t="str">
        <f t="shared" si="1"/>
        <v>clinic&lt;br&gt;&lt;div class="audio"&gt;[sound:clinic.mp3]&lt;/div&gt;</v>
      </c>
      <c r="F2201" s="3" t="str">
        <f t="shared" si="2"/>
        <v>(n): phòng khám</v>
      </c>
      <c r="G2201" s="6" t="s">
        <v>45431</v>
      </c>
      <c r="H2201" s="6" t="s">
        <v>45432</v>
      </c>
      <c r="I2201" s="7">
        <f t="shared" si="3"/>
        <v>0.08953246391</v>
      </c>
    </row>
    <row r="2202">
      <c r="A2202" s="4">
        <v>2202.0</v>
      </c>
      <c r="B2202" s="3" t="s">
        <v>45433</v>
      </c>
      <c r="C2202" s="6" t="s">
        <v>85</v>
      </c>
      <c r="D2202" s="6" t="s">
        <v>2641</v>
      </c>
      <c r="E2202" s="3" t="str">
        <f t="shared" si="1"/>
        <v>abroad&lt;br&gt;&lt;div class="audio"&gt;[sound:abroad.mp3]&lt;/div&gt;</v>
      </c>
      <c r="F2202" s="3" t="str">
        <f t="shared" si="2"/>
        <v>(adv): nước ngoài</v>
      </c>
      <c r="G2202" s="6" t="s">
        <v>45434</v>
      </c>
      <c r="H2202" s="6" t="s">
        <v>45435</v>
      </c>
      <c r="I2202" s="7">
        <f t="shared" si="3"/>
        <v>0.265925922</v>
      </c>
    </row>
    <row r="2203">
      <c r="A2203" s="4">
        <v>2203.0</v>
      </c>
      <c r="B2203" s="3" t="s">
        <v>45436</v>
      </c>
      <c r="C2203" s="6" t="s">
        <v>74</v>
      </c>
      <c r="D2203" s="6" t="s">
        <v>45437</v>
      </c>
      <c r="E2203" s="3" t="str">
        <f t="shared" si="1"/>
        <v>wealth&lt;br&gt;&lt;div class="audio"&gt;[sound:wealth.mp3]&lt;/div&gt;</v>
      </c>
      <c r="F2203" s="3" t="str">
        <f t="shared" si="2"/>
        <v>(n): sự giàu có</v>
      </c>
      <c r="G2203" s="6" t="s">
        <v>45438</v>
      </c>
      <c r="H2203" s="6" t="s">
        <v>45439</v>
      </c>
      <c r="I2203" s="7">
        <f t="shared" si="3"/>
        <v>0.1868671177</v>
      </c>
    </row>
    <row r="2204">
      <c r="A2204" s="4">
        <v>2204.0</v>
      </c>
      <c r="B2204" s="3" t="s">
        <v>45440</v>
      </c>
      <c r="C2204" s="6" t="s">
        <v>85</v>
      </c>
      <c r="D2204" s="6" t="s">
        <v>45441</v>
      </c>
      <c r="E2204" s="3" t="str">
        <f t="shared" si="1"/>
        <v>hopefully&lt;br&gt;&lt;div class="audio"&gt;[sound:hopefully.mp3]&lt;/div&gt;</v>
      </c>
      <c r="F2204" s="3" t="str">
        <f t="shared" si="2"/>
        <v>(adv): hy vọng là</v>
      </c>
      <c r="G2204" s="6" t="s">
        <v>45442</v>
      </c>
      <c r="H2204" s="6" t="s">
        <v>45443</v>
      </c>
      <c r="I2204" s="7">
        <f t="shared" si="3"/>
        <v>0.2078579832</v>
      </c>
    </row>
    <row r="2205">
      <c r="A2205" s="4">
        <v>2205.0</v>
      </c>
      <c r="B2205" s="3" t="s">
        <v>45444</v>
      </c>
      <c r="C2205" s="6" t="s">
        <v>24</v>
      </c>
      <c r="D2205" s="6" t="s">
        <v>45445</v>
      </c>
      <c r="E2205" s="3" t="str">
        <f t="shared" si="1"/>
        <v>appreciate&lt;br&gt;&lt;div class="audio"&gt;[sound:appreciate.mp3]&lt;/div&gt;</v>
      </c>
      <c r="F2205" s="3" t="str">
        <f t="shared" si="2"/>
        <v>(v): trân trọng</v>
      </c>
      <c r="G2205" s="6" t="s">
        <v>45446</v>
      </c>
      <c r="H2205" s="6" t="s">
        <v>45447</v>
      </c>
      <c r="I2205" s="7">
        <f t="shared" si="3"/>
        <v>0.2999018294</v>
      </c>
    </row>
    <row r="2206">
      <c r="A2206" s="4">
        <v>2206.0</v>
      </c>
      <c r="B2206" s="3" t="s">
        <v>45448</v>
      </c>
      <c r="C2206" s="6" t="s">
        <v>74</v>
      </c>
      <c r="D2206" s="6" t="s">
        <v>45449</v>
      </c>
      <c r="E2206" s="3" t="str">
        <f t="shared" si="1"/>
        <v>harm&lt;br&gt;&lt;div class="audio"&gt;[sound:harm.mp3]&lt;/div&gt;</v>
      </c>
      <c r="F2206" s="3" t="str">
        <f t="shared" si="2"/>
        <v>(n): sự tổn hại</v>
      </c>
      <c r="G2206" s="6" t="s">
        <v>45450</v>
      </c>
      <c r="H2206" s="6" t="s">
        <v>45451</v>
      </c>
      <c r="I2206" s="7">
        <f t="shared" si="3"/>
        <v>0.9927717476</v>
      </c>
    </row>
    <row r="2207">
      <c r="A2207" s="4">
        <v>2207.0</v>
      </c>
      <c r="B2207" s="3" t="s">
        <v>45452</v>
      </c>
      <c r="C2207" s="6" t="s">
        <v>11</v>
      </c>
      <c r="D2207" s="6" t="s">
        <v>45453</v>
      </c>
      <c r="E2207" s="3" t="str">
        <f t="shared" si="1"/>
        <v>unlikely&lt;br&gt;&lt;div class="audio"&gt;[sound:unlikely.mp3]&lt;/div&gt;</v>
      </c>
      <c r="F2207" s="3" t="str">
        <f t="shared" si="2"/>
        <v>(adj): không chắc</v>
      </c>
      <c r="G2207" s="6" t="s">
        <v>45454</v>
      </c>
      <c r="H2207" s="6" t="s">
        <v>45455</v>
      </c>
      <c r="I2207" s="7">
        <f t="shared" si="3"/>
        <v>0.149073211</v>
      </c>
    </row>
    <row r="2208">
      <c r="A2208" s="4">
        <v>2208.0</v>
      </c>
      <c r="B2208" s="3" t="s">
        <v>45456</v>
      </c>
      <c r="C2208" s="6" t="s">
        <v>85</v>
      </c>
      <c r="D2208" s="6" t="s">
        <v>45457</v>
      </c>
      <c r="E2208" s="3" t="str">
        <f t="shared" si="1"/>
        <v>consequently&lt;br&gt;&lt;div class="audio"&gt;[sound:consequently.mp3]&lt;/div&gt;</v>
      </c>
      <c r="F2208" s="3" t="str">
        <f t="shared" si="2"/>
        <v>(adv): hậu quả là</v>
      </c>
      <c r="G2208" s="6" t="s">
        <v>45458</v>
      </c>
      <c r="H2208" s="6" t="s">
        <v>45459</v>
      </c>
      <c r="I2208" s="7">
        <f t="shared" si="3"/>
        <v>0.733735013</v>
      </c>
    </row>
    <row r="2209">
      <c r="A2209" s="4">
        <v>2209.0</v>
      </c>
      <c r="B2209" s="3" t="s">
        <v>45460</v>
      </c>
      <c r="C2209" s="6" t="s">
        <v>85</v>
      </c>
      <c r="D2209" s="8" t="s">
        <v>3184</v>
      </c>
      <c r="E2209" s="3" t="str">
        <f t="shared" si="1"/>
        <v>sometime&lt;br&gt;&lt;div class="audio"&gt;[sound:sometime.mp3]&lt;/div&gt;</v>
      </c>
      <c r="F2209" s="3" t="str">
        <f t="shared" si="2"/>
        <v>(adv): lúc nào đó</v>
      </c>
      <c r="G2209" s="8" t="s">
        <v>45461</v>
      </c>
      <c r="H2209" s="8" t="s">
        <v>45462</v>
      </c>
      <c r="I2209" s="7">
        <f t="shared" si="3"/>
        <v>0.7161871661</v>
      </c>
    </row>
    <row r="2210">
      <c r="A2210" s="4">
        <v>2210.0</v>
      </c>
      <c r="B2210" s="3" t="s">
        <v>45463</v>
      </c>
      <c r="C2210" s="6" t="s">
        <v>74</v>
      </c>
      <c r="D2210" s="6" t="s">
        <v>45464</v>
      </c>
      <c r="E2210" s="3" t="str">
        <f t="shared" si="1"/>
        <v>conservation&lt;br&gt;&lt;div class="audio"&gt;[sound:conservation.mp3]&lt;/div&gt;</v>
      </c>
      <c r="F2210" s="3" t="str">
        <f t="shared" si="2"/>
        <v>(n): sự bảo tồn</v>
      </c>
      <c r="G2210" s="6" t="s">
        <v>45465</v>
      </c>
      <c r="H2210" s="6" t="s">
        <v>45466</v>
      </c>
      <c r="I2210" s="7">
        <f t="shared" si="3"/>
        <v>0.5042438487</v>
      </c>
    </row>
    <row r="2211">
      <c r="A2211" s="4">
        <v>2211.0</v>
      </c>
      <c r="B2211" s="3" t="s">
        <v>45467</v>
      </c>
      <c r="C2211" s="6" t="s">
        <v>85</v>
      </c>
      <c r="D2211" s="6" t="s">
        <v>45468</v>
      </c>
      <c r="E2211" s="3" t="str">
        <f t="shared" si="1"/>
        <v>personally&lt;br&gt;&lt;div class="audio"&gt;[sound:personally.mp3]&lt;/div&gt;</v>
      </c>
      <c r="F2211" s="3" t="str">
        <f t="shared" si="2"/>
        <v>(adv): về cá nhân</v>
      </c>
      <c r="G2211" s="6" t="s">
        <v>45469</v>
      </c>
      <c r="H2211" s="6" t="s">
        <v>45470</v>
      </c>
      <c r="I2211" s="7">
        <f t="shared" si="3"/>
        <v>0.8680490866</v>
      </c>
    </row>
    <row r="2212">
      <c r="A2212" s="4">
        <v>2212.0</v>
      </c>
      <c r="B2212" s="3" t="s">
        <v>45471</v>
      </c>
      <c r="C2212" s="6" t="s">
        <v>24</v>
      </c>
      <c r="D2212" s="6" t="s">
        <v>657</v>
      </c>
      <c r="E2212" s="3" t="str">
        <f t="shared" si="1"/>
        <v>adjust&lt;br&gt;&lt;div class="audio"&gt;[sound:adjust.mp3]&lt;/div&gt;</v>
      </c>
      <c r="F2212" s="3" t="str">
        <f t="shared" si="2"/>
        <v>(v): điều chỉnh</v>
      </c>
      <c r="G2212" s="6" t="s">
        <v>45472</v>
      </c>
      <c r="H2212" s="6" t="s">
        <v>45473</v>
      </c>
      <c r="I2212" s="7">
        <f t="shared" si="3"/>
        <v>0.6696324514</v>
      </c>
    </row>
    <row r="2213">
      <c r="A2213" s="4">
        <v>2213.0</v>
      </c>
      <c r="B2213" s="3" t="s">
        <v>45474</v>
      </c>
      <c r="C2213" s="6" t="s">
        <v>74</v>
      </c>
      <c r="D2213" s="6" t="s">
        <v>12485</v>
      </c>
      <c r="E2213" s="3" t="str">
        <f t="shared" si="1"/>
        <v>clause&lt;br&gt;&lt;div class="audio"&gt;[sound:clause.mp3]&lt;/div&gt;</v>
      </c>
      <c r="F2213" s="3" t="str">
        <f t="shared" si="2"/>
        <v>(n): điều khoản</v>
      </c>
      <c r="G2213" s="6" t="s">
        <v>45475</v>
      </c>
      <c r="H2213" s="6" t="s">
        <v>45476</v>
      </c>
      <c r="I2213" s="7">
        <f t="shared" si="3"/>
        <v>0.0930013808</v>
      </c>
    </row>
    <row r="2214">
      <c r="A2214" s="4">
        <v>2214.0</v>
      </c>
      <c r="B2214" s="3" t="s">
        <v>45477</v>
      </c>
      <c r="C2214" s="6" t="s">
        <v>74</v>
      </c>
      <c r="D2214" s="6" t="s">
        <v>22025</v>
      </c>
      <c r="E2214" s="3" t="str">
        <f t="shared" si="1"/>
        <v>fuel&lt;br&gt;&lt;div class="audio"&gt;[sound:fuel.mp3]&lt;/div&gt;</v>
      </c>
      <c r="F2214" s="3" t="str">
        <f t="shared" si="2"/>
        <v>(n): nhiên liệu</v>
      </c>
      <c r="G2214" s="6" t="s">
        <v>45478</v>
      </c>
      <c r="H2214" s="6" t="s">
        <v>45479</v>
      </c>
      <c r="I2214" s="7">
        <f t="shared" si="3"/>
        <v>0.3359960473</v>
      </c>
    </row>
    <row r="2215">
      <c r="A2215" s="4">
        <v>2215.0</v>
      </c>
      <c r="B2215" s="3" t="s">
        <v>45480</v>
      </c>
      <c r="C2215" s="6" t="s">
        <v>85</v>
      </c>
      <c r="D2215" s="8" t="s">
        <v>45481</v>
      </c>
      <c r="E2215" s="3" t="str">
        <f t="shared" si="1"/>
        <v>secondly&lt;br&gt;&lt;div class="audio"&gt;[sound:secondly.mp3]&lt;/div&gt;</v>
      </c>
      <c r="F2215" s="3" t="str">
        <f t="shared" si="2"/>
        <v>(adv): thứ hai là</v>
      </c>
      <c r="G2215" s="8" t="s">
        <v>45482</v>
      </c>
      <c r="H2215" s="8" t="s">
        <v>45483</v>
      </c>
      <c r="I2215" s="7">
        <f t="shared" si="3"/>
        <v>0.3783983331</v>
      </c>
    </row>
    <row r="2216">
      <c r="A2216" s="4">
        <v>2216.0</v>
      </c>
      <c r="B2216" s="3" t="s">
        <v>45484</v>
      </c>
      <c r="C2216" s="6" t="s">
        <v>74</v>
      </c>
      <c r="D2216" s="6" t="s">
        <v>45485</v>
      </c>
      <c r="E2216" s="3" t="str">
        <f t="shared" si="1"/>
        <v>celebration&lt;br&gt;&lt;div class="audio"&gt;[sound:celebration.mp3]&lt;/div&gt;</v>
      </c>
      <c r="F2216" s="3" t="str">
        <f t="shared" si="2"/>
        <v>(n): lễ kỷ niệm</v>
      </c>
      <c r="G2216" s="6" t="s">
        <v>45486</v>
      </c>
      <c r="H2216" s="6" t="s">
        <v>45487</v>
      </c>
      <c r="I2216" s="7">
        <f t="shared" si="3"/>
        <v>0.1157245648</v>
      </c>
    </row>
    <row r="2217">
      <c r="A2217" s="4">
        <v>2217.0</v>
      </c>
      <c r="B2217" s="3" t="s">
        <v>45488</v>
      </c>
      <c r="C2217" s="6" t="s">
        <v>74</v>
      </c>
      <c r="D2217" s="6" t="s">
        <v>17765</v>
      </c>
      <c r="E2217" s="3" t="str">
        <f t="shared" si="1"/>
        <v>expansion&lt;br&gt;&lt;div class="audio"&gt;[sound:expansion.mp3]&lt;/div&gt;</v>
      </c>
      <c r="F2217" s="3" t="str">
        <f t="shared" si="2"/>
        <v>(n): sự mở rộng</v>
      </c>
      <c r="G2217" s="6" t="s">
        <v>45489</v>
      </c>
      <c r="H2217" s="6" t="s">
        <v>45490</v>
      </c>
      <c r="I2217" s="7">
        <f t="shared" si="3"/>
        <v>0.3248466452</v>
      </c>
    </row>
    <row r="2218">
      <c r="A2218" s="4">
        <v>2218.0</v>
      </c>
      <c r="B2218" s="3" t="s">
        <v>45491</v>
      </c>
      <c r="C2218" s="6" t="s">
        <v>74</v>
      </c>
      <c r="D2218" s="6" t="s">
        <v>1228</v>
      </c>
      <c r="E2218" s="3" t="str">
        <f t="shared" si="1"/>
        <v>installation&lt;br&gt;&lt;div class="audio"&gt;[sound:installation.mp3]&lt;/div&gt;</v>
      </c>
      <c r="F2218" s="3" t="str">
        <f t="shared" si="2"/>
        <v>(n): sự cài đặt</v>
      </c>
      <c r="G2218" s="6" t="s">
        <v>45492</v>
      </c>
      <c r="H2218" s="6" t="s">
        <v>45493</v>
      </c>
      <c r="I2218" s="7">
        <f t="shared" si="3"/>
        <v>0.0920528587</v>
      </c>
    </row>
    <row r="2219">
      <c r="A2219" s="4">
        <v>2219.0</v>
      </c>
      <c r="B2219" s="3" t="s">
        <v>45494</v>
      </c>
      <c r="C2219" s="6" t="s">
        <v>74</v>
      </c>
      <c r="D2219" s="6" t="s">
        <v>17323</v>
      </c>
      <c r="E2219" s="3" t="str">
        <f t="shared" si="1"/>
        <v>passenger&lt;br&gt;&lt;div class="audio"&gt;[sound:passenger.mp3]&lt;/div&gt;</v>
      </c>
      <c r="F2219" s="3" t="str">
        <f t="shared" si="2"/>
        <v>(n): hành khách</v>
      </c>
      <c r="G2219" s="6" t="s">
        <v>45495</v>
      </c>
      <c r="H2219" s="6" t="s">
        <v>45496</v>
      </c>
      <c r="I2219" s="7">
        <f t="shared" si="3"/>
        <v>0.6079209029</v>
      </c>
    </row>
    <row r="2220">
      <c r="A2220" s="4">
        <v>2220.0</v>
      </c>
      <c r="B2220" s="3" t="s">
        <v>45497</v>
      </c>
      <c r="C2220" s="6" t="s">
        <v>74</v>
      </c>
      <c r="D2220" s="6" t="s">
        <v>6808</v>
      </c>
      <c r="E2220" s="3" t="str">
        <f t="shared" si="1"/>
        <v>wage&lt;br&gt;&lt;div class="audio"&gt;[sound:wage.mp3]&lt;/div&gt;</v>
      </c>
      <c r="F2220" s="3" t="str">
        <f t="shared" si="2"/>
        <v>(n): tiền lương</v>
      </c>
      <c r="G2220" s="6" t="s">
        <v>45498</v>
      </c>
      <c r="H2220" s="6" t="s">
        <v>45499</v>
      </c>
      <c r="I2220" s="7">
        <f t="shared" si="3"/>
        <v>0.5232549448</v>
      </c>
    </row>
    <row r="2221">
      <c r="A2221" s="4">
        <v>2221.0</v>
      </c>
      <c r="B2221" s="3" t="s">
        <v>45500</v>
      </c>
      <c r="C2221" s="6" t="s">
        <v>11</v>
      </c>
      <c r="D2221" s="6" t="s">
        <v>45501</v>
      </c>
      <c r="E2221" s="3" t="str">
        <f t="shared" si="1"/>
        <v>practical&lt;br&gt;&lt;div class="audio"&gt;[sound:practical.mp3]&lt;/div&gt;</v>
      </c>
      <c r="F2221" s="3" t="str">
        <f t="shared" si="2"/>
        <v>(adj): thiết thực</v>
      </c>
      <c r="G2221" s="6" t="s">
        <v>45502</v>
      </c>
      <c r="H2221" s="6" t="s">
        <v>45503</v>
      </c>
      <c r="I2221" s="7">
        <f t="shared" si="3"/>
        <v>0.06022251438</v>
      </c>
    </row>
    <row r="2222">
      <c r="A2222" s="4">
        <v>2222.0</v>
      </c>
      <c r="B2222" s="3" t="s">
        <v>45504</v>
      </c>
      <c r="C2222" s="6" t="s">
        <v>74</v>
      </c>
      <c r="D2222" s="8" t="s">
        <v>45505</v>
      </c>
      <c r="E2222" s="3" t="str">
        <f t="shared" si="1"/>
        <v>shelter&lt;br&gt;&lt;div class="audio"&gt;[sound:shelter.mp3]&lt;/div&gt;</v>
      </c>
      <c r="F2222" s="3" t="str">
        <f t="shared" si="2"/>
        <v>(n): nơi trú ẩn</v>
      </c>
      <c r="G2222" s="8" t="s">
        <v>45506</v>
      </c>
      <c r="H2222" s="8" t="s">
        <v>45507</v>
      </c>
      <c r="I2222" s="7">
        <f t="shared" si="3"/>
        <v>0.9807546709</v>
      </c>
    </row>
    <row r="2223">
      <c r="A2223" s="4">
        <v>2223.0</v>
      </c>
      <c r="B2223" s="3" t="s">
        <v>45508</v>
      </c>
      <c r="C2223" s="6" t="s">
        <v>74</v>
      </c>
      <c r="D2223" s="6" t="s">
        <v>45509</v>
      </c>
      <c r="E2223" s="3" t="str">
        <f t="shared" si="1"/>
        <v>syndrome&lt;br&gt;&lt;div class="audio"&gt;[sound:syndrome.mp3]&lt;/div&gt;</v>
      </c>
      <c r="F2223" s="3" t="str">
        <f t="shared" si="2"/>
        <v>(n): hội chứng</v>
      </c>
      <c r="G2223" s="6" t="s">
        <v>45510</v>
      </c>
      <c r="H2223" s="6" t="s">
        <v>45511</v>
      </c>
      <c r="I2223" s="7">
        <f t="shared" si="3"/>
        <v>0.1094073838</v>
      </c>
    </row>
    <row r="2224">
      <c r="A2224" s="4">
        <v>2224.0</v>
      </c>
      <c r="B2224" s="3" t="s">
        <v>45512</v>
      </c>
      <c r="C2224" s="6" t="s">
        <v>74</v>
      </c>
      <c r="D2224" s="6" t="s">
        <v>45513</v>
      </c>
      <c r="E2224" s="3" t="str">
        <f t="shared" si="1"/>
        <v>brick&lt;br&gt;&lt;div class="audio"&gt;[sound:brick.mp3]&lt;/div&gt;</v>
      </c>
      <c r="F2224" s="3" t="str">
        <f t="shared" si="2"/>
        <v>(n): viên gạch</v>
      </c>
      <c r="G2224" s="6" t="s">
        <v>45514</v>
      </c>
      <c r="H2224" s="6" t="s">
        <v>45515</v>
      </c>
      <c r="I2224" s="7">
        <f t="shared" si="3"/>
        <v>0.8631249375</v>
      </c>
    </row>
    <row r="2225">
      <c r="A2225" s="4">
        <v>2225.0</v>
      </c>
      <c r="B2225" s="3" t="s">
        <v>45516</v>
      </c>
      <c r="C2225" s="6" t="s">
        <v>24</v>
      </c>
      <c r="D2225" s="6" t="s">
        <v>5718</v>
      </c>
      <c r="E2225" s="3" t="str">
        <f t="shared" si="1"/>
        <v>calculate&lt;br&gt;&lt;div class="audio"&gt;[sound:calculate.mp3]&lt;/div&gt;</v>
      </c>
      <c r="F2225" s="3" t="str">
        <f t="shared" si="2"/>
        <v>(v): tính toán</v>
      </c>
      <c r="G2225" s="6" t="s">
        <v>45517</v>
      </c>
      <c r="H2225" s="6" t="s">
        <v>45518</v>
      </c>
      <c r="I2225" s="7">
        <f t="shared" si="3"/>
        <v>0.4276088204</v>
      </c>
    </row>
    <row r="2226">
      <c r="A2226" s="4">
        <v>2226.0</v>
      </c>
      <c r="B2226" s="3" t="s">
        <v>45519</v>
      </c>
      <c r="C2226" s="6" t="s">
        <v>24</v>
      </c>
      <c r="D2226" s="6" t="s">
        <v>45520</v>
      </c>
      <c r="E2226" s="3" t="str">
        <f t="shared" si="1"/>
        <v>interact&lt;br&gt;&lt;div class="audio"&gt;[sound:interact.mp3]&lt;/div&gt;</v>
      </c>
      <c r="F2226" s="3" t="str">
        <f t="shared" si="2"/>
        <v>(v): tương tác</v>
      </c>
      <c r="G2226" s="6" t="s">
        <v>45521</v>
      </c>
      <c r="H2226" s="6" t="s">
        <v>45522</v>
      </c>
      <c r="I2226" s="7">
        <f t="shared" si="3"/>
        <v>0.4964598499</v>
      </c>
    </row>
    <row r="2227">
      <c r="A2227" s="4">
        <v>2227.0</v>
      </c>
      <c r="B2227" s="3" t="s">
        <v>45523</v>
      </c>
      <c r="C2227" s="6" t="s">
        <v>24</v>
      </c>
      <c r="D2227" s="6" t="s">
        <v>13846</v>
      </c>
      <c r="E2227" s="3" t="str">
        <f t="shared" si="1"/>
        <v>cite&lt;br&gt;&lt;div class="audio"&gt;[sound:cite.mp3]&lt;/div&gt;</v>
      </c>
      <c r="F2227" s="3" t="str">
        <f t="shared" si="2"/>
        <v>(v): trích dẫn</v>
      </c>
      <c r="G2227" s="6" t="s">
        <v>45524</v>
      </c>
      <c r="H2227" s="6" t="s">
        <v>45525</v>
      </c>
      <c r="I2227" s="7">
        <f t="shared" si="3"/>
        <v>0.2340956259</v>
      </c>
    </row>
    <row r="2228">
      <c r="A2228" s="4">
        <v>2228.0</v>
      </c>
      <c r="B2228" s="3" t="s">
        <v>45526</v>
      </c>
      <c r="C2228" s="6" t="s">
        <v>24</v>
      </c>
      <c r="D2228" s="6" t="s">
        <v>17663</v>
      </c>
      <c r="E2228" s="3" t="str">
        <f t="shared" si="1"/>
        <v>chase&lt;br&gt;&lt;div class="audio"&gt;[sound:chase.mp3]&lt;/div&gt;</v>
      </c>
      <c r="F2228" s="3" t="str">
        <f t="shared" si="2"/>
        <v>(v): đuổi theo</v>
      </c>
      <c r="G2228" s="6" t="s">
        <v>45527</v>
      </c>
      <c r="H2228" s="6" t="s">
        <v>45528</v>
      </c>
      <c r="I2228" s="7">
        <f t="shared" si="3"/>
        <v>0.8258134771</v>
      </c>
    </row>
    <row r="2229">
      <c r="A2229" s="4">
        <v>2229.0</v>
      </c>
      <c r="B2229" s="3" t="s">
        <v>45529</v>
      </c>
      <c r="C2229" s="6" t="s">
        <v>24</v>
      </c>
      <c r="D2229" s="6" t="s">
        <v>45530</v>
      </c>
      <c r="E2229" s="3" t="str">
        <f t="shared" si="1"/>
        <v>download&lt;br&gt;&lt;div class="audio"&gt;[sound:download.mp3]&lt;/div&gt;</v>
      </c>
      <c r="F2229" s="3" t="str">
        <f t="shared" si="2"/>
        <v>(v): tải xuống</v>
      </c>
      <c r="G2229" s="6" t="s">
        <v>45531</v>
      </c>
      <c r="H2229" s="6" t="s">
        <v>45532</v>
      </c>
      <c r="I2229" s="7">
        <f t="shared" si="3"/>
        <v>0.2587295051</v>
      </c>
    </row>
    <row r="2230">
      <c r="A2230" s="4">
        <v>2230.0</v>
      </c>
      <c r="B2230" s="3" t="s">
        <v>45533</v>
      </c>
      <c r="C2230" s="6" t="s">
        <v>11</v>
      </c>
      <c r="D2230" s="6" t="s">
        <v>40715</v>
      </c>
      <c r="E2230" s="3" t="str">
        <f t="shared" si="1"/>
        <v>upper&lt;br&gt;&lt;div class="audio"&gt;[sound:upper.mp3]&lt;/div&gt;</v>
      </c>
      <c r="F2230" s="3" t="str">
        <f t="shared" si="2"/>
        <v>(adj): phía trên</v>
      </c>
      <c r="G2230" s="6" t="s">
        <v>45534</v>
      </c>
      <c r="H2230" s="6" t="s">
        <v>45535</v>
      </c>
      <c r="I2230" s="7">
        <f t="shared" si="3"/>
        <v>0.3553104183</v>
      </c>
    </row>
    <row r="2231">
      <c r="A2231" s="4">
        <v>2231.0</v>
      </c>
      <c r="B2231" s="3" t="s">
        <v>45536</v>
      </c>
      <c r="C2231" s="6" t="s">
        <v>11</v>
      </c>
      <c r="D2231" s="6" t="s">
        <v>45537</v>
      </c>
      <c r="E2231" s="3" t="str">
        <f t="shared" si="1"/>
        <v>contemporary&lt;br&gt;&lt;div class="audio"&gt;[sound:contemporary.mp3]&lt;/div&gt;</v>
      </c>
      <c r="F2231" s="3" t="str">
        <f t="shared" si="2"/>
        <v>(adj): đương đại</v>
      </c>
      <c r="G2231" s="6" t="s">
        <v>45538</v>
      </c>
      <c r="H2231" s="6" t="s">
        <v>45539</v>
      </c>
      <c r="I2231" s="7">
        <f t="shared" si="3"/>
        <v>0.3846383419</v>
      </c>
    </row>
    <row r="2232">
      <c r="A2232" s="4">
        <v>2232.0</v>
      </c>
      <c r="B2232" s="3" t="s">
        <v>45540</v>
      </c>
      <c r="C2232" s="6" t="s">
        <v>85</v>
      </c>
      <c r="D2232" s="6" t="s">
        <v>2262</v>
      </c>
      <c r="E2232" s="3" t="str">
        <f t="shared" si="1"/>
        <v>ultimately&lt;br&gt;&lt;div class="audio"&gt;[sound:ultimately.mp3]&lt;/div&gt;</v>
      </c>
      <c r="F2232" s="3" t="str">
        <f t="shared" si="2"/>
        <v>(adv): cuối cùng</v>
      </c>
      <c r="G2232" s="6" t="s">
        <v>45541</v>
      </c>
      <c r="H2232" s="6" t="s">
        <v>45542</v>
      </c>
      <c r="I2232" s="7">
        <f t="shared" si="3"/>
        <v>0.9172821213</v>
      </c>
    </row>
    <row r="2233">
      <c r="A2233" s="4">
        <v>2233.0</v>
      </c>
      <c r="B2233" s="3" t="s">
        <v>45543</v>
      </c>
      <c r="C2233" s="6" t="s">
        <v>24</v>
      </c>
      <c r="D2233" s="6" t="s">
        <v>4493</v>
      </c>
      <c r="E2233" s="3" t="str">
        <f t="shared" si="1"/>
        <v>bear&lt;br&gt;&lt;div class="audio"&gt;[sound:bear.mp3]&lt;/div&gt;</v>
      </c>
      <c r="F2233" s="3" t="str">
        <f t="shared" si="2"/>
        <v>(v): chịu đựng</v>
      </c>
      <c r="G2233" s="6" t="s">
        <v>45544</v>
      </c>
      <c r="H2233" s="6" t="s">
        <v>45545</v>
      </c>
      <c r="I2233" s="7">
        <f t="shared" si="3"/>
        <v>0.113449442</v>
      </c>
    </row>
    <row r="2234">
      <c r="A2234" s="4">
        <v>2234.0</v>
      </c>
      <c r="B2234" s="3" t="s">
        <v>45546</v>
      </c>
      <c r="C2234" s="6" t="s">
        <v>74</v>
      </c>
      <c r="D2234" s="6" t="s">
        <v>999</v>
      </c>
      <c r="E2234" s="3" t="str">
        <f t="shared" si="1"/>
        <v>info&lt;br&gt;&lt;div class="audio"&gt;[sound:info.mp3]&lt;/div&gt;</v>
      </c>
      <c r="F2234" s="3" t="str">
        <f t="shared" si="2"/>
        <v>(n): thông tin</v>
      </c>
      <c r="G2234" s="6" t="s">
        <v>45547</v>
      </c>
      <c r="H2234" s="6" t="s">
        <v>45548</v>
      </c>
      <c r="I2234" s="7">
        <f t="shared" si="3"/>
        <v>0.7826259314</v>
      </c>
    </row>
    <row r="2235">
      <c r="A2235" s="4">
        <v>2235.0</v>
      </c>
      <c r="B2235" s="3" t="s">
        <v>45549</v>
      </c>
      <c r="C2235" s="6" t="s">
        <v>24</v>
      </c>
      <c r="D2235" s="6" t="s">
        <v>45550</v>
      </c>
      <c r="E2235" s="3" t="str">
        <f t="shared" si="1"/>
        <v>prefer&lt;br&gt;&lt;div class="audio"&gt;[sound:prefer.mp3]&lt;/div&gt;</v>
      </c>
      <c r="F2235" s="3" t="str">
        <f t="shared" si="2"/>
        <v>(v): thích hơn</v>
      </c>
      <c r="G2235" s="6" t="s">
        <v>45551</v>
      </c>
      <c r="H2235" s="6" t="s">
        <v>45552</v>
      </c>
      <c r="I2235" s="7">
        <f t="shared" si="3"/>
        <v>0.3574995339</v>
      </c>
    </row>
    <row r="2236">
      <c r="A2236" s="4">
        <v>2236.0</v>
      </c>
      <c r="B2236" s="3" t="s">
        <v>45553</v>
      </c>
      <c r="C2236" s="6" t="s">
        <v>85</v>
      </c>
      <c r="D2236" s="6" t="s">
        <v>45554</v>
      </c>
      <c r="E2236" s="3" t="str">
        <f t="shared" si="1"/>
        <v>genuinely&lt;br&gt;&lt;div class="audio"&gt;[sound:genuinely.mp3]&lt;/div&gt;</v>
      </c>
      <c r="F2236" s="3" t="str">
        <f t="shared" si="2"/>
        <v>(adv): thật lòng</v>
      </c>
      <c r="G2236" s="6" t="s">
        <v>45555</v>
      </c>
      <c r="H2236" s="6" t="s">
        <v>45556</v>
      </c>
      <c r="I2236" s="7">
        <f t="shared" si="3"/>
        <v>0.8829032742</v>
      </c>
    </row>
    <row r="2237">
      <c r="A2237" s="4">
        <v>2237.0</v>
      </c>
      <c r="B2237" s="3" t="s">
        <v>45557</v>
      </c>
      <c r="C2237" s="6" t="s">
        <v>74</v>
      </c>
      <c r="D2237" s="8" t="s">
        <v>45558</v>
      </c>
      <c r="E2237" s="3" t="str">
        <f t="shared" si="1"/>
        <v>shame&lt;br&gt;&lt;div class="audio"&gt;[sound:shame.mp3]&lt;/div&gt;</v>
      </c>
      <c r="F2237" s="3" t="str">
        <f t="shared" si="2"/>
        <v>(n): sự xấu hổ</v>
      </c>
      <c r="G2237" s="8" t="s">
        <v>45559</v>
      </c>
      <c r="H2237" s="8" t="s">
        <v>45560</v>
      </c>
      <c r="I2237" s="7">
        <f t="shared" si="3"/>
        <v>0.4858511302</v>
      </c>
    </row>
    <row r="2238">
      <c r="A2238" s="4">
        <v>2238.0</v>
      </c>
      <c r="B2238" s="3" t="s">
        <v>45561</v>
      </c>
      <c r="C2238" s="6" t="s">
        <v>11</v>
      </c>
      <c r="D2238" s="6" t="s">
        <v>45562</v>
      </c>
      <c r="E2238" s="3" t="str">
        <f t="shared" si="1"/>
        <v>comprehensive&lt;br&gt;&lt;div class="audio"&gt;[sound:comprehensive.mp3]&lt;/div&gt;</v>
      </c>
      <c r="F2238" s="3" t="str">
        <f t="shared" si="2"/>
        <v>(adj): toàn diện</v>
      </c>
      <c r="G2238" s="6" t="s">
        <v>45563</v>
      </c>
      <c r="H2238" s="6" t="s">
        <v>45564</v>
      </c>
      <c r="I2238" s="7">
        <f t="shared" si="3"/>
        <v>0.644998373</v>
      </c>
    </row>
    <row r="2239">
      <c r="A2239" s="4">
        <v>2239.0</v>
      </c>
      <c r="B2239" s="3" t="s">
        <v>45565</v>
      </c>
      <c r="C2239" s="6" t="s">
        <v>74</v>
      </c>
      <c r="D2239" s="6" t="s">
        <v>45566</v>
      </c>
      <c r="E2239" s="3" t="str">
        <f t="shared" si="1"/>
        <v>kilometre&lt;br&gt;&lt;div class="audio"&gt;[sound:kilometre.mp3]&lt;/div&gt;</v>
      </c>
      <c r="F2239" s="3" t="str">
        <f t="shared" si="2"/>
        <v>(n): ki-lô-mét</v>
      </c>
      <c r="G2239" s="6" t="s">
        <v>45567</v>
      </c>
      <c r="H2239" s="6" t="s">
        <v>45568</v>
      </c>
      <c r="I2239" s="7">
        <f t="shared" si="3"/>
        <v>0.8130182407</v>
      </c>
    </row>
    <row r="2240">
      <c r="A2240" s="4">
        <v>2240.0</v>
      </c>
      <c r="B2240" s="3" t="s">
        <v>45569</v>
      </c>
      <c r="C2240" s="6" t="s">
        <v>74</v>
      </c>
      <c r="D2240" s="6" t="s">
        <v>25562</v>
      </c>
      <c r="E2240" s="3" t="str">
        <f t="shared" si="1"/>
        <v>length&lt;br&gt;&lt;div class="audio"&gt;[sound:length.mp3]&lt;/div&gt;</v>
      </c>
      <c r="F2240" s="3" t="str">
        <f t="shared" si="2"/>
        <v>(n): chiều dài</v>
      </c>
      <c r="G2240" s="6" t="s">
        <v>45570</v>
      </c>
      <c r="H2240" s="6" t="s">
        <v>45571</v>
      </c>
      <c r="I2240" s="7">
        <f t="shared" si="3"/>
        <v>0.3650815036</v>
      </c>
    </row>
    <row r="2241">
      <c r="A2241" s="4">
        <v>2241.0</v>
      </c>
      <c r="B2241" s="3" t="s">
        <v>45572</v>
      </c>
      <c r="C2241" s="6" t="s">
        <v>74</v>
      </c>
      <c r="D2241" s="6" t="s">
        <v>8369</v>
      </c>
      <c r="E2241" s="3" t="str">
        <f t="shared" si="1"/>
        <v>happiness&lt;br&gt;&lt;div class="audio"&gt;[sound:happiness.mp3]&lt;/div&gt;</v>
      </c>
      <c r="F2241" s="3" t="str">
        <f t="shared" si="2"/>
        <v>(n): hạnh phúc</v>
      </c>
      <c r="G2241" s="6" t="s">
        <v>45573</v>
      </c>
      <c r="H2241" s="6" t="s">
        <v>45574</v>
      </c>
      <c r="I2241" s="7">
        <f t="shared" si="3"/>
        <v>0.8024840018</v>
      </c>
    </row>
    <row r="2242">
      <c r="A2242" s="4">
        <v>2242.0</v>
      </c>
      <c r="B2242" s="3" t="s">
        <v>45575</v>
      </c>
      <c r="C2242" s="6" t="s">
        <v>74</v>
      </c>
      <c r="D2242" s="6" t="s">
        <v>45576</v>
      </c>
      <c r="E2242" s="3" t="str">
        <f t="shared" si="1"/>
        <v>february&lt;br&gt;&lt;div class="audio"&gt;[sound:february.mp3]&lt;/div&gt;</v>
      </c>
      <c r="F2242" s="3" t="str">
        <f t="shared" si="2"/>
        <v>(n): tháng hai</v>
      </c>
      <c r="G2242" s="6" t="s">
        <v>45577</v>
      </c>
      <c r="H2242" s="6" t="s">
        <v>45578</v>
      </c>
      <c r="I2242" s="7">
        <f t="shared" si="3"/>
        <v>0.7219179262</v>
      </c>
    </row>
    <row r="2243">
      <c r="A2243" s="4">
        <v>2243.0</v>
      </c>
      <c r="B2243" s="3" t="s">
        <v>45579</v>
      </c>
      <c r="C2243" s="6" t="s">
        <v>24</v>
      </c>
      <c r="D2243" s="6" t="s">
        <v>8381</v>
      </c>
      <c r="E2243" s="3" t="str">
        <f t="shared" si="1"/>
        <v>emerge&lt;br&gt;&lt;div class="audio"&gt;[sound:emerge.mp3]&lt;/div&gt;</v>
      </c>
      <c r="F2243" s="3" t="str">
        <f t="shared" si="2"/>
        <v>(v): xuất hiện</v>
      </c>
      <c r="G2243" s="6" t="s">
        <v>45580</v>
      </c>
      <c r="H2243" s="6" t="s">
        <v>45581</v>
      </c>
      <c r="I2243" s="7">
        <f t="shared" si="3"/>
        <v>0.5959487047</v>
      </c>
    </row>
    <row r="2244">
      <c r="A2244" s="4">
        <v>2244.0</v>
      </c>
      <c r="B2244" s="3" t="s">
        <v>45582</v>
      </c>
      <c r="C2244" s="6" t="s">
        <v>74</v>
      </c>
      <c r="D2244" s="6" t="s">
        <v>14663</v>
      </c>
      <c r="E2244" s="3" t="str">
        <f t="shared" si="1"/>
        <v>constitution&lt;br&gt;&lt;div class="audio"&gt;[sound:constitution.mp3]&lt;/div&gt;</v>
      </c>
      <c r="F2244" s="3" t="str">
        <f t="shared" si="2"/>
        <v>(n): hiến pháp</v>
      </c>
      <c r="G2244" s="6" t="s">
        <v>45583</v>
      </c>
      <c r="H2244" s="6" t="s">
        <v>45584</v>
      </c>
      <c r="I2244" s="7">
        <f t="shared" si="3"/>
        <v>0.08012087861</v>
      </c>
    </row>
    <row r="2245">
      <c r="A2245" s="4">
        <v>2245.0</v>
      </c>
      <c r="B2245" s="3" t="s">
        <v>45585</v>
      </c>
      <c r="C2245" s="6" t="s">
        <v>74</v>
      </c>
      <c r="D2245" s="6" t="s">
        <v>13840</v>
      </c>
      <c r="E2245" s="3" t="str">
        <f t="shared" si="1"/>
        <v>boundary&lt;br&gt;&lt;div class="audio"&gt;[sound:boundary.mp3]&lt;/div&gt;</v>
      </c>
      <c r="F2245" s="3" t="str">
        <f t="shared" si="2"/>
        <v>(n): ranh giới</v>
      </c>
      <c r="G2245" s="6" t="s">
        <v>45586</v>
      </c>
      <c r="H2245" s="6" t="s">
        <v>45587</v>
      </c>
      <c r="I2245" s="7">
        <f t="shared" si="3"/>
        <v>0.2114736794</v>
      </c>
    </row>
    <row r="2246">
      <c r="A2246" s="4">
        <v>2246.0</v>
      </c>
      <c r="B2246" s="3" t="s">
        <v>45588</v>
      </c>
      <c r="C2246" s="6" t="s">
        <v>74</v>
      </c>
      <c r="D2246" s="6" t="s">
        <v>45589</v>
      </c>
      <c r="E2246" s="3" t="str">
        <f t="shared" si="1"/>
        <v>certificate&lt;br&gt;&lt;div class="audio"&gt;[sound:certificate.mp3]&lt;/div&gt;</v>
      </c>
      <c r="F2246" s="3" t="str">
        <f t="shared" si="2"/>
        <v>(n): chứng chỉ</v>
      </c>
      <c r="G2246" s="6" t="s">
        <v>45590</v>
      </c>
      <c r="H2246" s="6" t="s">
        <v>45591</v>
      </c>
      <c r="I2246" s="7">
        <f t="shared" si="3"/>
        <v>0.6197682309</v>
      </c>
    </row>
    <row r="2247">
      <c r="A2247" s="4">
        <v>2247.0</v>
      </c>
      <c r="B2247" s="3" t="s">
        <v>45592</v>
      </c>
      <c r="C2247" s="6" t="s">
        <v>11</v>
      </c>
      <c r="D2247" s="6" t="s">
        <v>45593</v>
      </c>
      <c r="E2247" s="3" t="str">
        <f t="shared" si="1"/>
        <v>golden&lt;br&gt;&lt;div class="audio"&gt;[sound:golden.mp3]&lt;/div&gt;</v>
      </c>
      <c r="F2247" s="3" t="str">
        <f t="shared" si="2"/>
        <v>(adj): bằng vàng</v>
      </c>
      <c r="G2247" s="6" t="s">
        <v>45594</v>
      </c>
      <c r="H2247" s="6" t="s">
        <v>45595</v>
      </c>
      <c r="I2247" s="7">
        <f t="shared" si="3"/>
        <v>0.9701059094</v>
      </c>
    </row>
    <row r="2248">
      <c r="A2248" s="4">
        <v>2248.0</v>
      </c>
      <c r="B2248" s="3" t="s">
        <v>45596</v>
      </c>
      <c r="C2248" s="6" t="s">
        <v>74</v>
      </c>
      <c r="D2248" s="6" t="s">
        <v>6007</v>
      </c>
      <c r="E2248" s="3" t="str">
        <f t="shared" si="1"/>
        <v>personality&lt;br&gt;&lt;div class="audio"&gt;[sound:personality.mp3]&lt;/div&gt;</v>
      </c>
      <c r="F2248" s="3" t="str">
        <f t="shared" si="2"/>
        <v>(n): tính cách</v>
      </c>
      <c r="G2248" s="6" t="s">
        <v>45597</v>
      </c>
      <c r="H2248" s="6" t="s">
        <v>45598</v>
      </c>
      <c r="I2248" s="7">
        <f t="shared" si="3"/>
        <v>0.08602437403</v>
      </c>
    </row>
    <row r="2249">
      <c r="A2249" s="4">
        <v>2249.0</v>
      </c>
      <c r="B2249" s="3" t="s">
        <v>45599</v>
      </c>
      <c r="C2249" s="6" t="s">
        <v>74</v>
      </c>
      <c r="D2249" s="6" t="s">
        <v>13699</v>
      </c>
      <c r="E2249" s="3" t="str">
        <f t="shared" si="1"/>
        <v>philosophy&lt;br&gt;&lt;div class="audio"&gt;[sound:philosophy.mp3]&lt;/div&gt;</v>
      </c>
      <c r="F2249" s="3" t="str">
        <f t="shared" si="2"/>
        <v>(n): triết học</v>
      </c>
      <c r="G2249" s="6" t="s">
        <v>45600</v>
      </c>
      <c r="H2249" s="6" t="s">
        <v>45601</v>
      </c>
      <c r="I2249" s="7">
        <f t="shared" si="3"/>
        <v>0.705124722</v>
      </c>
    </row>
    <row r="2250">
      <c r="A2250" s="4">
        <v>2250.0</v>
      </c>
      <c r="B2250" s="3" t="s">
        <v>45602</v>
      </c>
      <c r="C2250" s="6" t="s">
        <v>74</v>
      </c>
      <c r="D2250" s="6" t="s">
        <v>45603</v>
      </c>
      <c r="E2250" s="3" t="str">
        <f t="shared" si="1"/>
        <v>manner&lt;br&gt;&lt;div class="audio"&gt;[sound:manner.mp3]&lt;/div&gt;</v>
      </c>
      <c r="F2250" s="3" t="str">
        <f t="shared" si="2"/>
        <v>(n): cách thức</v>
      </c>
      <c r="G2250" s="6" t="s">
        <v>45604</v>
      </c>
      <c r="H2250" s="6" t="s">
        <v>45605</v>
      </c>
      <c r="I2250" s="7">
        <f t="shared" si="3"/>
        <v>0.4452867516</v>
      </c>
    </row>
    <row r="2251">
      <c r="A2251" s="4">
        <v>2251.0</v>
      </c>
      <c r="B2251" s="3" t="s">
        <v>45606</v>
      </c>
      <c r="C2251" s="6" t="s">
        <v>11</v>
      </c>
      <c r="D2251" s="6" t="s">
        <v>874</v>
      </c>
      <c r="E2251" s="3" t="str">
        <f t="shared" si="1"/>
        <v>bound&lt;br&gt;&lt;div class="audio"&gt;[sound:bound.mp3]&lt;/div&gt;</v>
      </c>
      <c r="F2251" s="3" t="str">
        <f t="shared" si="2"/>
        <v>(adj): chắc chắn</v>
      </c>
      <c r="G2251" s="6" t="s">
        <v>45607</v>
      </c>
      <c r="H2251" s="6" t="s">
        <v>45608</v>
      </c>
      <c r="I2251" s="7">
        <f t="shared" si="3"/>
        <v>0.8278158827</v>
      </c>
    </row>
    <row r="2252">
      <c r="A2252" s="4">
        <v>2252.0</v>
      </c>
      <c r="B2252" s="3" t="s">
        <v>45609</v>
      </c>
      <c r="C2252" s="6" t="s">
        <v>11</v>
      </c>
      <c r="D2252" s="6" t="s">
        <v>8923</v>
      </c>
      <c r="E2252" s="3" t="str">
        <f t="shared" si="1"/>
        <v>exact&lt;br&gt;&lt;div class="audio"&gt;[sound:exact.mp3]&lt;/div&gt;</v>
      </c>
      <c r="F2252" s="3" t="str">
        <f t="shared" si="2"/>
        <v>(adj): chính xác</v>
      </c>
      <c r="G2252" s="6" t="s">
        <v>45610</v>
      </c>
      <c r="H2252" s="6" t="s">
        <v>45611</v>
      </c>
      <c r="I2252" s="7">
        <f t="shared" si="3"/>
        <v>0.9052935384</v>
      </c>
    </row>
    <row r="2253">
      <c r="A2253" s="4">
        <v>2253.0</v>
      </c>
      <c r="B2253" s="3" t="s">
        <v>45612</v>
      </c>
      <c r="C2253" s="6" t="s">
        <v>11</v>
      </c>
      <c r="D2253" s="6" t="s">
        <v>8923</v>
      </c>
      <c r="E2253" s="3" t="str">
        <f t="shared" si="1"/>
        <v>accurate&lt;br&gt;&lt;div class="audio"&gt;[sound:accurate.mp3]&lt;/div&gt;</v>
      </c>
      <c r="F2253" s="3" t="str">
        <f t="shared" si="2"/>
        <v>(adj): chính xác</v>
      </c>
      <c r="G2253" s="6" t="s">
        <v>45613</v>
      </c>
      <c r="H2253" s="6" t="s">
        <v>45614</v>
      </c>
      <c r="I2253" s="7">
        <f t="shared" si="3"/>
        <v>0.8188447255</v>
      </c>
    </row>
    <row r="2254">
      <c r="A2254" s="4">
        <v>2254.0</v>
      </c>
      <c r="B2254" s="3" t="s">
        <v>45615</v>
      </c>
      <c r="C2254" s="6" t="s">
        <v>74</v>
      </c>
      <c r="D2254" s="6" t="s">
        <v>23473</v>
      </c>
      <c r="E2254" s="3" t="str">
        <f t="shared" si="1"/>
        <v>exhibition&lt;br&gt;&lt;div class="audio"&gt;[sound:exhibition.mp3]&lt;/div&gt;</v>
      </c>
      <c r="F2254" s="3" t="str">
        <f t="shared" si="2"/>
        <v>(n): triển lãm</v>
      </c>
      <c r="G2254" s="6" t="s">
        <v>45616</v>
      </c>
      <c r="H2254" s="6" t="s">
        <v>45617</v>
      </c>
      <c r="I2254" s="7">
        <f t="shared" si="3"/>
        <v>0.3760942115</v>
      </c>
    </row>
    <row r="2255">
      <c r="A2255" s="4">
        <v>2255.0</v>
      </c>
      <c r="B2255" s="3" t="s">
        <v>45618</v>
      </c>
      <c r="C2255" s="6" t="s">
        <v>74</v>
      </c>
      <c r="D2255" s="6" t="s">
        <v>19425</v>
      </c>
      <c r="E2255" s="3" t="str">
        <f t="shared" si="1"/>
        <v>coalition&lt;br&gt;&lt;div class="audio"&gt;[sound:coalition.mp3]&lt;/div&gt;</v>
      </c>
      <c r="F2255" s="3" t="str">
        <f t="shared" si="2"/>
        <v>(n): liên minh</v>
      </c>
      <c r="G2255" s="6" t="s">
        <v>45619</v>
      </c>
      <c r="H2255" s="6" t="s">
        <v>45620</v>
      </c>
      <c r="I2255" s="7">
        <f t="shared" si="3"/>
        <v>0.5881908313</v>
      </c>
    </row>
    <row r="2256">
      <c r="A2256" s="4">
        <v>2256.0</v>
      </c>
      <c r="B2256" s="3" t="s">
        <v>45621</v>
      </c>
      <c r="C2256" s="6" t="s">
        <v>74</v>
      </c>
      <c r="D2256" s="6" t="s">
        <v>16447</v>
      </c>
      <c r="E2256" s="3" t="str">
        <f t="shared" si="1"/>
        <v>phase&lt;br&gt;&lt;div class="audio"&gt;[sound:phase.mp3]&lt;/div&gt;</v>
      </c>
      <c r="F2256" s="3" t="str">
        <f t="shared" si="2"/>
        <v>(n): giai đoạn</v>
      </c>
      <c r="G2256" s="6" t="s">
        <v>45622</v>
      </c>
      <c r="H2256" s="6" t="s">
        <v>45623</v>
      </c>
      <c r="I2256" s="7">
        <f t="shared" si="3"/>
        <v>0.365430182</v>
      </c>
    </row>
    <row r="2257">
      <c r="A2257" s="4">
        <v>2257.0</v>
      </c>
      <c r="B2257" s="3" t="s">
        <v>45624</v>
      </c>
      <c r="C2257" s="6" t="s">
        <v>74</v>
      </c>
      <c r="D2257" s="6" t="s">
        <v>10435</v>
      </c>
      <c r="E2257" s="3" t="str">
        <f t="shared" si="1"/>
        <v>flow&lt;br&gt;&lt;div class="audio"&gt;[sound:flow.mp3]&lt;/div&gt;</v>
      </c>
      <c r="F2257" s="3" t="str">
        <f t="shared" si="2"/>
        <v>(n): dòng chảy</v>
      </c>
      <c r="G2257" s="6" t="s">
        <v>45625</v>
      </c>
      <c r="H2257" s="6" t="s">
        <v>45626</v>
      </c>
      <c r="I2257" s="7">
        <f t="shared" si="3"/>
        <v>0.005663891579</v>
      </c>
    </row>
    <row r="2258">
      <c r="A2258" s="4">
        <v>2258.0</v>
      </c>
      <c r="B2258" s="3" t="s">
        <v>45627</v>
      </c>
      <c r="C2258" s="6" t="s">
        <v>74</v>
      </c>
      <c r="D2258" s="6" t="s">
        <v>45628</v>
      </c>
      <c r="E2258" s="3" t="str">
        <f t="shared" si="1"/>
        <v>hardware&lt;br&gt;&lt;div class="audio"&gt;[sound:hardware.mp3]&lt;/div&gt;</v>
      </c>
      <c r="F2258" s="3" t="str">
        <f t="shared" si="2"/>
        <v>(n): phần cứng</v>
      </c>
      <c r="G2258" s="6" t="s">
        <v>45629</v>
      </c>
      <c r="H2258" s="6" t="s">
        <v>45630</v>
      </c>
      <c r="I2258" s="7">
        <f t="shared" si="3"/>
        <v>0.6926543984</v>
      </c>
    </row>
    <row r="2259">
      <c r="A2259" s="4">
        <v>2259.0</v>
      </c>
      <c r="B2259" s="3" t="s">
        <v>45631</v>
      </c>
      <c r="C2259" s="6" t="s">
        <v>74</v>
      </c>
      <c r="D2259" s="6" t="s">
        <v>45632</v>
      </c>
      <c r="E2259" s="3" t="str">
        <f t="shared" si="1"/>
        <v>interface&lt;br&gt;&lt;div class="audio"&gt;[sound:interface.mp3]&lt;/div&gt;</v>
      </c>
      <c r="F2259" s="3" t="str">
        <f t="shared" si="2"/>
        <v>(n): giao diện</v>
      </c>
      <c r="G2259" s="6" t="s">
        <v>45633</v>
      </c>
      <c r="H2259" s="6" t="s">
        <v>45634</v>
      </c>
      <c r="I2259" s="7">
        <f t="shared" si="3"/>
        <v>0.8078188866</v>
      </c>
    </row>
    <row r="2260">
      <c r="A2260" s="4">
        <v>2260.0</v>
      </c>
      <c r="B2260" s="3" t="s">
        <v>45635</v>
      </c>
      <c r="C2260" s="6" t="s">
        <v>74</v>
      </c>
      <c r="D2260" s="6" t="s">
        <v>45636</v>
      </c>
      <c r="E2260" s="3" t="str">
        <f t="shared" si="1"/>
        <v>princess&lt;br&gt;&lt;div class="audio"&gt;[sound:princess.mp3]&lt;/div&gt;</v>
      </c>
      <c r="F2260" s="3" t="str">
        <f t="shared" si="2"/>
        <v>(n): công chúa</v>
      </c>
      <c r="G2260" s="6" t="s">
        <v>45637</v>
      </c>
      <c r="H2260" s="6" t="s">
        <v>45638</v>
      </c>
      <c r="I2260" s="7">
        <f t="shared" si="3"/>
        <v>0.02472434197</v>
      </c>
    </row>
    <row r="2261">
      <c r="A2261" s="4">
        <v>2261.0</v>
      </c>
      <c r="B2261" s="3" t="s">
        <v>45639</v>
      </c>
      <c r="C2261" s="6" t="s">
        <v>74</v>
      </c>
      <c r="D2261" s="6" t="s">
        <v>45640</v>
      </c>
      <c r="E2261" s="3" t="str">
        <f t="shared" si="1"/>
        <v>viewer&lt;br&gt;&lt;div class="audio"&gt;[sound:viewer.mp3]&lt;/div&gt;</v>
      </c>
      <c r="F2261" s="3" t="str">
        <f t="shared" si="2"/>
        <v>(n): người xem</v>
      </c>
      <c r="G2261" s="6" t="s">
        <v>45641</v>
      </c>
      <c r="H2261" s="6" t="s">
        <v>45642</v>
      </c>
      <c r="I2261" s="7">
        <f t="shared" si="3"/>
        <v>0.7983187317</v>
      </c>
    </row>
    <row r="2262">
      <c r="A2262" s="4">
        <v>2262.0</v>
      </c>
      <c r="B2262" s="3" t="s">
        <v>45643</v>
      </c>
      <c r="C2262" s="6" t="s">
        <v>74</v>
      </c>
      <c r="D2262" s="6" t="s">
        <v>8820</v>
      </c>
      <c r="E2262" s="3" t="str">
        <f t="shared" si="1"/>
        <v>wine&lt;br&gt;&lt;div class="audio"&gt;[sound:wine.mp3]&lt;/div&gt;</v>
      </c>
      <c r="F2262" s="3" t="str">
        <f t="shared" si="2"/>
        <v>(n): rượu vang</v>
      </c>
      <c r="G2262" s="6" t="s">
        <v>45644</v>
      </c>
      <c r="H2262" s="6" t="s">
        <v>45645</v>
      </c>
      <c r="I2262" s="7">
        <f t="shared" si="3"/>
        <v>0.6690340768</v>
      </c>
    </row>
    <row r="2263">
      <c r="A2263" s="4">
        <v>2263.0</v>
      </c>
      <c r="B2263" s="3" t="s">
        <v>45646</v>
      </c>
      <c r="C2263" s="6" t="s">
        <v>11</v>
      </c>
      <c r="D2263" s="6" t="s">
        <v>18346</v>
      </c>
      <c r="E2263" s="3" t="str">
        <f t="shared" si="1"/>
        <v>identical&lt;br&gt;&lt;div class="audio"&gt;[sound:identical.mp3]&lt;/div&gt;</v>
      </c>
      <c r="F2263" s="3" t="str">
        <f t="shared" si="2"/>
        <v>(adj): giống hệt</v>
      </c>
      <c r="G2263" s="6" t="s">
        <v>45647</v>
      </c>
      <c r="H2263" s="6" t="s">
        <v>45648</v>
      </c>
      <c r="I2263" s="7">
        <f t="shared" si="3"/>
        <v>0.4932790491</v>
      </c>
    </row>
    <row r="2264">
      <c r="A2264" s="4">
        <v>2264.0</v>
      </c>
      <c r="B2264" s="3" t="s">
        <v>45649</v>
      </c>
      <c r="C2264" s="6" t="s">
        <v>24</v>
      </c>
      <c r="D2264" s="6" t="s">
        <v>45650</v>
      </c>
      <c r="E2264" s="3" t="str">
        <f t="shared" si="1"/>
        <v>occupy&lt;br&gt;&lt;div class="audio"&gt;[sound:occupy.mp3]&lt;/div&gt;</v>
      </c>
      <c r="F2264" s="3" t="str">
        <f t="shared" si="2"/>
        <v>(v): chiếm giữ</v>
      </c>
      <c r="G2264" s="6" t="s">
        <v>45651</v>
      </c>
      <c r="H2264" s="6" t="s">
        <v>45652</v>
      </c>
      <c r="I2264" s="7">
        <f t="shared" si="3"/>
        <v>0.9620451903</v>
      </c>
    </row>
    <row r="2265">
      <c r="A2265" s="4">
        <v>2265.0</v>
      </c>
      <c r="B2265" s="3" t="s">
        <v>45653</v>
      </c>
      <c r="C2265" s="6" t="s">
        <v>63</v>
      </c>
      <c r="D2265" s="6" t="s">
        <v>13580</v>
      </c>
      <c r="E2265" s="3" t="str">
        <f t="shared" si="1"/>
        <v>via&lt;br&gt;&lt;div class="audio"&gt;[sound:via.mp3]&lt;/div&gt;</v>
      </c>
      <c r="F2265" s="3" t="str">
        <f t="shared" si="2"/>
        <v>(prep): thông qua</v>
      </c>
      <c r="G2265" s="6" t="s">
        <v>45654</v>
      </c>
      <c r="H2265" s="6" t="s">
        <v>45655</v>
      </c>
      <c r="I2265" s="7">
        <f t="shared" si="3"/>
        <v>0.03981450681</v>
      </c>
    </row>
    <row r="2266">
      <c r="A2266" s="4">
        <v>2266.0</v>
      </c>
      <c r="B2266" s="3" t="s">
        <v>45656</v>
      </c>
      <c r="C2266" s="6" t="s">
        <v>74</v>
      </c>
      <c r="D2266" s="6" t="s">
        <v>40745</v>
      </c>
      <c r="E2266" s="3" t="str">
        <f t="shared" si="1"/>
        <v>net&lt;br&gt;&lt;div class="audio"&gt;[sound:net.mp3]&lt;/div&gt;</v>
      </c>
      <c r="F2266" s="3" t="str">
        <f t="shared" si="2"/>
        <v>(n): mạng lưới</v>
      </c>
      <c r="G2266" s="6" t="s">
        <v>45657</v>
      </c>
      <c r="H2266" s="6" t="s">
        <v>45658</v>
      </c>
      <c r="I2266" s="7">
        <f t="shared" si="3"/>
        <v>0.9590900234</v>
      </c>
    </row>
    <row r="2267">
      <c r="A2267" s="4">
        <v>2267.0</v>
      </c>
      <c r="B2267" s="3" t="s">
        <v>45659</v>
      </c>
      <c r="C2267" s="6" t="s">
        <v>74</v>
      </c>
      <c r="D2267" s="6" t="s">
        <v>45660</v>
      </c>
      <c r="E2267" s="3" t="str">
        <f t="shared" si="1"/>
        <v>compensation&lt;br&gt;&lt;div class="audio"&gt;[sound:compensation.mp3]&lt;/div&gt;</v>
      </c>
      <c r="F2267" s="3" t="str">
        <f t="shared" si="2"/>
        <v>(n): sự đền bù</v>
      </c>
      <c r="G2267" s="6" t="s">
        <v>45661</v>
      </c>
      <c r="H2267" s="6" t="s">
        <v>45662</v>
      </c>
      <c r="I2267" s="7">
        <f t="shared" si="3"/>
        <v>0.7269619626</v>
      </c>
    </row>
    <row r="2268">
      <c r="A2268" s="4">
        <v>2268.0</v>
      </c>
      <c r="B2268" s="3" t="s">
        <v>45663</v>
      </c>
      <c r="C2268" s="6" t="s">
        <v>11</v>
      </c>
      <c r="D2268" s="6" t="s">
        <v>10904</v>
      </c>
      <c r="E2268" s="3" t="str">
        <f t="shared" si="1"/>
        <v>appropriate&lt;br&gt;&lt;div class="audio"&gt;[sound:appropriate.mp3]&lt;/div&gt;</v>
      </c>
      <c r="F2268" s="3" t="str">
        <f t="shared" si="2"/>
        <v>(adj): thích hợp</v>
      </c>
      <c r="G2268" s="6" t="s">
        <v>45664</v>
      </c>
      <c r="H2268" s="6" t="s">
        <v>45665</v>
      </c>
      <c r="I2268" s="7">
        <f t="shared" si="3"/>
        <v>0.5267350841</v>
      </c>
    </row>
    <row r="2269">
      <c r="A2269" s="4">
        <v>2269.0</v>
      </c>
      <c r="B2269" s="3" t="s">
        <v>45666</v>
      </c>
      <c r="C2269" s="6" t="s">
        <v>11</v>
      </c>
      <c r="D2269" s="6" t="s">
        <v>2262</v>
      </c>
      <c r="E2269" s="3" t="str">
        <f t="shared" si="1"/>
        <v>ultimate&lt;br&gt;&lt;div class="audio"&gt;[sound:ultimate.mp3]&lt;/div&gt;</v>
      </c>
      <c r="F2269" s="3" t="str">
        <f t="shared" si="2"/>
        <v>(adj): cuối cùng</v>
      </c>
      <c r="G2269" s="6" t="s">
        <v>45667</v>
      </c>
      <c r="H2269" s="6" t="s">
        <v>45668</v>
      </c>
      <c r="I2269" s="7">
        <f t="shared" si="3"/>
        <v>0.7885757678</v>
      </c>
    </row>
    <row r="2270">
      <c r="A2270" s="4">
        <v>2270.0</v>
      </c>
      <c r="B2270" s="3" t="s">
        <v>45669</v>
      </c>
      <c r="C2270" s="6" t="s">
        <v>74</v>
      </c>
      <c r="D2270" s="6" t="s">
        <v>39762</v>
      </c>
      <c r="E2270" s="3" t="str">
        <f t="shared" si="1"/>
        <v>painting&lt;br&gt;&lt;div class="audio"&gt;[sound:painting.mp3]&lt;/div&gt;</v>
      </c>
      <c r="F2270" s="3" t="str">
        <f t="shared" si="2"/>
        <v>(n): bức tranh</v>
      </c>
      <c r="G2270" s="6" t="s">
        <v>45670</v>
      </c>
      <c r="H2270" s="6" t="s">
        <v>45671</v>
      </c>
      <c r="I2270" s="7">
        <f t="shared" si="3"/>
        <v>0.7602180763</v>
      </c>
    </row>
    <row r="2271">
      <c r="A2271" s="4">
        <v>2271.0</v>
      </c>
      <c r="B2271" s="3" t="s">
        <v>45672</v>
      </c>
      <c r="C2271" s="6" t="s">
        <v>74</v>
      </c>
      <c r="D2271" s="6" t="s">
        <v>32151</v>
      </c>
      <c r="E2271" s="3" t="str">
        <f t="shared" si="1"/>
        <v>bathroom&lt;br&gt;&lt;div class="audio"&gt;[sound:bathroom.mp3]&lt;/div&gt;</v>
      </c>
      <c r="F2271" s="3" t="str">
        <f t="shared" si="2"/>
        <v>(n): phòng tắm</v>
      </c>
      <c r="G2271" s="6" t="s">
        <v>45673</v>
      </c>
      <c r="H2271" s="6" t="s">
        <v>45674</v>
      </c>
      <c r="I2271" s="7">
        <f t="shared" si="3"/>
        <v>0.4959976103</v>
      </c>
    </row>
    <row r="2272">
      <c r="A2272" s="4">
        <v>2272.0</v>
      </c>
      <c r="B2272" s="3" t="s">
        <v>45675</v>
      </c>
      <c r="C2272" s="6" t="s">
        <v>85</v>
      </c>
      <c r="D2272" s="6" t="s">
        <v>15914</v>
      </c>
      <c r="E2272" s="3" t="str">
        <f t="shared" si="1"/>
        <v>apparently&lt;br&gt;&lt;div class="audio"&gt;[sound:apparently.mp3]&lt;/div&gt;</v>
      </c>
      <c r="F2272" s="3" t="str">
        <f t="shared" si="2"/>
        <v>(adv): hình như</v>
      </c>
      <c r="G2272" s="6" t="s">
        <v>45676</v>
      </c>
      <c r="H2272" s="6" t="s">
        <v>45677</v>
      </c>
      <c r="I2272" s="7">
        <f t="shared" si="3"/>
        <v>0.368339392</v>
      </c>
    </row>
    <row r="2273">
      <c r="A2273" s="4">
        <v>2273.0</v>
      </c>
      <c r="B2273" s="3" t="s">
        <v>45678</v>
      </c>
      <c r="C2273" s="6" t="s">
        <v>24</v>
      </c>
      <c r="D2273" s="6" t="s">
        <v>2939</v>
      </c>
      <c r="E2273" s="3" t="str">
        <f t="shared" si="1"/>
        <v>construct&lt;br&gt;&lt;div class="audio"&gt;[sound:construct.mp3]&lt;/div&gt;</v>
      </c>
      <c r="F2273" s="3" t="str">
        <f t="shared" si="2"/>
        <v>(v): xây dựng</v>
      </c>
      <c r="G2273" s="6" t="s">
        <v>45679</v>
      </c>
      <c r="H2273" s="6" t="s">
        <v>45680</v>
      </c>
      <c r="I2273" s="7">
        <f t="shared" si="3"/>
        <v>0.9857399824</v>
      </c>
    </row>
    <row r="2274">
      <c r="A2274" s="4">
        <v>2274.0</v>
      </c>
      <c r="B2274" s="3" t="s">
        <v>45681</v>
      </c>
      <c r="C2274" s="6" t="s">
        <v>24</v>
      </c>
      <c r="D2274" s="6" t="s">
        <v>43019</v>
      </c>
      <c r="E2274" s="3" t="str">
        <f t="shared" si="1"/>
        <v>associate&lt;br&gt;&lt;div class="audio"&gt;[sound:associate.mp3]&lt;/div&gt;</v>
      </c>
      <c r="F2274" s="3" t="str">
        <f t="shared" si="2"/>
        <v>(v): liên kết</v>
      </c>
      <c r="G2274" s="6" t="s">
        <v>45682</v>
      </c>
      <c r="H2274" s="6" t="s">
        <v>45683</v>
      </c>
      <c r="I2274" s="7">
        <f t="shared" si="3"/>
        <v>0.08855730157</v>
      </c>
    </row>
    <row r="2275">
      <c r="A2275" s="4">
        <v>2275.0</v>
      </c>
      <c r="B2275" s="3" t="s">
        <v>45684</v>
      </c>
      <c r="C2275" s="6" t="s">
        <v>74</v>
      </c>
      <c r="D2275" s="8" t="s">
        <v>8270</v>
      </c>
      <c r="E2275" s="3" t="str">
        <f t="shared" si="1"/>
        <v>stranger&lt;br&gt;&lt;div class="audio"&gt;[sound:stranger.mp3]&lt;/div&gt;</v>
      </c>
      <c r="F2275" s="3" t="str">
        <f t="shared" si="2"/>
        <v>(n): người lạ</v>
      </c>
      <c r="G2275" s="8" t="s">
        <v>45685</v>
      </c>
      <c r="H2275" s="8" t="s">
        <v>45686</v>
      </c>
      <c r="I2275" s="7">
        <f t="shared" si="3"/>
        <v>0.5486611502</v>
      </c>
    </row>
    <row r="2276">
      <c r="A2276" s="4">
        <v>2276.0</v>
      </c>
      <c r="B2276" s="3" t="s">
        <v>45687</v>
      </c>
      <c r="C2276" s="6" t="s">
        <v>74</v>
      </c>
      <c r="D2276" s="6" t="s">
        <v>22787</v>
      </c>
      <c r="E2276" s="3" t="str">
        <f t="shared" si="1"/>
        <v>clue&lt;br&gt;&lt;div class="audio"&gt;[sound:clue.mp3]&lt;/div&gt;</v>
      </c>
      <c r="F2276" s="3" t="str">
        <f t="shared" si="2"/>
        <v>(n): manh mối</v>
      </c>
      <c r="G2276" s="6" t="s">
        <v>45688</v>
      </c>
      <c r="H2276" s="6" t="s">
        <v>45689</v>
      </c>
      <c r="I2276" s="7">
        <f t="shared" si="3"/>
        <v>0.6957873778</v>
      </c>
    </row>
    <row r="2277">
      <c r="A2277" s="4">
        <v>2277.0</v>
      </c>
      <c r="B2277" s="3" t="s">
        <v>45690</v>
      </c>
      <c r="C2277" s="6" t="s">
        <v>74</v>
      </c>
      <c r="D2277" s="6" t="s">
        <v>45691</v>
      </c>
      <c r="E2277" s="3" t="str">
        <f t="shared" si="1"/>
        <v>marketing&lt;br&gt;&lt;div class="audio"&gt;[sound:marketing.mp3]&lt;/div&gt;</v>
      </c>
      <c r="F2277" s="3" t="str">
        <f t="shared" si="2"/>
        <v>(n): tiếp thị</v>
      </c>
      <c r="G2277" s="6" t="s">
        <v>45692</v>
      </c>
      <c r="H2277" s="6" t="s">
        <v>45693</v>
      </c>
      <c r="I2277" s="7">
        <f t="shared" si="3"/>
        <v>0.6098447002</v>
      </c>
    </row>
    <row r="2278">
      <c r="A2278" s="4">
        <v>2278.0</v>
      </c>
      <c r="B2278" s="3" t="s">
        <v>45694</v>
      </c>
      <c r="C2278" s="6" t="s">
        <v>74</v>
      </c>
      <c r="D2278" s="6" t="s">
        <v>45695</v>
      </c>
      <c r="E2278" s="3" t="str">
        <f t="shared" si="1"/>
        <v>master&lt;br&gt;&lt;div class="audio"&gt;[sound:master.mp3]&lt;/div&gt;</v>
      </c>
      <c r="F2278" s="3" t="str">
        <f t="shared" si="2"/>
        <v>(n): bậc thầy</v>
      </c>
      <c r="G2278" s="6" t="s">
        <v>45696</v>
      </c>
      <c r="H2278" s="6" t="s">
        <v>45697</v>
      </c>
      <c r="I2278" s="7">
        <f t="shared" si="3"/>
        <v>0.9575495916</v>
      </c>
    </row>
    <row r="2279">
      <c r="A2279" s="4">
        <v>2279.0</v>
      </c>
      <c r="B2279" s="3" t="s">
        <v>45698</v>
      </c>
      <c r="C2279" s="6" t="s">
        <v>11</v>
      </c>
      <c r="D2279" s="8" t="s">
        <v>7939</v>
      </c>
      <c r="E2279" s="3" t="str">
        <f t="shared" si="1"/>
        <v>superior&lt;br&gt;&lt;div class="audio"&gt;[sound:superior.mp3]&lt;/div&gt;</v>
      </c>
      <c r="F2279" s="3" t="str">
        <f t="shared" si="2"/>
        <v>(adj): cấp trên</v>
      </c>
      <c r="G2279" s="8" t="s">
        <v>45699</v>
      </c>
      <c r="H2279" s="8" t="s">
        <v>45700</v>
      </c>
      <c r="I2279" s="7">
        <f t="shared" si="3"/>
        <v>0.6934486984</v>
      </c>
    </row>
    <row r="2280">
      <c r="A2280" s="4">
        <v>2280.0</v>
      </c>
      <c r="B2280" s="3" t="s">
        <v>45701</v>
      </c>
      <c r="C2280" s="6" t="s">
        <v>11</v>
      </c>
      <c r="D2280" s="6" t="s">
        <v>813</v>
      </c>
      <c r="E2280" s="3" t="str">
        <f t="shared" si="1"/>
        <v>opposed&lt;br&gt;&lt;div class="audio"&gt;[sound:opposed.mp3]&lt;/div&gt;</v>
      </c>
      <c r="F2280" s="3" t="str">
        <f t="shared" si="2"/>
        <v>(adj): phản đối</v>
      </c>
      <c r="G2280" s="6" t="s">
        <v>45702</v>
      </c>
      <c r="H2280" s="6" t="s">
        <v>45703</v>
      </c>
      <c r="I2280" s="7">
        <f t="shared" si="3"/>
        <v>0.2517725943</v>
      </c>
    </row>
    <row r="2281">
      <c r="A2281" s="4">
        <v>2281.0</v>
      </c>
      <c r="B2281" s="3" t="s">
        <v>45704</v>
      </c>
      <c r="C2281" s="6" t="s">
        <v>74</v>
      </c>
      <c r="D2281" s="6" t="s">
        <v>45705</v>
      </c>
      <c r="E2281" s="3" t="str">
        <f t="shared" si="1"/>
        <v>breathing&lt;br&gt;&lt;div class="audio"&gt;[sound:breathing.mp3]&lt;/div&gt;</v>
      </c>
      <c r="F2281" s="3" t="str">
        <f t="shared" si="2"/>
        <v>(n): việc thở</v>
      </c>
      <c r="G2281" s="6" t="s">
        <v>45706</v>
      </c>
      <c r="H2281" s="6" t="s">
        <v>45707</v>
      </c>
      <c r="I2281" s="7">
        <f t="shared" si="3"/>
        <v>0.8381035549</v>
      </c>
    </row>
    <row r="2282">
      <c r="A2282" s="4">
        <v>2282.0</v>
      </c>
      <c r="B2282" s="3" t="s">
        <v>45708</v>
      </c>
      <c r="C2282" s="6" t="s">
        <v>11</v>
      </c>
      <c r="D2282" s="6" t="s">
        <v>45709</v>
      </c>
      <c r="E2282" s="3" t="str">
        <f t="shared" si="1"/>
        <v>pleased&lt;br&gt;&lt;div class="audio"&gt;[sound:pleased.mp3]&lt;/div&gt;</v>
      </c>
      <c r="F2282" s="3" t="str">
        <f t="shared" si="2"/>
        <v>(adj): hài lòng</v>
      </c>
      <c r="G2282" s="6" t="s">
        <v>45710</v>
      </c>
      <c r="H2282" s="6" t="s">
        <v>45711</v>
      </c>
      <c r="I2282" s="7">
        <f t="shared" si="3"/>
        <v>0.1160134868</v>
      </c>
    </row>
    <row r="2283">
      <c r="A2283" s="4">
        <v>2283.0</v>
      </c>
      <c r="B2283" s="3" t="s">
        <v>45712</v>
      </c>
      <c r="C2283" s="6" t="s">
        <v>58</v>
      </c>
      <c r="D2283" s="6" t="s">
        <v>45713</v>
      </c>
      <c r="E2283" s="3" t="str">
        <f t="shared" si="1"/>
        <v>fifteen&lt;br&gt;&lt;div class="audio"&gt;[sound:fifteen.mp3]&lt;/div&gt;</v>
      </c>
      <c r="F2283" s="3" t="str">
        <f t="shared" si="2"/>
        <v>(num): mười lăm</v>
      </c>
      <c r="G2283" s="6" t="s">
        <v>45714</v>
      </c>
      <c r="H2283" s="6" t="s">
        <v>45715</v>
      </c>
      <c r="I2283" s="7">
        <f t="shared" si="3"/>
        <v>0.2030849389</v>
      </c>
    </row>
    <row r="2284">
      <c r="A2284" s="4">
        <v>2284.0</v>
      </c>
      <c r="B2284" s="3" t="s">
        <v>45716</v>
      </c>
      <c r="C2284" s="6" t="s">
        <v>74</v>
      </c>
      <c r="D2284" s="6" t="s">
        <v>45717</v>
      </c>
      <c r="E2284" s="3" t="str">
        <f t="shared" si="1"/>
        <v>episode&lt;br&gt;&lt;div class="audio"&gt;[sound:episode.mp3]&lt;/div&gt;</v>
      </c>
      <c r="F2284" s="3" t="str">
        <f t="shared" si="2"/>
        <v>(n): tập phim</v>
      </c>
      <c r="G2284" s="6" t="s">
        <v>45718</v>
      </c>
      <c r="H2284" s="6" t="s">
        <v>45719</v>
      </c>
      <c r="I2284" s="7">
        <f t="shared" si="3"/>
        <v>0.9304638842</v>
      </c>
    </row>
    <row r="2285">
      <c r="A2285" s="4">
        <v>2285.0</v>
      </c>
      <c r="B2285" s="3" t="s">
        <v>45720</v>
      </c>
      <c r="C2285" s="6" t="s">
        <v>85</v>
      </c>
      <c r="D2285" s="6" t="s">
        <v>28865</v>
      </c>
      <c r="E2285" s="3" t="str">
        <f t="shared" si="1"/>
        <v>broadly&lt;br&gt;&lt;div class="audio"&gt;[sound:broadly.mp3]&lt;/div&gt;</v>
      </c>
      <c r="F2285" s="3" t="str">
        <f t="shared" si="2"/>
        <v>(adv): rộng rãi</v>
      </c>
      <c r="G2285" s="6" t="s">
        <v>45721</v>
      </c>
      <c r="H2285" s="6" t="s">
        <v>45722</v>
      </c>
      <c r="I2285" s="7">
        <f t="shared" si="3"/>
        <v>0.683662017</v>
      </c>
    </row>
    <row r="2286">
      <c r="A2286" s="4">
        <v>2286.0</v>
      </c>
      <c r="B2286" s="3" t="s">
        <v>45723</v>
      </c>
      <c r="C2286" s="6" t="s">
        <v>85</v>
      </c>
      <c r="D2286" s="6" t="s">
        <v>16846</v>
      </c>
      <c r="E2286" s="3" t="str">
        <f t="shared" si="1"/>
        <v>mostly&lt;br&gt;&lt;div class="audio"&gt;[sound:mostly.mp3]&lt;/div&gt;</v>
      </c>
      <c r="F2286" s="3" t="str">
        <f t="shared" si="2"/>
        <v>(adv): phần lớn</v>
      </c>
      <c r="G2286" s="6" t="s">
        <v>45724</v>
      </c>
      <c r="H2286" s="6" t="s">
        <v>45725</v>
      </c>
      <c r="I2286" s="7">
        <f t="shared" si="3"/>
        <v>0.2723982143</v>
      </c>
    </row>
    <row r="2287">
      <c r="A2287" s="4">
        <v>2287.0</v>
      </c>
      <c r="B2287" s="3" t="s">
        <v>45726</v>
      </c>
      <c r="C2287" s="6" t="s">
        <v>85</v>
      </c>
      <c r="D2287" s="6" t="s">
        <v>28865</v>
      </c>
      <c r="E2287" s="3" t="str">
        <f t="shared" si="1"/>
        <v>widely&lt;br&gt;&lt;div class="audio"&gt;[sound:widely.mp3]&lt;/div&gt;</v>
      </c>
      <c r="F2287" s="3" t="str">
        <f t="shared" si="2"/>
        <v>(adv): rộng rãi</v>
      </c>
      <c r="G2287" s="6" t="s">
        <v>45727</v>
      </c>
      <c r="H2287" s="6" t="s">
        <v>45728</v>
      </c>
      <c r="I2287" s="7">
        <f t="shared" si="3"/>
        <v>0.8890447445</v>
      </c>
    </row>
    <row r="2288">
      <c r="A2288" s="4">
        <v>2288.0</v>
      </c>
      <c r="B2288" s="3" t="s">
        <v>45729</v>
      </c>
      <c r="C2288" s="6" t="s">
        <v>11</v>
      </c>
      <c r="D2288" s="6" t="s">
        <v>3044</v>
      </c>
      <c r="E2288" s="3" t="str">
        <f t="shared" si="1"/>
        <v>failed&lt;br&gt;&lt;div class="audio"&gt;[sound:failed.mp3]&lt;/div&gt;</v>
      </c>
      <c r="F2288" s="3" t="str">
        <f t="shared" si="2"/>
        <v>(adj): thất bại</v>
      </c>
      <c r="G2288" s="6" t="s">
        <v>45730</v>
      </c>
      <c r="H2288" s="6" t="s">
        <v>45731</v>
      </c>
      <c r="I2288" s="7">
        <f t="shared" si="3"/>
        <v>0.3153108733</v>
      </c>
    </row>
    <row r="2289">
      <c r="A2289" s="4">
        <v>2289.0</v>
      </c>
      <c r="B2289" s="3" t="s">
        <v>45732</v>
      </c>
      <c r="C2289" s="6" t="s">
        <v>74</v>
      </c>
      <c r="D2289" s="6" t="s">
        <v>41920</v>
      </c>
      <c r="E2289" s="3" t="str">
        <f t="shared" si="1"/>
        <v>faith&lt;br&gt;&lt;div class="audio"&gt;[sound:faith.mp3]&lt;/div&gt;</v>
      </c>
      <c r="F2289" s="3" t="str">
        <f t="shared" si="2"/>
        <v>(n): niềm tin</v>
      </c>
      <c r="G2289" s="6" t="s">
        <v>45733</v>
      </c>
      <c r="H2289" s="6" t="s">
        <v>45734</v>
      </c>
      <c r="I2289" s="7">
        <f t="shared" si="3"/>
        <v>0.684669272</v>
      </c>
    </row>
    <row r="2290">
      <c r="A2290" s="4">
        <v>2290.0</v>
      </c>
      <c r="B2290" s="3" t="s">
        <v>45735</v>
      </c>
      <c r="C2290" s="6" t="s">
        <v>74</v>
      </c>
      <c r="D2290" s="6" t="s">
        <v>45736</v>
      </c>
      <c r="E2290" s="3" t="str">
        <f t="shared" si="1"/>
        <v>perspective&lt;br&gt;&lt;div class="audio"&gt;[sound:perspective.mp3]&lt;/div&gt;</v>
      </c>
      <c r="F2290" s="3" t="str">
        <f t="shared" si="2"/>
        <v>(n): góc nhìn</v>
      </c>
      <c r="G2290" s="6" t="s">
        <v>45737</v>
      </c>
      <c r="H2290" s="6" t="s">
        <v>45738</v>
      </c>
      <c r="I2290" s="7">
        <f t="shared" si="3"/>
        <v>0.4086420056</v>
      </c>
    </row>
    <row r="2291">
      <c r="A2291" s="4">
        <v>2291.0</v>
      </c>
      <c r="B2291" s="3" t="s">
        <v>45739</v>
      </c>
      <c r="C2291" s="6" t="s">
        <v>24</v>
      </c>
      <c r="D2291" s="6" t="s">
        <v>813</v>
      </c>
      <c r="E2291" s="3" t="str">
        <f t="shared" si="1"/>
        <v>oppose&lt;br&gt;&lt;div class="audio"&gt;[sound:oppose.mp3]&lt;/div&gt;</v>
      </c>
      <c r="F2291" s="3" t="str">
        <f t="shared" si="2"/>
        <v>(v): phản đối</v>
      </c>
      <c r="G2291" s="6" t="s">
        <v>45740</v>
      </c>
      <c r="H2291" s="6" t="s">
        <v>45741</v>
      </c>
      <c r="I2291" s="7">
        <f t="shared" si="3"/>
        <v>0.9717416035</v>
      </c>
    </row>
    <row r="2292">
      <c r="A2292" s="4">
        <v>2292.0</v>
      </c>
      <c r="B2292" s="3" t="s">
        <v>45742</v>
      </c>
      <c r="C2292" s="6" t="s">
        <v>74</v>
      </c>
      <c r="D2292" s="6" t="s">
        <v>45743</v>
      </c>
      <c r="E2292" s="3" t="str">
        <f t="shared" si="1"/>
        <v>centimetre&lt;br&gt;&lt;div class="audio"&gt;[sound:centimetre.mp3]&lt;/div&gt;</v>
      </c>
      <c r="F2292" s="3" t="str">
        <f t="shared" si="2"/>
        <v>(n): xentimét</v>
      </c>
      <c r="G2292" s="6" t="s">
        <v>45744</v>
      </c>
      <c r="H2292" s="6" t="s">
        <v>45745</v>
      </c>
      <c r="I2292" s="7">
        <f t="shared" si="3"/>
        <v>0.6685905858</v>
      </c>
    </row>
    <row r="2293">
      <c r="A2293" s="4">
        <v>2293.0</v>
      </c>
      <c r="B2293" s="3" t="s">
        <v>45746</v>
      </c>
      <c r="C2293" s="6" t="s">
        <v>74</v>
      </c>
      <c r="D2293" s="6" t="s">
        <v>45747</v>
      </c>
      <c r="E2293" s="3" t="str">
        <f t="shared" si="1"/>
        <v>april&lt;br&gt;&lt;div class="audio"&gt;[sound:april.mp3]&lt;/div&gt;</v>
      </c>
      <c r="F2293" s="3" t="str">
        <f t="shared" si="2"/>
        <v>(n): tháng tư</v>
      </c>
      <c r="G2293" s="6" t="s">
        <v>45748</v>
      </c>
      <c r="H2293" s="6" t="s">
        <v>45749</v>
      </c>
      <c r="I2293" s="7">
        <f t="shared" si="3"/>
        <v>0.4836974522</v>
      </c>
    </row>
    <row r="2294">
      <c r="A2294" s="4">
        <v>2294.0</v>
      </c>
      <c r="B2294" s="3" t="s">
        <v>45750</v>
      </c>
      <c r="C2294" s="6" t="s">
        <v>74</v>
      </c>
      <c r="D2294" s="6" t="s">
        <v>40773</v>
      </c>
      <c r="E2294" s="3" t="str">
        <f t="shared" si="1"/>
        <v>feedback&lt;br&gt;&lt;div class="audio"&gt;[sound:feedback.mp3]&lt;/div&gt;</v>
      </c>
      <c r="F2294" s="3" t="str">
        <f t="shared" si="2"/>
        <v>(n): phản hồi</v>
      </c>
      <c r="G2294" s="6" t="s">
        <v>45751</v>
      </c>
      <c r="H2294" s="6" t="s">
        <v>45752</v>
      </c>
      <c r="I2294" s="7">
        <f t="shared" si="3"/>
        <v>0.8700668914</v>
      </c>
    </row>
    <row r="2295">
      <c r="A2295" s="4">
        <v>2295.0</v>
      </c>
      <c r="B2295" s="3" t="s">
        <v>45753</v>
      </c>
      <c r="C2295" s="6" t="s">
        <v>24</v>
      </c>
      <c r="D2295" s="6" t="s">
        <v>45754</v>
      </c>
      <c r="E2295" s="3" t="str">
        <f t="shared" si="1"/>
        <v>update&lt;br&gt;&lt;div class="audio"&gt;[sound:update.mp3]&lt;/div&gt;</v>
      </c>
      <c r="F2295" s="3" t="str">
        <f t="shared" si="2"/>
        <v>(v): cập nhật</v>
      </c>
      <c r="G2295" s="6" t="s">
        <v>45755</v>
      </c>
      <c r="H2295" s="6" t="s">
        <v>45756</v>
      </c>
      <c r="I2295" s="7">
        <f t="shared" si="3"/>
        <v>0.08735565464</v>
      </c>
    </row>
    <row r="2296">
      <c r="A2296" s="4">
        <v>2296.0</v>
      </c>
      <c r="B2296" s="3" t="s">
        <v>45757</v>
      </c>
      <c r="C2296" s="6" t="s">
        <v>74</v>
      </c>
      <c r="D2296" s="8" t="s">
        <v>17534</v>
      </c>
      <c r="E2296" s="3" t="str">
        <f t="shared" si="1"/>
        <v>sentiment&lt;br&gt;&lt;div class="audio"&gt;[sound:sentiment.mp3]&lt;/div&gt;</v>
      </c>
      <c r="F2296" s="3" t="str">
        <f t="shared" si="2"/>
        <v>(n): tình cảm</v>
      </c>
      <c r="G2296" s="8" t="s">
        <v>45758</v>
      </c>
      <c r="H2296" s="8" t="s">
        <v>45759</v>
      </c>
      <c r="I2296" s="7">
        <f t="shared" si="3"/>
        <v>0.06547495225</v>
      </c>
    </row>
    <row r="2297">
      <c r="A2297" s="4">
        <v>2297.0</v>
      </c>
      <c r="B2297" s="3" t="s">
        <v>45760</v>
      </c>
      <c r="C2297" s="6" t="s">
        <v>74</v>
      </c>
      <c r="D2297" s="6" t="s">
        <v>1851</v>
      </c>
      <c r="E2297" s="3" t="str">
        <f t="shared" si="1"/>
        <v>capability&lt;br&gt;&lt;div class="audio"&gt;[sound:capability.mp3]&lt;/div&gt;</v>
      </c>
      <c r="F2297" s="3" t="str">
        <f t="shared" si="2"/>
        <v>(n): khả năng</v>
      </c>
      <c r="G2297" s="6" t="s">
        <v>45761</v>
      </c>
      <c r="H2297" s="6" t="s">
        <v>45762</v>
      </c>
      <c r="I2297" s="7">
        <f t="shared" si="3"/>
        <v>0.5549852414</v>
      </c>
    </row>
    <row r="2298">
      <c r="A2298" s="4">
        <v>2298.0</v>
      </c>
      <c r="B2298" s="3" t="s">
        <v>45763</v>
      </c>
      <c r="C2298" s="6" t="s">
        <v>74</v>
      </c>
      <c r="D2298" s="8" t="s">
        <v>32900</v>
      </c>
      <c r="E2298" s="3" t="str">
        <f t="shared" si="1"/>
        <v>shade&lt;br&gt;&lt;div class="audio"&gt;[sound:shade.mp3]&lt;/div&gt;</v>
      </c>
      <c r="F2298" s="3" t="str">
        <f t="shared" si="2"/>
        <v>(n): bóng râm</v>
      </c>
      <c r="G2298" s="8" t="s">
        <v>45764</v>
      </c>
      <c r="H2298" s="8" t="s">
        <v>45765</v>
      </c>
      <c r="I2298" s="7">
        <f t="shared" si="3"/>
        <v>0.4069993383</v>
      </c>
    </row>
    <row r="2299">
      <c r="A2299" s="4">
        <v>2299.0</v>
      </c>
      <c r="B2299" s="3" t="s">
        <v>45766</v>
      </c>
      <c r="C2299" s="6" t="s">
        <v>24</v>
      </c>
      <c r="D2299" s="6" t="s">
        <v>45767</v>
      </c>
      <c r="E2299" s="3" t="str">
        <f t="shared" si="1"/>
        <v>transform&lt;br&gt;&lt;div class="audio"&gt;[sound:transform.mp3]&lt;/div&gt;</v>
      </c>
      <c r="F2299" s="3" t="str">
        <f t="shared" si="2"/>
        <v>(v): biến đổi</v>
      </c>
      <c r="G2299" s="6" t="s">
        <v>45768</v>
      </c>
      <c r="H2299" s="6" t="s">
        <v>45769</v>
      </c>
      <c r="I2299" s="7">
        <f t="shared" si="3"/>
        <v>0.6443443548</v>
      </c>
    </row>
    <row r="2300">
      <c r="A2300" s="4">
        <v>2300.0</v>
      </c>
      <c r="B2300" s="3" t="s">
        <v>45770</v>
      </c>
      <c r="C2300" s="6" t="s">
        <v>74</v>
      </c>
      <c r="D2300" s="6" t="s">
        <v>45771</v>
      </c>
      <c r="E2300" s="3" t="str">
        <f t="shared" si="1"/>
        <v>contractor&lt;br&gt;&lt;div class="audio"&gt;[sound:contractor.mp3]&lt;/div&gt;</v>
      </c>
      <c r="F2300" s="3" t="str">
        <f t="shared" si="2"/>
        <v>(n): nhà thầu</v>
      </c>
      <c r="G2300" s="6" t="s">
        <v>45772</v>
      </c>
      <c r="H2300" s="6" t="s">
        <v>45773</v>
      </c>
      <c r="I2300" s="7">
        <f t="shared" si="3"/>
        <v>0.4327813267</v>
      </c>
    </row>
    <row r="2301">
      <c r="A2301" s="4">
        <v>2301.0</v>
      </c>
      <c r="B2301" s="3" t="s">
        <v>45774</v>
      </c>
      <c r="C2301" s="6" t="s">
        <v>24</v>
      </c>
      <c r="D2301" s="6" t="s">
        <v>45775</v>
      </c>
      <c r="E2301" s="3" t="str">
        <f t="shared" si="1"/>
        <v>illustrate&lt;br&gt;&lt;div class="audio"&gt;[sound:illustrate.mp3]&lt;/div&gt;</v>
      </c>
      <c r="F2301" s="3" t="str">
        <f t="shared" si="2"/>
        <v>(v): minh họa</v>
      </c>
      <c r="G2301" s="6" t="s">
        <v>45776</v>
      </c>
      <c r="H2301" s="6" t="s">
        <v>45777</v>
      </c>
      <c r="I2301" s="7">
        <f t="shared" si="3"/>
        <v>0.9121778604</v>
      </c>
    </row>
    <row r="2302">
      <c r="A2302" s="4">
        <v>2302.0</v>
      </c>
      <c r="B2302" s="3" t="s">
        <v>45778</v>
      </c>
      <c r="C2302" s="6" t="s">
        <v>74</v>
      </c>
      <c r="D2302" s="6" t="s">
        <v>45779</v>
      </c>
      <c r="E2302" s="3" t="str">
        <f t="shared" si="1"/>
        <v>ending&lt;br&gt;&lt;div class="audio"&gt;[sound:ending.mp3]&lt;/div&gt;</v>
      </c>
      <c r="F2302" s="3" t="str">
        <f t="shared" si="2"/>
        <v>(n): đoạn kết</v>
      </c>
      <c r="G2302" s="6" t="s">
        <v>45780</v>
      </c>
      <c r="H2302" s="6" t="s">
        <v>45781</v>
      </c>
      <c r="I2302" s="7">
        <f t="shared" si="3"/>
        <v>0.2393142654</v>
      </c>
    </row>
    <row r="2303">
      <c r="A2303" s="4">
        <v>2303.0</v>
      </c>
      <c r="B2303" s="3" t="s">
        <v>45782</v>
      </c>
      <c r="C2303" s="6" t="s">
        <v>11</v>
      </c>
      <c r="D2303" s="6" t="s">
        <v>5734</v>
      </c>
      <c r="E2303" s="3" t="str">
        <f t="shared" si="1"/>
        <v>continuous&lt;br&gt;&lt;div class="audio"&gt;[sound:continuous.mp3]&lt;/div&gt;</v>
      </c>
      <c r="F2303" s="3" t="str">
        <f t="shared" si="2"/>
        <v>(adj): liên tục</v>
      </c>
      <c r="G2303" s="6" t="s">
        <v>45783</v>
      </c>
      <c r="H2303" s="6" t="s">
        <v>45784</v>
      </c>
      <c r="I2303" s="7">
        <f t="shared" si="3"/>
        <v>0.2709996805</v>
      </c>
    </row>
    <row r="2304">
      <c r="A2304" s="4">
        <v>2304.0</v>
      </c>
      <c r="B2304" s="3" t="s">
        <v>45785</v>
      </c>
      <c r="C2304" s="6" t="s">
        <v>24</v>
      </c>
      <c r="D2304" s="6" t="s">
        <v>8072</v>
      </c>
      <c r="E2304" s="3" t="str">
        <f t="shared" si="1"/>
        <v>permit&lt;br&gt;&lt;div class="audio"&gt;[sound:permit.mp3]&lt;/div&gt;</v>
      </c>
      <c r="F2304" s="3" t="str">
        <f t="shared" si="2"/>
        <v>(v): cho phép</v>
      </c>
      <c r="G2304" s="6" t="s">
        <v>45786</v>
      </c>
      <c r="H2304" s="6" t="s">
        <v>45787</v>
      </c>
      <c r="I2304" s="7">
        <f t="shared" si="3"/>
        <v>0.2262014022</v>
      </c>
    </row>
    <row r="2305">
      <c r="A2305" s="4">
        <v>2305.0</v>
      </c>
      <c r="B2305" s="3" t="s">
        <v>45788</v>
      </c>
      <c r="C2305" s="6" t="s">
        <v>74</v>
      </c>
      <c r="D2305" s="8" t="s">
        <v>45789</v>
      </c>
      <c r="E2305" s="3" t="str">
        <f t="shared" si="1"/>
        <v>seminar&lt;br&gt;&lt;div class="audio"&gt;[sound:seminar.mp3]&lt;/div&gt;</v>
      </c>
      <c r="F2305" s="3" t="str">
        <f t="shared" si="2"/>
        <v>(n): hội thảo</v>
      </c>
      <c r="G2305" s="8" t="s">
        <v>45790</v>
      </c>
      <c r="H2305" s="8" t="s">
        <v>45791</v>
      </c>
      <c r="I2305" s="7">
        <f t="shared" si="3"/>
        <v>0.360680816</v>
      </c>
    </row>
    <row r="2306">
      <c r="A2306" s="4">
        <v>2306.0</v>
      </c>
      <c r="B2306" s="3" t="s">
        <v>45792</v>
      </c>
      <c r="C2306" s="6" t="s">
        <v>74</v>
      </c>
      <c r="D2306" s="6" t="s">
        <v>45793</v>
      </c>
      <c r="E2306" s="3" t="str">
        <f t="shared" si="1"/>
        <v>marriage&lt;br&gt;&lt;div class="audio"&gt;[sound:marriage.mp3]&lt;/div&gt;</v>
      </c>
      <c r="F2306" s="3" t="str">
        <f t="shared" si="2"/>
        <v>(n): hôn nhân</v>
      </c>
      <c r="G2306" s="6" t="s">
        <v>45794</v>
      </c>
      <c r="H2306" s="6" t="s">
        <v>45795</v>
      </c>
      <c r="I2306" s="7">
        <f t="shared" si="3"/>
        <v>0.51685805</v>
      </c>
    </row>
    <row r="2307">
      <c r="A2307" s="4">
        <v>2307.0</v>
      </c>
      <c r="B2307" s="3" t="s">
        <v>45796</v>
      </c>
      <c r="C2307" s="6" t="s">
        <v>74</v>
      </c>
      <c r="D2307" s="6" t="s">
        <v>6899</v>
      </c>
      <c r="E2307" s="3" t="str">
        <f t="shared" si="1"/>
        <v>indication&lt;br&gt;&lt;div class="audio"&gt;[sound:indication.mp3]&lt;/div&gt;</v>
      </c>
      <c r="F2307" s="3" t="str">
        <f t="shared" si="2"/>
        <v>(n): dấu hiệu</v>
      </c>
      <c r="G2307" s="6" t="s">
        <v>45797</v>
      </c>
      <c r="H2307" s="6" t="s">
        <v>45798</v>
      </c>
      <c r="I2307" s="7">
        <f t="shared" si="3"/>
        <v>0.2799854022</v>
      </c>
    </row>
    <row r="2308">
      <c r="A2308" s="4">
        <v>2308.0</v>
      </c>
      <c r="B2308" s="3" t="s">
        <v>45799</v>
      </c>
      <c r="C2308" s="6" t="s">
        <v>24</v>
      </c>
      <c r="D2308" s="6" t="s">
        <v>45800</v>
      </c>
      <c r="E2308" s="3" t="str">
        <f t="shared" si="1"/>
        <v>accuse&lt;br&gt;&lt;div class="audio"&gt;[sound:accuse.mp3]&lt;/div&gt;</v>
      </c>
      <c r="F2308" s="3" t="str">
        <f t="shared" si="2"/>
        <v>(v): buộc tội</v>
      </c>
      <c r="G2308" s="6" t="s">
        <v>45801</v>
      </c>
      <c r="H2308" s="6" t="s">
        <v>45802</v>
      </c>
      <c r="I2308" s="7">
        <f t="shared" si="3"/>
        <v>0.359686193</v>
      </c>
    </row>
    <row r="2309">
      <c r="A2309" s="4">
        <v>2309.0</v>
      </c>
      <c r="B2309" s="3" t="s">
        <v>45803</v>
      </c>
      <c r="C2309" s="6" t="s">
        <v>24</v>
      </c>
      <c r="D2309" s="6" t="s">
        <v>22596</v>
      </c>
      <c r="E2309" s="3" t="str">
        <f t="shared" si="1"/>
        <v>expose&lt;br&gt;&lt;div class="audio"&gt;[sound:expose.mp3]&lt;/div&gt;</v>
      </c>
      <c r="F2309" s="3" t="str">
        <f t="shared" si="2"/>
        <v>(v): phơi bày</v>
      </c>
      <c r="G2309" s="6" t="s">
        <v>45804</v>
      </c>
      <c r="H2309" s="6" t="s">
        <v>45805</v>
      </c>
      <c r="I2309" s="7">
        <f t="shared" si="3"/>
        <v>0.7464404098</v>
      </c>
    </row>
    <row r="2310">
      <c r="A2310" s="4">
        <v>2310.0</v>
      </c>
      <c r="B2310" s="3" t="s">
        <v>45806</v>
      </c>
      <c r="C2310" s="6" t="s">
        <v>11</v>
      </c>
      <c r="D2310" s="6" t="s">
        <v>45807</v>
      </c>
      <c r="E2310" s="3" t="str">
        <f t="shared" si="1"/>
        <v>vast&lt;br&gt;&lt;div class="audio"&gt;[sound:vast.mp3]&lt;/div&gt;</v>
      </c>
      <c r="F2310" s="3" t="str">
        <f t="shared" si="2"/>
        <v>(adj): rộng lớn</v>
      </c>
      <c r="G2310" s="6" t="s">
        <v>45808</v>
      </c>
      <c r="H2310" s="6" t="s">
        <v>45809</v>
      </c>
      <c r="I2310" s="7">
        <f t="shared" si="3"/>
        <v>0.2567132992</v>
      </c>
    </row>
    <row r="2311">
      <c r="A2311" s="4">
        <v>2311.0</v>
      </c>
      <c r="B2311" s="3" t="s">
        <v>45810</v>
      </c>
      <c r="C2311" s="6" t="s">
        <v>74</v>
      </c>
      <c r="D2311" s="6" t="s">
        <v>32906</v>
      </c>
      <c r="E2311" s="3" t="str">
        <f t="shared" si="1"/>
        <v>peak&lt;br&gt;&lt;div class="audio"&gt;[sound:peak.mp3]&lt;/div&gt;</v>
      </c>
      <c r="F2311" s="3" t="str">
        <f t="shared" si="2"/>
        <v>(n): đỉnh cao</v>
      </c>
      <c r="G2311" s="6" t="s">
        <v>45811</v>
      </c>
      <c r="H2311" s="6" t="s">
        <v>45812</v>
      </c>
      <c r="I2311" s="7">
        <f t="shared" si="3"/>
        <v>0.9166087471</v>
      </c>
    </row>
    <row r="2312">
      <c r="A2312" s="4">
        <v>2312.0</v>
      </c>
      <c r="B2312" s="3" t="s">
        <v>45813</v>
      </c>
      <c r="C2312" s="6" t="s">
        <v>74</v>
      </c>
      <c r="D2312" s="6" t="s">
        <v>16714</v>
      </c>
      <c r="E2312" s="3" t="str">
        <f t="shared" si="1"/>
        <v>platform&lt;br&gt;&lt;div class="audio"&gt;[sound:platform.mp3]&lt;/div&gt;</v>
      </c>
      <c r="F2312" s="3" t="str">
        <f t="shared" si="2"/>
        <v>(n): nền tảng</v>
      </c>
      <c r="G2312" s="6" t="s">
        <v>45814</v>
      </c>
      <c r="H2312" s="6" t="s">
        <v>45815</v>
      </c>
      <c r="I2312" s="7">
        <f t="shared" si="3"/>
        <v>0.786798253</v>
      </c>
    </row>
    <row r="2313">
      <c r="A2313" s="4">
        <v>2313.0</v>
      </c>
      <c r="B2313" s="3" t="s">
        <v>45816</v>
      </c>
      <c r="C2313" s="6" t="s">
        <v>11</v>
      </c>
      <c r="D2313" s="6" t="s">
        <v>23072</v>
      </c>
      <c r="E2313" s="3" t="str">
        <f t="shared" si="1"/>
        <v>nuclear&lt;br&gt;&lt;div class="audio"&gt;[sound:nuclear.mp3]&lt;/div&gt;</v>
      </c>
      <c r="F2313" s="3" t="str">
        <f t="shared" si="2"/>
        <v>(adj): hạt nhân</v>
      </c>
      <c r="G2313" s="6" t="s">
        <v>45817</v>
      </c>
      <c r="H2313" s="6" t="s">
        <v>45818</v>
      </c>
      <c r="I2313" s="7">
        <f t="shared" si="3"/>
        <v>0.6969086814</v>
      </c>
    </row>
    <row r="2314">
      <c r="A2314" s="4">
        <v>2314.0</v>
      </c>
      <c r="B2314" s="3" t="s">
        <v>45819</v>
      </c>
      <c r="C2314" s="6" t="s">
        <v>24</v>
      </c>
      <c r="D2314" s="6" t="s">
        <v>8042</v>
      </c>
      <c r="E2314" s="3" t="str">
        <f t="shared" si="1"/>
        <v>participate&lt;br&gt;&lt;div class="audio"&gt;[sound:participate.mp3]&lt;/div&gt;</v>
      </c>
      <c r="F2314" s="3" t="str">
        <f t="shared" si="2"/>
        <v>(v): tham gia</v>
      </c>
      <c r="G2314" s="6" t="s">
        <v>45820</v>
      </c>
      <c r="H2314" s="6" t="s">
        <v>45821</v>
      </c>
      <c r="I2314" s="7">
        <f t="shared" si="3"/>
        <v>0.9525265399</v>
      </c>
    </row>
    <row r="2315">
      <c r="A2315" s="4">
        <v>2315.0</v>
      </c>
      <c r="B2315" s="3" t="s">
        <v>45822</v>
      </c>
      <c r="C2315" s="6" t="s">
        <v>24</v>
      </c>
      <c r="D2315" s="6" t="s">
        <v>45823</v>
      </c>
      <c r="E2315" s="3" t="str">
        <f t="shared" si="1"/>
        <v>warn&lt;br&gt;&lt;div class="audio"&gt;[sound:warn.mp3]&lt;/div&gt;</v>
      </c>
      <c r="F2315" s="3" t="str">
        <f t="shared" si="2"/>
        <v>(v): cảnh báo</v>
      </c>
      <c r="G2315" s="6" t="s">
        <v>45824</v>
      </c>
      <c r="H2315" s="6" t="s">
        <v>45825</v>
      </c>
      <c r="I2315" s="7">
        <f t="shared" si="3"/>
        <v>0.6546506844</v>
      </c>
    </row>
    <row r="2316">
      <c r="A2316" s="4">
        <v>2316.0</v>
      </c>
      <c r="B2316" s="3" t="s">
        <v>45826</v>
      </c>
      <c r="C2316" s="6" t="s">
        <v>74</v>
      </c>
      <c r="D2316" s="8" t="s">
        <v>6946</v>
      </c>
      <c r="E2316" s="3" t="str">
        <f t="shared" si="1"/>
        <v>sphere&lt;br&gt;&lt;div class="audio"&gt;[sound:sphere.mp3]&lt;/div&gt;</v>
      </c>
      <c r="F2316" s="3" t="str">
        <f t="shared" si="2"/>
        <v>(n): lĩnh vực</v>
      </c>
      <c r="G2316" s="8" t="s">
        <v>45827</v>
      </c>
      <c r="H2316" s="8" t="s">
        <v>45828</v>
      </c>
      <c r="I2316" s="7">
        <f t="shared" si="3"/>
        <v>0.8262244589</v>
      </c>
    </row>
    <row r="2317">
      <c r="A2317" s="4">
        <v>2317.0</v>
      </c>
      <c r="B2317" s="3" t="s">
        <v>45829</v>
      </c>
      <c r="C2317" s="6" t="s">
        <v>24</v>
      </c>
      <c r="D2317" s="6" t="s">
        <v>8681</v>
      </c>
      <c r="E2317" s="3" t="str">
        <f t="shared" si="1"/>
        <v>belong&lt;br&gt;&lt;div class="audio"&gt;[sound:belong.mp3]&lt;/div&gt;</v>
      </c>
      <c r="F2317" s="3" t="str">
        <f t="shared" si="2"/>
        <v>(v): thuộc về</v>
      </c>
      <c r="G2317" s="6" t="s">
        <v>45830</v>
      </c>
      <c r="H2317" s="6" t="s">
        <v>45831</v>
      </c>
      <c r="I2317" s="7">
        <f t="shared" si="3"/>
        <v>0.5501465062</v>
      </c>
    </row>
    <row r="2318">
      <c r="A2318" s="4">
        <v>2318.0</v>
      </c>
      <c r="B2318" s="3" t="s">
        <v>45832</v>
      </c>
      <c r="C2318" s="6" t="s">
        <v>74</v>
      </c>
      <c r="D2318" s="6" t="s">
        <v>29190</v>
      </c>
      <c r="E2318" s="3" t="str">
        <f t="shared" si="1"/>
        <v>museum&lt;br&gt;&lt;div class="audio"&gt;[sound:museum.mp3]&lt;/div&gt;</v>
      </c>
      <c r="F2318" s="3" t="str">
        <f t="shared" si="2"/>
        <v>(n): bảo tàng</v>
      </c>
      <c r="G2318" s="6" t="s">
        <v>45833</v>
      </c>
      <c r="H2318" s="6" t="s">
        <v>45834</v>
      </c>
      <c r="I2318" s="7">
        <f t="shared" si="3"/>
        <v>0.5716276803</v>
      </c>
    </row>
    <row r="2319">
      <c r="A2319" s="4">
        <v>2319.0</v>
      </c>
      <c r="B2319" s="3" t="s">
        <v>45835</v>
      </c>
      <c r="C2319" s="6" t="s">
        <v>74</v>
      </c>
      <c r="D2319" s="6" t="s">
        <v>45836</v>
      </c>
      <c r="E2319" s="3" t="str">
        <f t="shared" si="1"/>
        <v>compound&lt;br&gt;&lt;div class="audio"&gt;[sound:compound.mp3]&lt;/div&gt;</v>
      </c>
      <c r="F2319" s="3" t="str">
        <f t="shared" si="2"/>
        <v>(n): hợp chất</v>
      </c>
      <c r="G2319" s="6" t="s">
        <v>45837</v>
      </c>
      <c r="H2319" s="6" t="s">
        <v>45838</v>
      </c>
      <c r="I2319" s="7">
        <f t="shared" si="3"/>
        <v>0.956899997</v>
      </c>
    </row>
    <row r="2320">
      <c r="A2320" s="4">
        <v>2320.0</v>
      </c>
      <c r="B2320" s="3" t="s">
        <v>45839</v>
      </c>
      <c r="C2320" s="6" t="s">
        <v>24</v>
      </c>
      <c r="D2320" s="6" t="s">
        <v>14442</v>
      </c>
      <c r="E2320" s="3" t="str">
        <f t="shared" si="1"/>
        <v>consume&lt;br&gt;&lt;div class="audio"&gt;[sound:consume.mp3]&lt;/div&gt;</v>
      </c>
      <c r="F2320" s="3" t="str">
        <f t="shared" si="2"/>
        <v>(v): tiêu thụ</v>
      </c>
      <c r="G2320" s="6" t="s">
        <v>45840</v>
      </c>
      <c r="H2320" s="6" t="s">
        <v>45841</v>
      </c>
      <c r="I2320" s="7">
        <f t="shared" si="3"/>
        <v>0.9222758629</v>
      </c>
    </row>
    <row r="2321">
      <c r="A2321" s="4">
        <v>2321.0</v>
      </c>
      <c r="B2321" s="3" t="s">
        <v>45842</v>
      </c>
      <c r="C2321" s="6" t="s">
        <v>24</v>
      </c>
      <c r="D2321" s="6" t="s">
        <v>2236</v>
      </c>
      <c r="E2321" s="3" t="str">
        <f t="shared" si="1"/>
        <v>obtain&lt;br&gt;&lt;div class="audio"&gt;[sound:obtain.mp3]&lt;/div&gt;</v>
      </c>
      <c r="F2321" s="3" t="str">
        <f t="shared" si="2"/>
        <v>(v): đạt được</v>
      </c>
      <c r="G2321" s="6" t="s">
        <v>45843</v>
      </c>
      <c r="H2321" s="6" t="s">
        <v>45844</v>
      </c>
      <c r="I2321" s="7">
        <f t="shared" si="3"/>
        <v>0.5244633641</v>
      </c>
    </row>
    <row r="2322">
      <c r="A2322" s="4">
        <v>2322.0</v>
      </c>
      <c r="B2322" s="3" t="s">
        <v>45845</v>
      </c>
      <c r="C2322" s="6" t="s">
        <v>11</v>
      </c>
      <c r="D2322" s="8" t="s">
        <v>45846</v>
      </c>
      <c r="E2322" s="3" t="str">
        <f t="shared" si="1"/>
        <v>sustainable&lt;br&gt;&lt;div class="audio"&gt;[sound:sustainable.mp3]&lt;/div&gt;</v>
      </c>
      <c r="F2322" s="3" t="str">
        <f t="shared" si="2"/>
        <v>(adj): bền vững</v>
      </c>
      <c r="G2322" s="8" t="s">
        <v>45847</v>
      </c>
      <c r="H2322" s="8" t="s">
        <v>45848</v>
      </c>
      <c r="I2322" s="7">
        <f t="shared" si="3"/>
        <v>0.5824273619</v>
      </c>
    </row>
    <row r="2323">
      <c r="A2323" s="4">
        <v>2323.0</v>
      </c>
      <c r="B2323" s="3" t="s">
        <v>45849</v>
      </c>
      <c r="C2323" s="6" t="s">
        <v>74</v>
      </c>
      <c r="D2323" s="6" t="s">
        <v>30591</v>
      </c>
      <c r="E2323" s="3" t="str">
        <f t="shared" si="1"/>
        <v>beach&lt;br&gt;&lt;div class="audio"&gt;[sound:beach.mp3]&lt;/div&gt;</v>
      </c>
      <c r="F2323" s="3" t="str">
        <f t="shared" si="2"/>
        <v>(n): bãi biển</v>
      </c>
      <c r="G2323" s="6" t="s">
        <v>45850</v>
      </c>
      <c r="H2323" s="6" t="s">
        <v>45851</v>
      </c>
      <c r="I2323" s="7">
        <f t="shared" si="3"/>
        <v>0.7271058197</v>
      </c>
    </row>
    <row r="2324">
      <c r="A2324" s="4">
        <v>2324.0</v>
      </c>
      <c r="B2324" s="3" t="s">
        <v>45852</v>
      </c>
      <c r="C2324" s="6" t="s">
        <v>74</v>
      </c>
      <c r="D2324" s="6" t="s">
        <v>6889</v>
      </c>
      <c r="E2324" s="3" t="str">
        <f t="shared" si="1"/>
        <v>genre&lt;br&gt;&lt;div class="audio"&gt;[sound:genre.mp3]&lt;/div&gt;</v>
      </c>
      <c r="F2324" s="3" t="str">
        <f t="shared" si="2"/>
        <v>(n): thể loại</v>
      </c>
      <c r="G2324" s="6" t="s">
        <v>45853</v>
      </c>
      <c r="H2324" s="6" t="s">
        <v>45854</v>
      </c>
      <c r="I2324" s="7">
        <f t="shared" si="3"/>
        <v>0.0360838868</v>
      </c>
    </row>
    <row r="2325">
      <c r="A2325" s="4">
        <v>2325.0</v>
      </c>
      <c r="B2325" s="3" t="s">
        <v>45855</v>
      </c>
      <c r="C2325" s="6" t="s">
        <v>24</v>
      </c>
      <c r="D2325" s="6" t="s">
        <v>45856</v>
      </c>
      <c r="E2325" s="3" t="str">
        <f t="shared" si="1"/>
        <v>confront&lt;br&gt;&lt;div class="audio"&gt;[sound:confront.mp3]&lt;/div&gt;</v>
      </c>
      <c r="F2325" s="3" t="str">
        <f t="shared" si="2"/>
        <v>(v): đối mặt</v>
      </c>
      <c r="G2325" s="6" t="s">
        <v>45857</v>
      </c>
      <c r="H2325" s="6" t="s">
        <v>45858</v>
      </c>
      <c r="I2325" s="7">
        <f t="shared" si="3"/>
        <v>0.6936876149</v>
      </c>
    </row>
    <row r="2326">
      <c r="A2326" s="4">
        <v>2326.0</v>
      </c>
      <c r="B2326" s="3" t="s">
        <v>45859</v>
      </c>
      <c r="C2326" s="6" t="s">
        <v>74</v>
      </c>
      <c r="D2326" s="8" t="s">
        <v>45860</v>
      </c>
      <c r="E2326" s="3" t="str">
        <f t="shared" si="1"/>
        <v>stake&lt;br&gt;&lt;div class="audio"&gt;[sound:stake.mp3]&lt;/div&gt;</v>
      </c>
      <c r="F2326" s="3" t="str">
        <f t="shared" si="2"/>
        <v>(n): cổ phần</v>
      </c>
      <c r="G2326" s="8" t="s">
        <v>45861</v>
      </c>
      <c r="H2326" s="8" t="s">
        <v>45862</v>
      </c>
      <c r="I2326" s="7">
        <f t="shared" si="3"/>
        <v>0.9875872181</v>
      </c>
    </row>
    <row r="2327">
      <c r="A2327" s="4">
        <v>2327.0</v>
      </c>
      <c r="B2327" s="3" t="s">
        <v>45863</v>
      </c>
      <c r="C2327" s="6" t="s">
        <v>85</v>
      </c>
      <c r="D2327" s="6" t="s">
        <v>14740</v>
      </c>
      <c r="E2327" s="3" t="str">
        <f t="shared" si="1"/>
        <v>truly&lt;br&gt;&lt;div class="audio"&gt;[sound:truly.mp3]&lt;/div&gt;</v>
      </c>
      <c r="F2327" s="3" t="str">
        <f t="shared" si="2"/>
        <v>(adv): thực sự</v>
      </c>
      <c r="G2327" s="6" t="s">
        <v>45864</v>
      </c>
      <c r="H2327" s="6" t="s">
        <v>45865</v>
      </c>
      <c r="I2327" s="7">
        <f t="shared" si="3"/>
        <v>0.1458843268</v>
      </c>
    </row>
    <row r="2328">
      <c r="A2328" s="4">
        <v>2328.0</v>
      </c>
      <c r="B2328" s="3" t="s">
        <v>45866</v>
      </c>
      <c r="C2328" s="6" t="s">
        <v>74</v>
      </c>
      <c r="D2328" s="6" t="s">
        <v>45867</v>
      </c>
      <c r="E2328" s="3" t="str">
        <f t="shared" si="1"/>
        <v>apple&lt;br&gt;&lt;div class="audio"&gt;[sound:apple.mp3]&lt;/div&gt;</v>
      </c>
      <c r="F2328" s="3" t="str">
        <f t="shared" si="2"/>
        <v>(n): quả táo</v>
      </c>
      <c r="G2328" s="6" t="s">
        <v>45868</v>
      </c>
      <c r="H2328" s="6" t="s">
        <v>45869</v>
      </c>
      <c r="I2328" s="7">
        <f t="shared" si="3"/>
        <v>0.2743347615</v>
      </c>
    </row>
    <row r="2329">
      <c r="A2329" s="4">
        <v>2329.0</v>
      </c>
      <c r="B2329" s="3" t="s">
        <v>45870</v>
      </c>
      <c r="C2329" s="6" t="s">
        <v>74</v>
      </c>
      <c r="D2329" s="6" t="s">
        <v>27170</v>
      </c>
      <c r="E2329" s="3" t="str">
        <f t="shared" si="1"/>
        <v>knee&lt;br&gt;&lt;div class="audio"&gt;[sound:knee.mp3]&lt;/div&gt;</v>
      </c>
      <c r="F2329" s="3" t="str">
        <f t="shared" si="2"/>
        <v>(n): đầu gối</v>
      </c>
      <c r="G2329" s="6" t="s">
        <v>45871</v>
      </c>
      <c r="H2329" s="6" t="s">
        <v>45872</v>
      </c>
      <c r="I2329" s="7">
        <f t="shared" si="3"/>
        <v>0.00210707522</v>
      </c>
    </row>
    <row r="2330">
      <c r="A2330" s="4">
        <v>2330.0</v>
      </c>
      <c r="B2330" s="3" t="s">
        <v>45873</v>
      </c>
      <c r="C2330" s="6" t="s">
        <v>85</v>
      </c>
      <c r="D2330" s="6" t="s">
        <v>5239</v>
      </c>
      <c r="E2330" s="3" t="str">
        <f t="shared" si="1"/>
        <v>forever&lt;br&gt;&lt;div class="audio"&gt;[sound:forever.mp3]&lt;/div&gt;</v>
      </c>
      <c r="F2330" s="3" t="str">
        <f t="shared" si="2"/>
        <v>(adv): mãi mãi</v>
      </c>
      <c r="G2330" s="6" t="s">
        <v>45874</v>
      </c>
      <c r="H2330" s="6" t="s">
        <v>45875</v>
      </c>
      <c r="I2330" s="7">
        <f t="shared" si="3"/>
        <v>0.07771479945</v>
      </c>
    </row>
    <row r="2331">
      <c r="A2331" s="4">
        <v>2331.0</v>
      </c>
      <c r="B2331" s="3" t="s">
        <v>45876</v>
      </c>
      <c r="C2331" s="6" t="s">
        <v>74</v>
      </c>
      <c r="D2331" s="6" t="s">
        <v>6582</v>
      </c>
      <c r="E2331" s="3" t="str">
        <f t="shared" si="1"/>
        <v>taxi&lt;br&gt;&lt;div class="audio"&gt;[sound:taxi.mp3]&lt;/div&gt;</v>
      </c>
      <c r="F2331" s="3" t="str">
        <f t="shared" si="2"/>
        <v>(n): xe taxi</v>
      </c>
      <c r="G2331" s="6" t="s">
        <v>45877</v>
      </c>
      <c r="H2331" s="6" t="s">
        <v>45878</v>
      </c>
      <c r="I2331" s="7">
        <f t="shared" si="3"/>
        <v>0.705185145</v>
      </c>
    </row>
    <row r="2332">
      <c r="A2332" s="4">
        <v>2332.0</v>
      </c>
      <c r="B2332" s="3" t="s">
        <v>45879</v>
      </c>
      <c r="C2332" s="6" t="s">
        <v>74</v>
      </c>
      <c r="D2332" s="6" t="s">
        <v>6971</v>
      </c>
      <c r="E2332" s="3" t="str">
        <f t="shared" si="1"/>
        <v>mission&lt;br&gt;&lt;div class="audio"&gt;[sound:mission.mp3]&lt;/div&gt;</v>
      </c>
      <c r="F2332" s="3" t="str">
        <f t="shared" si="2"/>
        <v>(n): sứ mệnh</v>
      </c>
      <c r="G2332" s="6" t="s">
        <v>45880</v>
      </c>
      <c r="H2332" s="6" t="s">
        <v>45881</v>
      </c>
      <c r="I2332" s="7">
        <f t="shared" si="3"/>
        <v>0.6797673229</v>
      </c>
    </row>
    <row r="2333">
      <c r="A2333" s="4">
        <v>2333.0</v>
      </c>
      <c r="B2333" s="3" t="s">
        <v>45882</v>
      </c>
      <c r="C2333" s="6" t="s">
        <v>11</v>
      </c>
      <c r="D2333" s="6" t="s">
        <v>16866</v>
      </c>
      <c r="E2333" s="3" t="str">
        <f t="shared" si="1"/>
        <v>collective&lt;br&gt;&lt;div class="audio"&gt;[sound:collective.mp3]&lt;/div&gt;</v>
      </c>
      <c r="F2333" s="3" t="str">
        <f t="shared" si="2"/>
        <v>(adj): tập thể</v>
      </c>
      <c r="G2333" s="6" t="s">
        <v>45883</v>
      </c>
      <c r="H2333" s="6" t="s">
        <v>45884</v>
      </c>
      <c r="I2333" s="7">
        <f t="shared" si="3"/>
        <v>0.3783139666</v>
      </c>
    </row>
    <row r="2334">
      <c r="A2334" s="4">
        <v>2334.0</v>
      </c>
      <c r="B2334" s="3" t="s">
        <v>45885</v>
      </c>
      <c r="C2334" s="6" t="s">
        <v>85</v>
      </c>
      <c r="D2334" s="6" t="s">
        <v>4022</v>
      </c>
      <c r="E2334" s="3" t="str">
        <f t="shared" si="1"/>
        <v>mainly&lt;br&gt;&lt;div class="audio"&gt;[sound:mainly.mp3]&lt;/div&gt;</v>
      </c>
      <c r="F2334" s="3" t="str">
        <f t="shared" si="2"/>
        <v>(adv): chủ yếu</v>
      </c>
      <c r="G2334" s="6" t="s">
        <v>45886</v>
      </c>
      <c r="H2334" s="6" t="s">
        <v>45887</v>
      </c>
      <c r="I2334" s="7">
        <f t="shared" si="3"/>
        <v>0.7658432013</v>
      </c>
    </row>
    <row r="2335">
      <c r="A2335" s="4">
        <v>2335.0</v>
      </c>
      <c r="B2335" s="3" t="s">
        <v>45888</v>
      </c>
      <c r="C2335" s="6" t="s">
        <v>74</v>
      </c>
      <c r="D2335" s="6" t="s">
        <v>45889</v>
      </c>
      <c r="E2335" s="3" t="str">
        <f t="shared" si="1"/>
        <v>plate&lt;br&gt;&lt;div class="audio"&gt;[sound:plate.mp3]&lt;/div&gt;</v>
      </c>
      <c r="F2335" s="3" t="str">
        <f t="shared" si="2"/>
        <v>(n): cái đĩa</v>
      </c>
      <c r="G2335" s="6" t="s">
        <v>45890</v>
      </c>
      <c r="H2335" s="6" t="s">
        <v>45891</v>
      </c>
      <c r="I2335" s="7">
        <f t="shared" si="3"/>
        <v>0.0342435189</v>
      </c>
    </row>
    <row r="2336">
      <c r="A2336" s="4">
        <v>2336.0</v>
      </c>
      <c r="B2336" s="3" t="s">
        <v>45892</v>
      </c>
      <c r="C2336" s="6" t="s">
        <v>24</v>
      </c>
      <c r="D2336" s="8" t="s">
        <v>7556</v>
      </c>
      <c r="E2336" s="3" t="str">
        <f t="shared" si="1"/>
        <v>seize&lt;br&gt;&lt;div class="audio"&gt;[sound:seize.mp3]&lt;/div&gt;</v>
      </c>
      <c r="F2336" s="3" t="str">
        <f t="shared" si="2"/>
        <v>(v): nắm bắt</v>
      </c>
      <c r="G2336" s="8" t="s">
        <v>45893</v>
      </c>
      <c r="H2336" s="8" t="s">
        <v>45894</v>
      </c>
      <c r="I2336" s="7">
        <f t="shared" si="3"/>
        <v>0.3312913655</v>
      </c>
    </row>
    <row r="2337">
      <c r="A2337" s="4">
        <v>2337.0</v>
      </c>
      <c r="B2337" s="3" t="s">
        <v>45895</v>
      </c>
      <c r="C2337" s="6" t="s">
        <v>74</v>
      </c>
      <c r="D2337" s="6" t="s">
        <v>6076</v>
      </c>
      <c r="E2337" s="3" t="str">
        <f t="shared" si="1"/>
        <v>emotion&lt;br&gt;&lt;div class="audio"&gt;[sound:emotion.mp3]&lt;/div&gt;</v>
      </c>
      <c r="F2337" s="3" t="str">
        <f t="shared" si="2"/>
        <v>(n): cảm xúc</v>
      </c>
      <c r="G2337" s="6" t="s">
        <v>45896</v>
      </c>
      <c r="H2337" s="6" t="s">
        <v>45897</v>
      </c>
      <c r="I2337" s="7">
        <f t="shared" si="3"/>
        <v>0.9886344904</v>
      </c>
    </row>
    <row r="2338">
      <c r="A2338" s="4">
        <v>2338.0</v>
      </c>
      <c r="B2338" s="3" t="s">
        <v>45898</v>
      </c>
      <c r="C2338" s="6" t="s">
        <v>11</v>
      </c>
      <c r="D2338" s="6" t="s">
        <v>4725</v>
      </c>
      <c r="E2338" s="3" t="str">
        <f t="shared" si="1"/>
        <v>mobile&lt;br&gt;&lt;div class="audio"&gt;[sound:mobile.mp3]&lt;/div&gt;</v>
      </c>
      <c r="F2338" s="3" t="str">
        <f t="shared" si="2"/>
        <v>(adj): di động</v>
      </c>
      <c r="G2338" s="6" t="s">
        <v>45899</v>
      </c>
      <c r="H2338" s="6" t="s">
        <v>45900</v>
      </c>
      <c r="I2338" s="7">
        <f t="shared" si="3"/>
        <v>0.9147135531</v>
      </c>
    </row>
    <row r="2339">
      <c r="A2339" s="4">
        <v>2339.0</v>
      </c>
      <c r="B2339" s="3" t="s">
        <v>45901</v>
      </c>
      <c r="C2339" s="6" t="s">
        <v>74</v>
      </c>
      <c r="D2339" s="8" t="s">
        <v>45902</v>
      </c>
      <c r="E2339" s="3" t="str">
        <f t="shared" si="1"/>
        <v>shower&lt;br&gt;&lt;div class="audio"&gt;[sound:shower.mp3]&lt;/div&gt;</v>
      </c>
      <c r="F2339" s="3" t="str">
        <f t="shared" si="2"/>
        <v>(n): vòi sen</v>
      </c>
      <c r="G2339" s="8" t="s">
        <v>45903</v>
      </c>
      <c r="H2339" s="8" t="s">
        <v>45904</v>
      </c>
      <c r="I2339" s="7">
        <f t="shared" si="3"/>
        <v>0.5445146997</v>
      </c>
    </row>
    <row r="2340">
      <c r="A2340" s="4">
        <v>2340.0</v>
      </c>
      <c r="B2340" s="3" t="s">
        <v>45905</v>
      </c>
      <c r="C2340" s="6" t="s">
        <v>44</v>
      </c>
      <c r="D2340" s="6" t="s">
        <v>38478</v>
      </c>
      <c r="E2340" s="3" t="str">
        <f t="shared" si="1"/>
        <v>yours&lt;br&gt;&lt;div class="audio"&gt;[sound:yours.mp3]&lt;/div&gt;</v>
      </c>
      <c r="F2340" s="3" t="str">
        <f t="shared" si="2"/>
        <v>(pron): của bạn</v>
      </c>
      <c r="G2340" s="6" t="s">
        <v>45906</v>
      </c>
      <c r="H2340" s="6" t="s">
        <v>45907</v>
      </c>
      <c r="I2340" s="7">
        <f t="shared" si="3"/>
        <v>0.03146780347</v>
      </c>
    </row>
    <row r="2341">
      <c r="A2341" s="4">
        <v>2341.0</v>
      </c>
      <c r="B2341" s="3" t="s">
        <v>45908</v>
      </c>
      <c r="C2341" s="6" t="s">
        <v>74</v>
      </c>
      <c r="D2341" s="6" t="s">
        <v>14225</v>
      </c>
      <c r="E2341" s="3" t="str">
        <f t="shared" si="1"/>
        <v>castle&lt;br&gt;&lt;div class="audio"&gt;[sound:castle.mp3]&lt;/div&gt;</v>
      </c>
      <c r="F2341" s="3" t="str">
        <f t="shared" si="2"/>
        <v>(n): lâu đài</v>
      </c>
      <c r="G2341" s="6" t="s">
        <v>45909</v>
      </c>
      <c r="H2341" s="6" t="s">
        <v>45910</v>
      </c>
      <c r="I2341" s="7">
        <f t="shared" si="3"/>
        <v>0.8085181264</v>
      </c>
    </row>
    <row r="2342">
      <c r="A2342" s="4">
        <v>2342.0</v>
      </c>
      <c r="B2342" s="3" t="s">
        <v>45911</v>
      </c>
      <c r="C2342" s="6" t="s">
        <v>74</v>
      </c>
      <c r="D2342" s="6" t="s">
        <v>45912</v>
      </c>
      <c r="E2342" s="3" t="str">
        <f t="shared" si="1"/>
        <v>ceremony&lt;br&gt;&lt;div class="audio"&gt;[sound:ceremony.mp3]&lt;/div&gt;</v>
      </c>
      <c r="F2342" s="3" t="str">
        <f t="shared" si="2"/>
        <v>(n): buổi lễ</v>
      </c>
      <c r="G2342" s="6" t="s">
        <v>45913</v>
      </c>
      <c r="H2342" s="6" t="s">
        <v>45914</v>
      </c>
      <c r="I2342" s="7">
        <f t="shared" si="3"/>
        <v>0.02688542873</v>
      </c>
    </row>
    <row r="2343">
      <c r="A2343" s="4">
        <v>2343.0</v>
      </c>
      <c r="B2343" s="3" t="s">
        <v>45915</v>
      </c>
      <c r="C2343" s="6" t="s">
        <v>74</v>
      </c>
      <c r="D2343" s="6" t="s">
        <v>14918</v>
      </c>
      <c r="E2343" s="3" t="str">
        <f t="shared" si="1"/>
        <v>commander&lt;br&gt;&lt;div class="audio"&gt;[sound:commander.mp3]&lt;/div&gt;</v>
      </c>
      <c r="F2343" s="3" t="str">
        <f t="shared" si="2"/>
        <v>(n): chỉ huy</v>
      </c>
      <c r="G2343" s="6" t="s">
        <v>45916</v>
      </c>
      <c r="H2343" s="6" t="s">
        <v>45917</v>
      </c>
      <c r="I2343" s="7">
        <f t="shared" si="3"/>
        <v>0.01190699135</v>
      </c>
    </row>
    <row r="2344">
      <c r="A2344" s="4">
        <v>2344.0</v>
      </c>
      <c r="B2344" s="3" t="s">
        <v>45918</v>
      </c>
      <c r="C2344" s="6" t="s">
        <v>74</v>
      </c>
      <c r="D2344" s="6" t="s">
        <v>13198</v>
      </c>
      <c r="E2344" s="3" t="str">
        <f t="shared" si="1"/>
        <v>commissioner&lt;br&gt;&lt;div class="audio"&gt;[sound:commissioner.mp3]&lt;/div&gt;</v>
      </c>
      <c r="F2344" s="3" t="str">
        <f t="shared" si="2"/>
        <v>(n): ủy viên</v>
      </c>
      <c r="G2344" s="6" t="s">
        <v>45919</v>
      </c>
      <c r="H2344" s="6" t="s">
        <v>45920</v>
      </c>
      <c r="I2344" s="7">
        <f t="shared" si="3"/>
        <v>0.8952228874</v>
      </c>
    </row>
    <row r="2345">
      <c r="A2345" s="4">
        <v>2345.0</v>
      </c>
      <c r="B2345" s="3" t="s">
        <v>45921</v>
      </c>
      <c r="C2345" s="6" t="s">
        <v>74</v>
      </c>
      <c r="D2345" s="6" t="s">
        <v>18097</v>
      </c>
      <c r="E2345" s="3" t="str">
        <f t="shared" si="1"/>
        <v>entrance&lt;br&gt;&lt;div class="audio"&gt;[sound:entrance.mp3]&lt;/div&gt;</v>
      </c>
      <c r="F2345" s="3" t="str">
        <f t="shared" si="2"/>
        <v>(n): lối vào</v>
      </c>
      <c r="G2345" s="6" t="s">
        <v>45922</v>
      </c>
      <c r="H2345" s="6" t="s">
        <v>45923</v>
      </c>
      <c r="I2345" s="7">
        <f t="shared" si="3"/>
        <v>0.9842073869</v>
      </c>
    </row>
    <row r="2346">
      <c r="A2346" s="4">
        <v>2346.0</v>
      </c>
      <c r="B2346" s="3" t="s">
        <v>45924</v>
      </c>
      <c r="C2346" s="6" t="s">
        <v>74</v>
      </c>
      <c r="D2346" s="6" t="s">
        <v>18307</v>
      </c>
      <c r="E2346" s="3" t="str">
        <f t="shared" si="1"/>
        <v>pace&lt;br&gt;&lt;div class="audio"&gt;[sound:pace.mp3]&lt;/div&gt;</v>
      </c>
      <c r="F2346" s="3" t="str">
        <f t="shared" si="2"/>
        <v>(n): nhịp độ</v>
      </c>
      <c r="G2346" s="6" t="s">
        <v>45925</v>
      </c>
      <c r="H2346" s="6" t="s">
        <v>45926</v>
      </c>
      <c r="I2346" s="7">
        <f t="shared" si="3"/>
        <v>0.03195930571</v>
      </c>
    </row>
    <row r="2347">
      <c r="A2347" s="4">
        <v>2347.0</v>
      </c>
      <c r="B2347" s="3" t="s">
        <v>45927</v>
      </c>
      <c r="C2347" s="6" t="s">
        <v>11</v>
      </c>
      <c r="D2347" s="6" t="s">
        <v>45928</v>
      </c>
      <c r="E2347" s="3" t="str">
        <f t="shared" si="1"/>
        <v>fixed&lt;br&gt;&lt;div class="audio"&gt;[sound:fixed.mp3]&lt;/div&gt;</v>
      </c>
      <c r="F2347" s="3" t="str">
        <f t="shared" si="2"/>
        <v>(adj): cố định</v>
      </c>
      <c r="G2347" s="6" t="s">
        <v>45929</v>
      </c>
      <c r="H2347" s="6" t="s">
        <v>45930</v>
      </c>
      <c r="I2347" s="7">
        <f t="shared" si="3"/>
        <v>0.9617006433</v>
      </c>
    </row>
    <row r="2348">
      <c r="A2348" s="4">
        <v>2348.0</v>
      </c>
      <c r="B2348" s="3" t="s">
        <v>45931</v>
      </c>
      <c r="C2348" s="6" t="s">
        <v>11</v>
      </c>
      <c r="D2348" s="8" t="s">
        <v>3010</v>
      </c>
      <c r="E2348" s="3" t="str">
        <f t="shared" si="1"/>
        <v>stable&lt;br&gt;&lt;div class="audio"&gt;[sound:stable.mp3]&lt;/div&gt;</v>
      </c>
      <c r="F2348" s="3" t="str">
        <f t="shared" si="2"/>
        <v>(adj): ổn định</v>
      </c>
      <c r="G2348" s="8" t="s">
        <v>45932</v>
      </c>
      <c r="H2348" s="8" t="s">
        <v>45933</v>
      </c>
      <c r="I2348" s="7">
        <f t="shared" si="3"/>
        <v>0.09605370197</v>
      </c>
    </row>
    <row r="2349">
      <c r="A2349" s="4">
        <v>2349.0</v>
      </c>
      <c r="B2349" s="3" t="s">
        <v>45934</v>
      </c>
      <c r="C2349" s="6" t="s">
        <v>74</v>
      </c>
      <c r="D2349" s="8" t="s">
        <v>45935</v>
      </c>
      <c r="E2349" s="3" t="str">
        <f t="shared" si="1"/>
        <v>shareholder&lt;br&gt;&lt;div class="audio"&gt;[sound:shareholder.mp3]&lt;/div&gt;</v>
      </c>
      <c r="F2349" s="3" t="str">
        <f t="shared" si="2"/>
        <v>(n): cổ đông</v>
      </c>
      <c r="G2349" s="8" t="s">
        <v>45936</v>
      </c>
      <c r="H2349" s="8" t="s">
        <v>45937</v>
      </c>
      <c r="I2349" s="7">
        <f t="shared" si="3"/>
        <v>0.907203706</v>
      </c>
    </row>
    <row r="2350">
      <c r="A2350" s="4">
        <v>2350.0</v>
      </c>
      <c r="B2350" s="3" t="s">
        <v>45938</v>
      </c>
      <c r="C2350" s="6" t="s">
        <v>24</v>
      </c>
      <c r="D2350" s="6" t="s">
        <v>45939</v>
      </c>
      <c r="E2350" s="3" t="str">
        <f t="shared" si="1"/>
        <v>attract&lt;br&gt;&lt;div class="audio"&gt;[sound:attract.mp3]&lt;/div&gt;</v>
      </c>
      <c r="F2350" s="3" t="str">
        <f t="shared" si="2"/>
        <v>(v): thu hút</v>
      </c>
      <c r="G2350" s="6" t="s">
        <v>45940</v>
      </c>
      <c r="H2350" s="6" t="s">
        <v>45941</v>
      </c>
      <c r="I2350" s="7">
        <f t="shared" si="3"/>
        <v>0.6757017237</v>
      </c>
    </row>
    <row r="2351">
      <c r="A2351" s="4">
        <v>2351.0</v>
      </c>
      <c r="B2351" s="3" t="s">
        <v>45942</v>
      </c>
      <c r="C2351" s="6" t="s">
        <v>11</v>
      </c>
      <c r="D2351" s="6" t="s">
        <v>13372</v>
      </c>
      <c r="E2351" s="3" t="str">
        <f t="shared" si="1"/>
        <v>violent&lt;br&gt;&lt;div class="audio"&gt;[sound:violent.mp3]&lt;/div&gt;</v>
      </c>
      <c r="F2351" s="3" t="str">
        <f t="shared" si="2"/>
        <v>(adj): bạo lực</v>
      </c>
      <c r="G2351" s="6" t="s">
        <v>45943</v>
      </c>
      <c r="H2351" s="6" t="s">
        <v>44933</v>
      </c>
      <c r="I2351" s="7">
        <f t="shared" si="3"/>
        <v>0.1248596105</v>
      </c>
    </row>
    <row r="2352">
      <c r="A2352" s="4">
        <v>2352.0</v>
      </c>
      <c r="B2352" s="3" t="s">
        <v>45944</v>
      </c>
      <c r="C2352" s="6" t="s">
        <v>74</v>
      </c>
      <c r="D2352" s="6" t="s">
        <v>34984</v>
      </c>
      <c r="E2352" s="3" t="str">
        <f t="shared" si="1"/>
        <v>grain&lt;br&gt;&lt;div class="audio"&gt;[sound:grain.mp3]&lt;/div&gt;</v>
      </c>
      <c r="F2352" s="3" t="str">
        <f t="shared" si="2"/>
        <v>(n): ngũ cốc</v>
      </c>
      <c r="G2352" s="6" t="s">
        <v>45945</v>
      </c>
      <c r="H2352" s="6" t="s">
        <v>45946</v>
      </c>
      <c r="I2352" s="7">
        <f t="shared" si="3"/>
        <v>0.8746128519</v>
      </c>
    </row>
    <row r="2353">
      <c r="A2353" s="4">
        <v>2353.0</v>
      </c>
      <c r="B2353" s="3" t="s">
        <v>45947</v>
      </c>
      <c r="C2353" s="6" t="s">
        <v>11</v>
      </c>
      <c r="D2353" s="6" t="s">
        <v>45948</v>
      </c>
      <c r="E2353" s="3" t="str">
        <f t="shared" si="1"/>
        <v>innovative&lt;br&gt;&lt;div class="audio"&gt;[sound:innovative.mp3]&lt;/div&gt;</v>
      </c>
      <c r="F2353" s="3" t="str">
        <f t="shared" si="2"/>
        <v>(adj): đổi mới</v>
      </c>
      <c r="G2353" s="6" t="s">
        <v>45949</v>
      </c>
      <c r="H2353" s="6" t="s">
        <v>45950</v>
      </c>
      <c r="I2353" s="7">
        <f t="shared" si="3"/>
        <v>0.5304907328</v>
      </c>
    </row>
    <row r="2354">
      <c r="A2354" s="4">
        <v>2354.0</v>
      </c>
      <c r="B2354" s="3" t="s">
        <v>45951</v>
      </c>
      <c r="C2354" s="6" t="s">
        <v>24</v>
      </c>
      <c r="D2354" s="6" t="s">
        <v>45952</v>
      </c>
      <c r="E2354" s="3" t="str">
        <f t="shared" si="1"/>
        <v>hunt&lt;br&gt;&lt;div class="audio"&gt;[sound:hunt.mp3]&lt;/div&gt;</v>
      </c>
      <c r="F2354" s="3" t="str">
        <f t="shared" si="2"/>
        <v>(v): săn bắn</v>
      </c>
      <c r="G2354" s="6" t="s">
        <v>45953</v>
      </c>
      <c r="H2354" s="6" t="s">
        <v>45954</v>
      </c>
      <c r="I2354" s="7">
        <f t="shared" si="3"/>
        <v>0.192622616</v>
      </c>
    </row>
    <row r="2355">
      <c r="A2355" s="4">
        <v>2355.0</v>
      </c>
      <c r="B2355" s="3" t="s">
        <v>45955</v>
      </c>
      <c r="C2355" s="6" t="s">
        <v>85</v>
      </c>
      <c r="D2355" s="6" t="s">
        <v>45956</v>
      </c>
      <c r="E2355" s="3" t="str">
        <f t="shared" si="1"/>
        <v>apart&lt;br&gt;&lt;div class="audio"&gt;[sound:apart.mp3]&lt;/div&gt;</v>
      </c>
      <c r="F2355" s="3" t="str">
        <f t="shared" si="2"/>
        <v>(adv): xa nhau</v>
      </c>
      <c r="G2355" s="6" t="s">
        <v>45957</v>
      </c>
      <c r="H2355" s="6" t="s">
        <v>45958</v>
      </c>
      <c r="I2355" s="7">
        <f t="shared" si="3"/>
        <v>0.2940141207</v>
      </c>
    </row>
    <row r="2356">
      <c r="A2356" s="4">
        <v>2356.0</v>
      </c>
      <c r="B2356" s="3" t="s">
        <v>45959</v>
      </c>
      <c r="C2356" s="6" t="s">
        <v>74</v>
      </c>
      <c r="D2356" s="6" t="s">
        <v>43285</v>
      </c>
      <c r="E2356" s="3" t="str">
        <f t="shared" si="1"/>
        <v>photograph&lt;br&gt;&lt;div class="audio"&gt;[sound:photograph.mp3]&lt;/div&gt;</v>
      </c>
      <c r="F2356" s="3" t="str">
        <f t="shared" si="2"/>
        <v>(n): bức ảnh</v>
      </c>
      <c r="G2356" s="6" t="s">
        <v>45960</v>
      </c>
      <c r="H2356" s="6" t="s">
        <v>45961</v>
      </c>
      <c r="I2356" s="7">
        <f t="shared" si="3"/>
        <v>0.6694448409</v>
      </c>
    </row>
    <row r="2357">
      <c r="A2357" s="4">
        <v>2357.0</v>
      </c>
      <c r="B2357" s="3" t="s">
        <v>45962</v>
      </c>
      <c r="C2357" s="6" t="s">
        <v>74</v>
      </c>
      <c r="D2357" s="6" t="s">
        <v>45963</v>
      </c>
      <c r="E2357" s="3" t="str">
        <f t="shared" si="1"/>
        <v>neighbourhood&lt;br&gt;&lt;div class="audio"&gt;[sound:neighbourhood.mp3]&lt;/div&gt;</v>
      </c>
      <c r="F2357" s="3" t="str">
        <f t="shared" si="2"/>
        <v>(n): khu phố</v>
      </c>
      <c r="G2357" s="6" t="s">
        <v>45964</v>
      </c>
      <c r="H2357" s="6" t="s">
        <v>45965</v>
      </c>
      <c r="I2357" s="7">
        <f t="shared" si="3"/>
        <v>0.2181714571</v>
      </c>
    </row>
    <row r="2358">
      <c r="A2358" s="4">
        <v>2358.0</v>
      </c>
      <c r="B2358" s="3" t="s">
        <v>45966</v>
      </c>
      <c r="C2358" s="6" t="s">
        <v>11</v>
      </c>
      <c r="D2358" s="6" t="s">
        <v>21129</v>
      </c>
      <c r="E2358" s="3" t="str">
        <f t="shared" si="1"/>
        <v>valuable&lt;br&gt;&lt;div class="audio"&gt;[sound:valuable.mp3]&lt;/div&gt;</v>
      </c>
      <c r="F2358" s="3" t="str">
        <f t="shared" si="2"/>
        <v>(adj): quý giá</v>
      </c>
      <c r="G2358" s="6" t="s">
        <v>45967</v>
      </c>
      <c r="H2358" s="6" t="s">
        <v>45968</v>
      </c>
      <c r="I2358" s="7">
        <f t="shared" si="3"/>
        <v>0.5265614886</v>
      </c>
    </row>
    <row r="2359">
      <c r="A2359" s="4">
        <v>2359.0</v>
      </c>
      <c r="B2359" s="3" t="s">
        <v>45969</v>
      </c>
      <c r="C2359" s="6" t="s">
        <v>11</v>
      </c>
      <c r="D2359" s="6" t="s">
        <v>45970</v>
      </c>
      <c r="E2359" s="3" t="str">
        <f t="shared" si="1"/>
        <v>concrete&lt;br&gt;&lt;div class="audio"&gt;[sound:concrete.mp3]&lt;/div&gt;</v>
      </c>
      <c r="F2359" s="3" t="str">
        <f t="shared" si="2"/>
        <v>(adj): bê tông</v>
      </c>
      <c r="G2359" s="6" t="s">
        <v>45971</v>
      </c>
      <c r="H2359" s="6" t="s">
        <v>45972</v>
      </c>
      <c r="I2359" s="7">
        <f t="shared" si="3"/>
        <v>0.6232115385</v>
      </c>
    </row>
    <row r="2360">
      <c r="A2360" s="4">
        <v>2360.0</v>
      </c>
      <c r="B2360" s="3" t="s">
        <v>45973</v>
      </c>
      <c r="C2360" s="6" t="s">
        <v>74</v>
      </c>
      <c r="D2360" s="6" t="s">
        <v>18608</v>
      </c>
      <c r="E2360" s="3" t="str">
        <f t="shared" si="1"/>
        <v>vacation&lt;br&gt;&lt;div class="audio"&gt;[sound:vacation.mp3]&lt;/div&gt;</v>
      </c>
      <c r="F2360" s="3" t="str">
        <f t="shared" si="2"/>
        <v>(n): kỳ nghỉ</v>
      </c>
      <c r="G2360" s="6" t="s">
        <v>45974</v>
      </c>
      <c r="H2360" s="6" t="s">
        <v>45975</v>
      </c>
      <c r="I2360" s="7">
        <f t="shared" si="3"/>
        <v>0.8907782024</v>
      </c>
    </row>
    <row r="2361">
      <c r="A2361" s="4">
        <v>2361.0</v>
      </c>
      <c r="B2361" s="3" t="s">
        <v>45976</v>
      </c>
      <c r="C2361" s="6" t="s">
        <v>24</v>
      </c>
      <c r="D2361" s="8" t="s">
        <v>8182</v>
      </c>
      <c r="E2361" s="3" t="str">
        <f t="shared" si="1"/>
        <v>sustain&lt;br&gt;&lt;div class="audio"&gt;[sound:sustain.mp3]&lt;/div&gt;</v>
      </c>
      <c r="F2361" s="3" t="str">
        <f t="shared" si="2"/>
        <v>(v): duy trì</v>
      </c>
      <c r="G2361" s="8" t="s">
        <v>45977</v>
      </c>
      <c r="H2361" s="8" t="s">
        <v>45978</v>
      </c>
      <c r="I2361" s="7">
        <f t="shared" si="3"/>
        <v>0.3391211402</v>
      </c>
    </row>
    <row r="2362">
      <c r="A2362" s="4">
        <v>2362.0</v>
      </c>
      <c r="B2362" s="3" t="s">
        <v>45979</v>
      </c>
      <c r="C2362" s="6" t="s">
        <v>74</v>
      </c>
      <c r="D2362" s="6" t="s">
        <v>4869</v>
      </c>
      <c r="E2362" s="3" t="str">
        <f t="shared" si="1"/>
        <v>airport&lt;br&gt;&lt;div class="audio"&gt;[sound:airport.mp3]&lt;/div&gt;</v>
      </c>
      <c r="F2362" s="3" t="str">
        <f t="shared" si="2"/>
        <v>(n): sân bay</v>
      </c>
      <c r="G2362" s="6" t="s">
        <v>45980</v>
      </c>
      <c r="H2362" s="6" t="s">
        <v>45981</v>
      </c>
      <c r="I2362" s="7">
        <f t="shared" si="3"/>
        <v>0.3530972977</v>
      </c>
    </row>
    <row r="2363">
      <c r="A2363" s="4">
        <v>2363.0</v>
      </c>
      <c r="B2363" s="3" t="s">
        <v>45982</v>
      </c>
      <c r="C2363" s="6" t="s">
        <v>74</v>
      </c>
      <c r="D2363" s="6" t="s">
        <v>24222</v>
      </c>
      <c r="E2363" s="3" t="str">
        <f t="shared" si="1"/>
        <v>composition&lt;br&gt;&lt;div class="audio"&gt;[sound:composition.mp3]&lt;/div&gt;</v>
      </c>
      <c r="F2363" s="3" t="str">
        <f t="shared" si="2"/>
        <v>(n): bài văn</v>
      </c>
      <c r="G2363" s="6" t="s">
        <v>45983</v>
      </c>
      <c r="H2363" s="6" t="s">
        <v>45984</v>
      </c>
      <c r="I2363" s="7">
        <f t="shared" si="3"/>
        <v>0.7876041149</v>
      </c>
    </row>
    <row r="2364">
      <c r="A2364" s="4">
        <v>2364.0</v>
      </c>
      <c r="B2364" s="3" t="s">
        <v>45985</v>
      </c>
      <c r="C2364" s="6" t="s">
        <v>24</v>
      </c>
      <c r="D2364" s="6" t="s">
        <v>7224</v>
      </c>
      <c r="E2364" s="3" t="str">
        <f t="shared" si="1"/>
        <v>cancel&lt;br&gt;&lt;div class="audio"&gt;[sound:cancel.mp3]&lt;/div&gt;</v>
      </c>
      <c r="F2364" s="3" t="str">
        <f t="shared" si="2"/>
        <v>(v): hủy bỏ</v>
      </c>
      <c r="G2364" s="6" t="s">
        <v>45986</v>
      </c>
      <c r="H2364" s="6" t="s">
        <v>45987</v>
      </c>
      <c r="I2364" s="7">
        <f t="shared" si="3"/>
        <v>0.4256610173</v>
      </c>
    </row>
    <row r="2365">
      <c r="A2365" s="4">
        <v>2365.0</v>
      </c>
      <c r="B2365" s="3" t="s">
        <v>45988</v>
      </c>
      <c r="C2365" s="6" t="s">
        <v>74</v>
      </c>
      <c r="D2365" s="6" t="s">
        <v>30864</v>
      </c>
      <c r="E2365" s="3" t="str">
        <f t="shared" si="1"/>
        <v>carbon&lt;br&gt;&lt;div class="audio"&gt;[sound:carbon.mp3]&lt;/div&gt;</v>
      </c>
      <c r="F2365" s="3" t="str">
        <f t="shared" si="2"/>
        <v>(n): cacbon</v>
      </c>
      <c r="G2365" s="6" t="s">
        <v>45989</v>
      </c>
      <c r="H2365" s="6" t="s">
        <v>45990</v>
      </c>
      <c r="I2365" s="7">
        <f t="shared" si="3"/>
        <v>0.8904530043</v>
      </c>
    </row>
    <row r="2366">
      <c r="A2366" s="4">
        <v>2366.0</v>
      </c>
      <c r="B2366" s="3" t="s">
        <v>45991</v>
      </c>
      <c r="C2366" s="6" t="s">
        <v>74</v>
      </c>
      <c r="D2366" s="6" t="s">
        <v>31830</v>
      </c>
      <c r="E2366" s="3" t="str">
        <f t="shared" si="1"/>
        <v>mail&lt;br&gt;&lt;div class="audio"&gt;[sound:mail.mp3]&lt;/div&gt;</v>
      </c>
      <c r="F2366" s="3" t="str">
        <f t="shared" si="2"/>
        <v>(n): thư từ</v>
      </c>
      <c r="G2366" s="6" t="s">
        <v>45992</v>
      </c>
      <c r="H2366" s="6" t="s">
        <v>45993</v>
      </c>
      <c r="I2366" s="7">
        <f t="shared" si="3"/>
        <v>0.55310437</v>
      </c>
    </row>
    <row r="2367">
      <c r="A2367" s="4">
        <v>2367.0</v>
      </c>
      <c r="B2367" s="3" t="s">
        <v>45994</v>
      </c>
      <c r="C2367" s="6" t="s">
        <v>24</v>
      </c>
      <c r="D2367" s="6" t="s">
        <v>45995</v>
      </c>
      <c r="E2367" s="3" t="str">
        <f t="shared" si="1"/>
        <v>impose&lt;br&gt;&lt;div class="audio"&gt;[sound:impose.mp3]&lt;/div&gt;</v>
      </c>
      <c r="F2367" s="3" t="str">
        <f t="shared" si="2"/>
        <v>(v): áp đặt</v>
      </c>
      <c r="G2367" s="6" t="s">
        <v>45996</v>
      </c>
      <c r="H2367" s="6" t="s">
        <v>45997</v>
      </c>
      <c r="I2367" s="7">
        <f t="shared" si="3"/>
        <v>0.4475617758</v>
      </c>
    </row>
    <row r="2368">
      <c r="A2368" s="4">
        <v>2368.0</v>
      </c>
      <c r="B2368" s="3" t="s">
        <v>45998</v>
      </c>
      <c r="C2368" s="6" t="s">
        <v>24</v>
      </c>
      <c r="D2368" s="8" t="s">
        <v>45999</v>
      </c>
      <c r="E2368" s="3" t="str">
        <f t="shared" si="1"/>
        <v>steal&lt;br&gt;&lt;div class="audio"&gt;[sound:steal.mp3]&lt;/div&gt;</v>
      </c>
      <c r="F2368" s="3" t="str">
        <f t="shared" si="2"/>
        <v>(v): ăn cắp</v>
      </c>
      <c r="G2368" s="8" t="s">
        <v>46000</v>
      </c>
      <c r="H2368" s="8" t="s">
        <v>46001</v>
      </c>
      <c r="I2368" s="7">
        <f t="shared" si="3"/>
        <v>0.4363596457</v>
      </c>
    </row>
    <row r="2369">
      <c r="A2369" s="4">
        <v>2369.0</v>
      </c>
      <c r="B2369" s="3" t="s">
        <v>46002</v>
      </c>
      <c r="C2369" s="6" t="s">
        <v>11</v>
      </c>
      <c r="D2369" s="6" t="s">
        <v>46003</v>
      </c>
      <c r="E2369" s="3" t="str">
        <f t="shared" si="1"/>
        <v>innocent&lt;br&gt;&lt;div class="audio"&gt;[sound:innocent.mp3]&lt;/div&gt;</v>
      </c>
      <c r="F2369" s="3" t="str">
        <f t="shared" si="2"/>
        <v>(adj): vô tội</v>
      </c>
      <c r="G2369" s="6" t="s">
        <v>46004</v>
      </c>
      <c r="H2369" s="6" t="s">
        <v>46005</v>
      </c>
      <c r="I2369" s="7">
        <f t="shared" si="3"/>
        <v>0.6680391517</v>
      </c>
    </row>
    <row r="2370">
      <c r="A2370" s="4">
        <v>2370.0</v>
      </c>
      <c r="B2370" s="3" t="s">
        <v>46006</v>
      </c>
      <c r="C2370" s="6" t="s">
        <v>11</v>
      </c>
      <c r="D2370" s="6" t="s">
        <v>46007</v>
      </c>
      <c r="E2370" s="3" t="str">
        <f t="shared" si="1"/>
        <v>guilty&lt;br&gt;&lt;div class="audio"&gt;[sound:guilty.mp3]&lt;/div&gt;</v>
      </c>
      <c r="F2370" s="3" t="str">
        <f t="shared" si="2"/>
        <v>(adj): có tội</v>
      </c>
      <c r="G2370" s="6" t="s">
        <v>46008</v>
      </c>
      <c r="H2370" s="6" t="s">
        <v>46009</v>
      </c>
      <c r="I2370" s="7">
        <f t="shared" si="3"/>
        <v>0.5885347734</v>
      </c>
    </row>
    <row r="2371">
      <c r="A2371" s="4">
        <v>2371.0</v>
      </c>
      <c r="B2371" s="3" t="s">
        <v>46010</v>
      </c>
      <c r="C2371" s="6" t="s">
        <v>85</v>
      </c>
      <c r="D2371" s="6" t="s">
        <v>46011</v>
      </c>
      <c r="E2371" s="3" t="str">
        <f t="shared" si="1"/>
        <v>barely&lt;br&gt;&lt;div class="audio"&gt;[sound:barely.mp3]&lt;/div&gt;</v>
      </c>
      <c r="F2371" s="3" t="str">
        <f t="shared" si="2"/>
        <v>(adv): vừa đủ</v>
      </c>
      <c r="G2371" s="6" t="s">
        <v>46012</v>
      </c>
      <c r="H2371" s="6" t="s">
        <v>46013</v>
      </c>
      <c r="I2371" s="7">
        <f t="shared" si="3"/>
        <v>0.1462692492</v>
      </c>
    </row>
    <row r="2372">
      <c r="A2372" s="4">
        <v>2372.0</v>
      </c>
      <c r="B2372" s="3" t="s">
        <v>46014</v>
      </c>
      <c r="C2372" s="6" t="s">
        <v>11</v>
      </c>
      <c r="D2372" s="8" t="s">
        <v>46015</v>
      </c>
      <c r="E2372" s="3" t="str">
        <f t="shared" si="1"/>
        <v>shocked&lt;br&gt;&lt;div class="audio"&gt;[sound:shocked.mp3]&lt;/div&gt;</v>
      </c>
      <c r="F2372" s="3" t="str">
        <f t="shared" si="2"/>
        <v>(adj): bị sốc</v>
      </c>
      <c r="G2372" s="8" t="s">
        <v>46016</v>
      </c>
      <c r="H2372" s="8" t="s">
        <v>46017</v>
      </c>
      <c r="I2372" s="7">
        <f t="shared" si="3"/>
        <v>0.3938242007</v>
      </c>
    </row>
    <row r="2373">
      <c r="A2373" s="4">
        <v>2373.0</v>
      </c>
      <c r="B2373" s="3" t="s">
        <v>46018</v>
      </c>
      <c r="C2373" s="6" t="s">
        <v>74</v>
      </c>
      <c r="D2373" s="6" t="s">
        <v>8855</v>
      </c>
      <c r="E2373" s="3" t="str">
        <f t="shared" si="1"/>
        <v>map&lt;br&gt;&lt;div class="audio"&gt;[sound:map.mp3]&lt;/div&gt;</v>
      </c>
      <c r="F2373" s="3" t="str">
        <f t="shared" si="2"/>
        <v>(n): bản đồ</v>
      </c>
      <c r="G2373" s="6" t="s">
        <v>46019</v>
      </c>
      <c r="H2373" s="6" t="s">
        <v>46020</v>
      </c>
      <c r="I2373" s="7">
        <f t="shared" si="3"/>
        <v>0.8890244778</v>
      </c>
    </row>
    <row r="2374">
      <c r="A2374" s="4">
        <v>2374.0</v>
      </c>
      <c r="B2374" s="3" t="s">
        <v>46021</v>
      </c>
      <c r="C2374" s="6" t="s">
        <v>74</v>
      </c>
      <c r="D2374" s="6" t="s">
        <v>34593</v>
      </c>
      <c r="E2374" s="3" t="str">
        <f t="shared" si="1"/>
        <v>assistant&lt;br&gt;&lt;div class="audio"&gt;[sound:assistant.mp3]&lt;/div&gt;</v>
      </c>
      <c r="F2374" s="3" t="str">
        <f t="shared" si="2"/>
        <v>(n): trợ lý</v>
      </c>
      <c r="G2374" s="6" t="s">
        <v>46022</v>
      </c>
      <c r="H2374" s="6" t="s">
        <v>46023</v>
      </c>
      <c r="I2374" s="7">
        <f t="shared" si="3"/>
        <v>0.4395153918</v>
      </c>
    </row>
    <row r="2375">
      <c r="A2375" s="4">
        <v>2375.0</v>
      </c>
      <c r="B2375" s="3" t="s">
        <v>46024</v>
      </c>
      <c r="C2375" s="6" t="s">
        <v>74</v>
      </c>
      <c r="D2375" s="6" t="s">
        <v>46025</v>
      </c>
      <c r="E2375" s="3" t="str">
        <f t="shared" si="1"/>
        <v>indicator&lt;br&gt;&lt;div class="audio"&gt;[sound:indicator.mp3]&lt;/div&gt;</v>
      </c>
      <c r="F2375" s="3" t="str">
        <f t="shared" si="2"/>
        <v>(n): chỉ số</v>
      </c>
      <c r="G2375" s="6" t="s">
        <v>46026</v>
      </c>
      <c r="H2375" s="6" t="s">
        <v>46027</v>
      </c>
      <c r="I2375" s="7">
        <f t="shared" si="3"/>
        <v>0.1106861699</v>
      </c>
    </row>
    <row r="2376">
      <c r="A2376" s="4">
        <v>2376.0</v>
      </c>
      <c r="B2376" s="3" t="s">
        <v>46028</v>
      </c>
      <c r="C2376" s="6" t="s">
        <v>11</v>
      </c>
      <c r="D2376" s="6" t="s">
        <v>46029</v>
      </c>
      <c r="E2376" s="3" t="str">
        <f t="shared" si="1"/>
        <v>harmful&lt;br&gt;&lt;div class="audio"&gt;[sound:harmful.mp3]&lt;/div&gt;</v>
      </c>
      <c r="F2376" s="3" t="str">
        <f t="shared" si="2"/>
        <v>(adj): có hại</v>
      </c>
      <c r="G2376" s="6" t="s">
        <v>46030</v>
      </c>
      <c r="H2376" s="6" t="s">
        <v>45199</v>
      </c>
      <c r="I2376" s="7">
        <f t="shared" si="3"/>
        <v>0.5741558964</v>
      </c>
    </row>
    <row r="2377">
      <c r="A2377" s="4">
        <v>2377.0</v>
      </c>
      <c r="B2377" s="3" t="s">
        <v>46031</v>
      </c>
      <c r="C2377" s="6" t="s">
        <v>44</v>
      </c>
      <c r="D2377" s="6" t="s">
        <v>38237</v>
      </c>
      <c r="E2377" s="3" t="str">
        <f t="shared" si="1"/>
        <v>theirs&lt;br&gt;&lt;div class="audio"&gt;[sound:theirs.mp3]&lt;/div&gt;</v>
      </c>
      <c r="F2377" s="3" t="str">
        <f t="shared" si="2"/>
        <v>(pron): của họ</v>
      </c>
      <c r="G2377" s="6" t="s">
        <v>46032</v>
      </c>
      <c r="H2377" s="6" t="s">
        <v>46033</v>
      </c>
      <c r="I2377" s="7">
        <f t="shared" si="3"/>
        <v>0.7152165776</v>
      </c>
    </row>
    <row r="2378">
      <c r="A2378" s="4">
        <v>2378.0</v>
      </c>
      <c r="B2378" s="3" t="s">
        <v>46034</v>
      </c>
      <c r="C2378" s="6" t="s">
        <v>11</v>
      </c>
      <c r="D2378" s="8" t="s">
        <v>13186</v>
      </c>
      <c r="E2378" s="3" t="str">
        <f t="shared" si="1"/>
        <v>sensible&lt;br&gt;&lt;div class="audio"&gt;[sound:sensible.mp3]&lt;/div&gt;</v>
      </c>
      <c r="F2378" s="3" t="str">
        <f t="shared" si="2"/>
        <v>(adj): hợp lý</v>
      </c>
      <c r="G2378" s="8" t="s">
        <v>46035</v>
      </c>
      <c r="H2378" s="8" t="s">
        <v>46036</v>
      </c>
      <c r="I2378" s="7">
        <f t="shared" si="3"/>
        <v>0.3761053298</v>
      </c>
    </row>
    <row r="2379">
      <c r="A2379" s="4">
        <v>2379.0</v>
      </c>
      <c r="B2379" s="3" t="s">
        <v>46037</v>
      </c>
      <c r="C2379" s="6" t="s">
        <v>11</v>
      </c>
      <c r="D2379" s="6" t="s">
        <v>15129</v>
      </c>
      <c r="E2379" s="3" t="str">
        <f t="shared" si="1"/>
        <v>intense&lt;br&gt;&lt;div class="audio"&gt;[sound:intense.mp3]&lt;/div&gt;</v>
      </c>
      <c r="F2379" s="3" t="str">
        <f t="shared" si="2"/>
        <v>(adj): dữ dội</v>
      </c>
      <c r="G2379" s="6" t="s">
        <v>46038</v>
      </c>
      <c r="H2379" s="6" t="s">
        <v>46039</v>
      </c>
      <c r="I2379" s="7">
        <f t="shared" si="3"/>
        <v>0.4228200419</v>
      </c>
    </row>
    <row r="2380">
      <c r="A2380" s="4">
        <v>2380.0</v>
      </c>
      <c r="B2380" s="3" t="s">
        <v>46040</v>
      </c>
      <c r="C2380" s="6" t="s">
        <v>74</v>
      </c>
      <c r="D2380" s="6" t="s">
        <v>23095</v>
      </c>
      <c r="E2380" s="3" t="str">
        <f t="shared" si="1"/>
        <v>headquarters&lt;br&gt;&lt;div class="audio"&gt;[sound:headquarters.mp3]&lt;/div&gt;</v>
      </c>
      <c r="F2380" s="3" t="str">
        <f t="shared" si="2"/>
        <v>(n): trụ sở</v>
      </c>
      <c r="G2380" s="6" t="s">
        <v>46041</v>
      </c>
      <c r="H2380" s="6" t="s">
        <v>46042</v>
      </c>
      <c r="I2380" s="7">
        <f t="shared" si="3"/>
        <v>0.4383954574</v>
      </c>
    </row>
    <row r="2381">
      <c r="A2381" s="4">
        <v>2381.0</v>
      </c>
      <c r="B2381" s="3" t="s">
        <v>46043</v>
      </c>
      <c r="C2381" s="6" t="s">
        <v>24</v>
      </c>
      <c r="D2381" s="6" t="s">
        <v>46044</v>
      </c>
      <c r="E2381" s="3" t="str">
        <f t="shared" si="1"/>
        <v>collapse&lt;br&gt;&lt;div class="audio"&gt;[sound:collapse.mp3]&lt;/div&gt;</v>
      </c>
      <c r="F2381" s="3" t="str">
        <f t="shared" si="2"/>
        <v>(v): đổ sụp</v>
      </c>
      <c r="G2381" s="6" t="s">
        <v>46045</v>
      </c>
      <c r="H2381" s="6" t="s">
        <v>46046</v>
      </c>
      <c r="I2381" s="7">
        <f t="shared" si="3"/>
        <v>0.8264303126</v>
      </c>
    </row>
    <row r="2382">
      <c r="A2382" s="4">
        <v>2382.0</v>
      </c>
      <c r="B2382" s="3" t="s">
        <v>30915</v>
      </c>
      <c r="C2382" s="6" t="s">
        <v>74</v>
      </c>
      <c r="D2382" s="6" t="s">
        <v>46047</v>
      </c>
      <c r="E2382" s="3" t="str">
        <f t="shared" si="1"/>
        <v>virus&lt;br&gt;&lt;div class="audio"&gt;[sound:virus.mp3]&lt;/div&gt;</v>
      </c>
      <c r="F2382" s="3" t="str">
        <f t="shared" si="2"/>
        <v>(n): vi-rút</v>
      </c>
      <c r="G2382" s="6" t="s">
        <v>46048</v>
      </c>
      <c r="H2382" s="6" t="s">
        <v>46049</v>
      </c>
      <c r="I2382" s="7">
        <f t="shared" si="3"/>
        <v>0.8585677661</v>
      </c>
    </row>
    <row r="2383">
      <c r="A2383" s="4">
        <v>2383.0</v>
      </c>
      <c r="B2383" s="3" t="s">
        <v>46050</v>
      </c>
      <c r="C2383" s="6" t="s">
        <v>11</v>
      </c>
      <c r="D2383" s="6" t="s">
        <v>46051</v>
      </c>
      <c r="E2383" s="3" t="str">
        <f t="shared" si="1"/>
        <v>ancient&lt;br&gt;&lt;div class="audio"&gt;[sound:ancient.mp3]&lt;/div&gt;</v>
      </c>
      <c r="F2383" s="3" t="str">
        <f t="shared" si="2"/>
        <v>(adj): cổ xưa</v>
      </c>
      <c r="G2383" s="6" t="s">
        <v>46052</v>
      </c>
      <c r="H2383" s="6" t="s">
        <v>46053</v>
      </c>
      <c r="I2383" s="7">
        <f t="shared" si="3"/>
        <v>0.6815815425</v>
      </c>
    </row>
    <row r="2384">
      <c r="A2384" s="4">
        <v>2384.0</v>
      </c>
      <c r="B2384" s="3" t="s">
        <v>46054</v>
      </c>
      <c r="C2384" s="6" t="s">
        <v>85</v>
      </c>
      <c r="D2384" s="6" t="s">
        <v>23519</v>
      </c>
      <c r="E2384" s="3" t="str">
        <f t="shared" si="1"/>
        <v>happily&lt;br&gt;&lt;div class="audio"&gt;[sound:happily.mp3]&lt;/div&gt;</v>
      </c>
      <c r="F2384" s="3" t="str">
        <f t="shared" si="2"/>
        <v>(adv): vui vẻ</v>
      </c>
      <c r="G2384" s="6" t="s">
        <v>46055</v>
      </c>
      <c r="H2384" s="6" t="s">
        <v>46056</v>
      </c>
      <c r="I2384" s="7">
        <f t="shared" si="3"/>
        <v>0.4145836535</v>
      </c>
    </row>
    <row r="2385">
      <c r="A2385" s="4">
        <v>2385.0</v>
      </c>
      <c r="B2385" s="3" t="s">
        <v>46057</v>
      </c>
      <c r="C2385" s="6" t="s">
        <v>85</v>
      </c>
      <c r="D2385" s="8" t="s">
        <v>956</v>
      </c>
      <c r="E2385" s="3" t="str">
        <f t="shared" si="1"/>
        <v>subsequently&lt;br&gt;&lt;div class="audio"&gt;[sound:subsequently.mp3]&lt;/div&gt;</v>
      </c>
      <c r="F2385" s="3" t="str">
        <f t="shared" si="2"/>
        <v>(adv): sau đó</v>
      </c>
      <c r="G2385" s="8" t="s">
        <v>46058</v>
      </c>
      <c r="H2385" s="8" t="s">
        <v>46059</v>
      </c>
      <c r="I2385" s="7">
        <f t="shared" si="3"/>
        <v>0.04931004666</v>
      </c>
    </row>
    <row r="2386">
      <c r="A2386" s="4">
        <v>2386.0</v>
      </c>
      <c r="B2386" s="3" t="s">
        <v>46060</v>
      </c>
      <c r="C2386" s="6" t="s">
        <v>74</v>
      </c>
      <c r="D2386" s="6" t="s">
        <v>24682</v>
      </c>
      <c r="E2386" s="3" t="str">
        <f t="shared" si="1"/>
        <v>medicine&lt;br&gt;&lt;div class="audio"&gt;[sound:medicine.mp3]&lt;/div&gt;</v>
      </c>
      <c r="F2386" s="3" t="str">
        <f t="shared" si="2"/>
        <v>(n): y học</v>
      </c>
      <c r="G2386" s="6" t="s">
        <v>46061</v>
      </c>
      <c r="H2386" s="6" t="s">
        <v>46062</v>
      </c>
      <c r="I2386" s="7">
        <f t="shared" si="3"/>
        <v>0.2867676664</v>
      </c>
    </row>
    <row r="2387">
      <c r="A2387" s="4">
        <v>2387.0</v>
      </c>
      <c r="B2387" s="3" t="s">
        <v>46063</v>
      </c>
      <c r="C2387" s="6" t="s">
        <v>74</v>
      </c>
      <c r="D2387" s="6" t="s">
        <v>22872</v>
      </c>
      <c r="E2387" s="3" t="str">
        <f t="shared" si="1"/>
        <v>frame&lt;br&gt;&lt;div class="audio"&gt;[sound:frame.mp3]&lt;/div&gt;</v>
      </c>
      <c r="F2387" s="3" t="str">
        <f t="shared" si="2"/>
        <v>(n): khung</v>
      </c>
      <c r="G2387" s="6" t="s">
        <v>46064</v>
      </c>
      <c r="H2387" s="6" t="s">
        <v>46065</v>
      </c>
      <c r="I2387" s="7">
        <f t="shared" si="3"/>
        <v>0.5850625679</v>
      </c>
    </row>
    <row r="2388">
      <c r="A2388" s="4">
        <v>2388.0</v>
      </c>
      <c r="B2388" s="3" t="s">
        <v>46066</v>
      </c>
      <c r="C2388" s="6" t="s">
        <v>24</v>
      </c>
      <c r="D2388" s="6" t="s">
        <v>15257</v>
      </c>
      <c r="E2388" s="3" t="str">
        <f t="shared" si="1"/>
        <v>abandon&lt;br&gt;&lt;div class="audio"&gt;[sound:abandon.mp3]&lt;/div&gt;</v>
      </c>
      <c r="F2388" s="3" t="str">
        <f t="shared" si="2"/>
        <v>(v): từ bỏ</v>
      </c>
      <c r="G2388" s="6" t="s">
        <v>46067</v>
      </c>
      <c r="H2388" s="6" t="s">
        <v>46068</v>
      </c>
      <c r="I2388" s="7">
        <f t="shared" si="3"/>
        <v>0.605928196</v>
      </c>
    </row>
    <row r="2389">
      <c r="A2389" s="4">
        <v>2389.0</v>
      </c>
      <c r="B2389" s="3" t="s">
        <v>46069</v>
      </c>
      <c r="C2389" s="6" t="s">
        <v>74</v>
      </c>
      <c r="D2389" s="6" t="s">
        <v>46070</v>
      </c>
      <c r="E2389" s="3" t="str">
        <f t="shared" si="1"/>
        <v>chamber&lt;br&gt;&lt;div class="audio"&gt;[sound:chamber.mp3]&lt;/div&gt;</v>
      </c>
      <c r="F2389" s="3" t="str">
        <f t="shared" si="2"/>
        <v>(n): buồng</v>
      </c>
      <c r="G2389" s="6" t="s">
        <v>46071</v>
      </c>
      <c r="H2389" s="6" t="s">
        <v>46072</v>
      </c>
      <c r="I2389" s="7">
        <f t="shared" si="3"/>
        <v>0.05984939073</v>
      </c>
    </row>
    <row r="2390">
      <c r="A2390" s="4">
        <v>2390.0</v>
      </c>
      <c r="B2390" s="3" t="s">
        <v>46073</v>
      </c>
      <c r="C2390" s="6" t="s">
        <v>74</v>
      </c>
      <c r="D2390" s="6" t="s">
        <v>9132</v>
      </c>
      <c r="E2390" s="3" t="str">
        <f t="shared" si="1"/>
        <v>meat&lt;br&gt;&lt;div class="audio"&gt;[sound:meat.mp3]&lt;/div&gt;</v>
      </c>
      <c r="F2390" s="3" t="str">
        <f t="shared" si="2"/>
        <v>(n): thịt</v>
      </c>
      <c r="G2390" s="6" t="s">
        <v>46074</v>
      </c>
      <c r="H2390" s="6" t="s">
        <v>46075</v>
      </c>
      <c r="I2390" s="7">
        <f t="shared" si="3"/>
        <v>0.1523145841</v>
      </c>
    </row>
    <row r="2391">
      <c r="A2391" s="4">
        <v>2391.0</v>
      </c>
      <c r="B2391" s="3" t="s">
        <v>46076</v>
      </c>
      <c r="C2391" s="6" t="s">
        <v>74</v>
      </c>
      <c r="D2391" s="6" t="s">
        <v>16543</v>
      </c>
      <c r="E2391" s="3" t="str">
        <f t="shared" si="1"/>
        <v>tooth&lt;br&gt;&lt;div class="audio"&gt;[sound:tooth.mp3]&lt;/div&gt;</v>
      </c>
      <c r="F2391" s="3" t="str">
        <f t="shared" si="2"/>
        <v>(n): răng</v>
      </c>
      <c r="G2391" s="6" t="s">
        <v>46077</v>
      </c>
      <c r="H2391" s="6" t="s">
        <v>46078</v>
      </c>
      <c r="I2391" s="7">
        <f t="shared" si="3"/>
        <v>0.8288969827</v>
      </c>
    </row>
    <row r="2392">
      <c r="A2392" s="4">
        <v>2392.0</v>
      </c>
      <c r="B2392" s="3" t="s">
        <v>46079</v>
      </c>
      <c r="C2392" s="6" t="s">
        <v>74</v>
      </c>
      <c r="D2392" s="6" t="s">
        <v>46080</v>
      </c>
      <c r="E2392" s="3" t="str">
        <f t="shared" si="1"/>
        <v>pound&lt;br&gt;&lt;div class="audio"&gt;[sound:pound.mp3]&lt;/div&gt;</v>
      </c>
      <c r="F2392" s="3" t="str">
        <f t="shared" si="2"/>
        <v>(n): bảng</v>
      </c>
      <c r="G2392" s="6" t="s">
        <v>46081</v>
      </c>
      <c r="H2392" s="6" t="s">
        <v>46082</v>
      </c>
      <c r="I2392" s="7">
        <f t="shared" si="3"/>
        <v>0.8600442936</v>
      </c>
    </row>
    <row r="2393">
      <c r="A2393" s="4">
        <v>2393.0</v>
      </c>
      <c r="B2393" s="3" t="s">
        <v>46083</v>
      </c>
      <c r="C2393" s="6" t="s">
        <v>24</v>
      </c>
      <c r="D2393" s="6" t="s">
        <v>46084</v>
      </c>
      <c r="E2393" s="3" t="str">
        <f t="shared" si="1"/>
        <v>lock&lt;br&gt;&lt;div class="audio"&gt;[sound:lock.mp3]&lt;/div&gt;</v>
      </c>
      <c r="F2393" s="3" t="str">
        <f t="shared" si="2"/>
        <v>(v): khóa</v>
      </c>
      <c r="G2393" s="6" t="s">
        <v>46085</v>
      </c>
      <c r="H2393" s="6" t="s">
        <v>46086</v>
      </c>
      <c r="I2393" s="7">
        <f t="shared" si="3"/>
        <v>0.3467720709</v>
      </c>
    </row>
    <row r="2394">
      <c r="A2394" s="4">
        <v>2394.0</v>
      </c>
      <c r="B2394" s="3" t="s">
        <v>46087</v>
      </c>
      <c r="C2394" s="6" t="s">
        <v>74</v>
      </c>
      <c r="D2394" s="6" t="s">
        <v>12127</v>
      </c>
      <c r="E2394" s="3" t="str">
        <f t="shared" si="1"/>
        <v>calendar&lt;br&gt;&lt;div class="audio"&gt;[sound:calendar.mp3]&lt;/div&gt;</v>
      </c>
      <c r="F2394" s="3" t="str">
        <f t="shared" si="2"/>
        <v>(n): lịch</v>
      </c>
      <c r="G2394" s="6" t="s">
        <v>46088</v>
      </c>
      <c r="H2394" s="6" t="s">
        <v>46089</v>
      </c>
      <c r="I2394" s="7">
        <f t="shared" si="3"/>
        <v>0.3863281328</v>
      </c>
    </row>
    <row r="2395">
      <c r="A2395" s="4">
        <v>2395.0</v>
      </c>
      <c r="B2395" s="3" t="s">
        <v>46090</v>
      </c>
      <c r="C2395" s="6" t="s">
        <v>24</v>
      </c>
      <c r="D2395" s="6" t="s">
        <v>24948</v>
      </c>
      <c r="E2395" s="3" t="str">
        <f t="shared" si="1"/>
        <v>mix&lt;br&gt;&lt;div class="audio"&gt;[sound:mix.mp3]&lt;/div&gt;</v>
      </c>
      <c r="F2395" s="3" t="str">
        <f t="shared" si="2"/>
        <v>(v): trộn</v>
      </c>
      <c r="G2395" s="6" t="s">
        <v>46091</v>
      </c>
      <c r="H2395" s="6" t="s">
        <v>46092</v>
      </c>
      <c r="I2395" s="7">
        <f t="shared" si="3"/>
        <v>0.3384352009</v>
      </c>
    </row>
    <row r="2396">
      <c r="A2396" s="4">
        <v>2396.0</v>
      </c>
      <c r="B2396" s="3" t="s">
        <v>46093</v>
      </c>
      <c r="C2396" s="6" t="s">
        <v>74</v>
      </c>
      <c r="D2396" s="6" t="s">
        <v>15435</v>
      </c>
      <c r="E2396" s="3" t="str">
        <f t="shared" si="1"/>
        <v>gate&lt;br&gt;&lt;div class="audio"&gt;[sound:gate.mp3]&lt;/div&gt;</v>
      </c>
      <c r="F2396" s="3" t="str">
        <f t="shared" si="2"/>
        <v>(n): cổng</v>
      </c>
      <c r="G2396" s="6" t="s">
        <v>46094</v>
      </c>
      <c r="H2396" s="6" t="s">
        <v>46095</v>
      </c>
      <c r="I2396" s="7">
        <f t="shared" si="3"/>
        <v>0.4516184663</v>
      </c>
    </row>
    <row r="2397">
      <c r="A2397" s="4">
        <v>2397.0</v>
      </c>
      <c r="B2397" s="3" t="s">
        <v>46096</v>
      </c>
      <c r="C2397" s="6" t="s">
        <v>24</v>
      </c>
      <c r="D2397" s="6" t="s">
        <v>24551</v>
      </c>
      <c r="E2397" s="3" t="str">
        <f t="shared" si="1"/>
        <v>translate&lt;br&gt;&lt;div class="audio"&gt;[sound:translate.mp3]&lt;/div&gt;</v>
      </c>
      <c r="F2397" s="3" t="str">
        <f t="shared" si="2"/>
        <v>(v): dịch</v>
      </c>
      <c r="G2397" s="6" t="s">
        <v>46097</v>
      </c>
      <c r="H2397" s="6" t="s">
        <v>46098</v>
      </c>
      <c r="I2397" s="7">
        <f t="shared" si="3"/>
        <v>0.9481339366</v>
      </c>
    </row>
    <row r="2398">
      <c r="A2398" s="4">
        <v>2398.0</v>
      </c>
      <c r="B2398" s="3" t="s">
        <v>46099</v>
      </c>
      <c r="C2398" s="6" t="s">
        <v>74</v>
      </c>
      <c r="D2398" s="6" t="s">
        <v>29503</v>
      </c>
      <c r="E2398" s="3" t="str">
        <f t="shared" si="1"/>
        <v>tongue&lt;br&gt;&lt;div class="audio"&gt;[sound:tongue.mp3]&lt;/div&gt;</v>
      </c>
      <c r="F2398" s="3" t="str">
        <f t="shared" si="2"/>
        <v>(n): lưỡi</v>
      </c>
      <c r="G2398" s="6" t="s">
        <v>46100</v>
      </c>
      <c r="H2398" s="6" t="s">
        <v>46101</v>
      </c>
      <c r="I2398" s="7">
        <f t="shared" si="3"/>
        <v>0.3412107081</v>
      </c>
    </row>
    <row r="2399">
      <c r="A2399" s="4">
        <v>2399.0</v>
      </c>
      <c r="B2399" s="3" t="s">
        <v>46102</v>
      </c>
      <c r="C2399" s="6" t="s">
        <v>74</v>
      </c>
      <c r="D2399" s="6" t="s">
        <v>46102</v>
      </c>
      <c r="E2399" s="3" t="str">
        <f t="shared" si="1"/>
        <v>inch&lt;br&gt;&lt;div class="audio"&gt;[sound:inch.mp3]&lt;/div&gt;</v>
      </c>
      <c r="F2399" s="3" t="str">
        <f t="shared" si="2"/>
        <v>(n): inch</v>
      </c>
      <c r="G2399" s="6" t="s">
        <v>46103</v>
      </c>
      <c r="H2399" s="6" t="s">
        <v>46104</v>
      </c>
      <c r="I2399" s="7">
        <f t="shared" si="3"/>
        <v>0.1307834884</v>
      </c>
    </row>
    <row r="2400">
      <c r="A2400" s="4">
        <v>2400.0</v>
      </c>
      <c r="B2400" s="3" t="s">
        <v>46105</v>
      </c>
      <c r="C2400" s="6" t="s">
        <v>74</v>
      </c>
      <c r="D2400" s="8" t="s">
        <v>20123</v>
      </c>
      <c r="E2400" s="3" t="str">
        <f t="shared" si="1"/>
        <v>steel&lt;br&gt;&lt;div class="audio"&gt;[sound:steel.mp3]&lt;/div&gt;</v>
      </c>
      <c r="F2400" s="3" t="str">
        <f t="shared" si="2"/>
        <v>(n): thép</v>
      </c>
      <c r="G2400" s="8" t="s">
        <v>46106</v>
      </c>
      <c r="H2400" s="8" t="s">
        <v>46107</v>
      </c>
      <c r="I2400" s="7">
        <f t="shared" si="3"/>
        <v>0.3544783898</v>
      </c>
    </row>
    <row r="2401">
      <c r="A2401" s="4">
        <v>2401.0</v>
      </c>
      <c r="B2401" s="3" t="s">
        <v>46108</v>
      </c>
      <c r="C2401" s="6" t="s">
        <v>24</v>
      </c>
      <c r="D2401" s="6" t="s">
        <v>46109</v>
      </c>
      <c r="E2401" s="3" t="str">
        <f t="shared" si="1"/>
        <v>block&lt;br&gt;&lt;div class="audio"&gt;[sound:block.mp3]&lt;/div&gt;</v>
      </c>
      <c r="F2401" s="3" t="str">
        <f t="shared" si="2"/>
        <v>(v): chặn</v>
      </c>
      <c r="G2401" s="6" t="s">
        <v>46110</v>
      </c>
      <c r="H2401" s="6" t="s">
        <v>46111</v>
      </c>
      <c r="I2401" s="7">
        <f t="shared" si="3"/>
        <v>0.9549509284</v>
      </c>
    </row>
    <row r="2402">
      <c r="A2402" s="4">
        <v>2402.0</v>
      </c>
      <c r="B2402" s="3" t="s">
        <v>46112</v>
      </c>
      <c r="C2402" s="6" t="s">
        <v>24</v>
      </c>
      <c r="D2402" s="8" t="s">
        <v>7487</v>
      </c>
      <c r="E2402" s="3" t="str">
        <f t="shared" si="1"/>
        <v>spin&lt;br&gt;&lt;div class="audio"&gt;[sound:spin.mp3]&lt;/div&gt;</v>
      </c>
      <c r="F2402" s="3" t="str">
        <f t="shared" si="2"/>
        <v>(v): xoay</v>
      </c>
      <c r="G2402" s="8" t="s">
        <v>46113</v>
      </c>
      <c r="H2402" s="8" t="s">
        <v>46114</v>
      </c>
      <c r="I2402" s="7">
        <f t="shared" si="3"/>
        <v>0.8965706525</v>
      </c>
    </row>
    <row r="2403">
      <c r="A2403" s="4">
        <v>2403.0</v>
      </c>
      <c r="B2403" s="3" t="s">
        <v>46115</v>
      </c>
      <c r="C2403" s="6" t="s">
        <v>74</v>
      </c>
      <c r="D2403" s="6" t="s">
        <v>13034</v>
      </c>
      <c r="E2403" s="3" t="str">
        <f t="shared" si="1"/>
        <v>tower&lt;br&gt;&lt;div class="audio"&gt;[sound:tower.mp3]&lt;/div&gt;</v>
      </c>
      <c r="F2403" s="3" t="str">
        <f t="shared" si="2"/>
        <v>(n): tháp</v>
      </c>
      <c r="G2403" s="6" t="s">
        <v>46116</v>
      </c>
      <c r="H2403" s="6" t="s">
        <v>46117</v>
      </c>
      <c r="I2403" s="7">
        <f t="shared" si="3"/>
        <v>0.03732917502</v>
      </c>
    </row>
    <row r="2404">
      <c r="A2404" s="4">
        <v>2404.0</v>
      </c>
      <c r="B2404" s="3" t="s">
        <v>46118</v>
      </c>
      <c r="C2404" s="6" t="s">
        <v>74</v>
      </c>
      <c r="D2404" s="6" t="s">
        <v>22750</v>
      </c>
      <c r="E2404" s="3" t="str">
        <f t="shared" si="1"/>
        <v>forest&lt;br&gt;&lt;div class="audio"&gt;[sound:forest.mp3]&lt;/div&gt;</v>
      </c>
      <c r="F2404" s="3" t="str">
        <f t="shared" si="2"/>
        <v>(n): rừng</v>
      </c>
      <c r="G2404" s="6" t="s">
        <v>46119</v>
      </c>
      <c r="H2404" s="6" t="s">
        <v>46120</v>
      </c>
      <c r="I2404" s="7">
        <f t="shared" si="3"/>
        <v>0.7089342579</v>
      </c>
    </row>
    <row r="2405">
      <c r="A2405" s="4">
        <v>2405.0</v>
      </c>
      <c r="B2405" s="3" t="s">
        <v>46121</v>
      </c>
      <c r="C2405" s="6" t="s">
        <v>74</v>
      </c>
      <c r="D2405" s="6" t="s">
        <v>1372</v>
      </c>
      <c r="E2405" s="3" t="str">
        <f t="shared" si="1"/>
        <v>mountain&lt;br&gt;&lt;div class="audio"&gt;[sound:mountain.mp3]&lt;/div&gt;</v>
      </c>
      <c r="F2405" s="3" t="str">
        <f t="shared" si="2"/>
        <v>(n): núi</v>
      </c>
      <c r="G2405" s="6" t="s">
        <v>46122</v>
      </c>
      <c r="H2405" s="6" t="s">
        <v>46123</v>
      </c>
      <c r="I2405" s="7">
        <f t="shared" si="3"/>
        <v>0.4133531099</v>
      </c>
    </row>
    <row r="2406">
      <c r="A2406" s="4">
        <v>2406.0</v>
      </c>
      <c r="B2406" s="3" t="s">
        <v>46124</v>
      </c>
      <c r="C2406" s="6" t="s">
        <v>74</v>
      </c>
      <c r="D2406" s="6" t="s">
        <v>2417</v>
      </c>
      <c r="E2406" s="3" t="str">
        <f t="shared" si="1"/>
        <v>layer&lt;br&gt;&lt;div class="audio"&gt;[sound:layer.mp3]&lt;/div&gt;</v>
      </c>
      <c r="F2406" s="3" t="str">
        <f t="shared" si="2"/>
        <v>(n): lớp</v>
      </c>
      <c r="G2406" s="6" t="s">
        <v>46125</v>
      </c>
      <c r="H2406" s="6" t="s">
        <v>46126</v>
      </c>
      <c r="I2406" s="7">
        <f t="shared" si="3"/>
        <v>0.6374461336</v>
      </c>
    </row>
    <row r="2407">
      <c r="A2407" s="4">
        <v>2407.0</v>
      </c>
      <c r="B2407" s="3" t="s">
        <v>46127</v>
      </c>
      <c r="C2407" s="6" t="s">
        <v>11</v>
      </c>
      <c r="D2407" s="6" t="s">
        <v>46128</v>
      </c>
      <c r="E2407" s="3" t="str">
        <f t="shared" si="1"/>
        <v>fat&lt;br&gt;&lt;div class="audio"&gt;[sound:fat.mp3]&lt;/div&gt;</v>
      </c>
      <c r="F2407" s="3" t="str">
        <f t="shared" si="2"/>
        <v>(adj): béo</v>
      </c>
      <c r="G2407" s="6" t="s">
        <v>46129</v>
      </c>
      <c r="H2407" s="6" t="s">
        <v>46130</v>
      </c>
      <c r="I2407" s="7">
        <f t="shared" si="3"/>
        <v>0.1081935776</v>
      </c>
    </row>
    <row r="2408">
      <c r="A2408" s="4">
        <v>2408.0</v>
      </c>
      <c r="B2408" s="3" t="s">
        <v>46131</v>
      </c>
      <c r="C2408" s="6" t="s">
        <v>74</v>
      </c>
      <c r="D2408" s="6" t="s">
        <v>4783</v>
      </c>
      <c r="E2408" s="3" t="str">
        <f t="shared" si="1"/>
        <v>vegetable&lt;br&gt;&lt;div class="audio"&gt;[sound:vegetable.mp3]&lt;/div&gt;</v>
      </c>
      <c r="F2408" s="3" t="str">
        <f t="shared" si="2"/>
        <v>(n): rau</v>
      </c>
      <c r="G2408" s="6" t="s">
        <v>46132</v>
      </c>
      <c r="H2408" s="6" t="s">
        <v>46133</v>
      </c>
      <c r="I2408" s="7">
        <f t="shared" si="3"/>
        <v>0.6263897619</v>
      </c>
    </row>
    <row r="2409">
      <c r="A2409" s="4">
        <v>2409.0</v>
      </c>
      <c r="B2409" s="3" t="s">
        <v>46134</v>
      </c>
      <c r="C2409" s="6" t="s">
        <v>11</v>
      </c>
      <c r="D2409" s="6" t="s">
        <v>3745</v>
      </c>
      <c r="E2409" s="3" t="str">
        <f t="shared" si="1"/>
        <v>male&lt;br&gt;&lt;div class="audio"&gt;[sound:male.mp3]&lt;/div&gt;</v>
      </c>
      <c r="F2409" s="3" t="str">
        <f t="shared" si="2"/>
        <v>(adj): nam</v>
      </c>
      <c r="G2409" s="6" t="s">
        <v>46135</v>
      </c>
      <c r="H2409" s="6" t="s">
        <v>46136</v>
      </c>
      <c r="I2409" s="7">
        <f t="shared" si="3"/>
        <v>0.05071059716</v>
      </c>
    </row>
    <row r="2410">
      <c r="A2410" s="4">
        <v>2410.0</v>
      </c>
      <c r="B2410" s="3" t="s">
        <v>46137</v>
      </c>
      <c r="C2410" s="6" t="s">
        <v>11</v>
      </c>
      <c r="D2410" s="6" t="s">
        <v>34433</v>
      </c>
      <c r="E2410" s="3" t="str">
        <f t="shared" si="1"/>
        <v>hungry&lt;br&gt;&lt;div class="audio"&gt;[sound:hungry.mp3]&lt;/div&gt;</v>
      </c>
      <c r="F2410" s="3" t="str">
        <f t="shared" si="2"/>
        <v>(adj): đói</v>
      </c>
      <c r="G2410" s="6" t="s">
        <v>46138</v>
      </c>
      <c r="H2410" s="6" t="s">
        <v>46139</v>
      </c>
      <c r="I2410" s="7">
        <f t="shared" si="3"/>
        <v>0.9172386619</v>
      </c>
    </row>
    <row r="2411">
      <c r="A2411" s="4">
        <v>2411.0</v>
      </c>
      <c r="B2411" s="3" t="s">
        <v>46140</v>
      </c>
      <c r="C2411" s="6" t="s">
        <v>74</v>
      </c>
      <c r="D2411" s="6" t="s">
        <v>5970</v>
      </c>
      <c r="E2411" s="3" t="str">
        <f t="shared" si="1"/>
        <v>metre&lt;br&gt;&lt;div class="audio"&gt;[sound:metre.mp3]&lt;/div&gt;</v>
      </c>
      <c r="F2411" s="3" t="str">
        <f t="shared" si="2"/>
        <v>(n): mét</v>
      </c>
      <c r="G2411" s="6" t="s">
        <v>46141</v>
      </c>
      <c r="H2411" s="6" t="s">
        <v>46142</v>
      </c>
      <c r="I2411" s="7">
        <f t="shared" si="3"/>
        <v>0.7671246926</v>
      </c>
    </row>
    <row r="2412">
      <c r="A2412" s="4">
        <v>2412.0</v>
      </c>
      <c r="B2412" s="3" t="s">
        <v>46143</v>
      </c>
      <c r="C2412" s="6" t="s">
        <v>74</v>
      </c>
      <c r="D2412" s="6" t="s">
        <v>4668</v>
      </c>
      <c r="E2412" s="3" t="str">
        <f t="shared" si="1"/>
        <v>angle&lt;br&gt;&lt;div class="audio"&gt;[sound:angle.mp3]&lt;/div&gt;</v>
      </c>
      <c r="F2412" s="3" t="str">
        <f t="shared" si="2"/>
        <v>(n): góc</v>
      </c>
      <c r="G2412" s="6" t="s">
        <v>46144</v>
      </c>
      <c r="H2412" s="6" t="s">
        <v>46145</v>
      </c>
      <c r="I2412" s="7">
        <f t="shared" si="3"/>
        <v>0.915604285</v>
      </c>
    </row>
    <row r="2413">
      <c r="A2413" s="4">
        <v>2413.0</v>
      </c>
      <c r="B2413" s="3" t="s">
        <v>46146</v>
      </c>
      <c r="C2413" s="6" t="s">
        <v>74</v>
      </c>
      <c r="D2413" s="6" t="s">
        <v>16549</v>
      </c>
      <c r="E2413" s="3" t="str">
        <f t="shared" si="1"/>
        <v>uncle&lt;br&gt;&lt;div class="audio"&gt;[sound:uncle.mp3]&lt;/div&gt;</v>
      </c>
      <c r="F2413" s="3" t="str">
        <f t="shared" si="2"/>
        <v>(n): chú</v>
      </c>
      <c r="G2413" s="6" t="s">
        <v>46147</v>
      </c>
      <c r="H2413" s="6" t="s">
        <v>46148</v>
      </c>
      <c r="I2413" s="7">
        <f t="shared" si="3"/>
        <v>0.2013720115</v>
      </c>
    </row>
    <row r="2414">
      <c r="A2414" s="4">
        <v>2414.0</v>
      </c>
      <c r="B2414" s="3" t="s">
        <v>46149</v>
      </c>
      <c r="C2414" s="6" t="s">
        <v>11</v>
      </c>
      <c r="D2414" s="6" t="s">
        <v>46150</v>
      </c>
      <c r="E2414" s="3" t="str">
        <f t="shared" si="1"/>
        <v>wet&lt;br&gt;&lt;div class="audio"&gt;[sound:wet.mp3]&lt;/div&gt;</v>
      </c>
      <c r="F2414" s="3" t="str">
        <f t="shared" si="2"/>
        <v>(adj): ướt</v>
      </c>
      <c r="G2414" s="6" t="s">
        <v>46151</v>
      </c>
      <c r="H2414" s="6" t="s">
        <v>46152</v>
      </c>
      <c r="I2414" s="7">
        <f t="shared" si="3"/>
        <v>0.8882718981</v>
      </c>
    </row>
    <row r="2415">
      <c r="A2415" s="4">
        <v>2415.0</v>
      </c>
      <c r="B2415" s="3" t="s">
        <v>46153</v>
      </c>
      <c r="C2415" s="6" t="s">
        <v>74</v>
      </c>
      <c r="D2415" s="6" t="s">
        <v>4318</v>
      </c>
      <c r="E2415" s="3" t="str">
        <f t="shared" si="1"/>
        <v>flower&lt;br&gt;&lt;div class="audio"&gt;[sound:flower.mp3]&lt;/div&gt;</v>
      </c>
      <c r="F2415" s="3" t="str">
        <f t="shared" si="2"/>
        <v>(n): hoa</v>
      </c>
      <c r="G2415" s="6" t="s">
        <v>46154</v>
      </c>
      <c r="H2415" s="6" t="s">
        <v>46155</v>
      </c>
      <c r="I2415" s="7">
        <f t="shared" si="3"/>
        <v>0.6886615821</v>
      </c>
    </row>
    <row r="2416">
      <c r="A2416" s="4">
        <v>2416.0</v>
      </c>
      <c r="B2416" s="3" t="s">
        <v>46156</v>
      </c>
      <c r="C2416" s="6" t="s">
        <v>74</v>
      </c>
      <c r="D2416" s="8" t="s">
        <v>15172</v>
      </c>
      <c r="E2416" s="3" t="str">
        <f t="shared" si="1"/>
        <v>silver&lt;br&gt;&lt;div class="audio"&gt;[sound:silver.mp3]&lt;/div&gt;</v>
      </c>
      <c r="F2416" s="3" t="str">
        <f t="shared" si="2"/>
        <v>(n): bạc</v>
      </c>
      <c r="G2416" s="8" t="s">
        <v>46157</v>
      </c>
      <c r="H2416" s="8" t="s">
        <v>46158</v>
      </c>
      <c r="I2416" s="7">
        <f t="shared" si="3"/>
        <v>0.6636196099</v>
      </c>
    </row>
    <row r="2417">
      <c r="A2417" s="4">
        <v>2417.0</v>
      </c>
      <c r="B2417" s="3" t="s">
        <v>46159</v>
      </c>
      <c r="C2417" s="6" t="s">
        <v>74</v>
      </c>
      <c r="D2417" s="8" t="s">
        <v>1833</v>
      </c>
      <c r="E2417" s="3" t="str">
        <f t="shared" si="1"/>
        <v>soil&lt;br&gt;&lt;div class="audio"&gt;[sound:soil.mp3]&lt;/div&gt;</v>
      </c>
      <c r="F2417" s="3" t="str">
        <f t="shared" si="2"/>
        <v>(n): đất</v>
      </c>
      <c r="G2417" s="8" t="s">
        <v>46160</v>
      </c>
      <c r="H2417" s="8" t="s">
        <v>46161</v>
      </c>
      <c r="I2417" s="7">
        <f t="shared" si="3"/>
        <v>0.4141017985</v>
      </c>
    </row>
    <row r="2418">
      <c r="A2418" s="4">
        <v>2418.0</v>
      </c>
      <c r="B2418" s="3" t="s">
        <v>46162</v>
      </c>
      <c r="C2418" s="6" t="s">
        <v>74</v>
      </c>
      <c r="D2418" s="6" t="s">
        <v>46163</v>
      </c>
      <c r="E2418" s="3" t="str">
        <f t="shared" si="1"/>
        <v>load&lt;br&gt;&lt;div class="audio"&gt;[sound:load.mp3]&lt;/div&gt;</v>
      </c>
      <c r="F2418" s="3" t="str">
        <f t="shared" si="2"/>
        <v>(n): tải</v>
      </c>
      <c r="G2418" s="6" t="s">
        <v>46164</v>
      </c>
      <c r="H2418" s="6" t="s">
        <v>46165</v>
      </c>
      <c r="I2418" s="7">
        <f t="shared" si="3"/>
        <v>0.2596504862</v>
      </c>
    </row>
    <row r="2419">
      <c r="A2419" s="4">
        <v>2419.0</v>
      </c>
      <c r="B2419" s="3" t="s">
        <v>46166</v>
      </c>
      <c r="C2419" s="6" t="s">
        <v>74</v>
      </c>
      <c r="D2419" s="6" t="s">
        <v>2838</v>
      </c>
      <c r="E2419" s="3" t="str">
        <f t="shared" si="1"/>
        <v>wind&lt;br&gt;&lt;div class="audio"&gt;[sound:wind.mp3]&lt;/div&gt;</v>
      </c>
      <c r="F2419" s="3" t="str">
        <f t="shared" si="2"/>
        <v>(n): gió</v>
      </c>
      <c r="G2419" s="6" t="s">
        <v>46167</v>
      </c>
      <c r="H2419" s="6" t="s">
        <v>46168</v>
      </c>
      <c r="I2419" s="7">
        <f t="shared" si="3"/>
        <v>0.9289734869</v>
      </c>
    </row>
    <row r="2420">
      <c r="A2420" s="4">
        <v>2420.0</v>
      </c>
      <c r="B2420" s="3" t="s">
        <v>46169</v>
      </c>
      <c r="C2420" s="6" t="s">
        <v>24</v>
      </c>
      <c r="D2420" s="6" t="s">
        <v>29709</v>
      </c>
      <c r="E2420" s="3" t="str">
        <f t="shared" si="1"/>
        <v>paint&lt;br&gt;&lt;div class="audio"&gt;[sound:paint.mp3]&lt;/div&gt;</v>
      </c>
      <c r="F2420" s="3" t="str">
        <f t="shared" si="2"/>
        <v>(v): sơn</v>
      </c>
      <c r="G2420" s="6" t="s">
        <v>46170</v>
      </c>
      <c r="H2420" s="6" t="s">
        <v>46171</v>
      </c>
      <c r="I2420" s="7">
        <f t="shared" si="3"/>
        <v>0.8592482234</v>
      </c>
    </row>
    <row r="2421">
      <c r="A2421" s="4">
        <v>2421.0</v>
      </c>
      <c r="B2421" s="3" t="s">
        <v>46172</v>
      </c>
      <c r="C2421" s="6" t="s">
        <v>74</v>
      </c>
      <c r="D2421" s="6" t="s">
        <v>46173</v>
      </c>
      <c r="E2421" s="3" t="str">
        <f t="shared" si="1"/>
        <v>yard&lt;br&gt;&lt;div class="audio"&gt;[sound:yard.mp3]&lt;/div&gt;</v>
      </c>
      <c r="F2421" s="3" t="str">
        <f t="shared" si="2"/>
        <v>(n): sân</v>
      </c>
      <c r="G2421" s="6" t="s">
        <v>46174</v>
      </c>
      <c r="H2421" s="6" t="s">
        <v>46175</v>
      </c>
      <c r="I2421" s="7">
        <f t="shared" si="3"/>
        <v>0.4859977719</v>
      </c>
    </row>
    <row r="2422">
      <c r="A2422" s="4">
        <v>2422.0</v>
      </c>
      <c r="B2422" s="3" t="s">
        <v>46176</v>
      </c>
      <c r="C2422" s="6" t="s">
        <v>74</v>
      </c>
      <c r="D2422" s="6" t="s">
        <v>11776</v>
      </c>
      <c r="E2422" s="3" t="str">
        <f t="shared" si="1"/>
        <v>cloth&lt;br&gt;&lt;div class="audio"&gt;[sound:cloth.mp3]&lt;/div&gt;</v>
      </c>
      <c r="F2422" s="3" t="str">
        <f t="shared" si="2"/>
        <v>(n): vải</v>
      </c>
      <c r="G2422" s="6" t="s">
        <v>46177</v>
      </c>
      <c r="H2422" s="6" t="s">
        <v>46178</v>
      </c>
      <c r="I2422" s="7">
        <f t="shared" si="3"/>
        <v>0.6251001385</v>
      </c>
    </row>
    <row r="2423">
      <c r="A2423" s="4">
        <v>2423.0</v>
      </c>
      <c r="B2423" s="3" t="s">
        <v>46179</v>
      </c>
      <c r="C2423" s="6" t="s">
        <v>74</v>
      </c>
      <c r="D2423" s="6" t="s">
        <v>848</v>
      </c>
      <c r="E2423" s="3" t="str">
        <f t="shared" si="1"/>
        <v>mom&lt;br&gt;&lt;div class="audio"&gt;[sound:mom.mp3]&lt;/div&gt;</v>
      </c>
      <c r="F2423" s="3" t="str">
        <f t="shared" si="2"/>
        <v>(n): mẹ</v>
      </c>
      <c r="G2423" s="6" t="s">
        <v>46180</v>
      </c>
      <c r="H2423" s="6" t="s">
        <v>46181</v>
      </c>
      <c r="I2423" s="7">
        <f t="shared" si="3"/>
        <v>0.05759623794</v>
      </c>
    </row>
    <row r="2424">
      <c r="A2424" s="4">
        <v>2424.0</v>
      </c>
      <c r="B2424" s="3" t="s">
        <v>46182</v>
      </c>
      <c r="C2424" s="6" t="s">
        <v>74</v>
      </c>
      <c r="D2424" s="8" t="s">
        <v>46183</v>
      </c>
      <c r="E2424" s="3" t="str">
        <f t="shared" si="1"/>
        <v>shelf&lt;br&gt;&lt;div class="audio"&gt;[sound:shelf.mp3]&lt;/div&gt;</v>
      </c>
      <c r="F2424" s="3" t="str">
        <f t="shared" si="2"/>
        <v>(n): kệ</v>
      </c>
      <c r="G2424" s="8" t="s">
        <v>46184</v>
      </c>
      <c r="H2424" s="8" t="s">
        <v>46185</v>
      </c>
      <c r="I2424" s="7">
        <f t="shared" si="3"/>
        <v>0.4081528163</v>
      </c>
    </row>
    <row r="2425">
      <c r="A2425" s="4">
        <v>2425.0</v>
      </c>
      <c r="B2425" s="3" t="s">
        <v>46186</v>
      </c>
      <c r="C2425" s="6" t="s">
        <v>85</v>
      </c>
      <c r="D2425" s="6" t="s">
        <v>46187</v>
      </c>
      <c r="E2425" s="3" t="str">
        <f t="shared" si="1"/>
        <v>badly&lt;br&gt;&lt;div class="audio"&gt;[sound:badly.mp3]&lt;/div&gt;</v>
      </c>
      <c r="F2425" s="3" t="str">
        <f t="shared" si="2"/>
        <v>(adv): tệ</v>
      </c>
      <c r="G2425" s="6" t="s">
        <v>46188</v>
      </c>
      <c r="H2425" s="6" t="s">
        <v>46189</v>
      </c>
      <c r="I2425" s="7">
        <f t="shared" si="3"/>
        <v>0.08661577856</v>
      </c>
    </row>
    <row r="2426">
      <c r="A2426" s="4">
        <v>2426.0</v>
      </c>
      <c r="B2426" s="3" t="s">
        <v>46190</v>
      </c>
      <c r="C2426" s="6" t="s">
        <v>74</v>
      </c>
      <c r="D2426" s="6" t="s">
        <v>11160</v>
      </c>
      <c r="E2426" s="3" t="str">
        <f t="shared" si="1"/>
        <v>butter&lt;br&gt;&lt;div class="audio"&gt;[sound:butter.mp3]&lt;/div&gt;</v>
      </c>
      <c r="F2426" s="3" t="str">
        <f t="shared" si="2"/>
        <v>(n): bơ</v>
      </c>
      <c r="G2426" s="6" t="s">
        <v>46191</v>
      </c>
      <c r="H2426" s="6" t="s">
        <v>46192</v>
      </c>
      <c r="I2426" s="7">
        <f t="shared" si="3"/>
        <v>0.6927292198</v>
      </c>
    </row>
    <row r="2427">
      <c r="A2427" s="4">
        <v>2427.0</v>
      </c>
      <c r="B2427" s="3" t="s">
        <v>46193</v>
      </c>
      <c r="C2427" s="6" t="s">
        <v>74</v>
      </c>
      <c r="D2427" s="6" t="s">
        <v>33623</v>
      </c>
      <c r="E2427" s="3" t="str">
        <f t="shared" si="1"/>
        <v>wood&lt;br&gt;&lt;div class="audio"&gt;[sound:wood.mp3]&lt;/div&gt;</v>
      </c>
      <c r="F2427" s="3" t="str">
        <f t="shared" si="2"/>
        <v>(n): gỗ</v>
      </c>
      <c r="G2427" s="6" t="s">
        <v>46194</v>
      </c>
      <c r="H2427" s="6" t="s">
        <v>46195</v>
      </c>
      <c r="I2427" s="7">
        <f t="shared" si="3"/>
        <v>0.9093592763</v>
      </c>
    </row>
    <row r="2428">
      <c r="A2428" s="4">
        <v>2428.0</v>
      </c>
      <c r="B2428" s="3" t="s">
        <v>46196</v>
      </c>
      <c r="C2428" s="6" t="s">
        <v>74</v>
      </c>
      <c r="D2428" s="6" t="s">
        <v>9636</v>
      </c>
      <c r="E2428" s="3" t="str">
        <f t="shared" si="1"/>
        <v>disaster&lt;br&gt;&lt;div class="audio"&gt;[sound:disaster.mp3]&lt;/div&gt;</v>
      </c>
      <c r="F2428" s="3" t="str">
        <f t="shared" si="2"/>
        <v>(n): thảm họa</v>
      </c>
      <c r="G2428" s="6" t="s">
        <v>46197</v>
      </c>
      <c r="H2428" s="6" t="s">
        <v>46198</v>
      </c>
      <c r="I2428" s="7">
        <f t="shared" si="3"/>
        <v>0.9559290168</v>
      </c>
    </row>
    <row r="2429">
      <c r="A2429" s="4">
        <v>2429.0</v>
      </c>
      <c r="B2429" s="3" t="s">
        <v>46199</v>
      </c>
      <c r="C2429" s="6" t="s">
        <v>74</v>
      </c>
      <c r="D2429" s="6" t="s">
        <v>46200</v>
      </c>
      <c r="E2429" s="3" t="str">
        <f t="shared" si="1"/>
        <v>debt&lt;br&gt;&lt;div class="audio"&gt;[sound:debt.mp3]&lt;/div&gt;</v>
      </c>
      <c r="F2429" s="3" t="str">
        <f t="shared" si="2"/>
        <v>(n): nợ</v>
      </c>
      <c r="G2429" s="6" t="s">
        <v>46201</v>
      </c>
      <c r="H2429" s="6" t="s">
        <v>46202</v>
      </c>
      <c r="I2429" s="7">
        <f t="shared" si="3"/>
        <v>0.7112236391</v>
      </c>
    </row>
    <row r="2430">
      <c r="A2430" s="4">
        <v>2430.0</v>
      </c>
      <c r="B2430" s="3" t="s">
        <v>46203</v>
      </c>
      <c r="C2430" s="6" t="s">
        <v>11</v>
      </c>
      <c r="D2430" s="6" t="s">
        <v>46204</v>
      </c>
      <c r="E2430" s="3" t="str">
        <f t="shared" si="1"/>
        <v>covered&lt;br&gt;&lt;div class="audio"&gt;[sound:covered.mp3]&lt;/div&gt;</v>
      </c>
      <c r="F2430" s="3" t="str">
        <f t="shared" si="2"/>
        <v>(adj): được che phủ</v>
      </c>
      <c r="G2430" s="6" t="s">
        <v>46205</v>
      </c>
      <c r="H2430" s="6" t="s">
        <v>46206</v>
      </c>
      <c r="I2430" s="7">
        <f t="shared" si="3"/>
        <v>0.6441590553</v>
      </c>
    </row>
    <row r="2431">
      <c r="A2431" s="4">
        <v>2431.0</v>
      </c>
      <c r="B2431" s="3" t="s">
        <v>46207</v>
      </c>
      <c r="C2431" s="6" t="s">
        <v>74</v>
      </c>
      <c r="D2431" s="6" t="s">
        <v>21386</v>
      </c>
      <c r="E2431" s="3" t="str">
        <f t="shared" si="1"/>
        <v>tail&lt;br&gt;&lt;div class="audio"&gt;[sound:tail.mp3]&lt;/div&gt;</v>
      </c>
      <c r="F2431" s="3" t="str">
        <f t="shared" si="2"/>
        <v>(n): cái đuôi</v>
      </c>
      <c r="G2431" s="6" t="s">
        <v>46208</v>
      </c>
      <c r="H2431" s="6" t="s">
        <v>46209</v>
      </c>
      <c r="I2431" s="7">
        <f t="shared" si="3"/>
        <v>0.1041168295</v>
      </c>
    </row>
    <row r="2432">
      <c r="A2432" s="4">
        <v>2432.0</v>
      </c>
      <c r="B2432" s="3" t="s">
        <v>46210</v>
      </c>
      <c r="C2432" s="6" t="s">
        <v>11</v>
      </c>
      <c r="D2432" s="6" t="s">
        <v>21729</v>
      </c>
      <c r="E2432" s="3" t="str">
        <f t="shared" si="1"/>
        <v>dramatic&lt;br&gt;&lt;div class="audio"&gt;[sound:dramatic.mp3]&lt;/div&gt;</v>
      </c>
      <c r="F2432" s="3" t="str">
        <f t="shared" si="2"/>
        <v>(adj): ấn tượng</v>
      </c>
      <c r="G2432" s="6" t="s">
        <v>46211</v>
      </c>
      <c r="H2432" s="6" t="s">
        <v>46212</v>
      </c>
      <c r="I2432" s="7">
        <f t="shared" si="3"/>
        <v>0.9092369005</v>
      </c>
    </row>
    <row r="2433">
      <c r="A2433" s="4">
        <v>2433.0</v>
      </c>
      <c r="B2433" s="3" t="s">
        <v>46213</v>
      </c>
      <c r="C2433" s="6" t="s">
        <v>74</v>
      </c>
      <c r="D2433" s="6" t="s">
        <v>32362</v>
      </c>
      <c r="E2433" s="3" t="str">
        <f t="shared" si="1"/>
        <v>gesture&lt;br&gt;&lt;div class="audio"&gt;[sound:gesture.mp3]&lt;/div&gt;</v>
      </c>
      <c r="F2433" s="3" t="str">
        <f t="shared" si="2"/>
        <v>(n): cử chỉ</v>
      </c>
      <c r="G2433" s="6" t="s">
        <v>46214</v>
      </c>
      <c r="H2433" s="6" t="s">
        <v>46215</v>
      </c>
      <c r="I2433" s="7">
        <f t="shared" si="3"/>
        <v>0.4335516539</v>
      </c>
    </row>
    <row r="2434">
      <c r="A2434" s="4">
        <v>2434.0</v>
      </c>
      <c r="B2434" s="3" t="s">
        <v>46216</v>
      </c>
      <c r="C2434" s="6" t="s">
        <v>74</v>
      </c>
      <c r="D2434" s="6" t="s">
        <v>46217</v>
      </c>
      <c r="E2434" s="3" t="str">
        <f t="shared" si="1"/>
        <v>depth&lt;br&gt;&lt;div class="audio"&gt;[sound:depth.mp3]&lt;/div&gt;</v>
      </c>
      <c r="F2434" s="3" t="str">
        <f t="shared" si="2"/>
        <v>(n): độ sâu</v>
      </c>
      <c r="G2434" s="6" t="s">
        <v>46218</v>
      </c>
      <c r="H2434" s="6" t="s">
        <v>46219</v>
      </c>
      <c r="I2434" s="7">
        <f t="shared" si="3"/>
        <v>0.1522282883</v>
      </c>
    </row>
    <row r="2435">
      <c r="A2435" s="4">
        <v>2435.0</v>
      </c>
      <c r="B2435" s="3" t="s">
        <v>46220</v>
      </c>
      <c r="C2435" s="6" t="s">
        <v>74</v>
      </c>
      <c r="D2435" s="6" t="s">
        <v>46221</v>
      </c>
      <c r="E2435" s="3" t="str">
        <f t="shared" si="1"/>
        <v>crew&lt;br&gt;&lt;div class="audio"&gt;[sound:crew.mp3]&lt;/div&gt;</v>
      </c>
      <c r="F2435" s="3" t="str">
        <f t="shared" si="2"/>
        <v>(n): phi hành đoàn</v>
      </c>
      <c r="G2435" s="6" t="s">
        <v>46222</v>
      </c>
      <c r="H2435" s="6" t="s">
        <v>46223</v>
      </c>
      <c r="I2435" s="7">
        <f t="shared" si="3"/>
        <v>0.6664671759</v>
      </c>
    </row>
    <row r="2436">
      <c r="A2436" s="4">
        <v>2436.0</v>
      </c>
      <c r="B2436" s="3" t="s">
        <v>46224</v>
      </c>
      <c r="C2436" s="6" t="s">
        <v>74</v>
      </c>
      <c r="D2436" s="6" t="s">
        <v>46225</v>
      </c>
      <c r="E2436" s="3" t="str">
        <f t="shared" si="1"/>
        <v>discovery&lt;br&gt;&lt;div class="audio"&gt;[sound:discovery.mp3]&lt;/div&gt;</v>
      </c>
      <c r="F2436" s="3" t="str">
        <f t="shared" si="2"/>
        <v>(n): sự khám phá</v>
      </c>
      <c r="G2436" s="6" t="s">
        <v>46226</v>
      </c>
      <c r="H2436" s="6" t="s">
        <v>46227</v>
      </c>
      <c r="I2436" s="7">
        <f t="shared" si="3"/>
        <v>0.924908955</v>
      </c>
    </row>
    <row r="2437">
      <c r="A2437" s="4">
        <v>2437.0</v>
      </c>
      <c r="B2437" s="3" t="s">
        <v>46228</v>
      </c>
      <c r="C2437" s="6" t="s">
        <v>74</v>
      </c>
      <c r="D2437" s="6" t="s">
        <v>46229</v>
      </c>
      <c r="E2437" s="3" t="str">
        <f t="shared" si="1"/>
        <v>designer&lt;br&gt;&lt;div class="audio"&gt;[sound:designer.mp3]&lt;/div&gt;</v>
      </c>
      <c r="F2437" s="3" t="str">
        <f t="shared" si="2"/>
        <v>(n): nhà thiết kế</v>
      </c>
      <c r="G2437" s="6" t="s">
        <v>46230</v>
      </c>
      <c r="H2437" s="6" t="s">
        <v>46231</v>
      </c>
      <c r="I2437" s="7">
        <f t="shared" si="3"/>
        <v>0.8161025626</v>
      </c>
    </row>
    <row r="2438">
      <c r="A2438" s="4">
        <v>2438.0</v>
      </c>
      <c r="B2438" s="3" t="s">
        <v>46232</v>
      </c>
      <c r="C2438" s="6" t="s">
        <v>74</v>
      </c>
      <c r="D2438" s="6" t="s">
        <v>46233</v>
      </c>
      <c r="E2438" s="3" t="str">
        <f t="shared" si="1"/>
        <v>driving&lt;br&gt;&lt;div class="audio"&gt;[sound:driving.mp3]&lt;/div&gt;</v>
      </c>
      <c r="F2438" s="3" t="str">
        <f t="shared" si="2"/>
        <v>(n): việc lái xe</v>
      </c>
      <c r="G2438" s="6" t="s">
        <v>46234</v>
      </c>
      <c r="H2438" s="6" t="s">
        <v>46235</v>
      </c>
      <c r="I2438" s="7">
        <f t="shared" si="3"/>
        <v>0.2944845125</v>
      </c>
    </row>
    <row r="2439">
      <c r="A2439" s="4">
        <v>2439.0</v>
      </c>
      <c r="B2439" s="3" t="s">
        <v>46236</v>
      </c>
      <c r="C2439" s="6" t="s">
        <v>11</v>
      </c>
      <c r="D2439" s="6" t="s">
        <v>3585</v>
      </c>
      <c r="E2439" s="3" t="str">
        <f t="shared" si="1"/>
        <v>temporary&lt;br&gt;&lt;div class="audio"&gt;[sound:temporary.mp3]&lt;/div&gt;</v>
      </c>
      <c r="F2439" s="3" t="str">
        <f t="shared" si="2"/>
        <v>(adj): tạm thời</v>
      </c>
      <c r="G2439" s="6" t="s">
        <v>46237</v>
      </c>
      <c r="H2439" s="6" t="s">
        <v>46238</v>
      </c>
      <c r="I2439" s="7">
        <f t="shared" si="3"/>
        <v>0.918463912</v>
      </c>
    </row>
    <row r="2440">
      <c r="A2440" s="4">
        <v>2440.0</v>
      </c>
      <c r="B2440" s="3" t="s">
        <v>46239</v>
      </c>
      <c r="C2440" s="6" t="s">
        <v>74</v>
      </c>
      <c r="D2440" s="6" t="s">
        <v>46240</v>
      </c>
      <c r="E2440" s="3" t="str">
        <f t="shared" si="1"/>
        <v>core&lt;br&gt;&lt;div class="audio"&gt;[sound:core.mp3]&lt;/div&gt;</v>
      </c>
      <c r="F2440" s="3" t="str">
        <f t="shared" si="2"/>
        <v>(n): cốt lõi</v>
      </c>
      <c r="G2440" s="6" t="s">
        <v>46241</v>
      </c>
      <c r="H2440" s="6" t="s">
        <v>46242</v>
      </c>
      <c r="I2440" s="7">
        <f t="shared" si="3"/>
        <v>0.9230954228</v>
      </c>
    </row>
    <row r="2441">
      <c r="A2441" s="4">
        <v>2441.0</v>
      </c>
      <c r="B2441" s="3" t="s">
        <v>46243</v>
      </c>
      <c r="C2441" s="6" t="s">
        <v>74</v>
      </c>
      <c r="D2441" s="6" t="s">
        <v>46244</v>
      </c>
      <c r="E2441" s="3" t="str">
        <f t="shared" si="1"/>
        <v>criticism&lt;br&gt;&lt;div class="audio"&gt;[sound:criticism.mp3]&lt;/div&gt;</v>
      </c>
      <c r="F2441" s="3" t="str">
        <f t="shared" si="2"/>
        <v>(n): sự phê bình</v>
      </c>
      <c r="G2441" s="6" t="s">
        <v>46245</v>
      </c>
      <c r="H2441" s="6" t="s">
        <v>46246</v>
      </c>
      <c r="I2441" s="7">
        <f t="shared" si="3"/>
        <v>0.3800289135</v>
      </c>
    </row>
    <row r="2442">
      <c r="A2442" s="4">
        <v>2442.0</v>
      </c>
      <c r="B2442" s="3" t="s">
        <v>46247</v>
      </c>
      <c r="C2442" s="6" t="s">
        <v>24</v>
      </c>
      <c r="D2442" s="6" t="s">
        <v>10789</v>
      </c>
      <c r="E2442" s="3" t="str">
        <f t="shared" si="1"/>
        <v>differ&lt;br&gt;&lt;div class="audio"&gt;[sound:differ.mp3]&lt;/div&gt;</v>
      </c>
      <c r="F2442" s="3" t="str">
        <f t="shared" si="2"/>
        <v>(v): khác biệt</v>
      </c>
      <c r="G2442" s="6" t="s">
        <v>46248</v>
      </c>
      <c r="H2442" s="6" t="s">
        <v>46249</v>
      </c>
      <c r="I2442" s="7">
        <f t="shared" si="3"/>
        <v>0.7139341687</v>
      </c>
    </row>
    <row r="2443">
      <c r="A2443" s="4">
        <v>2443.0</v>
      </c>
      <c r="B2443" s="3" t="s">
        <v>46250</v>
      </c>
      <c r="C2443" s="6" t="s">
        <v>11</v>
      </c>
      <c r="D2443" s="6" t="s">
        <v>46251</v>
      </c>
      <c r="E2443" s="3" t="str">
        <f t="shared" si="1"/>
        <v>controversial&lt;br&gt;&lt;div class="audio"&gt;[sound:controversial.mp3]&lt;/div&gt;</v>
      </c>
      <c r="F2443" s="3" t="str">
        <f t="shared" si="2"/>
        <v>(adj): gây tranh cãi</v>
      </c>
      <c r="G2443" s="6" t="s">
        <v>46252</v>
      </c>
      <c r="H2443" s="6" t="s">
        <v>46253</v>
      </c>
      <c r="I2443" s="7">
        <f t="shared" si="3"/>
        <v>0.315393763</v>
      </c>
    </row>
    <row r="2444">
      <c r="A2444" s="4">
        <v>2444.0</v>
      </c>
      <c r="B2444" s="3" t="s">
        <v>46254</v>
      </c>
      <c r="C2444" s="6" t="s">
        <v>74</v>
      </c>
      <c r="D2444" s="6" t="s">
        <v>6680</v>
      </c>
      <c r="E2444" s="3" t="str">
        <f t="shared" si="1"/>
        <v>transition&lt;br&gt;&lt;div class="audio"&gt;[sound:transition.mp3]&lt;/div&gt;</v>
      </c>
      <c r="F2444" s="3" t="str">
        <f t="shared" si="2"/>
        <v>(n): sự chuyển đổi</v>
      </c>
      <c r="G2444" s="6" t="s">
        <v>46255</v>
      </c>
      <c r="H2444" s="6" t="s">
        <v>46256</v>
      </c>
      <c r="I2444" s="7">
        <f t="shared" si="3"/>
        <v>0.3728906556</v>
      </c>
    </row>
    <row r="2445">
      <c r="A2445" s="4">
        <v>2445.0</v>
      </c>
      <c r="B2445" s="3" t="s">
        <v>46257</v>
      </c>
      <c r="C2445" s="6" t="s">
        <v>74</v>
      </c>
      <c r="D2445" s="6" t="s">
        <v>46258</v>
      </c>
      <c r="E2445" s="3" t="str">
        <f t="shared" si="1"/>
        <v>trading&lt;br&gt;&lt;div class="audio"&gt;[sound:trading.mp3]&lt;/div&gt;</v>
      </c>
      <c r="F2445" s="3" t="str">
        <f t="shared" si="2"/>
        <v>(n): việc buôn bán</v>
      </c>
      <c r="G2445" s="6" t="s">
        <v>46259</v>
      </c>
      <c r="H2445" s="6" t="s">
        <v>46260</v>
      </c>
      <c r="I2445" s="7">
        <f t="shared" si="3"/>
        <v>0.2367813325</v>
      </c>
    </row>
    <row r="2446">
      <c r="A2446" s="4">
        <v>2446.0</v>
      </c>
      <c r="B2446" s="3" t="s">
        <v>46261</v>
      </c>
      <c r="C2446" s="6" t="s">
        <v>74</v>
      </c>
      <c r="D2446" s="6" t="s">
        <v>46262</v>
      </c>
      <c r="E2446" s="3" t="str">
        <f t="shared" si="1"/>
        <v>desk&lt;br&gt;&lt;div class="audio"&gt;[sound:desk.mp3]&lt;/div&gt;</v>
      </c>
      <c r="F2446" s="3" t="str">
        <f t="shared" si="2"/>
        <v>(n): bàn làm việc</v>
      </c>
      <c r="G2446" s="6" t="s">
        <v>46263</v>
      </c>
      <c r="H2446" s="6" t="s">
        <v>46264</v>
      </c>
      <c r="I2446" s="7">
        <f t="shared" si="3"/>
        <v>0.8990292151</v>
      </c>
    </row>
    <row r="2447">
      <c r="A2447" s="4">
        <v>2447.0</v>
      </c>
      <c r="B2447" s="3" t="s">
        <v>46265</v>
      </c>
      <c r="C2447" s="6" t="s">
        <v>24</v>
      </c>
      <c r="D2447" s="6" t="s">
        <v>22487</v>
      </c>
      <c r="E2447" s="3" t="str">
        <f t="shared" si="1"/>
        <v>edit&lt;br&gt;&lt;div class="audio"&gt;[sound:edit.mp3]&lt;/div&gt;</v>
      </c>
      <c r="F2447" s="3" t="str">
        <f t="shared" si="2"/>
        <v>(v): chỉnh sửa</v>
      </c>
      <c r="G2447" s="6" t="s">
        <v>46266</v>
      </c>
      <c r="H2447" s="6" t="s">
        <v>46267</v>
      </c>
      <c r="I2447" s="7">
        <f t="shared" si="3"/>
        <v>0.048016056</v>
      </c>
    </row>
    <row r="2448">
      <c r="A2448" s="4">
        <v>2448.0</v>
      </c>
      <c r="B2448" s="3" t="s">
        <v>46268</v>
      </c>
      <c r="C2448" s="6" t="s">
        <v>74</v>
      </c>
      <c r="D2448" s="6" t="s">
        <v>46269</v>
      </c>
      <c r="E2448" s="3" t="str">
        <f t="shared" si="1"/>
        <v>trail&lt;br&gt;&lt;div class="audio"&gt;[sound:trail.mp3]&lt;/div&gt;</v>
      </c>
      <c r="F2448" s="3" t="str">
        <f t="shared" si="2"/>
        <v>(n): đường mòn</v>
      </c>
      <c r="G2448" s="6" t="s">
        <v>46270</v>
      </c>
      <c r="H2448" s="6" t="s">
        <v>46271</v>
      </c>
      <c r="I2448" s="7">
        <f t="shared" si="3"/>
        <v>0.1975167731</v>
      </c>
    </row>
    <row r="2449">
      <c r="A2449" s="4">
        <v>2449.0</v>
      </c>
      <c r="B2449" s="3" t="s">
        <v>46272</v>
      </c>
      <c r="C2449" s="6" t="s">
        <v>74</v>
      </c>
      <c r="D2449" s="6" t="s">
        <v>46273</v>
      </c>
      <c r="E2449" s="3" t="str">
        <f t="shared" si="1"/>
        <v>translation&lt;br&gt;&lt;div class="audio"&gt;[sound:translation.mp3]&lt;/div&gt;</v>
      </c>
      <c r="F2449" s="3" t="str">
        <f t="shared" si="2"/>
        <v>(n): bản dịch</v>
      </c>
      <c r="G2449" s="6" t="s">
        <v>46274</v>
      </c>
      <c r="H2449" s="6" t="s">
        <v>46275</v>
      </c>
      <c r="I2449" s="7">
        <f t="shared" si="3"/>
        <v>0.8401761796</v>
      </c>
    </row>
    <row r="2450">
      <c r="A2450" s="4">
        <v>2450.0</v>
      </c>
      <c r="B2450" s="3" t="s">
        <v>46276</v>
      </c>
      <c r="C2450" s="6" t="s">
        <v>74</v>
      </c>
      <c r="D2450" s="6" t="s">
        <v>30780</v>
      </c>
      <c r="E2450" s="3" t="str">
        <f t="shared" si="1"/>
        <v>gentleman&lt;br&gt;&lt;div class="audio"&gt;[sound:gentleman.mp3]&lt;/div&gt;</v>
      </c>
      <c r="F2450" s="3" t="str">
        <f t="shared" si="2"/>
        <v>(n): quý ông</v>
      </c>
      <c r="G2450" s="6" t="s">
        <v>46277</v>
      </c>
      <c r="H2450" s="6" t="s">
        <v>46278</v>
      </c>
      <c r="I2450" s="7">
        <f t="shared" si="3"/>
        <v>0.3816274964</v>
      </c>
    </row>
    <row r="2451">
      <c r="A2451" s="4">
        <v>2451.0</v>
      </c>
      <c r="B2451" s="3" t="s">
        <v>46279</v>
      </c>
      <c r="C2451" s="6" t="s">
        <v>74</v>
      </c>
      <c r="D2451" s="6" t="s">
        <v>4813</v>
      </c>
      <c r="E2451" s="3" t="str">
        <f t="shared" si="1"/>
        <v>tourism&lt;br&gt;&lt;div class="audio"&gt;[sound:tourism.mp3]&lt;/div&gt;</v>
      </c>
      <c r="F2451" s="3" t="str">
        <f t="shared" si="2"/>
        <v>(n): du lịch</v>
      </c>
      <c r="G2451" s="6" t="s">
        <v>46280</v>
      </c>
      <c r="H2451" s="6" t="s">
        <v>46281</v>
      </c>
      <c r="I2451" s="7">
        <f t="shared" si="3"/>
        <v>0.04422825934</v>
      </c>
    </row>
    <row r="2452">
      <c r="A2452" s="4">
        <v>2452.0</v>
      </c>
      <c r="B2452" s="3" t="s">
        <v>46282</v>
      </c>
      <c r="C2452" s="6" t="s">
        <v>11</v>
      </c>
      <c r="D2452" s="6" t="s">
        <v>46283</v>
      </c>
      <c r="E2452" s="3" t="str">
        <f t="shared" si="1"/>
        <v>talented&lt;br&gt;&lt;div class="audio"&gt;[sound:talented.mp3]&lt;/div&gt;</v>
      </c>
      <c r="F2452" s="3" t="str">
        <f t="shared" si="2"/>
        <v>(adj): có tài</v>
      </c>
      <c r="G2452" s="6" t="s">
        <v>46284</v>
      </c>
      <c r="H2452" s="6" t="s">
        <v>46285</v>
      </c>
      <c r="I2452" s="7">
        <f t="shared" si="3"/>
        <v>0.1510240191</v>
      </c>
    </row>
    <row r="2453">
      <c r="A2453" s="4">
        <v>2453.0</v>
      </c>
      <c r="B2453" s="3" t="s">
        <v>46286</v>
      </c>
      <c r="C2453" s="6" t="s">
        <v>74</v>
      </c>
      <c r="D2453" s="6" t="s">
        <v>2358</v>
      </c>
      <c r="E2453" s="3" t="str">
        <f t="shared" si="1"/>
        <v>tag&lt;br&gt;&lt;div class="audio"&gt;[sound:tag.mp3]&lt;/div&gt;</v>
      </c>
      <c r="F2453" s="3" t="str">
        <f t="shared" si="2"/>
        <v>(n): thẻ</v>
      </c>
      <c r="G2453" s="6" t="s">
        <v>46287</v>
      </c>
      <c r="H2453" s="6" t="s">
        <v>46288</v>
      </c>
      <c r="I2453" s="7">
        <f t="shared" si="3"/>
        <v>0.3302267347</v>
      </c>
    </row>
    <row r="2454">
      <c r="A2454" s="4">
        <v>2454.0</v>
      </c>
      <c r="B2454" s="3" t="s">
        <v>46289</v>
      </c>
      <c r="C2454" s="6" t="s">
        <v>74</v>
      </c>
      <c r="D2454" s="6" t="s">
        <v>18031</v>
      </c>
      <c r="E2454" s="3" t="str">
        <f t="shared" si="1"/>
        <v>tube&lt;br&gt;&lt;div class="audio"&gt;[sound:tube.mp3]&lt;/div&gt;</v>
      </c>
      <c r="F2454" s="3" t="str">
        <f t="shared" si="2"/>
        <v>(n): ống</v>
      </c>
      <c r="G2454" s="6" t="s">
        <v>46290</v>
      </c>
      <c r="H2454" s="6" t="s">
        <v>46291</v>
      </c>
      <c r="I2454" s="7">
        <f t="shared" si="3"/>
        <v>0.9846708451</v>
      </c>
    </row>
    <row r="2455">
      <c r="A2455" s="4">
        <v>2455.0</v>
      </c>
      <c r="B2455" s="3" t="s">
        <v>46292</v>
      </c>
      <c r="C2455" s="6" t="s">
        <v>74</v>
      </c>
      <c r="D2455" s="6" t="s">
        <v>46293</v>
      </c>
      <c r="E2455" s="3" t="str">
        <f t="shared" si="1"/>
        <v>diet&lt;br&gt;&lt;div class="audio"&gt;[sound:diet.mp3]&lt;/div&gt;</v>
      </c>
      <c r="F2455" s="3" t="str">
        <f t="shared" si="2"/>
        <v>(n): chế độ ăn</v>
      </c>
      <c r="G2455" s="6" t="s">
        <v>46294</v>
      </c>
      <c r="H2455" s="6" t="s">
        <v>46295</v>
      </c>
      <c r="I2455" s="7">
        <f t="shared" si="3"/>
        <v>0.4689437811</v>
      </c>
    </row>
    <row r="2456">
      <c r="A2456" s="4">
        <v>2456.0</v>
      </c>
      <c r="B2456" s="3" t="s">
        <v>46296</v>
      </c>
      <c r="C2456" s="6" t="s">
        <v>11</v>
      </c>
      <c r="D2456" s="6" t="s">
        <v>26836</v>
      </c>
      <c r="E2456" s="3" t="str">
        <f t="shared" si="1"/>
        <v>creative&lt;br&gt;&lt;div class="audio"&gt;[sound:creative.mp3]&lt;/div&gt;</v>
      </c>
      <c r="F2456" s="3" t="str">
        <f t="shared" si="2"/>
        <v>(adj): sáng tạo</v>
      </c>
      <c r="G2456" s="6" t="s">
        <v>46297</v>
      </c>
      <c r="H2456" s="6" t="s">
        <v>46298</v>
      </c>
      <c r="I2456" s="7">
        <f t="shared" si="3"/>
        <v>0.9295997042</v>
      </c>
    </row>
    <row r="2457">
      <c r="A2457" s="4">
        <v>2457.0</v>
      </c>
      <c r="B2457" s="3" t="s">
        <v>46299</v>
      </c>
      <c r="C2457" s="6" t="s">
        <v>11</v>
      </c>
      <c r="D2457" s="6" t="s">
        <v>46300</v>
      </c>
      <c r="E2457" s="3" t="str">
        <f t="shared" si="1"/>
        <v>technological&lt;br&gt;&lt;div class="audio"&gt;[sound:technological.mp3]&lt;/div&gt;</v>
      </c>
      <c r="F2457" s="3" t="str">
        <f t="shared" si="2"/>
        <v>(adj): thuộc công nghệ</v>
      </c>
      <c r="G2457" s="6" t="s">
        <v>46301</v>
      </c>
      <c r="H2457" s="6" t="s">
        <v>46302</v>
      </c>
      <c r="I2457" s="7">
        <f t="shared" si="3"/>
        <v>0.6090273481</v>
      </c>
    </row>
    <row r="2458">
      <c r="A2458" s="4">
        <v>2458.0</v>
      </c>
      <c r="B2458" s="3" t="s">
        <v>46303</v>
      </c>
      <c r="C2458" s="6" t="s">
        <v>74</v>
      </c>
      <c r="D2458" s="6" t="s">
        <v>44208</v>
      </c>
      <c r="E2458" s="3" t="str">
        <f t="shared" si="1"/>
        <v>cooperation&lt;br&gt;&lt;div class="audio"&gt;[sound:cooperation.mp3]&lt;/div&gt;</v>
      </c>
      <c r="F2458" s="3" t="str">
        <f t="shared" si="2"/>
        <v>(n): sự hợp tác</v>
      </c>
      <c r="G2458" s="6" t="s">
        <v>46304</v>
      </c>
      <c r="H2458" s="6" t="s">
        <v>46305</v>
      </c>
      <c r="I2458" s="7">
        <f t="shared" si="3"/>
        <v>0.9905834787</v>
      </c>
    </row>
    <row r="2459">
      <c r="A2459" s="4">
        <v>2459.0</v>
      </c>
      <c r="B2459" s="3" t="s">
        <v>46306</v>
      </c>
      <c r="C2459" s="6" t="s">
        <v>24</v>
      </c>
      <c r="D2459" s="6" t="s">
        <v>46307</v>
      </c>
      <c r="E2459" s="3" t="str">
        <f t="shared" si="1"/>
        <v>distribute&lt;br&gt;&lt;div class="audio"&gt;[sound:distribute.mp3]&lt;/div&gt;</v>
      </c>
      <c r="F2459" s="3" t="str">
        <f t="shared" si="2"/>
        <v>(v): phân phối</v>
      </c>
      <c r="G2459" s="6" t="s">
        <v>46308</v>
      </c>
      <c r="H2459" s="6" t="s">
        <v>46309</v>
      </c>
      <c r="I2459" s="7">
        <f t="shared" si="3"/>
        <v>0.9430369663</v>
      </c>
    </row>
    <row r="2460">
      <c r="A2460" s="4">
        <v>2460.0</v>
      </c>
      <c r="B2460" s="3" t="s">
        <v>46310</v>
      </c>
      <c r="C2460" s="6" t="s">
        <v>11</v>
      </c>
      <c r="D2460" s="6" t="s">
        <v>2848</v>
      </c>
      <c r="E2460" s="3" t="str">
        <f t="shared" si="1"/>
        <v>definite&lt;br&gt;&lt;div class="audio"&gt;[sound:definite.mp3]&lt;/div&gt;</v>
      </c>
      <c r="F2460" s="3" t="str">
        <f t="shared" si="2"/>
        <v>(adj): rõ ràng</v>
      </c>
      <c r="G2460" s="6" t="s">
        <v>46311</v>
      </c>
      <c r="H2460" s="6" t="s">
        <v>46312</v>
      </c>
      <c r="I2460" s="7">
        <f t="shared" si="3"/>
        <v>0.5979606383</v>
      </c>
    </row>
    <row r="2461">
      <c r="A2461" s="4">
        <v>2461.0</v>
      </c>
      <c r="B2461" s="3" t="s">
        <v>46313</v>
      </c>
      <c r="C2461" s="6" t="s">
        <v>74</v>
      </c>
      <c r="D2461" s="6" t="s">
        <v>46314</v>
      </c>
      <c r="E2461" s="3" t="str">
        <f t="shared" si="1"/>
        <v>tank&lt;br&gt;&lt;div class="audio"&gt;[sound:tank.mp3]&lt;/div&gt;</v>
      </c>
      <c r="F2461" s="3" t="str">
        <f t="shared" si="2"/>
        <v>(n): bể chứa</v>
      </c>
      <c r="G2461" s="6" t="s">
        <v>46315</v>
      </c>
      <c r="H2461" s="6" t="s">
        <v>46316</v>
      </c>
      <c r="I2461" s="7">
        <f t="shared" si="3"/>
        <v>0.114174712</v>
      </c>
    </row>
    <row r="2462">
      <c r="A2462" s="4">
        <v>2462.0</v>
      </c>
      <c r="B2462" s="3" t="s">
        <v>46317</v>
      </c>
      <c r="C2462" s="6" t="s">
        <v>11</v>
      </c>
      <c r="D2462" s="6" t="s">
        <v>46318</v>
      </c>
      <c r="E2462" s="3" t="str">
        <f t="shared" si="1"/>
        <v>dressed&lt;br&gt;&lt;div class="audio"&gt;[sound:dressed.mp3]&lt;/div&gt;</v>
      </c>
      <c r="F2462" s="3" t="str">
        <f t="shared" si="2"/>
        <v>(adj): được mặc quần áo</v>
      </c>
      <c r="G2462" s="6" t="s">
        <v>46319</v>
      </c>
      <c r="H2462" s="6" t="s">
        <v>46320</v>
      </c>
      <c r="I2462" s="7">
        <f t="shared" si="3"/>
        <v>0.2469003289</v>
      </c>
    </row>
    <row r="2463">
      <c r="A2463" s="4">
        <v>2463.0</v>
      </c>
      <c r="B2463" s="3" t="s">
        <v>46321</v>
      </c>
      <c r="C2463" s="6" t="s">
        <v>11</v>
      </c>
      <c r="D2463" s="6" t="s">
        <v>9544</v>
      </c>
      <c r="E2463" s="3" t="str">
        <f t="shared" si="1"/>
        <v>determined&lt;br&gt;&lt;div class="audio"&gt;[sound:determined.mp3]&lt;/div&gt;</v>
      </c>
      <c r="F2463" s="3" t="str">
        <f t="shared" si="2"/>
        <v>(adj): quyết tâm</v>
      </c>
      <c r="G2463" s="6" t="s">
        <v>46322</v>
      </c>
      <c r="H2463" s="6" t="s">
        <v>46323</v>
      </c>
      <c r="I2463" s="7">
        <f t="shared" si="3"/>
        <v>0.4805319943</v>
      </c>
    </row>
    <row r="2464">
      <c r="A2464" s="4">
        <v>2464.0</v>
      </c>
      <c r="B2464" s="3" t="s">
        <v>46324</v>
      </c>
      <c r="C2464" s="6" t="s">
        <v>74</v>
      </c>
      <c r="D2464" s="6" t="s">
        <v>46325</v>
      </c>
      <c r="E2464" s="3" t="str">
        <f t="shared" si="1"/>
        <v>creation&lt;br&gt;&lt;div class="audio"&gt;[sound:creation.mp3]&lt;/div&gt;</v>
      </c>
      <c r="F2464" s="3" t="str">
        <f t="shared" si="2"/>
        <v>(n): sự tạo ra</v>
      </c>
      <c r="G2464" s="6" t="s">
        <v>46326</v>
      </c>
      <c r="H2464" s="6" t="s">
        <v>46327</v>
      </c>
      <c r="I2464" s="7">
        <f t="shared" si="3"/>
        <v>0.1349368647</v>
      </c>
    </row>
    <row r="2465">
      <c r="A2465" s="4">
        <v>2465.0</v>
      </c>
      <c r="B2465" s="3" t="s">
        <v>46328</v>
      </c>
      <c r="C2465" s="6" t="s">
        <v>11</v>
      </c>
      <c r="D2465" s="6" t="s">
        <v>46329</v>
      </c>
      <c r="E2465" s="3" t="str">
        <f t="shared" si="1"/>
        <v>inevitable&lt;br&gt;&lt;div class="audio"&gt;[sound:inevitable.mp3]&lt;/div&gt;</v>
      </c>
      <c r="F2465" s="3" t="str">
        <f t="shared" si="2"/>
        <v>(adj): không thể tránh khỏi</v>
      </c>
      <c r="G2465" s="6" t="s">
        <v>46330</v>
      </c>
      <c r="H2465" s="6" t="s">
        <v>46331</v>
      </c>
      <c r="I2465" s="7">
        <f t="shared" si="3"/>
        <v>0.2366567569</v>
      </c>
    </row>
    <row r="2466">
      <c r="A2466" s="4">
        <v>2466.0</v>
      </c>
      <c r="B2466" s="3" t="s">
        <v>46332</v>
      </c>
      <c r="C2466" s="6" t="s">
        <v>74</v>
      </c>
      <c r="D2466" s="8" t="s">
        <v>46333</v>
      </c>
      <c r="E2466" s="3" t="str">
        <f t="shared" si="1"/>
        <v>summit&lt;br&gt;&lt;div class="audio"&gt;[sound:summit.mp3]&lt;/div&gt;</v>
      </c>
      <c r="F2466" s="3" t="str">
        <f t="shared" si="2"/>
        <v>(n): hội nghị thượng đỉnh</v>
      </c>
      <c r="G2466" s="8" t="s">
        <v>46334</v>
      </c>
      <c r="H2466" s="8" t="s">
        <v>46335</v>
      </c>
      <c r="I2466" s="7">
        <f t="shared" si="3"/>
        <v>0.7773933854</v>
      </c>
    </row>
    <row r="2467">
      <c r="A2467" s="4">
        <v>2467.0</v>
      </c>
      <c r="B2467" s="3" t="s">
        <v>46336</v>
      </c>
      <c r="C2467" s="6" t="s">
        <v>74</v>
      </c>
      <c r="D2467" s="6" t="s">
        <v>46337</v>
      </c>
      <c r="E2467" s="3" t="str">
        <f t="shared" si="1"/>
        <v>agenda&lt;br&gt;&lt;div class="audio"&gt;[sound:agenda.mp3]&lt;/div&gt;</v>
      </c>
      <c r="F2467" s="3" t="str">
        <f t="shared" si="2"/>
        <v>(n): chương trình nghị sự</v>
      </c>
      <c r="G2467" s="6" t="s">
        <v>46338</v>
      </c>
      <c r="H2467" s="6" t="s">
        <v>46339</v>
      </c>
      <c r="I2467" s="7">
        <f t="shared" si="3"/>
        <v>0.5777815269</v>
      </c>
    </row>
    <row r="2468">
      <c r="A2468" s="4">
        <v>2468.0</v>
      </c>
      <c r="B2468" s="3" t="s">
        <v>46340</v>
      </c>
      <c r="C2468" s="6" t="s">
        <v>11</v>
      </c>
      <c r="D2468" s="6" t="s">
        <v>46341</v>
      </c>
      <c r="E2468" s="3" t="str">
        <f t="shared" si="1"/>
        <v>constitutional&lt;br&gt;&lt;div class="audio"&gt;[sound:constitutional.mp3]&lt;/div&gt;</v>
      </c>
      <c r="F2468" s="3" t="str">
        <f t="shared" si="2"/>
        <v>(adj): thuộc về hiến pháp</v>
      </c>
      <c r="G2468" s="6" t="s">
        <v>46342</v>
      </c>
      <c r="H2468" s="6" t="s">
        <v>46343</v>
      </c>
      <c r="I2468" s="7">
        <f t="shared" si="3"/>
        <v>0.03223681537</v>
      </c>
    </row>
    <row r="2469">
      <c r="A2469" s="4">
        <v>2469.0</v>
      </c>
      <c r="B2469" s="3" t="s">
        <v>46344</v>
      </c>
      <c r="C2469" s="6" t="s">
        <v>85</v>
      </c>
      <c r="D2469" s="6" t="s">
        <v>46345</v>
      </c>
      <c r="E2469" s="3" t="str">
        <f t="shared" si="1"/>
        <v>differently&lt;br&gt;&lt;div class="audio"&gt;[sound:differently.mp3]&lt;/div&gt;</v>
      </c>
      <c r="F2469" s="3" t="str">
        <f t="shared" si="2"/>
        <v>(adv): một cách khác biệt</v>
      </c>
      <c r="G2469" s="6" t="s">
        <v>46346</v>
      </c>
      <c r="H2469" s="6" t="s">
        <v>46347</v>
      </c>
      <c r="I2469" s="7">
        <f t="shared" si="3"/>
        <v>0.4678340007</v>
      </c>
    </row>
    <row r="2470">
      <c r="A2470" s="4">
        <v>2470.0</v>
      </c>
      <c r="B2470" s="3" t="s">
        <v>46348</v>
      </c>
      <c r="C2470" s="6" t="s">
        <v>74</v>
      </c>
      <c r="D2470" s="6" t="s">
        <v>46349</v>
      </c>
      <c r="E2470" s="3" t="str">
        <f t="shared" si="1"/>
        <v>peer&lt;br&gt;&lt;div class="audio"&gt;[sound:peer.mp3]&lt;/div&gt;</v>
      </c>
      <c r="F2470" s="3" t="str">
        <f t="shared" si="2"/>
        <v>(n): bạn đồng trang lứa</v>
      </c>
      <c r="G2470" s="6" t="s">
        <v>46350</v>
      </c>
      <c r="H2470" s="6" t="s">
        <v>46351</v>
      </c>
      <c r="I2470" s="7">
        <f t="shared" si="3"/>
        <v>0.4249716233</v>
      </c>
    </row>
    <row r="2471">
      <c r="A2471" s="4">
        <v>2471.0</v>
      </c>
      <c r="B2471" s="3" t="s">
        <v>46352</v>
      </c>
      <c r="C2471" s="6" t="s">
        <v>74</v>
      </c>
      <c r="D2471" s="8" t="s">
        <v>46353</v>
      </c>
      <c r="E2471" s="3" t="str">
        <f t="shared" si="1"/>
        <v>specification&lt;br&gt;&lt;div class="audio"&gt;[sound:specification.mp3]&lt;/div&gt;</v>
      </c>
      <c r="F2471" s="3" t="str">
        <f t="shared" si="2"/>
        <v>(n): thông số kỹ thuật</v>
      </c>
      <c r="G2471" s="8" t="s">
        <v>46354</v>
      </c>
      <c r="H2471" s="8" t="s">
        <v>46355</v>
      </c>
      <c r="I2471" s="7">
        <f t="shared" si="3"/>
        <v>0.9792020042</v>
      </c>
    </row>
    <row r="2472">
      <c r="A2472" s="4">
        <v>2472.0</v>
      </c>
      <c r="B2472" s="3" t="s">
        <v>46356</v>
      </c>
      <c r="C2472" s="6" t="s">
        <v>74</v>
      </c>
      <c r="D2472" s="6" t="s">
        <v>46357</v>
      </c>
      <c r="E2472" s="3" t="str">
        <f t="shared" si="1"/>
        <v>gym&lt;br&gt;&lt;div class="audio"&gt;[sound:gym.mp3]&lt;/div&gt;</v>
      </c>
      <c r="F2472" s="3" t="str">
        <f t="shared" si="2"/>
        <v>(n): phòng tập thể dục</v>
      </c>
      <c r="G2472" s="6" t="s">
        <v>46358</v>
      </c>
      <c r="H2472" s="6" t="s">
        <v>46359</v>
      </c>
      <c r="I2472" s="7">
        <f t="shared" si="3"/>
        <v>0.9165176379</v>
      </c>
    </row>
    <row r="2473">
      <c r="A2473" s="4">
        <v>2473.0</v>
      </c>
      <c r="B2473" s="3" t="s">
        <v>46360</v>
      </c>
      <c r="C2473" s="6" t="s">
        <v>85</v>
      </c>
      <c r="D2473" s="8" t="s">
        <v>46361</v>
      </c>
      <c r="E2473" s="3" t="str">
        <f t="shared" si="1"/>
        <v>solely&lt;br&gt;&lt;div class="audio"&gt;[sound:solely.mp3]&lt;/div&gt;</v>
      </c>
      <c r="F2473" s="3" t="str">
        <f t="shared" si="2"/>
        <v>(adv): một cách duy nhất</v>
      </c>
      <c r="G2473" s="8" t="s">
        <v>46362</v>
      </c>
      <c r="H2473" s="8" t="s">
        <v>46363</v>
      </c>
      <c r="I2473" s="7">
        <f t="shared" si="3"/>
        <v>0.654084107</v>
      </c>
    </row>
    <row r="2474">
      <c r="A2474" s="4">
        <v>2474.0</v>
      </c>
      <c r="B2474" s="3" t="s">
        <v>46364</v>
      </c>
      <c r="C2474" s="6" t="s">
        <v>85</v>
      </c>
      <c r="D2474" s="6" t="s">
        <v>46365</v>
      </c>
      <c r="E2474" s="3" t="str">
        <f t="shared" si="1"/>
        <v>naturally&lt;br&gt;&lt;div class="audio"&gt;[sound:naturally.mp3]&lt;/div&gt;</v>
      </c>
      <c r="F2474" s="3" t="str">
        <f t="shared" si="2"/>
        <v>(adv): một cách tự nhiên</v>
      </c>
      <c r="G2474" s="6" t="s">
        <v>46366</v>
      </c>
      <c r="H2474" s="6" t="s">
        <v>46367</v>
      </c>
      <c r="I2474" s="7">
        <f t="shared" si="3"/>
        <v>0.4168878656</v>
      </c>
    </row>
    <row r="2475">
      <c r="A2475" s="4">
        <v>2475.0</v>
      </c>
      <c r="B2475" s="3" t="s">
        <v>46368</v>
      </c>
      <c r="C2475" s="6" t="s">
        <v>11</v>
      </c>
      <c r="D2475" s="6" t="s">
        <v>46369</v>
      </c>
      <c r="E2475" s="3" t="str">
        <f t="shared" si="1"/>
        <v>influential&lt;br&gt;&lt;div class="audio"&gt;[sound:influential.mp3]&lt;/div&gt;</v>
      </c>
      <c r="F2475" s="3" t="str">
        <f t="shared" si="2"/>
        <v>(adj): có tầm ảnh hưởng</v>
      </c>
      <c r="G2475" s="6" t="s">
        <v>46370</v>
      </c>
      <c r="H2475" s="6" t="s">
        <v>46371</v>
      </c>
      <c r="I2475" s="7">
        <f t="shared" si="3"/>
        <v>0.391202578</v>
      </c>
    </row>
    <row r="2476">
      <c r="A2476" s="4">
        <v>2476.0</v>
      </c>
      <c r="B2476" s="3" t="s">
        <v>46372</v>
      </c>
      <c r="C2476" s="6" t="s">
        <v>85</v>
      </c>
      <c r="D2476" s="6" t="s">
        <v>46373</v>
      </c>
      <c r="E2476" s="3" t="str">
        <f t="shared" si="1"/>
        <v>sadly&lt;br&gt;&lt;div class="audio"&gt;[sound:sadly.mp3]&lt;/div&gt;</v>
      </c>
      <c r="F2476" s="3" t="str">
        <f t="shared" si="2"/>
        <v>(adv): một cách buồn bã</v>
      </c>
      <c r="G2476" s="6" t="s">
        <v>46374</v>
      </c>
      <c r="H2476" s="6" t="s">
        <v>46375</v>
      </c>
      <c r="I2476" s="7">
        <f t="shared" si="3"/>
        <v>0.1072664048</v>
      </c>
    </row>
    <row r="2477">
      <c r="A2477" s="4">
        <v>2477.0</v>
      </c>
      <c r="B2477" s="3" t="s">
        <v>46376</v>
      </c>
      <c r="C2477" s="6" t="s">
        <v>85</v>
      </c>
      <c r="D2477" s="6" t="s">
        <v>46377</v>
      </c>
      <c r="E2477" s="3" t="str">
        <f t="shared" si="1"/>
        <v>roughly&lt;br&gt;&lt;div class="audio"&gt;[sound:roughly.mp3]&lt;/div&gt;</v>
      </c>
      <c r="F2477" s="3" t="str">
        <f t="shared" si="2"/>
        <v>(adv): một cách thô ráp</v>
      </c>
      <c r="G2477" s="6" t="s">
        <v>46378</v>
      </c>
      <c r="H2477" s="6" t="s">
        <v>46379</v>
      </c>
      <c r="I2477" s="7">
        <f t="shared" si="3"/>
        <v>0.1878754335</v>
      </c>
    </row>
    <row r="2478">
      <c r="A2478" s="4">
        <v>2478.0</v>
      </c>
      <c r="B2478" s="3" t="s">
        <v>46380</v>
      </c>
      <c r="C2478" s="6" t="s">
        <v>85</v>
      </c>
      <c r="D2478" s="8" t="s">
        <v>46381</v>
      </c>
      <c r="E2478" s="3" t="str">
        <f t="shared" si="1"/>
        <v>steadily&lt;br&gt;&lt;div class="audio"&gt;[sound:steadily.mp3]&lt;/div&gt;</v>
      </c>
      <c r="F2478" s="3" t="str">
        <f t="shared" si="2"/>
        <v>(adv): một cách đều đặn</v>
      </c>
      <c r="G2478" s="8" t="s">
        <v>46382</v>
      </c>
      <c r="H2478" s="8" t="s">
        <v>46383</v>
      </c>
      <c r="I2478" s="7">
        <f t="shared" si="3"/>
        <v>0.5132940524</v>
      </c>
    </row>
    <row r="2479">
      <c r="A2479" s="4">
        <v>2479.0</v>
      </c>
      <c r="B2479" s="3" t="s">
        <v>46384</v>
      </c>
      <c r="C2479" s="6" t="s">
        <v>85</v>
      </c>
      <c r="D2479" s="8" t="s">
        <v>46385</v>
      </c>
      <c r="E2479" s="3" t="str">
        <f t="shared" si="1"/>
        <v>sharply&lt;br&gt;&lt;div class="audio"&gt;[sound:sharply.mp3]&lt;/div&gt;</v>
      </c>
      <c r="F2479" s="3" t="str">
        <f t="shared" si="2"/>
        <v>(adv): một cách sắc bén</v>
      </c>
      <c r="G2479" s="8" t="s">
        <v>46386</v>
      </c>
      <c r="H2479" s="8" t="s">
        <v>46387</v>
      </c>
      <c r="I2479" s="7">
        <f t="shared" si="3"/>
        <v>0.8192646722</v>
      </c>
    </row>
    <row r="2480">
      <c r="A2480" s="4">
        <v>2480.0</v>
      </c>
      <c r="B2480" s="3" t="s">
        <v>46388</v>
      </c>
      <c r="C2480" s="6" t="s">
        <v>11</v>
      </c>
      <c r="D2480" s="8" t="s">
        <v>46389</v>
      </c>
      <c r="E2480" s="3" t="str">
        <f t="shared" si="1"/>
        <v>supportive&lt;br&gt;&lt;div class="audio"&gt;[sound:supportive.mp3]&lt;/div&gt;</v>
      </c>
      <c r="F2480" s="3" t="str">
        <f t="shared" si="2"/>
        <v>(adj): mang tính hỗ trợ</v>
      </c>
      <c r="G2480" s="8" t="s">
        <v>46390</v>
      </c>
      <c r="H2480" s="8" t="s">
        <v>46391</v>
      </c>
      <c r="I2480" s="7">
        <f t="shared" si="3"/>
        <v>0.8716313433</v>
      </c>
    </row>
    <row r="2481">
      <c r="A2481" s="4">
        <v>2481.0</v>
      </c>
      <c r="B2481" s="3" t="s">
        <v>46392</v>
      </c>
      <c r="C2481" s="6" t="s">
        <v>85</v>
      </c>
      <c r="D2481" s="6" t="s">
        <v>46393</v>
      </c>
      <c r="E2481" s="3" t="str">
        <f t="shared" si="1"/>
        <v>automatically&lt;br&gt;&lt;div class="audio"&gt;[sound:automatically.mp3]&lt;/div&gt;</v>
      </c>
      <c r="F2481" s="3" t="str">
        <f t="shared" si="2"/>
        <v>(adv): một cách tự động</v>
      </c>
      <c r="G2481" s="6" t="s">
        <v>46394</v>
      </c>
      <c r="H2481" s="6" t="s">
        <v>46395</v>
      </c>
      <c r="I2481" s="7">
        <f t="shared" si="3"/>
        <v>0.5704808076</v>
      </c>
    </row>
    <row r="2482">
      <c r="A2482" s="4">
        <v>2482.0</v>
      </c>
      <c r="B2482" s="3" t="s">
        <v>46396</v>
      </c>
      <c r="C2482" s="6" t="s">
        <v>74</v>
      </c>
      <c r="D2482" s="6" t="s">
        <v>46397</v>
      </c>
      <c r="E2482" s="3" t="str">
        <f t="shared" si="1"/>
        <v>volunteer&lt;br&gt;&lt;div class="audio"&gt;[sound:volunteer.mp3]&lt;/div&gt;</v>
      </c>
      <c r="F2482" s="3" t="str">
        <f t="shared" si="2"/>
        <v>(n): tình nguyện viên</v>
      </c>
      <c r="G2482" s="6" t="s">
        <v>46398</v>
      </c>
      <c r="H2482" s="6" t="s">
        <v>46399</v>
      </c>
      <c r="I2482" s="7">
        <f t="shared" si="3"/>
        <v>0.576943705</v>
      </c>
    </row>
    <row r="2483">
      <c r="A2483" s="4">
        <v>2483.0</v>
      </c>
      <c r="B2483" s="3" t="s">
        <v>46400</v>
      </c>
      <c r="C2483" s="6" t="s">
        <v>74</v>
      </c>
      <c r="D2483" s="6" t="s">
        <v>46401</v>
      </c>
      <c r="E2483" s="3" t="str">
        <f t="shared" si="1"/>
        <v>operator&lt;br&gt;&lt;div class="audio"&gt;[sound:operator.mp3]&lt;/div&gt;</v>
      </c>
      <c r="F2483" s="3" t="str">
        <f t="shared" si="2"/>
        <v>(n): người điều hành</v>
      </c>
      <c r="G2483" s="6" t="s">
        <v>46402</v>
      </c>
      <c r="H2483" s="6" t="s">
        <v>46403</v>
      </c>
      <c r="I2483" s="7">
        <f t="shared" si="3"/>
        <v>0.262700134</v>
      </c>
    </row>
    <row r="2484">
      <c r="A2484" s="4">
        <v>2484.0</v>
      </c>
      <c r="B2484" s="3" t="s">
        <v>46404</v>
      </c>
      <c r="C2484" s="6" t="s">
        <v>11</v>
      </c>
      <c r="D2484" s="6" t="s">
        <v>46405</v>
      </c>
      <c r="E2484" s="3" t="str">
        <f t="shared" si="1"/>
        <v>royal&lt;br&gt;&lt;div class="audio"&gt;[sound:royal.mp3]&lt;/div&gt;</v>
      </c>
      <c r="F2484" s="3" t="str">
        <f t="shared" si="2"/>
        <v>(adj): thuộc hoàng gia</v>
      </c>
      <c r="G2484" s="6" t="s">
        <v>46406</v>
      </c>
      <c r="H2484" s="6" t="s">
        <v>46407</v>
      </c>
      <c r="I2484" s="7">
        <f t="shared" si="3"/>
        <v>0.8922248085</v>
      </c>
    </row>
    <row r="2485">
      <c r="A2485" s="4">
        <v>2485.0</v>
      </c>
      <c r="B2485" s="3" t="s">
        <v>46408</v>
      </c>
      <c r="C2485" s="6" t="s">
        <v>24</v>
      </c>
      <c r="D2485" s="6" t="s">
        <v>46409</v>
      </c>
      <c r="E2485" s="3" t="str">
        <f t="shared" si="1"/>
        <v>locate&lt;br&gt;&lt;div class="audio"&gt;[sound:locate.mp3]&lt;/div&gt;</v>
      </c>
      <c r="F2485" s="3" t="str">
        <f t="shared" si="2"/>
        <v>(v): xác định vị trí</v>
      </c>
      <c r="G2485" s="6" t="s">
        <v>46410</v>
      </c>
      <c r="H2485" s="6" t="s">
        <v>46411</v>
      </c>
      <c r="I2485" s="7">
        <f t="shared" si="3"/>
        <v>0.5442380125</v>
      </c>
    </row>
    <row r="2486">
      <c r="A2486" s="4">
        <v>2486.0</v>
      </c>
      <c r="B2486" s="3" t="s">
        <v>46412</v>
      </c>
      <c r="C2486" s="6" t="s">
        <v>74</v>
      </c>
      <c r="D2486" s="6" t="s">
        <v>41290</v>
      </c>
      <c r="E2486" s="3" t="str">
        <f t="shared" si="1"/>
        <v>instructor&lt;br&gt;&lt;div class="audio"&gt;[sound:instructor.mp3]&lt;/div&gt;</v>
      </c>
      <c r="F2486" s="3" t="str">
        <f t="shared" si="2"/>
        <v>(n): người hướng dẫn</v>
      </c>
      <c r="G2486" s="6" t="s">
        <v>46413</v>
      </c>
      <c r="H2486" s="6" t="s">
        <v>46414</v>
      </c>
      <c r="I2486" s="7">
        <f t="shared" si="3"/>
        <v>0.9848487225</v>
      </c>
    </row>
    <row r="2487">
      <c r="A2487" s="4">
        <v>2487.0</v>
      </c>
      <c r="B2487" s="3" t="s">
        <v>46415</v>
      </c>
      <c r="C2487" s="6" t="s">
        <v>74</v>
      </c>
      <c r="D2487" s="6" t="s">
        <v>46416</v>
      </c>
      <c r="E2487" s="3" t="str">
        <f t="shared" si="1"/>
        <v>recruitment&lt;br&gt;&lt;div class="audio"&gt;[sound:recruitment.mp3]&lt;/div&gt;</v>
      </c>
      <c r="F2487" s="3" t="str">
        <f t="shared" si="2"/>
        <v>(n): việc tuyển dụng</v>
      </c>
      <c r="G2487" s="6" t="s">
        <v>46417</v>
      </c>
      <c r="H2487" s="6" t="s">
        <v>46418</v>
      </c>
      <c r="I2487" s="7">
        <f t="shared" si="3"/>
        <v>0.2174356155</v>
      </c>
    </row>
    <row r="2488">
      <c r="A2488" s="4">
        <v>2488.0</v>
      </c>
      <c r="B2488" s="3" t="s">
        <v>46419</v>
      </c>
      <c r="C2488" s="6" t="s">
        <v>85</v>
      </c>
      <c r="D2488" s="6" t="s">
        <v>46420</v>
      </c>
      <c r="E2488" s="3" t="str">
        <f t="shared" si="1"/>
        <v>reasonably&lt;br&gt;&lt;div class="audio"&gt;[sound:reasonably.mp3]&lt;/div&gt;</v>
      </c>
      <c r="F2488" s="3" t="str">
        <f t="shared" si="2"/>
        <v>(adv): một cách hợp lý</v>
      </c>
      <c r="G2488" s="6" t="s">
        <v>46421</v>
      </c>
      <c r="H2488" s="6" t="s">
        <v>46422</v>
      </c>
      <c r="I2488" s="7">
        <f t="shared" si="3"/>
        <v>0.1250522899</v>
      </c>
    </row>
    <row r="2489">
      <c r="A2489" s="4">
        <v>2489.0</v>
      </c>
      <c r="B2489" s="3" t="s">
        <v>46423</v>
      </c>
      <c r="C2489" s="6" t="s">
        <v>74</v>
      </c>
      <c r="D2489" s="6" t="s">
        <v>46424</v>
      </c>
      <c r="E2489" s="3" t="str">
        <f t="shared" si="1"/>
        <v>imagination&lt;br&gt;&lt;div class="audio"&gt;[sound:imagination.mp3]&lt;/div&gt;</v>
      </c>
      <c r="F2489" s="3" t="str">
        <f t="shared" si="2"/>
        <v>(n): trí tưởng tượng</v>
      </c>
      <c r="G2489" s="6" t="s">
        <v>46425</v>
      </c>
      <c r="H2489" s="6" t="s">
        <v>46426</v>
      </c>
      <c r="I2489" s="7">
        <f t="shared" si="3"/>
        <v>0.9112087751</v>
      </c>
    </row>
    <row r="2490">
      <c r="A2490" s="4">
        <v>2490.0</v>
      </c>
      <c r="B2490" s="3" t="s">
        <v>46427</v>
      </c>
      <c r="C2490" s="6" t="s">
        <v>90</v>
      </c>
      <c r="D2490" s="6" t="s">
        <v>46428</v>
      </c>
      <c r="E2490" s="3" t="str">
        <f t="shared" si="1"/>
        <v>whenever&lt;br&gt;&lt;div class="audio"&gt;[sound:whenever.mp3]&lt;/div&gt;</v>
      </c>
      <c r="F2490" s="3" t="str">
        <f t="shared" si="2"/>
        <v>(conj): bất cứ khi nào</v>
      </c>
      <c r="G2490" s="6" t="s">
        <v>46429</v>
      </c>
      <c r="H2490" s="6" t="s">
        <v>46430</v>
      </c>
      <c r="I2490" s="7">
        <f t="shared" si="3"/>
        <v>0.2919550482</v>
      </c>
    </row>
    <row r="2491">
      <c r="A2491" s="4">
        <v>2491.0</v>
      </c>
      <c r="B2491" s="3" t="s">
        <v>46431</v>
      </c>
      <c r="C2491" s="6" t="s">
        <v>74</v>
      </c>
      <c r="D2491" s="8" t="s">
        <v>46432</v>
      </c>
      <c r="E2491" s="3" t="str">
        <f t="shared" si="1"/>
        <v>seeker&lt;br&gt;&lt;div class="audio"&gt;[sound:seeker.mp3]&lt;/div&gt;</v>
      </c>
      <c r="F2491" s="3" t="str">
        <f t="shared" si="2"/>
        <v>(n): người tìm kiếm</v>
      </c>
      <c r="G2491" s="8" t="s">
        <v>46433</v>
      </c>
      <c r="H2491" s="8" t="s">
        <v>46434</v>
      </c>
      <c r="I2491" s="7">
        <f t="shared" si="3"/>
        <v>0.8092415268</v>
      </c>
    </row>
    <row r="2492">
      <c r="A2492" s="4">
        <v>2492.0</v>
      </c>
      <c r="B2492" s="3" t="s">
        <v>46435</v>
      </c>
      <c r="C2492" s="6" t="s">
        <v>74</v>
      </c>
      <c r="D2492" s="8" t="s">
        <v>46436</v>
      </c>
      <c r="E2492" s="3" t="str">
        <f t="shared" si="1"/>
        <v>survivor&lt;br&gt;&lt;div class="audio"&gt;[sound:survivor.mp3]&lt;/div&gt;</v>
      </c>
      <c r="F2492" s="3" t="str">
        <f t="shared" si="2"/>
        <v>(n): người sống sót</v>
      </c>
      <c r="G2492" s="8" t="s">
        <v>46437</v>
      </c>
      <c r="H2492" s="8" t="s">
        <v>46438</v>
      </c>
      <c r="I2492" s="7">
        <f t="shared" si="3"/>
        <v>0.792105318</v>
      </c>
    </row>
    <row r="2493">
      <c r="A2493" s="4">
        <v>2493.0</v>
      </c>
      <c r="B2493" s="3" t="s">
        <v>46439</v>
      </c>
      <c r="C2493" s="6" t="s">
        <v>74</v>
      </c>
      <c r="D2493" s="6" t="s">
        <v>46440</v>
      </c>
      <c r="E2493" s="3" t="str">
        <f t="shared" si="1"/>
        <v>founder&lt;br&gt;&lt;div class="audio"&gt;[sound:founder.mp3]&lt;/div&gt;</v>
      </c>
      <c r="F2493" s="3" t="str">
        <f t="shared" si="2"/>
        <v>(n): người sáng lập</v>
      </c>
      <c r="G2493" s="6" t="s">
        <v>46441</v>
      </c>
      <c r="H2493" s="6" t="s">
        <v>46442</v>
      </c>
      <c r="I2493" s="7">
        <f t="shared" si="3"/>
        <v>0.2302833249</v>
      </c>
    </row>
    <row r="2494">
      <c r="A2494" s="4">
        <v>2494.0</v>
      </c>
      <c r="B2494" s="3" t="s">
        <v>46443</v>
      </c>
      <c r="C2494" s="6" t="s">
        <v>74</v>
      </c>
      <c r="D2494" s="8" t="s">
        <v>46444</v>
      </c>
      <c r="E2494" s="3" t="str">
        <f t="shared" si="1"/>
        <v>substitute&lt;br&gt;&lt;div class="audio"&gt;[sound:substitute.mp3]&lt;/div&gt;</v>
      </c>
      <c r="F2494" s="3" t="str">
        <f t="shared" si="2"/>
        <v>(n): người thay thế</v>
      </c>
      <c r="G2494" s="8" t="s">
        <v>46445</v>
      </c>
      <c r="H2494" s="8" t="s">
        <v>46446</v>
      </c>
      <c r="I2494" s="7">
        <f t="shared" si="3"/>
        <v>0.9524098642</v>
      </c>
    </row>
    <row r="2495">
      <c r="A2495" s="4">
        <v>2495.0</v>
      </c>
      <c r="B2495" s="3" t="s">
        <v>46447</v>
      </c>
      <c r="C2495" s="6" t="s">
        <v>11</v>
      </c>
      <c r="D2495" s="6" t="s">
        <v>46448</v>
      </c>
      <c r="E2495" s="3" t="str">
        <f t="shared" si="1"/>
        <v>qualified&lt;br&gt;&lt;div class="audio"&gt;[sound:qualified.mp3]&lt;/div&gt;</v>
      </c>
      <c r="F2495" s="3" t="str">
        <f t="shared" si="2"/>
        <v>(adj): có đủ trình độ</v>
      </c>
      <c r="G2495" s="6" t="s">
        <v>46449</v>
      </c>
      <c r="H2495" s="6" t="s">
        <v>46450</v>
      </c>
      <c r="I2495" s="7">
        <f t="shared" si="3"/>
        <v>0.4081439714</v>
      </c>
    </row>
    <row r="2496">
      <c r="A2496" s="4">
        <v>2496.0</v>
      </c>
      <c r="B2496" s="3" t="s">
        <v>46451</v>
      </c>
      <c r="C2496" s="6" t="s">
        <v>74</v>
      </c>
      <c r="D2496" s="6" t="s">
        <v>46452</v>
      </c>
      <c r="E2496" s="3" t="str">
        <f t="shared" si="1"/>
        <v>fantasy&lt;br&gt;&lt;div class="audio"&gt;[sound:fantasy.mp3]&lt;/div&gt;</v>
      </c>
      <c r="F2496" s="3" t="str">
        <f t="shared" si="2"/>
        <v>(n): sự tưởng tượng</v>
      </c>
      <c r="G2496" s="6" t="s">
        <v>46453</v>
      </c>
      <c r="H2496" s="6" t="s">
        <v>46454</v>
      </c>
      <c r="I2496" s="7">
        <f t="shared" si="3"/>
        <v>0.7267877484</v>
      </c>
    </row>
    <row r="2497">
      <c r="A2497" s="4">
        <v>2497.0</v>
      </c>
      <c r="B2497" s="3" t="s">
        <v>46455</v>
      </c>
      <c r="C2497" s="6" t="s">
        <v>85</v>
      </c>
      <c r="D2497" s="6" t="s">
        <v>46456</v>
      </c>
      <c r="E2497" s="3" t="str">
        <f t="shared" si="1"/>
        <v>literally&lt;br&gt;&lt;div class="audio"&gt;[sound:literally.mp3]&lt;/div&gt;</v>
      </c>
      <c r="F2497" s="3" t="str">
        <f t="shared" si="2"/>
        <v>(adv): theo nghĩa đen</v>
      </c>
      <c r="G2497" s="6" t="s">
        <v>46457</v>
      </c>
      <c r="H2497" s="6" t="s">
        <v>46458</v>
      </c>
      <c r="I2497" s="7">
        <f t="shared" si="3"/>
        <v>0.8162230964</v>
      </c>
    </row>
    <row r="2498">
      <c r="A2498" s="4">
        <v>2498.0</v>
      </c>
      <c r="B2498" s="3" t="s">
        <v>46459</v>
      </c>
      <c r="C2498" s="6" t="s">
        <v>74</v>
      </c>
      <c r="D2498" s="6" t="s">
        <v>6662</v>
      </c>
      <c r="E2498" s="3" t="str">
        <f t="shared" si="1"/>
        <v>revolution&lt;br&gt;&lt;div class="audio"&gt;[sound:revolution.mp3]&lt;/div&gt;</v>
      </c>
      <c r="F2498" s="3" t="str">
        <f t="shared" si="2"/>
        <v>(n): cuộc cách mạng</v>
      </c>
      <c r="G2498" s="6" t="s">
        <v>46460</v>
      </c>
      <c r="H2498" s="6" t="s">
        <v>46461</v>
      </c>
      <c r="I2498" s="7">
        <f t="shared" si="3"/>
        <v>0.7057504844</v>
      </c>
    </row>
    <row r="2499">
      <c r="A2499" s="4">
        <v>2499.0</v>
      </c>
      <c r="B2499" s="3" t="s">
        <v>46462</v>
      </c>
      <c r="C2499" s="6" t="s">
        <v>74</v>
      </c>
      <c r="D2499" s="6" t="s">
        <v>46463</v>
      </c>
      <c r="E2499" s="3" t="str">
        <f t="shared" si="1"/>
        <v>investigator&lt;br&gt;&lt;div class="audio"&gt;[sound:investigator.mp3]&lt;/div&gt;</v>
      </c>
      <c r="F2499" s="3" t="str">
        <f t="shared" si="2"/>
        <v>(n): người điều tra</v>
      </c>
      <c r="G2499" s="6" t="s">
        <v>46464</v>
      </c>
      <c r="H2499" s="6" t="s">
        <v>46465</v>
      </c>
      <c r="I2499" s="7">
        <f t="shared" si="3"/>
        <v>0.2593286538</v>
      </c>
    </row>
    <row r="2500">
      <c r="A2500" s="4">
        <v>2500.0</v>
      </c>
      <c r="B2500" s="3" t="s">
        <v>46466</v>
      </c>
      <c r="C2500" s="6" t="s">
        <v>74</v>
      </c>
      <c r="D2500" s="6" t="s">
        <v>46467</v>
      </c>
      <c r="E2500" s="3" t="str">
        <f t="shared" si="1"/>
        <v>motion&lt;br&gt;&lt;div class="audio"&gt;[sound:motion.mp3]&lt;/div&gt;</v>
      </c>
      <c r="F2500" s="3" t="str">
        <f t="shared" si="2"/>
        <v>(n): sự chuyển động</v>
      </c>
      <c r="G2500" s="6" t="s">
        <v>46468</v>
      </c>
      <c r="H2500" s="6" t="s">
        <v>46469</v>
      </c>
      <c r="I2500" s="7">
        <f t="shared" si="3"/>
        <v>0.6702290783</v>
      </c>
    </row>
    <row r="2501">
      <c r="A2501" s="4">
        <v>2501.0</v>
      </c>
      <c r="B2501" s="3" t="s">
        <v>46470</v>
      </c>
      <c r="C2501" s="6" t="s">
        <v>11</v>
      </c>
      <c r="D2501" s="6" t="s">
        <v>46471</v>
      </c>
      <c r="E2501" s="3" t="str">
        <f t="shared" si="1"/>
        <v>comparable&lt;br&gt;&lt;div class="audio"&gt;[sound:comparable.mp3]&lt;/div&gt;</v>
      </c>
      <c r="F2501" s="3" t="str">
        <f t="shared" si="2"/>
        <v>(adj): có thể so sánh</v>
      </c>
      <c r="G2501" s="6" t="s">
        <v>46472</v>
      </c>
      <c r="H2501" s="6" t="s">
        <v>46473</v>
      </c>
      <c r="I2501" s="7">
        <f t="shared" si="3"/>
        <v>0.8518291569</v>
      </c>
    </row>
    <row r="2502">
      <c r="A2502" s="4">
        <v>2502.0</v>
      </c>
      <c r="B2502" s="3" t="s">
        <v>46474</v>
      </c>
      <c r="C2502" s="6" t="s">
        <v>74</v>
      </c>
      <c r="D2502" s="8" t="s">
        <v>46475</v>
      </c>
      <c r="E2502" s="3" t="str">
        <f t="shared" si="1"/>
        <v>spokesman&lt;br&gt;&lt;div class="audio"&gt;[sound:spokesman.mp3]&lt;/div&gt;</v>
      </c>
      <c r="F2502" s="3" t="str">
        <f t="shared" si="2"/>
        <v>(n): phát ngôn viên</v>
      </c>
      <c r="G2502" s="8" t="s">
        <v>46476</v>
      </c>
      <c r="H2502" s="8" t="s">
        <v>46477</v>
      </c>
      <c r="I2502" s="7">
        <f t="shared" si="3"/>
        <v>0.4433530206</v>
      </c>
    </row>
    <row r="2503">
      <c r="A2503" s="4">
        <v>2503.0</v>
      </c>
      <c r="B2503" s="3" t="s">
        <v>46478</v>
      </c>
      <c r="C2503" s="6" t="s">
        <v>11</v>
      </c>
      <c r="D2503" s="8" t="s">
        <v>46479</v>
      </c>
      <c r="E2503" s="3" t="str">
        <f t="shared" si="1"/>
        <v>sporting&lt;br&gt;&lt;div class="audio"&gt;[sound:sporting.mp3]&lt;/div&gt;</v>
      </c>
      <c r="F2503" s="3" t="str">
        <f t="shared" si="2"/>
        <v>(adj): thuộc thể thao</v>
      </c>
      <c r="G2503" s="8" t="s">
        <v>46480</v>
      </c>
      <c r="H2503" s="8" t="s">
        <v>46481</v>
      </c>
      <c r="I2503" s="7">
        <f t="shared" si="3"/>
        <v>0.006665777372</v>
      </c>
    </row>
    <row r="2504">
      <c r="A2504" s="4">
        <v>2504.0</v>
      </c>
      <c r="B2504" s="3" t="s">
        <v>46482</v>
      </c>
      <c r="C2504" s="6" t="s">
        <v>11</v>
      </c>
      <c r="D2504" s="8" t="s">
        <v>46483</v>
      </c>
      <c r="E2504" s="3" t="str">
        <f t="shared" si="1"/>
        <v>statistical&lt;br&gt;&lt;div class="audio"&gt;[sound:statistical.mp3]&lt;/div&gt;</v>
      </c>
      <c r="F2504" s="3" t="str">
        <f t="shared" si="2"/>
        <v>(adj): thuộc thống kê</v>
      </c>
      <c r="G2504" s="8" t="s">
        <v>46484</v>
      </c>
      <c r="H2504" s="8" t="s">
        <v>46485</v>
      </c>
      <c r="I2504" s="7">
        <f t="shared" si="3"/>
        <v>0.4026701593</v>
      </c>
    </row>
    <row r="2505">
      <c r="A2505" s="4">
        <v>2505.0</v>
      </c>
      <c r="B2505" s="3" t="s">
        <v>46486</v>
      </c>
      <c r="C2505" s="6" t="s">
        <v>74</v>
      </c>
      <c r="D2505" s="8" t="s">
        <v>46487</v>
      </c>
      <c r="E2505" s="3" t="str">
        <f t="shared" si="1"/>
        <v>supervisor&lt;br&gt;&lt;div class="audio"&gt;[sound:supervisor.mp3]&lt;/div&gt;</v>
      </c>
      <c r="F2505" s="3" t="str">
        <f t="shared" si="2"/>
        <v>(n): người giám sát</v>
      </c>
      <c r="G2505" s="8" t="s">
        <v>46488</v>
      </c>
      <c r="H2505" s="8" t="s">
        <v>46489</v>
      </c>
      <c r="I2505" s="7">
        <f t="shared" si="3"/>
        <v>0.9683695645</v>
      </c>
    </row>
    <row r="2506">
      <c r="A2506" s="4">
        <v>2506.0</v>
      </c>
      <c r="B2506" s="3" t="s">
        <v>46490</v>
      </c>
      <c r="C2506" s="6" t="s">
        <v>74</v>
      </c>
      <c r="D2506" s="6" t="s">
        <v>46491</v>
      </c>
      <c r="E2506" s="3" t="str">
        <f t="shared" si="1"/>
        <v>communist&lt;br&gt;&lt;div class="audio"&gt;[sound:communist.mp3]&lt;/div&gt;</v>
      </c>
      <c r="F2506" s="3" t="str">
        <f t="shared" si="2"/>
        <v>(n): người cộng sản</v>
      </c>
      <c r="G2506" s="6" t="s">
        <v>46492</v>
      </c>
      <c r="H2506" s="6" t="s">
        <v>46493</v>
      </c>
      <c r="I2506" s="7">
        <f t="shared" si="3"/>
        <v>0.9847371773</v>
      </c>
    </row>
    <row r="2507">
      <c r="A2507" s="4">
        <v>2507.0</v>
      </c>
      <c r="B2507" s="3" t="s">
        <v>46494</v>
      </c>
      <c r="C2507" s="6" t="s">
        <v>74</v>
      </c>
      <c r="D2507" s="6" t="s">
        <v>46495</v>
      </c>
      <c r="E2507" s="3" t="str">
        <f t="shared" si="1"/>
        <v>resort&lt;br&gt;&lt;div class="audio"&gt;[sound:resort.mp3]&lt;/div&gt;</v>
      </c>
      <c r="F2507" s="3" t="str">
        <f t="shared" si="2"/>
        <v>(n): khu nghỉ dưỡng</v>
      </c>
      <c r="G2507" s="6" t="s">
        <v>46496</v>
      </c>
      <c r="H2507" s="6" t="s">
        <v>46497</v>
      </c>
      <c r="I2507" s="7">
        <f t="shared" si="3"/>
        <v>0.9820554557</v>
      </c>
    </row>
    <row r="2508">
      <c r="A2508" s="4">
        <v>2508.0</v>
      </c>
      <c r="B2508" s="3" t="s">
        <v>46498</v>
      </c>
      <c r="C2508" s="6" t="s">
        <v>24</v>
      </c>
      <c r="D2508" s="6" t="s">
        <v>46499</v>
      </c>
      <c r="E2508" s="3" t="str">
        <f t="shared" si="1"/>
        <v>injure&lt;br&gt;&lt;div class="audio"&gt;[sound:injure.mp3]&lt;/div&gt;</v>
      </c>
      <c r="F2508" s="3" t="str">
        <f t="shared" si="2"/>
        <v>(v): làm bị thương</v>
      </c>
      <c r="G2508" s="6" t="s">
        <v>46500</v>
      </c>
      <c r="H2508" s="6" t="s">
        <v>46501</v>
      </c>
      <c r="I2508" s="7">
        <f t="shared" si="3"/>
        <v>0.7864899203</v>
      </c>
    </row>
    <row r="2509">
      <c r="A2509" s="4">
        <v>2509.0</v>
      </c>
      <c r="B2509" s="3" t="s">
        <v>46502</v>
      </c>
      <c r="C2509" s="6" t="s">
        <v>74</v>
      </c>
      <c r="D2509" s="6" t="s">
        <v>46503</v>
      </c>
      <c r="E2509" s="3" t="str">
        <f t="shared" si="1"/>
        <v>collector&lt;br&gt;&lt;div class="audio"&gt;[sound:collector.mp3]&lt;/div&gt;</v>
      </c>
      <c r="F2509" s="3" t="str">
        <f t="shared" si="2"/>
        <v>(n): người sưu tầm</v>
      </c>
      <c r="G2509" s="6" t="s">
        <v>46504</v>
      </c>
      <c r="H2509" s="6" t="s">
        <v>46505</v>
      </c>
      <c r="I2509" s="7">
        <f t="shared" si="3"/>
        <v>0.3495938877</v>
      </c>
    </row>
    <row r="2510">
      <c r="A2510" s="4">
        <v>2510.0</v>
      </c>
      <c r="B2510" s="3" t="s">
        <v>46506</v>
      </c>
      <c r="C2510" s="6" t="s">
        <v>74</v>
      </c>
      <c r="D2510" s="6" t="s">
        <v>46507</v>
      </c>
      <c r="E2510" s="3" t="str">
        <f t="shared" si="1"/>
        <v>composer&lt;br&gt;&lt;div class="audio"&gt;[sound:composer.mp3]&lt;/div&gt;</v>
      </c>
      <c r="F2510" s="3" t="str">
        <f t="shared" si="2"/>
        <v>(n): nhà soạn nhạc</v>
      </c>
      <c r="G2510" s="6" t="s">
        <v>46508</v>
      </c>
      <c r="H2510" s="6" t="s">
        <v>46509</v>
      </c>
      <c r="I2510" s="7">
        <f t="shared" si="3"/>
        <v>0.2138303878</v>
      </c>
    </row>
    <row r="2511">
      <c r="A2511" s="4">
        <v>2511.0</v>
      </c>
      <c r="B2511" s="3" t="s">
        <v>46510</v>
      </c>
      <c r="C2511" s="6" t="s">
        <v>74</v>
      </c>
      <c r="D2511" s="6" t="s">
        <v>46511</v>
      </c>
      <c r="E2511" s="3" t="str">
        <f t="shared" si="1"/>
        <v>politician&lt;br&gt;&lt;div class="audio"&gt;[sound:politician.mp3]&lt;/div&gt;</v>
      </c>
      <c r="F2511" s="3" t="str">
        <f t="shared" si="2"/>
        <v>(n): chính trị gia</v>
      </c>
      <c r="G2511" s="6" t="s">
        <v>46512</v>
      </c>
      <c r="H2511" s="6" t="s">
        <v>46513</v>
      </c>
      <c r="I2511" s="7">
        <f t="shared" si="3"/>
        <v>0.7871134269</v>
      </c>
    </row>
    <row r="2512">
      <c r="A2512" s="4">
        <v>2512.0</v>
      </c>
      <c r="B2512" s="3" t="s">
        <v>46514</v>
      </c>
      <c r="C2512" s="6" t="s">
        <v>85</v>
      </c>
      <c r="D2512" s="6" t="s">
        <v>46515</v>
      </c>
      <c r="E2512" s="3" t="str">
        <f t="shared" si="1"/>
        <v>nowhere&lt;br&gt;&lt;div class="audio"&gt;[sound:nowhere.mp3]&lt;/div&gt;</v>
      </c>
      <c r="F2512" s="3" t="str">
        <f t="shared" si="2"/>
        <v>(adv): không nơi nào</v>
      </c>
      <c r="G2512" s="6" t="s">
        <v>46516</v>
      </c>
      <c r="H2512" s="6" t="s">
        <v>46517</v>
      </c>
      <c r="I2512" s="7">
        <f t="shared" si="3"/>
        <v>0.8960748875</v>
      </c>
    </row>
    <row r="2513">
      <c r="A2513" s="4">
        <v>2513.0</v>
      </c>
      <c r="B2513" s="3" t="s">
        <v>46518</v>
      </c>
      <c r="C2513" s="6" t="s">
        <v>74</v>
      </c>
      <c r="D2513" s="6" t="s">
        <v>29873</v>
      </c>
      <c r="E2513" s="3" t="str">
        <f t="shared" si="1"/>
        <v>enthusiasm&lt;br&gt;&lt;div class="audio"&gt;[sound:enthusiasm.mp3]&lt;/div&gt;</v>
      </c>
      <c r="F2513" s="3" t="str">
        <f t="shared" si="2"/>
        <v>(n): sự nhiệt tình</v>
      </c>
      <c r="G2513" s="6" t="s">
        <v>46519</v>
      </c>
      <c r="H2513" s="6" t="s">
        <v>46520</v>
      </c>
      <c r="I2513" s="7">
        <f t="shared" si="3"/>
        <v>0.2711086529</v>
      </c>
    </row>
    <row r="2514">
      <c r="A2514" s="4">
        <v>2514.0</v>
      </c>
      <c r="B2514" s="3" t="s">
        <v>46521</v>
      </c>
      <c r="C2514" s="6" t="s">
        <v>74</v>
      </c>
      <c r="D2514" s="6" t="s">
        <v>5560</v>
      </c>
      <c r="E2514" s="3" t="str">
        <f t="shared" si="1"/>
        <v>camping&lt;br&gt;&lt;div class="audio"&gt;[sound:camping.mp3]&lt;/div&gt;</v>
      </c>
      <c r="F2514" s="3" t="str">
        <f t="shared" si="2"/>
        <v>(n): cắm trại</v>
      </c>
      <c r="G2514" s="6" t="s">
        <v>46522</v>
      </c>
      <c r="H2514" s="6" t="s">
        <v>46523</v>
      </c>
      <c r="I2514" s="7">
        <f t="shared" si="3"/>
        <v>0.4520532366</v>
      </c>
    </row>
    <row r="2515">
      <c r="A2515" s="4">
        <v>2515.0</v>
      </c>
      <c r="B2515" s="3" t="s">
        <v>46524</v>
      </c>
      <c r="C2515" s="6" t="s">
        <v>74</v>
      </c>
      <c r="D2515" s="6" t="s">
        <v>46525</v>
      </c>
      <c r="E2515" s="3" t="str">
        <f t="shared" si="1"/>
        <v>reflection&lt;br&gt;&lt;div class="audio"&gt;[sound:reflection.mp3]&lt;/div&gt;</v>
      </c>
      <c r="F2515" s="3" t="str">
        <f t="shared" si="2"/>
        <v>(n): sự phản chiếu</v>
      </c>
      <c r="G2515" s="6" t="s">
        <v>46526</v>
      </c>
      <c r="H2515" s="6" t="s">
        <v>46527</v>
      </c>
      <c r="I2515" s="7">
        <f t="shared" si="3"/>
        <v>0.003287055776</v>
      </c>
    </row>
    <row r="2516">
      <c r="A2516" s="4">
        <v>2516.0</v>
      </c>
      <c r="B2516" s="3" t="s">
        <v>46528</v>
      </c>
      <c r="C2516" s="6" t="s">
        <v>11</v>
      </c>
      <c r="D2516" s="6" t="s">
        <v>46529</v>
      </c>
      <c r="E2516" s="3" t="str">
        <f t="shared" si="1"/>
        <v>plastic&lt;br&gt;&lt;div class="audio"&gt;[sound:plastic.mp3]&lt;/div&gt;</v>
      </c>
      <c r="F2516" s="3" t="str">
        <f t="shared" si="2"/>
        <v>(adj): làm bằng nhựa</v>
      </c>
      <c r="G2516" s="6" t="s">
        <v>46530</v>
      </c>
      <c r="H2516" s="6" t="s">
        <v>46531</v>
      </c>
      <c r="I2516" s="7">
        <f t="shared" si="3"/>
        <v>0.4146152098</v>
      </c>
    </row>
    <row r="2517">
      <c r="A2517" s="4">
        <v>2517.0</v>
      </c>
      <c r="B2517" s="3" t="s">
        <v>46532</v>
      </c>
      <c r="C2517" s="6" t="s">
        <v>74</v>
      </c>
      <c r="D2517" s="6" t="s">
        <v>46533</v>
      </c>
      <c r="E2517" s="3" t="str">
        <f t="shared" si="1"/>
        <v>ranking&lt;br&gt;&lt;div class="audio"&gt;[sound:ranking.mp3]&lt;/div&gt;</v>
      </c>
      <c r="F2517" s="3" t="str">
        <f t="shared" si="2"/>
        <v>(n): bảng xếp hạng</v>
      </c>
      <c r="G2517" s="6" t="s">
        <v>46534</v>
      </c>
      <c r="H2517" s="6" t="s">
        <v>46535</v>
      </c>
      <c r="I2517" s="7">
        <f t="shared" si="3"/>
        <v>0.9995827051</v>
      </c>
    </row>
    <row r="2518">
      <c r="A2518" s="4">
        <v>2518.0</v>
      </c>
      <c r="B2518" s="3" t="s">
        <v>46536</v>
      </c>
      <c r="C2518" s="6" t="s">
        <v>74</v>
      </c>
      <c r="D2518" s="6" t="s">
        <v>46537</v>
      </c>
      <c r="E2518" s="3" t="str">
        <f t="shared" si="1"/>
        <v>completion&lt;br&gt;&lt;div class="audio"&gt;[sound:completion.mp3]&lt;/div&gt;</v>
      </c>
      <c r="F2518" s="3" t="str">
        <f t="shared" si="2"/>
        <v>(n): sự hoàn thành</v>
      </c>
      <c r="G2518" s="6" t="s">
        <v>46538</v>
      </c>
      <c r="H2518" s="6" t="s">
        <v>46539</v>
      </c>
      <c r="I2518" s="7">
        <f t="shared" si="3"/>
        <v>0.7780954738</v>
      </c>
    </row>
    <row r="2519">
      <c r="A2519" s="4">
        <v>2519.0</v>
      </c>
      <c r="B2519" s="3" t="s">
        <v>46540</v>
      </c>
      <c r="C2519" s="6" t="s">
        <v>74</v>
      </c>
      <c r="D2519" s="6" t="s">
        <v>46541</v>
      </c>
      <c r="E2519" s="3" t="str">
        <f t="shared" si="1"/>
        <v>illustration&lt;br&gt;&lt;div class="audio"&gt;[sound:illustration.mp3]&lt;/div&gt;</v>
      </c>
      <c r="F2519" s="3" t="str">
        <f t="shared" si="2"/>
        <v>(n): hình minh họa</v>
      </c>
      <c r="G2519" s="6" t="s">
        <v>46542</v>
      </c>
      <c r="H2519" s="6" t="s">
        <v>46543</v>
      </c>
      <c r="I2519" s="7">
        <f t="shared" si="3"/>
        <v>0.8323122016</v>
      </c>
    </row>
    <row r="2520">
      <c r="A2520" s="4">
        <v>2520.0</v>
      </c>
      <c r="B2520" s="3" t="s">
        <v>46544</v>
      </c>
      <c r="C2520" s="6" t="s">
        <v>74</v>
      </c>
      <c r="D2520" s="6" t="s">
        <v>46545</v>
      </c>
      <c r="E2520" s="3" t="str">
        <f t="shared" si="1"/>
        <v>grace&lt;br&gt;&lt;div class="audio"&gt;[sound:grace.mp3]&lt;/div&gt;</v>
      </c>
      <c r="F2520" s="3" t="str">
        <f t="shared" si="2"/>
        <v>(n): sự duyên dáng</v>
      </c>
      <c r="G2520" s="6" t="s">
        <v>46546</v>
      </c>
      <c r="H2520" s="6" t="s">
        <v>46547</v>
      </c>
      <c r="I2520" s="7">
        <f t="shared" si="3"/>
        <v>0.389044658</v>
      </c>
    </row>
    <row r="2521">
      <c r="A2521" s="4">
        <v>2521.0</v>
      </c>
      <c r="B2521" s="3" t="s">
        <v>46548</v>
      </c>
      <c r="C2521" s="6" t="s">
        <v>11</v>
      </c>
      <c r="D2521" s="6" t="s">
        <v>27910</v>
      </c>
      <c r="E2521" s="3" t="str">
        <f t="shared" si="1"/>
        <v>scared&lt;br&gt;&lt;div class="audio"&gt;[sound:scared.mp3]&lt;/div&gt;</v>
      </c>
      <c r="F2521" s="3" t="str">
        <f t="shared" si="2"/>
        <v>(adj): sợ hãi</v>
      </c>
      <c r="G2521" s="6" t="s">
        <v>46549</v>
      </c>
      <c r="H2521" s="6" t="s">
        <v>46550</v>
      </c>
      <c r="I2521" s="7">
        <f t="shared" si="3"/>
        <v>0.1451967808</v>
      </c>
    </row>
    <row r="2522">
      <c r="A2522" s="4">
        <v>2522.0</v>
      </c>
      <c r="B2522" s="3" t="s">
        <v>46551</v>
      </c>
      <c r="C2522" s="6" t="s">
        <v>44</v>
      </c>
      <c r="D2522" s="6" t="s">
        <v>38309</v>
      </c>
      <c r="E2522" s="3" t="str">
        <f t="shared" si="1"/>
        <v>ours&lt;br&gt;&lt;div class="audio"&gt;[sound:ours.mp3]&lt;/div&gt;</v>
      </c>
      <c r="F2522" s="3" t="str">
        <f t="shared" si="2"/>
        <v>(pron): của chúng tôi</v>
      </c>
      <c r="G2522" s="6" t="s">
        <v>46552</v>
      </c>
      <c r="H2522" s="6" t="s">
        <v>46553</v>
      </c>
      <c r="I2522" s="7">
        <f t="shared" si="3"/>
        <v>0.2435096976</v>
      </c>
    </row>
    <row r="2523">
      <c r="A2523" s="4">
        <v>2523.0</v>
      </c>
      <c r="B2523" s="3" t="s">
        <v>46554</v>
      </c>
      <c r="C2523" s="6" t="s">
        <v>74</v>
      </c>
      <c r="D2523" s="6" t="s">
        <v>46555</v>
      </c>
      <c r="E2523" s="3" t="str">
        <f t="shared" si="1"/>
        <v>formation&lt;br&gt;&lt;div class="audio"&gt;[sound:formation.mp3]&lt;/div&gt;</v>
      </c>
      <c r="F2523" s="3" t="str">
        <f t="shared" si="2"/>
        <v>(n): sự hình thành</v>
      </c>
      <c r="G2523" s="6" t="s">
        <v>46556</v>
      </c>
      <c r="H2523" s="6" t="s">
        <v>46557</v>
      </c>
      <c r="I2523" s="7">
        <f t="shared" si="3"/>
        <v>0.09099156297</v>
      </c>
    </row>
    <row r="2524">
      <c r="A2524" s="4">
        <v>2524.0</v>
      </c>
      <c r="B2524" s="3" t="s">
        <v>46558</v>
      </c>
      <c r="C2524" s="6" t="s">
        <v>74</v>
      </c>
      <c r="D2524" s="6" t="s">
        <v>46559</v>
      </c>
      <c r="E2524" s="3" t="str">
        <f t="shared" si="1"/>
        <v>heating&lt;br&gt;&lt;div class="audio"&gt;[sound:heating.mp3]&lt;/div&gt;</v>
      </c>
      <c r="F2524" s="3" t="str">
        <f t="shared" si="2"/>
        <v>(n): hệ thống sưởi</v>
      </c>
      <c r="G2524" s="6" t="s">
        <v>46560</v>
      </c>
      <c r="H2524" s="6" t="s">
        <v>46561</v>
      </c>
      <c r="I2524" s="7">
        <f t="shared" si="3"/>
        <v>0.2517242505</v>
      </c>
    </row>
    <row r="2525">
      <c r="A2525" s="4">
        <v>2525.0</v>
      </c>
      <c r="B2525" s="3" t="s">
        <v>46562</v>
      </c>
      <c r="C2525" s="6" t="s">
        <v>74</v>
      </c>
      <c r="D2525" s="6" t="s">
        <v>10368</v>
      </c>
      <c r="E2525" s="3" t="str">
        <f t="shared" si="1"/>
        <v>trainer&lt;br&gt;&lt;div class="audio"&gt;[sound:trainer.mp3]&lt;/div&gt;</v>
      </c>
      <c r="F2525" s="3" t="str">
        <f t="shared" si="2"/>
        <v>(n): huấn luyện viên</v>
      </c>
      <c r="G2525" s="6" t="s">
        <v>46563</v>
      </c>
      <c r="H2525" s="6" t="s">
        <v>46564</v>
      </c>
      <c r="I2525" s="7">
        <f t="shared" si="3"/>
        <v>0.8859469474</v>
      </c>
    </row>
    <row r="2526">
      <c r="A2526" s="4">
        <v>2526.0</v>
      </c>
      <c r="B2526" s="3" t="s">
        <v>46565</v>
      </c>
      <c r="C2526" s="6" t="s">
        <v>74</v>
      </c>
      <c r="D2526" s="6" t="s">
        <v>46566</v>
      </c>
      <c r="E2526" s="3" t="str">
        <f t="shared" si="1"/>
        <v>traveller&lt;br&gt;&lt;div class="audio"&gt;[sound:traveller.mp3]&lt;/div&gt;</v>
      </c>
      <c r="F2526" s="3" t="str">
        <f t="shared" si="2"/>
        <v>(n): người du lịch</v>
      </c>
      <c r="G2526" s="6" t="s">
        <v>46567</v>
      </c>
      <c r="H2526" s="6" t="s">
        <v>46568</v>
      </c>
      <c r="I2526" s="7">
        <f t="shared" si="3"/>
        <v>0.5787578496</v>
      </c>
    </row>
    <row r="2527">
      <c r="A2527" s="4">
        <v>2527.0</v>
      </c>
      <c r="B2527" s="3" t="s">
        <v>46569</v>
      </c>
      <c r="C2527" s="6" t="s">
        <v>11</v>
      </c>
      <c r="D2527" s="6" t="s">
        <v>46570</v>
      </c>
      <c r="E2527" s="3" t="str">
        <f t="shared" si="1"/>
        <v>electrical&lt;br&gt;&lt;div class="audio"&gt;[sound:electrical.mp3]&lt;/div&gt;</v>
      </c>
      <c r="F2527" s="3" t="str">
        <f t="shared" si="2"/>
        <v>(adj): thuộc về điện</v>
      </c>
      <c r="G2527" s="6" t="s">
        <v>46571</v>
      </c>
      <c r="H2527" s="6" t="s">
        <v>46572</v>
      </c>
      <c r="I2527" s="7">
        <f t="shared" si="3"/>
        <v>0.2625953769</v>
      </c>
    </row>
    <row r="2528">
      <c r="A2528" s="4">
        <v>2528.0</v>
      </c>
      <c r="B2528" s="3" t="s">
        <v>46573</v>
      </c>
      <c r="C2528" s="6" t="s">
        <v>74</v>
      </c>
      <c r="D2528" s="6" t="s">
        <v>46574</v>
      </c>
      <c r="E2528" s="3" t="str">
        <f t="shared" si="1"/>
        <v>republic&lt;br&gt;&lt;div class="audio"&gt;[sound:republic.mp3]&lt;/div&gt;</v>
      </c>
      <c r="F2528" s="3" t="str">
        <f t="shared" si="2"/>
        <v>(n): nước cộng hòa</v>
      </c>
      <c r="G2528" s="6" t="s">
        <v>46575</v>
      </c>
      <c r="H2528" s="6" t="s">
        <v>46576</v>
      </c>
      <c r="I2528" s="7">
        <f t="shared" si="3"/>
        <v>0.7411020775</v>
      </c>
    </row>
    <row r="2529">
      <c r="A2529" s="4">
        <v>2529.0</v>
      </c>
      <c r="B2529" s="3" t="s">
        <v>46577</v>
      </c>
      <c r="C2529" s="6" t="s">
        <v>74</v>
      </c>
      <c r="D2529" s="6" t="s">
        <v>5436</v>
      </c>
      <c r="E2529" s="3" t="str">
        <f t="shared" si="1"/>
        <v>advertisement&lt;br&gt;&lt;div class="audio"&gt;[sound:advertisement.mp3]&lt;/div&gt;</v>
      </c>
      <c r="F2529" s="3" t="str">
        <f t="shared" si="2"/>
        <v>(n): quảng cáo</v>
      </c>
      <c r="G2529" s="6" t="s">
        <v>46578</v>
      </c>
      <c r="H2529" s="6" t="s">
        <v>46579</v>
      </c>
      <c r="I2529" s="7">
        <f t="shared" si="3"/>
        <v>0.9638566659</v>
      </c>
    </row>
    <row r="2530">
      <c r="A2530" s="4">
        <v>2530.0</v>
      </c>
      <c r="B2530" s="3" t="s">
        <v>46580</v>
      </c>
      <c r="C2530" s="6" t="s">
        <v>74</v>
      </c>
      <c r="D2530" s="6" t="s">
        <v>46581</v>
      </c>
      <c r="E2530" s="3" t="str">
        <f t="shared" si="1"/>
        <v>voting&lt;br&gt;&lt;div class="audio"&gt;[sound:voting.mp3]&lt;/div&gt;</v>
      </c>
      <c r="F2530" s="3" t="str">
        <f t="shared" si="2"/>
        <v>(n): việc bỏ phiếu</v>
      </c>
      <c r="G2530" s="6" t="s">
        <v>46582</v>
      </c>
      <c r="H2530" s="6" t="s">
        <v>46583</v>
      </c>
      <c r="I2530" s="7">
        <f t="shared" si="3"/>
        <v>0.03610330049</v>
      </c>
    </row>
    <row r="2531">
      <c r="A2531" s="4">
        <v>2531.0</v>
      </c>
      <c r="B2531" s="3" t="s">
        <v>46584</v>
      </c>
      <c r="C2531" s="6" t="s">
        <v>74</v>
      </c>
      <c r="D2531" s="8" t="s">
        <v>46585</v>
      </c>
      <c r="E2531" s="3" t="str">
        <f t="shared" si="1"/>
        <v>subscriber&lt;br&gt;&lt;div class="audio"&gt;[sound:subscriber.mp3]&lt;/div&gt;</v>
      </c>
      <c r="F2531" s="3" t="str">
        <f t="shared" si="2"/>
        <v>(n): người đăng ký</v>
      </c>
      <c r="G2531" s="8" t="s">
        <v>46586</v>
      </c>
      <c r="H2531" s="8" t="s">
        <v>46587</v>
      </c>
      <c r="I2531" s="7">
        <f t="shared" si="3"/>
        <v>0.2417561878</v>
      </c>
    </row>
    <row r="2532">
      <c r="A2532" s="4">
        <v>2532.0</v>
      </c>
      <c r="B2532" s="3" t="s">
        <v>46588</v>
      </c>
      <c r="C2532" s="6" t="s">
        <v>74</v>
      </c>
      <c r="D2532" s="6" t="s">
        <v>46589</v>
      </c>
      <c r="E2532" s="3" t="str">
        <f t="shared" si="1"/>
        <v>adjustment&lt;br&gt;&lt;div class="audio"&gt;[sound:adjustment.mp3]&lt;/div&gt;</v>
      </c>
      <c r="F2532" s="3" t="str">
        <f t="shared" si="2"/>
        <v>(n): sự điều chỉnh</v>
      </c>
      <c r="G2532" s="6" t="s">
        <v>46590</v>
      </c>
      <c r="H2532" s="6" t="s">
        <v>46591</v>
      </c>
      <c r="I2532" s="7">
        <f t="shared" si="3"/>
        <v>0.9834651436</v>
      </c>
    </row>
    <row r="2533">
      <c r="A2533" s="4">
        <v>2533.0</v>
      </c>
      <c r="B2533" s="3" t="s">
        <v>46592</v>
      </c>
      <c r="C2533" s="6" t="s">
        <v>74</v>
      </c>
      <c r="D2533" s="6" t="s">
        <v>46593</v>
      </c>
      <c r="E2533" s="3" t="str">
        <f t="shared" si="1"/>
        <v>commentary&lt;br&gt;&lt;div class="audio"&gt;[sound:commentary.mp3]&lt;/div&gt;</v>
      </c>
      <c r="F2533" s="3" t="str">
        <f t="shared" si="2"/>
        <v>(n): bài bình luận</v>
      </c>
      <c r="G2533" s="6" t="s">
        <v>46594</v>
      </c>
      <c r="H2533" s="6" t="s">
        <v>46595</v>
      </c>
      <c r="I2533" s="7">
        <f t="shared" si="3"/>
        <v>0.9908479959</v>
      </c>
    </row>
    <row r="2534">
      <c r="A2534" s="4">
        <v>2534.0</v>
      </c>
      <c r="B2534" s="3" t="s">
        <v>46596</v>
      </c>
      <c r="C2534" s="6" t="s">
        <v>74</v>
      </c>
      <c r="D2534" s="6" t="s">
        <v>46597</v>
      </c>
      <c r="E2534" s="3" t="str">
        <f t="shared" si="1"/>
        <v>publisher&lt;br&gt;&lt;div class="audio"&gt;[sound:publisher.mp3]&lt;/div&gt;</v>
      </c>
      <c r="F2534" s="3" t="str">
        <f t="shared" si="2"/>
        <v>(n): nhà xuất bản</v>
      </c>
      <c r="G2534" s="6" t="s">
        <v>46598</v>
      </c>
      <c r="H2534" s="6" t="s">
        <v>46599</v>
      </c>
      <c r="I2534" s="7">
        <f t="shared" si="3"/>
        <v>0.4737491686</v>
      </c>
    </row>
    <row r="2535">
      <c r="A2535" s="4">
        <v>2535.0</v>
      </c>
      <c r="B2535" s="3" t="s">
        <v>46600</v>
      </c>
      <c r="C2535" s="6" t="s">
        <v>24</v>
      </c>
      <c r="D2535" s="6" t="s">
        <v>46601</v>
      </c>
      <c r="E2535" s="3" t="str">
        <f t="shared" si="1"/>
        <v>qualify&lt;br&gt;&lt;div class="audio"&gt;[sound:qualify.mp3]&lt;/div&gt;</v>
      </c>
      <c r="F2535" s="3" t="str">
        <f t="shared" si="2"/>
        <v>(v): đủ điều kiện</v>
      </c>
      <c r="G2535" s="6" t="s">
        <v>46602</v>
      </c>
      <c r="H2535" s="6" t="s">
        <v>46603</v>
      </c>
      <c r="I2535" s="7">
        <f t="shared" si="3"/>
        <v>0.0005489254481</v>
      </c>
    </row>
    <row r="2536">
      <c r="A2536" s="4">
        <v>2536.0</v>
      </c>
      <c r="B2536" s="3" t="s">
        <v>46604</v>
      </c>
      <c r="C2536" s="6" t="s">
        <v>74</v>
      </c>
      <c r="D2536" s="6" t="s">
        <v>45952</v>
      </c>
      <c r="E2536" s="3" t="str">
        <f t="shared" si="1"/>
        <v>hunting&lt;br&gt;&lt;div class="audio"&gt;[sound:hunting.mp3]&lt;/div&gt;</v>
      </c>
      <c r="F2536" s="3" t="str">
        <f t="shared" si="2"/>
        <v>(n): săn bắn</v>
      </c>
      <c r="G2536" s="6" t="s">
        <v>46605</v>
      </c>
      <c r="H2536" s="6" t="s">
        <v>46606</v>
      </c>
      <c r="I2536" s="7">
        <f t="shared" si="3"/>
        <v>0.5340311617</v>
      </c>
    </row>
    <row r="2537">
      <c r="A2537" s="4">
        <v>2537.0</v>
      </c>
      <c r="B2537" s="3" t="s">
        <v>46607</v>
      </c>
      <c r="C2537" s="6" t="s">
        <v>11</v>
      </c>
      <c r="D2537" s="6" t="s">
        <v>37269</v>
      </c>
      <c r="E2537" s="3" t="str">
        <f t="shared" si="1"/>
        <v>reliable&lt;br&gt;&lt;div class="audio"&gt;[sound:reliable.mp3]&lt;/div&gt;</v>
      </c>
      <c r="F2537" s="3" t="str">
        <f t="shared" si="2"/>
        <v>(adj): đáng tin cậy</v>
      </c>
      <c r="G2537" s="6" t="s">
        <v>46608</v>
      </c>
      <c r="H2537" s="6" t="s">
        <v>46609</v>
      </c>
      <c r="I2537" s="7">
        <f t="shared" si="3"/>
        <v>0.395967341</v>
      </c>
    </row>
    <row r="2538">
      <c r="A2538" s="4">
        <v>2538.0</v>
      </c>
      <c r="B2538" s="3" t="s">
        <v>46610</v>
      </c>
      <c r="C2538" s="6" t="s">
        <v>74</v>
      </c>
      <c r="D2538" s="6" t="s">
        <v>46611</v>
      </c>
      <c r="E2538" s="3" t="str">
        <f t="shared" si="1"/>
        <v>pursuit&lt;br&gt;&lt;div class="audio"&gt;[sound:pursuit.mp3]&lt;/div&gt;</v>
      </c>
      <c r="F2538" s="3" t="str">
        <f t="shared" si="2"/>
        <v>(n): sự theo đuổi</v>
      </c>
      <c r="G2538" s="6" t="s">
        <v>46612</v>
      </c>
      <c r="H2538" s="6" t="s">
        <v>46613</v>
      </c>
      <c r="I2538" s="7">
        <f t="shared" si="3"/>
        <v>0.6498812768</v>
      </c>
    </row>
    <row r="2539">
      <c r="A2539" s="4">
        <v>2539.0</v>
      </c>
      <c r="B2539" s="3" t="s">
        <v>46614</v>
      </c>
      <c r="C2539" s="6" t="s">
        <v>74</v>
      </c>
      <c r="D2539" s="6" t="s">
        <v>1781</v>
      </c>
      <c r="E2539" s="3" t="str">
        <f t="shared" si="1"/>
        <v>perception&lt;br&gt;&lt;div class="audio"&gt;[sound:perception.mp3]&lt;/div&gt;</v>
      </c>
      <c r="F2539" s="3" t="str">
        <f t="shared" si="2"/>
        <v>(n): sự nhận thức</v>
      </c>
      <c r="G2539" s="6" t="s">
        <v>46615</v>
      </c>
      <c r="H2539" s="6" t="s">
        <v>46616</v>
      </c>
      <c r="I2539" s="7">
        <f t="shared" si="3"/>
        <v>0.6505185321</v>
      </c>
    </row>
    <row r="2540">
      <c r="A2540" s="4">
        <v>2540.0</v>
      </c>
      <c r="B2540" s="3" t="s">
        <v>46617</v>
      </c>
      <c r="C2540" s="6" t="s">
        <v>11</v>
      </c>
      <c r="D2540" s="6" t="s">
        <v>949</v>
      </c>
      <c r="E2540" s="3" t="str">
        <f t="shared" si="1"/>
        <v>instant&lt;br&gt;&lt;div class="audio"&gt;[sound:instant.mp3]&lt;/div&gt;</v>
      </c>
      <c r="F2540" s="3" t="str">
        <f t="shared" si="2"/>
        <v>(adj): ngay lập tức</v>
      </c>
      <c r="G2540" s="6" t="s">
        <v>46618</v>
      </c>
      <c r="H2540" s="6" t="s">
        <v>46619</v>
      </c>
      <c r="I2540" s="7">
        <f t="shared" si="3"/>
        <v>0.6180115729</v>
      </c>
    </row>
    <row r="2541">
      <c r="A2541" s="4">
        <v>2541.0</v>
      </c>
      <c r="B2541" s="3" t="s">
        <v>46620</v>
      </c>
      <c r="C2541" s="6" t="s">
        <v>85</v>
      </c>
      <c r="D2541" s="6" t="s">
        <v>46621</v>
      </c>
      <c r="E2541" s="3" t="str">
        <f t="shared" si="1"/>
        <v>aside&lt;br&gt;&lt;div class="audio"&gt;[sound:aside.mp3]&lt;/div&gt;</v>
      </c>
      <c r="F2541" s="3" t="str">
        <f t="shared" si="2"/>
        <v>(adv): sang một bên</v>
      </c>
      <c r="G2541" s="6" t="s">
        <v>46622</v>
      </c>
      <c r="H2541" s="6" t="s">
        <v>46623</v>
      </c>
      <c r="I2541" s="7">
        <f t="shared" si="3"/>
        <v>0.295856565</v>
      </c>
    </row>
    <row r="2542">
      <c r="A2542" s="4">
        <v>2542.0</v>
      </c>
      <c r="B2542" s="3" t="s">
        <v>46624</v>
      </c>
      <c r="C2542" s="6" t="s">
        <v>74</v>
      </c>
      <c r="D2542" s="6" t="s">
        <v>46625</v>
      </c>
      <c r="E2542" s="3" t="str">
        <f t="shared" si="1"/>
        <v>civilization&lt;br&gt;&lt;div class="audio"&gt;[sound:civilization.mp3]&lt;/div&gt;</v>
      </c>
      <c r="F2542" s="3" t="str">
        <f t="shared" si="2"/>
        <v>(n): nền văn minh</v>
      </c>
      <c r="G2542" s="6" t="s">
        <v>46626</v>
      </c>
      <c r="H2542" s="6" t="s">
        <v>46627</v>
      </c>
      <c r="I2542" s="7">
        <f t="shared" si="3"/>
        <v>0.9657820694</v>
      </c>
    </row>
    <row r="2543">
      <c r="A2543" s="4">
        <v>2543.0</v>
      </c>
      <c r="B2543" s="3" t="s">
        <v>46628</v>
      </c>
      <c r="C2543" s="6" t="s">
        <v>74</v>
      </c>
      <c r="D2543" s="8" t="s">
        <v>46629</v>
      </c>
      <c r="E2543" s="3" t="str">
        <f t="shared" si="1"/>
        <v>supplement&lt;br&gt;&lt;div class="audio"&gt;[sound:supplement.mp3]&lt;/div&gt;</v>
      </c>
      <c r="F2543" s="3" t="str">
        <f t="shared" si="2"/>
        <v>(n): phần bổ sung</v>
      </c>
      <c r="G2543" s="8" t="s">
        <v>46630</v>
      </c>
      <c r="H2543" s="8" t="s">
        <v>46631</v>
      </c>
      <c r="I2543" s="7">
        <f t="shared" si="3"/>
        <v>0.2787372623</v>
      </c>
    </row>
    <row r="2544">
      <c r="A2544" s="4">
        <v>2544.0</v>
      </c>
      <c r="B2544" s="3" t="s">
        <v>46632</v>
      </c>
      <c r="C2544" s="6" t="s">
        <v>74</v>
      </c>
      <c r="D2544" s="8" t="s">
        <v>46633</v>
      </c>
      <c r="E2544" s="3" t="str">
        <f t="shared" si="1"/>
        <v>suite&lt;br&gt;&lt;div class="audio"&gt;[sound:suite.mp3]&lt;/div&gt;</v>
      </c>
      <c r="F2544" s="3" t="str">
        <f t="shared" si="2"/>
        <v>(n): phòng căn hộ</v>
      </c>
      <c r="G2544" s="8" t="s">
        <v>46634</v>
      </c>
      <c r="H2544" s="8" t="s">
        <v>46635</v>
      </c>
      <c r="I2544" s="7">
        <f t="shared" si="3"/>
        <v>0.1609096813</v>
      </c>
    </row>
    <row r="2545">
      <c r="A2545" s="4">
        <v>2545.0</v>
      </c>
      <c r="B2545" s="3" t="s">
        <v>46636</v>
      </c>
      <c r="C2545" s="6" t="s">
        <v>11</v>
      </c>
      <c r="D2545" s="6" t="s">
        <v>46637</v>
      </c>
      <c r="E2545" s="3" t="str">
        <f t="shared" si="1"/>
        <v>proposed&lt;br&gt;&lt;div class="audio"&gt;[sound:proposed.mp3]&lt;/div&gt;</v>
      </c>
      <c r="F2545" s="3" t="str">
        <f t="shared" si="2"/>
        <v>(adj): được đề xuất</v>
      </c>
      <c r="G2545" s="6" t="s">
        <v>46638</v>
      </c>
      <c r="H2545" s="6" t="s">
        <v>46639</v>
      </c>
      <c r="I2545" s="7">
        <f t="shared" si="3"/>
        <v>0.6768057595</v>
      </c>
    </row>
    <row r="2546">
      <c r="A2546" s="4">
        <v>2546.0</v>
      </c>
      <c r="B2546" s="3" t="s">
        <v>46640</v>
      </c>
      <c r="C2546" s="6" t="s">
        <v>74</v>
      </c>
      <c r="D2546" s="6" t="s">
        <v>46641</v>
      </c>
      <c r="E2546" s="3" t="str">
        <f t="shared" si="1"/>
        <v>reporting&lt;br&gt;&lt;div class="audio"&gt;[sound:reporting.mp3]&lt;/div&gt;</v>
      </c>
      <c r="F2546" s="3" t="str">
        <f t="shared" si="2"/>
        <v>(n): việc báo cáo</v>
      </c>
      <c r="G2546" s="6" t="s">
        <v>46642</v>
      </c>
      <c r="H2546" s="6" t="s">
        <v>46643</v>
      </c>
      <c r="I2546" s="7">
        <f t="shared" si="3"/>
        <v>0.5739395082</v>
      </c>
    </row>
    <row r="2547">
      <c r="A2547" s="4">
        <v>2547.0</v>
      </c>
      <c r="B2547" s="3" t="s">
        <v>46644</v>
      </c>
      <c r="C2547" s="6" t="s">
        <v>74</v>
      </c>
      <c r="D2547" s="6" t="s">
        <v>46645</v>
      </c>
      <c r="E2547" s="3" t="str">
        <f t="shared" si="1"/>
        <v>invention&lt;br&gt;&lt;div class="audio"&gt;[sound:invention.mp3]&lt;/div&gt;</v>
      </c>
      <c r="F2547" s="3" t="str">
        <f t="shared" si="2"/>
        <v>(n): sự phát minh</v>
      </c>
      <c r="G2547" s="6" t="s">
        <v>46646</v>
      </c>
      <c r="H2547" s="6" t="s">
        <v>46647</v>
      </c>
      <c r="I2547" s="7">
        <f t="shared" si="3"/>
        <v>0.495544439</v>
      </c>
    </row>
    <row r="2548">
      <c r="A2548" s="4">
        <v>2548.0</v>
      </c>
      <c r="B2548" s="3" t="s">
        <v>46648</v>
      </c>
      <c r="C2548" s="6" t="s">
        <v>74</v>
      </c>
      <c r="D2548" s="6" t="s">
        <v>22744</v>
      </c>
      <c r="E2548" s="3" t="str">
        <f t="shared" si="1"/>
        <v>remains&lt;br&gt;&lt;div class="audio"&gt;[sound:remains.mp3]&lt;/div&gt;</v>
      </c>
      <c r="F2548" s="3" t="str">
        <f t="shared" si="2"/>
        <v>(n): phần còn lại</v>
      </c>
      <c r="G2548" s="6" t="s">
        <v>46649</v>
      </c>
      <c r="H2548" s="6" t="s">
        <v>46650</v>
      </c>
      <c r="I2548" s="7">
        <f t="shared" si="3"/>
        <v>0.4522006507</v>
      </c>
    </row>
    <row r="2549">
      <c r="A2549" s="4">
        <v>2549.0</v>
      </c>
      <c r="B2549" s="3" t="s">
        <v>46651</v>
      </c>
      <c r="C2549" s="6" t="s">
        <v>11</v>
      </c>
      <c r="D2549" s="6" t="s">
        <v>46652</v>
      </c>
      <c r="E2549" s="3" t="str">
        <f t="shared" si="1"/>
        <v>profitable&lt;br&gt;&lt;div class="audio"&gt;[sound:profitable.mp3]&lt;/div&gt;</v>
      </c>
      <c r="F2549" s="3" t="str">
        <f t="shared" si="2"/>
        <v>(adj): có lợi nhuận</v>
      </c>
      <c r="G2549" s="6" t="s">
        <v>46653</v>
      </c>
      <c r="H2549" s="6" t="s">
        <v>46654</v>
      </c>
      <c r="I2549" s="7">
        <f t="shared" si="3"/>
        <v>0.5394191072</v>
      </c>
    </row>
    <row r="2550">
      <c r="A2550" s="4">
        <v>2550.0</v>
      </c>
      <c r="B2550" s="3" t="s">
        <v>46655</v>
      </c>
      <c r="C2550" s="6" t="s">
        <v>85</v>
      </c>
      <c r="D2550" s="6" t="s">
        <v>5287</v>
      </c>
      <c r="E2550" s="3" t="str">
        <f t="shared" si="1"/>
        <v>occasionally&lt;br&gt;&lt;div class="audio"&gt;[sound:occasionally.mp3]&lt;/div&gt;</v>
      </c>
      <c r="F2550" s="3" t="str">
        <f t="shared" si="2"/>
        <v>(adv): thỉnh thoảng</v>
      </c>
      <c r="G2550" s="6" t="s">
        <v>46656</v>
      </c>
      <c r="H2550" s="6" t="s">
        <v>46657</v>
      </c>
      <c r="I2550" s="7">
        <f t="shared" si="3"/>
        <v>0.8500828487</v>
      </c>
    </row>
    <row r="2551">
      <c r="A2551" s="4">
        <v>2551.0</v>
      </c>
      <c r="B2551" s="3" t="s">
        <v>46658</v>
      </c>
      <c r="C2551" s="6" t="s">
        <v>74</v>
      </c>
      <c r="D2551" s="6" t="s">
        <v>46659</v>
      </c>
      <c r="E2551" s="3" t="str">
        <f t="shared" si="1"/>
        <v>acceptance&lt;br&gt;&lt;div class="audio"&gt;[sound:acceptance.mp3]&lt;/div&gt;</v>
      </c>
      <c r="F2551" s="3" t="str">
        <f t="shared" si="2"/>
        <v>(n): sự chấp nhận</v>
      </c>
      <c r="G2551" s="6" t="s">
        <v>46660</v>
      </c>
      <c r="H2551" s="6" t="s">
        <v>46661</v>
      </c>
      <c r="I2551" s="7">
        <f t="shared" si="3"/>
        <v>0.847441197</v>
      </c>
    </row>
    <row r="2552">
      <c r="A2552" s="4">
        <v>2552.0</v>
      </c>
      <c r="B2552" s="3" t="s">
        <v>46662</v>
      </c>
      <c r="C2552" s="6" t="s">
        <v>74</v>
      </c>
      <c r="D2552" s="6" t="s">
        <v>44059</v>
      </c>
      <c r="E2552" s="3" t="str">
        <f t="shared" si="1"/>
        <v>participation&lt;br&gt;&lt;div class="audio"&gt;[sound:participation.mp3]&lt;/div&gt;</v>
      </c>
      <c r="F2552" s="3" t="str">
        <f t="shared" si="2"/>
        <v>(n): sự tham gia</v>
      </c>
      <c r="G2552" s="6" t="s">
        <v>46663</v>
      </c>
      <c r="H2552" s="6" t="s">
        <v>46664</v>
      </c>
      <c r="I2552" s="7">
        <f t="shared" si="3"/>
        <v>0.447672928</v>
      </c>
    </row>
    <row r="2553">
      <c r="A2553" s="4">
        <v>2553.0</v>
      </c>
      <c r="B2553" s="3" t="s">
        <v>46665</v>
      </c>
      <c r="C2553" s="6" t="s">
        <v>11</v>
      </c>
      <c r="D2553" s="8" t="s">
        <v>46666</v>
      </c>
      <c r="E2553" s="3" t="str">
        <f t="shared" si="1"/>
        <v>selective&lt;br&gt;&lt;div class="audio"&gt;[sound:selective.mp3]&lt;/div&gt;</v>
      </c>
      <c r="F2553" s="3" t="str">
        <f t="shared" si="2"/>
        <v>(adj): có chọn lọc</v>
      </c>
      <c r="G2553" s="8" t="s">
        <v>46667</v>
      </c>
      <c r="H2553" s="8" t="s">
        <v>46668</v>
      </c>
      <c r="I2553" s="7">
        <f t="shared" si="3"/>
        <v>0.07587069056</v>
      </c>
    </row>
    <row r="2554">
      <c r="A2554" s="4">
        <v>2554.0</v>
      </c>
      <c r="B2554" s="3" t="s">
        <v>46669</v>
      </c>
      <c r="C2554" s="6" t="s">
        <v>74</v>
      </c>
      <c r="D2554" s="6" t="s">
        <v>46670</v>
      </c>
      <c r="E2554" s="3" t="str">
        <f t="shared" si="1"/>
        <v>permission&lt;br&gt;&lt;div class="audio"&gt;[sound:permission.mp3]&lt;/div&gt;</v>
      </c>
      <c r="F2554" s="3" t="str">
        <f t="shared" si="2"/>
        <v>(n): sự cho phép</v>
      </c>
      <c r="G2554" s="6" t="s">
        <v>46671</v>
      </c>
      <c r="H2554" s="6" t="s">
        <v>46672</v>
      </c>
      <c r="I2554" s="7">
        <f t="shared" si="3"/>
        <v>0.7173351079</v>
      </c>
    </row>
    <row r="2555">
      <c r="A2555" s="4">
        <v>2555.0</v>
      </c>
      <c r="B2555" s="3" t="s">
        <v>46673</v>
      </c>
      <c r="C2555" s="6" t="s">
        <v>74</v>
      </c>
      <c r="D2555" s="8" t="s">
        <v>21967</v>
      </c>
      <c r="E2555" s="3" t="str">
        <f t="shared" si="1"/>
        <v>suspicion&lt;br&gt;&lt;div class="audio"&gt;[sound:suspicion.mp3]&lt;/div&gt;</v>
      </c>
      <c r="F2555" s="3" t="str">
        <f t="shared" si="2"/>
        <v>(n): sự nghi ngờ</v>
      </c>
      <c r="G2555" s="8" t="s">
        <v>46674</v>
      </c>
      <c r="H2555" s="8" t="s">
        <v>46675</v>
      </c>
      <c r="I2555" s="7">
        <f t="shared" si="3"/>
        <v>0.1206838851</v>
      </c>
    </row>
    <row r="2556">
      <c r="A2556" s="4">
        <v>2556.0</v>
      </c>
      <c r="B2556" s="3" t="s">
        <v>46676</v>
      </c>
      <c r="C2556" s="6" t="s">
        <v>74</v>
      </c>
      <c r="D2556" s="6" t="s">
        <v>46677</v>
      </c>
      <c r="E2556" s="3" t="str">
        <f t="shared" si="1"/>
        <v>anger&lt;br&gt;&lt;div class="audio"&gt;[sound:anger.mp3]&lt;/div&gt;</v>
      </c>
      <c r="F2556" s="3" t="str">
        <f t="shared" si="2"/>
        <v>(n): sự tức giận</v>
      </c>
      <c r="G2556" s="6" t="s">
        <v>46678</v>
      </c>
      <c r="H2556" s="6" t="s">
        <v>46679</v>
      </c>
      <c r="I2556" s="7">
        <f t="shared" si="3"/>
        <v>0.7830932408</v>
      </c>
    </row>
    <row r="2557">
      <c r="A2557" s="4">
        <v>2557.0</v>
      </c>
      <c r="B2557" s="3" t="s">
        <v>46680</v>
      </c>
      <c r="C2557" s="6" t="s">
        <v>74</v>
      </c>
      <c r="D2557" s="6" t="s">
        <v>46681</v>
      </c>
      <c r="E2557" s="3" t="str">
        <f t="shared" si="1"/>
        <v>retirement&lt;br&gt;&lt;div class="audio"&gt;[sound:retirement.mp3]&lt;/div&gt;</v>
      </c>
      <c r="F2557" s="3" t="str">
        <f t="shared" si="2"/>
        <v>(n): sự nghỉ hưu</v>
      </c>
      <c r="G2557" s="6" t="s">
        <v>46682</v>
      </c>
      <c r="H2557" s="6" t="s">
        <v>46683</v>
      </c>
      <c r="I2557" s="7">
        <f t="shared" si="3"/>
        <v>0.5249222462</v>
      </c>
    </row>
    <row r="2558">
      <c r="A2558" s="4">
        <v>2558.0</v>
      </c>
      <c r="B2558" s="3" t="s">
        <v>46684</v>
      </c>
      <c r="C2558" s="6" t="s">
        <v>74</v>
      </c>
      <c r="D2558" s="6" t="s">
        <v>29043</v>
      </c>
      <c r="E2558" s="3" t="str">
        <f t="shared" si="1"/>
        <v>reward&lt;br&gt;&lt;div class="audio"&gt;[sound:reward.mp3]&lt;/div&gt;</v>
      </c>
      <c r="F2558" s="3" t="str">
        <f t="shared" si="2"/>
        <v>(n): phần thưởng</v>
      </c>
      <c r="G2558" s="6" t="s">
        <v>46685</v>
      </c>
      <c r="H2558" s="6" t="s">
        <v>46686</v>
      </c>
      <c r="I2558" s="7">
        <f t="shared" si="3"/>
        <v>0.2061794366</v>
      </c>
    </row>
    <row r="2559">
      <c r="A2559" s="4">
        <v>2559.0</v>
      </c>
      <c r="B2559" s="3" t="s">
        <v>46687</v>
      </c>
      <c r="C2559" s="6" t="s">
        <v>74</v>
      </c>
      <c r="D2559" s="6" t="s">
        <v>46688</v>
      </c>
      <c r="E2559" s="3" t="str">
        <f t="shared" si="1"/>
        <v>grip&lt;br&gt;&lt;div class="audio"&gt;[sound:grip.mp3]&lt;/div&gt;</v>
      </c>
      <c r="F2559" s="3" t="str">
        <f t="shared" si="2"/>
        <v>(n): sự nắm chặt</v>
      </c>
      <c r="G2559" s="6" t="s">
        <v>46689</v>
      </c>
      <c r="H2559" s="6" t="s">
        <v>46690</v>
      </c>
      <c r="I2559" s="7">
        <f t="shared" si="3"/>
        <v>0.08943924825</v>
      </c>
    </row>
    <row r="2560">
      <c r="A2560" s="4">
        <v>2560.0</v>
      </c>
      <c r="B2560" s="3" t="s">
        <v>46691</v>
      </c>
      <c r="C2560" s="6" t="s">
        <v>74</v>
      </c>
      <c r="D2560" s="6" t="s">
        <v>46692</v>
      </c>
      <c r="E2560" s="3" t="str">
        <f t="shared" si="1"/>
        <v>passion&lt;br&gt;&lt;div class="audio"&gt;[sound:passion.mp3]&lt;/div&gt;</v>
      </c>
      <c r="F2560" s="3" t="str">
        <f t="shared" si="2"/>
        <v>(n): niềm đam mê</v>
      </c>
      <c r="G2560" s="6" t="s">
        <v>46693</v>
      </c>
      <c r="H2560" s="6" t="s">
        <v>46694</v>
      </c>
      <c r="I2560" s="7">
        <f t="shared" si="3"/>
        <v>0.5454907358</v>
      </c>
    </row>
    <row r="2561">
      <c r="A2561" s="4">
        <v>2561.0</v>
      </c>
      <c r="B2561" s="3" t="s">
        <v>46695</v>
      </c>
      <c r="C2561" s="6" t="s">
        <v>11</v>
      </c>
      <c r="D2561" s="6" t="s">
        <v>46696</v>
      </c>
      <c r="E2561" s="3" t="str">
        <f t="shared" si="1"/>
        <v>competent&lt;br&gt;&lt;div class="audio"&gt;[sound:competent.mp3]&lt;/div&gt;</v>
      </c>
      <c r="F2561" s="3" t="str">
        <f t="shared" si="2"/>
        <v>(adj): có năng lực</v>
      </c>
      <c r="G2561" s="6" t="s">
        <v>46697</v>
      </c>
      <c r="H2561" s="6" t="s">
        <v>46698</v>
      </c>
      <c r="I2561" s="7">
        <f t="shared" si="3"/>
        <v>0.08132049468</v>
      </c>
    </row>
    <row r="2562">
      <c r="A2562" s="4">
        <v>2562.0</v>
      </c>
      <c r="B2562" s="3" t="s">
        <v>46699</v>
      </c>
      <c r="C2562" s="6" t="s">
        <v>74</v>
      </c>
      <c r="D2562" s="6" t="s">
        <v>10541</v>
      </c>
      <c r="E2562" s="3" t="str">
        <f t="shared" si="1"/>
        <v>medium&lt;br&gt;&lt;div class="audio"&gt;[sound:medium.mp3]&lt;/div&gt;</v>
      </c>
      <c r="F2562" s="3" t="str">
        <f t="shared" si="2"/>
        <v>(n): phương tiện</v>
      </c>
      <c r="G2562" s="6" t="s">
        <v>46700</v>
      </c>
      <c r="H2562" s="6" t="s">
        <v>46701</v>
      </c>
      <c r="I2562" s="7">
        <f t="shared" si="3"/>
        <v>0.9356950349</v>
      </c>
    </row>
    <row r="2563">
      <c r="A2563" s="4">
        <v>2563.0</v>
      </c>
      <c r="B2563" s="3" t="s">
        <v>46702</v>
      </c>
      <c r="C2563" s="6" t="s">
        <v>74</v>
      </c>
      <c r="D2563" s="8" t="s">
        <v>46703</v>
      </c>
      <c r="E2563" s="3" t="str">
        <f t="shared" si="1"/>
        <v>speculation&lt;br&gt;&lt;div class="audio"&gt;[sound:speculation.mp3]&lt;/div&gt;</v>
      </c>
      <c r="F2563" s="3" t="str">
        <f t="shared" si="2"/>
        <v>(n): sự suy đoán</v>
      </c>
      <c r="G2563" s="8" t="s">
        <v>46704</v>
      </c>
      <c r="H2563" s="8" t="s">
        <v>46705</v>
      </c>
      <c r="I2563" s="7">
        <f t="shared" si="3"/>
        <v>0.4469356215</v>
      </c>
    </row>
    <row r="2564">
      <c r="A2564" s="4">
        <v>2564.0</v>
      </c>
      <c r="B2564" s="3" t="s">
        <v>46706</v>
      </c>
      <c r="C2564" s="6" t="s">
        <v>85</v>
      </c>
      <c r="D2564" s="6" t="s">
        <v>40069</v>
      </c>
      <c r="E2564" s="3" t="str">
        <f t="shared" si="1"/>
        <v>potentially&lt;br&gt;&lt;div class="audio"&gt;[sound:potentially.mp3]&lt;/div&gt;</v>
      </c>
      <c r="F2564" s="3" t="str">
        <f t="shared" si="2"/>
        <v>(adv): có khả năng</v>
      </c>
      <c r="G2564" s="6" t="s">
        <v>46707</v>
      </c>
      <c r="H2564" s="6" t="s">
        <v>46708</v>
      </c>
      <c r="I2564" s="7">
        <f t="shared" si="3"/>
        <v>0.7282377514</v>
      </c>
    </row>
    <row r="2565">
      <c r="A2565" s="4">
        <v>2565.0</v>
      </c>
      <c r="B2565" s="3" t="s">
        <v>46709</v>
      </c>
      <c r="C2565" s="6" t="s">
        <v>74</v>
      </c>
      <c r="D2565" s="6" t="s">
        <v>12450</v>
      </c>
      <c r="E2565" s="3" t="str">
        <f t="shared" si="1"/>
        <v>ingredient&lt;br&gt;&lt;div class="audio"&gt;[sound:ingredient.mp3]&lt;/div&gt;</v>
      </c>
      <c r="F2565" s="3" t="str">
        <f t="shared" si="2"/>
        <v>(n): nguyên liệu</v>
      </c>
      <c r="G2565" s="6" t="s">
        <v>46710</v>
      </c>
      <c r="H2565" s="6" t="s">
        <v>46711</v>
      </c>
      <c r="I2565" s="7">
        <f t="shared" si="3"/>
        <v>0.1238866049</v>
      </c>
    </row>
    <row r="2566">
      <c r="A2566" s="4">
        <v>2566.0</v>
      </c>
      <c r="B2566" s="3" t="s">
        <v>46712</v>
      </c>
      <c r="C2566" s="6" t="s">
        <v>74</v>
      </c>
      <c r="D2566" s="6" t="s">
        <v>46713</v>
      </c>
      <c r="E2566" s="3" t="str">
        <f t="shared" si="1"/>
        <v>satisfaction&lt;br&gt;&lt;div class="audio"&gt;[sound:satisfaction.mp3]&lt;/div&gt;</v>
      </c>
      <c r="F2566" s="3" t="str">
        <f t="shared" si="2"/>
        <v>(n): sự hài lòng</v>
      </c>
      <c r="G2566" s="6" t="s">
        <v>46714</v>
      </c>
      <c r="H2566" s="6" t="s">
        <v>46715</v>
      </c>
      <c r="I2566" s="7">
        <f t="shared" si="3"/>
        <v>0.9095256273</v>
      </c>
    </row>
    <row r="2567">
      <c r="A2567" s="4">
        <v>2567.0</v>
      </c>
      <c r="B2567" s="3" t="s">
        <v>46716</v>
      </c>
      <c r="C2567" s="6" t="s">
        <v>74</v>
      </c>
      <c r="D2567" s="6" t="s">
        <v>46717</v>
      </c>
      <c r="E2567" s="3" t="str">
        <f t="shared" si="1"/>
        <v>humour&lt;br&gt;&lt;div class="audio"&gt;[sound:humour.mp3]&lt;/div&gt;</v>
      </c>
      <c r="F2567" s="3" t="str">
        <f t="shared" si="2"/>
        <v>(n): sự hài hước</v>
      </c>
      <c r="G2567" s="6" t="s">
        <v>46718</v>
      </c>
      <c r="H2567" s="6" t="s">
        <v>46719</v>
      </c>
      <c r="I2567" s="7">
        <f t="shared" si="3"/>
        <v>0.4988637894</v>
      </c>
    </row>
    <row r="2568">
      <c r="A2568" s="4">
        <v>2568.0</v>
      </c>
      <c r="B2568" s="3" t="s">
        <v>46720</v>
      </c>
      <c r="C2568" s="6" t="s">
        <v>74</v>
      </c>
      <c r="D2568" s="6" t="s">
        <v>46721</v>
      </c>
      <c r="E2568" s="3" t="str">
        <f t="shared" si="1"/>
        <v>charm&lt;br&gt;&lt;div class="audio"&gt;[sound:charm.mp3]&lt;/div&gt;</v>
      </c>
      <c r="F2568" s="3" t="str">
        <f t="shared" si="2"/>
        <v>(n): sự quyến rũ</v>
      </c>
      <c r="G2568" s="6" t="s">
        <v>46722</v>
      </c>
      <c r="H2568" s="6" t="s">
        <v>46723</v>
      </c>
      <c r="I2568" s="7">
        <f t="shared" si="3"/>
        <v>0.08223852733</v>
      </c>
    </row>
    <row r="2569">
      <c r="A2569" s="4">
        <v>2569.0</v>
      </c>
      <c r="B2569" s="3" t="s">
        <v>46724</v>
      </c>
      <c r="C2569" s="6" t="s">
        <v>58</v>
      </c>
      <c r="D2569" s="8" t="s">
        <v>46725</v>
      </c>
      <c r="E2569" s="3" t="str">
        <f t="shared" si="1"/>
        <v>seventeen&lt;br&gt;&lt;div class="audio"&gt;[sound:seventeen.mp3]&lt;/div&gt;</v>
      </c>
      <c r="F2569" s="3" t="str">
        <f t="shared" si="2"/>
        <v>(num): mười bảy</v>
      </c>
      <c r="G2569" s="8" t="s">
        <v>46726</v>
      </c>
      <c r="H2569" s="8" t="s">
        <v>46727</v>
      </c>
      <c r="I2569" s="7">
        <f t="shared" si="3"/>
        <v>0.07055592073</v>
      </c>
    </row>
    <row r="2570">
      <c r="A2570" s="4">
        <v>2570.0</v>
      </c>
      <c r="B2570" s="3" t="s">
        <v>46728</v>
      </c>
      <c r="C2570" s="6" t="s">
        <v>11</v>
      </c>
      <c r="D2570" s="6" t="s">
        <v>46729</v>
      </c>
      <c r="E2570" s="3" t="str">
        <f t="shared" si="1"/>
        <v>accused&lt;br&gt;&lt;div class="audio"&gt;[sound:accused.mp3]&lt;/div&gt;</v>
      </c>
      <c r="F2570" s="3" t="str">
        <f t="shared" si="2"/>
        <v>(adj): bị buộc tội</v>
      </c>
      <c r="G2570" s="6" t="s">
        <v>46730</v>
      </c>
      <c r="H2570" s="6" t="s">
        <v>46731</v>
      </c>
      <c r="I2570" s="7">
        <f t="shared" si="3"/>
        <v>0.1343014131</v>
      </c>
    </row>
    <row r="2571">
      <c r="A2571" s="4">
        <v>2571.0</v>
      </c>
      <c r="B2571" s="3" t="s">
        <v>46732</v>
      </c>
      <c r="C2571" s="6" t="s">
        <v>74</v>
      </c>
      <c r="D2571" s="6" t="s">
        <v>46733</v>
      </c>
      <c r="E2571" s="3" t="str">
        <f t="shared" si="1"/>
        <v>admission&lt;br&gt;&lt;div class="audio"&gt;[sound:admission.mp3]&lt;/div&gt;</v>
      </c>
      <c r="F2571" s="3" t="str">
        <f t="shared" si="2"/>
        <v>(n): phí vào cửa</v>
      </c>
      <c r="G2571" s="6" t="s">
        <v>46734</v>
      </c>
      <c r="H2571" s="6" t="s">
        <v>46735</v>
      </c>
      <c r="I2571" s="7">
        <f t="shared" si="3"/>
        <v>0.6953524846</v>
      </c>
    </row>
    <row r="2572">
      <c r="A2572" s="4">
        <v>2572.0</v>
      </c>
      <c r="B2572" s="3" t="s">
        <v>46736</v>
      </c>
      <c r="C2572" s="6" t="s">
        <v>74</v>
      </c>
      <c r="D2572" s="6" t="s">
        <v>46737</v>
      </c>
      <c r="E2572" s="3" t="str">
        <f t="shared" si="1"/>
        <v>observation&lt;br&gt;&lt;div class="audio"&gt;[sound:observation.mp3]&lt;/div&gt;</v>
      </c>
      <c r="F2572" s="3" t="str">
        <f t="shared" si="2"/>
        <v>(n): sự quan sát</v>
      </c>
      <c r="G2572" s="6" t="s">
        <v>46738</v>
      </c>
      <c r="H2572" s="6" t="s">
        <v>46739</v>
      </c>
      <c r="I2572" s="7">
        <f t="shared" si="3"/>
        <v>0.7679189271</v>
      </c>
    </row>
    <row r="2573">
      <c r="A2573" s="4">
        <v>2573.0</v>
      </c>
      <c r="B2573" s="3" t="s">
        <v>46740</v>
      </c>
      <c r="C2573" s="6" t="s">
        <v>74</v>
      </c>
      <c r="D2573" s="6" t="s">
        <v>46741</v>
      </c>
      <c r="E2573" s="3" t="str">
        <f t="shared" si="1"/>
        <v>chemist&lt;br&gt;&lt;div class="audio"&gt;[sound:chemist.mp3]&lt;/div&gt;</v>
      </c>
      <c r="F2573" s="3" t="str">
        <f t="shared" si="2"/>
        <v>(n): nhà hóa học</v>
      </c>
      <c r="G2573" s="6" t="s">
        <v>46742</v>
      </c>
      <c r="H2573" s="6" t="s">
        <v>46743</v>
      </c>
      <c r="I2573" s="7">
        <f t="shared" si="3"/>
        <v>0.3688213669</v>
      </c>
    </row>
    <row r="2574">
      <c r="A2574" s="4">
        <v>2574.0</v>
      </c>
      <c r="B2574" s="3" t="s">
        <v>46744</v>
      </c>
      <c r="C2574" s="6" t="s">
        <v>74</v>
      </c>
      <c r="D2574" s="6" t="s">
        <v>12468</v>
      </c>
      <c r="E2574" s="3" t="str">
        <f t="shared" si="1"/>
        <v>closure&lt;br&gt;&lt;div class="audio"&gt;[sound:closure.mp3]&lt;/div&gt;</v>
      </c>
      <c r="F2574" s="3" t="str">
        <f t="shared" si="2"/>
        <v>(n): sự đóng cửa</v>
      </c>
      <c r="G2574" s="6" t="s">
        <v>46745</v>
      </c>
      <c r="H2574" s="6" t="s">
        <v>46746</v>
      </c>
      <c r="I2574" s="7">
        <f t="shared" si="3"/>
        <v>0.08874322578</v>
      </c>
    </row>
    <row r="2575">
      <c r="A2575" s="4">
        <v>2575.0</v>
      </c>
      <c r="B2575" s="3" t="s">
        <v>46747</v>
      </c>
      <c r="C2575" s="6" t="s">
        <v>74</v>
      </c>
      <c r="D2575" s="6" t="s">
        <v>46748</v>
      </c>
      <c r="E2575" s="3" t="str">
        <f t="shared" si="1"/>
        <v>acquisition&lt;br&gt;&lt;div class="audio"&gt;[sound:acquisition.mp3]&lt;/div&gt;</v>
      </c>
      <c r="F2575" s="3" t="str">
        <f t="shared" si="2"/>
        <v>(n): sự mua lại</v>
      </c>
      <c r="G2575" s="6" t="s">
        <v>46749</v>
      </c>
      <c r="H2575" s="6" t="s">
        <v>46750</v>
      </c>
      <c r="I2575" s="7">
        <f t="shared" si="3"/>
        <v>0.2311630252</v>
      </c>
    </row>
    <row r="2576">
      <c r="A2576" s="4">
        <v>2576.0</v>
      </c>
      <c r="B2576" s="3" t="s">
        <v>46751</v>
      </c>
      <c r="C2576" s="6" t="s">
        <v>11</v>
      </c>
      <c r="D2576" s="6" t="s">
        <v>46752</v>
      </c>
      <c r="E2576" s="3" t="str">
        <f t="shared" si="1"/>
        <v>colourful&lt;br&gt;&lt;div class="audio"&gt;[sound:colourful.mp3]&lt;/div&gt;</v>
      </c>
      <c r="F2576" s="3" t="str">
        <f t="shared" si="2"/>
        <v>(adj): đầy màu sắc</v>
      </c>
      <c r="G2576" s="6" t="s">
        <v>46753</v>
      </c>
      <c r="H2576" s="6" t="s">
        <v>46754</v>
      </c>
      <c r="I2576" s="7">
        <f t="shared" si="3"/>
        <v>0.8113440237</v>
      </c>
    </row>
    <row r="2577">
      <c r="A2577" s="4">
        <v>2577.0</v>
      </c>
      <c r="B2577" s="3" t="s">
        <v>46755</v>
      </c>
      <c r="C2577" s="6" t="s">
        <v>74</v>
      </c>
      <c r="D2577" s="6" t="s">
        <v>15701</v>
      </c>
      <c r="E2577" s="3" t="str">
        <f t="shared" si="1"/>
        <v>reform&lt;br&gt;&lt;div class="audio"&gt;[sound:reform.mp3]&lt;/div&gt;</v>
      </c>
      <c r="F2577" s="3" t="str">
        <f t="shared" si="2"/>
        <v>(n): sự cải cách</v>
      </c>
      <c r="G2577" s="6" t="s">
        <v>46756</v>
      </c>
      <c r="H2577" s="6" t="s">
        <v>46757</v>
      </c>
      <c r="I2577" s="7">
        <f t="shared" si="3"/>
        <v>0.4864791037</v>
      </c>
    </row>
    <row r="2578">
      <c r="A2578" s="4">
        <v>2578.0</v>
      </c>
      <c r="B2578" s="3" t="s">
        <v>46758</v>
      </c>
      <c r="C2578" s="6" t="s">
        <v>74</v>
      </c>
      <c r="D2578" s="6" t="s">
        <v>19162</v>
      </c>
      <c r="E2578" s="3" t="str">
        <f t="shared" si="1"/>
        <v>inspection&lt;br&gt;&lt;div class="audio"&gt;[sound:inspection.mp3]&lt;/div&gt;</v>
      </c>
      <c r="F2578" s="3" t="str">
        <f t="shared" si="2"/>
        <v>(n): sự kiểm tra</v>
      </c>
      <c r="G2578" s="6" t="s">
        <v>46759</v>
      </c>
      <c r="H2578" s="6" t="s">
        <v>46760</v>
      </c>
      <c r="I2578" s="7">
        <f t="shared" si="3"/>
        <v>0.9984355584</v>
      </c>
    </row>
    <row r="2579">
      <c r="A2579" s="4">
        <v>2579.0</v>
      </c>
      <c r="B2579" s="3" t="s">
        <v>46761</v>
      </c>
      <c r="C2579" s="6" t="s">
        <v>11</v>
      </c>
      <c r="D2579" s="6" t="s">
        <v>46762</v>
      </c>
      <c r="E2579" s="3" t="str">
        <f t="shared" si="1"/>
        <v>confusing&lt;br&gt;&lt;div class="audio"&gt;[sound:confusing.mp3]&lt;/div&gt;</v>
      </c>
      <c r="F2579" s="3" t="str">
        <f t="shared" si="2"/>
        <v>(adj): gây bối rối</v>
      </c>
      <c r="G2579" s="6" t="s">
        <v>46763</v>
      </c>
      <c r="H2579" s="6" t="s">
        <v>46764</v>
      </c>
      <c r="I2579" s="7">
        <f t="shared" si="3"/>
        <v>0.7533180789</v>
      </c>
    </row>
    <row r="2580">
      <c r="A2580" s="4">
        <v>2580.0</v>
      </c>
      <c r="B2580" s="3" t="s">
        <v>46765</v>
      </c>
      <c r="C2580" s="6" t="s">
        <v>74</v>
      </c>
      <c r="D2580" s="6" t="s">
        <v>46766</v>
      </c>
      <c r="E2580" s="3" t="str">
        <f t="shared" si="1"/>
        <v>measurement&lt;br&gt;&lt;div class="audio"&gt;[sound:measurement.mp3]&lt;/div&gt;</v>
      </c>
      <c r="F2580" s="3" t="str">
        <f t="shared" si="2"/>
        <v>(n): sự đo lường</v>
      </c>
      <c r="G2580" s="6" t="s">
        <v>46767</v>
      </c>
      <c r="H2580" s="6" t="s">
        <v>46768</v>
      </c>
      <c r="I2580" s="7">
        <f t="shared" si="3"/>
        <v>0.872672595</v>
      </c>
    </row>
    <row r="2581">
      <c r="A2581" s="4">
        <v>2581.0</v>
      </c>
      <c r="B2581" s="3" t="s">
        <v>46769</v>
      </c>
      <c r="C2581" s="6" t="s">
        <v>11</v>
      </c>
      <c r="D2581" s="6" t="s">
        <v>1532</v>
      </c>
      <c r="E2581" s="3" t="str">
        <f t="shared" si="1"/>
        <v>visible&lt;br&gt;&lt;div class="audio"&gt;[sound:visible.mp3]&lt;/div&gt;</v>
      </c>
      <c r="F2581" s="3" t="str">
        <f t="shared" si="2"/>
        <v>(adj): có thể thấy</v>
      </c>
      <c r="G2581" s="6" t="s">
        <v>46770</v>
      </c>
      <c r="H2581" s="6" t="s">
        <v>46771</v>
      </c>
      <c r="I2581" s="7">
        <f t="shared" si="3"/>
        <v>0.280270602</v>
      </c>
    </row>
    <row r="2582">
      <c r="A2582" s="4">
        <v>2582.0</v>
      </c>
      <c r="B2582" s="3" t="s">
        <v>46772</v>
      </c>
      <c r="C2582" s="6" t="s">
        <v>74</v>
      </c>
      <c r="D2582" s="6" t="s">
        <v>46773</v>
      </c>
      <c r="E2582" s="3" t="str">
        <f t="shared" si="1"/>
        <v>negotiation&lt;br&gt;&lt;div class="audio"&gt;[sound:negotiation.mp3]&lt;/div&gt;</v>
      </c>
      <c r="F2582" s="3" t="str">
        <f t="shared" si="2"/>
        <v>(n): sự đàm phán</v>
      </c>
      <c r="G2582" s="6" t="s">
        <v>46774</v>
      </c>
      <c r="H2582" s="6" t="s">
        <v>46775</v>
      </c>
      <c r="I2582" s="7">
        <f t="shared" si="3"/>
        <v>0.2042628764</v>
      </c>
    </row>
    <row r="2583">
      <c r="A2583" s="4">
        <v>2583.0</v>
      </c>
      <c r="B2583" s="3" t="s">
        <v>46776</v>
      </c>
      <c r="C2583" s="6" t="s">
        <v>74</v>
      </c>
      <c r="D2583" s="6" t="s">
        <v>46777</v>
      </c>
      <c r="E2583" s="3" t="str">
        <f t="shared" si="1"/>
        <v>reception&lt;br&gt;&lt;div class="audio"&gt;[sound:reception.mp3]&lt;/div&gt;</v>
      </c>
      <c r="F2583" s="3" t="str">
        <f t="shared" si="2"/>
        <v>(n): sự tiếp đón</v>
      </c>
      <c r="G2583" s="6" t="s">
        <v>46778</v>
      </c>
      <c r="H2583" s="6" t="s">
        <v>46779</v>
      </c>
      <c r="I2583" s="7">
        <f t="shared" si="3"/>
        <v>0.681200335</v>
      </c>
    </row>
    <row r="2584">
      <c r="A2584" s="4">
        <v>2584.0</v>
      </c>
      <c r="B2584" s="3" t="s">
        <v>46780</v>
      </c>
      <c r="C2584" s="6" t="s">
        <v>74</v>
      </c>
      <c r="D2584" s="6" t="s">
        <v>46781</v>
      </c>
      <c r="E2584" s="3" t="str">
        <f t="shared" si="1"/>
        <v>resistance&lt;br&gt;&lt;div class="audio"&gt;[sound:resistance.mp3]&lt;/div&gt;</v>
      </c>
      <c r="F2584" s="3" t="str">
        <f t="shared" si="2"/>
        <v>(n): sự kháng cự</v>
      </c>
      <c r="G2584" s="6" t="s">
        <v>46782</v>
      </c>
      <c r="H2584" s="6" t="s">
        <v>46783</v>
      </c>
      <c r="I2584" s="7">
        <f t="shared" si="3"/>
        <v>0.2462905115</v>
      </c>
    </row>
    <row r="2585">
      <c r="A2585" s="4">
        <v>2585.0</v>
      </c>
      <c r="B2585" s="3" t="s">
        <v>46784</v>
      </c>
      <c r="C2585" s="6" t="s">
        <v>74</v>
      </c>
      <c r="D2585" s="6" t="s">
        <v>46785</v>
      </c>
      <c r="E2585" s="3" t="str">
        <f t="shared" si="1"/>
        <v>chaos&lt;br&gt;&lt;div class="audio"&gt;[sound:chaos.mp3]&lt;/div&gt;</v>
      </c>
      <c r="F2585" s="3" t="str">
        <f t="shared" si="2"/>
        <v>(n): sự hỗn loạn</v>
      </c>
      <c r="G2585" s="6" t="s">
        <v>46786</v>
      </c>
      <c r="H2585" s="6" t="s">
        <v>46787</v>
      </c>
      <c r="I2585" s="7">
        <f t="shared" si="3"/>
        <v>0.7889601518</v>
      </c>
    </row>
    <row r="2586">
      <c r="A2586" s="4">
        <v>2586.0</v>
      </c>
      <c r="B2586" s="3" t="s">
        <v>46788</v>
      </c>
      <c r="C2586" s="6" t="s">
        <v>74</v>
      </c>
      <c r="D2586" s="6" t="s">
        <v>30051</v>
      </c>
      <c r="E2586" s="3" t="str">
        <f t="shared" si="1"/>
        <v>transformation&lt;br&gt;&lt;div class="audio"&gt;[sound:transformation.mp3]&lt;/div&gt;</v>
      </c>
      <c r="F2586" s="3" t="str">
        <f t="shared" si="2"/>
        <v>(n): sự biến đổi</v>
      </c>
      <c r="G2586" s="6" t="s">
        <v>46789</v>
      </c>
      <c r="H2586" s="6" t="s">
        <v>46790</v>
      </c>
      <c r="I2586" s="7">
        <f t="shared" si="3"/>
        <v>0.6517611864</v>
      </c>
    </row>
    <row r="2587">
      <c r="A2587" s="4">
        <v>2587.0</v>
      </c>
      <c r="B2587" s="3" t="s">
        <v>46791</v>
      </c>
      <c r="C2587" s="6" t="s">
        <v>11</v>
      </c>
      <c r="D2587" s="6" t="s">
        <v>46792</v>
      </c>
      <c r="E2587" s="3" t="str">
        <f t="shared" si="1"/>
        <v>harsh&lt;br&gt;&lt;div class="audio"&gt;[sound:harsh.mp3]&lt;/div&gt;</v>
      </c>
      <c r="F2587" s="3" t="str">
        <f t="shared" si="2"/>
        <v>(adj): khắc nghiệt</v>
      </c>
      <c r="G2587" s="6" t="s">
        <v>46793</v>
      </c>
      <c r="H2587" s="6" t="s">
        <v>42665</v>
      </c>
      <c r="I2587" s="7">
        <f t="shared" si="3"/>
        <v>0.7662263245</v>
      </c>
    </row>
    <row r="2588">
      <c r="A2588" s="4">
        <v>2588.0</v>
      </c>
      <c r="B2588" s="3" t="s">
        <v>46794</v>
      </c>
      <c r="C2588" s="6" t="s">
        <v>85</v>
      </c>
      <c r="D2588" s="8" t="s">
        <v>46795</v>
      </c>
      <c r="E2588" s="3" t="str">
        <f t="shared" si="1"/>
        <v>sufficiently&lt;br&gt;&lt;div class="audio"&gt;[sound:sufficiently.mp3]&lt;/div&gt;</v>
      </c>
      <c r="F2588" s="3" t="str">
        <f t="shared" si="2"/>
        <v>(adv): một cách đầy đủ</v>
      </c>
      <c r="G2588" s="8" t="s">
        <v>46796</v>
      </c>
      <c r="H2588" s="8" t="s">
        <v>46797</v>
      </c>
      <c r="I2588" s="7">
        <f t="shared" si="3"/>
        <v>0.3293479759</v>
      </c>
    </row>
    <row r="2589">
      <c r="A2589" s="4">
        <v>2589.0</v>
      </c>
      <c r="B2589" s="3" t="s">
        <v>46798</v>
      </c>
      <c r="C2589" s="6" t="s">
        <v>74</v>
      </c>
      <c r="D2589" s="8" t="s">
        <v>12474</v>
      </c>
      <c r="E2589" s="3" t="str">
        <f t="shared" si="1"/>
        <v>similarity&lt;br&gt;&lt;div class="audio"&gt;[sound:similarity.mp3]&lt;/div&gt;</v>
      </c>
      <c r="F2589" s="3" t="str">
        <f t="shared" si="2"/>
        <v>(n): sự tương tự</v>
      </c>
      <c r="G2589" s="8" t="s">
        <v>46799</v>
      </c>
      <c r="H2589" s="8" t="s">
        <v>46800</v>
      </c>
      <c r="I2589" s="7">
        <f t="shared" si="3"/>
        <v>0.322582852</v>
      </c>
    </row>
    <row r="2590">
      <c r="A2590" s="4">
        <v>2590.0</v>
      </c>
      <c r="B2590" s="3" t="s">
        <v>46801</v>
      </c>
      <c r="C2590" s="6" t="s">
        <v>74</v>
      </c>
      <c r="D2590" s="6" t="s">
        <v>30051</v>
      </c>
      <c r="E2590" s="3" t="str">
        <f t="shared" si="1"/>
        <v>variation&lt;br&gt;&lt;div class="audio"&gt;[sound:variation.mp3]&lt;/div&gt;</v>
      </c>
      <c r="F2590" s="3" t="str">
        <f t="shared" si="2"/>
        <v>(n): sự biến đổi</v>
      </c>
      <c r="G2590" s="6" t="s">
        <v>46802</v>
      </c>
      <c r="H2590" s="6" t="s">
        <v>46803</v>
      </c>
      <c r="I2590" s="7">
        <f t="shared" si="3"/>
        <v>0.6741452113</v>
      </c>
    </row>
    <row r="2591">
      <c r="A2591" s="4">
        <v>2591.0</v>
      </c>
      <c r="B2591" s="3" t="s">
        <v>46804</v>
      </c>
      <c r="C2591" s="6" t="s">
        <v>11</v>
      </c>
      <c r="D2591" s="6" t="s">
        <v>46805</v>
      </c>
      <c r="E2591" s="3" t="str">
        <f t="shared" si="1"/>
        <v>engaged&lt;br&gt;&lt;div class="audio"&gt;[sound:engaged.mp3]&lt;/div&gt;</v>
      </c>
      <c r="F2591" s="3" t="str">
        <f t="shared" si="2"/>
        <v>(adj): đã đính hôn</v>
      </c>
      <c r="G2591" s="6" t="s">
        <v>46806</v>
      </c>
      <c r="H2591" s="6" t="s">
        <v>46807</v>
      </c>
      <c r="I2591" s="7">
        <f t="shared" si="3"/>
        <v>0.2965219009</v>
      </c>
    </row>
    <row r="2592">
      <c r="A2592" s="4">
        <v>2592.0</v>
      </c>
      <c r="B2592" s="3" t="s">
        <v>46808</v>
      </c>
      <c r="C2592" s="6" t="s">
        <v>74</v>
      </c>
      <c r="D2592" s="8" t="s">
        <v>46809</v>
      </c>
      <c r="E2592" s="3" t="str">
        <f t="shared" si="1"/>
        <v>sponsor&lt;br&gt;&lt;div class="audio"&gt;[sound:sponsor.mp3]&lt;/div&gt;</v>
      </c>
      <c r="F2592" s="3" t="str">
        <f t="shared" si="2"/>
        <v>(n): nhà tài trợ</v>
      </c>
      <c r="G2592" s="8" t="s">
        <v>46810</v>
      </c>
      <c r="H2592" s="8" t="s">
        <v>46811</v>
      </c>
      <c r="I2592" s="7">
        <f t="shared" si="3"/>
        <v>0.01905828239</v>
      </c>
    </row>
    <row r="2593">
      <c r="A2593" s="4">
        <v>2593.0</v>
      </c>
      <c r="B2593" s="3" t="s">
        <v>46812</v>
      </c>
      <c r="C2593" s="6" t="s">
        <v>74</v>
      </c>
      <c r="D2593" s="6" t="s">
        <v>46813</v>
      </c>
      <c r="E2593" s="3" t="str">
        <f t="shared" si="1"/>
        <v>clash&lt;br&gt;&lt;div class="audio"&gt;[sound:clash.mp3]&lt;/div&gt;</v>
      </c>
      <c r="F2593" s="3" t="str">
        <f t="shared" si="2"/>
        <v>(n): sự xung đột</v>
      </c>
      <c r="G2593" s="6" t="s">
        <v>46814</v>
      </c>
      <c r="H2593" s="6" t="s">
        <v>46815</v>
      </c>
      <c r="I2593" s="7">
        <f t="shared" si="3"/>
        <v>0.7010424643</v>
      </c>
    </row>
    <row r="2594">
      <c r="A2594" s="4">
        <v>2594.0</v>
      </c>
      <c r="B2594" s="3" t="s">
        <v>46816</v>
      </c>
      <c r="C2594" s="6" t="s">
        <v>74</v>
      </c>
      <c r="D2594" s="6" t="s">
        <v>46817</v>
      </c>
      <c r="E2594" s="3" t="str">
        <f t="shared" si="1"/>
        <v>governance&lt;br&gt;&lt;div class="audio"&gt;[sound:governance.mp3]&lt;/div&gt;</v>
      </c>
      <c r="F2594" s="3" t="str">
        <f t="shared" si="2"/>
        <v>(n): sự quản trị</v>
      </c>
      <c r="G2594" s="6" t="s">
        <v>46818</v>
      </c>
      <c r="H2594" s="6" t="s">
        <v>46819</v>
      </c>
      <c r="I2594" s="7">
        <f t="shared" si="3"/>
        <v>0.7935286613</v>
      </c>
    </row>
    <row r="2595">
      <c r="A2595" s="4">
        <v>2595.0</v>
      </c>
      <c r="B2595" s="3" t="s">
        <v>46820</v>
      </c>
      <c r="C2595" s="6" t="s">
        <v>74</v>
      </c>
      <c r="D2595" s="6" t="s">
        <v>46821</v>
      </c>
      <c r="E2595" s="3" t="str">
        <f t="shared" si="1"/>
        <v>ideology&lt;br&gt;&lt;div class="audio"&gt;[sound:ideology.mp3]&lt;/div&gt;</v>
      </c>
      <c r="F2595" s="3" t="str">
        <f t="shared" si="2"/>
        <v>(n): hệ tư tưởng</v>
      </c>
      <c r="G2595" s="6" t="s">
        <v>46822</v>
      </c>
      <c r="H2595" s="6" t="s">
        <v>46823</v>
      </c>
      <c r="I2595" s="7">
        <f t="shared" si="3"/>
        <v>0.7865951771</v>
      </c>
    </row>
    <row r="2596">
      <c r="A2596" s="4">
        <v>2596.0</v>
      </c>
      <c r="B2596" s="3" t="s">
        <v>46824</v>
      </c>
      <c r="C2596" s="6" t="s">
        <v>11</v>
      </c>
      <c r="D2596" s="6" t="s">
        <v>37505</v>
      </c>
      <c r="E2596" s="3" t="str">
        <f t="shared" si="1"/>
        <v>pure&lt;br&gt;&lt;div class="audio"&gt;[sound:pure.mp3]&lt;/div&gt;</v>
      </c>
      <c r="F2596" s="3" t="str">
        <f t="shared" si="2"/>
        <v>(adj): thuần khiết</v>
      </c>
      <c r="G2596" s="6" t="s">
        <v>46825</v>
      </c>
      <c r="H2596" s="6" t="s">
        <v>46826</v>
      </c>
      <c r="I2596" s="7">
        <f t="shared" si="3"/>
        <v>0.6289984189</v>
      </c>
    </row>
    <row r="2597">
      <c r="A2597" s="4">
        <v>2597.0</v>
      </c>
      <c r="B2597" s="3" t="s">
        <v>46827</v>
      </c>
      <c r="C2597" s="6" t="s">
        <v>24</v>
      </c>
      <c r="D2597" s="6" t="s">
        <v>10348</v>
      </c>
      <c r="E2597" s="3" t="str">
        <f t="shared" si="1"/>
        <v>persuade&lt;br&gt;&lt;div class="audio"&gt;[sound:persuade.mp3]&lt;/div&gt;</v>
      </c>
      <c r="F2597" s="3" t="str">
        <f t="shared" si="2"/>
        <v>(v): thuyết phục</v>
      </c>
      <c r="G2597" s="6" t="s">
        <v>46828</v>
      </c>
      <c r="H2597" s="6" t="s">
        <v>46829</v>
      </c>
      <c r="I2597" s="7">
        <f t="shared" si="3"/>
        <v>0.6329350439</v>
      </c>
    </row>
    <row r="2598">
      <c r="A2598" s="4">
        <v>2598.0</v>
      </c>
      <c r="B2598" s="3" t="s">
        <v>46830</v>
      </c>
      <c r="C2598" s="6" t="s">
        <v>74</v>
      </c>
      <c r="D2598" s="6" t="s">
        <v>20750</v>
      </c>
      <c r="E2598" s="3" t="str">
        <f t="shared" si="1"/>
        <v>furniture&lt;br&gt;&lt;div class="audio"&gt;[sound:furniture.mp3]&lt;/div&gt;</v>
      </c>
      <c r="F2598" s="3" t="str">
        <f t="shared" si="2"/>
        <v>(n): đồ nội thất</v>
      </c>
      <c r="G2598" s="6" t="s">
        <v>46831</v>
      </c>
      <c r="H2598" s="6" t="s">
        <v>46832</v>
      </c>
      <c r="I2598" s="7">
        <f t="shared" si="3"/>
        <v>0.2228634503</v>
      </c>
    </row>
    <row r="2599">
      <c r="A2599" s="4">
        <v>2599.0</v>
      </c>
      <c r="B2599" s="3" t="s">
        <v>46833</v>
      </c>
      <c r="C2599" s="6" t="s">
        <v>74</v>
      </c>
      <c r="D2599" s="6" t="s">
        <v>19112</v>
      </c>
      <c r="E2599" s="3" t="str">
        <f t="shared" si="1"/>
        <v>replacement&lt;br&gt;&lt;div class="audio"&gt;[sound:replacement.mp3]&lt;/div&gt;</v>
      </c>
      <c r="F2599" s="3" t="str">
        <f t="shared" si="2"/>
        <v>(n): sự thay thế</v>
      </c>
      <c r="G2599" s="6" t="s">
        <v>46834</v>
      </c>
      <c r="H2599" s="6" t="s">
        <v>46835</v>
      </c>
      <c r="I2599" s="7">
        <f t="shared" si="3"/>
        <v>0.08282414814</v>
      </c>
    </row>
    <row r="2600">
      <c r="A2600" s="4">
        <v>2600.0</v>
      </c>
      <c r="B2600" s="3" t="s">
        <v>46836</v>
      </c>
      <c r="C2600" s="6" t="s">
        <v>11</v>
      </c>
      <c r="D2600" s="6" t="s">
        <v>12388</v>
      </c>
      <c r="E2600" s="3" t="str">
        <f t="shared" si="1"/>
        <v>rapid&lt;br&gt;&lt;div class="audio"&gt;[sound:rapid.mp3]&lt;/div&gt;</v>
      </c>
      <c r="F2600" s="3" t="str">
        <f t="shared" si="2"/>
        <v>(adj): nhanh chóng</v>
      </c>
      <c r="G2600" s="6" t="s">
        <v>46837</v>
      </c>
      <c r="H2600" s="6" t="s">
        <v>46838</v>
      </c>
      <c r="I2600" s="7">
        <f t="shared" si="3"/>
        <v>0.9507851347</v>
      </c>
    </row>
    <row r="2601">
      <c r="A2601" s="4">
        <v>2601.0</v>
      </c>
      <c r="B2601" s="3" t="s">
        <v>46839</v>
      </c>
      <c r="C2601" s="6" t="s">
        <v>74</v>
      </c>
      <c r="D2601" s="6" t="s">
        <v>6745</v>
      </c>
      <c r="E2601" s="3" t="str">
        <f t="shared" si="1"/>
        <v>evolution&lt;br&gt;&lt;div class="audio"&gt;[sound:evolution.mp3]&lt;/div&gt;</v>
      </c>
      <c r="F2601" s="3" t="str">
        <f t="shared" si="2"/>
        <v>(n): sự tiến hóa</v>
      </c>
      <c r="G2601" s="6" t="s">
        <v>46840</v>
      </c>
      <c r="H2601" s="6" t="s">
        <v>46841</v>
      </c>
      <c r="I2601" s="7">
        <f t="shared" si="3"/>
        <v>0.5194181159</v>
      </c>
    </row>
    <row r="2602">
      <c r="A2602" s="4">
        <v>2602.0</v>
      </c>
      <c r="B2602" s="3" t="s">
        <v>46842</v>
      </c>
      <c r="C2602" s="6" t="s">
        <v>74</v>
      </c>
      <c r="D2602" s="6" t="s">
        <v>46843</v>
      </c>
      <c r="E2602" s="3" t="str">
        <f t="shared" si="1"/>
        <v>gallery&lt;br&gt;&lt;div class="audio"&gt;[sound:gallery.mp3]&lt;/div&gt;</v>
      </c>
      <c r="F2602" s="3" t="str">
        <f t="shared" si="2"/>
        <v>(n): phòng tranh</v>
      </c>
      <c r="G2602" s="6" t="s">
        <v>46844</v>
      </c>
      <c r="H2602" s="6" t="s">
        <v>46845</v>
      </c>
      <c r="I2602" s="7">
        <f t="shared" si="3"/>
        <v>0.1153811979</v>
      </c>
    </row>
    <row r="2603">
      <c r="A2603" s="4">
        <v>2603.0</v>
      </c>
      <c r="B2603" s="3" t="s">
        <v>46846</v>
      </c>
      <c r="C2603" s="6" t="s">
        <v>74</v>
      </c>
      <c r="D2603" s="6" t="s">
        <v>33772</v>
      </c>
      <c r="E2603" s="3" t="str">
        <f t="shared" si="1"/>
        <v>fishing&lt;br&gt;&lt;div class="audio"&gt;[sound:fishing.mp3]&lt;/div&gt;</v>
      </c>
      <c r="F2603" s="3" t="str">
        <f t="shared" si="2"/>
        <v>(n): câu cá</v>
      </c>
      <c r="G2603" s="6" t="s">
        <v>46847</v>
      </c>
      <c r="H2603" s="6" t="s">
        <v>46848</v>
      </c>
      <c r="I2603" s="7">
        <f t="shared" si="3"/>
        <v>0.5626455141</v>
      </c>
    </row>
    <row r="2604">
      <c r="A2604" s="4">
        <v>2604.0</v>
      </c>
      <c r="B2604" s="3" t="s">
        <v>46849</v>
      </c>
      <c r="C2604" s="6" t="s">
        <v>11</v>
      </c>
      <c r="D2604" s="6" t="s">
        <v>10052</v>
      </c>
      <c r="E2604" s="3" t="str">
        <f t="shared" si="1"/>
        <v>casual&lt;br&gt;&lt;div class="audio"&gt;[sound:casual.mp3]&lt;/div&gt;</v>
      </c>
      <c r="F2604" s="3" t="str">
        <f t="shared" si="2"/>
        <v>(adj): thường ngày</v>
      </c>
      <c r="G2604" s="6" t="s">
        <v>46850</v>
      </c>
      <c r="H2604" s="6" t="s">
        <v>46851</v>
      </c>
      <c r="I2604" s="7">
        <f t="shared" si="3"/>
        <v>0.0298821193</v>
      </c>
    </row>
    <row r="2605">
      <c r="A2605" s="4">
        <v>2605.0</v>
      </c>
      <c r="B2605" s="3" t="s">
        <v>46852</v>
      </c>
      <c r="C2605" s="6" t="s">
        <v>74</v>
      </c>
      <c r="D2605" s="6" t="s">
        <v>10693</v>
      </c>
      <c r="E2605" s="3" t="str">
        <f t="shared" si="1"/>
        <v>occupation&lt;br&gt;&lt;div class="audio"&gt;[sound:occupation.mp3]&lt;/div&gt;</v>
      </c>
      <c r="F2605" s="3" t="str">
        <f t="shared" si="2"/>
        <v>(n): nghề nghiệp</v>
      </c>
      <c r="G2605" s="6" t="s">
        <v>46853</v>
      </c>
      <c r="H2605" s="6" t="s">
        <v>46854</v>
      </c>
      <c r="I2605" s="7">
        <f t="shared" si="3"/>
        <v>0.418142085</v>
      </c>
    </row>
    <row r="2606">
      <c r="A2606" s="4">
        <v>2606.0</v>
      </c>
      <c r="B2606" s="3" t="s">
        <v>46855</v>
      </c>
      <c r="C2606" s="6" t="s">
        <v>74</v>
      </c>
      <c r="D2606" s="6" t="s">
        <v>46856</v>
      </c>
      <c r="E2606" s="3" t="str">
        <f t="shared" si="1"/>
        <v>assumption&lt;br&gt;&lt;div class="audio"&gt;[sound:assumption.mp3]&lt;/div&gt;</v>
      </c>
      <c r="F2606" s="3" t="str">
        <f t="shared" si="2"/>
        <v>(n): sự giả định</v>
      </c>
      <c r="G2606" s="6" t="s">
        <v>46857</v>
      </c>
      <c r="H2606" s="6" t="s">
        <v>46858</v>
      </c>
      <c r="I2606" s="7">
        <f t="shared" si="3"/>
        <v>0.3788284861</v>
      </c>
    </row>
    <row r="2607">
      <c r="A2607" s="4">
        <v>2607.0</v>
      </c>
      <c r="B2607" s="3" t="s">
        <v>46859</v>
      </c>
      <c r="C2607" s="6" t="s">
        <v>74</v>
      </c>
      <c r="D2607" s="6" t="s">
        <v>46860</v>
      </c>
      <c r="E2607" s="3" t="str">
        <f t="shared" si="1"/>
        <v>complication&lt;br&gt;&lt;div class="audio"&gt;[sound:complication.mp3]&lt;/div&gt;</v>
      </c>
      <c r="F2607" s="3" t="str">
        <f t="shared" si="2"/>
        <v>(n): biến chứng</v>
      </c>
      <c r="G2607" s="6" t="s">
        <v>46861</v>
      </c>
      <c r="H2607" s="6" t="s">
        <v>46862</v>
      </c>
      <c r="I2607" s="7">
        <f t="shared" si="3"/>
        <v>0.5086521624</v>
      </c>
    </row>
    <row r="2608">
      <c r="A2608" s="4">
        <v>2608.0</v>
      </c>
      <c r="B2608" s="3" t="s">
        <v>46863</v>
      </c>
      <c r="C2608" s="6" t="s">
        <v>74</v>
      </c>
      <c r="D2608" s="6" t="s">
        <v>46864</v>
      </c>
      <c r="E2608" s="3" t="str">
        <f t="shared" si="1"/>
        <v>kit&lt;br&gt;&lt;div class="audio"&gt;[sound:kit.mp3]&lt;/div&gt;</v>
      </c>
      <c r="F2608" s="3" t="str">
        <f t="shared" si="2"/>
        <v>(n): bộ dụng cụ</v>
      </c>
      <c r="G2608" s="6" t="s">
        <v>46865</v>
      </c>
      <c r="H2608" s="6" t="s">
        <v>46866</v>
      </c>
      <c r="I2608" s="7">
        <f t="shared" si="3"/>
        <v>0.07292760171</v>
      </c>
    </row>
    <row r="2609">
      <c r="A2609" s="4">
        <v>2609.0</v>
      </c>
      <c r="B2609" s="3" t="s">
        <v>46867</v>
      </c>
      <c r="C2609" s="6" t="s">
        <v>74</v>
      </c>
      <c r="D2609" s="6" t="s">
        <v>6778</v>
      </c>
      <c r="E2609" s="3" t="str">
        <f t="shared" si="1"/>
        <v>favour&lt;br&gt;&lt;div class="audio"&gt;[sound:favour.mp3]&lt;/div&gt;</v>
      </c>
      <c r="F2609" s="3" t="str">
        <f t="shared" si="2"/>
        <v>(n): sự giúp đỡ</v>
      </c>
      <c r="G2609" s="6" t="s">
        <v>46868</v>
      </c>
      <c r="H2609" s="6" t="s">
        <v>46869</v>
      </c>
      <c r="I2609" s="7">
        <f t="shared" si="3"/>
        <v>0.5087043972</v>
      </c>
    </row>
    <row r="2610">
      <c r="A2610" s="4">
        <v>2610.0</v>
      </c>
      <c r="B2610" s="3" t="s">
        <v>46870</v>
      </c>
      <c r="C2610" s="6" t="s">
        <v>74</v>
      </c>
      <c r="D2610" s="6" t="s">
        <v>9477</v>
      </c>
      <c r="E2610" s="3" t="str">
        <f t="shared" si="1"/>
        <v>icon&lt;br&gt;&lt;div class="audio"&gt;[sound:icon.mp3]&lt;/div&gt;</v>
      </c>
      <c r="F2610" s="3" t="str">
        <f t="shared" si="2"/>
        <v>(n): biểu tượng</v>
      </c>
      <c r="G2610" s="6" t="s">
        <v>46871</v>
      </c>
      <c r="H2610" s="6" t="s">
        <v>46872</v>
      </c>
      <c r="I2610" s="7">
        <f t="shared" si="3"/>
        <v>0.04854440898</v>
      </c>
    </row>
    <row r="2611">
      <c r="A2611" s="4">
        <v>2611.0</v>
      </c>
      <c r="B2611" s="3" t="s">
        <v>46873</v>
      </c>
      <c r="C2611" s="6" t="s">
        <v>74</v>
      </c>
      <c r="D2611" s="6" t="s">
        <v>4435</v>
      </c>
      <c r="E2611" s="3" t="str">
        <f t="shared" si="1"/>
        <v>coverage&lt;br&gt;&lt;div class="audio"&gt;[sound:coverage.mp3]&lt;/div&gt;</v>
      </c>
      <c r="F2611" s="3" t="str">
        <f t="shared" si="2"/>
        <v>(n): sự đưa tin</v>
      </c>
      <c r="G2611" s="6" t="s">
        <v>46874</v>
      </c>
      <c r="H2611" s="6" t="s">
        <v>46875</v>
      </c>
      <c r="I2611" s="7">
        <f t="shared" si="3"/>
        <v>0.7983768578</v>
      </c>
    </row>
    <row r="2612">
      <c r="A2612" s="4">
        <v>2612.0</v>
      </c>
      <c r="B2612" s="3" t="s">
        <v>46876</v>
      </c>
      <c r="C2612" s="6" t="s">
        <v>74</v>
      </c>
      <c r="D2612" s="6" t="s">
        <v>14774</v>
      </c>
      <c r="E2612" s="3" t="str">
        <f t="shared" si="1"/>
        <v>offence&lt;br&gt;&lt;div class="audio"&gt;[sound:offence.mp3]&lt;/div&gt;</v>
      </c>
      <c r="F2612" s="3" t="str">
        <f t="shared" si="2"/>
        <v>(n): vi phạm</v>
      </c>
      <c r="G2612" s="6" t="s">
        <v>46877</v>
      </c>
      <c r="H2612" s="6" t="s">
        <v>46878</v>
      </c>
      <c r="I2612" s="7">
        <f t="shared" si="3"/>
        <v>0.6588539069</v>
      </c>
    </row>
    <row r="2613">
      <c r="A2613" s="4">
        <v>2613.0</v>
      </c>
      <c r="B2613" s="3" t="s">
        <v>46879</v>
      </c>
      <c r="C2613" s="6" t="s">
        <v>74</v>
      </c>
      <c r="D2613" s="6" t="s">
        <v>6808</v>
      </c>
      <c r="E2613" s="3" t="str">
        <f t="shared" si="1"/>
        <v>salary&lt;br&gt;&lt;div class="audio"&gt;[sound:salary.mp3]&lt;/div&gt;</v>
      </c>
      <c r="F2613" s="3" t="str">
        <f t="shared" si="2"/>
        <v>(n): tiền lương</v>
      </c>
      <c r="G2613" s="6" t="s">
        <v>46880</v>
      </c>
      <c r="H2613" s="6" t="s">
        <v>46881</v>
      </c>
      <c r="I2613" s="7">
        <f t="shared" si="3"/>
        <v>0.163783319</v>
      </c>
    </row>
    <row r="2614">
      <c r="A2614" s="4">
        <v>2614.0</v>
      </c>
      <c r="B2614" s="3" t="s">
        <v>46882</v>
      </c>
      <c r="C2614" s="6" t="s">
        <v>74</v>
      </c>
      <c r="D2614" s="6" t="s">
        <v>2028</v>
      </c>
      <c r="E2614" s="3" t="str">
        <f t="shared" si="1"/>
        <v>expertise&lt;br&gt;&lt;div class="audio"&gt;[sound:expertise.mp3]&lt;/div&gt;</v>
      </c>
      <c r="F2614" s="3" t="str">
        <f t="shared" si="2"/>
        <v>(n): chuyên môn</v>
      </c>
      <c r="G2614" s="6" t="s">
        <v>46883</v>
      </c>
      <c r="H2614" s="6" t="s">
        <v>46884</v>
      </c>
      <c r="I2614" s="7">
        <f t="shared" si="3"/>
        <v>0.796438146</v>
      </c>
    </row>
    <row r="2615">
      <c r="A2615" s="4">
        <v>2615.0</v>
      </c>
      <c r="B2615" s="3" t="s">
        <v>46885</v>
      </c>
      <c r="C2615" s="6" t="s">
        <v>74</v>
      </c>
      <c r="D2615" s="6" t="s">
        <v>46886</v>
      </c>
      <c r="E2615" s="3" t="str">
        <f t="shared" si="1"/>
        <v>cabin&lt;br&gt;&lt;div class="audio"&gt;[sound:cabin.mp3]&lt;/div&gt;</v>
      </c>
      <c r="F2615" s="3" t="str">
        <f t="shared" si="2"/>
        <v>(n): khoang tàu</v>
      </c>
      <c r="G2615" s="6" t="s">
        <v>46887</v>
      </c>
      <c r="H2615" s="6" t="s">
        <v>46888</v>
      </c>
      <c r="I2615" s="7">
        <f t="shared" si="3"/>
        <v>0.7663601572</v>
      </c>
    </row>
    <row r="2616">
      <c r="A2616" s="4">
        <v>2616.0</v>
      </c>
      <c r="B2616" s="3" t="s">
        <v>46889</v>
      </c>
      <c r="C2616" s="6" t="s">
        <v>74</v>
      </c>
      <c r="D2616" s="8" t="s">
        <v>46890</v>
      </c>
      <c r="E2616" s="3" t="str">
        <f t="shared" si="1"/>
        <v>sibling&lt;br&gt;&lt;div class="audio"&gt;[sound:sibling.mp3]&lt;/div&gt;</v>
      </c>
      <c r="F2616" s="3" t="str">
        <f t="shared" si="2"/>
        <v>(n): anh chị em</v>
      </c>
      <c r="G2616" s="8" t="s">
        <v>46891</v>
      </c>
      <c r="H2616" s="8" t="s">
        <v>46892</v>
      </c>
      <c r="I2616" s="7">
        <f t="shared" si="3"/>
        <v>0.08720358044</v>
      </c>
    </row>
    <row r="2617">
      <c r="A2617" s="4">
        <v>2617.0</v>
      </c>
      <c r="B2617" s="3" t="s">
        <v>46893</v>
      </c>
      <c r="C2617" s="6" t="s">
        <v>11</v>
      </c>
      <c r="D2617" s="6" t="s">
        <v>1438</v>
      </c>
      <c r="E2617" s="3" t="str">
        <f t="shared" si="1"/>
        <v>vital&lt;br&gt;&lt;div class="audio"&gt;[sound:vital.mp3]&lt;/div&gt;</v>
      </c>
      <c r="F2617" s="3" t="str">
        <f t="shared" si="2"/>
        <v>(adj): quan trọng</v>
      </c>
      <c r="G2617" s="6" t="s">
        <v>46894</v>
      </c>
      <c r="H2617" s="6" t="s">
        <v>46895</v>
      </c>
      <c r="I2617" s="7">
        <f t="shared" si="3"/>
        <v>0.6490530502</v>
      </c>
    </row>
    <row r="2618">
      <c r="A2618" s="4">
        <v>2618.0</v>
      </c>
      <c r="B2618" s="3" t="s">
        <v>46896</v>
      </c>
      <c r="C2618" s="6" t="s">
        <v>24</v>
      </c>
      <c r="D2618" s="8" t="s">
        <v>21042</v>
      </c>
      <c r="E2618" s="3" t="str">
        <f t="shared" si="1"/>
        <v>stimulate&lt;br&gt;&lt;div class="audio"&gt;[sound:stimulate.mp3]&lt;/div&gt;</v>
      </c>
      <c r="F2618" s="3" t="str">
        <f t="shared" si="2"/>
        <v>(v): kích thích</v>
      </c>
      <c r="G2618" s="8" t="s">
        <v>46897</v>
      </c>
      <c r="H2618" s="8" t="s">
        <v>46898</v>
      </c>
      <c r="I2618" s="7">
        <f t="shared" si="3"/>
        <v>0.1421803256</v>
      </c>
    </row>
    <row r="2619">
      <c r="A2619" s="4">
        <v>2619.0</v>
      </c>
      <c r="B2619" s="3" t="s">
        <v>46899</v>
      </c>
      <c r="C2619" s="6" t="s">
        <v>74</v>
      </c>
      <c r="D2619" s="6" t="s">
        <v>24909</v>
      </c>
      <c r="E2619" s="3" t="str">
        <f t="shared" si="1"/>
        <v>closet&lt;br&gt;&lt;div class="audio"&gt;[sound:closet.mp3]&lt;/div&gt;</v>
      </c>
      <c r="F2619" s="3" t="str">
        <f t="shared" si="2"/>
        <v>(n): tủ quần áo</v>
      </c>
      <c r="G2619" s="6" t="s">
        <v>46900</v>
      </c>
      <c r="H2619" s="6" t="s">
        <v>46901</v>
      </c>
      <c r="I2619" s="7">
        <f t="shared" si="3"/>
        <v>0.4671705668</v>
      </c>
    </row>
    <row r="2620">
      <c r="A2620" s="4">
        <v>2620.0</v>
      </c>
      <c r="B2620" s="3" t="s">
        <v>46902</v>
      </c>
      <c r="C2620" s="6" t="s">
        <v>74</v>
      </c>
      <c r="D2620" s="8" t="s">
        <v>6796</v>
      </c>
      <c r="E2620" s="3" t="str">
        <f t="shared" si="1"/>
        <v>subscription&lt;br&gt;&lt;div class="audio"&gt;[sound:subscription.mp3]&lt;/div&gt;</v>
      </c>
      <c r="F2620" s="3" t="str">
        <f t="shared" si="2"/>
        <v>(n): sự đăng ký</v>
      </c>
      <c r="G2620" s="8" t="s">
        <v>46903</v>
      </c>
      <c r="H2620" s="8" t="s">
        <v>46904</v>
      </c>
      <c r="I2620" s="7">
        <f t="shared" si="3"/>
        <v>0.2644293609</v>
      </c>
    </row>
    <row r="2621">
      <c r="A2621" s="4">
        <v>2621.0</v>
      </c>
      <c r="B2621" s="3" t="s">
        <v>46905</v>
      </c>
      <c r="C2621" s="6" t="s">
        <v>11</v>
      </c>
      <c r="D2621" s="6" t="s">
        <v>46906</v>
      </c>
      <c r="E2621" s="3" t="str">
        <f t="shared" si="1"/>
        <v>remarkable&lt;br&gt;&lt;div class="audio"&gt;[sound:remarkable.mp3]&lt;/div&gt;</v>
      </c>
      <c r="F2621" s="3" t="str">
        <f t="shared" si="2"/>
        <v>(adj): đáng chú ý</v>
      </c>
      <c r="G2621" s="6" t="s">
        <v>46907</v>
      </c>
      <c r="H2621" s="6" t="s">
        <v>46908</v>
      </c>
      <c r="I2621" s="7">
        <f t="shared" si="3"/>
        <v>0.5501771606</v>
      </c>
    </row>
    <row r="2622">
      <c r="A2622" s="4">
        <v>2622.0</v>
      </c>
      <c r="B2622" s="3" t="s">
        <v>46909</v>
      </c>
      <c r="C2622" s="6" t="s">
        <v>74</v>
      </c>
      <c r="D2622" s="6" t="s">
        <v>46910</v>
      </c>
      <c r="E2622" s="3" t="str">
        <f t="shared" si="1"/>
        <v>psychology&lt;br&gt;&lt;div class="audio"&gt;[sound:psychology.mp3]&lt;/div&gt;</v>
      </c>
      <c r="F2622" s="3" t="str">
        <f t="shared" si="2"/>
        <v>(n): tâm lý học</v>
      </c>
      <c r="G2622" s="6" t="s">
        <v>46911</v>
      </c>
      <c r="H2622" s="6" t="s">
        <v>46912</v>
      </c>
      <c r="I2622" s="7">
        <f t="shared" si="3"/>
        <v>0.3284314615</v>
      </c>
    </row>
    <row r="2623">
      <c r="A2623" s="4">
        <v>2623.0</v>
      </c>
      <c r="B2623" s="3" t="s">
        <v>46913</v>
      </c>
      <c r="C2623" s="6" t="s">
        <v>74</v>
      </c>
      <c r="D2623" s="6" t="s">
        <v>46914</v>
      </c>
      <c r="E2623" s="3" t="str">
        <f t="shared" si="1"/>
        <v>anxiety&lt;br&gt;&lt;div class="audio"&gt;[sound:anxiety.mp3]&lt;/div&gt;</v>
      </c>
      <c r="F2623" s="3" t="str">
        <f t="shared" si="2"/>
        <v>(n): sự lo lắng</v>
      </c>
      <c r="G2623" s="6" t="s">
        <v>46915</v>
      </c>
      <c r="H2623" s="6" t="s">
        <v>46916</v>
      </c>
      <c r="I2623" s="7">
        <f t="shared" si="3"/>
        <v>0.5963656395</v>
      </c>
    </row>
    <row r="2624">
      <c r="A2624" s="4">
        <v>2624.0</v>
      </c>
      <c r="B2624" s="3" t="s">
        <v>46917</v>
      </c>
      <c r="C2624" s="6" t="s">
        <v>74</v>
      </c>
      <c r="D2624" s="6" t="s">
        <v>13113</v>
      </c>
      <c r="E2624" s="3" t="str">
        <f t="shared" si="1"/>
        <v>commerce&lt;br&gt;&lt;div class="audio"&gt;[sound:commerce.mp3]&lt;/div&gt;</v>
      </c>
      <c r="F2624" s="3" t="str">
        <f t="shared" si="2"/>
        <v>(n): thương mại</v>
      </c>
      <c r="G2624" s="6" t="s">
        <v>46918</v>
      </c>
      <c r="H2624" s="6" t="s">
        <v>46919</v>
      </c>
      <c r="I2624" s="7">
        <f t="shared" si="3"/>
        <v>0.002598273074</v>
      </c>
    </row>
    <row r="2625">
      <c r="A2625" s="4">
        <v>2625.0</v>
      </c>
      <c r="B2625" s="3" t="s">
        <v>46920</v>
      </c>
      <c r="C2625" s="6" t="s">
        <v>74</v>
      </c>
      <c r="D2625" s="6" t="s">
        <v>46921</v>
      </c>
      <c r="E2625" s="3" t="str">
        <f t="shared" si="1"/>
        <v>hypothesis&lt;br&gt;&lt;div class="audio"&gt;[sound:hypothesis.mp3]&lt;/div&gt;</v>
      </c>
      <c r="F2625" s="3" t="str">
        <f t="shared" si="2"/>
        <v>(n): giả thuyết</v>
      </c>
      <c r="G2625" s="6" t="s">
        <v>46922</v>
      </c>
      <c r="H2625" s="6" t="s">
        <v>46923</v>
      </c>
      <c r="I2625" s="7">
        <f t="shared" si="3"/>
        <v>0.2566230834</v>
      </c>
    </row>
    <row r="2626">
      <c r="A2626" s="4">
        <v>2626.0</v>
      </c>
      <c r="B2626" s="3" t="s">
        <v>46924</v>
      </c>
      <c r="C2626" s="6" t="s">
        <v>74</v>
      </c>
      <c r="D2626" s="6" t="s">
        <v>20398</v>
      </c>
      <c r="E2626" s="3" t="str">
        <f t="shared" si="1"/>
        <v>civilian&lt;br&gt;&lt;div class="audio"&gt;[sound:civilian.mp3]&lt;/div&gt;</v>
      </c>
      <c r="F2626" s="3" t="str">
        <f t="shared" si="2"/>
        <v>(n): thường dân</v>
      </c>
      <c r="G2626" s="6" t="s">
        <v>46925</v>
      </c>
      <c r="H2626" s="6" t="s">
        <v>46926</v>
      </c>
      <c r="I2626" s="7">
        <f t="shared" si="3"/>
        <v>0.6236873041</v>
      </c>
    </row>
    <row r="2627">
      <c r="A2627" s="4">
        <v>2627.0</v>
      </c>
      <c r="B2627" s="3" t="s">
        <v>46927</v>
      </c>
      <c r="C2627" s="6" t="s">
        <v>74</v>
      </c>
      <c r="D2627" s="6" t="s">
        <v>18177</v>
      </c>
      <c r="E2627" s="3" t="str">
        <f t="shared" si="1"/>
        <v>reputation&lt;br&gt;&lt;div class="audio"&gt;[sound:reputation.mp3]&lt;/div&gt;</v>
      </c>
      <c r="F2627" s="3" t="str">
        <f t="shared" si="2"/>
        <v>(n): danh tiếng</v>
      </c>
      <c r="G2627" s="6" t="s">
        <v>46928</v>
      </c>
      <c r="H2627" s="6" t="s">
        <v>46929</v>
      </c>
      <c r="I2627" s="7">
        <f t="shared" si="3"/>
        <v>0.01095258943</v>
      </c>
    </row>
    <row r="2628">
      <c r="A2628" s="4">
        <v>2628.0</v>
      </c>
      <c r="B2628" s="3" t="s">
        <v>46930</v>
      </c>
      <c r="C2628" s="6" t="s">
        <v>74</v>
      </c>
      <c r="D2628" s="6" t="s">
        <v>46931</v>
      </c>
      <c r="E2628" s="3" t="str">
        <f t="shared" si="1"/>
        <v>confrontation&lt;br&gt;&lt;div class="audio"&gt;[sound:confrontation.mp3]&lt;/div&gt;</v>
      </c>
      <c r="F2628" s="3" t="str">
        <f t="shared" si="2"/>
        <v>(n): sự đối đầu</v>
      </c>
      <c r="G2628" s="6" t="s">
        <v>46932</v>
      </c>
      <c r="H2628" s="6" t="s">
        <v>46933</v>
      </c>
      <c r="I2628" s="7">
        <f t="shared" si="3"/>
        <v>0.984802673</v>
      </c>
    </row>
    <row r="2629">
      <c r="A2629" s="4">
        <v>2629.0</v>
      </c>
      <c r="B2629" s="3" t="s">
        <v>46934</v>
      </c>
      <c r="C2629" s="6" t="s">
        <v>74</v>
      </c>
      <c r="D2629" s="6" t="s">
        <v>22019</v>
      </c>
      <c r="E2629" s="3" t="str">
        <f t="shared" si="1"/>
        <v>resolution&lt;br&gt;&lt;div class="audio"&gt;[sound:resolution.mp3]&lt;/div&gt;</v>
      </c>
      <c r="F2629" s="3" t="str">
        <f t="shared" si="2"/>
        <v>(n): nghị quyết</v>
      </c>
      <c r="G2629" s="6" t="s">
        <v>46935</v>
      </c>
      <c r="H2629" s="6" t="s">
        <v>46936</v>
      </c>
      <c r="I2629" s="7">
        <f t="shared" si="3"/>
        <v>0.2197350654</v>
      </c>
    </row>
    <row r="2630">
      <c r="A2630" s="4">
        <v>2630.0</v>
      </c>
      <c r="B2630" s="3" t="s">
        <v>46937</v>
      </c>
      <c r="C2630" s="6" t="s">
        <v>74</v>
      </c>
      <c r="D2630" s="6" t="s">
        <v>46938</v>
      </c>
      <c r="E2630" s="3" t="str">
        <f t="shared" si="1"/>
        <v>boom&lt;br&gt;&lt;div class="audio"&gt;[sound:boom.mp3]&lt;/div&gt;</v>
      </c>
      <c r="F2630" s="3" t="str">
        <f t="shared" si="2"/>
        <v>(n): sự bùng nổ</v>
      </c>
      <c r="G2630" s="6" t="s">
        <v>46939</v>
      </c>
      <c r="H2630" s="6" t="s">
        <v>46940</v>
      </c>
      <c r="I2630" s="7">
        <f t="shared" si="3"/>
        <v>0.02432942273</v>
      </c>
    </row>
    <row r="2631">
      <c r="A2631" s="4">
        <v>2631.0</v>
      </c>
      <c r="B2631" s="3" t="s">
        <v>46941</v>
      </c>
      <c r="C2631" s="6" t="s">
        <v>74</v>
      </c>
      <c r="D2631" s="6" t="s">
        <v>9459</v>
      </c>
      <c r="E2631" s="3" t="str">
        <f t="shared" si="1"/>
        <v>prospect&lt;br&gt;&lt;div class="audio"&gt;[sound:prospect.mp3]&lt;/div&gt;</v>
      </c>
      <c r="F2631" s="3" t="str">
        <f t="shared" si="2"/>
        <v>(n): triển vọng</v>
      </c>
      <c r="G2631" s="6" t="s">
        <v>46942</v>
      </c>
      <c r="H2631" s="6" t="s">
        <v>46943</v>
      </c>
      <c r="I2631" s="7">
        <f t="shared" si="3"/>
        <v>0.1317280571</v>
      </c>
    </row>
    <row r="2632">
      <c r="A2632" s="4">
        <v>2632.0</v>
      </c>
      <c r="B2632" s="3" t="s">
        <v>46944</v>
      </c>
      <c r="C2632" s="6" t="s">
        <v>74</v>
      </c>
      <c r="D2632" s="6" t="s">
        <v>46945</v>
      </c>
      <c r="E2632" s="3" t="str">
        <f t="shared" si="1"/>
        <v>mass&lt;br&gt;&lt;div class="audio"&gt;[sound:mass.mp3]&lt;/div&gt;</v>
      </c>
      <c r="F2632" s="3" t="str">
        <f t="shared" si="2"/>
        <v>(n): khối lượng</v>
      </c>
      <c r="G2632" s="6" t="s">
        <v>46946</v>
      </c>
      <c r="H2632" s="6" t="s">
        <v>46947</v>
      </c>
      <c r="I2632" s="7">
        <f t="shared" si="3"/>
        <v>0.937714195</v>
      </c>
    </row>
    <row r="2633">
      <c r="A2633" s="4">
        <v>2633.0</v>
      </c>
      <c r="B2633" s="3" t="s">
        <v>46948</v>
      </c>
      <c r="C2633" s="6" t="s">
        <v>74</v>
      </c>
      <c r="D2633" s="6" t="s">
        <v>46949</v>
      </c>
      <c r="E2633" s="3" t="str">
        <f t="shared" si="1"/>
        <v>plot&lt;br&gt;&lt;div class="audio"&gt;[sound:plot.mp3]&lt;/div&gt;</v>
      </c>
      <c r="F2633" s="3" t="str">
        <f t="shared" si="2"/>
        <v>(n): cốt truyện</v>
      </c>
      <c r="G2633" s="6" t="s">
        <v>46950</v>
      </c>
      <c r="H2633" s="6" t="s">
        <v>46951</v>
      </c>
      <c r="I2633" s="7">
        <f t="shared" si="3"/>
        <v>0.2464487906</v>
      </c>
    </row>
    <row r="2634">
      <c r="A2634" s="4">
        <v>2634.0</v>
      </c>
      <c r="B2634" s="3" t="s">
        <v>46952</v>
      </c>
      <c r="C2634" s="6" t="s">
        <v>74</v>
      </c>
      <c r="D2634" s="6" t="s">
        <v>24130</v>
      </c>
      <c r="E2634" s="3" t="str">
        <f t="shared" si="1"/>
        <v>printing&lt;br&gt;&lt;div class="audio"&gt;[sound:printing.mp3]&lt;/div&gt;</v>
      </c>
      <c r="F2634" s="3" t="str">
        <f t="shared" si="2"/>
        <v>(n): in ấn</v>
      </c>
      <c r="G2634" s="6" t="s">
        <v>46953</v>
      </c>
      <c r="H2634" s="6" t="s">
        <v>46954</v>
      </c>
      <c r="I2634" s="7">
        <f t="shared" si="3"/>
        <v>0.9417269558</v>
      </c>
    </row>
    <row r="2635">
      <c r="A2635" s="4">
        <v>2635.0</v>
      </c>
      <c r="B2635" s="3" t="s">
        <v>46955</v>
      </c>
      <c r="C2635" s="6" t="s">
        <v>74</v>
      </c>
      <c r="D2635" s="6" t="s">
        <v>8018</v>
      </c>
      <c r="E2635" s="3" t="str">
        <f t="shared" si="1"/>
        <v>reporter&lt;br&gt;&lt;div class="audio"&gt;[sound:reporter.mp3]&lt;/div&gt;</v>
      </c>
      <c r="F2635" s="3" t="str">
        <f t="shared" si="2"/>
        <v>(n): phóng viên</v>
      </c>
      <c r="G2635" s="6" t="s">
        <v>46956</v>
      </c>
      <c r="H2635" s="6" t="s">
        <v>46957</v>
      </c>
      <c r="I2635" s="7">
        <f t="shared" si="3"/>
        <v>0.5069459859</v>
      </c>
    </row>
    <row r="2636">
      <c r="A2636" s="4">
        <v>2636.0</v>
      </c>
      <c r="B2636" s="3" t="s">
        <v>46958</v>
      </c>
      <c r="C2636" s="6" t="s">
        <v>11</v>
      </c>
      <c r="D2636" s="6" t="s">
        <v>32598</v>
      </c>
      <c r="E2636" s="3" t="str">
        <f t="shared" si="1"/>
        <v>married&lt;br&gt;&lt;div class="audio"&gt;[sound:married.mp3]&lt;/div&gt;</v>
      </c>
      <c r="F2636" s="3" t="str">
        <f t="shared" si="2"/>
        <v>(adj): đã kết hôn</v>
      </c>
      <c r="G2636" s="6" t="s">
        <v>46959</v>
      </c>
      <c r="H2636" s="6" t="s">
        <v>46960</v>
      </c>
      <c r="I2636" s="7">
        <f t="shared" si="3"/>
        <v>0.7440991652</v>
      </c>
    </row>
    <row r="2637">
      <c r="A2637" s="4">
        <v>2637.0</v>
      </c>
      <c r="B2637" s="3" t="s">
        <v>46961</v>
      </c>
      <c r="C2637" s="6" t="s">
        <v>24</v>
      </c>
      <c r="D2637" s="6" t="s">
        <v>46962</v>
      </c>
      <c r="E2637" s="3" t="str">
        <f t="shared" si="1"/>
        <v>initiate&lt;br&gt;&lt;div class="audio"&gt;[sound:initiate.mp3]&lt;/div&gt;</v>
      </c>
      <c r="F2637" s="3" t="str">
        <f t="shared" si="2"/>
        <v>(v): khởi xướng</v>
      </c>
      <c r="G2637" s="6" t="s">
        <v>46963</v>
      </c>
      <c r="H2637" s="6" t="s">
        <v>46964</v>
      </c>
      <c r="I2637" s="7">
        <f t="shared" si="3"/>
        <v>0.7902262337</v>
      </c>
    </row>
    <row r="2638">
      <c r="A2638" s="4">
        <v>2638.0</v>
      </c>
      <c r="B2638" s="3" t="s">
        <v>46965</v>
      </c>
      <c r="C2638" s="6" t="s">
        <v>24</v>
      </c>
      <c r="D2638" s="6" t="s">
        <v>657</v>
      </c>
      <c r="E2638" s="3" t="str">
        <f t="shared" si="1"/>
        <v>regulate&lt;br&gt;&lt;div class="audio"&gt;[sound:regulate.mp3]&lt;/div&gt;</v>
      </c>
      <c r="F2638" s="3" t="str">
        <f t="shared" si="2"/>
        <v>(v): điều chỉnh</v>
      </c>
      <c r="G2638" s="6" t="s">
        <v>46966</v>
      </c>
      <c r="H2638" s="6" t="s">
        <v>46967</v>
      </c>
      <c r="I2638" s="7">
        <f t="shared" si="3"/>
        <v>0.4807433234</v>
      </c>
    </row>
    <row r="2639">
      <c r="A2639" s="4">
        <v>2639.0</v>
      </c>
      <c r="B2639" s="3" t="s">
        <v>46968</v>
      </c>
      <c r="C2639" s="6" t="s">
        <v>74</v>
      </c>
      <c r="D2639" s="6" t="s">
        <v>46969</v>
      </c>
      <c r="E2639" s="3" t="str">
        <f t="shared" si="1"/>
        <v>murder&lt;br&gt;&lt;div class="audio"&gt;[sound:murder.mp3]&lt;/div&gt;</v>
      </c>
      <c r="F2639" s="3" t="str">
        <f t="shared" si="2"/>
        <v>(n): vụ án mạng</v>
      </c>
      <c r="G2639" s="6" t="s">
        <v>46970</v>
      </c>
      <c r="H2639" s="6" t="s">
        <v>46971</v>
      </c>
      <c r="I2639" s="7">
        <f t="shared" si="3"/>
        <v>0.4700835675</v>
      </c>
    </row>
    <row r="2640">
      <c r="A2640" s="4">
        <v>2640.0</v>
      </c>
      <c r="B2640" s="3" t="s">
        <v>46972</v>
      </c>
      <c r="C2640" s="6" t="s">
        <v>74</v>
      </c>
      <c r="D2640" s="8" t="s">
        <v>46973</v>
      </c>
      <c r="E2640" s="3" t="str">
        <f t="shared" si="1"/>
        <v>succession&lt;br&gt;&lt;div class="audio"&gt;[sound:succession.mp3]&lt;/div&gt;</v>
      </c>
      <c r="F2640" s="3" t="str">
        <f t="shared" si="2"/>
        <v>(n): sự kế tiếp</v>
      </c>
      <c r="G2640" s="8" t="s">
        <v>46974</v>
      </c>
      <c r="H2640" s="8" t="s">
        <v>46975</v>
      </c>
      <c r="I2640" s="7">
        <f t="shared" si="3"/>
        <v>0.3267466933</v>
      </c>
    </row>
    <row r="2641">
      <c r="A2641" s="4">
        <v>2641.0</v>
      </c>
      <c r="B2641" s="3" t="s">
        <v>46976</v>
      </c>
      <c r="C2641" s="6" t="s">
        <v>24</v>
      </c>
      <c r="D2641" s="6" t="s">
        <v>5044</v>
      </c>
      <c r="E2641" s="3" t="str">
        <f t="shared" si="1"/>
        <v>recruit&lt;br&gt;&lt;div class="audio"&gt;[sound:recruit.mp3]&lt;/div&gt;</v>
      </c>
      <c r="F2641" s="3" t="str">
        <f t="shared" si="2"/>
        <v>(v): tuyển dụng</v>
      </c>
      <c r="G2641" s="6" t="s">
        <v>46977</v>
      </c>
      <c r="H2641" s="6" t="s">
        <v>46978</v>
      </c>
      <c r="I2641" s="7">
        <f t="shared" si="3"/>
        <v>0.05723389407</v>
      </c>
    </row>
    <row r="2642">
      <c r="A2642" s="4">
        <v>2642.0</v>
      </c>
      <c r="B2642" s="3" t="s">
        <v>46979</v>
      </c>
      <c r="C2642" s="6" t="s">
        <v>74</v>
      </c>
      <c r="D2642" s="6" t="s">
        <v>46980</v>
      </c>
      <c r="E2642" s="3" t="str">
        <f t="shared" si="1"/>
        <v>residence&lt;br&gt;&lt;div class="audio"&gt;[sound:residence.mp3]&lt;/div&gt;</v>
      </c>
      <c r="F2642" s="3" t="str">
        <f t="shared" si="2"/>
        <v>(n): nơi cư trú</v>
      </c>
      <c r="G2642" s="6" t="s">
        <v>46981</v>
      </c>
      <c r="H2642" s="6" t="s">
        <v>46982</v>
      </c>
      <c r="I2642" s="7">
        <f t="shared" si="3"/>
        <v>0.342759342</v>
      </c>
    </row>
    <row r="2643">
      <c r="A2643" s="4">
        <v>2643.0</v>
      </c>
      <c r="B2643" s="3" t="s">
        <v>46983</v>
      </c>
      <c r="C2643" s="6" t="s">
        <v>74</v>
      </c>
      <c r="D2643" s="6" t="s">
        <v>46984</v>
      </c>
      <c r="E2643" s="3" t="str">
        <f t="shared" si="1"/>
        <v>framework&lt;br&gt;&lt;div class="audio"&gt;[sound:framework.mp3]&lt;/div&gt;</v>
      </c>
      <c r="F2643" s="3" t="str">
        <f t="shared" si="2"/>
        <v>(n): khung sườn</v>
      </c>
      <c r="G2643" s="6" t="s">
        <v>46985</v>
      </c>
      <c r="H2643" s="6" t="s">
        <v>46986</v>
      </c>
      <c r="I2643" s="7">
        <f t="shared" si="3"/>
        <v>0.1340455447</v>
      </c>
    </row>
    <row r="2644">
      <c r="A2644" s="4">
        <v>2644.0</v>
      </c>
      <c r="B2644" s="3" t="s">
        <v>46987</v>
      </c>
      <c r="C2644" s="6" t="s">
        <v>74</v>
      </c>
      <c r="D2644" s="6" t="s">
        <v>12515</v>
      </c>
      <c r="E2644" s="3" t="str">
        <f t="shared" si="1"/>
        <v>constraint&lt;br&gt;&lt;div class="audio"&gt;[sound:constraint.mp3]&lt;/div&gt;</v>
      </c>
      <c r="F2644" s="3" t="str">
        <f t="shared" si="2"/>
        <v>(n): sự hạn chế</v>
      </c>
      <c r="G2644" s="6" t="s">
        <v>46988</v>
      </c>
      <c r="H2644" s="6" t="s">
        <v>46989</v>
      </c>
      <c r="I2644" s="7">
        <f t="shared" si="3"/>
        <v>0.1401441144</v>
      </c>
    </row>
    <row r="2645">
      <c r="A2645" s="4">
        <v>2645.0</v>
      </c>
      <c r="B2645" s="3" t="s">
        <v>46990</v>
      </c>
      <c r="C2645" s="6" t="s">
        <v>24</v>
      </c>
      <c r="D2645" s="6" t="s">
        <v>5912</v>
      </c>
      <c r="E2645" s="3" t="str">
        <f t="shared" si="1"/>
        <v>resolve&lt;br&gt;&lt;div class="audio"&gt;[sound:resolve.mp3]&lt;/div&gt;</v>
      </c>
      <c r="F2645" s="3" t="str">
        <f t="shared" si="2"/>
        <v>(v): giải quyết</v>
      </c>
      <c r="G2645" s="6" t="s">
        <v>46991</v>
      </c>
      <c r="H2645" s="6" t="s">
        <v>46992</v>
      </c>
      <c r="I2645" s="7">
        <f t="shared" si="3"/>
        <v>0.758484124</v>
      </c>
    </row>
    <row r="2646">
      <c r="A2646" s="4">
        <v>2646.0</v>
      </c>
      <c r="B2646" s="3" t="s">
        <v>46993</v>
      </c>
      <c r="C2646" s="6" t="s">
        <v>74</v>
      </c>
      <c r="D2646" s="6" t="s">
        <v>46994</v>
      </c>
      <c r="E2646" s="3" t="str">
        <f t="shared" si="1"/>
        <v>format&lt;br&gt;&lt;div class="audio"&gt;[sound:format.mp3]&lt;/div&gt;</v>
      </c>
      <c r="F2646" s="3" t="str">
        <f t="shared" si="2"/>
        <v>(n): định dạng</v>
      </c>
      <c r="G2646" s="6" t="s">
        <v>46995</v>
      </c>
      <c r="H2646" s="6" t="s">
        <v>46996</v>
      </c>
      <c r="I2646" s="7">
        <f t="shared" si="3"/>
        <v>0.2193322548</v>
      </c>
    </row>
    <row r="2647">
      <c r="A2647" s="4">
        <v>2647.0</v>
      </c>
      <c r="B2647" s="3" t="s">
        <v>46997</v>
      </c>
      <c r="C2647" s="6" t="s">
        <v>11</v>
      </c>
      <c r="D2647" s="6" t="s">
        <v>807</v>
      </c>
      <c r="E2647" s="3" t="str">
        <f t="shared" si="1"/>
        <v>external&lt;br&gt;&lt;div class="audio"&gt;[sound:external.mp3]&lt;/div&gt;</v>
      </c>
      <c r="F2647" s="3" t="str">
        <f t="shared" si="2"/>
        <v>(adj): bên ngoài</v>
      </c>
      <c r="G2647" s="6" t="s">
        <v>46998</v>
      </c>
      <c r="H2647" s="6" t="s">
        <v>46999</v>
      </c>
      <c r="I2647" s="7">
        <f t="shared" si="3"/>
        <v>0.929966899</v>
      </c>
    </row>
    <row r="2648">
      <c r="A2648" s="4">
        <v>2648.0</v>
      </c>
      <c r="B2648" s="3" t="s">
        <v>47000</v>
      </c>
      <c r="C2648" s="6" t="s">
        <v>24</v>
      </c>
      <c r="D2648" s="6" t="s">
        <v>23891</v>
      </c>
      <c r="E2648" s="3" t="str">
        <f t="shared" si="1"/>
        <v>classify&lt;br&gt;&lt;div class="audio"&gt;[sound:classify.mp3]&lt;/div&gt;</v>
      </c>
      <c r="F2648" s="3" t="str">
        <f t="shared" si="2"/>
        <v>(v): phân loại</v>
      </c>
      <c r="G2648" s="6" t="s">
        <v>47001</v>
      </c>
      <c r="H2648" s="6" t="s">
        <v>47002</v>
      </c>
      <c r="I2648" s="7">
        <f t="shared" si="3"/>
        <v>0.01736622783</v>
      </c>
    </row>
    <row r="2649">
      <c r="A2649" s="4">
        <v>2649.0</v>
      </c>
      <c r="B2649" s="3" t="s">
        <v>47003</v>
      </c>
      <c r="C2649" s="6" t="s">
        <v>74</v>
      </c>
      <c r="D2649" s="6" t="s">
        <v>32163</v>
      </c>
      <c r="E2649" s="3" t="str">
        <f t="shared" si="1"/>
        <v>privilege&lt;br&gt;&lt;div class="audio"&gt;[sound:privilege.mp3]&lt;/div&gt;</v>
      </c>
      <c r="F2649" s="3" t="str">
        <f t="shared" si="2"/>
        <v>(n): đặc quyền</v>
      </c>
      <c r="G2649" s="6" t="s">
        <v>47004</v>
      </c>
      <c r="H2649" s="6" t="s">
        <v>47005</v>
      </c>
      <c r="I2649" s="7">
        <f t="shared" si="3"/>
        <v>0.5076032199</v>
      </c>
    </row>
    <row r="2650">
      <c r="A2650" s="4">
        <v>2650.0</v>
      </c>
      <c r="B2650" s="3" t="s">
        <v>47006</v>
      </c>
      <c r="C2650" s="6" t="s">
        <v>74</v>
      </c>
      <c r="D2650" s="6" t="s">
        <v>33324</v>
      </c>
      <c r="E2650" s="3" t="str">
        <f t="shared" si="1"/>
        <v>gravity&lt;br&gt;&lt;div class="audio"&gt;[sound:gravity.mp3]&lt;/div&gt;</v>
      </c>
      <c r="F2650" s="3" t="str">
        <f t="shared" si="2"/>
        <v>(n): trọng lực</v>
      </c>
      <c r="G2650" s="6" t="s">
        <v>47007</v>
      </c>
      <c r="H2650" s="6" t="s">
        <v>47008</v>
      </c>
      <c r="I2650" s="7">
        <f t="shared" si="3"/>
        <v>0.781867815</v>
      </c>
    </row>
    <row r="2651">
      <c r="A2651" s="4">
        <v>2651.0</v>
      </c>
      <c r="B2651" s="3" t="s">
        <v>47009</v>
      </c>
      <c r="C2651" s="6" t="s">
        <v>11</v>
      </c>
      <c r="D2651" s="6" t="s">
        <v>9487</v>
      </c>
      <c r="E2651" s="3" t="str">
        <f t="shared" si="1"/>
        <v>injured&lt;br&gt;&lt;div class="audio"&gt;[sound:injured.mp3]&lt;/div&gt;</v>
      </c>
      <c r="F2651" s="3" t="str">
        <f t="shared" si="2"/>
        <v>(adj): bị thương</v>
      </c>
      <c r="G2651" s="6" t="s">
        <v>47010</v>
      </c>
      <c r="H2651" s="6" t="s">
        <v>47011</v>
      </c>
      <c r="I2651" s="7">
        <f t="shared" si="3"/>
        <v>0.5208449306</v>
      </c>
    </row>
    <row r="2652">
      <c r="A2652" s="4">
        <v>2652.0</v>
      </c>
      <c r="B2652" s="3" t="s">
        <v>47012</v>
      </c>
      <c r="C2652" s="6" t="s">
        <v>74</v>
      </c>
      <c r="D2652" s="6" t="s">
        <v>21072</v>
      </c>
      <c r="E2652" s="3" t="str">
        <f t="shared" si="1"/>
        <v>conception&lt;br&gt;&lt;div class="audio"&gt;[sound:conception.mp3]&lt;/div&gt;</v>
      </c>
      <c r="F2652" s="3" t="str">
        <f t="shared" si="2"/>
        <v>(n): quan niệm</v>
      </c>
      <c r="G2652" s="6" t="s">
        <v>47013</v>
      </c>
      <c r="H2652" s="6" t="s">
        <v>47014</v>
      </c>
      <c r="I2652" s="7">
        <f t="shared" si="3"/>
        <v>0.9370288277</v>
      </c>
    </row>
    <row r="2653">
      <c r="A2653" s="4">
        <v>2653.0</v>
      </c>
      <c r="B2653" s="3" t="s">
        <v>47015</v>
      </c>
      <c r="C2653" s="6" t="s">
        <v>24</v>
      </c>
      <c r="D2653" s="6" t="s">
        <v>10705</v>
      </c>
      <c r="E2653" s="3" t="str">
        <f t="shared" si="1"/>
        <v>characterize&lt;br&gt;&lt;div class="audio"&gt;[sound:characterize.mp3]&lt;/div&gt;</v>
      </c>
      <c r="F2653" s="3" t="str">
        <f t="shared" si="2"/>
        <v>(v): đặc trưng</v>
      </c>
      <c r="G2653" s="6" t="s">
        <v>47016</v>
      </c>
      <c r="H2653" s="6" t="s">
        <v>47017</v>
      </c>
      <c r="I2653" s="7">
        <f t="shared" si="3"/>
        <v>0.1890862116</v>
      </c>
    </row>
    <row r="2654">
      <c r="A2654" s="4">
        <v>2654.0</v>
      </c>
      <c r="B2654" s="3" t="s">
        <v>47018</v>
      </c>
      <c r="C2654" s="6" t="s">
        <v>74</v>
      </c>
      <c r="D2654" s="6" t="s">
        <v>47019</v>
      </c>
      <c r="E2654" s="3" t="str">
        <f t="shared" si="1"/>
        <v>loan&lt;br&gt;&lt;div class="audio"&gt;[sound:loan.mp3]&lt;/div&gt;</v>
      </c>
      <c r="F2654" s="3" t="str">
        <f t="shared" si="2"/>
        <v>(n): khoản vay</v>
      </c>
      <c r="G2654" s="6" t="s">
        <v>47020</v>
      </c>
      <c r="H2654" s="6" t="s">
        <v>47021</v>
      </c>
      <c r="I2654" s="7">
        <f t="shared" si="3"/>
        <v>0.01819047666</v>
      </c>
    </row>
    <row r="2655">
      <c r="A2655" s="4">
        <v>2655.0</v>
      </c>
      <c r="B2655" s="3" t="s">
        <v>47022</v>
      </c>
      <c r="C2655" s="6" t="s">
        <v>24</v>
      </c>
      <c r="D2655" s="6" t="s">
        <v>47023</v>
      </c>
      <c r="E2655" s="3" t="str">
        <f t="shared" si="1"/>
        <v>conceive&lt;br&gt;&lt;div class="audio"&gt;[sound:conceive.mp3]&lt;/div&gt;</v>
      </c>
      <c r="F2655" s="3" t="str">
        <f t="shared" si="2"/>
        <v>(v): hình dung</v>
      </c>
      <c r="G2655" s="6" t="s">
        <v>47024</v>
      </c>
      <c r="H2655" s="6" t="s">
        <v>47025</v>
      </c>
      <c r="I2655" s="7">
        <f t="shared" si="3"/>
        <v>0.1985516969</v>
      </c>
    </row>
    <row r="2656">
      <c r="A2656" s="4">
        <v>2656.0</v>
      </c>
      <c r="B2656" s="3" t="s">
        <v>47026</v>
      </c>
      <c r="C2656" s="6" t="s">
        <v>74</v>
      </c>
      <c r="D2656" s="6" t="s">
        <v>47027</v>
      </c>
      <c r="E2656" s="3" t="str">
        <f t="shared" si="1"/>
        <v>programming&lt;br&gt;&lt;div class="audio"&gt;[sound:programming.mp3]&lt;/div&gt;</v>
      </c>
      <c r="F2656" s="3" t="str">
        <f t="shared" si="2"/>
        <v>(n): lập trình</v>
      </c>
      <c r="G2656" s="6" t="s">
        <v>47028</v>
      </c>
      <c r="H2656" s="6" t="s">
        <v>47029</v>
      </c>
      <c r="I2656" s="7">
        <f t="shared" si="3"/>
        <v>0.9987886145</v>
      </c>
    </row>
    <row r="2657">
      <c r="A2657" s="4">
        <v>2657.0</v>
      </c>
      <c r="B2657" s="3" t="s">
        <v>47030</v>
      </c>
      <c r="C2657" s="6" t="s">
        <v>74</v>
      </c>
      <c r="D2657" s="6" t="s">
        <v>6873</v>
      </c>
      <c r="E2657" s="3" t="str">
        <f t="shared" si="1"/>
        <v>assistance&lt;br&gt;&lt;div class="audio"&gt;[sound:assistance.mp3]&lt;/div&gt;</v>
      </c>
      <c r="F2657" s="3" t="str">
        <f t="shared" si="2"/>
        <v>(n): sự hỗ trợ</v>
      </c>
      <c r="G2657" s="6" t="s">
        <v>47031</v>
      </c>
      <c r="H2657" s="6" t="s">
        <v>47032</v>
      </c>
      <c r="I2657" s="7">
        <f t="shared" si="3"/>
        <v>0.1033432814</v>
      </c>
    </row>
    <row r="2658">
      <c r="A2658" s="4">
        <v>2658.0</v>
      </c>
      <c r="B2658" s="3" t="s">
        <v>47033</v>
      </c>
      <c r="C2658" s="6" t="s">
        <v>24</v>
      </c>
      <c r="D2658" s="6" t="s">
        <v>3634</v>
      </c>
      <c r="E2658" s="3" t="str">
        <f t="shared" si="1"/>
        <v>practise&lt;br&gt;&lt;div class="audio"&gt;[sound:practise.mp3]&lt;/div&gt;</v>
      </c>
      <c r="F2658" s="3" t="str">
        <f t="shared" si="2"/>
        <v>(v): luyện tập</v>
      </c>
      <c r="G2658" s="6" t="s">
        <v>47034</v>
      </c>
      <c r="H2658" s="6" t="s">
        <v>47035</v>
      </c>
      <c r="I2658" s="7">
        <f t="shared" si="3"/>
        <v>0.7186544729</v>
      </c>
    </row>
    <row r="2659">
      <c r="A2659" s="4">
        <v>2659.0</v>
      </c>
      <c r="B2659" s="3" t="s">
        <v>47036</v>
      </c>
      <c r="C2659" s="6" t="s">
        <v>11</v>
      </c>
      <c r="D2659" s="6" t="s">
        <v>47037</v>
      </c>
      <c r="E2659" s="3" t="str">
        <f t="shared" si="1"/>
        <v>isolated&lt;br&gt;&lt;div class="audio"&gt;[sound:isolated.mp3]&lt;/div&gt;</v>
      </c>
      <c r="F2659" s="3" t="str">
        <f t="shared" si="2"/>
        <v>(adj): bị cô lập</v>
      </c>
      <c r="G2659" s="6" t="s">
        <v>47038</v>
      </c>
      <c r="H2659" s="6" t="s">
        <v>47039</v>
      </c>
      <c r="I2659" s="7">
        <f t="shared" si="3"/>
        <v>0.8073479667</v>
      </c>
    </row>
    <row r="2660">
      <c r="A2660" s="4">
        <v>2660.0</v>
      </c>
      <c r="B2660" s="3" t="s">
        <v>47040</v>
      </c>
      <c r="C2660" s="6" t="s">
        <v>85</v>
      </c>
      <c r="D2660" s="6" t="s">
        <v>4743</v>
      </c>
      <c r="E2660" s="3" t="str">
        <f t="shared" si="1"/>
        <v>purely&lt;br&gt;&lt;div class="audio"&gt;[sound:purely.mp3]&lt;/div&gt;</v>
      </c>
      <c r="F2660" s="3" t="str">
        <f t="shared" si="2"/>
        <v>(adv): hoàn toàn</v>
      </c>
      <c r="G2660" s="6" t="s">
        <v>47041</v>
      </c>
      <c r="H2660" s="6" t="s">
        <v>47042</v>
      </c>
      <c r="I2660" s="7">
        <f t="shared" si="3"/>
        <v>0.5257553897</v>
      </c>
    </row>
    <row r="2661">
      <c r="A2661" s="4">
        <v>2661.0</v>
      </c>
      <c r="B2661" s="3" t="s">
        <v>47043</v>
      </c>
      <c r="C2661" s="6" t="s">
        <v>74</v>
      </c>
      <c r="D2661" s="6" t="s">
        <v>33635</v>
      </c>
      <c r="E2661" s="3" t="str">
        <f t="shared" si="1"/>
        <v>pub&lt;br&gt;&lt;div class="audio"&gt;[sound:pub.mp3]&lt;/div&gt;</v>
      </c>
      <c r="F2661" s="3" t="str">
        <f t="shared" si="2"/>
        <v>(n): quán rượu</v>
      </c>
      <c r="G2661" s="6" t="s">
        <v>47044</v>
      </c>
      <c r="H2661" s="6" t="s">
        <v>47045</v>
      </c>
      <c r="I2661" s="7">
        <f t="shared" si="3"/>
        <v>0.3325379863</v>
      </c>
    </row>
    <row r="2662">
      <c r="A2662" s="4">
        <v>2662.0</v>
      </c>
      <c r="B2662" s="3" t="s">
        <v>47046</v>
      </c>
      <c r="C2662" s="6" t="s">
        <v>74</v>
      </c>
      <c r="D2662" s="6" t="s">
        <v>8512</v>
      </c>
      <c r="E2662" s="3" t="str">
        <f t="shared" si="1"/>
        <v>routine&lt;br&gt;&lt;div class="audio"&gt;[sound:routine.mp3]&lt;/div&gt;</v>
      </c>
      <c r="F2662" s="3" t="str">
        <f t="shared" si="2"/>
        <v>(n): thói quen</v>
      </c>
      <c r="G2662" s="6" t="s">
        <v>47047</v>
      </c>
      <c r="H2662" s="6" t="s">
        <v>47048</v>
      </c>
      <c r="I2662" s="7">
        <f t="shared" si="3"/>
        <v>0.372446437</v>
      </c>
    </row>
    <row r="2663">
      <c r="A2663" s="4">
        <v>2663.0</v>
      </c>
      <c r="B2663" s="3" t="s">
        <v>47049</v>
      </c>
      <c r="C2663" s="6" t="s">
        <v>74</v>
      </c>
      <c r="D2663" s="6" t="s">
        <v>47050</v>
      </c>
      <c r="E2663" s="3" t="str">
        <f t="shared" si="1"/>
        <v>photography&lt;br&gt;&lt;div class="audio"&gt;[sound:photography.mp3]&lt;/div&gt;</v>
      </c>
      <c r="F2663" s="3" t="str">
        <f t="shared" si="2"/>
        <v>(n): nhiếp ảnh</v>
      </c>
      <c r="G2663" s="6" t="s">
        <v>47051</v>
      </c>
      <c r="H2663" s="6" t="s">
        <v>47052</v>
      </c>
      <c r="I2663" s="7">
        <f t="shared" si="3"/>
        <v>0.8278406468</v>
      </c>
    </row>
    <row r="2664">
      <c r="A2664" s="4">
        <v>2664.0</v>
      </c>
      <c r="B2664" s="3" t="s">
        <v>47053</v>
      </c>
      <c r="C2664" s="6" t="s">
        <v>74</v>
      </c>
      <c r="D2664" s="6" t="s">
        <v>15880</v>
      </c>
      <c r="E2664" s="3" t="str">
        <f t="shared" si="1"/>
        <v>genius&lt;br&gt;&lt;div class="audio"&gt;[sound:genius.mp3]&lt;/div&gt;</v>
      </c>
      <c r="F2664" s="3" t="str">
        <f t="shared" si="2"/>
        <v>(n): thiên tài</v>
      </c>
      <c r="G2664" s="6" t="s">
        <v>47054</v>
      </c>
      <c r="H2664" s="6" t="s">
        <v>47055</v>
      </c>
      <c r="I2664" s="7">
        <f t="shared" si="3"/>
        <v>0.7483145483</v>
      </c>
    </row>
    <row r="2665">
      <c r="A2665" s="4">
        <v>2665.0</v>
      </c>
      <c r="B2665" s="3" t="s">
        <v>47056</v>
      </c>
      <c r="C2665" s="6" t="s">
        <v>11</v>
      </c>
      <c r="D2665" s="6" t="s">
        <v>47057</v>
      </c>
      <c r="E2665" s="3" t="str">
        <f t="shared" si="1"/>
        <v>aggressive&lt;br&gt;&lt;div class="audio"&gt;[sound:aggressive.mp3]&lt;/div&gt;</v>
      </c>
      <c r="F2665" s="3" t="str">
        <f t="shared" si="2"/>
        <v>(adj): hung hăng</v>
      </c>
      <c r="G2665" s="6" t="s">
        <v>47058</v>
      </c>
      <c r="H2665" s="6" t="s">
        <v>47059</v>
      </c>
      <c r="I2665" s="7">
        <f t="shared" si="3"/>
        <v>0.5651627523</v>
      </c>
    </row>
    <row r="2666">
      <c r="A2666" s="4">
        <v>2666.0</v>
      </c>
      <c r="B2666" s="3" t="s">
        <v>47060</v>
      </c>
      <c r="C2666" s="6" t="s">
        <v>74</v>
      </c>
      <c r="D2666" s="6" t="s">
        <v>47061</v>
      </c>
      <c r="E2666" s="3" t="str">
        <f t="shared" si="1"/>
        <v>output&lt;br&gt;&lt;div class="audio"&gt;[sound:output.mp3]&lt;/div&gt;</v>
      </c>
      <c r="F2666" s="3" t="str">
        <f t="shared" si="2"/>
        <v>(n): sản lượng</v>
      </c>
      <c r="G2666" s="6" t="s">
        <v>47062</v>
      </c>
      <c r="H2666" s="6" t="s">
        <v>47063</v>
      </c>
      <c r="I2666" s="7">
        <f t="shared" si="3"/>
        <v>0.5989879592</v>
      </c>
    </row>
    <row r="2667">
      <c r="A2667" s="4">
        <v>2667.0</v>
      </c>
      <c r="B2667" s="3" t="s">
        <v>47064</v>
      </c>
      <c r="C2667" s="6" t="s">
        <v>74</v>
      </c>
      <c r="D2667" s="6" t="s">
        <v>47065</v>
      </c>
      <c r="E2667" s="3" t="str">
        <f t="shared" si="1"/>
        <v>interior&lt;br&gt;&lt;div class="audio"&gt;[sound:interior.mp3]&lt;/div&gt;</v>
      </c>
      <c r="F2667" s="3" t="str">
        <f t="shared" si="2"/>
        <v>(n): nội thất</v>
      </c>
      <c r="G2667" s="6" t="s">
        <v>47066</v>
      </c>
      <c r="H2667" s="6" t="s">
        <v>47067</v>
      </c>
      <c r="I2667" s="7">
        <f t="shared" si="3"/>
        <v>0.5023953446</v>
      </c>
    </row>
    <row r="2668">
      <c r="A2668" s="4">
        <v>2668.0</v>
      </c>
      <c r="B2668" s="3" t="s">
        <v>47068</v>
      </c>
      <c r="C2668" s="6" t="s">
        <v>74</v>
      </c>
      <c r="D2668" s="6" t="s">
        <v>17338</v>
      </c>
      <c r="E2668" s="3" t="str">
        <f t="shared" si="1"/>
        <v>proceeding&lt;br&gt;&lt;div class="audio"&gt;[sound:proceeding.mp3]&lt;/div&gt;</v>
      </c>
      <c r="F2668" s="3" t="str">
        <f t="shared" si="2"/>
        <v>(n): quá trình</v>
      </c>
      <c r="G2668" s="6" t="s">
        <v>47069</v>
      </c>
      <c r="H2668" s="6" t="s">
        <v>47070</v>
      </c>
      <c r="I2668" s="7">
        <f t="shared" si="3"/>
        <v>0.9662411966</v>
      </c>
    </row>
    <row r="2669">
      <c r="A2669" s="4">
        <v>2669.0</v>
      </c>
      <c r="B2669" s="3" t="s">
        <v>47071</v>
      </c>
      <c r="C2669" s="6" t="s">
        <v>74</v>
      </c>
      <c r="D2669" s="6" t="s">
        <v>4955</v>
      </c>
      <c r="E2669" s="3" t="str">
        <f t="shared" si="1"/>
        <v>railway&lt;br&gt;&lt;div class="audio"&gt;[sound:railway.mp3]&lt;/div&gt;</v>
      </c>
      <c r="F2669" s="3" t="str">
        <f t="shared" si="2"/>
        <v>(n): đường sắt</v>
      </c>
      <c r="G2669" s="6" t="s">
        <v>47072</v>
      </c>
      <c r="H2669" s="6" t="s">
        <v>47073</v>
      </c>
      <c r="I2669" s="7">
        <f t="shared" si="3"/>
        <v>0.5674927663</v>
      </c>
    </row>
    <row r="2670">
      <c r="A2670" s="4">
        <v>2670.0</v>
      </c>
      <c r="B2670" s="3" t="s">
        <v>47074</v>
      </c>
      <c r="C2670" s="6" t="s">
        <v>74</v>
      </c>
      <c r="D2670" s="6" t="s">
        <v>37381</v>
      </c>
      <c r="E2670" s="3" t="str">
        <f t="shared" si="1"/>
        <v>bubble&lt;br&gt;&lt;div class="audio"&gt;[sound:bubble.mp3]&lt;/div&gt;</v>
      </c>
      <c r="F2670" s="3" t="str">
        <f t="shared" si="2"/>
        <v>(n): bong bóng</v>
      </c>
      <c r="G2670" s="6" t="s">
        <v>47075</v>
      </c>
      <c r="H2670" s="6" t="s">
        <v>47076</v>
      </c>
      <c r="I2670" s="7">
        <f t="shared" si="3"/>
        <v>0.5098544159</v>
      </c>
    </row>
    <row r="2671">
      <c r="A2671" s="4">
        <v>2671.0</v>
      </c>
      <c r="B2671" s="3" t="s">
        <v>47077</v>
      </c>
      <c r="C2671" s="6" t="s">
        <v>74</v>
      </c>
      <c r="D2671" s="6" t="s">
        <v>4473</v>
      </c>
      <c r="E2671" s="3" t="str">
        <f t="shared" si="1"/>
        <v>timing&lt;br&gt;&lt;div class="audio"&gt;[sound:timing.mp3]&lt;/div&gt;</v>
      </c>
      <c r="F2671" s="3" t="str">
        <f t="shared" si="2"/>
        <v>(n): thời điểm</v>
      </c>
      <c r="G2671" s="6" t="s">
        <v>47078</v>
      </c>
      <c r="H2671" s="6" t="s">
        <v>47079</v>
      </c>
      <c r="I2671" s="7">
        <f t="shared" si="3"/>
        <v>0.7863365073</v>
      </c>
    </row>
    <row r="2672">
      <c r="A2672" s="4">
        <v>2672.0</v>
      </c>
      <c r="B2672" s="3" t="s">
        <v>47080</v>
      </c>
      <c r="C2672" s="6" t="s">
        <v>11</v>
      </c>
      <c r="D2672" s="8" t="s">
        <v>47081</v>
      </c>
      <c r="E2672" s="3" t="str">
        <f t="shared" si="1"/>
        <v>spectacular&lt;br&gt;&lt;div class="audio"&gt;[sound:spectacular.mp3]&lt;/div&gt;</v>
      </c>
      <c r="F2672" s="3" t="str">
        <f t="shared" si="2"/>
        <v>(adj): ngoạn mục</v>
      </c>
      <c r="G2672" s="8" t="s">
        <v>47082</v>
      </c>
      <c r="H2672" s="8" t="s">
        <v>47083</v>
      </c>
      <c r="I2672" s="7">
        <f t="shared" si="3"/>
        <v>0.4346195987</v>
      </c>
    </row>
    <row r="2673">
      <c r="A2673" s="4">
        <v>2673.0</v>
      </c>
      <c r="B2673" s="3" t="s">
        <v>47084</v>
      </c>
      <c r="C2673" s="6" t="s">
        <v>24</v>
      </c>
      <c r="D2673" s="6" t="s">
        <v>47085</v>
      </c>
      <c r="E2673" s="3" t="str">
        <f t="shared" si="1"/>
        <v>constitute&lt;br&gt;&lt;div class="audio"&gt;[sound:constitute.mp3]&lt;/div&gt;</v>
      </c>
      <c r="F2673" s="3" t="str">
        <f t="shared" si="2"/>
        <v>(v): cấu thành</v>
      </c>
      <c r="G2673" s="6" t="s">
        <v>47086</v>
      </c>
      <c r="H2673" s="6" t="s">
        <v>47087</v>
      </c>
      <c r="I2673" s="7">
        <f t="shared" si="3"/>
        <v>0.5965041707</v>
      </c>
    </row>
    <row r="2674">
      <c r="A2674" s="4">
        <v>2674.0</v>
      </c>
      <c r="B2674" s="3" t="s">
        <v>47088</v>
      </c>
      <c r="C2674" s="6" t="s">
        <v>74</v>
      </c>
      <c r="D2674" s="6" t="s">
        <v>3502</v>
      </c>
      <c r="E2674" s="3" t="str">
        <f t="shared" si="1"/>
        <v>combat&lt;br&gt;&lt;div class="audio"&gt;[sound:combat.mp3]&lt;/div&gt;</v>
      </c>
      <c r="F2674" s="3" t="str">
        <f t="shared" si="2"/>
        <v>(n): chiến đấu</v>
      </c>
      <c r="G2674" s="6" t="s">
        <v>47089</v>
      </c>
      <c r="H2674" s="6" t="s">
        <v>47090</v>
      </c>
      <c r="I2674" s="7">
        <f t="shared" si="3"/>
        <v>0.07338420957</v>
      </c>
    </row>
    <row r="2675">
      <c r="A2675" s="4">
        <v>2675.0</v>
      </c>
      <c r="B2675" s="3" t="s">
        <v>47091</v>
      </c>
      <c r="C2675" s="6" t="s">
        <v>74</v>
      </c>
      <c r="D2675" s="6" t="s">
        <v>30326</v>
      </c>
      <c r="E2675" s="3" t="str">
        <f t="shared" si="1"/>
        <v>colony&lt;br&gt;&lt;div class="audio"&gt;[sound:colony.mp3]&lt;/div&gt;</v>
      </c>
      <c r="F2675" s="3" t="str">
        <f t="shared" si="2"/>
        <v>(n): thuộc địa</v>
      </c>
      <c r="G2675" s="6" t="s">
        <v>47092</v>
      </c>
      <c r="H2675" s="6" t="s">
        <v>47093</v>
      </c>
      <c r="I2675" s="7">
        <f t="shared" si="3"/>
        <v>0.4688377771</v>
      </c>
    </row>
    <row r="2676">
      <c r="A2676" s="4">
        <v>2676.0</v>
      </c>
      <c r="B2676" s="3" t="s">
        <v>47094</v>
      </c>
      <c r="C2676" s="6" t="s">
        <v>24</v>
      </c>
      <c r="D2676" s="6" t="s">
        <v>7143</v>
      </c>
      <c r="E2676" s="3" t="str">
        <f t="shared" si="1"/>
        <v>exhibit&lt;br&gt;&lt;div class="audio"&gt;[sound:exhibit.mp3]&lt;/div&gt;</v>
      </c>
      <c r="F2676" s="3" t="str">
        <f t="shared" si="2"/>
        <v>(v): trưng bày</v>
      </c>
      <c r="G2676" s="6" t="s">
        <v>47095</v>
      </c>
      <c r="H2676" s="6" t="s">
        <v>47096</v>
      </c>
      <c r="I2676" s="7">
        <f t="shared" si="3"/>
        <v>0.4739647516</v>
      </c>
    </row>
    <row r="2677">
      <c r="A2677" s="4">
        <v>2677.0</v>
      </c>
      <c r="B2677" s="3" t="s">
        <v>47097</v>
      </c>
      <c r="C2677" s="6" t="s">
        <v>74</v>
      </c>
      <c r="D2677" s="6" t="s">
        <v>47098</v>
      </c>
      <c r="E2677" s="3" t="str">
        <f t="shared" si="1"/>
        <v>cave&lt;br&gt;&lt;div class="audio"&gt;[sound:cave.mp3]&lt;/div&gt;</v>
      </c>
      <c r="F2677" s="3" t="str">
        <f t="shared" si="2"/>
        <v>(n): hang động</v>
      </c>
      <c r="G2677" s="6" t="s">
        <v>47099</v>
      </c>
      <c r="H2677" s="6" t="s">
        <v>47100</v>
      </c>
      <c r="I2677" s="7">
        <f t="shared" si="3"/>
        <v>0.3115382543</v>
      </c>
    </row>
    <row r="2678">
      <c r="A2678" s="4">
        <v>2678.0</v>
      </c>
      <c r="B2678" s="3" t="s">
        <v>47101</v>
      </c>
      <c r="C2678" s="6" t="s">
        <v>24</v>
      </c>
      <c r="D2678" s="6" t="s">
        <v>11215</v>
      </c>
      <c r="E2678" s="3" t="str">
        <f t="shared" si="1"/>
        <v>export&lt;br&gt;&lt;div class="audio"&gt;[sound:export.mp3]&lt;/div&gt;</v>
      </c>
      <c r="F2678" s="3" t="str">
        <f t="shared" si="2"/>
        <v>(v): xuất khẩu</v>
      </c>
      <c r="G2678" s="6" t="s">
        <v>47102</v>
      </c>
      <c r="H2678" s="6" t="s">
        <v>47103</v>
      </c>
      <c r="I2678" s="7">
        <f t="shared" si="3"/>
        <v>0.6371599927</v>
      </c>
    </row>
    <row r="2679">
      <c r="A2679" s="4">
        <v>2679.0</v>
      </c>
      <c r="B2679" s="3" t="s">
        <v>47104</v>
      </c>
      <c r="C2679" s="6" t="s">
        <v>85</v>
      </c>
      <c r="D2679" s="8" t="s">
        <v>1414</v>
      </c>
      <c r="E2679" s="3" t="str">
        <f t="shared" si="1"/>
        <v>simultaneously&lt;br&gt;&lt;div class="audio"&gt;[sound:simultaneously.mp3]&lt;/div&gt;</v>
      </c>
      <c r="F2679" s="3" t="str">
        <f t="shared" si="2"/>
        <v>(adv): đồng thời</v>
      </c>
      <c r="G2679" s="8" t="s">
        <v>47105</v>
      </c>
      <c r="H2679" s="8" t="s">
        <v>47106</v>
      </c>
      <c r="I2679" s="7">
        <f t="shared" si="3"/>
        <v>0.02322527521</v>
      </c>
    </row>
    <row r="2680">
      <c r="A2680" s="4">
        <v>2680.0</v>
      </c>
      <c r="B2680" s="3" t="s">
        <v>47107</v>
      </c>
      <c r="C2680" s="6" t="s">
        <v>11</v>
      </c>
      <c r="D2680" s="6" t="s">
        <v>47108</v>
      </c>
      <c r="E2680" s="3" t="str">
        <f t="shared" si="1"/>
        <v>gay&lt;br&gt;&lt;div class="audio"&gt;[sound:gay.mp3]&lt;/div&gt;</v>
      </c>
      <c r="F2680" s="3" t="str">
        <f t="shared" si="2"/>
        <v>(adj): đồng tính</v>
      </c>
      <c r="G2680" s="6" t="s">
        <v>47109</v>
      </c>
      <c r="H2680" s="6" t="s">
        <v>47110</v>
      </c>
      <c r="I2680" s="7">
        <f t="shared" si="3"/>
        <v>0.4660758544</v>
      </c>
    </row>
    <row r="2681">
      <c r="A2681" s="4">
        <v>2681.0</v>
      </c>
      <c r="B2681" s="3" t="s">
        <v>47111</v>
      </c>
      <c r="C2681" s="6" t="s">
        <v>24</v>
      </c>
      <c r="D2681" s="6" t="s">
        <v>47112</v>
      </c>
      <c r="E2681" s="3" t="str">
        <f t="shared" si="1"/>
        <v>restore&lt;br&gt;&lt;div class="audio"&gt;[sound:restore.mp3]&lt;/div&gt;</v>
      </c>
      <c r="F2681" s="3" t="str">
        <f t="shared" si="2"/>
        <v>(v): khôi phục</v>
      </c>
      <c r="G2681" s="6" t="s">
        <v>47113</v>
      </c>
      <c r="H2681" s="6" t="s">
        <v>47114</v>
      </c>
      <c r="I2681" s="7">
        <f t="shared" si="3"/>
        <v>0.1609383372</v>
      </c>
    </row>
    <row r="2682">
      <c r="A2682" s="4">
        <v>2682.0</v>
      </c>
      <c r="B2682" s="3" t="s">
        <v>47115</v>
      </c>
      <c r="C2682" s="6" t="s">
        <v>74</v>
      </c>
      <c r="D2682" s="6" t="s">
        <v>17777</v>
      </c>
      <c r="E2682" s="3" t="str">
        <f t="shared" si="1"/>
        <v>humanity&lt;br&gt;&lt;div class="audio"&gt;[sound:humanity.mp3]&lt;/div&gt;</v>
      </c>
      <c r="F2682" s="3" t="str">
        <f t="shared" si="2"/>
        <v>(n): nhân loại</v>
      </c>
      <c r="G2682" s="6" t="s">
        <v>47116</v>
      </c>
      <c r="H2682" s="6" t="s">
        <v>47117</v>
      </c>
      <c r="I2682" s="7">
        <f t="shared" si="3"/>
        <v>0.2528020474</v>
      </c>
    </row>
    <row r="2683">
      <c r="A2683" s="4">
        <v>2683.0</v>
      </c>
      <c r="B2683" s="3" t="s">
        <v>47118</v>
      </c>
      <c r="C2683" s="6" t="s">
        <v>11</v>
      </c>
      <c r="D2683" s="6" t="s">
        <v>47119</v>
      </c>
      <c r="E2683" s="3" t="str">
        <f t="shared" si="1"/>
        <v>everyday&lt;br&gt;&lt;div class="audio"&gt;[sound:everyday.mp3]&lt;/div&gt;</v>
      </c>
      <c r="F2683" s="3" t="str">
        <f t="shared" si="2"/>
        <v>(adj): hàng ngày</v>
      </c>
      <c r="G2683" s="6" t="s">
        <v>47120</v>
      </c>
      <c r="H2683" s="6" t="s">
        <v>47121</v>
      </c>
      <c r="I2683" s="7">
        <f t="shared" si="3"/>
        <v>0.6184871489</v>
      </c>
    </row>
    <row r="2684">
      <c r="A2684" s="4">
        <v>2684.0</v>
      </c>
      <c r="B2684" s="3" t="s">
        <v>47122</v>
      </c>
      <c r="C2684" s="6" t="s">
        <v>74</v>
      </c>
      <c r="D2684" s="6" t="s">
        <v>47123</v>
      </c>
      <c r="E2684" s="3" t="str">
        <f t="shared" si="1"/>
        <v>august&lt;br&gt;&lt;div class="audio"&gt;[sound:august.mp3]&lt;/div&gt;</v>
      </c>
      <c r="F2684" s="3" t="str">
        <f t="shared" si="2"/>
        <v>(n): tháng tám</v>
      </c>
      <c r="G2684" s="6" t="s">
        <v>47124</v>
      </c>
      <c r="H2684" s="6" t="s">
        <v>47125</v>
      </c>
      <c r="I2684" s="7">
        <f t="shared" si="3"/>
        <v>0.464533604</v>
      </c>
    </row>
    <row r="2685">
      <c r="A2685" s="4">
        <v>2685.0</v>
      </c>
      <c r="B2685" s="3" t="s">
        <v>47126</v>
      </c>
      <c r="C2685" s="6" t="s">
        <v>74</v>
      </c>
      <c r="D2685" s="6" t="s">
        <v>25584</v>
      </c>
      <c r="E2685" s="3" t="str">
        <f t="shared" si="1"/>
        <v>punishment&lt;br&gt;&lt;div class="audio"&gt;[sound:punishment.mp3]&lt;/div&gt;</v>
      </c>
      <c r="F2685" s="3" t="str">
        <f t="shared" si="2"/>
        <v>(n): hình phạt</v>
      </c>
      <c r="G2685" s="6" t="s">
        <v>47127</v>
      </c>
      <c r="H2685" s="6" t="s">
        <v>47128</v>
      </c>
      <c r="I2685" s="7">
        <f t="shared" si="3"/>
        <v>0.7950814217</v>
      </c>
    </row>
    <row r="2686">
      <c r="A2686" s="4">
        <v>2686.0</v>
      </c>
      <c r="B2686" s="3" t="s">
        <v>47129</v>
      </c>
      <c r="C2686" s="6" t="s">
        <v>24</v>
      </c>
      <c r="D2686" s="6" t="s">
        <v>24976</v>
      </c>
      <c r="E2686" s="3" t="str">
        <f t="shared" si="1"/>
        <v>reverse&lt;br&gt;&lt;div class="audio"&gt;[sound:reverse.mp3]&lt;/div&gt;</v>
      </c>
      <c r="F2686" s="3" t="str">
        <f t="shared" si="2"/>
        <v>(v): đảo ngược</v>
      </c>
      <c r="G2686" s="6" t="s">
        <v>47130</v>
      </c>
      <c r="H2686" s="6" t="s">
        <v>47131</v>
      </c>
      <c r="I2686" s="7">
        <f t="shared" si="3"/>
        <v>0.3430208374</v>
      </c>
    </row>
    <row r="2687">
      <c r="A2687" s="4">
        <v>2687.0</v>
      </c>
      <c r="B2687" s="3" t="s">
        <v>47132</v>
      </c>
      <c r="C2687" s="6" t="s">
        <v>33</v>
      </c>
      <c r="D2687" s="6" t="s">
        <v>5722</v>
      </c>
      <c r="E2687" s="3" t="str">
        <f t="shared" si="1"/>
        <v>bye&lt;br&gt;&lt;div class="audio"&gt;[sound:bye.mp3]&lt;/div&gt;</v>
      </c>
      <c r="F2687" s="3" t="str">
        <f t="shared" si="2"/>
        <v>(int): tạm biệt</v>
      </c>
      <c r="G2687" s="6" t="s">
        <v>47133</v>
      </c>
      <c r="H2687" s="6" t="s">
        <v>47134</v>
      </c>
      <c r="I2687" s="7">
        <f t="shared" si="3"/>
        <v>0.2521029529</v>
      </c>
    </row>
    <row r="2688">
      <c r="A2688" s="4">
        <v>2688.0</v>
      </c>
      <c r="B2688" s="3" t="s">
        <v>47135</v>
      </c>
      <c r="C2688" s="6" t="s">
        <v>24</v>
      </c>
      <c r="D2688" s="6" t="s">
        <v>14292</v>
      </c>
      <c r="E2688" s="3" t="str">
        <f t="shared" si="1"/>
        <v>repair&lt;br&gt;&lt;div class="audio"&gt;[sound:repair.mp3]&lt;/div&gt;</v>
      </c>
      <c r="F2688" s="3" t="str">
        <f t="shared" si="2"/>
        <v>(v): sửa chữa</v>
      </c>
      <c r="G2688" s="6" t="s">
        <v>47136</v>
      </c>
      <c r="H2688" s="6" t="s">
        <v>47137</v>
      </c>
      <c r="I2688" s="7">
        <f t="shared" si="3"/>
        <v>0.1223867735</v>
      </c>
    </row>
    <row r="2689">
      <c r="A2689" s="4">
        <v>2689.0</v>
      </c>
      <c r="B2689" s="3" t="s">
        <v>47138</v>
      </c>
      <c r="C2689" s="6" t="s">
        <v>74</v>
      </c>
      <c r="D2689" s="8" t="s">
        <v>47139</v>
      </c>
      <c r="E2689" s="3" t="str">
        <f t="shared" si="1"/>
        <v>spelling&lt;br&gt;&lt;div class="audio"&gt;[sound:spelling.mp3]&lt;/div&gt;</v>
      </c>
      <c r="F2689" s="3" t="str">
        <f t="shared" si="2"/>
        <v>(n): chính tả</v>
      </c>
      <c r="G2689" s="8" t="s">
        <v>47140</v>
      </c>
      <c r="H2689" s="8" t="s">
        <v>47141</v>
      </c>
      <c r="I2689" s="7">
        <f t="shared" si="3"/>
        <v>0.788672295</v>
      </c>
    </row>
    <row r="2690">
      <c r="A2690" s="4">
        <v>2690.0</v>
      </c>
      <c r="B2690" s="3" t="s">
        <v>47142</v>
      </c>
      <c r="C2690" s="6" t="s">
        <v>74</v>
      </c>
      <c r="D2690" s="6" t="s">
        <v>47143</v>
      </c>
      <c r="E2690" s="3" t="str">
        <f t="shared" si="1"/>
        <v>carpet&lt;br&gt;&lt;div class="audio"&gt;[sound:carpet.mp3]&lt;/div&gt;</v>
      </c>
      <c r="F2690" s="3" t="str">
        <f t="shared" si="2"/>
        <v>(n): tấm thảm</v>
      </c>
      <c r="G2690" s="6" t="s">
        <v>47144</v>
      </c>
      <c r="H2690" s="6" t="s">
        <v>47145</v>
      </c>
      <c r="I2690" s="7">
        <f t="shared" si="3"/>
        <v>0.5526344334</v>
      </c>
    </row>
    <row r="2691">
      <c r="A2691" s="4">
        <v>2691.0</v>
      </c>
      <c r="B2691" s="3" t="s">
        <v>47146</v>
      </c>
      <c r="C2691" s="6" t="s">
        <v>24</v>
      </c>
      <c r="D2691" s="6" t="s">
        <v>1402</v>
      </c>
      <c r="E2691" s="3" t="str">
        <f t="shared" si="1"/>
        <v>comply&lt;br&gt;&lt;div class="audio"&gt;[sound:comply.mp3]&lt;/div&gt;</v>
      </c>
      <c r="F2691" s="3" t="str">
        <f t="shared" si="2"/>
        <v>(v): tuân thủ</v>
      </c>
      <c r="G2691" s="6" t="s">
        <v>47147</v>
      </c>
      <c r="H2691" s="6" t="s">
        <v>47148</v>
      </c>
      <c r="I2691" s="7">
        <f t="shared" si="3"/>
        <v>0.148876551</v>
      </c>
    </row>
    <row r="2692">
      <c r="A2692" s="4">
        <v>2692.0</v>
      </c>
      <c r="B2692" s="3" t="s">
        <v>47149</v>
      </c>
      <c r="C2692" s="6" t="s">
        <v>24</v>
      </c>
      <c r="D2692" s="6" t="s">
        <v>17979</v>
      </c>
      <c r="E2692" s="3" t="str">
        <f t="shared" si="1"/>
        <v>encounter&lt;br&gt;&lt;div class="audio"&gt;[sound:encounter.mp3]&lt;/div&gt;</v>
      </c>
      <c r="F2692" s="3" t="str">
        <f t="shared" si="2"/>
        <v>(v): gặp phải</v>
      </c>
      <c r="G2692" s="6" t="s">
        <v>47150</v>
      </c>
      <c r="H2692" s="6" t="s">
        <v>47151</v>
      </c>
      <c r="I2692" s="7">
        <f t="shared" si="3"/>
        <v>0.5194561088</v>
      </c>
    </row>
    <row r="2693">
      <c r="A2693" s="4">
        <v>2693.0</v>
      </c>
      <c r="B2693" s="3" t="s">
        <v>47152</v>
      </c>
      <c r="C2693" s="6" t="s">
        <v>24</v>
      </c>
      <c r="D2693" s="6" t="s">
        <v>47153</v>
      </c>
      <c r="E2693" s="3" t="str">
        <f t="shared" si="1"/>
        <v>interrupt&lt;br&gt;&lt;div class="audio"&gt;[sound:interrupt.mp3]&lt;/div&gt;</v>
      </c>
      <c r="F2693" s="3" t="str">
        <f t="shared" si="2"/>
        <v>(v): ngắt lời</v>
      </c>
      <c r="G2693" s="6" t="s">
        <v>47154</v>
      </c>
      <c r="H2693" s="6" t="s">
        <v>47155</v>
      </c>
      <c r="I2693" s="7">
        <f t="shared" si="3"/>
        <v>0.842862505</v>
      </c>
    </row>
    <row r="2694">
      <c r="A2694" s="4">
        <v>2694.0</v>
      </c>
      <c r="B2694" s="3" t="s">
        <v>47156</v>
      </c>
      <c r="C2694" s="6" t="s">
        <v>24</v>
      </c>
      <c r="D2694" s="6" t="s">
        <v>25726</v>
      </c>
      <c r="E2694" s="3" t="str">
        <f t="shared" si="1"/>
        <v>cheat&lt;br&gt;&lt;div class="audio"&gt;[sound:cheat.mp3]&lt;/div&gt;</v>
      </c>
      <c r="F2694" s="3" t="str">
        <f t="shared" si="2"/>
        <v>(v): gian lận</v>
      </c>
      <c r="G2694" s="6" t="s">
        <v>47157</v>
      </c>
      <c r="H2694" s="6" t="s">
        <v>47158</v>
      </c>
      <c r="I2694" s="7">
        <f t="shared" si="3"/>
        <v>0.3332638275</v>
      </c>
    </row>
    <row r="2695">
      <c r="A2695" s="4">
        <v>2695.0</v>
      </c>
      <c r="B2695" s="3" t="s">
        <v>47159</v>
      </c>
      <c r="C2695" s="6" t="s">
        <v>74</v>
      </c>
      <c r="D2695" s="6" t="s">
        <v>47160</v>
      </c>
      <c r="E2695" s="3" t="str">
        <f t="shared" si="1"/>
        <v>youth&lt;br&gt;&lt;div class="audio"&gt;[sound:youth.mp3]&lt;/div&gt;</v>
      </c>
      <c r="F2695" s="3" t="str">
        <f t="shared" si="2"/>
        <v>(n): tuổi trẻ</v>
      </c>
      <c r="G2695" s="6" t="s">
        <v>47161</v>
      </c>
      <c r="H2695" s="6" t="s">
        <v>47162</v>
      </c>
      <c r="I2695" s="7">
        <f t="shared" si="3"/>
        <v>0.4112768946</v>
      </c>
    </row>
    <row r="2696">
      <c r="A2696" s="4">
        <v>2696.0</v>
      </c>
      <c r="B2696" s="3" t="s">
        <v>47163</v>
      </c>
      <c r="C2696" s="6" t="s">
        <v>74</v>
      </c>
      <c r="D2696" s="6" t="s">
        <v>16951</v>
      </c>
      <c r="E2696" s="3" t="str">
        <f t="shared" si="1"/>
        <v>contest&lt;br&gt;&lt;div class="audio"&gt;[sound:contest.mp3]&lt;/div&gt;</v>
      </c>
      <c r="F2696" s="3" t="str">
        <f t="shared" si="2"/>
        <v>(n): cuộc thi</v>
      </c>
      <c r="G2696" s="6" t="s">
        <v>47164</v>
      </c>
      <c r="H2696" s="6" t="s">
        <v>47165</v>
      </c>
      <c r="I2696" s="7">
        <f t="shared" si="3"/>
        <v>0.2578159925</v>
      </c>
    </row>
    <row r="2697">
      <c r="A2697" s="4">
        <v>2697.0</v>
      </c>
      <c r="B2697" s="3" t="s">
        <v>47166</v>
      </c>
      <c r="C2697" s="6" t="s">
        <v>74</v>
      </c>
      <c r="D2697" s="8" t="s">
        <v>47167</v>
      </c>
      <c r="E2697" s="3" t="str">
        <f t="shared" si="1"/>
        <v>supermarket&lt;br&gt;&lt;div class="audio"&gt;[sound:supermarket.mp3]&lt;/div&gt;</v>
      </c>
      <c r="F2697" s="3" t="str">
        <f t="shared" si="2"/>
        <v>(n): siêu thị</v>
      </c>
      <c r="G2697" s="8" t="s">
        <v>47168</v>
      </c>
      <c r="H2697" s="8" t="s">
        <v>47169</v>
      </c>
      <c r="I2697" s="7">
        <f t="shared" si="3"/>
        <v>0.6817024682</v>
      </c>
    </row>
    <row r="2698">
      <c r="A2698" s="4">
        <v>2698.0</v>
      </c>
      <c r="B2698" s="3" t="s">
        <v>47170</v>
      </c>
      <c r="C2698" s="6" t="s">
        <v>74</v>
      </c>
      <c r="D2698" s="6" t="s">
        <v>47171</v>
      </c>
      <c r="E2698" s="3" t="str">
        <f t="shared" si="1"/>
        <v>academy&lt;br&gt;&lt;div class="audio"&gt;[sound:academy.mp3]&lt;/div&gt;</v>
      </c>
      <c r="F2698" s="3" t="str">
        <f t="shared" si="2"/>
        <v>(n): học viện</v>
      </c>
      <c r="G2698" s="6" t="s">
        <v>47172</v>
      </c>
      <c r="H2698" s="6" t="s">
        <v>47173</v>
      </c>
      <c r="I2698" s="7">
        <f t="shared" si="3"/>
        <v>0.9256768302</v>
      </c>
    </row>
    <row r="2699">
      <c r="A2699" s="4">
        <v>2699.0</v>
      </c>
      <c r="B2699" s="3" t="s">
        <v>47174</v>
      </c>
      <c r="C2699" s="6" t="s">
        <v>85</v>
      </c>
      <c r="D2699" s="6" t="s">
        <v>34874</v>
      </c>
      <c r="E2699" s="3" t="str">
        <f t="shared" si="1"/>
        <v>elsewhere&lt;br&gt;&lt;div class="audio"&gt;[sound:elsewhere.mp3]&lt;/div&gt;</v>
      </c>
      <c r="F2699" s="3" t="str">
        <f t="shared" si="2"/>
        <v>(adv): nơi khác</v>
      </c>
      <c r="G2699" s="6" t="s">
        <v>47175</v>
      </c>
      <c r="H2699" s="6" t="s">
        <v>47176</v>
      </c>
      <c r="I2699" s="7">
        <f t="shared" si="3"/>
        <v>0.4038608527</v>
      </c>
    </row>
    <row r="2700">
      <c r="A2700" s="4">
        <v>2700.0</v>
      </c>
      <c r="B2700" s="3" t="s">
        <v>47177</v>
      </c>
      <c r="C2700" s="6" t="s">
        <v>11</v>
      </c>
      <c r="D2700" s="6" t="s">
        <v>30516</v>
      </c>
      <c r="E2700" s="3" t="str">
        <f t="shared" si="1"/>
        <v>brave&lt;br&gt;&lt;div class="audio"&gt;[sound:brave.mp3]&lt;/div&gt;</v>
      </c>
      <c r="F2700" s="3" t="str">
        <f t="shared" si="2"/>
        <v>(adj): dũng cảm</v>
      </c>
      <c r="G2700" s="6" t="s">
        <v>47178</v>
      </c>
      <c r="H2700" s="6" t="s">
        <v>47179</v>
      </c>
      <c r="I2700" s="7">
        <f t="shared" si="3"/>
        <v>0.8863979257</v>
      </c>
    </row>
    <row r="2701">
      <c r="A2701" s="4">
        <v>2701.0</v>
      </c>
      <c r="B2701" s="3" t="s">
        <v>47180</v>
      </c>
      <c r="C2701" s="6" t="s">
        <v>24</v>
      </c>
      <c r="D2701" s="6" t="s">
        <v>47181</v>
      </c>
      <c r="E2701" s="3" t="str">
        <f t="shared" si="1"/>
        <v>confess&lt;br&gt;&lt;div class="audio"&gt;[sound:confess.mp3]&lt;/div&gt;</v>
      </c>
      <c r="F2701" s="3" t="str">
        <f t="shared" si="2"/>
        <v>(v): thú nhận</v>
      </c>
      <c r="G2701" s="6" t="s">
        <v>47182</v>
      </c>
      <c r="H2701" s="6" t="s">
        <v>47183</v>
      </c>
      <c r="I2701" s="7">
        <f t="shared" si="3"/>
        <v>0.0576300049</v>
      </c>
    </row>
    <row r="2702">
      <c r="A2702" s="4">
        <v>2702.0</v>
      </c>
      <c r="B2702" s="3" t="s">
        <v>47184</v>
      </c>
      <c r="C2702" s="6" t="s">
        <v>11</v>
      </c>
      <c r="D2702" s="6" t="s">
        <v>24195</v>
      </c>
      <c r="E2702" s="3" t="str">
        <f t="shared" si="1"/>
        <v>comic&lt;br&gt;&lt;div class="audio"&gt;[sound:comic.mp3]&lt;/div&gt;</v>
      </c>
      <c r="F2702" s="3" t="str">
        <f t="shared" si="2"/>
        <v>(adj): hài hước</v>
      </c>
      <c r="G2702" s="6" t="s">
        <v>47185</v>
      </c>
      <c r="H2702" s="6" t="s">
        <v>47186</v>
      </c>
      <c r="I2702" s="7">
        <f t="shared" si="3"/>
        <v>0.9242598792</v>
      </c>
    </row>
    <row r="2703">
      <c r="A2703" s="4">
        <v>2703.0</v>
      </c>
      <c r="B2703" s="3" t="s">
        <v>47187</v>
      </c>
      <c r="C2703" s="6" t="s">
        <v>74</v>
      </c>
      <c r="D2703" s="6" t="s">
        <v>12701</v>
      </c>
      <c r="E2703" s="3" t="str">
        <f t="shared" si="1"/>
        <v>inflation&lt;br&gt;&lt;div class="audio"&gt;[sound:inflation.mp3]&lt;/div&gt;</v>
      </c>
      <c r="F2703" s="3" t="str">
        <f t="shared" si="2"/>
        <v>(n): lạm phát</v>
      </c>
      <c r="G2703" s="6" t="s">
        <v>47188</v>
      </c>
      <c r="H2703" s="6" t="s">
        <v>47189</v>
      </c>
      <c r="I2703" s="7">
        <f t="shared" si="3"/>
        <v>0.5076732075</v>
      </c>
    </row>
    <row r="2704">
      <c r="A2704" s="4">
        <v>2704.0</v>
      </c>
      <c r="B2704" s="3" t="s">
        <v>47190</v>
      </c>
      <c r="C2704" s="6" t="s">
        <v>85</v>
      </c>
      <c r="D2704" s="6" t="s">
        <v>19560</v>
      </c>
      <c r="E2704" s="3" t="str">
        <f t="shared" si="1"/>
        <v>partly&lt;br&gt;&lt;div class="audio"&gt;[sound:partly.mp3]&lt;/div&gt;</v>
      </c>
      <c r="F2704" s="3" t="str">
        <f t="shared" si="2"/>
        <v>(adv): một phần</v>
      </c>
      <c r="G2704" s="6" t="s">
        <v>47191</v>
      </c>
      <c r="H2704" s="6" t="s">
        <v>47192</v>
      </c>
      <c r="I2704" s="7">
        <f t="shared" si="3"/>
        <v>0.3142918218</v>
      </c>
    </row>
    <row r="2705">
      <c r="A2705" s="4">
        <v>2705.0</v>
      </c>
      <c r="B2705" s="3" t="s">
        <v>47193</v>
      </c>
      <c r="C2705" s="6" t="s">
        <v>11</v>
      </c>
      <c r="D2705" s="6" t="s">
        <v>45709</v>
      </c>
      <c r="E2705" s="3" t="str">
        <f t="shared" si="1"/>
        <v>satisfied&lt;br&gt;&lt;div class="audio"&gt;[sound:satisfied.mp3]&lt;/div&gt;</v>
      </c>
      <c r="F2705" s="3" t="str">
        <f t="shared" si="2"/>
        <v>(adj): hài lòng</v>
      </c>
      <c r="G2705" s="6" t="s">
        <v>47194</v>
      </c>
      <c r="H2705" s="6" t="s">
        <v>47195</v>
      </c>
      <c r="I2705" s="7">
        <f t="shared" si="3"/>
        <v>0.6371440151</v>
      </c>
    </row>
    <row r="2706">
      <c r="A2706" s="4">
        <v>2706.0</v>
      </c>
      <c r="B2706" s="3" t="s">
        <v>47196</v>
      </c>
      <c r="C2706" s="6" t="s">
        <v>11</v>
      </c>
      <c r="D2706" s="8" t="s">
        <v>17677</v>
      </c>
      <c r="E2706" s="3" t="str">
        <f t="shared" si="1"/>
        <v>spare&lt;br&gt;&lt;div class="audio"&gt;[sound:spare.mp3]&lt;/div&gt;</v>
      </c>
      <c r="F2706" s="3" t="str">
        <f t="shared" si="2"/>
        <v>(adj): dự phòng</v>
      </c>
      <c r="G2706" s="8" t="s">
        <v>47197</v>
      </c>
      <c r="H2706" s="8" t="s">
        <v>47198</v>
      </c>
      <c r="I2706" s="7">
        <f t="shared" si="3"/>
        <v>0.5348537179</v>
      </c>
    </row>
    <row r="2707">
      <c r="A2707" s="4">
        <v>2707.0</v>
      </c>
      <c r="B2707" s="3" t="s">
        <v>47199</v>
      </c>
      <c r="C2707" s="6" t="s">
        <v>74</v>
      </c>
      <c r="D2707" s="6" t="s">
        <v>47200</v>
      </c>
      <c r="E2707" s="3" t="str">
        <f t="shared" si="1"/>
        <v>outline&lt;br&gt;&lt;div class="audio"&gt;[sound:outline.mp3]&lt;/div&gt;</v>
      </c>
      <c r="F2707" s="3" t="str">
        <f t="shared" si="2"/>
        <v>(n): đề cương</v>
      </c>
      <c r="G2707" s="6" t="s">
        <v>47201</v>
      </c>
      <c r="H2707" s="6" t="s">
        <v>47202</v>
      </c>
      <c r="I2707" s="7">
        <f t="shared" si="3"/>
        <v>0.6900886447</v>
      </c>
    </row>
    <row r="2708">
      <c r="A2708" s="4">
        <v>2708.0</v>
      </c>
      <c r="B2708" s="3" t="s">
        <v>47203</v>
      </c>
      <c r="C2708" s="6" t="s">
        <v>58</v>
      </c>
      <c r="D2708" s="6" t="s">
        <v>47204</v>
      </c>
      <c r="E2708" s="3" t="str">
        <f t="shared" si="1"/>
        <v>eleven&lt;br&gt;&lt;div class="audio"&gt;[sound:eleven.mp3]&lt;/div&gt;</v>
      </c>
      <c r="F2708" s="3" t="str">
        <f t="shared" si="2"/>
        <v>(num): mười một</v>
      </c>
      <c r="G2708" s="6" t="s">
        <v>47205</v>
      </c>
      <c r="H2708" s="6" t="s">
        <v>47206</v>
      </c>
      <c r="I2708" s="7">
        <f t="shared" si="3"/>
        <v>0.3772047043</v>
      </c>
    </row>
    <row r="2709">
      <c r="A2709" s="4">
        <v>2709.0</v>
      </c>
      <c r="B2709" s="3" t="s">
        <v>47207</v>
      </c>
      <c r="C2709" s="6" t="s">
        <v>33</v>
      </c>
      <c r="D2709" s="6" t="s">
        <v>5722</v>
      </c>
      <c r="E2709" s="3" t="str">
        <f t="shared" si="1"/>
        <v>goodbye&lt;br&gt;&lt;div class="audio"&gt;[sound:goodbye.mp3]&lt;/div&gt;</v>
      </c>
      <c r="F2709" s="3" t="str">
        <f t="shared" si="2"/>
        <v>(int): tạm biệt</v>
      </c>
      <c r="G2709" s="6" t="s">
        <v>47208</v>
      </c>
      <c r="H2709" s="6" t="s">
        <v>47209</v>
      </c>
      <c r="I2709" s="7">
        <f t="shared" si="3"/>
        <v>0.05050728675</v>
      </c>
    </row>
    <row r="2710">
      <c r="A2710" s="4">
        <v>2710.0</v>
      </c>
      <c r="B2710" s="3" t="s">
        <v>47210</v>
      </c>
      <c r="C2710" s="6" t="s">
        <v>11</v>
      </c>
      <c r="D2710" s="6" t="s">
        <v>8687</v>
      </c>
      <c r="E2710" s="3" t="str">
        <f t="shared" si="1"/>
        <v>moving&lt;br&gt;&lt;div class="audio"&gt;[sound:moving.mp3]&lt;/div&gt;</v>
      </c>
      <c r="F2710" s="3" t="str">
        <f t="shared" si="2"/>
        <v>(adj): cảm động</v>
      </c>
      <c r="G2710" s="6" t="s">
        <v>47211</v>
      </c>
      <c r="H2710" s="6" t="s">
        <v>47212</v>
      </c>
      <c r="I2710" s="7">
        <f t="shared" si="3"/>
        <v>0.9701977228</v>
      </c>
    </row>
    <row r="2711">
      <c r="A2711" s="4">
        <v>2711.0</v>
      </c>
      <c r="B2711" s="3" t="s">
        <v>47213</v>
      </c>
      <c r="C2711" s="6" t="s">
        <v>74</v>
      </c>
      <c r="D2711" s="6" t="s">
        <v>7306</v>
      </c>
      <c r="E2711" s="3" t="str">
        <f t="shared" si="1"/>
        <v>joy&lt;br&gt;&lt;div class="audio"&gt;[sound:joy.mp3]&lt;/div&gt;</v>
      </c>
      <c r="F2711" s="3" t="str">
        <f t="shared" si="2"/>
        <v>(n): niềm vui</v>
      </c>
      <c r="G2711" s="6" t="s">
        <v>47214</v>
      </c>
      <c r="H2711" s="6" t="s">
        <v>47215</v>
      </c>
      <c r="I2711" s="7">
        <f t="shared" si="3"/>
        <v>0.801381283</v>
      </c>
    </row>
    <row r="2712">
      <c r="A2712" s="4">
        <v>2712.0</v>
      </c>
      <c r="B2712" s="3" t="s">
        <v>47216</v>
      </c>
      <c r="C2712" s="6" t="s">
        <v>24</v>
      </c>
      <c r="D2712" s="6" t="s">
        <v>20685</v>
      </c>
      <c r="E2712" s="3" t="str">
        <f t="shared" si="1"/>
        <v>retire&lt;br&gt;&lt;div class="audio"&gt;[sound:retire.mp3]&lt;/div&gt;</v>
      </c>
      <c r="F2712" s="3" t="str">
        <f t="shared" si="2"/>
        <v>(v): nghỉ hưu</v>
      </c>
      <c r="G2712" s="6" t="s">
        <v>47217</v>
      </c>
      <c r="H2712" s="6" t="s">
        <v>47218</v>
      </c>
      <c r="I2712" s="7">
        <f t="shared" si="3"/>
        <v>0.1326685001</v>
      </c>
    </row>
    <row r="2713">
      <c r="A2713" s="4">
        <v>2713.0</v>
      </c>
      <c r="B2713" s="3" t="s">
        <v>47219</v>
      </c>
      <c r="C2713" s="6" t="s">
        <v>74</v>
      </c>
      <c r="D2713" s="6" t="s">
        <v>10942</v>
      </c>
      <c r="E2713" s="3" t="str">
        <f t="shared" si="1"/>
        <v>hobby&lt;br&gt;&lt;div class="audio"&gt;[sound:hobby.mp3]&lt;/div&gt;</v>
      </c>
      <c r="F2713" s="3" t="str">
        <f t="shared" si="2"/>
        <v>(n): sở thích</v>
      </c>
      <c r="G2713" s="6" t="s">
        <v>47220</v>
      </c>
      <c r="H2713" s="6" t="s">
        <v>47221</v>
      </c>
      <c r="I2713" s="7">
        <f t="shared" si="3"/>
        <v>0.05826766829</v>
      </c>
    </row>
    <row r="2714">
      <c r="A2714" s="4">
        <v>2714.0</v>
      </c>
      <c r="B2714" s="3" t="s">
        <v>47222</v>
      </c>
      <c r="C2714" s="6" t="s">
        <v>74</v>
      </c>
      <c r="D2714" s="6" t="s">
        <v>47223</v>
      </c>
      <c r="E2714" s="3" t="str">
        <f t="shared" si="1"/>
        <v>ceiling&lt;br&gt;&lt;div class="audio"&gt;[sound:ceiling.mp3]&lt;/div&gt;</v>
      </c>
      <c r="F2714" s="3" t="str">
        <f t="shared" si="2"/>
        <v>(n): trần nhà</v>
      </c>
      <c r="G2714" s="6" t="s">
        <v>47224</v>
      </c>
      <c r="H2714" s="6" t="s">
        <v>47225</v>
      </c>
      <c r="I2714" s="7">
        <f t="shared" si="3"/>
        <v>0.1664849234</v>
      </c>
    </row>
    <row r="2715">
      <c r="A2715" s="4">
        <v>2715.0</v>
      </c>
      <c r="B2715" s="3" t="s">
        <v>47226</v>
      </c>
      <c r="C2715" s="6" t="s">
        <v>24</v>
      </c>
      <c r="D2715" s="6" t="s">
        <v>1123</v>
      </c>
      <c r="E2715" s="3" t="str">
        <f t="shared" si="1"/>
        <v>attach&lt;br&gt;&lt;div class="audio"&gt;[sound:attach.mp3]&lt;/div&gt;</v>
      </c>
      <c r="F2715" s="3" t="str">
        <f t="shared" si="2"/>
        <v>(v): đính kèm</v>
      </c>
      <c r="G2715" s="6" t="s">
        <v>47227</v>
      </c>
      <c r="H2715" s="6" t="s">
        <v>47228</v>
      </c>
      <c r="I2715" s="7">
        <f t="shared" si="3"/>
        <v>0.6313772589</v>
      </c>
    </row>
    <row r="2716">
      <c r="A2716" s="4">
        <v>2716.0</v>
      </c>
      <c r="B2716" s="3" t="s">
        <v>47229</v>
      </c>
      <c r="C2716" s="6" t="s">
        <v>74</v>
      </c>
      <c r="D2716" s="6" t="s">
        <v>47230</v>
      </c>
      <c r="E2716" s="3" t="str">
        <f t="shared" si="1"/>
        <v>receipt&lt;br&gt;&lt;div class="audio"&gt;[sound:receipt.mp3]&lt;/div&gt;</v>
      </c>
      <c r="F2716" s="3" t="str">
        <f t="shared" si="2"/>
        <v>(n): biên lai</v>
      </c>
      <c r="G2716" s="6" t="s">
        <v>47231</v>
      </c>
      <c r="H2716" s="6" t="s">
        <v>47232</v>
      </c>
      <c r="I2716" s="7">
        <f t="shared" si="3"/>
        <v>0.7769720893</v>
      </c>
    </row>
    <row r="2717">
      <c r="A2717" s="4">
        <v>2717.0</v>
      </c>
      <c r="B2717" s="3" t="s">
        <v>47233</v>
      </c>
      <c r="C2717" s="6" t="s">
        <v>24</v>
      </c>
      <c r="D2717" s="6" t="s">
        <v>47234</v>
      </c>
      <c r="E2717" s="3" t="str">
        <f t="shared" si="1"/>
        <v>pause&lt;br&gt;&lt;div class="audio"&gt;[sound:pause.mp3]&lt;/div&gt;</v>
      </c>
      <c r="F2717" s="3" t="str">
        <f t="shared" si="2"/>
        <v>(v): tạm dừng</v>
      </c>
      <c r="G2717" s="6" t="s">
        <v>47235</v>
      </c>
      <c r="H2717" s="6" t="s">
        <v>47236</v>
      </c>
      <c r="I2717" s="7">
        <f t="shared" si="3"/>
        <v>0.6125824267</v>
      </c>
    </row>
    <row r="2718">
      <c r="A2718" s="4">
        <v>2718.0</v>
      </c>
      <c r="B2718" s="3" t="s">
        <v>47237</v>
      </c>
      <c r="C2718" s="6" t="s">
        <v>74</v>
      </c>
      <c r="D2718" s="6" t="s">
        <v>47238</v>
      </c>
      <c r="E2718" s="3" t="str">
        <f t="shared" si="1"/>
        <v>forum&lt;br&gt;&lt;div class="audio"&gt;[sound:forum.mp3]&lt;/div&gt;</v>
      </c>
      <c r="F2718" s="3" t="str">
        <f t="shared" si="2"/>
        <v>(n): diễn đàn</v>
      </c>
      <c r="G2718" s="6" t="s">
        <v>47239</v>
      </c>
      <c r="H2718" s="6" t="s">
        <v>47240</v>
      </c>
      <c r="I2718" s="7">
        <f t="shared" si="3"/>
        <v>0.1500377823</v>
      </c>
    </row>
    <row r="2719">
      <c r="A2719" s="4">
        <v>2719.0</v>
      </c>
      <c r="B2719" s="3" t="s">
        <v>47241</v>
      </c>
      <c r="C2719" s="6" t="s">
        <v>74</v>
      </c>
      <c r="D2719" s="8" t="s">
        <v>47242</v>
      </c>
      <c r="E2719" s="3" t="str">
        <f t="shared" si="1"/>
        <v>suicide&lt;br&gt;&lt;div class="audio"&gt;[sound:suicide.mp3]&lt;/div&gt;</v>
      </c>
      <c r="F2719" s="3" t="str">
        <f t="shared" si="2"/>
        <v>(n): tự tử</v>
      </c>
      <c r="G2719" s="8" t="s">
        <v>47243</v>
      </c>
      <c r="H2719" s="8" t="s">
        <v>47244</v>
      </c>
      <c r="I2719" s="7">
        <f t="shared" si="3"/>
        <v>0.5378667912</v>
      </c>
    </row>
    <row r="2720">
      <c r="A2720" s="4">
        <v>2720.0</v>
      </c>
      <c r="B2720" s="3" t="s">
        <v>47245</v>
      </c>
      <c r="C2720" s="6" t="s">
        <v>74</v>
      </c>
      <c r="D2720" s="6" t="s">
        <v>24733</v>
      </c>
      <c r="E2720" s="3" t="str">
        <f t="shared" si="1"/>
        <v>glove&lt;br&gt;&lt;div class="audio"&gt;[sound:glove.mp3]&lt;/div&gt;</v>
      </c>
      <c r="F2720" s="3" t="str">
        <f t="shared" si="2"/>
        <v>(n): găng tay</v>
      </c>
      <c r="G2720" s="6" t="s">
        <v>47246</v>
      </c>
      <c r="H2720" s="6" t="s">
        <v>47247</v>
      </c>
      <c r="I2720" s="7">
        <f t="shared" si="3"/>
        <v>0.3004251988</v>
      </c>
    </row>
    <row r="2721">
      <c r="A2721" s="4">
        <v>2721.0</v>
      </c>
      <c r="B2721" s="3" t="s">
        <v>47248</v>
      </c>
      <c r="C2721" s="6" t="s">
        <v>74</v>
      </c>
      <c r="D2721" s="6" t="s">
        <v>47249</v>
      </c>
      <c r="E2721" s="3" t="str">
        <f t="shared" si="1"/>
        <v>rose&lt;br&gt;&lt;div class="audio"&gt;[sound:rose.mp3]&lt;/div&gt;</v>
      </c>
      <c r="F2721" s="3" t="str">
        <f t="shared" si="2"/>
        <v>(n): hoa hồng</v>
      </c>
      <c r="G2721" s="6" t="s">
        <v>47250</v>
      </c>
      <c r="H2721" s="6" t="s">
        <v>47251</v>
      </c>
      <c r="I2721" s="7">
        <f t="shared" si="3"/>
        <v>0.5727753805</v>
      </c>
    </row>
    <row r="2722">
      <c r="A2722" s="4">
        <v>2722.0</v>
      </c>
      <c r="B2722" s="3" t="s">
        <v>47252</v>
      </c>
      <c r="C2722" s="6" t="s">
        <v>24</v>
      </c>
      <c r="D2722" s="6" t="s">
        <v>47253</v>
      </c>
      <c r="E2722" s="3" t="str">
        <f t="shared" si="1"/>
        <v>greet&lt;br&gt;&lt;div class="audio"&gt;[sound:greet.mp3]&lt;/div&gt;</v>
      </c>
      <c r="F2722" s="3" t="str">
        <f t="shared" si="2"/>
        <v>(v): chào hỏi</v>
      </c>
      <c r="G2722" s="6" t="s">
        <v>47254</v>
      </c>
      <c r="H2722" s="6" t="s">
        <v>47255</v>
      </c>
      <c r="I2722" s="7">
        <f t="shared" si="3"/>
        <v>0.9348724936</v>
      </c>
    </row>
    <row r="2723">
      <c r="A2723" s="4">
        <v>2723.0</v>
      </c>
      <c r="B2723" s="3" t="s">
        <v>47256</v>
      </c>
      <c r="C2723" s="6" t="s">
        <v>11</v>
      </c>
      <c r="D2723" s="6" t="s">
        <v>28865</v>
      </c>
      <c r="E2723" s="3" t="str">
        <f t="shared" si="1"/>
        <v>extensive&lt;br&gt;&lt;div class="audio"&gt;[sound:extensive.mp3]&lt;/div&gt;</v>
      </c>
      <c r="F2723" s="3" t="str">
        <f t="shared" si="2"/>
        <v>(adj): rộng rãi</v>
      </c>
      <c r="G2723" s="6" t="s">
        <v>47257</v>
      </c>
      <c r="H2723" s="6" t="s">
        <v>47258</v>
      </c>
      <c r="I2723" s="7">
        <f t="shared" si="3"/>
        <v>0.8930215865</v>
      </c>
    </row>
    <row r="2724">
      <c r="A2724" s="4">
        <v>2724.0</v>
      </c>
      <c r="B2724" s="3" t="s">
        <v>47259</v>
      </c>
      <c r="C2724" s="6" t="s">
        <v>74</v>
      </c>
      <c r="D2724" s="6" t="s">
        <v>15246</v>
      </c>
      <c r="E2724" s="3" t="str">
        <f t="shared" si="1"/>
        <v>qualification&lt;br&gt;&lt;div class="audio"&gt;[sound:qualification.mp3]&lt;/div&gt;</v>
      </c>
      <c r="F2724" s="3" t="str">
        <f t="shared" si="2"/>
        <v>(n): bằng cấp</v>
      </c>
      <c r="G2724" s="6" t="s">
        <v>47260</v>
      </c>
      <c r="H2724" s="6" t="s">
        <v>47261</v>
      </c>
      <c r="I2724" s="7">
        <f t="shared" si="3"/>
        <v>0.1274443361</v>
      </c>
    </row>
    <row r="2725">
      <c r="A2725" s="4">
        <v>2725.0</v>
      </c>
      <c r="B2725" s="3" t="s">
        <v>47262</v>
      </c>
      <c r="C2725" s="6" t="s">
        <v>24</v>
      </c>
      <c r="D2725" s="6" t="s">
        <v>47263</v>
      </c>
      <c r="E2725" s="3" t="str">
        <f t="shared" si="1"/>
        <v>pack&lt;br&gt;&lt;div class="audio"&gt;[sound:pack.mp3]&lt;/div&gt;</v>
      </c>
      <c r="F2725" s="3" t="str">
        <f t="shared" si="2"/>
        <v>(v): đóng gói</v>
      </c>
      <c r="G2725" s="6" t="s">
        <v>47264</v>
      </c>
      <c r="H2725" s="6" t="s">
        <v>47265</v>
      </c>
      <c r="I2725" s="7">
        <f t="shared" si="3"/>
        <v>0.9722524762</v>
      </c>
    </row>
    <row r="2726">
      <c r="A2726" s="4">
        <v>2726.0</v>
      </c>
      <c r="B2726" s="3" t="s">
        <v>47266</v>
      </c>
      <c r="C2726" s="6" t="s">
        <v>11</v>
      </c>
      <c r="D2726" s="6" t="s">
        <v>1256</v>
      </c>
      <c r="E2726" s="3" t="str">
        <f t="shared" si="1"/>
        <v>lovely&lt;br&gt;&lt;div class="audio"&gt;[sound:lovely.mp3]&lt;/div&gt;</v>
      </c>
      <c r="F2726" s="3" t="str">
        <f t="shared" si="2"/>
        <v>(adj): đáng yêu</v>
      </c>
      <c r="G2726" s="6" t="s">
        <v>47267</v>
      </c>
      <c r="H2726" s="6" t="s">
        <v>47268</v>
      </c>
      <c r="I2726" s="7">
        <f t="shared" si="3"/>
        <v>0.7899275453</v>
      </c>
    </row>
    <row r="2727">
      <c r="A2727" s="4">
        <v>2727.0</v>
      </c>
      <c r="B2727" s="3" t="s">
        <v>47269</v>
      </c>
      <c r="C2727" s="6" t="s">
        <v>11</v>
      </c>
      <c r="D2727" s="8" t="s">
        <v>19717</v>
      </c>
      <c r="E2727" s="3" t="str">
        <f t="shared" si="1"/>
        <v>stunning&lt;br&gt;&lt;div class="audio"&gt;[sound:stunning.mp3]&lt;/div&gt;</v>
      </c>
      <c r="F2727" s="3" t="str">
        <f t="shared" si="2"/>
        <v>(adj): lộng lẫy</v>
      </c>
      <c r="G2727" s="8" t="s">
        <v>47270</v>
      </c>
      <c r="H2727" s="8" t="s">
        <v>47271</v>
      </c>
      <c r="I2727" s="7">
        <f t="shared" si="3"/>
        <v>0.6848845047</v>
      </c>
    </row>
    <row r="2728">
      <c r="A2728" s="4">
        <v>2728.0</v>
      </c>
      <c r="B2728" s="3" t="s">
        <v>47272</v>
      </c>
      <c r="C2728" s="6" t="s">
        <v>85</v>
      </c>
      <c r="D2728" s="8" t="s">
        <v>2611</v>
      </c>
      <c r="E2728" s="3" t="str">
        <f t="shared" si="1"/>
        <v>similarly&lt;br&gt;&lt;div class="audio"&gt;[sound:similarly.mp3]&lt;/div&gt;</v>
      </c>
      <c r="F2728" s="3" t="str">
        <f t="shared" si="2"/>
        <v>(adv): tương tự</v>
      </c>
      <c r="G2728" s="8" t="s">
        <v>47273</v>
      </c>
      <c r="H2728" s="8" t="s">
        <v>47274</v>
      </c>
      <c r="I2728" s="7">
        <f t="shared" si="3"/>
        <v>0.02408455752</v>
      </c>
    </row>
    <row r="2729">
      <c r="A2729" s="4">
        <v>2729.0</v>
      </c>
      <c r="B2729" s="3" t="s">
        <v>47275</v>
      </c>
      <c r="C2729" s="6" t="s">
        <v>11</v>
      </c>
      <c r="D2729" s="8" t="s">
        <v>32627</v>
      </c>
      <c r="E2729" s="3" t="str">
        <f t="shared" si="1"/>
        <v>sexy&lt;br&gt;&lt;div class="audio"&gt;[sound:sexy.mp3]&lt;/div&gt;</v>
      </c>
      <c r="F2729" s="3" t="str">
        <f t="shared" si="2"/>
        <v>(adj): quyến rũ</v>
      </c>
      <c r="G2729" s="8" t="s">
        <v>47276</v>
      </c>
      <c r="H2729" s="8" t="s">
        <v>47277</v>
      </c>
      <c r="I2729" s="7">
        <f t="shared" si="3"/>
        <v>0.02784599385</v>
      </c>
    </row>
    <row r="2730">
      <c r="A2730" s="4">
        <v>2730.0</v>
      </c>
      <c r="B2730" s="3" t="s">
        <v>47278</v>
      </c>
      <c r="C2730" s="6" t="s">
        <v>11</v>
      </c>
      <c r="D2730" s="8" t="s">
        <v>23298</v>
      </c>
      <c r="E2730" s="3" t="str">
        <f t="shared" si="1"/>
        <v>silly&lt;br&gt;&lt;div class="audio"&gt;[sound:silly.mp3]&lt;/div&gt;</v>
      </c>
      <c r="F2730" s="3" t="str">
        <f t="shared" si="2"/>
        <v>(adj): ngớ ngẩn</v>
      </c>
      <c r="G2730" s="8" t="s">
        <v>47279</v>
      </c>
      <c r="H2730" s="8" t="s">
        <v>47280</v>
      </c>
      <c r="I2730" s="7">
        <f t="shared" si="3"/>
        <v>0.07898981242</v>
      </c>
    </row>
    <row r="2731">
      <c r="A2731" s="4">
        <v>2731.0</v>
      </c>
      <c r="B2731" s="3" t="s">
        <v>47281</v>
      </c>
      <c r="C2731" s="6" t="s">
        <v>74</v>
      </c>
      <c r="D2731" s="6" t="s">
        <v>13232</v>
      </c>
      <c r="E2731" s="3" t="str">
        <f t="shared" si="1"/>
        <v>metal&lt;br&gt;&lt;div class="audio"&gt;[sound:metal.mp3]&lt;/div&gt;</v>
      </c>
      <c r="F2731" s="3" t="str">
        <f t="shared" si="2"/>
        <v>(n): kim loại</v>
      </c>
      <c r="G2731" s="6" t="s">
        <v>47282</v>
      </c>
      <c r="H2731" s="6" t="s">
        <v>47283</v>
      </c>
      <c r="I2731" s="7">
        <f t="shared" si="3"/>
        <v>0.3580685121</v>
      </c>
    </row>
    <row r="2732">
      <c r="A2732" s="4">
        <v>2732.0</v>
      </c>
      <c r="B2732" s="3" t="s">
        <v>47284</v>
      </c>
      <c r="C2732" s="6" t="s">
        <v>11</v>
      </c>
      <c r="D2732" s="6" t="s">
        <v>8282</v>
      </c>
      <c r="E2732" s="3" t="str">
        <f t="shared" si="1"/>
        <v>massive&lt;br&gt;&lt;div class="audio"&gt;[sound:massive.mp3]&lt;/div&gt;</v>
      </c>
      <c r="F2732" s="3" t="str">
        <f t="shared" si="2"/>
        <v>(adj): khổng lồ</v>
      </c>
      <c r="G2732" s="6" t="s">
        <v>47285</v>
      </c>
      <c r="H2732" s="6" t="s">
        <v>47286</v>
      </c>
      <c r="I2732" s="7">
        <f t="shared" si="3"/>
        <v>0.4980227547</v>
      </c>
    </row>
    <row r="2733">
      <c r="A2733" s="4">
        <v>2733.0</v>
      </c>
      <c r="B2733" s="3" t="s">
        <v>47287</v>
      </c>
      <c r="C2733" s="6" t="s">
        <v>11</v>
      </c>
      <c r="D2733" s="6" t="s">
        <v>47288</v>
      </c>
      <c r="E2733" s="3" t="str">
        <f t="shared" si="1"/>
        <v>clinical&lt;br&gt;&lt;div class="audio"&gt;[sound:clinical.mp3]&lt;/div&gt;</v>
      </c>
      <c r="F2733" s="3" t="str">
        <f t="shared" si="2"/>
        <v>(adj): lâm sàng</v>
      </c>
      <c r="G2733" s="6" t="s">
        <v>47289</v>
      </c>
      <c r="H2733" s="6" t="s">
        <v>47290</v>
      </c>
      <c r="I2733" s="7">
        <f t="shared" si="3"/>
        <v>0.5328534386</v>
      </c>
    </row>
    <row r="2734">
      <c r="A2734" s="4">
        <v>2734.0</v>
      </c>
      <c r="B2734" s="3" t="s">
        <v>47291</v>
      </c>
      <c r="C2734" s="6" t="s">
        <v>74</v>
      </c>
      <c r="D2734" s="6" t="s">
        <v>14425</v>
      </c>
      <c r="E2734" s="3" t="str">
        <f t="shared" si="1"/>
        <v>bullet&lt;br&gt;&lt;div class="audio"&gt;[sound:bullet.mp3]&lt;/div&gt;</v>
      </c>
      <c r="F2734" s="3" t="str">
        <f t="shared" si="2"/>
        <v>(n): viên đạn</v>
      </c>
      <c r="G2734" s="6" t="s">
        <v>47292</v>
      </c>
      <c r="H2734" s="6" t="s">
        <v>47293</v>
      </c>
      <c r="I2734" s="7">
        <f t="shared" si="3"/>
        <v>0.6468596346</v>
      </c>
    </row>
    <row r="2735">
      <c r="A2735" s="4">
        <v>2735.0</v>
      </c>
      <c r="B2735" s="3" t="s">
        <v>47294</v>
      </c>
      <c r="C2735" s="6" t="s">
        <v>74</v>
      </c>
      <c r="D2735" s="6" t="s">
        <v>47295</v>
      </c>
      <c r="E2735" s="3" t="str">
        <f t="shared" si="1"/>
        <v>intensity&lt;br&gt;&lt;div class="audio"&gt;[sound:intensity.mp3]&lt;/div&gt;</v>
      </c>
      <c r="F2735" s="3" t="str">
        <f t="shared" si="2"/>
        <v>(n): cường độ</v>
      </c>
      <c r="G2735" s="6" t="s">
        <v>47296</v>
      </c>
      <c r="H2735" s="6" t="s">
        <v>47297</v>
      </c>
      <c r="I2735" s="7">
        <f t="shared" si="3"/>
        <v>0.3811218911</v>
      </c>
    </row>
    <row r="2736">
      <c r="A2736" s="4">
        <v>2736.0</v>
      </c>
      <c r="B2736" s="3" t="s">
        <v>47298</v>
      </c>
      <c r="C2736" s="6" t="s">
        <v>74</v>
      </c>
      <c r="D2736" s="6" t="s">
        <v>7167</v>
      </c>
      <c r="E2736" s="3" t="str">
        <f t="shared" si="1"/>
        <v>parliament&lt;br&gt;&lt;div class="audio"&gt;[sound:parliament.mp3]&lt;/div&gt;</v>
      </c>
      <c r="F2736" s="3" t="str">
        <f t="shared" si="2"/>
        <v>(n): quốc hội</v>
      </c>
      <c r="G2736" s="6" t="s">
        <v>47299</v>
      </c>
      <c r="H2736" s="6" t="s">
        <v>47300</v>
      </c>
      <c r="I2736" s="7">
        <f t="shared" si="3"/>
        <v>0.7646315529</v>
      </c>
    </row>
    <row r="2737">
      <c r="A2737" s="4">
        <v>2737.0</v>
      </c>
      <c r="B2737" s="3" t="s">
        <v>47301</v>
      </c>
      <c r="C2737" s="6" t="s">
        <v>74</v>
      </c>
      <c r="D2737" s="6" t="s">
        <v>11911</v>
      </c>
      <c r="E2737" s="3" t="str">
        <f t="shared" si="1"/>
        <v>probability&lt;br&gt;&lt;div class="audio"&gt;[sound:probability.mp3]&lt;/div&gt;</v>
      </c>
      <c r="F2737" s="3" t="str">
        <f t="shared" si="2"/>
        <v>(n): xác suất</v>
      </c>
      <c r="G2737" s="6" t="s">
        <v>47302</v>
      </c>
      <c r="H2737" s="6" t="s">
        <v>47303</v>
      </c>
      <c r="I2737" s="7">
        <f t="shared" si="3"/>
        <v>0.8814822145</v>
      </c>
    </row>
    <row r="2738">
      <c r="A2738" s="4">
        <v>2738.0</v>
      </c>
      <c r="B2738" s="3" t="s">
        <v>47304</v>
      </c>
      <c r="C2738" s="6" t="s">
        <v>24</v>
      </c>
      <c r="D2738" s="6" t="s">
        <v>47305</v>
      </c>
      <c r="E2738" s="3" t="str">
        <f t="shared" si="1"/>
        <v>rescue&lt;br&gt;&lt;div class="audio"&gt;[sound:rescue.mp3]&lt;/div&gt;</v>
      </c>
      <c r="F2738" s="3" t="str">
        <f t="shared" si="2"/>
        <v>(v): giải cứu</v>
      </c>
      <c r="G2738" s="6" t="s">
        <v>47306</v>
      </c>
      <c r="H2738" s="6" t="s">
        <v>47307</v>
      </c>
      <c r="I2738" s="7">
        <f t="shared" si="3"/>
        <v>0.9020538492</v>
      </c>
    </row>
    <row r="2739">
      <c r="A2739" s="4">
        <v>2739.0</v>
      </c>
      <c r="B2739" s="3" t="s">
        <v>47308</v>
      </c>
      <c r="C2739" s="6" t="s">
        <v>24</v>
      </c>
      <c r="D2739" s="6" t="s">
        <v>47309</v>
      </c>
      <c r="E2739" s="3" t="str">
        <f t="shared" si="1"/>
        <v>integrate&lt;br&gt;&lt;div class="audio"&gt;[sound:integrate.mp3]&lt;/div&gt;</v>
      </c>
      <c r="F2739" s="3" t="str">
        <f t="shared" si="2"/>
        <v>(v): tích hợp</v>
      </c>
      <c r="G2739" s="6" t="s">
        <v>47310</v>
      </c>
      <c r="H2739" s="6" t="s">
        <v>47311</v>
      </c>
      <c r="I2739" s="7">
        <f t="shared" si="3"/>
        <v>0.08758770845</v>
      </c>
    </row>
    <row r="2740">
      <c r="A2740" s="4">
        <v>2740.0</v>
      </c>
      <c r="B2740" s="3" t="s">
        <v>47312</v>
      </c>
      <c r="C2740" s="6" t="s">
        <v>11</v>
      </c>
      <c r="D2740" s="6" t="s">
        <v>19754</v>
      </c>
      <c r="E2740" s="3" t="str">
        <f t="shared" si="1"/>
        <v>wild&lt;br&gt;&lt;div class="audio"&gt;[sound:wild.mp3]&lt;/div&gt;</v>
      </c>
      <c r="F2740" s="3" t="str">
        <f t="shared" si="2"/>
        <v>(adj): hoang dã</v>
      </c>
      <c r="G2740" s="6" t="s">
        <v>47313</v>
      </c>
      <c r="H2740" s="6" t="s">
        <v>47314</v>
      </c>
      <c r="I2740" s="7">
        <f t="shared" si="3"/>
        <v>0.1076654552</v>
      </c>
    </row>
    <row r="2741">
      <c r="A2741" s="4">
        <v>2741.0</v>
      </c>
      <c r="B2741" s="3" t="s">
        <v>47315</v>
      </c>
      <c r="C2741" s="6" t="s">
        <v>74</v>
      </c>
      <c r="D2741" s="6" t="s">
        <v>16000</v>
      </c>
      <c r="E2741" s="3" t="str">
        <f t="shared" si="1"/>
        <v>welfare&lt;br&gt;&lt;div class="audio"&gt;[sound:welfare.mp3]&lt;/div&gt;</v>
      </c>
      <c r="F2741" s="3" t="str">
        <f t="shared" si="2"/>
        <v>(n): phúc lợi</v>
      </c>
      <c r="G2741" s="6" t="s">
        <v>47316</v>
      </c>
      <c r="H2741" s="6" t="s">
        <v>47317</v>
      </c>
      <c r="I2741" s="7">
        <f t="shared" si="3"/>
        <v>0.7351068551</v>
      </c>
    </row>
    <row r="2742">
      <c r="A2742" s="4">
        <v>2742.0</v>
      </c>
      <c r="B2742" s="3" t="s">
        <v>47318</v>
      </c>
      <c r="C2742" s="6" t="s">
        <v>74</v>
      </c>
      <c r="D2742" s="6" t="s">
        <v>47319</v>
      </c>
      <c r="E2742" s="3" t="str">
        <f t="shared" si="1"/>
        <v>league&lt;br&gt;&lt;div class="audio"&gt;[sound:league.mp3]&lt;/div&gt;</v>
      </c>
      <c r="F2742" s="3" t="str">
        <f t="shared" si="2"/>
        <v>(n): giải đấu</v>
      </c>
      <c r="G2742" s="6" t="s">
        <v>47320</v>
      </c>
      <c r="H2742" s="6" t="s">
        <v>47321</v>
      </c>
      <c r="I2742" s="7">
        <f t="shared" si="3"/>
        <v>0.3293536627</v>
      </c>
    </row>
    <row r="2743">
      <c r="A2743" s="4">
        <v>2743.0</v>
      </c>
      <c r="B2743" s="3" t="s">
        <v>47322</v>
      </c>
      <c r="C2743" s="6" t="s">
        <v>74</v>
      </c>
      <c r="D2743" s="6" t="s">
        <v>12706</v>
      </c>
      <c r="E2743" s="3" t="str">
        <f t="shared" si="1"/>
        <v>scenario&lt;br&gt;&lt;div class="audio"&gt;[sound:scenario.mp3]&lt;/div&gt;</v>
      </c>
      <c r="F2743" s="3" t="str">
        <f t="shared" si="2"/>
        <v>(n): kịch bản</v>
      </c>
      <c r="G2743" s="6" t="s">
        <v>47323</v>
      </c>
      <c r="H2743" s="6" t="s">
        <v>47324</v>
      </c>
      <c r="I2743" s="7">
        <f t="shared" si="3"/>
        <v>0.05360500997</v>
      </c>
    </row>
    <row r="2744">
      <c r="A2744" s="4">
        <v>2744.0</v>
      </c>
      <c r="B2744" s="3" t="s">
        <v>47325</v>
      </c>
      <c r="C2744" s="6" t="s">
        <v>24</v>
      </c>
      <c r="D2744" s="6" t="s">
        <v>5857</v>
      </c>
      <c r="E2744" s="3" t="str">
        <f t="shared" si="1"/>
        <v>assess&lt;br&gt;&lt;div class="audio"&gt;[sound:assess.mp3]&lt;/div&gt;</v>
      </c>
      <c r="F2744" s="3" t="str">
        <f t="shared" si="2"/>
        <v>(v): đánh giá</v>
      </c>
      <c r="G2744" s="6" t="s">
        <v>47326</v>
      </c>
      <c r="H2744" s="6" t="s">
        <v>47327</v>
      </c>
      <c r="I2744" s="7">
        <f t="shared" si="3"/>
        <v>0.1242140446</v>
      </c>
    </row>
    <row r="2745">
      <c r="A2745" s="4">
        <v>2745.0</v>
      </c>
      <c r="B2745" s="3" t="s">
        <v>47328</v>
      </c>
      <c r="C2745" s="6" t="s">
        <v>24</v>
      </c>
      <c r="D2745" s="6" t="s">
        <v>21860</v>
      </c>
      <c r="E2745" s="3" t="str">
        <f t="shared" si="1"/>
        <v>hurry&lt;br&gt;&lt;div class="audio"&gt;[sound:hurry.mp3]&lt;/div&gt;</v>
      </c>
      <c r="F2745" s="3" t="str">
        <f t="shared" si="2"/>
        <v>(v): vội vàng</v>
      </c>
      <c r="G2745" s="6" t="s">
        <v>47329</v>
      </c>
      <c r="H2745" s="6" t="s">
        <v>47330</v>
      </c>
      <c r="I2745" s="7">
        <f t="shared" si="3"/>
        <v>0.2596899853</v>
      </c>
    </row>
    <row r="2746">
      <c r="A2746" s="4">
        <v>2746.0</v>
      </c>
      <c r="B2746" s="3" t="s">
        <v>47331</v>
      </c>
      <c r="C2746" s="6" t="s">
        <v>24</v>
      </c>
      <c r="D2746" s="6" t="s">
        <v>8547</v>
      </c>
      <c r="E2746" s="3" t="str">
        <f t="shared" si="1"/>
        <v>overcome&lt;br&gt;&lt;div class="audio"&gt;[sound:overcome.mp3]&lt;/div&gt;</v>
      </c>
      <c r="F2746" s="3" t="str">
        <f t="shared" si="2"/>
        <v>(v): vượt qua</v>
      </c>
      <c r="G2746" s="6" t="s">
        <v>47332</v>
      </c>
      <c r="H2746" s="6" t="s">
        <v>47333</v>
      </c>
      <c r="I2746" s="7">
        <f t="shared" si="3"/>
        <v>0.1547621102</v>
      </c>
    </row>
    <row r="2747">
      <c r="A2747" s="4">
        <v>2747.0</v>
      </c>
      <c r="B2747" s="3" t="s">
        <v>47334</v>
      </c>
      <c r="C2747" s="6" t="s">
        <v>24</v>
      </c>
      <c r="D2747" s="6" t="s">
        <v>42012</v>
      </c>
      <c r="E2747" s="3" t="str">
        <f t="shared" si="1"/>
        <v>unite&lt;br&gt;&lt;div class="audio"&gt;[sound:unite.mp3]&lt;/div&gt;</v>
      </c>
      <c r="F2747" s="3" t="str">
        <f t="shared" si="2"/>
        <v>(v): đoàn kết</v>
      </c>
      <c r="G2747" s="6" t="s">
        <v>47335</v>
      </c>
      <c r="H2747" s="6" t="s">
        <v>47336</v>
      </c>
      <c r="I2747" s="7">
        <f t="shared" si="3"/>
        <v>0.6469703765</v>
      </c>
    </row>
    <row r="2748">
      <c r="A2748" s="4">
        <v>2748.0</v>
      </c>
      <c r="B2748" s="3" t="s">
        <v>47337</v>
      </c>
      <c r="C2748" s="6" t="s">
        <v>24</v>
      </c>
      <c r="D2748" s="6" t="s">
        <v>47338</v>
      </c>
      <c r="E2748" s="3" t="str">
        <f t="shared" si="1"/>
        <v>relax&lt;br&gt;&lt;div class="audio"&gt;[sound:relax.mp3]&lt;/div&gt;</v>
      </c>
      <c r="F2748" s="3" t="str">
        <f t="shared" si="2"/>
        <v>(v): thư giãn</v>
      </c>
      <c r="G2748" s="6" t="s">
        <v>47339</v>
      </c>
      <c r="H2748" s="6" t="s">
        <v>47340</v>
      </c>
      <c r="I2748" s="7">
        <f t="shared" si="3"/>
        <v>0.9109591606</v>
      </c>
    </row>
    <row r="2749">
      <c r="A2749" s="4">
        <v>2749.0</v>
      </c>
      <c r="B2749" s="3" t="s">
        <v>47341</v>
      </c>
      <c r="C2749" s="6" t="s">
        <v>11</v>
      </c>
      <c r="D2749" s="6" t="s">
        <v>2119</v>
      </c>
      <c r="E2749" s="3" t="str">
        <f t="shared" si="1"/>
        <v>worried&lt;br&gt;&lt;div class="audio"&gt;[sound:worried.mp3]&lt;/div&gt;</v>
      </c>
      <c r="F2749" s="3" t="str">
        <f t="shared" si="2"/>
        <v>(adj): lo lắng</v>
      </c>
      <c r="G2749" s="6" t="s">
        <v>47342</v>
      </c>
      <c r="H2749" s="6" t="s">
        <v>47343</v>
      </c>
      <c r="I2749" s="7">
        <f t="shared" si="3"/>
        <v>0.9389149119</v>
      </c>
    </row>
    <row r="2750">
      <c r="A2750" s="4">
        <v>2750.0</v>
      </c>
      <c r="B2750" s="3" t="s">
        <v>47344</v>
      </c>
      <c r="C2750" s="6" t="s">
        <v>24</v>
      </c>
      <c r="D2750" s="6" t="s">
        <v>36418</v>
      </c>
      <c r="E2750" s="3" t="str">
        <f t="shared" si="1"/>
        <v>boil&lt;br&gt;&lt;div class="audio"&gt;[sound:boil.mp3]&lt;/div&gt;</v>
      </c>
      <c r="F2750" s="3" t="str">
        <f t="shared" si="2"/>
        <v>(v): đun sôi</v>
      </c>
      <c r="G2750" s="6" t="s">
        <v>47345</v>
      </c>
      <c r="H2750" s="6" t="s">
        <v>47346</v>
      </c>
      <c r="I2750" s="7">
        <f t="shared" si="3"/>
        <v>0.2809434903</v>
      </c>
    </row>
    <row r="2751">
      <c r="A2751" s="4">
        <v>2751.0</v>
      </c>
      <c r="B2751" s="3" t="s">
        <v>47347</v>
      </c>
      <c r="C2751" s="6" t="s">
        <v>85</v>
      </c>
      <c r="D2751" s="6" t="s">
        <v>6989</v>
      </c>
      <c r="E2751" s="3" t="str">
        <f t="shared" si="1"/>
        <v>considerably&lt;br&gt;&lt;div class="audio"&gt;[sound:considerably.mp3]&lt;/div&gt;</v>
      </c>
      <c r="F2751" s="3" t="str">
        <f t="shared" si="2"/>
        <v>(adv): đáng kể</v>
      </c>
      <c r="G2751" s="6" t="s">
        <v>47348</v>
      </c>
      <c r="H2751" s="6" t="s">
        <v>47349</v>
      </c>
      <c r="I2751" s="7">
        <f t="shared" si="3"/>
        <v>0.4108979298</v>
      </c>
    </row>
    <row r="2752">
      <c r="A2752" s="4">
        <v>2752.0</v>
      </c>
      <c r="B2752" s="3" t="s">
        <v>47350</v>
      </c>
      <c r="C2752" s="6" t="s">
        <v>11</v>
      </c>
      <c r="D2752" s="6" t="s">
        <v>5329</v>
      </c>
      <c r="E2752" s="3" t="str">
        <f t="shared" si="1"/>
        <v>remaining&lt;br&gt;&lt;div class="audio"&gt;[sound:remaining.mp3]&lt;/div&gt;</v>
      </c>
      <c r="F2752" s="3" t="str">
        <f t="shared" si="2"/>
        <v>(adj): còn lại</v>
      </c>
      <c r="G2752" s="6" t="s">
        <v>47351</v>
      </c>
      <c r="H2752" s="6" t="s">
        <v>47352</v>
      </c>
      <c r="I2752" s="7">
        <f t="shared" si="3"/>
        <v>0.7224065228</v>
      </c>
    </row>
    <row r="2753">
      <c r="A2753" s="4">
        <v>2753.0</v>
      </c>
      <c r="B2753" s="3" t="s">
        <v>47353</v>
      </c>
      <c r="C2753" s="6" t="s">
        <v>74</v>
      </c>
      <c r="D2753" s="6" t="s">
        <v>47354</v>
      </c>
      <c r="E2753" s="3" t="str">
        <f t="shared" si="1"/>
        <v>continent&lt;br&gt;&lt;div class="audio"&gt;[sound:continent.mp3]&lt;/div&gt;</v>
      </c>
      <c r="F2753" s="3" t="str">
        <f t="shared" si="2"/>
        <v>(n): lục địa</v>
      </c>
      <c r="G2753" s="6" t="s">
        <v>47355</v>
      </c>
      <c r="H2753" s="6" t="s">
        <v>47356</v>
      </c>
      <c r="I2753" s="7">
        <f t="shared" si="3"/>
        <v>0.1990217373</v>
      </c>
    </row>
    <row r="2754">
      <c r="A2754" s="4">
        <v>2754.0</v>
      </c>
      <c r="B2754" s="3" t="s">
        <v>47357</v>
      </c>
      <c r="C2754" s="6" t="s">
        <v>85</v>
      </c>
      <c r="D2754" s="6" t="s">
        <v>506</v>
      </c>
      <c r="E2754" s="3" t="str">
        <f t="shared" si="1"/>
        <v>furthermore&lt;br&gt;&lt;div class="audio"&gt;[sound:furthermore.mp3]&lt;/div&gt;</v>
      </c>
      <c r="F2754" s="3" t="str">
        <f t="shared" si="2"/>
        <v>(adv): hơn nữa</v>
      </c>
      <c r="G2754" s="6" t="s">
        <v>47358</v>
      </c>
      <c r="H2754" s="6" t="s">
        <v>47359</v>
      </c>
      <c r="I2754" s="7">
        <f t="shared" si="3"/>
        <v>0.4129753231</v>
      </c>
    </row>
    <row r="2755">
      <c r="A2755" s="4">
        <v>2755.0</v>
      </c>
      <c r="B2755" s="3" t="s">
        <v>47360</v>
      </c>
      <c r="C2755" s="6" t="s">
        <v>74</v>
      </c>
      <c r="D2755" s="6" t="s">
        <v>47361</v>
      </c>
      <c r="E2755" s="3" t="str">
        <f t="shared" si="1"/>
        <v>coin&lt;br&gt;&lt;div class="audio"&gt;[sound:coin.mp3]&lt;/div&gt;</v>
      </c>
      <c r="F2755" s="3" t="str">
        <f t="shared" si="2"/>
        <v>(n): đồng xu</v>
      </c>
      <c r="G2755" s="6" t="s">
        <v>47362</v>
      </c>
      <c r="H2755" s="6" t="s">
        <v>47363</v>
      </c>
      <c r="I2755" s="7">
        <f t="shared" si="3"/>
        <v>0.6302870724</v>
      </c>
    </row>
    <row r="2756">
      <c r="A2756" s="4">
        <v>2756.0</v>
      </c>
      <c r="B2756" s="3" t="s">
        <v>47364</v>
      </c>
      <c r="C2756" s="6" t="s">
        <v>74</v>
      </c>
      <c r="D2756" s="6" t="s">
        <v>47365</v>
      </c>
      <c r="E2756" s="3" t="str">
        <f t="shared" si="1"/>
        <v>hook&lt;br&gt;&lt;div class="audio"&gt;[sound:hook.mp3]&lt;/div&gt;</v>
      </c>
      <c r="F2756" s="3" t="str">
        <f t="shared" si="2"/>
        <v>(n): cái móc</v>
      </c>
      <c r="G2756" s="6" t="s">
        <v>47366</v>
      </c>
      <c r="H2756" s="6" t="s">
        <v>47367</v>
      </c>
      <c r="I2756" s="7">
        <f t="shared" si="3"/>
        <v>0.01164486559</v>
      </c>
    </row>
    <row r="2757">
      <c r="A2757" s="4">
        <v>2757.0</v>
      </c>
      <c r="B2757" s="3" t="s">
        <v>47368</v>
      </c>
      <c r="C2757" s="6" t="s">
        <v>74</v>
      </c>
      <c r="D2757" s="6" t="s">
        <v>47369</v>
      </c>
      <c r="E2757" s="3" t="str">
        <f t="shared" si="1"/>
        <v>opponent&lt;br&gt;&lt;div class="audio"&gt;[sound:opponent.mp3]&lt;/div&gt;</v>
      </c>
      <c r="F2757" s="3" t="str">
        <f t="shared" si="2"/>
        <v>(n): đối thủ</v>
      </c>
      <c r="G2757" s="6" t="s">
        <v>47370</v>
      </c>
      <c r="H2757" s="6" t="s">
        <v>47371</v>
      </c>
      <c r="I2757" s="7">
        <f t="shared" si="3"/>
        <v>0.4690347653</v>
      </c>
    </row>
    <row r="2758">
      <c r="A2758" s="4">
        <v>2758.0</v>
      </c>
      <c r="B2758" s="3" t="s">
        <v>47372</v>
      </c>
      <c r="C2758" s="6" t="s">
        <v>24</v>
      </c>
      <c r="D2758" s="6" t="s">
        <v>17156</v>
      </c>
      <c r="E2758" s="3" t="str">
        <f t="shared" si="1"/>
        <v>nod&lt;br&gt;&lt;div class="audio"&gt;[sound:nod.mp3]&lt;/div&gt;</v>
      </c>
      <c r="F2758" s="3" t="str">
        <f t="shared" si="2"/>
        <v>(v): gật đầu</v>
      </c>
      <c r="G2758" s="6" t="s">
        <v>47373</v>
      </c>
      <c r="H2758" s="6" t="s">
        <v>47374</v>
      </c>
      <c r="I2758" s="7">
        <f t="shared" si="3"/>
        <v>0.5022506642</v>
      </c>
    </row>
    <row r="2759">
      <c r="A2759" s="4">
        <v>2759.0</v>
      </c>
      <c r="B2759" s="3" t="s">
        <v>47375</v>
      </c>
      <c r="C2759" s="6" t="s">
        <v>74</v>
      </c>
      <c r="D2759" s="8" t="s">
        <v>10226</v>
      </c>
      <c r="E2759" s="3" t="str">
        <f t="shared" si="1"/>
        <v>stroke&lt;br&gt;&lt;div class="audio"&gt;[sound:stroke.mp3]&lt;/div&gt;</v>
      </c>
      <c r="F2759" s="3" t="str">
        <f t="shared" si="2"/>
        <v>(n): cú đánh</v>
      </c>
      <c r="G2759" s="8" t="s">
        <v>47376</v>
      </c>
      <c r="H2759" s="8" t="s">
        <v>47377</v>
      </c>
      <c r="I2759" s="7">
        <f t="shared" si="3"/>
        <v>0.7691267027</v>
      </c>
    </row>
    <row r="2760">
      <c r="A2760" s="4">
        <v>2760.0</v>
      </c>
      <c r="B2760" s="3" t="s">
        <v>47378</v>
      </c>
      <c r="C2760" s="6" t="s">
        <v>11</v>
      </c>
      <c r="D2760" s="8" t="s">
        <v>47379</v>
      </c>
      <c r="E2760" s="3" t="str">
        <f t="shared" si="1"/>
        <v>supreme&lt;br&gt;&lt;div class="audio"&gt;[sound:supreme.mp3]&lt;/div&gt;</v>
      </c>
      <c r="F2760" s="3" t="str">
        <f t="shared" si="2"/>
        <v>(adj): tối cao</v>
      </c>
      <c r="G2760" s="8" t="s">
        <v>47380</v>
      </c>
      <c r="H2760" s="8" t="s">
        <v>47381</v>
      </c>
      <c r="I2760" s="7">
        <f t="shared" si="3"/>
        <v>0.05031788616</v>
      </c>
    </row>
    <row r="2761">
      <c r="A2761" s="4">
        <v>2761.0</v>
      </c>
      <c r="B2761" s="3" t="s">
        <v>47382</v>
      </c>
      <c r="C2761" s="6" t="s">
        <v>74</v>
      </c>
      <c r="D2761" s="6" t="s">
        <v>34340</v>
      </c>
      <c r="E2761" s="3" t="str">
        <f t="shared" si="1"/>
        <v>honey&lt;br&gt;&lt;div class="audio"&gt;[sound:honey.mp3]&lt;/div&gt;</v>
      </c>
      <c r="F2761" s="3" t="str">
        <f t="shared" si="2"/>
        <v>(n): mật ong</v>
      </c>
      <c r="G2761" s="6" t="s">
        <v>47383</v>
      </c>
      <c r="H2761" s="6" t="s">
        <v>47384</v>
      </c>
      <c r="I2761" s="7">
        <f t="shared" si="3"/>
        <v>0.8440146969</v>
      </c>
    </row>
    <row r="2762">
      <c r="A2762" s="4">
        <v>2762.0</v>
      </c>
      <c r="B2762" s="3" t="s">
        <v>47385</v>
      </c>
      <c r="C2762" s="6" t="s">
        <v>74</v>
      </c>
      <c r="D2762" s="6" t="s">
        <v>7814</v>
      </c>
      <c r="E2762" s="3" t="str">
        <f t="shared" si="1"/>
        <v>magazine&lt;br&gt;&lt;div class="audio"&gt;[sound:magazine.mp3]&lt;/div&gt;</v>
      </c>
      <c r="F2762" s="3" t="str">
        <f t="shared" si="2"/>
        <v>(n): tạp chí</v>
      </c>
      <c r="G2762" s="6" t="s">
        <v>47386</v>
      </c>
      <c r="H2762" s="6" t="s">
        <v>47387</v>
      </c>
      <c r="I2762" s="7">
        <f t="shared" si="3"/>
        <v>0.2506270918</v>
      </c>
    </row>
    <row r="2763">
      <c r="A2763" s="4">
        <v>2763.0</v>
      </c>
      <c r="B2763" s="3" t="s">
        <v>47388</v>
      </c>
      <c r="C2763" s="6" t="s">
        <v>74</v>
      </c>
      <c r="D2763" s="6" t="s">
        <v>27881</v>
      </c>
      <c r="E2763" s="3" t="str">
        <f t="shared" si="1"/>
        <v>invitation&lt;br&gt;&lt;div class="audio"&gt;[sound:invitation.mp3]&lt;/div&gt;</v>
      </c>
      <c r="F2763" s="3" t="str">
        <f t="shared" si="2"/>
        <v>(n): lời mời</v>
      </c>
      <c r="G2763" s="6" t="s">
        <v>47389</v>
      </c>
      <c r="H2763" s="6" t="s">
        <v>47390</v>
      </c>
      <c r="I2763" s="7">
        <f t="shared" si="3"/>
        <v>0.4647357659</v>
      </c>
    </row>
    <row r="2764">
      <c r="A2764" s="4">
        <v>2764.0</v>
      </c>
      <c r="B2764" s="3" t="s">
        <v>47391</v>
      </c>
      <c r="C2764" s="6" t="s">
        <v>11</v>
      </c>
      <c r="D2764" s="6" t="s">
        <v>2848</v>
      </c>
      <c r="E2764" s="3" t="str">
        <f t="shared" si="1"/>
        <v>evident&lt;br&gt;&lt;div class="audio"&gt;[sound:evident.mp3]&lt;/div&gt;</v>
      </c>
      <c r="F2764" s="3" t="str">
        <f t="shared" si="2"/>
        <v>(adj): rõ ràng</v>
      </c>
      <c r="G2764" s="6" t="s">
        <v>47392</v>
      </c>
      <c r="H2764" s="6" t="s">
        <v>47393</v>
      </c>
      <c r="I2764" s="7">
        <f t="shared" si="3"/>
        <v>0.516878292</v>
      </c>
    </row>
    <row r="2765">
      <c r="A2765" s="4">
        <v>2765.0</v>
      </c>
      <c r="B2765" s="3" t="s">
        <v>47394</v>
      </c>
      <c r="C2765" s="6" t="s">
        <v>11</v>
      </c>
      <c r="D2765" s="6" t="s">
        <v>2848</v>
      </c>
      <c r="E2765" s="3" t="str">
        <f t="shared" si="1"/>
        <v>apparent&lt;br&gt;&lt;div class="audio"&gt;[sound:apparent.mp3]&lt;/div&gt;</v>
      </c>
      <c r="F2765" s="3" t="str">
        <f t="shared" si="2"/>
        <v>(adj): rõ ràng</v>
      </c>
      <c r="G2765" s="6" t="s">
        <v>47395</v>
      </c>
      <c r="H2765" s="6" t="s">
        <v>47396</v>
      </c>
      <c r="I2765" s="7">
        <f t="shared" si="3"/>
        <v>0.2191633775</v>
      </c>
    </row>
    <row r="2766">
      <c r="A2766" s="4">
        <v>2766.0</v>
      </c>
      <c r="B2766" s="3" t="s">
        <v>47397</v>
      </c>
      <c r="C2766" s="6" t="s">
        <v>24</v>
      </c>
      <c r="D2766" s="6" t="s">
        <v>47398</v>
      </c>
      <c r="E2766" s="3" t="str">
        <f t="shared" si="1"/>
        <v>accompany&lt;br&gt;&lt;div class="audio"&gt;[sound:accompany.mp3]&lt;/div&gt;</v>
      </c>
      <c r="F2766" s="3" t="str">
        <f t="shared" si="2"/>
        <v>(v): đi cùng</v>
      </c>
      <c r="G2766" s="6" t="s">
        <v>47399</v>
      </c>
      <c r="H2766" s="6" t="s">
        <v>47400</v>
      </c>
      <c r="I2766" s="7">
        <f t="shared" si="3"/>
        <v>0.4374256932</v>
      </c>
    </row>
    <row r="2767">
      <c r="A2767" s="4">
        <v>2767.0</v>
      </c>
      <c r="B2767" s="3" t="s">
        <v>47401</v>
      </c>
      <c r="C2767" s="6" t="s">
        <v>85</v>
      </c>
      <c r="D2767" s="6" t="s">
        <v>506</v>
      </c>
      <c r="E2767" s="3" t="str">
        <f t="shared" si="1"/>
        <v>moreover&lt;br&gt;&lt;div class="audio"&gt;[sound:moreover.mp3]&lt;/div&gt;</v>
      </c>
      <c r="F2767" s="3" t="str">
        <f t="shared" si="2"/>
        <v>(adv): hơn nữa</v>
      </c>
      <c r="G2767" s="6" t="s">
        <v>47402</v>
      </c>
      <c r="H2767" s="6" t="s">
        <v>47403</v>
      </c>
      <c r="I2767" s="7">
        <f t="shared" si="3"/>
        <v>0.4178594464</v>
      </c>
    </row>
    <row r="2768">
      <c r="A2768" s="4">
        <v>2768.0</v>
      </c>
      <c r="B2768" s="3" t="s">
        <v>47404</v>
      </c>
      <c r="C2768" s="6" t="s">
        <v>74</v>
      </c>
      <c r="D2768" s="6" t="s">
        <v>17554</v>
      </c>
      <c r="E2768" s="3" t="str">
        <f t="shared" si="1"/>
        <v>throat&lt;br&gt;&lt;div class="audio"&gt;[sound:throat.mp3]&lt;/div&gt;</v>
      </c>
      <c r="F2768" s="3" t="str">
        <f t="shared" si="2"/>
        <v>(n): cổ họng</v>
      </c>
      <c r="G2768" s="6" t="s">
        <v>47405</v>
      </c>
      <c r="H2768" s="6" t="s">
        <v>47406</v>
      </c>
      <c r="I2768" s="7">
        <f t="shared" si="3"/>
        <v>0.5408247684</v>
      </c>
    </row>
    <row r="2769">
      <c r="A2769" s="4">
        <v>2769.0</v>
      </c>
      <c r="B2769" s="3" t="s">
        <v>47407</v>
      </c>
      <c r="C2769" s="6" t="s">
        <v>74</v>
      </c>
      <c r="D2769" s="6" t="s">
        <v>15296</v>
      </c>
      <c r="E2769" s="3" t="str">
        <f t="shared" si="1"/>
        <v>guilt&lt;br&gt;&lt;div class="audio"&gt;[sound:guilt.mp3]&lt;/div&gt;</v>
      </c>
      <c r="F2769" s="3" t="str">
        <f t="shared" si="2"/>
        <v>(n): tội lỗi</v>
      </c>
      <c r="G2769" s="6" t="s">
        <v>47408</v>
      </c>
      <c r="H2769" s="6" t="s">
        <v>47409</v>
      </c>
      <c r="I2769" s="7">
        <f t="shared" si="3"/>
        <v>0.6190552731</v>
      </c>
    </row>
    <row r="2770">
      <c r="A2770" s="4">
        <v>2770.0</v>
      </c>
      <c r="B2770" s="3" t="s">
        <v>47410</v>
      </c>
      <c r="C2770" s="6" t="s">
        <v>11</v>
      </c>
      <c r="D2770" s="8" t="s">
        <v>20815</v>
      </c>
      <c r="E2770" s="3" t="str">
        <f t="shared" si="1"/>
        <v>striking&lt;br&gt;&lt;div class="audio"&gt;[sound:striking.mp3]&lt;/div&gt;</v>
      </c>
      <c r="F2770" s="3" t="str">
        <f t="shared" si="2"/>
        <v>(adj): nổi bật</v>
      </c>
      <c r="G2770" s="8" t="s">
        <v>47411</v>
      </c>
      <c r="H2770" s="8" t="s">
        <v>47412</v>
      </c>
      <c r="I2770" s="7">
        <f t="shared" si="3"/>
        <v>0.2586420486</v>
      </c>
    </row>
    <row r="2771">
      <c r="A2771" s="4">
        <v>2771.0</v>
      </c>
      <c r="B2771" s="3" t="s">
        <v>47413</v>
      </c>
      <c r="C2771" s="6" t="s">
        <v>74</v>
      </c>
      <c r="D2771" s="6" t="s">
        <v>47414</v>
      </c>
      <c r="E2771" s="3" t="str">
        <f t="shared" si="1"/>
        <v>bath&lt;br&gt;&lt;div class="audio"&gt;[sound:bath.mp3]&lt;/div&gt;</v>
      </c>
      <c r="F2771" s="3" t="str">
        <f t="shared" si="2"/>
        <v>(n): tắm bồn</v>
      </c>
      <c r="G2771" s="6" t="s">
        <v>47415</v>
      </c>
      <c r="H2771" s="6" t="s">
        <v>47416</v>
      </c>
      <c r="I2771" s="7">
        <f t="shared" si="3"/>
        <v>0.8272116212</v>
      </c>
    </row>
    <row r="2772">
      <c r="A2772" s="4">
        <v>2772.0</v>
      </c>
      <c r="B2772" s="3" t="s">
        <v>47417</v>
      </c>
      <c r="C2772" s="6" t="s">
        <v>24</v>
      </c>
      <c r="D2772" s="6" t="s">
        <v>10131</v>
      </c>
      <c r="E2772" s="3" t="str">
        <f t="shared" si="1"/>
        <v>absorb&lt;br&gt;&lt;div class="audio"&gt;[sound:absorb.mp3]&lt;/div&gt;</v>
      </c>
      <c r="F2772" s="3" t="str">
        <f t="shared" si="2"/>
        <v>(v): hấp thụ</v>
      </c>
      <c r="G2772" s="6" t="s">
        <v>47418</v>
      </c>
      <c r="H2772" s="6" t="s">
        <v>47419</v>
      </c>
      <c r="I2772" s="7">
        <f t="shared" si="3"/>
        <v>0.6955064218</v>
      </c>
    </row>
    <row r="2773">
      <c r="A2773" s="4">
        <v>2773.0</v>
      </c>
      <c r="B2773" s="3" t="s">
        <v>47420</v>
      </c>
      <c r="C2773" s="6" t="s">
        <v>11</v>
      </c>
      <c r="D2773" s="8" t="s">
        <v>47421</v>
      </c>
      <c r="E2773" s="3" t="str">
        <f t="shared" si="1"/>
        <v>shocking&lt;br&gt;&lt;div class="audio"&gt;[sound:shocking.mp3]&lt;/div&gt;</v>
      </c>
      <c r="F2773" s="3" t="str">
        <f t="shared" si="2"/>
        <v>(adj): gây sốc</v>
      </c>
      <c r="G2773" s="8" t="s">
        <v>47422</v>
      </c>
      <c r="H2773" s="8" t="s">
        <v>47423</v>
      </c>
      <c r="I2773" s="7">
        <f t="shared" si="3"/>
        <v>0.458964446</v>
      </c>
    </row>
    <row r="2774">
      <c r="A2774" s="4">
        <v>2774.0</v>
      </c>
      <c r="B2774" s="3" t="s">
        <v>47424</v>
      </c>
      <c r="C2774" s="6" t="s">
        <v>44</v>
      </c>
      <c r="D2774" s="6" t="s">
        <v>38491</v>
      </c>
      <c r="E2774" s="3" t="str">
        <f t="shared" si="1"/>
        <v>mine&lt;br&gt;&lt;div class="audio"&gt;[sound:mine.mp3]&lt;/div&gt;</v>
      </c>
      <c r="F2774" s="3" t="str">
        <f t="shared" si="2"/>
        <v>(pron): của tôi</v>
      </c>
      <c r="G2774" s="6" t="s">
        <v>47425</v>
      </c>
      <c r="H2774" s="6" t="s">
        <v>47426</v>
      </c>
      <c r="I2774" s="7">
        <f t="shared" si="3"/>
        <v>0.7007382432</v>
      </c>
    </row>
    <row r="2775">
      <c r="A2775" s="4">
        <v>2775.0</v>
      </c>
      <c r="B2775" s="3" t="s">
        <v>47427</v>
      </c>
      <c r="C2775" s="6" t="s">
        <v>24</v>
      </c>
      <c r="D2775" s="6" t="s">
        <v>47428</v>
      </c>
      <c r="E2775" s="3" t="str">
        <f t="shared" si="1"/>
        <v>burst&lt;br&gt;&lt;div class="audio"&gt;[sound:burst.mp3]&lt;/div&gt;</v>
      </c>
      <c r="F2775" s="3" t="str">
        <f t="shared" si="2"/>
        <v>(v): nổ tung</v>
      </c>
      <c r="G2775" s="6" t="s">
        <v>47429</v>
      </c>
      <c r="H2775" s="6" t="s">
        <v>47430</v>
      </c>
      <c r="I2775" s="7">
        <f t="shared" si="3"/>
        <v>0.9828735042</v>
      </c>
    </row>
    <row r="2776">
      <c r="A2776" s="4">
        <v>2776.0</v>
      </c>
      <c r="B2776" s="3" t="s">
        <v>47431</v>
      </c>
      <c r="C2776" s="6" t="s">
        <v>11</v>
      </c>
      <c r="D2776" s="8" t="s">
        <v>14035</v>
      </c>
      <c r="E2776" s="3" t="str">
        <f t="shared" si="1"/>
        <v>subtle&lt;br&gt;&lt;div class="audio"&gt;[sound:subtle.mp3]&lt;/div&gt;</v>
      </c>
      <c r="F2776" s="3" t="str">
        <f t="shared" si="2"/>
        <v>(adj): tinh tế</v>
      </c>
      <c r="G2776" s="8" t="s">
        <v>47432</v>
      </c>
      <c r="H2776" s="8" t="s">
        <v>47433</v>
      </c>
      <c r="I2776" s="7">
        <f t="shared" si="3"/>
        <v>0.3432116659</v>
      </c>
    </row>
    <row r="2777">
      <c r="A2777" s="4">
        <v>2777.0</v>
      </c>
      <c r="B2777" s="3" t="s">
        <v>47434</v>
      </c>
      <c r="C2777" s="6" t="s">
        <v>74</v>
      </c>
      <c r="D2777" s="6" t="s">
        <v>33009</v>
      </c>
      <c r="E2777" s="3" t="str">
        <f t="shared" si="1"/>
        <v>chef&lt;br&gt;&lt;div class="audio"&gt;[sound:chef.mp3]&lt;/div&gt;</v>
      </c>
      <c r="F2777" s="3" t="str">
        <f t="shared" si="2"/>
        <v>(n): đầu bếp</v>
      </c>
      <c r="G2777" s="6" t="s">
        <v>47435</v>
      </c>
      <c r="H2777" s="6" t="s">
        <v>47436</v>
      </c>
      <c r="I2777" s="7">
        <f t="shared" si="3"/>
        <v>0.644201202</v>
      </c>
    </row>
    <row r="2778">
      <c r="A2778" s="4">
        <v>2778.0</v>
      </c>
      <c r="B2778" s="3" t="s">
        <v>47437</v>
      </c>
      <c r="C2778" s="6" t="s">
        <v>74</v>
      </c>
      <c r="D2778" s="6" t="s">
        <v>6059</v>
      </c>
      <c r="E2778" s="3" t="str">
        <f t="shared" si="1"/>
        <v>headline&lt;br&gt;&lt;div class="audio"&gt;[sound:headline.mp3]&lt;/div&gt;</v>
      </c>
      <c r="F2778" s="3" t="str">
        <f t="shared" si="2"/>
        <v>(n): tiêu đề</v>
      </c>
      <c r="G2778" s="6" t="s">
        <v>47438</v>
      </c>
      <c r="H2778" s="6" t="s">
        <v>47439</v>
      </c>
      <c r="I2778" s="7">
        <f t="shared" si="3"/>
        <v>0.2106433931</v>
      </c>
    </row>
    <row r="2779">
      <c r="A2779" s="4">
        <v>2779.0</v>
      </c>
      <c r="B2779" s="3" t="s">
        <v>47440</v>
      </c>
      <c r="C2779" s="6" t="s">
        <v>74</v>
      </c>
      <c r="D2779" s="6" t="s">
        <v>47441</v>
      </c>
      <c r="E2779" s="3" t="str">
        <f t="shared" si="1"/>
        <v>journalist&lt;br&gt;&lt;div class="audio"&gt;[sound:journalist.mp3]&lt;/div&gt;</v>
      </c>
      <c r="F2779" s="3" t="str">
        <f t="shared" si="2"/>
        <v>(n): nhà báo</v>
      </c>
      <c r="G2779" s="6" t="s">
        <v>47442</v>
      </c>
      <c r="H2779" s="6" t="s">
        <v>47443</v>
      </c>
      <c r="I2779" s="7">
        <f t="shared" si="3"/>
        <v>0.2550295041</v>
      </c>
    </row>
    <row r="2780">
      <c r="A2780" s="4">
        <v>2780.0</v>
      </c>
      <c r="B2780" s="3" t="s">
        <v>47444</v>
      </c>
      <c r="C2780" s="6" t="s">
        <v>74</v>
      </c>
      <c r="D2780" s="6" t="s">
        <v>5394</v>
      </c>
      <c r="E2780" s="3" t="str">
        <f t="shared" si="1"/>
        <v>scope&lt;br&gt;&lt;div class="audio"&gt;[sound:scope.mp3]&lt;/div&gt;</v>
      </c>
      <c r="F2780" s="3" t="str">
        <f t="shared" si="2"/>
        <v>(n): phạm vi</v>
      </c>
      <c r="G2780" s="6" t="s">
        <v>47445</v>
      </c>
      <c r="H2780" s="6" t="s">
        <v>47446</v>
      </c>
      <c r="I2780" s="7">
        <f t="shared" si="3"/>
        <v>0.5536414075</v>
      </c>
    </row>
    <row r="2781">
      <c r="A2781" s="4">
        <v>2781.0</v>
      </c>
      <c r="B2781" s="3" t="s">
        <v>47447</v>
      </c>
      <c r="C2781" s="6" t="s">
        <v>11</v>
      </c>
      <c r="D2781" s="6" t="s">
        <v>47448</v>
      </c>
      <c r="E2781" s="3" t="str">
        <f t="shared" si="1"/>
        <v>rough&lt;br&gt;&lt;div class="audio"&gt;[sound:rough.mp3]&lt;/div&gt;</v>
      </c>
      <c r="F2781" s="3" t="str">
        <f t="shared" si="2"/>
        <v>(adj): thô ráp</v>
      </c>
      <c r="G2781" s="6" t="s">
        <v>47449</v>
      </c>
      <c r="H2781" s="6" t="s">
        <v>47450</v>
      </c>
      <c r="I2781" s="7">
        <f t="shared" si="3"/>
        <v>0.7385684461</v>
      </c>
    </row>
    <row r="2782">
      <c r="A2782" s="4">
        <v>2782.0</v>
      </c>
      <c r="B2782" s="3" t="s">
        <v>47451</v>
      </c>
      <c r="C2782" s="6" t="s">
        <v>74</v>
      </c>
      <c r="D2782" s="6" t="s">
        <v>22306</v>
      </c>
      <c r="E2782" s="3" t="str">
        <f t="shared" si="1"/>
        <v>pump&lt;br&gt;&lt;div class="audio"&gt;[sound:pump.mp3]&lt;/div&gt;</v>
      </c>
      <c r="F2782" s="3" t="str">
        <f t="shared" si="2"/>
        <v>(n): máy bơm</v>
      </c>
      <c r="G2782" s="6" t="s">
        <v>47452</v>
      </c>
      <c r="H2782" s="6" t="s">
        <v>47453</v>
      </c>
      <c r="I2782" s="7">
        <f t="shared" si="3"/>
        <v>0.5690974101</v>
      </c>
    </row>
    <row r="2783">
      <c r="A2783" s="4">
        <v>2783.0</v>
      </c>
      <c r="B2783" s="3" t="s">
        <v>47454</v>
      </c>
      <c r="C2783" s="6" t="s">
        <v>11</v>
      </c>
      <c r="D2783" s="6" t="s">
        <v>10985</v>
      </c>
      <c r="E2783" s="3" t="str">
        <f t="shared" si="1"/>
        <v>wealthy&lt;br&gt;&lt;div class="audio"&gt;[sound:wealthy.mp3]&lt;/div&gt;</v>
      </c>
      <c r="F2783" s="3" t="str">
        <f t="shared" si="2"/>
        <v>(adj): giàu có</v>
      </c>
      <c r="G2783" s="6" t="s">
        <v>47455</v>
      </c>
      <c r="H2783" s="6" t="s">
        <v>47456</v>
      </c>
      <c r="I2783" s="7">
        <f t="shared" si="3"/>
        <v>0.9928411661</v>
      </c>
    </row>
    <row r="2784">
      <c r="A2784" s="4">
        <v>2784.0</v>
      </c>
      <c r="B2784" s="3" t="s">
        <v>47457</v>
      </c>
      <c r="C2784" s="6" t="s">
        <v>74</v>
      </c>
      <c r="D2784" s="8" t="s">
        <v>24532</v>
      </c>
      <c r="E2784" s="3" t="str">
        <f t="shared" si="1"/>
        <v>suburb&lt;br&gt;&lt;div class="audio"&gt;[sound:suburb.mp3]&lt;/div&gt;</v>
      </c>
      <c r="F2784" s="3" t="str">
        <f t="shared" si="2"/>
        <v>(n): ngoại ô</v>
      </c>
      <c r="G2784" s="8" t="s">
        <v>47458</v>
      </c>
      <c r="H2784" s="8" t="s">
        <v>47459</v>
      </c>
      <c r="I2784" s="7">
        <f t="shared" si="3"/>
        <v>0.5404990203</v>
      </c>
    </row>
    <row r="2785">
      <c r="A2785" s="4">
        <v>2785.0</v>
      </c>
      <c r="B2785" s="3" t="s">
        <v>47460</v>
      </c>
      <c r="C2785" s="6" t="s">
        <v>74</v>
      </c>
      <c r="D2785" s="6" t="s">
        <v>47461</v>
      </c>
      <c r="E2785" s="3" t="str">
        <f t="shared" si="1"/>
        <v>hunger&lt;br&gt;&lt;div class="audio"&gt;[sound:hunger.mp3]&lt;/div&gt;</v>
      </c>
      <c r="F2785" s="3" t="str">
        <f t="shared" si="2"/>
        <v>(n): cơn đói</v>
      </c>
      <c r="G2785" s="6" t="s">
        <v>47462</v>
      </c>
      <c r="H2785" s="6" t="s">
        <v>47463</v>
      </c>
      <c r="I2785" s="7">
        <f t="shared" si="3"/>
        <v>0.9144922422</v>
      </c>
    </row>
    <row r="2786">
      <c r="A2786" s="4">
        <v>2786.0</v>
      </c>
      <c r="B2786" s="3" t="s">
        <v>47464</v>
      </c>
      <c r="C2786" s="6" t="s">
        <v>11</v>
      </c>
      <c r="D2786" s="6" t="s">
        <v>47465</v>
      </c>
      <c r="E2786" s="3" t="str">
        <f t="shared" si="1"/>
        <v>fascinating&lt;br&gt;&lt;div class="audio"&gt;[sound:fascinating.mp3]&lt;/div&gt;</v>
      </c>
      <c r="F2786" s="3" t="str">
        <f t="shared" si="2"/>
        <v>(adj): hấp dẫn</v>
      </c>
      <c r="G2786" s="6" t="s">
        <v>47466</v>
      </c>
      <c r="H2786" s="6" t="s">
        <v>47467</v>
      </c>
      <c r="I2786" s="7">
        <f t="shared" si="3"/>
        <v>0.9262312166</v>
      </c>
    </row>
    <row r="2787">
      <c r="A2787" s="4">
        <v>2787.0</v>
      </c>
      <c r="B2787" s="3" t="s">
        <v>47468</v>
      </c>
      <c r="C2787" s="6" t="s">
        <v>74</v>
      </c>
      <c r="D2787" s="6" t="s">
        <v>1845</v>
      </c>
      <c r="E2787" s="3" t="str">
        <f t="shared" si="1"/>
        <v>zone&lt;br&gt;&lt;div class="audio"&gt;[sound:zone.mp3]&lt;/div&gt;</v>
      </c>
      <c r="F2787" s="3" t="str">
        <f t="shared" si="2"/>
        <v>(n): khu vực</v>
      </c>
      <c r="G2787" s="6" t="s">
        <v>47469</v>
      </c>
      <c r="H2787" s="6" t="s">
        <v>47470</v>
      </c>
      <c r="I2787" s="7">
        <f t="shared" si="3"/>
        <v>0.7828305944</v>
      </c>
    </row>
    <row r="2788">
      <c r="A2788" s="4">
        <v>2788.0</v>
      </c>
      <c r="B2788" s="3" t="s">
        <v>47471</v>
      </c>
      <c r="C2788" s="6" t="s">
        <v>24</v>
      </c>
      <c r="D2788" s="6" t="s">
        <v>10807</v>
      </c>
      <c r="E2788" s="3" t="str">
        <f t="shared" si="1"/>
        <v>restrict&lt;br&gt;&lt;div class="audio"&gt;[sound:restrict.mp3]&lt;/div&gt;</v>
      </c>
      <c r="F2788" s="3" t="str">
        <f t="shared" si="2"/>
        <v>(v): hạn chế</v>
      </c>
      <c r="G2788" s="6" t="s">
        <v>47472</v>
      </c>
      <c r="H2788" s="6" t="s">
        <v>47473</v>
      </c>
      <c r="I2788" s="7">
        <f t="shared" si="3"/>
        <v>0.190813104</v>
      </c>
    </row>
    <row r="2789">
      <c r="A2789" s="4">
        <v>2789.0</v>
      </c>
      <c r="B2789" s="3" t="s">
        <v>47474</v>
      </c>
      <c r="C2789" s="6" t="s">
        <v>11</v>
      </c>
      <c r="D2789" s="6" t="s">
        <v>47475</v>
      </c>
      <c r="E2789" s="3" t="str">
        <f t="shared" si="1"/>
        <v>long-term&lt;br&gt;&lt;div class="audio"&gt;[sound:long-term.mp3]&lt;/div&gt;</v>
      </c>
      <c r="F2789" s="3" t="str">
        <f t="shared" si="2"/>
        <v>(adj): dài hạn</v>
      </c>
      <c r="G2789" s="6" t="s">
        <v>47476</v>
      </c>
      <c r="H2789" s="6" t="s">
        <v>47477</v>
      </c>
      <c r="I2789" s="7">
        <f t="shared" si="3"/>
        <v>0.03507703099</v>
      </c>
    </row>
    <row r="2790">
      <c r="A2790" s="4">
        <v>2790.0</v>
      </c>
      <c r="B2790" s="3" t="s">
        <v>47478</v>
      </c>
      <c r="C2790" s="6" t="s">
        <v>24</v>
      </c>
      <c r="D2790" s="6" t="s">
        <v>17051</v>
      </c>
      <c r="E2790" s="3" t="str">
        <f t="shared" si="1"/>
        <v>incorporate&lt;br&gt;&lt;div class="audio"&gt;[sound:incorporate.mp3]&lt;/div&gt;</v>
      </c>
      <c r="F2790" s="3" t="str">
        <f t="shared" si="2"/>
        <v>(v): kết hợp</v>
      </c>
      <c r="G2790" s="6" t="s">
        <v>47479</v>
      </c>
      <c r="H2790" s="6" t="s">
        <v>47480</v>
      </c>
      <c r="I2790" s="7">
        <f t="shared" si="3"/>
        <v>0.416283518</v>
      </c>
    </row>
    <row r="2791">
      <c r="A2791" s="4">
        <v>2791.0</v>
      </c>
      <c r="B2791" s="3" t="s">
        <v>47481</v>
      </c>
      <c r="C2791" s="6" t="s">
        <v>11</v>
      </c>
      <c r="D2791" s="6" t="s">
        <v>10524</v>
      </c>
      <c r="E2791" s="3" t="str">
        <f t="shared" si="1"/>
        <v>lucky&lt;br&gt;&lt;div class="audio"&gt;[sound:lucky.mp3]&lt;/div&gt;</v>
      </c>
      <c r="F2791" s="3" t="str">
        <f t="shared" si="2"/>
        <v>(adj): may mắn</v>
      </c>
      <c r="G2791" s="6" t="s">
        <v>47482</v>
      </c>
      <c r="H2791" s="6" t="s">
        <v>47483</v>
      </c>
      <c r="I2791" s="7">
        <f t="shared" si="3"/>
        <v>0.1069650185</v>
      </c>
    </row>
    <row r="2792">
      <c r="A2792" s="4">
        <v>2792.0</v>
      </c>
      <c r="B2792" s="3" t="s">
        <v>47484</v>
      </c>
      <c r="C2792" s="6" t="s">
        <v>24</v>
      </c>
      <c r="D2792" s="6" t="s">
        <v>23596</v>
      </c>
      <c r="E2792" s="3" t="str">
        <f t="shared" si="1"/>
        <v>retain&lt;br&gt;&lt;div class="audio"&gt;[sound:retain.mp3]&lt;/div&gt;</v>
      </c>
      <c r="F2792" s="3" t="str">
        <f t="shared" si="2"/>
        <v>(v): giữ lại</v>
      </c>
      <c r="G2792" s="6" t="s">
        <v>47485</v>
      </c>
      <c r="H2792" s="6" t="s">
        <v>47486</v>
      </c>
      <c r="I2792" s="7">
        <f t="shared" si="3"/>
        <v>0.7977405006</v>
      </c>
    </row>
    <row r="2793">
      <c r="A2793" s="4">
        <v>2793.0</v>
      </c>
      <c r="B2793" s="3" t="s">
        <v>47487</v>
      </c>
      <c r="C2793" s="6" t="s">
        <v>24</v>
      </c>
      <c r="D2793" s="6" t="s">
        <v>38504</v>
      </c>
      <c r="E2793" s="3" t="str">
        <f t="shared" si="1"/>
        <v>assist&lt;br&gt;&lt;div class="audio"&gt;[sound:assist.mp3]&lt;/div&gt;</v>
      </c>
      <c r="F2793" s="3" t="str">
        <f t="shared" si="2"/>
        <v>(v): hỗ trợ</v>
      </c>
      <c r="G2793" s="6" t="s">
        <v>47488</v>
      </c>
      <c r="H2793" s="6" t="s">
        <v>47489</v>
      </c>
      <c r="I2793" s="7">
        <f t="shared" si="3"/>
        <v>0.01228108905</v>
      </c>
    </row>
    <row r="2794">
      <c r="A2794" s="4">
        <v>2794.0</v>
      </c>
      <c r="B2794" s="3" t="s">
        <v>47490</v>
      </c>
      <c r="C2794" s="6" t="s">
        <v>24</v>
      </c>
      <c r="D2794" s="6" t="s">
        <v>17575</v>
      </c>
      <c r="E2794" s="3" t="str">
        <f t="shared" si="1"/>
        <v>blame&lt;br&gt;&lt;div class="audio"&gt;[sound:blame.mp3]&lt;/div&gt;</v>
      </c>
      <c r="F2794" s="3" t="str">
        <f t="shared" si="2"/>
        <v>(v): đổ lỗi</v>
      </c>
      <c r="G2794" s="6" t="s">
        <v>47491</v>
      </c>
      <c r="H2794" s="6" t="s">
        <v>47492</v>
      </c>
      <c r="I2794" s="7">
        <f t="shared" si="3"/>
        <v>0.6326130754</v>
      </c>
    </row>
    <row r="2795">
      <c r="A2795" s="4">
        <v>2795.0</v>
      </c>
      <c r="B2795" s="3" t="s">
        <v>47493</v>
      </c>
      <c r="C2795" s="6" t="s">
        <v>24</v>
      </c>
      <c r="D2795" s="6" t="s">
        <v>47494</v>
      </c>
      <c r="E2795" s="3" t="str">
        <f t="shared" si="1"/>
        <v>rush&lt;br&gt;&lt;div class="audio"&gt;[sound:rush.mp3]&lt;/div&gt;</v>
      </c>
      <c r="F2795" s="3" t="str">
        <f t="shared" si="2"/>
        <v>(v): vội vã</v>
      </c>
      <c r="G2795" s="6" t="s">
        <v>47495</v>
      </c>
      <c r="H2795" s="6" t="s">
        <v>47496</v>
      </c>
      <c r="I2795" s="7">
        <f t="shared" si="3"/>
        <v>0.6877043675</v>
      </c>
    </row>
    <row r="2796">
      <c r="A2796" s="4">
        <v>2796.0</v>
      </c>
      <c r="B2796" s="3" t="s">
        <v>47497</v>
      </c>
      <c r="C2796" s="6" t="s">
        <v>24</v>
      </c>
      <c r="D2796" s="8" t="s">
        <v>18488</v>
      </c>
      <c r="E2796" s="3" t="str">
        <f t="shared" si="1"/>
        <v>spill&lt;br&gt;&lt;div class="audio"&gt;[sound:spill.mp3]&lt;/div&gt;</v>
      </c>
      <c r="F2796" s="3" t="str">
        <f t="shared" si="2"/>
        <v>(v): làm đổ</v>
      </c>
      <c r="G2796" s="8" t="s">
        <v>47498</v>
      </c>
      <c r="H2796" s="8" t="s">
        <v>47499</v>
      </c>
      <c r="I2796" s="7">
        <f t="shared" si="3"/>
        <v>0.5499815297</v>
      </c>
    </row>
    <row r="2797">
      <c r="A2797" s="4">
        <v>2797.0</v>
      </c>
      <c r="B2797" s="3" t="s">
        <v>47500</v>
      </c>
      <c r="C2797" s="6" t="s">
        <v>74</v>
      </c>
      <c r="D2797" s="6" t="s">
        <v>4069</v>
      </c>
      <c r="E2797" s="3" t="str">
        <f t="shared" si="1"/>
        <v>bike&lt;br&gt;&lt;div class="audio"&gt;[sound:bike.mp3]&lt;/div&gt;</v>
      </c>
      <c r="F2797" s="3" t="str">
        <f t="shared" si="2"/>
        <v>(n): xe đạp</v>
      </c>
      <c r="G2797" s="6" t="s">
        <v>47501</v>
      </c>
      <c r="H2797" s="6" t="s">
        <v>47502</v>
      </c>
      <c r="I2797" s="7">
        <f t="shared" si="3"/>
        <v>0.5356029967</v>
      </c>
    </row>
    <row r="2798">
      <c r="A2798" s="4">
        <v>2798.0</v>
      </c>
      <c r="B2798" s="3" t="s">
        <v>47503</v>
      </c>
      <c r="C2798" s="6" t="s">
        <v>74</v>
      </c>
      <c r="D2798" s="6" t="s">
        <v>11395</v>
      </c>
      <c r="E2798" s="3" t="str">
        <f t="shared" si="1"/>
        <v>intent&lt;br&gt;&lt;div class="audio"&gt;[sound:intent.mp3]&lt;/div&gt;</v>
      </c>
      <c r="F2798" s="3" t="str">
        <f t="shared" si="2"/>
        <v>(n): ý định</v>
      </c>
      <c r="G2798" s="6" t="s">
        <v>47504</v>
      </c>
      <c r="H2798" s="6" t="s">
        <v>47505</v>
      </c>
      <c r="I2798" s="7">
        <f t="shared" si="3"/>
        <v>0.5146725026</v>
      </c>
    </row>
    <row r="2799">
      <c r="A2799" s="4">
        <v>2799.0</v>
      </c>
      <c r="B2799" s="3" t="s">
        <v>47506</v>
      </c>
      <c r="C2799" s="6" t="s">
        <v>11</v>
      </c>
      <c r="D2799" s="6" t="s">
        <v>47507</v>
      </c>
      <c r="E2799" s="3" t="str">
        <f t="shared" si="1"/>
        <v>missing&lt;br&gt;&lt;div class="audio"&gt;[sound:missing.mp3]&lt;/div&gt;</v>
      </c>
      <c r="F2799" s="3" t="str">
        <f t="shared" si="2"/>
        <v>(adj): bị mất</v>
      </c>
      <c r="G2799" s="6" t="s">
        <v>47508</v>
      </c>
      <c r="H2799" s="6" t="s">
        <v>47509</v>
      </c>
      <c r="I2799" s="7">
        <f t="shared" si="3"/>
        <v>0.7105943081</v>
      </c>
    </row>
    <row r="2800">
      <c r="A2800" s="4">
        <v>2800.0</v>
      </c>
      <c r="B2800" s="3" t="s">
        <v>47510</v>
      </c>
      <c r="C2800" s="6" t="s">
        <v>85</v>
      </c>
      <c r="D2800" s="6" t="s">
        <v>47511</v>
      </c>
      <c r="E2800" s="3" t="str">
        <f t="shared" si="1"/>
        <v>regardless&lt;br&gt;&lt;div class="audio"&gt;[sound:regardless.mp3]&lt;/div&gt;</v>
      </c>
      <c r="F2800" s="3" t="str">
        <f t="shared" si="2"/>
        <v>(adv): bất kể</v>
      </c>
      <c r="G2800" s="6" t="s">
        <v>47512</v>
      </c>
      <c r="H2800" s="6" t="s">
        <v>47513</v>
      </c>
      <c r="I2800" s="7">
        <f t="shared" si="3"/>
        <v>0.6795707507</v>
      </c>
    </row>
    <row r="2801">
      <c r="A2801" s="4">
        <v>2801.0</v>
      </c>
      <c r="B2801" s="3" t="s">
        <v>47514</v>
      </c>
      <c r="C2801" s="6" t="s">
        <v>85</v>
      </c>
      <c r="D2801" s="6" t="s">
        <v>47515</v>
      </c>
      <c r="E2801" s="3" t="str">
        <f t="shared" si="1"/>
        <v>approximately&lt;br&gt;&lt;div class="audio"&gt;[sound:approximately.mp3]&lt;/div&gt;</v>
      </c>
      <c r="F2801" s="3" t="str">
        <f t="shared" si="2"/>
        <v>(adv): xấp xỉ</v>
      </c>
      <c r="G2801" s="6" t="s">
        <v>47516</v>
      </c>
      <c r="H2801" s="6" t="s">
        <v>47517</v>
      </c>
      <c r="I2801" s="7">
        <f t="shared" si="3"/>
        <v>0.372115386</v>
      </c>
    </row>
    <row r="2802">
      <c r="A2802" s="4">
        <v>2802.0</v>
      </c>
      <c r="B2802" s="3" t="s">
        <v>47518</v>
      </c>
      <c r="C2802" s="6" t="s">
        <v>74</v>
      </c>
      <c r="D2802" s="6" t="s">
        <v>21443</v>
      </c>
      <c r="E2802" s="3" t="str">
        <f t="shared" si="1"/>
        <v>exit&lt;br&gt;&lt;div class="audio"&gt;[sound:exit.mp3]&lt;/div&gt;</v>
      </c>
      <c r="F2802" s="3" t="str">
        <f t="shared" si="2"/>
        <v>(n): lối ra</v>
      </c>
      <c r="G2802" s="6" t="s">
        <v>47519</v>
      </c>
      <c r="H2802" s="6" t="s">
        <v>47520</v>
      </c>
      <c r="I2802" s="7">
        <f t="shared" si="3"/>
        <v>0.8753676091</v>
      </c>
    </row>
    <row r="2803">
      <c r="A2803" s="4">
        <v>2803.0</v>
      </c>
      <c r="B2803" s="3" t="s">
        <v>47521</v>
      </c>
      <c r="C2803" s="6" t="s">
        <v>24</v>
      </c>
      <c r="D2803" s="6" t="s">
        <v>22694</v>
      </c>
      <c r="E2803" s="3" t="str">
        <f t="shared" si="1"/>
        <v>clarify&lt;br&gt;&lt;div class="audio"&gt;[sound:clarify.mp3]&lt;/div&gt;</v>
      </c>
      <c r="F2803" s="3" t="str">
        <f t="shared" si="2"/>
        <v>(v): làm rõ</v>
      </c>
      <c r="G2803" s="6" t="s">
        <v>47522</v>
      </c>
      <c r="H2803" s="6" t="s">
        <v>47523</v>
      </c>
      <c r="I2803" s="7">
        <f t="shared" si="3"/>
        <v>0.6745571099</v>
      </c>
    </row>
    <row r="2804">
      <c r="A2804" s="4">
        <v>2804.0</v>
      </c>
      <c r="B2804" s="3" t="s">
        <v>47524</v>
      </c>
      <c r="C2804" s="6" t="s">
        <v>74</v>
      </c>
      <c r="D2804" s="8" t="s">
        <v>47525</v>
      </c>
      <c r="E2804" s="3" t="str">
        <f t="shared" si="1"/>
        <v>submission&lt;br&gt;&lt;div class="audio"&gt;[sound:submission.mp3]&lt;/div&gt;</v>
      </c>
      <c r="F2804" s="3" t="str">
        <f t="shared" si="2"/>
        <v>(n): bài nộp</v>
      </c>
      <c r="G2804" s="8" t="s">
        <v>47526</v>
      </c>
      <c r="H2804" s="8" t="s">
        <v>47527</v>
      </c>
      <c r="I2804" s="7">
        <f t="shared" si="3"/>
        <v>0.4246902841</v>
      </c>
    </row>
    <row r="2805">
      <c r="A2805" s="4">
        <v>2805.0</v>
      </c>
      <c r="B2805" s="3" t="s">
        <v>47528</v>
      </c>
      <c r="C2805" s="6" t="s">
        <v>63</v>
      </c>
      <c r="D2805" s="6" t="s">
        <v>47529</v>
      </c>
      <c r="E2805" s="3" t="str">
        <f t="shared" si="1"/>
        <v>alongside&lt;br&gt;&lt;div class="audio"&gt;[sound:alongside.mp3]&lt;/div&gt;</v>
      </c>
      <c r="F2805" s="3" t="str">
        <f t="shared" si="2"/>
        <v>(prep): kế bên</v>
      </c>
      <c r="G2805" s="6" t="s">
        <v>47530</v>
      </c>
      <c r="H2805" s="6" t="s">
        <v>47531</v>
      </c>
      <c r="I2805" s="7">
        <f t="shared" si="3"/>
        <v>0.7013773181</v>
      </c>
    </row>
    <row r="2806">
      <c r="A2806" s="4">
        <v>2806.0</v>
      </c>
      <c r="B2806" s="3" t="s">
        <v>47532</v>
      </c>
      <c r="C2806" s="6" t="s">
        <v>74</v>
      </c>
      <c r="D2806" s="6" t="s">
        <v>47533</v>
      </c>
      <c r="E2806" s="3" t="str">
        <f t="shared" si="1"/>
        <v>empire&lt;br&gt;&lt;div class="audio"&gt;[sound:empire.mp3]&lt;/div&gt;</v>
      </c>
      <c r="F2806" s="3" t="str">
        <f t="shared" si="2"/>
        <v>(n): đế chế</v>
      </c>
      <c r="G2806" s="6" t="s">
        <v>47534</v>
      </c>
      <c r="H2806" s="6" t="s">
        <v>47535</v>
      </c>
      <c r="I2806" s="7">
        <f t="shared" si="3"/>
        <v>0.8802343368</v>
      </c>
    </row>
    <row r="2807">
      <c r="A2807" s="4">
        <v>2807.0</v>
      </c>
      <c r="B2807" s="3" t="s">
        <v>47536</v>
      </c>
      <c r="C2807" s="6" t="s">
        <v>74</v>
      </c>
      <c r="D2807" s="6" t="s">
        <v>5208</v>
      </c>
      <c r="E2807" s="3" t="str">
        <f t="shared" si="1"/>
        <v>festival&lt;br&gt;&lt;div class="audio"&gt;[sound:festival.mp3]&lt;/div&gt;</v>
      </c>
      <c r="F2807" s="3" t="str">
        <f t="shared" si="2"/>
        <v>(n): lễ hội</v>
      </c>
      <c r="G2807" s="6" t="s">
        <v>47537</v>
      </c>
      <c r="H2807" s="6" t="s">
        <v>47538</v>
      </c>
      <c r="I2807" s="7">
        <f t="shared" si="3"/>
        <v>0.8358534854</v>
      </c>
    </row>
    <row r="2808">
      <c r="A2808" s="4">
        <v>2808.0</v>
      </c>
      <c r="B2808" s="3" t="s">
        <v>47539</v>
      </c>
      <c r="C2808" s="6" t="s">
        <v>74</v>
      </c>
      <c r="D2808" s="6" t="s">
        <v>47540</v>
      </c>
      <c r="E2808" s="3" t="str">
        <f t="shared" si="1"/>
        <v>graph&lt;br&gt;&lt;div class="audio"&gt;[sound:graph.mp3]&lt;/div&gt;</v>
      </c>
      <c r="F2808" s="3" t="str">
        <f t="shared" si="2"/>
        <v>(n): đồ thị</v>
      </c>
      <c r="G2808" s="6" t="s">
        <v>47541</v>
      </c>
      <c r="H2808" s="6" t="s">
        <v>47542</v>
      </c>
      <c r="I2808" s="7">
        <f t="shared" si="3"/>
        <v>0.1252850628</v>
      </c>
    </row>
    <row r="2809">
      <c r="A2809" s="4">
        <v>2809.0</v>
      </c>
      <c r="B2809" s="3" t="s">
        <v>47543</v>
      </c>
      <c r="C2809" s="6" t="s">
        <v>74</v>
      </c>
      <c r="D2809" s="6" t="s">
        <v>24664</v>
      </c>
      <c r="E2809" s="3" t="str">
        <f t="shared" si="1"/>
        <v>passage&lt;br&gt;&lt;div class="audio"&gt;[sound:passage.mp3]&lt;/div&gt;</v>
      </c>
      <c r="F2809" s="3" t="str">
        <f t="shared" si="2"/>
        <v>(n): lối đi</v>
      </c>
      <c r="G2809" s="6" t="s">
        <v>47544</v>
      </c>
      <c r="H2809" s="6" t="s">
        <v>47545</v>
      </c>
      <c r="I2809" s="7">
        <f t="shared" si="3"/>
        <v>0.3677023871</v>
      </c>
    </row>
    <row r="2810">
      <c r="A2810" s="4">
        <v>2810.0</v>
      </c>
      <c r="B2810" s="3" t="s">
        <v>47546</v>
      </c>
      <c r="C2810" s="6" t="s">
        <v>74</v>
      </c>
      <c r="D2810" s="6" t="s">
        <v>13564</v>
      </c>
      <c r="E2810" s="3" t="str">
        <f t="shared" si="1"/>
        <v>retail&lt;br&gt;&lt;div class="audio"&gt;[sound:retail.mp3]&lt;/div&gt;</v>
      </c>
      <c r="F2810" s="3" t="str">
        <f t="shared" si="2"/>
        <v>(n): bán lẻ</v>
      </c>
      <c r="G2810" s="6" t="s">
        <v>47547</v>
      </c>
      <c r="H2810" s="6" t="s">
        <v>47548</v>
      </c>
      <c r="I2810" s="7">
        <f t="shared" si="3"/>
        <v>0.2791228831</v>
      </c>
    </row>
    <row r="2811">
      <c r="A2811" s="4">
        <v>2811.0</v>
      </c>
      <c r="B2811" s="3" t="s">
        <v>47549</v>
      </c>
      <c r="C2811" s="6" t="s">
        <v>24</v>
      </c>
      <c r="D2811" s="8" t="s">
        <v>27046</v>
      </c>
      <c r="E2811" s="3" t="str">
        <f t="shared" si="1"/>
        <v>shrink&lt;br&gt;&lt;div class="audio"&gt;[sound:shrink.mp3]&lt;/div&gt;</v>
      </c>
      <c r="F2811" s="3" t="str">
        <f t="shared" si="2"/>
        <v>(v): co lại</v>
      </c>
      <c r="G2811" s="8" t="s">
        <v>47550</v>
      </c>
      <c r="H2811" s="8" t="s">
        <v>47551</v>
      </c>
      <c r="I2811" s="7">
        <f t="shared" si="3"/>
        <v>0.08375832736</v>
      </c>
    </row>
    <row r="2812">
      <c r="A2812" s="4">
        <v>2812.0</v>
      </c>
      <c r="B2812" s="3" t="s">
        <v>47552</v>
      </c>
      <c r="C2812" s="6" t="s">
        <v>11</v>
      </c>
      <c r="D2812" s="6" t="s">
        <v>3532</v>
      </c>
      <c r="E2812" s="3" t="str">
        <f t="shared" si="1"/>
        <v>awful&lt;br&gt;&lt;div class="audio"&gt;[sound:awful.mp3]&lt;/div&gt;</v>
      </c>
      <c r="F2812" s="3" t="str">
        <f t="shared" si="2"/>
        <v>(adj): tồi tệ</v>
      </c>
      <c r="G2812" s="6" t="s">
        <v>47553</v>
      </c>
      <c r="H2812" s="6" t="s">
        <v>47554</v>
      </c>
      <c r="I2812" s="7">
        <f t="shared" si="3"/>
        <v>0.8366425047</v>
      </c>
    </row>
    <row r="2813">
      <c r="A2813" s="4">
        <v>2813.0</v>
      </c>
      <c r="B2813" s="3" t="s">
        <v>47555</v>
      </c>
      <c r="C2813" s="6" t="s">
        <v>11</v>
      </c>
      <c r="D2813" s="6" t="s">
        <v>3532</v>
      </c>
      <c r="E2813" s="3" t="str">
        <f t="shared" si="1"/>
        <v>horrible&lt;br&gt;&lt;div class="audio"&gt;[sound:horrible.mp3]&lt;/div&gt;</v>
      </c>
      <c r="F2813" s="3" t="str">
        <f t="shared" si="2"/>
        <v>(adj): tồi tệ</v>
      </c>
      <c r="G2813" s="6" t="s">
        <v>47556</v>
      </c>
      <c r="H2813" s="6" t="s">
        <v>42524</v>
      </c>
      <c r="I2813" s="7">
        <f t="shared" si="3"/>
        <v>0.5074542151</v>
      </c>
    </row>
    <row r="2814">
      <c r="A2814" s="4">
        <v>2814.0</v>
      </c>
      <c r="B2814" s="3" t="s">
        <v>47557</v>
      </c>
      <c r="C2814" s="6" t="s">
        <v>58</v>
      </c>
      <c r="D2814" s="6" t="s">
        <v>17570</v>
      </c>
      <c r="E2814" s="3" t="str">
        <f t="shared" si="1"/>
        <v>fourth&lt;br&gt;&lt;div class="audio"&gt;[sound:fourth.mp3]&lt;/div&gt;</v>
      </c>
      <c r="F2814" s="3" t="str">
        <f t="shared" si="2"/>
        <v>(num): thứ tư</v>
      </c>
      <c r="G2814" s="6" t="s">
        <v>47558</v>
      </c>
      <c r="H2814" s="6" t="s">
        <v>47559</v>
      </c>
      <c r="I2814" s="7">
        <f t="shared" si="3"/>
        <v>0.08658653478</v>
      </c>
    </row>
    <row r="2815">
      <c r="A2815" s="4">
        <v>2815.0</v>
      </c>
      <c r="B2815" s="3" t="s">
        <v>47560</v>
      </c>
      <c r="C2815" s="6" t="s">
        <v>74</v>
      </c>
      <c r="D2815" s="6" t="s">
        <v>29387</v>
      </c>
      <c r="E2815" s="3" t="str">
        <f t="shared" si="1"/>
        <v>phrase&lt;br&gt;&lt;div class="audio"&gt;[sound:phrase.mp3]&lt;/div&gt;</v>
      </c>
      <c r="F2815" s="3" t="str">
        <f t="shared" si="2"/>
        <v>(n): cụm từ</v>
      </c>
      <c r="G2815" s="6" t="s">
        <v>47561</v>
      </c>
      <c r="H2815" s="6" t="s">
        <v>47562</v>
      </c>
      <c r="I2815" s="7">
        <f t="shared" si="3"/>
        <v>0.6143142153</v>
      </c>
    </row>
    <row r="2816">
      <c r="A2816" s="4">
        <v>2816.0</v>
      </c>
      <c r="B2816" s="3" t="s">
        <v>47563</v>
      </c>
      <c r="C2816" s="6" t="s">
        <v>74</v>
      </c>
      <c r="D2816" s="6" t="s">
        <v>47564</v>
      </c>
      <c r="E2816" s="3" t="str">
        <f t="shared" si="1"/>
        <v>heritage&lt;br&gt;&lt;div class="audio"&gt;[sound:heritage.mp3]&lt;/div&gt;</v>
      </c>
      <c r="F2816" s="3" t="str">
        <f t="shared" si="2"/>
        <v>(n): di sản</v>
      </c>
      <c r="G2816" s="6" t="s">
        <v>47565</v>
      </c>
      <c r="H2816" s="6" t="s">
        <v>47566</v>
      </c>
      <c r="I2816" s="7">
        <f t="shared" si="3"/>
        <v>0.8197317582</v>
      </c>
    </row>
    <row r="2817">
      <c r="A2817" s="4">
        <v>2817.0</v>
      </c>
      <c r="B2817" s="3" t="s">
        <v>47567</v>
      </c>
      <c r="C2817" s="6" t="s">
        <v>85</v>
      </c>
      <c r="D2817" s="6" t="s">
        <v>956</v>
      </c>
      <c r="E2817" s="3" t="str">
        <f t="shared" si="1"/>
        <v>afterwards&lt;br&gt;&lt;div class="audio"&gt;[sound:afterwards.mp3]&lt;/div&gt;</v>
      </c>
      <c r="F2817" s="3" t="str">
        <f t="shared" si="2"/>
        <v>(adv): sau đó</v>
      </c>
      <c r="G2817" s="6" t="s">
        <v>47568</v>
      </c>
      <c r="H2817" s="6" t="s">
        <v>47569</v>
      </c>
      <c r="I2817" s="7">
        <f t="shared" si="3"/>
        <v>0.7404872914</v>
      </c>
    </row>
    <row r="2818">
      <c r="A2818" s="4">
        <v>2818.0</v>
      </c>
      <c r="B2818" s="3" t="s">
        <v>47570</v>
      </c>
      <c r="C2818" s="6" t="s">
        <v>74</v>
      </c>
      <c r="D2818" s="6" t="s">
        <v>30934</v>
      </c>
      <c r="E2818" s="3" t="str">
        <f t="shared" si="1"/>
        <v>collar&lt;br&gt;&lt;div class="audio"&gt;[sound:collar.mp3]&lt;/div&gt;</v>
      </c>
      <c r="F2818" s="3" t="str">
        <f t="shared" si="2"/>
        <v>(n): cổ áo</v>
      </c>
      <c r="G2818" s="6" t="s">
        <v>47571</v>
      </c>
      <c r="H2818" s="6" t="s">
        <v>47572</v>
      </c>
      <c r="I2818" s="7">
        <f t="shared" si="3"/>
        <v>0.7089305102</v>
      </c>
    </row>
    <row r="2819">
      <c r="A2819" s="4">
        <v>2819.0</v>
      </c>
      <c r="B2819" s="3" t="s">
        <v>47573</v>
      </c>
      <c r="C2819" s="6" t="s">
        <v>11</v>
      </c>
      <c r="D2819" s="6" t="s">
        <v>852</v>
      </c>
      <c r="E2819" s="3" t="str">
        <f t="shared" si="1"/>
        <v>weird&lt;br&gt;&lt;div class="audio"&gt;[sound:weird.mp3]&lt;/div&gt;</v>
      </c>
      <c r="F2819" s="3" t="str">
        <f t="shared" si="2"/>
        <v>(adj): kỳ lạ</v>
      </c>
      <c r="G2819" s="6" t="s">
        <v>47574</v>
      </c>
      <c r="H2819" s="6" t="s">
        <v>47575</v>
      </c>
      <c r="I2819" s="7">
        <f t="shared" si="3"/>
        <v>0.953096159</v>
      </c>
    </row>
    <row r="2820">
      <c r="A2820" s="4">
        <v>2820.0</v>
      </c>
      <c r="B2820" s="3" t="s">
        <v>47576</v>
      </c>
      <c r="C2820" s="6" t="s">
        <v>74</v>
      </c>
      <c r="D2820" s="6" t="s">
        <v>41306</v>
      </c>
      <c r="E2820" s="3" t="str">
        <f t="shared" si="1"/>
        <v>buck&lt;br&gt;&lt;div class="audio"&gt;[sound:buck.mp3]&lt;/div&gt;</v>
      </c>
      <c r="F2820" s="3" t="str">
        <f t="shared" si="2"/>
        <v>(n): đô la</v>
      </c>
      <c r="G2820" s="6" t="s">
        <v>47577</v>
      </c>
      <c r="H2820" s="6" t="s">
        <v>47578</v>
      </c>
      <c r="I2820" s="7">
        <f t="shared" si="3"/>
        <v>0.1469803256</v>
      </c>
    </row>
    <row r="2821">
      <c r="A2821" s="4">
        <v>2821.0</v>
      </c>
      <c r="B2821" s="3" t="s">
        <v>47579</v>
      </c>
      <c r="C2821" s="6" t="s">
        <v>74</v>
      </c>
      <c r="D2821" s="6" t="s">
        <v>7051</v>
      </c>
      <c r="E2821" s="3" t="str">
        <f t="shared" si="1"/>
        <v>hint&lt;br&gt;&lt;div class="audio"&gt;[sound:hint.mp3]&lt;/div&gt;</v>
      </c>
      <c r="F2821" s="3" t="str">
        <f t="shared" si="2"/>
        <v>(n): gợi ý</v>
      </c>
      <c r="G2821" s="6" t="s">
        <v>47580</v>
      </c>
      <c r="H2821" s="6" t="s">
        <v>47581</v>
      </c>
      <c r="I2821" s="7">
        <f t="shared" si="3"/>
        <v>0.002545526676</v>
      </c>
    </row>
    <row r="2822">
      <c r="A2822" s="4">
        <v>2822.0</v>
      </c>
      <c r="B2822" s="3" t="s">
        <v>47582</v>
      </c>
      <c r="C2822" s="6" t="s">
        <v>74</v>
      </c>
      <c r="D2822" s="6" t="s">
        <v>13025</v>
      </c>
      <c r="E2822" s="3" t="str">
        <f t="shared" si="1"/>
        <v>ratio&lt;br&gt;&lt;div class="audio"&gt;[sound:ratio.mp3]&lt;/div&gt;</v>
      </c>
      <c r="F2822" s="3" t="str">
        <f t="shared" si="2"/>
        <v>(n): tỷ lệ</v>
      </c>
      <c r="G2822" s="6" t="s">
        <v>47583</v>
      </c>
      <c r="H2822" s="6" t="s">
        <v>47584</v>
      </c>
      <c r="I2822" s="7">
        <f t="shared" si="3"/>
        <v>0.2238840947</v>
      </c>
    </row>
    <row r="2823">
      <c r="A2823" s="4">
        <v>2823.0</v>
      </c>
      <c r="B2823" s="3" t="s">
        <v>47585</v>
      </c>
      <c r="C2823" s="6" t="s">
        <v>11</v>
      </c>
      <c r="D2823" s="6" t="s">
        <v>533</v>
      </c>
      <c r="E2823" s="3" t="str">
        <f t="shared" si="1"/>
        <v>numerous&lt;br&gt;&lt;div class="audio"&gt;[sound:numerous.mp3]&lt;/div&gt;</v>
      </c>
      <c r="F2823" s="3" t="str">
        <f t="shared" si="2"/>
        <v>(adj): nhiều</v>
      </c>
      <c r="G2823" s="6" t="s">
        <v>47586</v>
      </c>
      <c r="H2823" s="6" t="s">
        <v>47587</v>
      </c>
      <c r="I2823" s="7">
        <f t="shared" si="3"/>
        <v>0.7187420586</v>
      </c>
    </row>
    <row r="2824">
      <c r="A2824" s="4">
        <v>2824.0</v>
      </c>
      <c r="B2824" s="3" t="s">
        <v>47588</v>
      </c>
      <c r="C2824" s="6" t="s">
        <v>74</v>
      </c>
      <c r="D2824" s="6" t="s">
        <v>47589</v>
      </c>
      <c r="E2824" s="3" t="str">
        <f t="shared" si="1"/>
        <v>highway&lt;br&gt;&lt;div class="audio"&gt;[sound:highway.mp3]&lt;/div&gt;</v>
      </c>
      <c r="F2824" s="3" t="str">
        <f t="shared" si="2"/>
        <v>(n): xa lộ</v>
      </c>
      <c r="G2824" s="6" t="s">
        <v>47590</v>
      </c>
      <c r="H2824" s="6" t="s">
        <v>47591</v>
      </c>
      <c r="I2824" s="7">
        <f t="shared" si="3"/>
        <v>0.448299072</v>
      </c>
    </row>
    <row r="2825">
      <c r="A2825" s="4">
        <v>2825.0</v>
      </c>
      <c r="B2825" s="3" t="s">
        <v>47592</v>
      </c>
      <c r="C2825" s="6" t="s">
        <v>24</v>
      </c>
      <c r="D2825" s="6" t="s">
        <v>8340</v>
      </c>
      <c r="E2825" s="3" t="str">
        <f t="shared" si="1"/>
        <v>cheer&lt;br&gt;&lt;div class="audio"&gt;[sound:cheer.mp3]&lt;/div&gt;</v>
      </c>
      <c r="F2825" s="3" t="str">
        <f t="shared" si="2"/>
        <v>(v): cổ vũ</v>
      </c>
      <c r="G2825" s="6" t="s">
        <v>47593</v>
      </c>
      <c r="H2825" s="6" t="s">
        <v>47594</v>
      </c>
      <c r="I2825" s="7">
        <f t="shared" si="3"/>
        <v>0.1393766617</v>
      </c>
    </row>
    <row r="2826">
      <c r="A2826" s="4">
        <v>2826.0</v>
      </c>
      <c r="B2826" s="3" t="s">
        <v>47595</v>
      </c>
      <c r="C2826" s="6" t="s">
        <v>85</v>
      </c>
      <c r="D2826" s="6" t="s">
        <v>533</v>
      </c>
      <c r="E2826" s="3" t="str">
        <f t="shared" si="1"/>
        <v>plenty&lt;br&gt;&lt;div class="audio"&gt;[sound:plenty.mp3]&lt;/div&gt;</v>
      </c>
      <c r="F2826" s="3" t="str">
        <f t="shared" si="2"/>
        <v>(adv): nhiều</v>
      </c>
      <c r="G2826" s="6" t="s">
        <v>47596</v>
      </c>
      <c r="H2826" s="6" t="s">
        <v>47597</v>
      </c>
      <c r="I2826" s="7">
        <f t="shared" si="3"/>
        <v>0.6331167493</v>
      </c>
    </row>
    <row r="2827">
      <c r="A2827" s="4">
        <v>2827.0</v>
      </c>
      <c r="B2827" s="3" t="s">
        <v>47598</v>
      </c>
      <c r="C2827" s="6" t="s">
        <v>74</v>
      </c>
      <c r="D2827" s="6" t="s">
        <v>47599</v>
      </c>
      <c r="E2827" s="3" t="str">
        <f t="shared" si="1"/>
        <v>accommodation&lt;br&gt;&lt;div class="audio"&gt;[sound:accommodation.mp3]&lt;/div&gt;</v>
      </c>
      <c r="F2827" s="3" t="str">
        <f t="shared" si="2"/>
        <v>(n): chỗ ở</v>
      </c>
      <c r="G2827" s="6" t="s">
        <v>47600</v>
      </c>
      <c r="H2827" s="6" t="s">
        <v>47601</v>
      </c>
      <c r="I2827" s="7">
        <f t="shared" si="3"/>
        <v>0.01607316447</v>
      </c>
    </row>
    <row r="2828">
      <c r="A2828" s="4">
        <v>2828.0</v>
      </c>
      <c r="B2828" s="3" t="s">
        <v>47602</v>
      </c>
      <c r="C2828" s="6" t="s">
        <v>74</v>
      </c>
      <c r="D2828" s="6" t="s">
        <v>1933</v>
      </c>
      <c r="E2828" s="3" t="str">
        <f t="shared" si="1"/>
        <v>alcohol&lt;br&gt;&lt;div class="audio"&gt;[sound:alcohol.mp3]&lt;/div&gt;</v>
      </c>
      <c r="F2828" s="3" t="str">
        <f t="shared" si="2"/>
        <v>(n): rượu</v>
      </c>
      <c r="G2828" s="6" t="s">
        <v>47603</v>
      </c>
      <c r="H2828" s="6" t="s">
        <v>47604</v>
      </c>
      <c r="I2828" s="7">
        <f t="shared" si="3"/>
        <v>0.514549173</v>
      </c>
    </row>
    <row r="2829">
      <c r="A2829" s="4">
        <v>2829.0</v>
      </c>
      <c r="B2829" s="3" t="s">
        <v>47605</v>
      </c>
      <c r="C2829" s="6" t="s">
        <v>74</v>
      </c>
      <c r="D2829" s="6" t="s">
        <v>47605</v>
      </c>
      <c r="E2829" s="3" t="str">
        <f t="shared" si="1"/>
        <v>blog&lt;br&gt;&lt;div class="audio"&gt;[sound:blog.mp3]&lt;/div&gt;</v>
      </c>
      <c r="F2829" s="3" t="str">
        <f t="shared" si="2"/>
        <v>(n): blog</v>
      </c>
      <c r="G2829" s="6" t="s">
        <v>47606</v>
      </c>
      <c r="H2829" s="6" t="s">
        <v>47607</v>
      </c>
      <c r="I2829" s="7">
        <f t="shared" si="3"/>
        <v>0.583516013</v>
      </c>
    </row>
    <row r="2830">
      <c r="A2830" s="4">
        <v>2830.0</v>
      </c>
      <c r="B2830" s="3" t="s">
        <v>47608</v>
      </c>
      <c r="C2830" s="6" t="s">
        <v>74</v>
      </c>
      <c r="D2830" s="6" t="s">
        <v>14047</v>
      </c>
      <c r="E2830" s="3" t="str">
        <f t="shared" si="1"/>
        <v>salt&lt;br&gt;&lt;div class="audio"&gt;[sound:salt.mp3]&lt;/div&gt;</v>
      </c>
      <c r="F2830" s="3" t="str">
        <f t="shared" si="2"/>
        <v>(n): muối</v>
      </c>
      <c r="G2830" s="6" t="s">
        <v>47609</v>
      </c>
      <c r="H2830" s="6" t="s">
        <v>47610</v>
      </c>
      <c r="I2830" s="7">
        <f t="shared" si="3"/>
        <v>0.4283271783</v>
      </c>
    </row>
    <row r="2831">
      <c r="A2831" s="4">
        <v>2831.0</v>
      </c>
      <c r="B2831" s="3" t="s">
        <v>47611</v>
      </c>
      <c r="C2831" s="6" t="s">
        <v>74</v>
      </c>
      <c r="D2831" s="6" t="s">
        <v>47612</v>
      </c>
      <c r="E2831" s="3" t="str">
        <f t="shared" si="1"/>
        <v>label&lt;br&gt;&lt;div class="audio"&gt;[sound:label.mp3]&lt;/div&gt;</v>
      </c>
      <c r="F2831" s="3" t="str">
        <f t="shared" si="2"/>
        <v>(n): nhãn</v>
      </c>
      <c r="G2831" s="6" t="s">
        <v>47613</v>
      </c>
      <c r="H2831" s="6" t="s">
        <v>47614</v>
      </c>
      <c r="I2831" s="7">
        <f t="shared" si="3"/>
        <v>0.5009491933</v>
      </c>
    </row>
    <row r="2832">
      <c r="A2832" s="4">
        <v>2832.0</v>
      </c>
      <c r="B2832" s="3" t="s">
        <v>47615</v>
      </c>
      <c r="C2832" s="6" t="s">
        <v>24</v>
      </c>
      <c r="D2832" s="8" t="s">
        <v>16283</v>
      </c>
      <c r="E2832" s="3" t="str">
        <f t="shared" si="1"/>
        <v>swallow&lt;br&gt;&lt;div class="audio"&gt;[sound:swallow.mp3]&lt;/div&gt;</v>
      </c>
      <c r="F2832" s="3" t="str">
        <f t="shared" si="2"/>
        <v>(v): nuốt</v>
      </c>
      <c r="G2832" s="8" t="s">
        <v>47616</v>
      </c>
      <c r="H2832" s="8" t="s">
        <v>47617</v>
      </c>
      <c r="I2832" s="7">
        <f t="shared" si="3"/>
        <v>0.07427726993</v>
      </c>
    </row>
    <row r="2833">
      <c r="A2833" s="4">
        <v>2833.0</v>
      </c>
      <c r="B2833" s="3" t="s">
        <v>47618</v>
      </c>
      <c r="C2833" s="6" t="s">
        <v>24</v>
      </c>
      <c r="D2833" s="8" t="s">
        <v>28011</v>
      </c>
      <c r="E2833" s="3" t="str">
        <f t="shared" si="1"/>
        <v>sweep&lt;br&gt;&lt;div class="audio"&gt;[sound:sweep.mp3]&lt;/div&gt;</v>
      </c>
      <c r="F2833" s="3" t="str">
        <f t="shared" si="2"/>
        <v>(v): quét</v>
      </c>
      <c r="G2833" s="8" t="s">
        <v>47619</v>
      </c>
      <c r="H2833" s="8" t="s">
        <v>47620</v>
      </c>
      <c r="I2833" s="7">
        <f t="shared" si="3"/>
        <v>0.7911381043</v>
      </c>
    </row>
    <row r="2834">
      <c r="A2834" s="4">
        <v>2834.0</v>
      </c>
      <c r="B2834" s="3" t="s">
        <v>47621</v>
      </c>
      <c r="C2834" s="6" t="s">
        <v>74</v>
      </c>
      <c r="D2834" s="6" t="s">
        <v>18627</v>
      </c>
      <c r="E2834" s="3" t="str">
        <f t="shared" si="1"/>
        <v>wing&lt;br&gt;&lt;div class="audio"&gt;[sound:wing.mp3]&lt;/div&gt;</v>
      </c>
      <c r="F2834" s="3" t="str">
        <f t="shared" si="2"/>
        <v>(n): cánh</v>
      </c>
      <c r="G2834" s="6" t="s">
        <v>47622</v>
      </c>
      <c r="H2834" s="6" t="s">
        <v>47623</v>
      </c>
      <c r="I2834" s="7">
        <f t="shared" si="3"/>
        <v>0.7383919255</v>
      </c>
    </row>
    <row r="2835">
      <c r="A2835" s="4">
        <v>2835.0</v>
      </c>
      <c r="B2835" s="3" t="s">
        <v>47624</v>
      </c>
      <c r="C2835" s="6" t="s">
        <v>74</v>
      </c>
      <c r="D2835" s="6" t="s">
        <v>30955</v>
      </c>
      <c r="E2835" s="3" t="str">
        <f t="shared" si="1"/>
        <v>grid&lt;br&gt;&lt;div class="audio"&gt;[sound:grid.mp3]&lt;/div&gt;</v>
      </c>
      <c r="F2835" s="3" t="str">
        <f t="shared" si="2"/>
        <v>(n): lưới</v>
      </c>
      <c r="G2835" s="6" t="s">
        <v>47625</v>
      </c>
      <c r="H2835" s="6" t="s">
        <v>47626</v>
      </c>
      <c r="I2835" s="7">
        <f t="shared" si="3"/>
        <v>0.968573678</v>
      </c>
    </row>
    <row r="2836">
      <c r="A2836" s="4">
        <v>2836.0</v>
      </c>
      <c r="B2836" s="3" t="s">
        <v>47627</v>
      </c>
      <c r="C2836" s="6" t="s">
        <v>11</v>
      </c>
      <c r="D2836" s="8" t="s">
        <v>34404</v>
      </c>
      <c r="E2836" s="3" t="str">
        <f t="shared" si="1"/>
        <v>super&lt;br&gt;&lt;div class="audio"&gt;[sound:super.mp3]&lt;/div&gt;</v>
      </c>
      <c r="F2836" s="3" t="str">
        <f t="shared" si="2"/>
        <v>(adj): tuyệt</v>
      </c>
      <c r="G2836" s="8" t="s">
        <v>47628</v>
      </c>
      <c r="H2836" s="8" t="s">
        <v>47629</v>
      </c>
      <c r="I2836" s="7">
        <f t="shared" si="3"/>
        <v>0.5644283145</v>
      </c>
    </row>
    <row r="2837">
      <c r="A2837" s="4">
        <v>2837.0</v>
      </c>
      <c r="B2837" s="3" t="s">
        <v>47630</v>
      </c>
      <c r="C2837" s="6" t="s">
        <v>74</v>
      </c>
      <c r="D2837" s="6" t="s">
        <v>705</v>
      </c>
      <c r="E2837" s="3" t="str">
        <f t="shared" si="1"/>
        <v>province&lt;br&gt;&lt;div class="audio"&gt;[sound:province.mp3]&lt;/div&gt;</v>
      </c>
      <c r="F2837" s="3" t="str">
        <f t="shared" si="2"/>
        <v>(n): tỉnh</v>
      </c>
      <c r="G2837" s="6" t="s">
        <v>47631</v>
      </c>
      <c r="H2837" s="6" t="s">
        <v>47632</v>
      </c>
      <c r="I2837" s="7">
        <f t="shared" si="3"/>
        <v>0.6290702605</v>
      </c>
    </row>
    <row r="2838">
      <c r="A2838" s="4">
        <v>2838.0</v>
      </c>
      <c r="B2838" s="3" t="s">
        <v>47633</v>
      </c>
      <c r="C2838" s="6" t="s">
        <v>74</v>
      </c>
      <c r="D2838" s="6" t="s">
        <v>24765</v>
      </c>
      <c r="E2838" s="3" t="str">
        <f t="shared" si="1"/>
        <v>row&lt;br&gt;&lt;div class="audio"&gt;[sound:row.mp3]&lt;/div&gt;</v>
      </c>
      <c r="F2838" s="3" t="str">
        <f t="shared" si="2"/>
        <v>(n): hàng</v>
      </c>
      <c r="G2838" s="6" t="s">
        <v>47634</v>
      </c>
      <c r="H2838" s="6" t="s">
        <v>47635</v>
      </c>
      <c r="I2838" s="7">
        <f t="shared" si="3"/>
        <v>0.6580676393</v>
      </c>
    </row>
    <row r="2839">
      <c r="A2839" s="4">
        <v>2839.0</v>
      </c>
      <c r="B2839" s="3" t="s">
        <v>47636</v>
      </c>
      <c r="C2839" s="6" t="s">
        <v>24</v>
      </c>
      <c r="D2839" s="8" t="s">
        <v>47637</v>
      </c>
      <c r="E2839" s="3" t="str">
        <f t="shared" si="1"/>
        <v>strip&lt;br&gt;&lt;div class="audio"&gt;[sound:strip.mp3]&lt;/div&gt;</v>
      </c>
      <c r="F2839" s="3" t="str">
        <f t="shared" si="2"/>
        <v>(v): tước</v>
      </c>
      <c r="G2839" s="8" t="s">
        <v>47638</v>
      </c>
      <c r="H2839" s="8" t="s">
        <v>47639</v>
      </c>
      <c r="I2839" s="7">
        <f t="shared" si="3"/>
        <v>0.7827842376</v>
      </c>
    </row>
    <row r="2840">
      <c r="A2840" s="4">
        <v>2840.0</v>
      </c>
      <c r="B2840" s="3" t="s">
        <v>47640</v>
      </c>
      <c r="C2840" s="6" t="s">
        <v>11</v>
      </c>
      <c r="D2840" s="6" t="s">
        <v>17895</v>
      </c>
      <c r="E2840" s="3" t="str">
        <f t="shared" si="1"/>
        <v>rare&lt;br&gt;&lt;div class="audio"&gt;[sound:rare.mp3]&lt;/div&gt;</v>
      </c>
      <c r="F2840" s="3" t="str">
        <f t="shared" si="2"/>
        <v>(adj): hiếm</v>
      </c>
      <c r="G2840" s="6" t="s">
        <v>47641</v>
      </c>
      <c r="H2840" s="6" t="s">
        <v>47642</v>
      </c>
      <c r="I2840" s="7">
        <f t="shared" si="3"/>
        <v>0.1268777716</v>
      </c>
    </row>
    <row r="2841">
      <c r="A2841" s="4">
        <v>2841.0</v>
      </c>
      <c r="B2841" s="3" t="s">
        <v>47643</v>
      </c>
      <c r="C2841" s="6" t="s">
        <v>74</v>
      </c>
      <c r="D2841" s="6" t="s">
        <v>47644</v>
      </c>
      <c r="E2841" s="3" t="str">
        <f t="shared" si="1"/>
        <v>cluster&lt;br&gt;&lt;div class="audio"&gt;[sound:cluster.mp3]&lt;/div&gt;</v>
      </c>
      <c r="F2841" s="3" t="str">
        <f t="shared" si="2"/>
        <v>(n): cụm</v>
      </c>
      <c r="G2841" s="6" t="s">
        <v>47645</v>
      </c>
      <c r="H2841" s="6" t="s">
        <v>47646</v>
      </c>
      <c r="I2841" s="7">
        <f t="shared" si="3"/>
        <v>0.5710074218</v>
      </c>
    </row>
    <row r="2842">
      <c r="A2842" s="4">
        <v>2842.0</v>
      </c>
      <c r="B2842" s="3" t="s">
        <v>47647</v>
      </c>
      <c r="C2842" s="6" t="s">
        <v>24</v>
      </c>
      <c r="D2842" s="8" t="s">
        <v>23960</v>
      </c>
      <c r="E2842" s="3" t="str">
        <f t="shared" si="1"/>
        <v>swear&lt;br&gt;&lt;div class="audio"&gt;[sound:swear.mp3]&lt;/div&gt;</v>
      </c>
      <c r="F2842" s="3" t="str">
        <f t="shared" si="2"/>
        <v>(v): thề</v>
      </c>
      <c r="G2842" s="8" t="s">
        <v>47648</v>
      </c>
      <c r="H2842" s="8" t="s">
        <v>47649</v>
      </c>
      <c r="I2842" s="7">
        <f t="shared" si="3"/>
        <v>0.09799950939</v>
      </c>
    </row>
    <row r="2843">
      <c r="A2843" s="4">
        <v>2843.0</v>
      </c>
      <c r="B2843" s="3" t="s">
        <v>47650</v>
      </c>
      <c r="C2843" s="6" t="s">
        <v>74</v>
      </c>
      <c r="D2843" s="6" t="s">
        <v>15342</v>
      </c>
      <c r="E2843" s="3" t="str">
        <f t="shared" si="1"/>
        <v>milk&lt;br&gt;&lt;div class="audio"&gt;[sound:milk.mp3]&lt;/div&gt;</v>
      </c>
      <c r="F2843" s="3" t="str">
        <f t="shared" si="2"/>
        <v>(n): sữa</v>
      </c>
      <c r="G2843" s="6" t="s">
        <v>47651</v>
      </c>
      <c r="H2843" s="6" t="s">
        <v>47652</v>
      </c>
      <c r="I2843" s="7">
        <f t="shared" si="3"/>
        <v>0.5859340898</v>
      </c>
    </row>
    <row r="2844">
      <c r="A2844" s="4">
        <v>2844.0</v>
      </c>
      <c r="B2844" s="3" t="s">
        <v>47653</v>
      </c>
      <c r="C2844" s="6" t="s">
        <v>74</v>
      </c>
      <c r="D2844" s="6" t="s">
        <v>1769</v>
      </c>
      <c r="E2844" s="3" t="str">
        <f t="shared" si="1"/>
        <v>beer&lt;br&gt;&lt;div class="audio"&gt;[sound:beer.mp3]&lt;/div&gt;</v>
      </c>
      <c r="F2844" s="3" t="str">
        <f t="shared" si="2"/>
        <v>(n): bia</v>
      </c>
      <c r="G2844" s="6" t="s">
        <v>47654</v>
      </c>
      <c r="H2844" s="6" t="s">
        <v>47655</v>
      </c>
      <c r="I2844" s="7">
        <f t="shared" si="3"/>
        <v>0.3800086182</v>
      </c>
    </row>
    <row r="2845">
      <c r="A2845" s="4">
        <v>2845.0</v>
      </c>
      <c r="B2845" s="3" t="s">
        <v>47656</v>
      </c>
      <c r="C2845" s="6" t="s">
        <v>74</v>
      </c>
      <c r="D2845" s="6" t="s">
        <v>8815</v>
      </c>
      <c r="E2845" s="3" t="str">
        <f t="shared" si="1"/>
        <v>pocket&lt;br&gt;&lt;div class="audio"&gt;[sound:pocket.mp3]&lt;/div&gt;</v>
      </c>
      <c r="F2845" s="3" t="str">
        <f t="shared" si="2"/>
        <v>(n): túi</v>
      </c>
      <c r="G2845" s="6" t="s">
        <v>47657</v>
      </c>
      <c r="H2845" s="6" t="s">
        <v>47658</v>
      </c>
      <c r="I2845" s="7">
        <f t="shared" si="3"/>
        <v>0.3871628488</v>
      </c>
    </row>
    <row r="2846">
      <c r="A2846" s="4">
        <v>2846.0</v>
      </c>
      <c r="B2846" s="3" t="s">
        <v>47659</v>
      </c>
      <c r="C2846" s="6" t="s">
        <v>74</v>
      </c>
      <c r="D2846" s="6" t="s">
        <v>23853</v>
      </c>
      <c r="E2846" s="3" t="str">
        <f t="shared" si="1"/>
        <v>jam&lt;br&gt;&lt;div class="audio"&gt;[sound:jam.mp3]&lt;/div&gt;</v>
      </c>
      <c r="F2846" s="3" t="str">
        <f t="shared" si="2"/>
        <v>(n): mứt</v>
      </c>
      <c r="G2846" s="6" t="s">
        <v>47660</v>
      </c>
      <c r="H2846" s="6" t="s">
        <v>47661</v>
      </c>
      <c r="I2846" s="7">
        <f t="shared" si="3"/>
        <v>0.641295754</v>
      </c>
    </row>
    <row r="2847">
      <c r="A2847" s="4">
        <v>2847.0</v>
      </c>
      <c r="B2847" s="3" t="s">
        <v>47662</v>
      </c>
      <c r="C2847" s="6" t="s">
        <v>74</v>
      </c>
      <c r="D2847" s="6" t="s">
        <v>24896</v>
      </c>
      <c r="E2847" s="3" t="str">
        <f t="shared" si="1"/>
        <v>gram&lt;br&gt;&lt;div class="audio"&gt;[sound:gram.mp3]&lt;/div&gt;</v>
      </c>
      <c r="F2847" s="3" t="str">
        <f t="shared" si="2"/>
        <v>(n): gam</v>
      </c>
      <c r="G2847" s="6" t="s">
        <v>47663</v>
      </c>
      <c r="H2847" s="6" t="s">
        <v>47664</v>
      </c>
      <c r="I2847" s="7">
        <f t="shared" si="3"/>
        <v>0.5072905965</v>
      </c>
    </row>
    <row r="2848">
      <c r="A2848" s="4">
        <v>2848.0</v>
      </c>
      <c r="B2848" s="3" t="s">
        <v>47665</v>
      </c>
      <c r="C2848" s="6" t="s">
        <v>74</v>
      </c>
      <c r="D2848" s="6" t="s">
        <v>47666</v>
      </c>
      <c r="E2848" s="3" t="str">
        <f t="shared" si="1"/>
        <v>cheque&lt;br&gt;&lt;div class="audio"&gt;[sound:cheque.mp3]&lt;/div&gt;</v>
      </c>
      <c r="F2848" s="3" t="str">
        <f t="shared" si="2"/>
        <v>(n): séc</v>
      </c>
      <c r="G2848" s="6" t="s">
        <v>47667</v>
      </c>
      <c r="H2848" s="6" t="s">
        <v>47668</v>
      </c>
      <c r="I2848" s="7">
        <f t="shared" si="3"/>
        <v>0.738190047</v>
      </c>
    </row>
    <row r="2849">
      <c r="A2849" s="4">
        <v>2849.0</v>
      </c>
      <c r="B2849" s="3" t="s">
        <v>47669</v>
      </c>
      <c r="C2849" s="6" t="s">
        <v>24</v>
      </c>
      <c r="D2849" s="6" t="s">
        <v>47670</v>
      </c>
      <c r="E2849" s="3" t="str">
        <f t="shared" si="1"/>
        <v>weigh&lt;br&gt;&lt;div class="audio"&gt;[sound:weigh.mp3]&lt;/div&gt;</v>
      </c>
      <c r="F2849" s="3" t="str">
        <f t="shared" si="2"/>
        <v>(v): cân</v>
      </c>
      <c r="G2849" s="6" t="s">
        <v>47671</v>
      </c>
      <c r="H2849" s="6" t="s">
        <v>47672</v>
      </c>
      <c r="I2849" s="7">
        <f t="shared" si="3"/>
        <v>0.9930345718</v>
      </c>
    </row>
    <row r="2850">
      <c r="A2850" s="4">
        <v>2850.0</v>
      </c>
      <c r="B2850" s="3" t="s">
        <v>47673</v>
      </c>
      <c r="C2850" s="6" t="s">
        <v>74</v>
      </c>
      <c r="D2850" s="6" t="s">
        <v>18254</v>
      </c>
      <c r="E2850" s="3" t="str">
        <f t="shared" si="1"/>
        <v>lip&lt;br&gt;&lt;div class="audio"&gt;[sound:lip.mp3]&lt;/div&gt;</v>
      </c>
      <c r="F2850" s="3" t="str">
        <f t="shared" si="2"/>
        <v>(n): môi</v>
      </c>
      <c r="G2850" s="6" t="s">
        <v>47674</v>
      </c>
      <c r="H2850" s="6" t="s">
        <v>47675</v>
      </c>
      <c r="I2850" s="7">
        <f t="shared" si="3"/>
        <v>0.4436858372</v>
      </c>
    </row>
    <row r="2851">
      <c r="A2851" s="4">
        <v>2851.0</v>
      </c>
      <c r="B2851" s="3" t="s">
        <v>47676</v>
      </c>
      <c r="C2851" s="6" t="s">
        <v>74</v>
      </c>
      <c r="D2851" s="8" t="s">
        <v>12012</v>
      </c>
      <c r="E2851" s="3" t="str">
        <f t="shared" si="1"/>
        <v>skirt&lt;br&gt;&lt;div class="audio"&gt;[sound:skirt.mp3]&lt;/div&gt;</v>
      </c>
      <c r="F2851" s="3" t="str">
        <f t="shared" si="2"/>
        <v>(n): váy</v>
      </c>
      <c r="G2851" s="8" t="s">
        <v>47677</v>
      </c>
      <c r="H2851" s="8" t="s">
        <v>47678</v>
      </c>
      <c r="I2851" s="7">
        <f t="shared" si="3"/>
        <v>0.5224470177</v>
      </c>
    </row>
    <row r="2852">
      <c r="A2852" s="4">
        <v>2852.0</v>
      </c>
      <c r="B2852" s="3" t="s">
        <v>47679</v>
      </c>
      <c r="C2852" s="6" t="s">
        <v>24</v>
      </c>
      <c r="D2852" s="8" t="s">
        <v>21467</v>
      </c>
      <c r="E2852" s="3" t="str">
        <f t="shared" si="1"/>
        <v>squeeze&lt;br&gt;&lt;div class="audio"&gt;[sound:squeeze.mp3]&lt;/div&gt;</v>
      </c>
      <c r="F2852" s="3" t="str">
        <f t="shared" si="2"/>
        <v>(v): vắt</v>
      </c>
      <c r="G2852" s="8" t="s">
        <v>47680</v>
      </c>
      <c r="H2852" s="8" t="s">
        <v>47681</v>
      </c>
      <c r="I2852" s="7">
        <f t="shared" si="3"/>
        <v>0.1818990792</v>
      </c>
    </row>
    <row r="2853">
      <c r="A2853" s="4">
        <v>2853.0</v>
      </c>
      <c r="B2853" s="3" t="s">
        <v>47682</v>
      </c>
      <c r="C2853" s="6" t="s">
        <v>11</v>
      </c>
      <c r="D2853" s="6" t="s">
        <v>31401</v>
      </c>
      <c r="E2853" s="3" t="str">
        <f t="shared" si="1"/>
        <v>aged&lt;br&gt;&lt;div class="audio"&gt;[sound:aged.mp3]&lt;/div&gt;</v>
      </c>
      <c r="F2853" s="3" t="str">
        <f t="shared" si="2"/>
        <v>(adj): già</v>
      </c>
      <c r="G2853" s="6" t="s">
        <v>47683</v>
      </c>
      <c r="H2853" s="6" t="s">
        <v>47684</v>
      </c>
      <c r="I2853" s="7">
        <f t="shared" si="3"/>
        <v>0.2606629508</v>
      </c>
    </row>
    <row r="2854">
      <c r="A2854" s="4">
        <v>2854.0</v>
      </c>
      <c r="B2854" s="3" t="s">
        <v>47685</v>
      </c>
      <c r="C2854" s="6" t="s">
        <v>74</v>
      </c>
      <c r="D2854" s="6" t="s">
        <v>15286</v>
      </c>
      <c r="E2854" s="3" t="str">
        <f t="shared" si="1"/>
        <v>sand&lt;br&gt;&lt;div class="audio"&gt;[sound:sand.mp3]&lt;/div&gt;</v>
      </c>
      <c r="F2854" s="3" t="str">
        <f t="shared" si="2"/>
        <v>(n): cát</v>
      </c>
      <c r="G2854" s="6" t="s">
        <v>47686</v>
      </c>
      <c r="H2854" s="6" t="s">
        <v>47687</v>
      </c>
      <c r="I2854" s="7">
        <f t="shared" si="3"/>
        <v>0.1722884052</v>
      </c>
    </row>
    <row r="2855">
      <c r="A2855" s="4">
        <v>2855.0</v>
      </c>
      <c r="B2855" s="3" t="s">
        <v>47688</v>
      </c>
      <c r="C2855" s="6" t="s">
        <v>74</v>
      </c>
      <c r="D2855" s="8" t="s">
        <v>47689</v>
      </c>
      <c r="E2855" s="3" t="str">
        <f t="shared" si="1"/>
        <v>sheep&lt;br&gt;&lt;div class="audio"&gt;[sound:sheep.mp3]&lt;/div&gt;</v>
      </c>
      <c r="F2855" s="3" t="str">
        <f t="shared" si="2"/>
        <v>(n): cừu</v>
      </c>
      <c r="G2855" s="8" t="s">
        <v>47690</v>
      </c>
      <c r="H2855" s="8" t="s">
        <v>47691</v>
      </c>
      <c r="I2855" s="7">
        <f t="shared" si="3"/>
        <v>0.7070645051</v>
      </c>
    </row>
    <row r="2856">
      <c r="A2856" s="4">
        <v>2856.0</v>
      </c>
      <c r="B2856" s="3" t="s">
        <v>47692</v>
      </c>
      <c r="C2856" s="6" t="s">
        <v>24</v>
      </c>
      <c r="D2856" s="8" t="s">
        <v>47693</v>
      </c>
      <c r="E2856" s="3" t="str">
        <f t="shared" si="1"/>
        <v>suck&lt;br&gt;&lt;div class="audio"&gt;[sound:suck.mp3]&lt;/div&gt;</v>
      </c>
      <c r="F2856" s="3" t="str">
        <f t="shared" si="2"/>
        <v>(v): hút</v>
      </c>
      <c r="G2856" s="8" t="s">
        <v>47694</v>
      </c>
      <c r="H2856" s="8" t="s">
        <v>47695</v>
      </c>
      <c r="I2856" s="7">
        <f t="shared" si="3"/>
        <v>0.4173578582</v>
      </c>
    </row>
    <row r="2857">
      <c r="A2857" s="4">
        <v>2857.0</v>
      </c>
      <c r="B2857" s="3" t="s">
        <v>47696</v>
      </c>
      <c r="C2857" s="6" t="s">
        <v>11</v>
      </c>
      <c r="D2857" s="8" t="s">
        <v>6313</v>
      </c>
      <c r="E2857" s="3" t="str">
        <f t="shared" si="1"/>
        <v>slight&lt;br&gt;&lt;div class="audio"&gt;[sound:slight.mp3]&lt;/div&gt;</v>
      </c>
      <c r="F2857" s="3" t="str">
        <f t="shared" si="2"/>
        <v>(adj): nhẹ</v>
      </c>
      <c r="G2857" s="8" t="s">
        <v>47697</v>
      </c>
      <c r="H2857" s="8" t="s">
        <v>47698</v>
      </c>
      <c r="I2857" s="7">
        <f t="shared" si="3"/>
        <v>0.8896996953</v>
      </c>
    </row>
    <row r="2858">
      <c r="A2858" s="4">
        <v>2858.0</v>
      </c>
      <c r="B2858" s="3" t="s">
        <v>47699</v>
      </c>
      <c r="C2858" s="6" t="s">
        <v>74</v>
      </c>
      <c r="D2858" s="6" t="s">
        <v>11864</v>
      </c>
      <c r="E2858" s="3" t="str">
        <f t="shared" si="1"/>
        <v>clip&lt;br&gt;&lt;div class="audio"&gt;[sound:clip.mp3]&lt;/div&gt;</v>
      </c>
      <c r="F2858" s="3" t="str">
        <f t="shared" si="2"/>
        <v>(n): kẹp</v>
      </c>
      <c r="G2858" s="6" t="s">
        <v>47700</v>
      </c>
      <c r="H2858" s="6" t="s">
        <v>47701</v>
      </c>
      <c r="I2858" s="7">
        <f t="shared" si="3"/>
        <v>0.3422719952</v>
      </c>
    </row>
    <row r="2859">
      <c r="A2859" s="4">
        <v>2859.0</v>
      </c>
      <c r="B2859" s="3" t="s">
        <v>47702</v>
      </c>
      <c r="C2859" s="6" t="s">
        <v>74</v>
      </c>
      <c r="D2859" s="6" t="s">
        <v>18431</v>
      </c>
      <c r="E2859" s="3" t="str">
        <f t="shared" si="1"/>
        <v>knife&lt;br&gt;&lt;div class="audio"&gt;[sound:knife.mp3]&lt;/div&gt;</v>
      </c>
      <c r="F2859" s="3" t="str">
        <f t="shared" si="2"/>
        <v>(n): dao</v>
      </c>
      <c r="G2859" s="6" t="s">
        <v>47703</v>
      </c>
      <c r="H2859" s="6" t="s">
        <v>47704</v>
      </c>
      <c r="I2859" s="7">
        <f t="shared" si="3"/>
        <v>0.8753309454</v>
      </c>
    </row>
    <row r="2860">
      <c r="A2860" s="4">
        <v>2860.0</v>
      </c>
      <c r="B2860" s="3" t="s">
        <v>47705</v>
      </c>
      <c r="C2860" s="6" t="s">
        <v>74</v>
      </c>
      <c r="D2860" s="6" t="s">
        <v>4212</v>
      </c>
      <c r="E2860" s="3" t="str">
        <f t="shared" si="1"/>
        <v>rice&lt;br&gt;&lt;div class="audio"&gt;[sound:rice.mp3]&lt;/div&gt;</v>
      </c>
      <c r="F2860" s="3" t="str">
        <f t="shared" si="2"/>
        <v>(n): gạo</v>
      </c>
      <c r="G2860" s="6" t="s">
        <v>47706</v>
      </c>
      <c r="H2860" s="6" t="s">
        <v>47707</v>
      </c>
      <c r="I2860" s="7">
        <f t="shared" si="3"/>
        <v>0.3069430187</v>
      </c>
    </row>
    <row r="2861">
      <c r="A2861" s="4">
        <v>2861.0</v>
      </c>
      <c r="B2861" s="3" t="s">
        <v>47708</v>
      </c>
      <c r="C2861" s="6" t="s">
        <v>24</v>
      </c>
      <c r="D2861" s="6" t="s">
        <v>38222</v>
      </c>
      <c r="E2861" s="3" t="str">
        <f t="shared" si="1"/>
        <v>ought&lt;br&gt;&lt;div class="audio"&gt;[sound:ought.mp3]&lt;/div&gt;</v>
      </c>
      <c r="F2861" s="3" t="str">
        <f t="shared" si="2"/>
        <v>(v): nên</v>
      </c>
      <c r="G2861" s="6" t="s">
        <v>47709</v>
      </c>
      <c r="H2861" s="6" t="s">
        <v>47710</v>
      </c>
      <c r="I2861" s="7">
        <f t="shared" si="3"/>
        <v>0.8858044976</v>
      </c>
    </row>
    <row r="2862">
      <c r="A2862" s="4">
        <v>2862.0</v>
      </c>
      <c r="B2862" s="3" t="s">
        <v>47711</v>
      </c>
      <c r="C2862" s="6" t="s">
        <v>24</v>
      </c>
      <c r="D2862" s="6" t="s">
        <v>46200</v>
      </c>
      <c r="E2862" s="3" t="str">
        <f t="shared" si="1"/>
        <v>owe&lt;br&gt;&lt;div class="audio"&gt;[sound:owe.mp3]&lt;/div&gt;</v>
      </c>
      <c r="F2862" s="3" t="str">
        <f t="shared" si="2"/>
        <v>(v): nợ</v>
      </c>
      <c r="G2862" s="6" t="s">
        <v>47712</v>
      </c>
      <c r="H2862" s="6" t="s">
        <v>47713</v>
      </c>
      <c r="I2862" s="7">
        <f t="shared" si="3"/>
        <v>0.1811999769</v>
      </c>
    </row>
    <row r="2863">
      <c r="A2863" s="4">
        <v>2863.0</v>
      </c>
      <c r="B2863" s="3" t="s">
        <v>47714</v>
      </c>
      <c r="C2863" s="6" t="s">
        <v>11</v>
      </c>
      <c r="D2863" s="6" t="s">
        <v>47715</v>
      </c>
      <c r="E2863" s="3" t="str">
        <f t="shared" si="1"/>
        <v>virtual&lt;br&gt;&lt;div class="audio"&gt;[sound:virtual.mp3]&lt;/div&gt;</v>
      </c>
      <c r="F2863" s="3" t="str">
        <f t="shared" si="2"/>
        <v>(adj): ảo</v>
      </c>
      <c r="G2863" s="6" t="s">
        <v>47716</v>
      </c>
      <c r="H2863" s="6" t="s">
        <v>47717</v>
      </c>
      <c r="I2863" s="7">
        <f t="shared" si="3"/>
        <v>0.4968440787</v>
      </c>
    </row>
    <row r="2864">
      <c r="A2864" s="4">
        <v>2864.0</v>
      </c>
      <c r="B2864" s="3" t="s">
        <v>47718</v>
      </c>
      <c r="C2864" s="6" t="s">
        <v>74</v>
      </c>
      <c r="D2864" s="6" t="s">
        <v>29033</v>
      </c>
      <c r="E2864" s="3" t="str">
        <f t="shared" si="1"/>
        <v>lake&lt;br&gt;&lt;div class="audio"&gt;[sound:lake.mp3]&lt;/div&gt;</v>
      </c>
      <c r="F2864" s="3" t="str">
        <f t="shared" si="2"/>
        <v>(n): hồ</v>
      </c>
      <c r="G2864" s="6" t="s">
        <v>47719</v>
      </c>
      <c r="H2864" s="6" t="s">
        <v>47720</v>
      </c>
      <c r="I2864" s="7">
        <f t="shared" si="3"/>
        <v>0.3002559477</v>
      </c>
    </row>
    <row r="2865">
      <c r="A2865" s="4">
        <v>2865.0</v>
      </c>
      <c r="B2865" s="3" t="s">
        <v>47721</v>
      </c>
      <c r="C2865" s="6" t="s">
        <v>44</v>
      </c>
      <c r="D2865" s="6" t="s">
        <v>4090</v>
      </c>
      <c r="E2865" s="3" t="str">
        <f t="shared" si="1"/>
        <v>whom&lt;br&gt;&lt;div class="audio"&gt;[sound:whom.mp3]&lt;/div&gt;</v>
      </c>
      <c r="F2865" s="3" t="str">
        <f t="shared" si="2"/>
        <v>(pron): ai</v>
      </c>
      <c r="G2865" s="6" t="s">
        <v>47722</v>
      </c>
      <c r="H2865" s="6" t="s">
        <v>47723</v>
      </c>
      <c r="I2865" s="7">
        <f t="shared" si="3"/>
        <v>0.8003302429</v>
      </c>
    </row>
    <row r="2866">
      <c r="A2866" s="4">
        <v>2866.0</v>
      </c>
      <c r="B2866" s="3" t="s">
        <v>47724</v>
      </c>
      <c r="C2866" s="6" t="s">
        <v>74</v>
      </c>
      <c r="D2866" s="6" t="s">
        <v>18936</v>
      </c>
      <c r="E2866" s="3" t="str">
        <f t="shared" si="1"/>
        <v>distribution&lt;br&gt;&lt;div class="audio"&gt;[sound:distribution.mp3]&lt;/div&gt;</v>
      </c>
      <c r="F2866" s="3" t="str">
        <f t="shared" si="2"/>
        <v>(n): sự phân phối</v>
      </c>
      <c r="G2866" s="6" t="s">
        <v>47725</v>
      </c>
      <c r="H2866" s="6" t="s">
        <v>47726</v>
      </c>
      <c r="I2866" s="7">
        <f t="shared" si="3"/>
        <v>0.3276089162</v>
      </c>
    </row>
    <row r="2867">
      <c r="A2867" s="4">
        <v>2867.0</v>
      </c>
      <c r="B2867" s="3" t="s">
        <v>47727</v>
      </c>
      <c r="C2867" s="6" t="s">
        <v>11</v>
      </c>
      <c r="D2867" s="6" t="s">
        <v>47728</v>
      </c>
      <c r="E2867" s="3" t="str">
        <f t="shared" si="1"/>
        <v>dear&lt;br&gt;&lt;div class="audio"&gt;[sound:dear.mp3]&lt;/div&gt;</v>
      </c>
      <c r="F2867" s="3" t="str">
        <f t="shared" si="2"/>
        <v>(adj): thân mến</v>
      </c>
      <c r="G2867" s="6" t="s">
        <v>47729</v>
      </c>
      <c r="H2867" s="6" t="s">
        <v>47730</v>
      </c>
      <c r="I2867" s="7">
        <f t="shared" si="3"/>
        <v>0.8451964907</v>
      </c>
    </row>
    <row r="2868">
      <c r="A2868" s="4">
        <v>2868.0</v>
      </c>
      <c r="B2868" s="3" t="s">
        <v>47731</v>
      </c>
      <c r="C2868" s="6" t="s">
        <v>74</v>
      </c>
      <c r="D2868" s="6" t="s">
        <v>47732</v>
      </c>
      <c r="E2868" s="3" t="str">
        <f t="shared" si="1"/>
        <v>convenience&lt;br&gt;&lt;div class="audio"&gt;[sound:convenience.mp3]&lt;/div&gt;</v>
      </c>
      <c r="F2868" s="3" t="str">
        <f t="shared" si="2"/>
        <v>(n): sự thuận tiện</v>
      </c>
      <c r="G2868" s="6" t="s">
        <v>47733</v>
      </c>
      <c r="H2868" s="6" t="s">
        <v>47734</v>
      </c>
      <c r="I2868" s="7">
        <f t="shared" si="3"/>
        <v>0.3506255942</v>
      </c>
    </row>
    <row r="2869">
      <c r="A2869" s="4">
        <v>2869.0</v>
      </c>
      <c r="B2869" s="3" t="s">
        <v>47735</v>
      </c>
      <c r="C2869" s="6" t="s">
        <v>74</v>
      </c>
      <c r="D2869" s="6" t="s">
        <v>45266</v>
      </c>
      <c r="E2869" s="3" t="str">
        <f t="shared" si="1"/>
        <v>terror&lt;br&gt;&lt;div class="audio"&gt;[sound:terror.mp3]&lt;/div&gt;</v>
      </c>
      <c r="F2869" s="3" t="str">
        <f t="shared" si="2"/>
        <v>(n): sự kinh hoàng</v>
      </c>
      <c r="G2869" s="6" t="s">
        <v>47736</v>
      </c>
      <c r="H2869" s="6" t="s">
        <v>47737</v>
      </c>
      <c r="I2869" s="7">
        <f t="shared" si="3"/>
        <v>0.6479533109</v>
      </c>
    </row>
    <row r="2870">
      <c r="A2870" s="4">
        <v>2870.0</v>
      </c>
      <c r="B2870" s="3" t="s">
        <v>47738</v>
      </c>
      <c r="C2870" s="6" t="s">
        <v>74</v>
      </c>
      <c r="D2870" s="6" t="s">
        <v>13279</v>
      </c>
      <c r="E2870" s="3" t="str">
        <f t="shared" si="1"/>
        <v>tactic&lt;br&gt;&lt;div class="audio"&gt;[sound:tactic.mp3]&lt;/div&gt;</v>
      </c>
      <c r="F2870" s="3" t="str">
        <f t="shared" si="2"/>
        <v>(n): chiến thuật</v>
      </c>
      <c r="G2870" s="6" t="s">
        <v>47739</v>
      </c>
      <c r="H2870" s="6" t="s">
        <v>47740</v>
      </c>
      <c r="I2870" s="7">
        <f t="shared" si="3"/>
        <v>0.2533769652</v>
      </c>
    </row>
    <row r="2871">
      <c r="A2871" s="4">
        <v>2871.0</v>
      </c>
      <c r="B2871" s="3" t="s">
        <v>47741</v>
      </c>
      <c r="C2871" s="6" t="s">
        <v>74</v>
      </c>
      <c r="D2871" s="6" t="s">
        <v>47742</v>
      </c>
      <c r="E2871" s="3" t="str">
        <f t="shared" si="1"/>
        <v>depression&lt;br&gt;&lt;div class="audio"&gt;[sound:depression.mp3]&lt;/div&gt;</v>
      </c>
      <c r="F2871" s="3" t="str">
        <f t="shared" si="2"/>
        <v>(n): trầm cảm</v>
      </c>
      <c r="G2871" s="6" t="s">
        <v>47743</v>
      </c>
      <c r="H2871" s="6" t="s">
        <v>47744</v>
      </c>
      <c r="I2871" s="7">
        <f t="shared" si="3"/>
        <v>0.04736041657</v>
      </c>
    </row>
    <row r="2872">
      <c r="A2872" s="4">
        <v>2872.0</v>
      </c>
      <c r="B2872" s="3" t="s">
        <v>47745</v>
      </c>
      <c r="C2872" s="6" t="s">
        <v>74</v>
      </c>
      <c r="D2872" s="6" t="s">
        <v>47746</v>
      </c>
      <c r="E2872" s="3" t="str">
        <f t="shared" si="1"/>
        <v>crash&lt;br&gt;&lt;div class="audio"&gt;[sound:crash.mp3]&lt;/div&gt;</v>
      </c>
      <c r="F2872" s="3" t="str">
        <f t="shared" si="2"/>
        <v>(n): vụ va chạm</v>
      </c>
      <c r="G2872" s="6" t="s">
        <v>47747</v>
      </c>
      <c r="H2872" s="6" t="s">
        <v>47748</v>
      </c>
      <c r="I2872" s="7">
        <f t="shared" si="3"/>
        <v>0.4629485162</v>
      </c>
    </row>
    <row r="2873">
      <c r="A2873" s="4">
        <v>2873.0</v>
      </c>
      <c r="B2873" s="3" t="s">
        <v>47749</v>
      </c>
      <c r="C2873" s="6" t="s">
        <v>74</v>
      </c>
      <c r="D2873" s="6" t="s">
        <v>6946</v>
      </c>
      <c r="E2873" s="3" t="str">
        <f t="shared" si="1"/>
        <v>domain&lt;br&gt;&lt;div class="audio"&gt;[sound:domain.mp3]&lt;/div&gt;</v>
      </c>
      <c r="F2873" s="3" t="str">
        <f t="shared" si="2"/>
        <v>(n): lĩnh vực</v>
      </c>
      <c r="G2873" s="6" t="s">
        <v>47750</v>
      </c>
      <c r="H2873" s="6" t="s">
        <v>47751</v>
      </c>
      <c r="I2873" s="7">
        <f t="shared" si="3"/>
        <v>0.3378508867</v>
      </c>
    </row>
    <row r="2874">
      <c r="A2874" s="4">
        <v>2874.0</v>
      </c>
      <c r="B2874" s="3" t="s">
        <v>47752</v>
      </c>
      <c r="C2874" s="6" t="s">
        <v>74</v>
      </c>
      <c r="D2874" s="6" t="s">
        <v>47753</v>
      </c>
      <c r="E2874" s="3" t="str">
        <f t="shared" si="1"/>
        <v>dialogue&lt;br&gt;&lt;div class="audio"&gt;[sound:dialogue.mp3]&lt;/div&gt;</v>
      </c>
      <c r="F2874" s="3" t="str">
        <f t="shared" si="2"/>
        <v>(n): cuộc đối thoại</v>
      </c>
      <c r="G2874" s="6" t="s">
        <v>47754</v>
      </c>
      <c r="H2874" s="6" t="s">
        <v>47755</v>
      </c>
      <c r="I2874" s="7">
        <f t="shared" si="3"/>
        <v>0.2886971748</v>
      </c>
    </row>
    <row r="2875">
      <c r="A2875" s="4">
        <v>2875.0</v>
      </c>
      <c r="B2875" s="3" t="s">
        <v>47756</v>
      </c>
      <c r="C2875" s="6" t="s">
        <v>74</v>
      </c>
      <c r="D2875" s="6" t="s">
        <v>47757</v>
      </c>
      <c r="E2875" s="3" t="str">
        <f t="shared" si="1"/>
        <v>terrorist&lt;br&gt;&lt;div class="audio"&gt;[sound:terrorist.mp3]&lt;/div&gt;</v>
      </c>
      <c r="F2875" s="3" t="str">
        <f t="shared" si="2"/>
        <v>(n): kẻ khủng bố</v>
      </c>
      <c r="G2875" s="6" t="s">
        <v>47758</v>
      </c>
      <c r="H2875" s="6" t="s">
        <v>47759</v>
      </c>
      <c r="I2875" s="7">
        <f t="shared" si="3"/>
        <v>0.07504035258</v>
      </c>
    </row>
    <row r="2876">
      <c r="A2876" s="4">
        <v>2876.0</v>
      </c>
      <c r="B2876" s="3" t="s">
        <v>47760</v>
      </c>
      <c r="C2876" s="6" t="s">
        <v>74</v>
      </c>
      <c r="D2876" s="6" t="s">
        <v>2397</v>
      </c>
      <c r="E2876" s="3" t="str">
        <f t="shared" si="1"/>
        <v>toilet&lt;br&gt;&lt;div class="audio"&gt;[sound:toilet.mp3]&lt;/div&gt;</v>
      </c>
      <c r="F2876" s="3" t="str">
        <f t="shared" si="2"/>
        <v>(n): nhà vệ sinh</v>
      </c>
      <c r="G2876" s="6" t="s">
        <v>47761</v>
      </c>
      <c r="H2876" s="6" t="s">
        <v>47762</v>
      </c>
      <c r="I2876" s="7">
        <f t="shared" si="3"/>
        <v>0.5861534876</v>
      </c>
    </row>
    <row r="2877">
      <c r="A2877" s="4">
        <v>2877.0</v>
      </c>
      <c r="B2877" s="3" t="s">
        <v>47763</v>
      </c>
      <c r="C2877" s="6" t="s">
        <v>74</v>
      </c>
      <c r="D2877" s="6" t="s">
        <v>19363</v>
      </c>
      <c r="E2877" s="3" t="str">
        <f t="shared" si="1"/>
        <v>tune&lt;br&gt;&lt;div class="audio"&gt;[sound:tune.mp3]&lt;/div&gt;</v>
      </c>
      <c r="F2877" s="3" t="str">
        <f t="shared" si="2"/>
        <v>(n): giai điệu</v>
      </c>
      <c r="G2877" s="6" t="s">
        <v>47764</v>
      </c>
      <c r="H2877" s="6" t="s">
        <v>47765</v>
      </c>
      <c r="I2877" s="7">
        <f t="shared" si="3"/>
        <v>0.5292223259</v>
      </c>
    </row>
    <row r="2878">
      <c r="A2878" s="4">
        <v>2878.0</v>
      </c>
      <c r="B2878" s="3" t="s">
        <v>47766</v>
      </c>
      <c r="C2878" s="6" t="s">
        <v>74</v>
      </c>
      <c r="D2878" s="6" t="s">
        <v>47767</v>
      </c>
      <c r="E2878" s="3" t="str">
        <f t="shared" si="1"/>
        <v>trap&lt;br&gt;&lt;div class="audio"&gt;[sound:trap.mp3]&lt;/div&gt;</v>
      </c>
      <c r="F2878" s="3" t="str">
        <f t="shared" si="2"/>
        <v>(n): cái bẫy</v>
      </c>
      <c r="G2878" s="6" t="s">
        <v>47768</v>
      </c>
      <c r="H2878" s="6" t="s">
        <v>47769</v>
      </c>
      <c r="I2878" s="7">
        <f t="shared" si="3"/>
        <v>0.5239781358</v>
      </c>
    </row>
    <row r="2879">
      <c r="A2879" s="4">
        <v>2879.0</v>
      </c>
      <c r="B2879" s="3" t="s">
        <v>47770</v>
      </c>
      <c r="C2879" s="6" t="s">
        <v>74</v>
      </c>
      <c r="D2879" s="6" t="s">
        <v>47771</v>
      </c>
      <c r="E2879" s="3" t="str">
        <f t="shared" si="1"/>
        <v>t-shirt&lt;br&gt;&lt;div class="audio"&gt;[sound:t-shirt.mp3]&lt;/div&gt;</v>
      </c>
      <c r="F2879" s="3" t="str">
        <f t="shared" si="2"/>
        <v>(n): áo thun</v>
      </c>
      <c r="G2879" s="6" t="s">
        <v>47772</v>
      </c>
      <c r="H2879" s="6" t="s">
        <v>47773</v>
      </c>
      <c r="I2879" s="7">
        <f t="shared" si="3"/>
        <v>0.7474823295</v>
      </c>
    </row>
    <row r="2880">
      <c r="A2880" s="4">
        <v>2880.0</v>
      </c>
      <c r="B2880" s="3" t="s">
        <v>47774</v>
      </c>
      <c r="C2880" s="6" t="s">
        <v>74</v>
      </c>
      <c r="D2880" s="6" t="s">
        <v>21626</v>
      </c>
      <c r="E2880" s="3" t="str">
        <f t="shared" si="1"/>
        <v>geography&lt;br&gt;&lt;div class="audio"&gt;[sound:geography.mp3]&lt;/div&gt;</v>
      </c>
      <c r="F2880" s="3" t="str">
        <f t="shared" si="2"/>
        <v>(n): địa lý</v>
      </c>
      <c r="G2880" s="6" t="s">
        <v>47775</v>
      </c>
      <c r="H2880" s="6" t="s">
        <v>47776</v>
      </c>
      <c r="I2880" s="7">
        <f t="shared" si="3"/>
        <v>0.03721064259</v>
      </c>
    </row>
    <row r="2881">
      <c r="A2881" s="4">
        <v>2881.0</v>
      </c>
      <c r="B2881" s="3" t="s">
        <v>47777</v>
      </c>
      <c r="C2881" s="6" t="s">
        <v>74</v>
      </c>
      <c r="D2881" s="6" t="s">
        <v>11434</v>
      </c>
      <c r="E2881" s="3" t="str">
        <f t="shared" si="1"/>
        <v>ton&lt;br&gt;&lt;div class="audio"&gt;[sound:ton.mp3]&lt;/div&gt;</v>
      </c>
      <c r="F2881" s="3" t="str">
        <f t="shared" si="2"/>
        <v>(n): tấn</v>
      </c>
      <c r="G2881" s="6" t="s">
        <v>47778</v>
      </c>
      <c r="H2881" s="6" t="s">
        <v>47779</v>
      </c>
      <c r="I2881" s="7">
        <f t="shared" si="3"/>
        <v>0.05339695516</v>
      </c>
    </row>
    <row r="2882">
      <c r="A2882" s="4">
        <v>2882.0</v>
      </c>
      <c r="B2882" s="3" t="s">
        <v>47780</v>
      </c>
      <c r="C2882" s="6" t="s">
        <v>74</v>
      </c>
      <c r="D2882" s="6" t="s">
        <v>20914</v>
      </c>
      <c r="E2882" s="3" t="str">
        <f t="shared" si="1"/>
        <v>cow&lt;br&gt;&lt;div class="audio"&gt;[sound:cow.mp3]&lt;/div&gt;</v>
      </c>
      <c r="F2882" s="3" t="str">
        <f t="shared" si="2"/>
        <v>(n): bò</v>
      </c>
      <c r="G2882" s="6" t="s">
        <v>47781</v>
      </c>
      <c r="H2882" s="6" t="s">
        <v>47782</v>
      </c>
      <c r="I2882" s="7">
        <f t="shared" si="3"/>
        <v>0.6647524033</v>
      </c>
    </row>
    <row r="2883">
      <c r="A2883" s="4">
        <v>2883.0</v>
      </c>
      <c r="B2883" s="3" t="s">
        <v>47783</v>
      </c>
      <c r="C2883" s="6" t="s">
        <v>74</v>
      </c>
      <c r="D2883" s="6" t="s">
        <v>17358</v>
      </c>
      <c r="E2883" s="3" t="str">
        <f t="shared" si="1"/>
        <v>criminal&lt;br&gt;&lt;div class="audio"&gt;[sound:criminal.mp3]&lt;/div&gt;</v>
      </c>
      <c r="F2883" s="3" t="str">
        <f t="shared" si="2"/>
        <v>(n): tội phạm</v>
      </c>
      <c r="G2883" s="6" t="s">
        <v>47784</v>
      </c>
      <c r="H2883" s="6" t="s">
        <v>47785</v>
      </c>
      <c r="I2883" s="7">
        <f t="shared" si="3"/>
        <v>0.4997984048</v>
      </c>
    </row>
    <row r="2884">
      <c r="A2884" s="4">
        <v>2884.0</v>
      </c>
      <c r="B2884" s="3" t="s">
        <v>47786</v>
      </c>
      <c r="C2884" s="6" t="s">
        <v>11</v>
      </c>
      <c r="D2884" s="6" t="s">
        <v>20041</v>
      </c>
      <c r="E2884" s="3" t="str">
        <f t="shared" si="1"/>
        <v>distant&lt;br&gt;&lt;div class="audio"&gt;[sound:distant.mp3]&lt;/div&gt;</v>
      </c>
      <c r="F2884" s="3" t="str">
        <f t="shared" si="2"/>
        <v>(adj): xa xôi</v>
      </c>
      <c r="G2884" s="6" t="s">
        <v>47787</v>
      </c>
      <c r="H2884" s="6" t="s">
        <v>47788</v>
      </c>
      <c r="I2884" s="7">
        <f t="shared" si="3"/>
        <v>0.02348840547</v>
      </c>
    </row>
    <row r="2885">
      <c r="A2885" s="4">
        <v>2885.0</v>
      </c>
      <c r="B2885" s="3" t="s">
        <v>47789</v>
      </c>
      <c r="C2885" s="6" t="s">
        <v>74</v>
      </c>
      <c r="D2885" s="6" t="s">
        <v>47790</v>
      </c>
      <c r="E2885" s="3" t="str">
        <f t="shared" si="1"/>
        <v>ease&lt;br&gt;&lt;div class="audio"&gt;[sound:ease.mp3]&lt;/div&gt;</v>
      </c>
      <c r="F2885" s="3" t="str">
        <f t="shared" si="2"/>
        <v>(n): sự dễ dàng</v>
      </c>
      <c r="G2885" s="6" t="s">
        <v>47791</v>
      </c>
      <c r="H2885" s="6" t="s">
        <v>47792</v>
      </c>
      <c r="I2885" s="7">
        <f t="shared" si="3"/>
        <v>0.432466226</v>
      </c>
    </row>
    <row r="2886">
      <c r="A2886" s="4">
        <v>2886.0</v>
      </c>
      <c r="B2886" s="3" t="s">
        <v>47793</v>
      </c>
      <c r="C2886" s="6" t="s">
        <v>74</v>
      </c>
      <c r="D2886" s="6" t="s">
        <v>15795</v>
      </c>
      <c r="E2886" s="3" t="str">
        <f t="shared" si="1"/>
        <v>destruction&lt;br&gt;&lt;div class="audio"&gt;[sound:destruction.mp3]&lt;/div&gt;</v>
      </c>
      <c r="F2886" s="3" t="str">
        <f t="shared" si="2"/>
        <v>(n): sự phá hủy</v>
      </c>
      <c r="G2886" s="6" t="s">
        <v>47794</v>
      </c>
      <c r="H2886" s="6" t="s">
        <v>47795</v>
      </c>
      <c r="I2886" s="7">
        <f t="shared" si="3"/>
        <v>0.1236806761</v>
      </c>
    </row>
    <row r="2887">
      <c r="A2887" s="4">
        <v>2887.0</v>
      </c>
      <c r="B2887" s="3" t="s">
        <v>47796</v>
      </c>
      <c r="C2887" s="6" t="s">
        <v>74</v>
      </c>
      <c r="D2887" s="6" t="s">
        <v>7956</v>
      </c>
      <c r="E2887" s="3" t="str">
        <f t="shared" si="1"/>
        <v>cop&lt;br&gt;&lt;div class="audio"&gt;[sound:cop.mp3]&lt;/div&gt;</v>
      </c>
      <c r="F2887" s="3" t="str">
        <f t="shared" si="2"/>
        <v>(n): cảnh sát</v>
      </c>
      <c r="G2887" s="6" t="s">
        <v>47797</v>
      </c>
      <c r="H2887" s="6" t="s">
        <v>47798</v>
      </c>
      <c r="I2887" s="7">
        <f t="shared" si="3"/>
        <v>0.01168568661</v>
      </c>
    </row>
    <row r="2888">
      <c r="A2888" s="4">
        <v>2888.0</v>
      </c>
      <c r="B2888" s="3" t="s">
        <v>12002</v>
      </c>
      <c r="C2888" s="6" t="s">
        <v>74</v>
      </c>
      <c r="D2888" s="6" t="s">
        <v>47799</v>
      </c>
      <c r="E2888" s="3" t="str">
        <f t="shared" si="1"/>
        <v>tennis&lt;br&gt;&lt;div class="audio"&gt;[sound:tennis.mp3]&lt;/div&gt;</v>
      </c>
      <c r="F2888" s="3" t="str">
        <f t="shared" si="2"/>
        <v>(n): quần vợt</v>
      </c>
      <c r="G2888" s="6" t="s">
        <v>47800</v>
      </c>
      <c r="H2888" s="6" t="s">
        <v>47801</v>
      </c>
      <c r="I2888" s="7">
        <f t="shared" si="3"/>
        <v>0.116393891</v>
      </c>
    </row>
    <row r="2889">
      <c r="A2889" s="4">
        <v>2889.0</v>
      </c>
      <c r="B2889" s="3" t="s">
        <v>47802</v>
      </c>
      <c r="C2889" s="6" t="s">
        <v>74</v>
      </c>
      <c r="D2889" s="6" t="s">
        <v>47803</v>
      </c>
      <c r="E2889" s="3" t="str">
        <f t="shared" si="1"/>
        <v>crop&lt;br&gt;&lt;div class="audio"&gt;[sound:crop.mp3]&lt;/div&gt;</v>
      </c>
      <c r="F2889" s="3" t="str">
        <f t="shared" si="2"/>
        <v>(n): vụ mùa</v>
      </c>
      <c r="G2889" s="6" t="s">
        <v>47804</v>
      </c>
      <c r="H2889" s="6" t="s">
        <v>47805</v>
      </c>
      <c r="I2889" s="7">
        <f t="shared" si="3"/>
        <v>0.5683230277</v>
      </c>
    </row>
    <row r="2890">
      <c r="A2890" s="4">
        <v>2890.0</v>
      </c>
      <c r="B2890" s="3" t="s">
        <v>47806</v>
      </c>
      <c r="C2890" s="6" t="s">
        <v>24</v>
      </c>
      <c r="D2890" s="6" t="s">
        <v>16709</v>
      </c>
      <c r="E2890" s="3" t="str">
        <f t="shared" si="1"/>
        <v>dig&lt;br&gt;&lt;div class="audio"&gt;[sound:dig.mp3]&lt;/div&gt;</v>
      </c>
      <c r="F2890" s="3" t="str">
        <f t="shared" si="2"/>
        <v>(v): đào</v>
      </c>
      <c r="G2890" s="6" t="s">
        <v>47807</v>
      </c>
      <c r="H2890" s="6" t="s">
        <v>47808</v>
      </c>
      <c r="I2890" s="7">
        <f t="shared" si="3"/>
        <v>0.2479978211</v>
      </c>
    </row>
    <row r="2891">
      <c r="A2891" s="4">
        <v>2891.0</v>
      </c>
      <c r="B2891" s="3" t="s">
        <v>47809</v>
      </c>
      <c r="C2891" s="6" t="s">
        <v>74</v>
      </c>
      <c r="D2891" s="6" t="s">
        <v>47810</v>
      </c>
      <c r="E2891" s="3" t="str">
        <f t="shared" si="1"/>
        <v>teens&lt;br&gt;&lt;div class="audio"&gt;[sound:teens.mp3]&lt;/div&gt;</v>
      </c>
      <c r="F2891" s="3" t="str">
        <f t="shared" si="2"/>
        <v>(n): tuổi thiếu niên</v>
      </c>
      <c r="G2891" s="6" t="s">
        <v>47811</v>
      </c>
      <c r="H2891" s="6" t="s">
        <v>47812</v>
      </c>
      <c r="I2891" s="7">
        <f t="shared" si="3"/>
        <v>0.788489246</v>
      </c>
    </row>
    <row r="2892">
      <c r="A2892" s="4">
        <v>2892.0</v>
      </c>
      <c r="B2892" s="3" t="s">
        <v>47813</v>
      </c>
      <c r="C2892" s="6" t="s">
        <v>74</v>
      </c>
      <c r="D2892" s="6" t="s">
        <v>47814</v>
      </c>
      <c r="E2892" s="3" t="str">
        <f t="shared" si="1"/>
        <v>economics&lt;br&gt;&lt;div class="audio"&gt;[sound:economics.mp3]&lt;/div&gt;</v>
      </c>
      <c r="F2892" s="3" t="str">
        <f t="shared" si="2"/>
        <v>(n): kinh tế học</v>
      </c>
      <c r="G2892" s="6" t="s">
        <v>47815</v>
      </c>
      <c r="H2892" s="6" t="s">
        <v>47816</v>
      </c>
      <c r="I2892" s="7">
        <f t="shared" si="3"/>
        <v>0.721615233</v>
      </c>
    </row>
    <row r="2893">
      <c r="A2893" s="4">
        <v>2893.0</v>
      </c>
      <c r="B2893" s="3" t="s">
        <v>47817</v>
      </c>
      <c r="C2893" s="6" t="s">
        <v>24</v>
      </c>
      <c r="D2893" s="6" t="s">
        <v>47818</v>
      </c>
      <c r="E2893" s="3" t="str">
        <f t="shared" si="1"/>
        <v>convert&lt;br&gt;&lt;div class="audio"&gt;[sound:convert.mp3]&lt;/div&gt;</v>
      </c>
      <c r="F2893" s="3" t="str">
        <f t="shared" si="2"/>
        <v>(v): chuyển đổi</v>
      </c>
      <c r="G2893" s="6" t="s">
        <v>47819</v>
      </c>
      <c r="H2893" s="6" t="s">
        <v>47820</v>
      </c>
      <c r="I2893" s="7">
        <f t="shared" si="3"/>
        <v>0.3761867243</v>
      </c>
    </row>
    <row r="2894">
      <c r="A2894" s="4">
        <v>2894.0</v>
      </c>
      <c r="B2894" s="3" t="s">
        <v>47821</v>
      </c>
      <c r="C2894" s="6" t="s">
        <v>74</v>
      </c>
      <c r="D2894" s="6" t="s">
        <v>29289</v>
      </c>
      <c r="E2894" s="3" t="str">
        <f t="shared" si="1"/>
        <v>desert&lt;br&gt;&lt;div class="audio"&gt;[sound:desert.mp3]&lt;/div&gt;</v>
      </c>
      <c r="F2894" s="3" t="str">
        <f t="shared" si="2"/>
        <v>(n): sa mạc</v>
      </c>
      <c r="G2894" s="6" t="s">
        <v>47822</v>
      </c>
      <c r="H2894" s="6" t="s">
        <v>47823</v>
      </c>
      <c r="I2894" s="7">
        <f t="shared" si="3"/>
        <v>0.6012543866</v>
      </c>
    </row>
    <row r="2895">
      <c r="A2895" s="4">
        <v>2895.0</v>
      </c>
      <c r="B2895" s="3" t="s">
        <v>47824</v>
      </c>
      <c r="C2895" s="6" t="s">
        <v>74</v>
      </c>
      <c r="D2895" s="6" t="s">
        <v>11705</v>
      </c>
      <c r="E2895" s="3" t="str">
        <f t="shared" si="1"/>
        <v>cream&lt;br&gt;&lt;div class="audio"&gt;[sound:cream.mp3]&lt;/div&gt;</v>
      </c>
      <c r="F2895" s="3" t="str">
        <f t="shared" si="2"/>
        <v>(n): kem</v>
      </c>
      <c r="G2895" s="6" t="s">
        <v>47825</v>
      </c>
      <c r="H2895" s="6" t="s">
        <v>47826</v>
      </c>
      <c r="I2895" s="7">
        <f t="shared" si="3"/>
        <v>0.4398787806</v>
      </c>
    </row>
    <row r="2896">
      <c r="A2896" s="4">
        <v>2896.0</v>
      </c>
      <c r="B2896" s="3" t="s">
        <v>47827</v>
      </c>
      <c r="C2896" s="6" t="s">
        <v>11</v>
      </c>
      <c r="D2896" s="6" t="s">
        <v>14815</v>
      </c>
      <c r="E2896" s="3" t="str">
        <f t="shared" si="1"/>
        <v>dirty&lt;br&gt;&lt;div class="audio"&gt;[sound:dirty.mp3]&lt;/div&gt;</v>
      </c>
      <c r="F2896" s="3" t="str">
        <f t="shared" si="2"/>
        <v>(adj): bẩn</v>
      </c>
      <c r="G2896" s="6" t="s">
        <v>47828</v>
      </c>
      <c r="H2896" s="6" t="s">
        <v>47829</v>
      </c>
      <c r="I2896" s="7">
        <f t="shared" si="3"/>
        <v>0.6899175349</v>
      </c>
    </row>
    <row r="2897">
      <c r="A2897" s="4">
        <v>2897.0</v>
      </c>
      <c r="B2897" s="3" t="s">
        <v>47830</v>
      </c>
      <c r="C2897" s="6" t="s">
        <v>85</v>
      </c>
      <c r="D2897" s="6" t="s">
        <v>40444</v>
      </c>
      <c r="E2897" s="3" t="str">
        <f t="shared" si="1"/>
        <v>firmly&lt;br&gt;&lt;div class="audio"&gt;[sound:firmly.mp3]&lt;/div&gt;</v>
      </c>
      <c r="F2897" s="3" t="str">
        <f t="shared" si="2"/>
        <v>(adv): một cách chắc chắn</v>
      </c>
      <c r="G2897" s="6" t="s">
        <v>47831</v>
      </c>
      <c r="H2897" s="6" t="s">
        <v>47832</v>
      </c>
      <c r="I2897" s="7">
        <f t="shared" si="3"/>
        <v>0.9931376718</v>
      </c>
    </row>
    <row r="2898">
      <c r="A2898" s="4">
        <v>2898.0</v>
      </c>
      <c r="B2898" s="3" t="s">
        <v>47833</v>
      </c>
      <c r="C2898" s="6" t="s">
        <v>11</v>
      </c>
      <c r="D2898" s="6" t="s">
        <v>47834</v>
      </c>
      <c r="E2898" s="3" t="str">
        <f t="shared" si="1"/>
        <v>worldwide&lt;br&gt;&lt;div class="audio"&gt;[sound:worldwide.mp3]&lt;/div&gt;</v>
      </c>
      <c r="F2898" s="3" t="str">
        <f t="shared" si="2"/>
        <v>(adj): trên toàn thế giới</v>
      </c>
      <c r="G2898" s="6" t="s">
        <v>47835</v>
      </c>
      <c r="H2898" s="6" t="s">
        <v>47836</v>
      </c>
      <c r="I2898" s="7">
        <f t="shared" si="3"/>
        <v>0.6449652104</v>
      </c>
    </row>
    <row r="2899">
      <c r="A2899" s="4">
        <v>2899.0</v>
      </c>
      <c r="B2899" s="3" t="s">
        <v>47837</v>
      </c>
      <c r="C2899" s="6" t="s">
        <v>74</v>
      </c>
      <c r="D2899" s="6" t="s">
        <v>47838</v>
      </c>
      <c r="E2899" s="3" t="str">
        <f t="shared" si="1"/>
        <v>membership&lt;br&gt;&lt;div class="audio"&gt;[sound:membership.mp3]&lt;/div&gt;</v>
      </c>
      <c r="F2899" s="3" t="str">
        <f t="shared" si="2"/>
        <v>(n): tư cách thành viên</v>
      </c>
      <c r="G2899" s="6" t="s">
        <v>47839</v>
      </c>
      <c r="H2899" s="6" t="s">
        <v>47840</v>
      </c>
      <c r="I2899" s="7">
        <f t="shared" si="3"/>
        <v>0.710979115</v>
      </c>
    </row>
    <row r="2900">
      <c r="A2900" s="4">
        <v>2900.0</v>
      </c>
      <c r="B2900" s="3" t="s">
        <v>47841</v>
      </c>
      <c r="C2900" s="6" t="s">
        <v>11</v>
      </c>
      <c r="D2900" s="8" t="s">
        <v>47842</v>
      </c>
      <c r="E2900" s="3" t="str">
        <f t="shared" si="1"/>
        <v>symbolic&lt;br&gt;&lt;div class="audio"&gt;[sound:symbolic.mp3]&lt;/div&gt;</v>
      </c>
      <c r="F2900" s="3" t="str">
        <f t="shared" si="2"/>
        <v>(adj): có tính biểu tượng</v>
      </c>
      <c r="G2900" s="8" t="s">
        <v>47843</v>
      </c>
      <c r="H2900" s="8" t="s">
        <v>47844</v>
      </c>
      <c r="I2900" s="7">
        <f t="shared" si="3"/>
        <v>0.2173264695</v>
      </c>
    </row>
    <row r="2901">
      <c r="A2901" s="4">
        <v>2901.0</v>
      </c>
      <c r="B2901" s="3" t="s">
        <v>47845</v>
      </c>
      <c r="C2901" s="6" t="s">
        <v>74</v>
      </c>
      <c r="D2901" s="6" t="s">
        <v>47846</v>
      </c>
      <c r="E2901" s="3" t="str">
        <f t="shared" si="1"/>
        <v>uncertainty&lt;br&gt;&lt;div class="audio"&gt;[sound:uncertainty.mp3]&lt;/div&gt;</v>
      </c>
      <c r="F2901" s="3" t="str">
        <f t="shared" si="2"/>
        <v>(n): sự không chắc chắn</v>
      </c>
      <c r="G2901" s="6" t="s">
        <v>47847</v>
      </c>
      <c r="H2901" s="6" t="s">
        <v>47848</v>
      </c>
      <c r="I2901" s="7">
        <f t="shared" si="3"/>
        <v>0.2048797448</v>
      </c>
    </row>
    <row r="2902">
      <c r="A2902" s="4">
        <v>2902.0</v>
      </c>
      <c r="B2902" s="3" t="s">
        <v>47849</v>
      </c>
      <c r="C2902" s="6" t="s">
        <v>74</v>
      </c>
      <c r="D2902" s="6" t="s">
        <v>47850</v>
      </c>
      <c r="E2902" s="3" t="str">
        <f t="shared" si="1"/>
        <v>terrorism&lt;br&gt;&lt;div class="audio"&gt;[sound:terrorism.mp3]&lt;/div&gt;</v>
      </c>
      <c r="F2902" s="3" t="str">
        <f t="shared" si="2"/>
        <v>(n): chủ nghĩa khủng bố</v>
      </c>
      <c r="G2902" s="6" t="s">
        <v>47851</v>
      </c>
      <c r="H2902" s="6" t="s">
        <v>47852</v>
      </c>
      <c r="I2902" s="7">
        <f t="shared" si="3"/>
        <v>0.9987845918</v>
      </c>
    </row>
    <row r="2903">
      <c r="A2903" s="4">
        <v>2903.0</v>
      </c>
      <c r="B2903" s="3" t="s">
        <v>47853</v>
      </c>
      <c r="C2903" s="6" t="s">
        <v>74</v>
      </c>
      <c r="D2903" s="6" t="s">
        <v>47854</v>
      </c>
      <c r="E2903" s="3" t="str">
        <f t="shared" si="1"/>
        <v>winner&lt;br&gt;&lt;div class="audio"&gt;[sound:winner.mp3]&lt;/div&gt;</v>
      </c>
      <c r="F2903" s="3" t="str">
        <f t="shared" si="2"/>
        <v>(n): người chiến thắng</v>
      </c>
      <c r="G2903" s="6" t="s">
        <v>47855</v>
      </c>
      <c r="H2903" s="6" t="s">
        <v>47856</v>
      </c>
      <c r="I2903" s="7">
        <f t="shared" si="3"/>
        <v>0.2866148016</v>
      </c>
    </row>
    <row r="2904">
      <c r="A2904" s="4">
        <v>2904.0</v>
      </c>
      <c r="B2904" s="3" t="s">
        <v>47857</v>
      </c>
      <c r="C2904" s="6" t="s">
        <v>74</v>
      </c>
      <c r="D2904" s="6" t="s">
        <v>47858</v>
      </c>
      <c r="E2904" s="3" t="str">
        <f t="shared" si="1"/>
        <v>laptop&lt;br&gt;&lt;div class="audio"&gt;[sound:laptop.mp3]&lt;/div&gt;</v>
      </c>
      <c r="F2904" s="3" t="str">
        <f t="shared" si="2"/>
        <v>(n): máy tính xách tay</v>
      </c>
      <c r="G2904" s="6" t="s">
        <v>47859</v>
      </c>
      <c r="H2904" s="6" t="s">
        <v>47860</v>
      </c>
      <c r="I2904" s="7">
        <f t="shared" si="3"/>
        <v>0.09466651661</v>
      </c>
    </row>
    <row r="2905">
      <c r="A2905" s="4">
        <v>2905.0</v>
      </c>
      <c r="B2905" s="3" t="s">
        <v>47861</v>
      </c>
      <c r="C2905" s="6" t="s">
        <v>11</v>
      </c>
      <c r="D2905" s="6" t="s">
        <v>47862</v>
      </c>
      <c r="E2905" s="3" t="str">
        <f t="shared" si="1"/>
        <v>congressional&lt;br&gt;&lt;div class="audio"&gt;[sound:congressional.mp3]&lt;/div&gt;</v>
      </c>
      <c r="F2905" s="3" t="str">
        <f t="shared" si="2"/>
        <v>(adj): thuộc về quốc hội</v>
      </c>
      <c r="G2905" s="6" t="s">
        <v>47863</v>
      </c>
      <c r="H2905" s="6" t="s">
        <v>47864</v>
      </c>
      <c r="I2905" s="7">
        <f t="shared" si="3"/>
        <v>0.9028959061</v>
      </c>
    </row>
    <row r="2906">
      <c r="A2906" s="4">
        <v>2906.0</v>
      </c>
      <c r="B2906" s="3" t="s">
        <v>47865</v>
      </c>
      <c r="C2906" s="6" t="s">
        <v>74</v>
      </c>
      <c r="D2906" s="8" t="s">
        <v>47866</v>
      </c>
      <c r="E2906" s="3" t="str">
        <f t="shared" si="1"/>
        <v>surgeon&lt;br&gt;&lt;div class="audio"&gt;[sound:surgeon.mp3]&lt;/div&gt;</v>
      </c>
      <c r="F2906" s="3" t="str">
        <f t="shared" si="2"/>
        <v>(n): bác sĩ phẫu thuật</v>
      </c>
      <c r="G2906" s="8" t="s">
        <v>47867</v>
      </c>
      <c r="H2906" s="8" t="s">
        <v>47868</v>
      </c>
      <c r="I2906" s="7">
        <f t="shared" si="3"/>
        <v>0.6970851369</v>
      </c>
    </row>
    <row r="2907">
      <c r="A2907" s="4">
        <v>2907.0</v>
      </c>
      <c r="B2907" s="3" t="s">
        <v>47869</v>
      </c>
      <c r="C2907" s="6" t="s">
        <v>11</v>
      </c>
      <c r="D2907" s="6" t="s">
        <v>47870</v>
      </c>
      <c r="E2907" s="3" t="str">
        <f t="shared" si="1"/>
        <v>affordable&lt;br&gt;&lt;div class="audio"&gt;[sound:affordable.mp3]&lt;/div&gt;</v>
      </c>
      <c r="F2907" s="3" t="str">
        <f t="shared" si="2"/>
        <v>(adj): giá cả phải chăng</v>
      </c>
      <c r="G2907" s="6" t="s">
        <v>47871</v>
      </c>
      <c r="H2907" s="6" t="s">
        <v>47872</v>
      </c>
      <c r="I2907" s="7">
        <f t="shared" si="3"/>
        <v>0.01139977243</v>
      </c>
    </row>
    <row r="2908">
      <c r="A2908" s="4">
        <v>2908.0</v>
      </c>
      <c r="B2908" s="3" t="s">
        <v>47873</v>
      </c>
      <c r="C2908" s="6" t="s">
        <v>11</v>
      </c>
      <c r="D2908" s="6" t="s">
        <v>47874</v>
      </c>
      <c r="E2908" s="3" t="str">
        <f t="shared" si="1"/>
        <v>vulnerable&lt;br&gt;&lt;div class="audio"&gt;[sound:vulnerable.mp3]&lt;/div&gt;</v>
      </c>
      <c r="F2908" s="3" t="str">
        <f t="shared" si="2"/>
        <v>(adj): dễ bị tổn thương</v>
      </c>
      <c r="G2908" s="6" t="s">
        <v>47875</v>
      </c>
      <c r="H2908" s="6" t="s">
        <v>47876</v>
      </c>
      <c r="I2908" s="7">
        <f t="shared" si="3"/>
        <v>0.1838039739</v>
      </c>
    </row>
    <row r="2909">
      <c r="A2909" s="4">
        <v>2909.0</v>
      </c>
      <c r="B2909" s="3" t="s">
        <v>47877</v>
      </c>
      <c r="C2909" s="6" t="s">
        <v>74</v>
      </c>
      <c r="D2909" s="6" t="s">
        <v>388</v>
      </c>
      <c r="E2909" s="3" t="str">
        <f t="shared" si="1"/>
        <v>interval&lt;br&gt;&lt;div class="audio"&gt;[sound:interval.mp3]&lt;/div&gt;</v>
      </c>
      <c r="F2909" s="3" t="str">
        <f t="shared" si="2"/>
        <v>(n): khoảng thời gian</v>
      </c>
      <c r="G2909" s="6" t="s">
        <v>47878</v>
      </c>
      <c r="H2909" s="6" t="s">
        <v>47879</v>
      </c>
      <c r="I2909" s="7">
        <f t="shared" si="3"/>
        <v>0.7093557184</v>
      </c>
    </row>
    <row r="2910">
      <c r="A2910" s="4">
        <v>2910.0</v>
      </c>
      <c r="B2910" s="3" t="s">
        <v>47880</v>
      </c>
      <c r="C2910" s="6" t="s">
        <v>74</v>
      </c>
      <c r="D2910" s="6" t="s">
        <v>47881</v>
      </c>
      <c r="E2910" s="3" t="str">
        <f t="shared" si="1"/>
        <v>inequality&lt;br&gt;&lt;div class="audio"&gt;[sound:inequality.mp3]&lt;/div&gt;</v>
      </c>
      <c r="F2910" s="3" t="str">
        <f t="shared" si="2"/>
        <v>(n): sự bất bình đẳng</v>
      </c>
      <c r="G2910" s="6" t="s">
        <v>47882</v>
      </c>
      <c r="H2910" s="6" t="s">
        <v>47883</v>
      </c>
      <c r="I2910" s="7">
        <f t="shared" si="3"/>
        <v>0.5053252867</v>
      </c>
    </row>
    <row r="2911">
      <c r="A2911" s="4">
        <v>2911.0</v>
      </c>
      <c r="B2911" s="3" t="s">
        <v>47884</v>
      </c>
      <c r="C2911" s="6" t="s">
        <v>11</v>
      </c>
      <c r="D2911" s="6" t="s">
        <v>47885</v>
      </c>
      <c r="E2911" s="3" t="str">
        <f t="shared" si="1"/>
        <v>comparative&lt;br&gt;&lt;div class="audio"&gt;[sound:comparative.mp3]&lt;/div&gt;</v>
      </c>
      <c r="F2911" s="3" t="str">
        <f t="shared" si="2"/>
        <v>(adj): có tính so sánh</v>
      </c>
      <c r="G2911" s="6" t="s">
        <v>47886</v>
      </c>
      <c r="H2911" s="6" t="s">
        <v>47887</v>
      </c>
      <c r="I2911" s="7">
        <f t="shared" si="3"/>
        <v>0.4467228139</v>
      </c>
    </row>
    <row r="2912">
      <c r="A2912" s="4">
        <v>2912.0</v>
      </c>
      <c r="B2912" s="3" t="s">
        <v>47888</v>
      </c>
      <c r="C2912" s="6" t="s">
        <v>74</v>
      </c>
      <c r="D2912" s="6" t="s">
        <v>47889</v>
      </c>
      <c r="E2912" s="3" t="str">
        <f t="shared" si="1"/>
        <v>twin&lt;br&gt;&lt;div class="audio"&gt;[sound:twin.mp3]&lt;/div&gt;</v>
      </c>
      <c r="F2912" s="3" t="str">
        <f t="shared" si="2"/>
        <v>(n): anh em sinh đôi</v>
      </c>
      <c r="G2912" s="6" t="s">
        <v>47890</v>
      </c>
      <c r="H2912" s="6" t="s">
        <v>47891</v>
      </c>
      <c r="I2912" s="7">
        <f t="shared" si="3"/>
        <v>0.7215771304</v>
      </c>
    </row>
    <row r="2913">
      <c r="A2913" s="4">
        <v>2913.0</v>
      </c>
      <c r="B2913" s="3" t="s">
        <v>47892</v>
      </c>
      <c r="C2913" s="6" t="s">
        <v>85</v>
      </c>
      <c r="D2913" s="6" t="s">
        <v>47893</v>
      </c>
      <c r="E2913" s="3" t="str">
        <f t="shared" si="1"/>
        <v>physically&lt;br&gt;&lt;div class="audio"&gt;[sound:physically.mp3]&lt;/div&gt;</v>
      </c>
      <c r="F2913" s="3" t="str">
        <f t="shared" si="2"/>
        <v>(adv): về mặt thể chất</v>
      </c>
      <c r="G2913" s="6" t="s">
        <v>47894</v>
      </c>
      <c r="H2913" s="6" t="s">
        <v>47895</v>
      </c>
      <c r="I2913" s="7">
        <f t="shared" si="3"/>
        <v>0.3885802772</v>
      </c>
    </row>
    <row r="2914">
      <c r="A2914" s="4">
        <v>2914.0</v>
      </c>
      <c r="B2914" s="3" t="s">
        <v>47896</v>
      </c>
      <c r="C2914" s="6" t="s">
        <v>74</v>
      </c>
      <c r="D2914" s="6" t="s">
        <v>47897</v>
      </c>
      <c r="E2914" s="3" t="str">
        <f t="shared" si="1"/>
        <v>farming&lt;br&gt;&lt;div class="audio"&gt;[sound:farming.mp3]&lt;/div&gt;</v>
      </c>
      <c r="F2914" s="3" t="str">
        <f t="shared" si="2"/>
        <v>(n): việc trồng trọt</v>
      </c>
      <c r="G2914" s="6" t="s">
        <v>47898</v>
      </c>
      <c r="H2914" s="6" t="s">
        <v>47899</v>
      </c>
      <c r="I2914" s="7">
        <f t="shared" si="3"/>
        <v>0.4113483388</v>
      </c>
    </row>
    <row r="2915">
      <c r="A2915" s="4">
        <v>2915.0</v>
      </c>
      <c r="B2915" s="3" t="s">
        <v>47900</v>
      </c>
      <c r="C2915" s="6" t="s">
        <v>11</v>
      </c>
      <c r="D2915" s="6" t="s">
        <v>47901</v>
      </c>
      <c r="E2915" s="3" t="str">
        <f t="shared" si="1"/>
        <v>uncomfortable&lt;br&gt;&lt;div class="audio"&gt;[sound:uncomfortable.mp3]&lt;/div&gt;</v>
      </c>
      <c r="F2915" s="3" t="str">
        <f t="shared" si="2"/>
        <v>(adj): không thoải mái</v>
      </c>
      <c r="G2915" s="6" t="s">
        <v>47902</v>
      </c>
      <c r="H2915" s="6" t="s">
        <v>47903</v>
      </c>
      <c r="I2915" s="7">
        <f t="shared" si="3"/>
        <v>0.6202504429</v>
      </c>
    </row>
    <row r="2916">
      <c r="A2916" s="4">
        <v>2916.0</v>
      </c>
      <c r="B2916" s="3" t="s">
        <v>47904</v>
      </c>
      <c r="C2916" s="6" t="s">
        <v>11</v>
      </c>
      <c r="D2916" s="6" t="s">
        <v>47905</v>
      </c>
      <c r="E2916" s="3" t="str">
        <f t="shared" si="1"/>
        <v>accessible&lt;br&gt;&lt;div class="audio"&gt;[sound:accessible.mp3]&lt;/div&gt;</v>
      </c>
      <c r="F2916" s="3" t="str">
        <f t="shared" si="2"/>
        <v>(adj): có thể tiếp cận</v>
      </c>
      <c r="G2916" s="6" t="s">
        <v>47906</v>
      </c>
      <c r="H2916" s="6" t="s">
        <v>47907</v>
      </c>
      <c r="I2916" s="7">
        <f t="shared" si="3"/>
        <v>0.6822792067</v>
      </c>
    </row>
    <row r="2917">
      <c r="A2917" s="4">
        <v>2917.0</v>
      </c>
      <c r="B2917" s="3" t="s">
        <v>47908</v>
      </c>
      <c r="C2917" s="6" t="s">
        <v>74</v>
      </c>
      <c r="D2917" s="6" t="s">
        <v>47909</v>
      </c>
      <c r="E2917" s="3" t="str">
        <f t="shared" si="1"/>
        <v>broadband&lt;br&gt;&lt;div class="audio"&gt;[sound:broadband.mp3]&lt;/div&gt;</v>
      </c>
      <c r="F2917" s="3" t="str">
        <f t="shared" si="2"/>
        <v>(n): băng thông rộng</v>
      </c>
      <c r="G2917" s="6" t="s">
        <v>47910</v>
      </c>
      <c r="H2917" s="6" t="s">
        <v>47911</v>
      </c>
      <c r="I2917" s="7">
        <f t="shared" si="3"/>
        <v>0.3015643713</v>
      </c>
    </row>
    <row r="2918">
      <c r="A2918" s="4">
        <v>2918.0</v>
      </c>
      <c r="B2918" s="3" t="s">
        <v>47912</v>
      </c>
      <c r="C2918" s="6" t="s">
        <v>74</v>
      </c>
      <c r="D2918" s="6" t="s">
        <v>47913</v>
      </c>
      <c r="E2918" s="3" t="str">
        <f t="shared" si="1"/>
        <v>airline&lt;br&gt;&lt;div class="audio"&gt;[sound:airline.mp3]&lt;/div&gt;</v>
      </c>
      <c r="F2918" s="3" t="str">
        <f t="shared" si="2"/>
        <v>(n): hãng hàng không</v>
      </c>
      <c r="G2918" s="6" t="s">
        <v>47914</v>
      </c>
      <c r="H2918" s="6" t="s">
        <v>47915</v>
      </c>
      <c r="I2918" s="7">
        <f t="shared" si="3"/>
        <v>0.8647637255</v>
      </c>
    </row>
    <row r="2919">
      <c r="A2919" s="4">
        <v>2919.0</v>
      </c>
      <c r="B2919" s="3" t="s">
        <v>47916</v>
      </c>
      <c r="C2919" s="6" t="s">
        <v>11</v>
      </c>
      <c r="D2919" s="6" t="s">
        <v>47917</v>
      </c>
      <c r="E2919" s="3" t="str">
        <f t="shared" si="1"/>
        <v>incorrect&lt;br&gt;&lt;div class="audio"&gt;[sound:incorrect.mp3]&lt;/div&gt;</v>
      </c>
      <c r="F2919" s="3" t="str">
        <f t="shared" si="2"/>
        <v>(adj): không chính xác</v>
      </c>
      <c r="G2919" s="6" t="s">
        <v>47918</v>
      </c>
      <c r="H2919" s="6" t="s">
        <v>47919</v>
      </c>
      <c r="I2919" s="7">
        <f t="shared" si="3"/>
        <v>0.4143885553</v>
      </c>
    </row>
    <row r="2920">
      <c r="A2920" s="4">
        <v>2920.0</v>
      </c>
      <c r="B2920" s="3" t="s">
        <v>47920</v>
      </c>
      <c r="C2920" s="6" t="s">
        <v>74</v>
      </c>
      <c r="D2920" s="6" t="s">
        <v>4981</v>
      </c>
      <c r="E2920" s="3" t="str">
        <f t="shared" si="1"/>
        <v>homework&lt;br&gt;&lt;div class="audio"&gt;[sound:homework.mp3]&lt;/div&gt;</v>
      </c>
      <c r="F2920" s="3" t="str">
        <f t="shared" si="2"/>
        <v>(n): bài tập về nhà</v>
      </c>
      <c r="G2920" s="6" t="s">
        <v>47921</v>
      </c>
      <c r="H2920" s="6" t="s">
        <v>47922</v>
      </c>
      <c r="I2920" s="7">
        <f t="shared" si="3"/>
        <v>0.9656923322</v>
      </c>
    </row>
    <row r="2921">
      <c r="A2921" s="4">
        <v>2921.0</v>
      </c>
      <c r="B2921" s="3" t="s">
        <v>47923</v>
      </c>
      <c r="C2921" s="6" t="s">
        <v>74</v>
      </c>
      <c r="D2921" s="6" t="s">
        <v>47924</v>
      </c>
      <c r="E2921" s="3" t="str">
        <f t="shared" si="1"/>
        <v>participant&lt;br&gt;&lt;div class="audio"&gt;[sound:participant.mp3]&lt;/div&gt;</v>
      </c>
      <c r="F2921" s="3" t="str">
        <f t="shared" si="2"/>
        <v>(n): người tham gia</v>
      </c>
      <c r="G2921" s="6" t="s">
        <v>47925</v>
      </c>
      <c r="H2921" s="6" t="s">
        <v>47926</v>
      </c>
      <c r="I2921" s="7">
        <f t="shared" si="3"/>
        <v>0.9540019312</v>
      </c>
    </row>
    <row r="2922">
      <c r="A2922" s="4">
        <v>2922.0</v>
      </c>
      <c r="B2922" s="3" t="s">
        <v>47927</v>
      </c>
      <c r="C2922" s="6" t="s">
        <v>74</v>
      </c>
      <c r="D2922" s="6" t="s">
        <v>47928</v>
      </c>
      <c r="E2922" s="3" t="str">
        <f t="shared" si="1"/>
        <v>broadcaster&lt;br&gt;&lt;div class="audio"&gt;[sound:broadcaster.mp3]&lt;/div&gt;</v>
      </c>
      <c r="F2922" s="3" t="str">
        <f t="shared" si="2"/>
        <v>(n): phát thanh viên</v>
      </c>
      <c r="G2922" s="6" t="s">
        <v>47929</v>
      </c>
      <c r="H2922" s="6" t="s">
        <v>47930</v>
      </c>
      <c r="I2922" s="7">
        <f t="shared" si="3"/>
        <v>0.2018188196</v>
      </c>
    </row>
    <row r="2923">
      <c r="A2923" s="4">
        <v>2923.0</v>
      </c>
      <c r="B2923" s="3" t="s">
        <v>47931</v>
      </c>
      <c r="C2923" s="6" t="s">
        <v>74</v>
      </c>
      <c r="D2923" s="8" t="s">
        <v>47932</v>
      </c>
      <c r="E2923" s="3" t="str">
        <f t="shared" si="1"/>
        <v>successor&lt;br&gt;&lt;div class="audio"&gt;[sound:successor.mp3]&lt;/div&gt;</v>
      </c>
      <c r="F2923" s="3" t="str">
        <f t="shared" si="2"/>
        <v>(n): người kế nhiệm</v>
      </c>
      <c r="G2923" s="8" t="s">
        <v>47933</v>
      </c>
      <c r="H2923" s="8" t="s">
        <v>47934</v>
      </c>
      <c r="I2923" s="7">
        <f t="shared" si="3"/>
        <v>0.2872151288</v>
      </c>
    </row>
    <row r="2924">
      <c r="A2924" s="4">
        <v>2924.0</v>
      </c>
      <c r="B2924" s="3" t="s">
        <v>47935</v>
      </c>
      <c r="C2924" s="6" t="s">
        <v>74</v>
      </c>
      <c r="D2924" s="6" t="s">
        <v>47936</v>
      </c>
      <c r="E2924" s="3" t="str">
        <f t="shared" si="1"/>
        <v>cartoon&lt;br&gt;&lt;div class="audio"&gt;[sound:cartoon.mp3]&lt;/div&gt;</v>
      </c>
      <c r="F2924" s="3" t="str">
        <f t="shared" si="2"/>
        <v>(n): phim hoạt hình</v>
      </c>
      <c r="G2924" s="6" t="s">
        <v>47937</v>
      </c>
      <c r="H2924" s="6" t="s">
        <v>47938</v>
      </c>
      <c r="I2924" s="7">
        <f t="shared" si="3"/>
        <v>0.6200536179</v>
      </c>
    </row>
    <row r="2925">
      <c r="A2925" s="4">
        <v>2925.0</v>
      </c>
      <c r="B2925" s="3" t="s">
        <v>47939</v>
      </c>
      <c r="C2925" s="6" t="s">
        <v>74</v>
      </c>
      <c r="D2925" s="6" t="s">
        <v>47940</v>
      </c>
      <c r="E2925" s="3" t="str">
        <f t="shared" si="1"/>
        <v>inspiration&lt;br&gt;&lt;div class="audio"&gt;[sound:inspiration.mp3]&lt;/div&gt;</v>
      </c>
      <c r="F2925" s="3" t="str">
        <f t="shared" si="2"/>
        <v>(n): nguồn cảm hứng</v>
      </c>
      <c r="G2925" s="6" t="s">
        <v>47941</v>
      </c>
      <c r="H2925" s="6" t="s">
        <v>47942</v>
      </c>
      <c r="I2925" s="7">
        <f t="shared" si="3"/>
        <v>0.6384549897</v>
      </c>
    </row>
    <row r="2926">
      <c r="A2926" s="4">
        <v>2926.0</v>
      </c>
      <c r="B2926" s="3" t="s">
        <v>47943</v>
      </c>
      <c r="C2926" s="6" t="s">
        <v>74</v>
      </c>
      <c r="D2926" s="6" t="s">
        <v>47944</v>
      </c>
      <c r="E2926" s="3" t="str">
        <f t="shared" si="1"/>
        <v>commentator&lt;br&gt;&lt;div class="audio"&gt;[sound:commentator.mp3]&lt;/div&gt;</v>
      </c>
      <c r="F2926" s="3" t="str">
        <f t="shared" si="2"/>
        <v>(n): bình luận viên</v>
      </c>
      <c r="G2926" s="6" t="s">
        <v>47945</v>
      </c>
      <c r="H2926" s="6" t="s">
        <v>47946</v>
      </c>
      <c r="I2926" s="7">
        <f t="shared" si="3"/>
        <v>0.9636776521</v>
      </c>
    </row>
    <row r="2927">
      <c r="A2927" s="4">
        <v>2927.0</v>
      </c>
      <c r="B2927" s="3" t="s">
        <v>47947</v>
      </c>
      <c r="C2927" s="6" t="s">
        <v>11</v>
      </c>
      <c r="D2927" s="6" t="s">
        <v>47948</v>
      </c>
      <c r="E2927" s="3" t="str">
        <f t="shared" si="1"/>
        <v>unknown&lt;br&gt;&lt;div class="audio"&gt;[sound:unknown.mp3]&lt;/div&gt;</v>
      </c>
      <c r="F2927" s="3" t="str">
        <f t="shared" si="2"/>
        <v>(adj): không xác định</v>
      </c>
      <c r="G2927" s="6" t="s">
        <v>47949</v>
      </c>
      <c r="H2927" s="6" t="s">
        <v>47950</v>
      </c>
      <c r="I2927" s="7">
        <f t="shared" si="3"/>
        <v>0.922715984</v>
      </c>
    </row>
    <row r="2928">
      <c r="A2928" s="4">
        <v>2928.0</v>
      </c>
      <c r="B2928" s="3" t="s">
        <v>47951</v>
      </c>
      <c r="C2928" s="6" t="s">
        <v>11</v>
      </c>
      <c r="D2928" s="8" t="s">
        <v>47952</v>
      </c>
      <c r="E2928" s="3" t="str">
        <f t="shared" si="1"/>
        <v>solar&lt;br&gt;&lt;div class="audio"&gt;[sound:solar.mp3]&lt;/div&gt;</v>
      </c>
      <c r="F2928" s="3" t="str">
        <f t="shared" si="2"/>
        <v>(adj): thuộc mặt trời</v>
      </c>
      <c r="G2928" s="8" t="s">
        <v>47953</v>
      </c>
      <c r="H2928" s="8" t="s">
        <v>47954</v>
      </c>
      <c r="I2928" s="7">
        <f t="shared" si="3"/>
        <v>0.6579673136</v>
      </c>
    </row>
    <row r="2929">
      <c r="A2929" s="4">
        <v>2929.0</v>
      </c>
      <c r="B2929" s="3" t="s">
        <v>47955</v>
      </c>
      <c r="C2929" s="6" t="s">
        <v>85</v>
      </c>
      <c r="D2929" s="6" t="s">
        <v>47956</v>
      </c>
      <c r="E2929" s="3" t="str">
        <f t="shared" si="1"/>
        <v>freely&lt;br&gt;&lt;div class="audio"&gt;[sound:freely.mp3]&lt;/div&gt;</v>
      </c>
      <c r="F2929" s="3" t="str">
        <f t="shared" si="2"/>
        <v>(adv): một cách tự do</v>
      </c>
      <c r="G2929" s="6" t="s">
        <v>47957</v>
      </c>
      <c r="H2929" s="6" t="s">
        <v>47958</v>
      </c>
      <c r="I2929" s="7">
        <f t="shared" si="3"/>
        <v>0.2777530669</v>
      </c>
    </row>
    <row r="2930">
      <c r="A2930" s="4">
        <v>2930.0</v>
      </c>
      <c r="B2930" s="3" t="s">
        <v>47959</v>
      </c>
      <c r="C2930" s="6" t="s">
        <v>74</v>
      </c>
      <c r="D2930" s="6" t="s">
        <v>47960</v>
      </c>
      <c r="E2930" s="3" t="str">
        <f t="shared" si="1"/>
        <v>congratulation&lt;br&gt;&lt;div class="audio"&gt;[sound:congratulation.mp3]&lt;/div&gt;</v>
      </c>
      <c r="F2930" s="3" t="str">
        <f t="shared" si="2"/>
        <v>(n): lời chúc mừng</v>
      </c>
      <c r="G2930" s="6" t="s">
        <v>47961</v>
      </c>
      <c r="H2930" s="6" t="s">
        <v>47962</v>
      </c>
      <c r="I2930" s="7">
        <f t="shared" si="3"/>
        <v>0.4927805177</v>
      </c>
    </row>
    <row r="2931">
      <c r="A2931" s="4">
        <v>2931.0</v>
      </c>
      <c r="B2931" s="3" t="s">
        <v>47963</v>
      </c>
      <c r="C2931" s="6" t="s">
        <v>74</v>
      </c>
      <c r="D2931" s="6" t="s">
        <v>47964</v>
      </c>
      <c r="E2931" s="3" t="str">
        <f t="shared" si="1"/>
        <v>hazard&lt;br&gt;&lt;div class="audio"&gt;[sound:hazard.mp3]&lt;/div&gt;</v>
      </c>
      <c r="F2931" s="3" t="str">
        <f t="shared" si="2"/>
        <v>(n): mối nguy hiểm</v>
      </c>
      <c r="G2931" s="6" t="s">
        <v>47965</v>
      </c>
      <c r="H2931" s="6" t="s">
        <v>47966</v>
      </c>
      <c r="I2931" s="7">
        <f t="shared" si="3"/>
        <v>0.9667263673</v>
      </c>
    </row>
    <row r="2932">
      <c r="A2932" s="4">
        <v>2932.0</v>
      </c>
      <c r="B2932" s="3" t="s">
        <v>47967</v>
      </c>
      <c r="C2932" s="6" t="s">
        <v>74</v>
      </c>
      <c r="D2932" s="8" t="s">
        <v>47968</v>
      </c>
      <c r="E2932" s="3" t="str">
        <f t="shared" si="1"/>
        <v>sketch&lt;br&gt;&lt;div class="audio"&gt;[sound:sketch.mp3]&lt;/div&gt;</v>
      </c>
      <c r="F2932" s="3" t="str">
        <f t="shared" si="2"/>
        <v>(n): bản phác thảo</v>
      </c>
      <c r="G2932" s="8" t="s">
        <v>47969</v>
      </c>
      <c r="H2932" s="8" t="s">
        <v>47970</v>
      </c>
      <c r="I2932" s="7">
        <f t="shared" si="3"/>
        <v>0.2781597607</v>
      </c>
    </row>
    <row r="2933">
      <c r="A2933" s="4">
        <v>2933.0</v>
      </c>
      <c r="B2933" s="3" t="s">
        <v>47971</v>
      </c>
      <c r="C2933" s="6" t="s">
        <v>11</v>
      </c>
      <c r="D2933" s="6" t="s">
        <v>47972</v>
      </c>
      <c r="E2933" s="3" t="str">
        <f t="shared" si="1"/>
        <v>musical&lt;br&gt;&lt;div class="audio"&gt;[sound:musical.mp3]&lt;/div&gt;</v>
      </c>
      <c r="F2933" s="3" t="str">
        <f t="shared" si="2"/>
        <v>(adj): thuộc âm nhạc</v>
      </c>
      <c r="G2933" s="6" t="s">
        <v>47973</v>
      </c>
      <c r="H2933" s="6" t="s">
        <v>47974</v>
      </c>
      <c r="I2933" s="7">
        <f t="shared" si="3"/>
        <v>0.8394037267</v>
      </c>
    </row>
    <row r="2934">
      <c r="A2934" s="4">
        <v>2934.0</v>
      </c>
      <c r="B2934" s="3" t="s">
        <v>47975</v>
      </c>
      <c r="C2934" s="6" t="s">
        <v>11</v>
      </c>
      <c r="D2934" s="6" t="s">
        <v>47976</v>
      </c>
      <c r="E2934" s="3" t="str">
        <f t="shared" si="1"/>
        <v>moral&lt;br&gt;&lt;div class="audio"&gt;[sound:moral.mp3]&lt;/div&gt;</v>
      </c>
      <c r="F2934" s="3" t="str">
        <f t="shared" si="2"/>
        <v>(adj): thuộc đạo đức</v>
      </c>
      <c r="G2934" s="6" t="s">
        <v>47977</v>
      </c>
      <c r="H2934" s="6" t="s">
        <v>47978</v>
      </c>
      <c r="I2934" s="7">
        <f t="shared" si="3"/>
        <v>0.2749664732</v>
      </c>
    </row>
    <row r="2935">
      <c r="A2935" s="4">
        <v>2935.0</v>
      </c>
      <c r="B2935" s="3" t="s">
        <v>47979</v>
      </c>
      <c r="C2935" s="6" t="s">
        <v>74</v>
      </c>
      <c r="D2935" s="6" t="s">
        <v>47980</v>
      </c>
      <c r="E2935" s="3" t="str">
        <f t="shared" si="1"/>
        <v>integrity&lt;br&gt;&lt;div class="audio"&gt;[sound:integrity.mp3]&lt;/div&gt;</v>
      </c>
      <c r="F2935" s="3" t="str">
        <f t="shared" si="2"/>
        <v>(n): sự chính trực</v>
      </c>
      <c r="G2935" s="6" t="s">
        <v>47981</v>
      </c>
      <c r="H2935" s="6" t="s">
        <v>47982</v>
      </c>
      <c r="I2935" s="7">
        <f t="shared" si="3"/>
        <v>0.2208011846</v>
      </c>
    </row>
    <row r="2936">
      <c r="A2936" s="4">
        <v>2936.0</v>
      </c>
      <c r="B2936" s="3" t="s">
        <v>47983</v>
      </c>
      <c r="C2936" s="6" t="s">
        <v>74</v>
      </c>
      <c r="D2936" s="6" t="s">
        <v>12231</v>
      </c>
      <c r="E2936" s="3" t="str">
        <f t="shared" si="1"/>
        <v>photographer&lt;br&gt;&lt;div class="audio"&gt;[sound:photographer.mp3]&lt;/div&gt;</v>
      </c>
      <c r="F2936" s="3" t="str">
        <f t="shared" si="2"/>
        <v>(n): nhiếp ảnh gia</v>
      </c>
      <c r="G2936" s="6" t="s">
        <v>47984</v>
      </c>
      <c r="H2936" s="6" t="s">
        <v>47985</v>
      </c>
      <c r="I2936" s="7">
        <f t="shared" si="3"/>
        <v>0.4671067272</v>
      </c>
    </row>
    <row r="2937">
      <c r="A2937" s="4">
        <v>2937.0</v>
      </c>
      <c r="B2937" s="3" t="s">
        <v>47986</v>
      </c>
      <c r="C2937" s="6" t="s">
        <v>85</v>
      </c>
      <c r="D2937" s="6" t="s">
        <v>47987</v>
      </c>
      <c r="E2937" s="3" t="str">
        <f t="shared" si="1"/>
        <v>ideally&lt;br&gt;&lt;div class="audio"&gt;[sound:ideally.mp3]&lt;/div&gt;</v>
      </c>
      <c r="F2937" s="3" t="str">
        <f t="shared" si="2"/>
        <v>(adv): lý tưởng nhất</v>
      </c>
      <c r="G2937" s="6" t="s">
        <v>47988</v>
      </c>
      <c r="H2937" s="6" t="s">
        <v>47989</v>
      </c>
      <c r="I2937" s="7">
        <f t="shared" si="3"/>
        <v>0.1097418327</v>
      </c>
    </row>
    <row r="2938">
      <c r="A2938" s="4">
        <v>2938.0</v>
      </c>
      <c r="B2938" s="3" t="s">
        <v>47990</v>
      </c>
      <c r="C2938" s="6" t="s">
        <v>11</v>
      </c>
      <c r="D2938" s="6" t="s">
        <v>47976</v>
      </c>
      <c r="E2938" s="3" t="str">
        <f t="shared" si="1"/>
        <v>ethical&lt;br&gt;&lt;div class="audio"&gt;[sound:ethical.mp3]&lt;/div&gt;</v>
      </c>
      <c r="F2938" s="3" t="str">
        <f t="shared" si="2"/>
        <v>(adj): thuộc đạo đức</v>
      </c>
      <c r="G2938" s="6" t="s">
        <v>47991</v>
      </c>
      <c r="H2938" s="6" t="s">
        <v>47992</v>
      </c>
      <c r="I2938" s="7">
        <f t="shared" si="3"/>
        <v>0.9842983048</v>
      </c>
    </row>
    <row r="2939">
      <c r="A2939" s="4">
        <v>2939.0</v>
      </c>
      <c r="B2939" s="3" t="s">
        <v>47993</v>
      </c>
      <c r="C2939" s="6" t="s">
        <v>74</v>
      </c>
      <c r="D2939" s="6" t="s">
        <v>47994</v>
      </c>
      <c r="E2939" s="3" t="str">
        <f t="shared" si="1"/>
        <v>prevention&lt;br&gt;&lt;div class="audio"&gt;[sound:prevention.mp3]&lt;/div&gt;</v>
      </c>
      <c r="F2939" s="3" t="str">
        <f t="shared" si="2"/>
        <v>(n): sự phòng ngừa</v>
      </c>
      <c r="G2939" s="6" t="s">
        <v>47995</v>
      </c>
      <c r="H2939" s="6" t="s">
        <v>47996</v>
      </c>
      <c r="I2939" s="7">
        <f t="shared" si="3"/>
        <v>0.5383070026</v>
      </c>
    </row>
    <row r="2940">
      <c r="A2940" s="4">
        <v>2940.0</v>
      </c>
      <c r="B2940" s="3" t="s">
        <v>47997</v>
      </c>
      <c r="C2940" s="6" t="s">
        <v>74</v>
      </c>
      <c r="D2940" s="6" t="s">
        <v>47998</v>
      </c>
      <c r="E2940" s="3" t="str">
        <f t="shared" si="1"/>
        <v>caution&lt;br&gt;&lt;div class="audio"&gt;[sound:caution.mp3]&lt;/div&gt;</v>
      </c>
      <c r="F2940" s="3" t="str">
        <f t="shared" si="2"/>
        <v>(n): sự thận trọng</v>
      </c>
      <c r="G2940" s="6" t="s">
        <v>47999</v>
      </c>
      <c r="H2940" s="6" t="s">
        <v>48000</v>
      </c>
      <c r="I2940" s="7">
        <f t="shared" si="3"/>
        <v>0.02194517857</v>
      </c>
    </row>
    <row r="2941">
      <c r="A2941" s="4">
        <v>2941.0</v>
      </c>
      <c r="B2941" s="3" t="s">
        <v>48001</v>
      </c>
      <c r="C2941" s="6" t="s">
        <v>74</v>
      </c>
      <c r="D2941" s="6" t="s">
        <v>48002</v>
      </c>
      <c r="E2941" s="3" t="str">
        <f t="shared" si="1"/>
        <v>consensus&lt;br&gt;&lt;div class="audio"&gt;[sound:consensus.mp3]&lt;/div&gt;</v>
      </c>
      <c r="F2941" s="3" t="str">
        <f t="shared" si="2"/>
        <v>(n): sự đồng thuận</v>
      </c>
      <c r="G2941" s="6" t="s">
        <v>48003</v>
      </c>
      <c r="H2941" s="6" t="s">
        <v>48004</v>
      </c>
      <c r="I2941" s="7">
        <f t="shared" si="3"/>
        <v>0.1917389855</v>
      </c>
    </row>
    <row r="2942">
      <c r="A2942" s="4">
        <v>2942.0</v>
      </c>
      <c r="B2942" s="3" t="s">
        <v>48005</v>
      </c>
      <c r="C2942" s="6" t="s">
        <v>74</v>
      </c>
      <c r="D2942" s="6" t="s">
        <v>48006</v>
      </c>
      <c r="E2942" s="3" t="str">
        <f t="shared" si="1"/>
        <v>analyst&lt;br&gt;&lt;div class="audio"&gt;[sound:analyst.mp3]&lt;/div&gt;</v>
      </c>
      <c r="F2942" s="3" t="str">
        <f t="shared" si="2"/>
        <v>(n): nhà phân tích</v>
      </c>
      <c r="G2942" s="6" t="s">
        <v>48007</v>
      </c>
      <c r="H2942" s="6" t="s">
        <v>48008</v>
      </c>
      <c r="I2942" s="7">
        <f t="shared" si="3"/>
        <v>0.08303761046</v>
      </c>
    </row>
    <row r="2943">
      <c r="A2943" s="4">
        <v>2943.0</v>
      </c>
      <c r="B2943" s="3" t="s">
        <v>48009</v>
      </c>
      <c r="C2943" s="6" t="s">
        <v>74</v>
      </c>
      <c r="D2943" s="8" t="s">
        <v>48010</v>
      </c>
      <c r="E2943" s="3" t="str">
        <f t="shared" si="1"/>
        <v>servant&lt;br&gt;&lt;div class="audio"&gt;[sound:servant.mp3]&lt;/div&gt;</v>
      </c>
      <c r="F2943" s="3" t="str">
        <f t="shared" si="2"/>
        <v>(n): người phục vụ</v>
      </c>
      <c r="G2943" s="8" t="s">
        <v>48011</v>
      </c>
      <c r="H2943" s="8" t="s">
        <v>48012</v>
      </c>
      <c r="I2943" s="7">
        <f t="shared" si="3"/>
        <v>0.1953496673</v>
      </c>
    </row>
    <row r="2944">
      <c r="A2944" s="4">
        <v>2944.0</v>
      </c>
      <c r="B2944" s="3" t="s">
        <v>48013</v>
      </c>
      <c r="C2944" s="6" t="s">
        <v>74</v>
      </c>
      <c r="D2944" s="6" t="s">
        <v>48014</v>
      </c>
      <c r="E2944" s="3" t="str">
        <f t="shared" si="1"/>
        <v>adoption&lt;br&gt;&lt;div class="audio"&gt;[sound:adoption.mp3]&lt;/div&gt;</v>
      </c>
      <c r="F2944" s="3" t="str">
        <f t="shared" si="2"/>
        <v>(n): sự nhận nuôi</v>
      </c>
      <c r="G2944" s="6" t="s">
        <v>48015</v>
      </c>
      <c r="H2944" s="6" t="s">
        <v>48016</v>
      </c>
      <c r="I2944" s="7">
        <f t="shared" si="3"/>
        <v>0.009715224174</v>
      </c>
    </row>
    <row r="2945">
      <c r="A2945" s="4">
        <v>2945.0</v>
      </c>
      <c r="B2945" s="3" t="s">
        <v>48017</v>
      </c>
      <c r="C2945" s="6" t="s">
        <v>74</v>
      </c>
      <c r="D2945" s="6" t="s">
        <v>48018</v>
      </c>
      <c r="E2945" s="3" t="str">
        <f t="shared" si="1"/>
        <v>attachment&lt;br&gt;&lt;div class="audio"&gt;[sound:attachment.mp3]&lt;/div&gt;</v>
      </c>
      <c r="F2945" s="3" t="str">
        <f t="shared" si="2"/>
        <v>(n): tệp đính kèm</v>
      </c>
      <c r="G2945" s="6" t="s">
        <v>48019</v>
      </c>
      <c r="H2945" s="6" t="s">
        <v>48020</v>
      </c>
      <c r="I2945" s="7">
        <f t="shared" si="3"/>
        <v>0.8218410601</v>
      </c>
    </row>
    <row r="2946">
      <c r="A2946" s="4">
        <v>2946.0</v>
      </c>
      <c r="B2946" s="3" t="s">
        <v>48021</v>
      </c>
      <c r="C2946" s="6" t="s">
        <v>74</v>
      </c>
      <c r="D2946" s="6" t="s">
        <v>48022</v>
      </c>
      <c r="E2946" s="3" t="str">
        <f t="shared" si="1"/>
        <v>consistency&lt;br&gt;&lt;div class="audio"&gt;[sound:consistency.mp3]&lt;/div&gt;</v>
      </c>
      <c r="F2946" s="3" t="str">
        <f t="shared" si="2"/>
        <v>(n): sự nhất quán</v>
      </c>
      <c r="G2946" s="6" t="s">
        <v>48023</v>
      </c>
      <c r="H2946" s="6" t="s">
        <v>48024</v>
      </c>
      <c r="I2946" s="7">
        <f t="shared" si="3"/>
        <v>0.130975026</v>
      </c>
    </row>
    <row r="2947">
      <c r="A2947" s="4">
        <v>2947.0</v>
      </c>
      <c r="B2947" s="3" t="s">
        <v>48025</v>
      </c>
      <c r="C2947" s="6" t="s">
        <v>74</v>
      </c>
      <c r="D2947" s="6" t="s">
        <v>48026</v>
      </c>
      <c r="E2947" s="3" t="str">
        <f t="shared" si="1"/>
        <v>classification&lt;br&gt;&lt;div class="audio"&gt;[sound:classification.mp3]&lt;/div&gt;</v>
      </c>
      <c r="F2947" s="3" t="str">
        <f t="shared" si="2"/>
        <v>(n): sự phân loại</v>
      </c>
      <c r="G2947" s="6" t="s">
        <v>48027</v>
      </c>
      <c r="H2947" s="6" t="s">
        <v>48028</v>
      </c>
      <c r="I2947" s="7">
        <f t="shared" si="3"/>
        <v>0.6937209036</v>
      </c>
    </row>
    <row r="2948">
      <c r="A2948" s="4">
        <v>2948.0</v>
      </c>
      <c r="B2948" s="3" t="s">
        <v>48029</v>
      </c>
      <c r="C2948" s="6" t="s">
        <v>74</v>
      </c>
      <c r="D2948" s="6" t="s">
        <v>48030</v>
      </c>
      <c r="E2948" s="3" t="str">
        <f t="shared" si="1"/>
        <v>circulation&lt;br&gt;&lt;div class="audio"&gt;[sound:circulation.mp3]&lt;/div&gt;</v>
      </c>
      <c r="F2948" s="3" t="str">
        <f t="shared" si="2"/>
        <v>(n): sự lưu thông</v>
      </c>
      <c r="G2948" s="6" t="s">
        <v>48031</v>
      </c>
      <c r="H2948" s="6" t="s">
        <v>48032</v>
      </c>
      <c r="I2948" s="7">
        <f t="shared" si="3"/>
        <v>0.557859561</v>
      </c>
    </row>
    <row r="2949">
      <c r="A2949" s="4">
        <v>2949.0</v>
      </c>
      <c r="B2949" s="3" t="s">
        <v>48033</v>
      </c>
      <c r="C2949" s="6" t="s">
        <v>74</v>
      </c>
      <c r="D2949" s="6" t="s">
        <v>48034</v>
      </c>
      <c r="E2949" s="3" t="str">
        <f t="shared" si="1"/>
        <v>well-being&lt;br&gt;&lt;div class="audio"&gt;[sound:well-being.mp3]&lt;/div&gt;</v>
      </c>
      <c r="F2949" s="3" t="str">
        <f t="shared" si="2"/>
        <v>(n): sự hạnh phúc</v>
      </c>
      <c r="G2949" s="6" t="s">
        <v>48035</v>
      </c>
      <c r="H2949" s="6" t="s">
        <v>48036</v>
      </c>
      <c r="I2949" s="7">
        <f t="shared" si="3"/>
        <v>0.4888962292</v>
      </c>
    </row>
    <row r="2950">
      <c r="A2950" s="4">
        <v>2950.0</v>
      </c>
      <c r="B2950" s="3" t="s">
        <v>48037</v>
      </c>
      <c r="C2950" s="6" t="s">
        <v>74</v>
      </c>
      <c r="D2950" s="6" t="s">
        <v>48038</v>
      </c>
      <c r="E2950" s="3" t="str">
        <f t="shared" si="1"/>
        <v>coincidence&lt;br&gt;&lt;div class="audio"&gt;[sound:coincidence.mp3]&lt;/div&gt;</v>
      </c>
      <c r="F2950" s="3" t="str">
        <f t="shared" si="2"/>
        <v>(n): sự trùng hợp</v>
      </c>
      <c r="G2950" s="6" t="s">
        <v>48039</v>
      </c>
      <c r="H2950" s="6" t="s">
        <v>48040</v>
      </c>
      <c r="I2950" s="7">
        <f t="shared" si="3"/>
        <v>0.6663292831</v>
      </c>
    </row>
    <row r="2951">
      <c r="A2951" s="4">
        <v>2951.0</v>
      </c>
      <c r="B2951" s="3" t="s">
        <v>48041</v>
      </c>
      <c r="C2951" s="6" t="s">
        <v>74</v>
      </c>
      <c r="D2951" s="6" t="s">
        <v>48042</v>
      </c>
      <c r="E2951" s="3" t="str">
        <f t="shared" si="1"/>
        <v>contradiction&lt;br&gt;&lt;div class="audio"&gt;[sound:contradiction.mp3]&lt;/div&gt;</v>
      </c>
      <c r="F2951" s="3" t="str">
        <f t="shared" si="2"/>
        <v>(n): sự mâu thuẫn</v>
      </c>
      <c r="G2951" s="6" t="s">
        <v>48043</v>
      </c>
      <c r="H2951" s="6" t="s">
        <v>48044</v>
      </c>
      <c r="I2951" s="7">
        <f t="shared" si="3"/>
        <v>0.7938684287</v>
      </c>
    </row>
    <row r="2952">
      <c r="A2952" s="4">
        <v>2952.0</v>
      </c>
      <c r="B2952" s="3" t="s">
        <v>48045</v>
      </c>
      <c r="C2952" s="6" t="s">
        <v>11</v>
      </c>
      <c r="D2952" s="6" t="s">
        <v>35304</v>
      </c>
      <c r="E2952" s="3" t="str">
        <f t="shared" si="1"/>
        <v>holy&lt;br&gt;&lt;div class="audio"&gt;[sound:holy.mp3]&lt;/div&gt;</v>
      </c>
      <c r="F2952" s="3" t="str">
        <f t="shared" si="2"/>
        <v>(adj): thiêng liêng</v>
      </c>
      <c r="G2952" s="6" t="s">
        <v>48046</v>
      </c>
      <c r="H2952" s="6" t="s">
        <v>48047</v>
      </c>
      <c r="I2952" s="7">
        <f t="shared" si="3"/>
        <v>0.6570418474</v>
      </c>
    </row>
    <row r="2953">
      <c r="A2953" s="4">
        <v>2953.0</v>
      </c>
      <c r="B2953" s="3" t="s">
        <v>48048</v>
      </c>
      <c r="C2953" s="6" t="s">
        <v>74</v>
      </c>
      <c r="D2953" s="6" t="s">
        <v>48049</v>
      </c>
      <c r="E2953" s="3" t="str">
        <f t="shared" si="1"/>
        <v>concession&lt;br&gt;&lt;div class="audio"&gt;[sound:concession.mp3]&lt;/div&gt;</v>
      </c>
      <c r="F2953" s="3" t="str">
        <f t="shared" si="2"/>
        <v>(n): sự nhượng bộ</v>
      </c>
      <c r="G2953" s="6" t="s">
        <v>48050</v>
      </c>
      <c r="H2953" s="6" t="s">
        <v>48051</v>
      </c>
      <c r="I2953" s="7">
        <f t="shared" si="3"/>
        <v>0.3821818729</v>
      </c>
    </row>
    <row r="2954">
      <c r="A2954" s="4">
        <v>2954.0</v>
      </c>
      <c r="B2954" s="3" t="s">
        <v>48052</v>
      </c>
      <c r="C2954" s="6" t="s">
        <v>74</v>
      </c>
      <c r="D2954" s="8" t="s">
        <v>48053</v>
      </c>
      <c r="E2954" s="3" t="str">
        <f t="shared" si="1"/>
        <v>slavery&lt;br&gt;&lt;div class="audio"&gt;[sound:slavery.mp3]&lt;/div&gt;</v>
      </c>
      <c r="F2954" s="3" t="str">
        <f t="shared" si="2"/>
        <v>(n): chế độ nô lệ</v>
      </c>
      <c r="G2954" s="8" t="s">
        <v>48054</v>
      </c>
      <c r="H2954" s="8" t="s">
        <v>48055</v>
      </c>
      <c r="I2954" s="7">
        <f t="shared" si="3"/>
        <v>0.6346853317</v>
      </c>
    </row>
    <row r="2955">
      <c r="A2955" s="4">
        <v>2955.0</v>
      </c>
      <c r="B2955" s="3" t="s">
        <v>48056</v>
      </c>
      <c r="C2955" s="6" t="s">
        <v>74</v>
      </c>
      <c r="D2955" s="6" t="s">
        <v>48057</v>
      </c>
      <c r="E2955" s="3" t="str">
        <f t="shared" si="1"/>
        <v>confession&lt;br&gt;&lt;div class="audio"&gt;[sound:confession.mp3]&lt;/div&gt;</v>
      </c>
      <c r="F2955" s="3" t="str">
        <f t="shared" si="2"/>
        <v>(n): lời thú nhận</v>
      </c>
      <c r="G2955" s="6" t="s">
        <v>48058</v>
      </c>
      <c r="H2955" s="6" t="s">
        <v>48059</v>
      </c>
      <c r="I2955" s="7">
        <f t="shared" si="3"/>
        <v>0.07296402668</v>
      </c>
    </row>
    <row r="2956">
      <c r="A2956" s="4">
        <v>2956.0</v>
      </c>
      <c r="B2956" s="3" t="s">
        <v>48060</v>
      </c>
      <c r="C2956" s="6" t="s">
        <v>74</v>
      </c>
      <c r="D2956" s="6" t="s">
        <v>48061</v>
      </c>
      <c r="E2956" s="3" t="str">
        <f t="shared" si="1"/>
        <v>killing&lt;br&gt;&lt;div class="audio"&gt;[sound:killing.mp3]&lt;/div&gt;</v>
      </c>
      <c r="F2956" s="3" t="str">
        <f t="shared" si="2"/>
        <v>(n): sự giết chóc</v>
      </c>
      <c r="G2956" s="6" t="s">
        <v>48062</v>
      </c>
      <c r="H2956" s="6" t="s">
        <v>48063</v>
      </c>
      <c r="I2956" s="7">
        <f t="shared" si="3"/>
        <v>0.3497269706</v>
      </c>
    </row>
    <row r="2957">
      <c r="A2957" s="4">
        <v>2957.0</v>
      </c>
      <c r="B2957" s="3" t="s">
        <v>48064</v>
      </c>
      <c r="C2957" s="6" t="s">
        <v>74</v>
      </c>
      <c r="D2957" s="6" t="s">
        <v>12297</v>
      </c>
      <c r="E2957" s="3" t="str">
        <f t="shared" si="1"/>
        <v>usage&lt;br&gt;&lt;div class="audio"&gt;[sound:usage.mp3]&lt;/div&gt;</v>
      </c>
      <c r="F2957" s="3" t="str">
        <f t="shared" si="2"/>
        <v>(n): cách sử dụng</v>
      </c>
      <c r="G2957" s="6" t="s">
        <v>48065</v>
      </c>
      <c r="H2957" s="6" t="s">
        <v>48066</v>
      </c>
      <c r="I2957" s="7">
        <f t="shared" si="3"/>
        <v>0.3957333941</v>
      </c>
    </row>
    <row r="2958">
      <c r="A2958" s="4">
        <v>2958.0</v>
      </c>
      <c r="B2958" s="3" t="s">
        <v>48067</v>
      </c>
      <c r="C2958" s="6" t="s">
        <v>74</v>
      </c>
      <c r="D2958" s="6" t="s">
        <v>45333</v>
      </c>
      <c r="E2958" s="3" t="str">
        <f t="shared" si="1"/>
        <v>interference&lt;br&gt;&lt;div class="audio"&gt;[sound:interference.mp3]&lt;/div&gt;</v>
      </c>
      <c r="F2958" s="3" t="str">
        <f t="shared" si="2"/>
        <v>(n): sự can thiệp</v>
      </c>
      <c r="G2958" s="6" t="s">
        <v>48068</v>
      </c>
      <c r="H2958" s="6" t="s">
        <v>48069</v>
      </c>
      <c r="I2958" s="7">
        <f t="shared" si="3"/>
        <v>0.862950947</v>
      </c>
    </row>
    <row r="2959">
      <c r="A2959" s="4">
        <v>2959.0</v>
      </c>
      <c r="B2959" s="3" t="s">
        <v>48070</v>
      </c>
      <c r="C2959" s="6" t="s">
        <v>74</v>
      </c>
      <c r="D2959" s="6" t="s">
        <v>48071</v>
      </c>
      <c r="E2959" s="3" t="str">
        <f t="shared" si="1"/>
        <v>poll&lt;br&gt;&lt;div class="audio"&gt;[sound:poll.mp3]&lt;/div&gt;</v>
      </c>
      <c r="F2959" s="3" t="str">
        <f t="shared" si="2"/>
        <v>(n): cuộc thăm dò</v>
      </c>
      <c r="G2959" s="6" t="s">
        <v>48072</v>
      </c>
      <c r="H2959" s="6" t="s">
        <v>48073</v>
      </c>
      <c r="I2959" s="7">
        <f t="shared" si="3"/>
        <v>0.4564639047</v>
      </c>
    </row>
    <row r="2960">
      <c r="A2960" s="4">
        <v>2960.0</v>
      </c>
      <c r="B2960" s="3" t="s">
        <v>48074</v>
      </c>
      <c r="C2960" s="6" t="s">
        <v>74</v>
      </c>
      <c r="D2960" s="6" t="s">
        <v>48075</v>
      </c>
      <c r="E2960" s="3" t="str">
        <f t="shared" si="1"/>
        <v>poverty&lt;br&gt;&lt;div class="audio"&gt;[sound:poverty.mp3]&lt;/div&gt;</v>
      </c>
      <c r="F2960" s="3" t="str">
        <f t="shared" si="2"/>
        <v>(n): sự nghèo đói</v>
      </c>
      <c r="G2960" s="6" t="s">
        <v>48076</v>
      </c>
      <c r="H2960" s="6" t="s">
        <v>48077</v>
      </c>
      <c r="I2960" s="7">
        <f t="shared" si="3"/>
        <v>0.2766002177</v>
      </c>
    </row>
    <row r="2961">
      <c r="A2961" s="4">
        <v>2961.0</v>
      </c>
      <c r="B2961" s="3" t="s">
        <v>48078</v>
      </c>
      <c r="C2961" s="6" t="s">
        <v>11</v>
      </c>
      <c r="D2961" s="6" t="s">
        <v>13652</v>
      </c>
      <c r="E2961" s="3" t="str">
        <f t="shared" si="1"/>
        <v>conventional&lt;br&gt;&lt;div class="audio"&gt;[sound:conventional.mp3]&lt;/div&gt;</v>
      </c>
      <c r="F2961" s="3" t="str">
        <f t="shared" si="2"/>
        <v>(adj): truyền thống</v>
      </c>
      <c r="G2961" s="6" t="s">
        <v>48079</v>
      </c>
      <c r="H2961" s="6" t="s">
        <v>48080</v>
      </c>
      <c r="I2961" s="7">
        <f t="shared" si="3"/>
        <v>0.7726238139</v>
      </c>
    </row>
    <row r="2962">
      <c r="A2962" s="4">
        <v>2962.0</v>
      </c>
      <c r="B2962" s="3" t="s">
        <v>48081</v>
      </c>
      <c r="C2962" s="6" t="s">
        <v>24</v>
      </c>
      <c r="D2962" s="6" t="s">
        <v>48082</v>
      </c>
      <c r="E2962" s="3" t="str">
        <f t="shared" si="1"/>
        <v>negotiate&lt;br&gt;&lt;div class="audio"&gt;[sound:negotiate.mp3]&lt;/div&gt;</v>
      </c>
      <c r="F2962" s="3" t="str">
        <f t="shared" si="2"/>
        <v>(v): thương lượng</v>
      </c>
      <c r="G2962" s="6" t="s">
        <v>48083</v>
      </c>
      <c r="H2962" s="6" t="s">
        <v>48084</v>
      </c>
      <c r="I2962" s="7">
        <f t="shared" si="3"/>
        <v>0.002067942352</v>
      </c>
    </row>
    <row r="2963">
      <c r="A2963" s="4">
        <v>2963.0</v>
      </c>
      <c r="B2963" s="3" t="s">
        <v>48085</v>
      </c>
      <c r="C2963" s="6" t="s">
        <v>74</v>
      </c>
      <c r="D2963" s="6" t="s">
        <v>48086</v>
      </c>
      <c r="E2963" s="3" t="str">
        <f t="shared" si="1"/>
        <v>compliance&lt;br&gt;&lt;div class="audio"&gt;[sound:compliance.mp3]&lt;/div&gt;</v>
      </c>
      <c r="F2963" s="3" t="str">
        <f t="shared" si="2"/>
        <v>(n): sự tuân thủ</v>
      </c>
      <c r="G2963" s="6" t="s">
        <v>48087</v>
      </c>
      <c r="H2963" s="6" t="s">
        <v>48088</v>
      </c>
      <c r="I2963" s="7">
        <f t="shared" si="3"/>
        <v>0.9811271801</v>
      </c>
    </row>
    <row r="2964">
      <c r="A2964" s="4">
        <v>2964.0</v>
      </c>
      <c r="B2964" s="3" t="s">
        <v>48089</v>
      </c>
      <c r="C2964" s="6" t="s">
        <v>74</v>
      </c>
      <c r="D2964" s="6" t="s">
        <v>9336</v>
      </c>
      <c r="E2964" s="3" t="str">
        <f t="shared" si="1"/>
        <v>motivation&lt;br&gt;&lt;div class="audio"&gt;[sound:motivation.mp3]&lt;/div&gt;</v>
      </c>
      <c r="F2964" s="3" t="str">
        <f t="shared" si="2"/>
        <v>(n): sự thúc đẩy</v>
      </c>
      <c r="G2964" s="6" t="s">
        <v>48090</v>
      </c>
      <c r="H2964" s="6" t="s">
        <v>48091</v>
      </c>
      <c r="I2964" s="7">
        <f t="shared" si="3"/>
        <v>0.05778410703</v>
      </c>
    </row>
    <row r="2965">
      <c r="A2965" s="4">
        <v>2965.0</v>
      </c>
      <c r="B2965" s="3" t="s">
        <v>48092</v>
      </c>
      <c r="C2965" s="6" t="s">
        <v>74</v>
      </c>
      <c r="D2965" s="6" t="s">
        <v>48093</v>
      </c>
      <c r="E2965" s="3" t="str">
        <f t="shared" si="1"/>
        <v>warming&lt;br&gt;&lt;div class="audio"&gt;[sound:warming.mp3]&lt;/div&gt;</v>
      </c>
      <c r="F2965" s="3" t="str">
        <f t="shared" si="2"/>
        <v>(n): sự nóng lên</v>
      </c>
      <c r="G2965" s="6" t="s">
        <v>48094</v>
      </c>
      <c r="H2965" s="6" t="s">
        <v>48095</v>
      </c>
      <c r="I2965" s="7">
        <f t="shared" si="3"/>
        <v>0.4855382324</v>
      </c>
    </row>
    <row r="2966">
      <c r="A2966" s="4">
        <v>2966.0</v>
      </c>
      <c r="B2966" s="3" t="s">
        <v>48096</v>
      </c>
      <c r="C2966" s="6" t="s">
        <v>24</v>
      </c>
      <c r="D2966" s="6" t="s">
        <v>48097</v>
      </c>
      <c r="E2966" s="3" t="str">
        <f t="shared" si="1"/>
        <v>boast&lt;br&gt;&lt;div class="audio"&gt;[sound:boast.mp3]&lt;/div&gt;</v>
      </c>
      <c r="F2966" s="3" t="str">
        <f t="shared" si="2"/>
        <v>(v): khoe khoang</v>
      </c>
      <c r="G2966" s="6" t="s">
        <v>48098</v>
      </c>
      <c r="H2966" s="6" t="s">
        <v>48099</v>
      </c>
      <c r="I2966" s="7">
        <f t="shared" si="3"/>
        <v>0.6952226507</v>
      </c>
    </row>
    <row r="2967">
      <c r="A2967" s="4">
        <v>2967.0</v>
      </c>
      <c r="B2967" s="3" t="s">
        <v>48100</v>
      </c>
      <c r="C2967" s="6" t="s">
        <v>74</v>
      </c>
      <c r="D2967" s="6" t="s">
        <v>8750</v>
      </c>
      <c r="E2967" s="3" t="str">
        <f t="shared" si="1"/>
        <v>fiction&lt;br&gt;&lt;div class="audio"&gt;[sound:fiction.mp3]&lt;/div&gt;</v>
      </c>
      <c r="F2967" s="3" t="str">
        <f t="shared" si="2"/>
        <v>(n): tiểu thuyết</v>
      </c>
      <c r="G2967" s="6" t="s">
        <v>48101</v>
      </c>
      <c r="H2967" s="6" t="s">
        <v>48102</v>
      </c>
      <c r="I2967" s="7">
        <f t="shared" si="3"/>
        <v>0.513277129</v>
      </c>
    </row>
    <row r="2968">
      <c r="A2968" s="4">
        <v>2968.0</v>
      </c>
      <c r="B2968" s="3" t="s">
        <v>48103</v>
      </c>
      <c r="C2968" s="6" t="s">
        <v>11</v>
      </c>
      <c r="D2968" s="6" t="s">
        <v>10348</v>
      </c>
      <c r="E2968" s="3" t="str">
        <f t="shared" si="1"/>
        <v>compelling&lt;br&gt;&lt;div class="audio"&gt;[sound:compelling.mp3]&lt;/div&gt;</v>
      </c>
      <c r="F2968" s="3" t="str">
        <f t="shared" si="2"/>
        <v>(adj): thuyết phục</v>
      </c>
      <c r="G2968" s="6" t="s">
        <v>48104</v>
      </c>
      <c r="H2968" s="6" t="s">
        <v>48105</v>
      </c>
      <c r="I2968" s="7">
        <f t="shared" si="3"/>
        <v>0.3969452576</v>
      </c>
    </row>
    <row r="2969">
      <c r="A2969" s="4">
        <v>2969.0</v>
      </c>
      <c r="B2969" s="3" t="s">
        <v>48106</v>
      </c>
      <c r="C2969" s="6" t="s">
        <v>11</v>
      </c>
      <c r="D2969" s="6" t="s">
        <v>2815</v>
      </c>
      <c r="E2969" s="3" t="str">
        <f t="shared" si="1"/>
        <v>equivalent&lt;br&gt;&lt;div class="audio"&gt;[sound:equivalent.mp3]&lt;/div&gt;</v>
      </c>
      <c r="F2969" s="3" t="str">
        <f t="shared" si="2"/>
        <v>(adj): tương đương</v>
      </c>
      <c r="G2969" s="6" t="s">
        <v>48107</v>
      </c>
      <c r="H2969" s="6" t="s">
        <v>48108</v>
      </c>
      <c r="I2969" s="7">
        <f t="shared" si="3"/>
        <v>0.1189321897</v>
      </c>
    </row>
    <row r="2970">
      <c r="A2970" s="4">
        <v>2970.0</v>
      </c>
      <c r="B2970" s="3" t="s">
        <v>48109</v>
      </c>
      <c r="C2970" s="6" t="s">
        <v>74</v>
      </c>
      <c r="D2970" s="6" t="s">
        <v>48110</v>
      </c>
      <c r="E2970" s="3" t="str">
        <f t="shared" si="1"/>
        <v>preparation&lt;br&gt;&lt;div class="audio"&gt;[sound:preparation.mp3]&lt;/div&gt;</v>
      </c>
      <c r="F2970" s="3" t="str">
        <f t="shared" si="2"/>
        <v>(n): sự chuẩn bị</v>
      </c>
      <c r="G2970" s="6" t="s">
        <v>48111</v>
      </c>
      <c r="H2970" s="6" t="s">
        <v>48112</v>
      </c>
      <c r="I2970" s="7">
        <f t="shared" si="3"/>
        <v>0.4675575678</v>
      </c>
    </row>
    <row r="2971">
      <c r="A2971" s="4">
        <v>2971.0</v>
      </c>
      <c r="B2971" s="3" t="s">
        <v>48113</v>
      </c>
      <c r="C2971" s="6" t="s">
        <v>74</v>
      </c>
      <c r="D2971" s="6" t="s">
        <v>8750</v>
      </c>
      <c r="E2971" s="3" t="str">
        <f t="shared" si="1"/>
        <v>novel&lt;br&gt;&lt;div class="audio"&gt;[sound:novel.mp3]&lt;/div&gt;</v>
      </c>
      <c r="F2971" s="3" t="str">
        <f t="shared" si="2"/>
        <v>(n): tiểu thuyết</v>
      </c>
      <c r="G2971" s="6" t="s">
        <v>48114</v>
      </c>
      <c r="H2971" s="6" t="s">
        <v>48115</v>
      </c>
      <c r="I2971" s="7">
        <f t="shared" si="3"/>
        <v>0.2681614934</v>
      </c>
    </row>
    <row r="2972">
      <c r="A2972" s="4">
        <v>2972.0</v>
      </c>
      <c r="B2972" s="3" t="s">
        <v>48116</v>
      </c>
      <c r="C2972" s="6" t="s">
        <v>74</v>
      </c>
      <c r="D2972" s="6" t="s">
        <v>48117</v>
      </c>
      <c r="E2972" s="3" t="str">
        <f t="shared" si="1"/>
        <v>infant&lt;br&gt;&lt;div class="audio"&gt;[sound:infant.mp3]&lt;/div&gt;</v>
      </c>
      <c r="F2972" s="3" t="str">
        <f t="shared" si="2"/>
        <v>(n): trẻ sơ sinh</v>
      </c>
      <c r="G2972" s="6" t="s">
        <v>48118</v>
      </c>
      <c r="H2972" s="6" t="s">
        <v>48119</v>
      </c>
      <c r="I2972" s="7">
        <f t="shared" si="3"/>
        <v>0.1137659544</v>
      </c>
    </row>
    <row r="2973">
      <c r="A2973" s="4">
        <v>2973.0</v>
      </c>
      <c r="B2973" s="3" t="s">
        <v>48120</v>
      </c>
      <c r="C2973" s="6" t="s">
        <v>74</v>
      </c>
      <c r="D2973" s="6" t="s">
        <v>19058</v>
      </c>
      <c r="E2973" s="3" t="str">
        <f t="shared" si="1"/>
        <v>invasion&lt;br&gt;&lt;div class="audio"&gt;[sound:invasion.mp3]&lt;/div&gt;</v>
      </c>
      <c r="F2973" s="3" t="str">
        <f t="shared" si="2"/>
        <v>(n): sự xâm lược</v>
      </c>
      <c r="G2973" s="6" t="s">
        <v>48121</v>
      </c>
      <c r="H2973" s="6" t="s">
        <v>48122</v>
      </c>
      <c r="I2973" s="7">
        <f t="shared" si="3"/>
        <v>0.8432587995</v>
      </c>
    </row>
    <row r="2974">
      <c r="A2974" s="4">
        <v>2974.0</v>
      </c>
      <c r="B2974" s="3" t="s">
        <v>48123</v>
      </c>
      <c r="C2974" s="6" t="s">
        <v>74</v>
      </c>
      <c r="D2974" s="6" t="s">
        <v>48124</v>
      </c>
      <c r="E2974" s="3" t="str">
        <f t="shared" si="1"/>
        <v>abortion&lt;br&gt;&lt;div class="audio"&gt;[sound:abortion.mp3]&lt;/div&gt;</v>
      </c>
      <c r="F2974" s="3" t="str">
        <f t="shared" si="2"/>
        <v>(n): sự phá thai</v>
      </c>
      <c r="G2974" s="6" t="s">
        <v>48125</v>
      </c>
      <c r="H2974" s="6" t="s">
        <v>48126</v>
      </c>
      <c r="I2974" s="7">
        <f t="shared" si="3"/>
        <v>0.9788946463</v>
      </c>
    </row>
    <row r="2975">
      <c r="A2975" s="4">
        <v>2975.0</v>
      </c>
      <c r="B2975" s="3" t="s">
        <v>48127</v>
      </c>
      <c r="C2975" s="6" t="s">
        <v>74</v>
      </c>
      <c r="D2975" s="8" t="s">
        <v>32053</v>
      </c>
      <c r="E2975" s="3" t="str">
        <f t="shared" si="1"/>
        <v>simulation&lt;br&gt;&lt;div class="audio"&gt;[sound:simulation.mp3]&lt;/div&gt;</v>
      </c>
      <c r="F2975" s="3" t="str">
        <f t="shared" si="2"/>
        <v>(n): sự mô phỏng</v>
      </c>
      <c r="G2975" s="8" t="s">
        <v>48128</v>
      </c>
      <c r="H2975" s="8" t="s">
        <v>48129</v>
      </c>
      <c r="I2975" s="7">
        <f t="shared" si="3"/>
        <v>0.7545874626</v>
      </c>
    </row>
    <row r="2976">
      <c r="A2976" s="4">
        <v>2976.0</v>
      </c>
      <c r="B2976" s="3" t="s">
        <v>48130</v>
      </c>
      <c r="C2976" s="6" t="s">
        <v>11</v>
      </c>
      <c r="D2976" s="6" t="s">
        <v>48131</v>
      </c>
      <c r="E2976" s="3" t="str">
        <f t="shared" si="1"/>
        <v>armed&lt;br&gt;&lt;div class="audio"&gt;[sound:armed.mp3]&lt;/div&gt;</v>
      </c>
      <c r="F2976" s="3" t="str">
        <f t="shared" si="2"/>
        <v>(adj): có vũ trang</v>
      </c>
      <c r="G2976" s="6" t="s">
        <v>48132</v>
      </c>
      <c r="H2976" s="6" t="s">
        <v>48133</v>
      </c>
      <c r="I2976" s="7">
        <f t="shared" si="3"/>
        <v>0.5338880536</v>
      </c>
    </row>
    <row r="2977">
      <c r="A2977" s="4">
        <v>2977.0</v>
      </c>
      <c r="B2977" s="3" t="s">
        <v>48134</v>
      </c>
      <c r="C2977" s="6" t="s">
        <v>74</v>
      </c>
      <c r="D2977" s="6" t="s">
        <v>15659</v>
      </c>
      <c r="E2977" s="3" t="str">
        <f t="shared" si="1"/>
        <v>heaven&lt;br&gt;&lt;div class="audio"&gt;[sound:heaven.mp3]&lt;/div&gt;</v>
      </c>
      <c r="F2977" s="3" t="str">
        <f t="shared" si="2"/>
        <v>(n): thiên đường</v>
      </c>
      <c r="G2977" s="6" t="s">
        <v>48135</v>
      </c>
      <c r="H2977" s="6" t="s">
        <v>48136</v>
      </c>
      <c r="I2977" s="7">
        <f t="shared" si="3"/>
        <v>0.05319446264</v>
      </c>
    </row>
    <row r="2978">
      <c r="A2978" s="4">
        <v>2978.0</v>
      </c>
      <c r="B2978" s="3" t="s">
        <v>48137</v>
      </c>
      <c r="C2978" s="6" t="s">
        <v>74</v>
      </c>
      <c r="D2978" s="6" t="s">
        <v>48138</v>
      </c>
      <c r="E2978" s="3" t="str">
        <f t="shared" si="1"/>
        <v>harassment&lt;br&gt;&lt;div class="audio"&gt;[sound:harassment.mp3]&lt;/div&gt;</v>
      </c>
      <c r="F2978" s="3" t="str">
        <f t="shared" si="2"/>
        <v>(n): sự quấy rối</v>
      </c>
      <c r="G2978" s="6" t="s">
        <v>48139</v>
      </c>
      <c r="H2978" s="6" t="s">
        <v>48140</v>
      </c>
      <c r="I2978" s="7">
        <f t="shared" si="3"/>
        <v>0.8327374149</v>
      </c>
    </row>
    <row r="2979">
      <c r="A2979" s="4">
        <v>2979.0</v>
      </c>
      <c r="B2979" s="3" t="s">
        <v>48141</v>
      </c>
      <c r="C2979" s="6" t="s">
        <v>74</v>
      </c>
      <c r="D2979" s="6" t="s">
        <v>48142</v>
      </c>
      <c r="E2979" s="3" t="str">
        <f t="shared" si="1"/>
        <v>charter&lt;br&gt;&lt;div class="audio"&gt;[sound:charter.mp3]&lt;/div&gt;</v>
      </c>
      <c r="F2979" s="3" t="str">
        <f t="shared" si="2"/>
        <v>(n): hiến chương</v>
      </c>
      <c r="G2979" s="6" t="s">
        <v>48143</v>
      </c>
      <c r="H2979" s="6" t="s">
        <v>48144</v>
      </c>
      <c r="I2979" s="7">
        <f t="shared" si="3"/>
        <v>0.2035779861</v>
      </c>
    </row>
    <row r="2980">
      <c r="A2980" s="4">
        <v>2980.0</v>
      </c>
      <c r="B2980" s="3" t="s">
        <v>48145</v>
      </c>
      <c r="C2980" s="6" t="s">
        <v>11</v>
      </c>
      <c r="D2980" s="6" t="s">
        <v>48146</v>
      </c>
      <c r="E2980" s="3" t="str">
        <f t="shared" si="1"/>
        <v>desperate&lt;br&gt;&lt;div class="audio"&gt;[sound:desperate.mp3]&lt;/div&gt;</v>
      </c>
      <c r="F2980" s="3" t="str">
        <f t="shared" si="2"/>
        <v>(adj): tuyệt vọng</v>
      </c>
      <c r="G2980" s="6" t="s">
        <v>48147</v>
      </c>
      <c r="H2980" s="6" t="s">
        <v>48148</v>
      </c>
      <c r="I2980" s="7">
        <f t="shared" si="3"/>
        <v>0.7953199951</v>
      </c>
    </row>
    <row r="2981">
      <c r="A2981" s="4">
        <v>2981.0</v>
      </c>
      <c r="B2981" s="3" t="s">
        <v>48149</v>
      </c>
      <c r="C2981" s="6" t="s">
        <v>11</v>
      </c>
      <c r="D2981" s="6" t="s">
        <v>14381</v>
      </c>
      <c r="E2981" s="3" t="str">
        <f t="shared" si="1"/>
        <v>cautious&lt;br&gt;&lt;div class="audio"&gt;[sound:cautious.mp3]&lt;/div&gt;</v>
      </c>
      <c r="F2981" s="3" t="str">
        <f t="shared" si="2"/>
        <v>(adj): thận trọng</v>
      </c>
      <c r="G2981" s="6" t="s">
        <v>48150</v>
      </c>
      <c r="H2981" s="6" t="s">
        <v>48151</v>
      </c>
      <c r="I2981" s="7">
        <f t="shared" si="3"/>
        <v>0.3794883309</v>
      </c>
    </row>
    <row r="2982">
      <c r="A2982" s="4">
        <v>2982.0</v>
      </c>
      <c r="B2982" s="3" t="s">
        <v>48152</v>
      </c>
      <c r="C2982" s="6" t="s">
        <v>74</v>
      </c>
      <c r="D2982" s="6" t="s">
        <v>4429</v>
      </c>
      <c r="E2982" s="3" t="str">
        <f t="shared" si="1"/>
        <v>preference&lt;br&gt;&lt;div class="audio"&gt;[sound:preference.mp3]&lt;/div&gt;</v>
      </c>
      <c r="F2982" s="3" t="str">
        <f t="shared" si="2"/>
        <v>(n): sự ưu tiên</v>
      </c>
      <c r="G2982" s="6" t="s">
        <v>48153</v>
      </c>
      <c r="H2982" s="6" t="s">
        <v>48154</v>
      </c>
      <c r="I2982" s="7">
        <f t="shared" si="3"/>
        <v>0.09282828365</v>
      </c>
    </row>
    <row r="2983">
      <c r="A2983" s="4">
        <v>2983.0</v>
      </c>
      <c r="B2983" s="3" t="s">
        <v>48155</v>
      </c>
      <c r="C2983" s="6" t="s">
        <v>74</v>
      </c>
      <c r="D2983" s="6" t="s">
        <v>48156</v>
      </c>
      <c r="E2983" s="3" t="str">
        <f t="shared" si="1"/>
        <v>van&lt;br&gt;&lt;div class="audio"&gt;[sound:van.mp3]&lt;/div&gt;</v>
      </c>
      <c r="F2983" s="3" t="str">
        <f t="shared" si="2"/>
        <v>(n): xe tải nhỏ</v>
      </c>
      <c r="G2983" s="6" t="s">
        <v>48157</v>
      </c>
      <c r="H2983" s="6" t="s">
        <v>48158</v>
      </c>
      <c r="I2983" s="7">
        <f t="shared" si="3"/>
        <v>0.6306158406</v>
      </c>
    </row>
    <row r="2984">
      <c r="A2984" s="4">
        <v>2984.0</v>
      </c>
      <c r="B2984" s="3" t="s">
        <v>48159</v>
      </c>
      <c r="C2984" s="6" t="s">
        <v>74</v>
      </c>
      <c r="D2984" s="6" t="s">
        <v>48160</v>
      </c>
      <c r="E2984" s="3" t="str">
        <f t="shared" si="1"/>
        <v>glory&lt;br&gt;&lt;div class="audio"&gt;[sound:glory.mp3]&lt;/div&gt;</v>
      </c>
      <c r="F2984" s="3" t="str">
        <f t="shared" si="2"/>
        <v>(n): vinh quang</v>
      </c>
      <c r="G2984" s="6" t="s">
        <v>48161</v>
      </c>
      <c r="H2984" s="6" t="s">
        <v>48162</v>
      </c>
      <c r="I2984" s="7">
        <f t="shared" si="3"/>
        <v>0.6664297903</v>
      </c>
    </row>
    <row r="2985">
      <c r="A2985" s="4">
        <v>2985.0</v>
      </c>
      <c r="B2985" s="3" t="s">
        <v>48163</v>
      </c>
      <c r="C2985" s="6" t="s">
        <v>11</v>
      </c>
      <c r="D2985" s="6" t="s">
        <v>1222</v>
      </c>
      <c r="E2985" s="3" t="str">
        <f t="shared" si="1"/>
        <v>administrative&lt;br&gt;&lt;div class="audio"&gt;[sound:administrative.mp3]&lt;/div&gt;</v>
      </c>
      <c r="F2985" s="3" t="str">
        <f t="shared" si="2"/>
        <v>(adj): hành chính</v>
      </c>
      <c r="G2985" s="6" t="s">
        <v>48164</v>
      </c>
      <c r="H2985" s="6" t="s">
        <v>48165</v>
      </c>
      <c r="I2985" s="7">
        <f t="shared" si="3"/>
        <v>0.07800639956</v>
      </c>
    </row>
    <row r="2986">
      <c r="A2986" s="4">
        <v>2986.0</v>
      </c>
      <c r="B2986" s="3" t="s">
        <v>48166</v>
      </c>
      <c r="C2986" s="6" t="s">
        <v>74</v>
      </c>
      <c r="D2986" s="8" t="s">
        <v>21042</v>
      </c>
      <c r="E2986" s="3" t="str">
        <f t="shared" si="1"/>
        <v>stimulus&lt;br&gt;&lt;div class="audio"&gt;[sound:stimulus.mp3]&lt;/div&gt;</v>
      </c>
      <c r="F2986" s="3" t="str">
        <f t="shared" si="2"/>
        <v>(n): kích thích</v>
      </c>
      <c r="G2986" s="8" t="s">
        <v>48167</v>
      </c>
      <c r="H2986" s="8" t="s">
        <v>48168</v>
      </c>
      <c r="I2986" s="7">
        <f t="shared" si="3"/>
        <v>0.02279382301</v>
      </c>
    </row>
    <row r="2987">
      <c r="A2987" s="4">
        <v>2987.0</v>
      </c>
      <c r="B2987" s="3" t="s">
        <v>48169</v>
      </c>
      <c r="C2987" s="6" t="s">
        <v>74</v>
      </c>
      <c r="D2987" s="6" t="s">
        <v>24587</v>
      </c>
      <c r="E2987" s="3" t="str">
        <f t="shared" si="1"/>
        <v>phenomenon&lt;br&gt;&lt;div class="audio"&gt;[sound:phenomenon.mp3]&lt;/div&gt;</v>
      </c>
      <c r="F2987" s="3" t="str">
        <f t="shared" si="2"/>
        <v>(n): hiện tượng</v>
      </c>
      <c r="G2987" s="6" t="s">
        <v>48170</v>
      </c>
      <c r="H2987" s="6" t="s">
        <v>48171</v>
      </c>
      <c r="I2987" s="7">
        <f t="shared" si="3"/>
        <v>0.4281125151</v>
      </c>
    </row>
    <row r="2988">
      <c r="A2988" s="4">
        <v>2988.0</v>
      </c>
      <c r="B2988" s="3" t="s">
        <v>48172</v>
      </c>
      <c r="C2988" s="6" t="s">
        <v>74</v>
      </c>
      <c r="D2988" s="6" t="s">
        <v>48173</v>
      </c>
      <c r="E2988" s="3" t="str">
        <f t="shared" si="1"/>
        <v>parking&lt;br&gt;&lt;div class="audio"&gt;[sound:parking.mp3]&lt;/div&gt;</v>
      </c>
      <c r="F2988" s="3" t="str">
        <f t="shared" si="2"/>
        <v>(n): việc đỗ xe</v>
      </c>
      <c r="G2988" s="6" t="s">
        <v>48174</v>
      </c>
      <c r="H2988" s="6" t="s">
        <v>48175</v>
      </c>
      <c r="I2988" s="7">
        <f t="shared" si="3"/>
        <v>0.4130304178</v>
      </c>
    </row>
    <row r="2989">
      <c r="A2989" s="4">
        <v>2989.0</v>
      </c>
      <c r="B2989" s="3" t="s">
        <v>48176</v>
      </c>
      <c r="C2989" s="6" t="s">
        <v>11</v>
      </c>
      <c r="D2989" s="6" t="s">
        <v>48177</v>
      </c>
      <c r="E2989" s="3" t="str">
        <f t="shared" si="1"/>
        <v>extraordinary&lt;br&gt;&lt;div class="audio"&gt;[sound:extraordinary.mp3]&lt;/div&gt;</v>
      </c>
      <c r="F2989" s="3" t="str">
        <f t="shared" si="2"/>
        <v>(adj): phi thường</v>
      </c>
      <c r="G2989" s="6" t="s">
        <v>48178</v>
      </c>
      <c r="H2989" s="6" t="s">
        <v>48179</v>
      </c>
      <c r="I2989" s="7">
        <f t="shared" si="3"/>
        <v>0.2497356548</v>
      </c>
    </row>
    <row r="2990">
      <c r="A2990" s="4">
        <v>2990.0</v>
      </c>
      <c r="B2990" s="3" t="s">
        <v>48180</v>
      </c>
      <c r="C2990" s="6" t="s">
        <v>74</v>
      </c>
      <c r="D2990" s="6" t="s">
        <v>48181</v>
      </c>
      <c r="E2990" s="3" t="str">
        <f t="shared" si="1"/>
        <v>witness&lt;br&gt;&lt;div class="audio"&gt;[sound:witness.mp3]&lt;/div&gt;</v>
      </c>
      <c r="F2990" s="3" t="str">
        <f t="shared" si="2"/>
        <v>(n): nhân chứng</v>
      </c>
      <c r="G2990" s="6" t="s">
        <v>48182</v>
      </c>
      <c r="H2990" s="6" t="s">
        <v>48183</v>
      </c>
      <c r="I2990" s="7">
        <f t="shared" si="3"/>
        <v>0.3349197276</v>
      </c>
    </row>
    <row r="2991">
      <c r="A2991" s="4">
        <v>2991.0</v>
      </c>
      <c r="B2991" s="3" t="s">
        <v>48184</v>
      </c>
      <c r="C2991" s="6" t="s">
        <v>74</v>
      </c>
      <c r="D2991" s="6" t="s">
        <v>48185</v>
      </c>
      <c r="E2991" s="3" t="str">
        <f t="shared" si="1"/>
        <v>bombing&lt;br&gt;&lt;div class="audio"&gt;[sound:bombing.mp3]&lt;/div&gt;</v>
      </c>
      <c r="F2991" s="3" t="str">
        <f t="shared" si="2"/>
        <v>(n): vụ ném bom</v>
      </c>
      <c r="G2991" s="6" t="s">
        <v>48186</v>
      </c>
      <c r="H2991" s="6" t="s">
        <v>48187</v>
      </c>
      <c r="I2991" s="7">
        <f t="shared" si="3"/>
        <v>0.7880591769</v>
      </c>
    </row>
    <row r="2992">
      <c r="A2992" s="4">
        <v>2992.0</v>
      </c>
      <c r="B2992" s="3" t="s">
        <v>48188</v>
      </c>
      <c r="C2992" s="6" t="s">
        <v>74</v>
      </c>
      <c r="D2992" s="6" t="s">
        <v>48189</v>
      </c>
      <c r="E2992" s="3" t="str">
        <f t="shared" si="1"/>
        <v>collision&lt;br&gt;&lt;div class="audio"&gt;[sound:collision.mp3]&lt;/div&gt;</v>
      </c>
      <c r="F2992" s="3" t="str">
        <f t="shared" si="2"/>
        <v>(n): sự va chạm</v>
      </c>
      <c r="G2992" s="6" t="s">
        <v>48190</v>
      </c>
      <c r="H2992" s="6" t="s">
        <v>48191</v>
      </c>
      <c r="I2992" s="7">
        <f t="shared" si="3"/>
        <v>0.1006963916</v>
      </c>
    </row>
    <row r="2993">
      <c r="A2993" s="4">
        <v>2993.0</v>
      </c>
      <c r="B2993" s="3" t="s">
        <v>48192</v>
      </c>
      <c r="C2993" s="6" t="s">
        <v>74</v>
      </c>
      <c r="D2993" s="6" t="s">
        <v>48193</v>
      </c>
      <c r="E2993" s="3" t="str">
        <f t="shared" si="1"/>
        <v>historian&lt;br&gt;&lt;div class="audio"&gt;[sound:historian.mp3]&lt;/div&gt;</v>
      </c>
      <c r="F2993" s="3" t="str">
        <f t="shared" si="2"/>
        <v>(n): nhà sử học</v>
      </c>
      <c r="G2993" s="6" t="s">
        <v>48194</v>
      </c>
      <c r="H2993" s="6" t="s">
        <v>48195</v>
      </c>
      <c r="I2993" s="7">
        <f t="shared" si="3"/>
        <v>0.9519597962</v>
      </c>
    </row>
    <row r="2994">
      <c r="A2994" s="4">
        <v>2994.0</v>
      </c>
      <c r="B2994" s="3" t="s">
        <v>48196</v>
      </c>
      <c r="C2994" s="6" t="s">
        <v>74</v>
      </c>
      <c r="D2994" s="6" t="s">
        <v>48197</v>
      </c>
      <c r="E2994" s="3" t="str">
        <f t="shared" si="1"/>
        <v>magic&lt;br&gt;&lt;div class="audio"&gt;[sound:magic.mp3]&lt;/div&gt;</v>
      </c>
      <c r="F2994" s="3" t="str">
        <f t="shared" si="2"/>
        <v>(n): phép thuật</v>
      </c>
      <c r="G2994" s="6" t="s">
        <v>48198</v>
      </c>
      <c r="H2994" s="6" t="s">
        <v>48199</v>
      </c>
      <c r="I2994" s="7">
        <f t="shared" si="3"/>
        <v>0.4108543298</v>
      </c>
    </row>
    <row r="2995">
      <c r="A2995" s="4">
        <v>2995.0</v>
      </c>
      <c r="B2995" s="3" t="s">
        <v>48200</v>
      </c>
      <c r="C2995" s="6" t="s">
        <v>74</v>
      </c>
      <c r="D2995" s="6" t="s">
        <v>32110</v>
      </c>
      <c r="E2995" s="3" t="str">
        <f t="shared" si="1"/>
        <v>tide&lt;br&gt;&lt;div class="audio"&gt;[sound:tide.mp3]&lt;/div&gt;</v>
      </c>
      <c r="F2995" s="3" t="str">
        <f t="shared" si="2"/>
        <v>(n): thủy triều</v>
      </c>
      <c r="G2995" s="6" t="s">
        <v>48201</v>
      </c>
      <c r="H2995" s="6" t="s">
        <v>32112</v>
      </c>
      <c r="I2995" s="7">
        <f t="shared" si="3"/>
        <v>0.3143872933</v>
      </c>
    </row>
    <row r="2996">
      <c r="A2996" s="4">
        <v>2996.0</v>
      </c>
      <c r="B2996" s="3" t="s">
        <v>48202</v>
      </c>
      <c r="C2996" s="6" t="s">
        <v>74</v>
      </c>
      <c r="D2996" s="6" t="s">
        <v>48203</v>
      </c>
      <c r="E2996" s="3" t="str">
        <f t="shared" si="1"/>
        <v>irony&lt;br&gt;&lt;div class="audio"&gt;[sound:irony.mp3]&lt;/div&gt;</v>
      </c>
      <c r="F2996" s="3" t="str">
        <f t="shared" si="2"/>
        <v>(n): sự mỉa mai</v>
      </c>
      <c r="G2996" s="6" t="s">
        <v>48204</v>
      </c>
      <c r="H2996" s="6" t="s">
        <v>48205</v>
      </c>
      <c r="I2996" s="7">
        <f t="shared" si="3"/>
        <v>0.4733332568</v>
      </c>
    </row>
    <row r="2997">
      <c r="A2997" s="4">
        <v>2997.0</v>
      </c>
      <c r="B2997" s="3" t="s">
        <v>48206</v>
      </c>
      <c r="C2997" s="6" t="s">
        <v>11</v>
      </c>
      <c r="D2997" s="6" t="s">
        <v>28827</v>
      </c>
      <c r="E2997" s="3" t="str">
        <f t="shared" si="1"/>
        <v>enthusiastic&lt;br&gt;&lt;div class="audio"&gt;[sound:enthusiastic.mp3]&lt;/div&gt;</v>
      </c>
      <c r="F2997" s="3" t="str">
        <f t="shared" si="2"/>
        <v>(adj): nhiệt tình</v>
      </c>
      <c r="G2997" s="6" t="s">
        <v>48207</v>
      </c>
      <c r="H2997" s="6" t="s">
        <v>48208</v>
      </c>
      <c r="I2997" s="7">
        <f t="shared" si="3"/>
        <v>0.02351281158</v>
      </c>
    </row>
    <row r="2998">
      <c r="A2998" s="4">
        <v>2998.0</v>
      </c>
      <c r="B2998" s="3" t="s">
        <v>48209</v>
      </c>
      <c r="C2998" s="6" t="s">
        <v>24</v>
      </c>
      <c r="D2998" s="6" t="s">
        <v>48210</v>
      </c>
      <c r="E2998" s="3" t="str">
        <f t="shared" si="1"/>
        <v>breed&lt;br&gt;&lt;div class="audio"&gt;[sound:breed.mp3]&lt;/div&gt;</v>
      </c>
      <c r="F2998" s="3" t="str">
        <f t="shared" si="2"/>
        <v>(v): nhân giống</v>
      </c>
      <c r="G2998" s="6" t="s">
        <v>48211</v>
      </c>
      <c r="H2998" s="6" t="s">
        <v>48212</v>
      </c>
      <c r="I2998" s="7">
        <f t="shared" si="3"/>
        <v>0.5400475491</v>
      </c>
    </row>
    <row r="2999">
      <c r="A2999" s="4">
        <v>2999.0</v>
      </c>
      <c r="B2999" s="3" t="s">
        <v>48213</v>
      </c>
      <c r="C2999" s="6" t="s">
        <v>74</v>
      </c>
      <c r="D2999" s="6" t="s">
        <v>20756</v>
      </c>
      <c r="E2999" s="3" t="str">
        <f t="shared" si="1"/>
        <v>valley&lt;br&gt;&lt;div class="audio"&gt;[sound:valley.mp3]&lt;/div&gt;</v>
      </c>
      <c r="F2999" s="3" t="str">
        <f t="shared" si="2"/>
        <v>(n): thung lũng</v>
      </c>
      <c r="G2999" s="6" t="s">
        <v>48214</v>
      </c>
      <c r="H2999" s="6" t="s">
        <v>48215</v>
      </c>
      <c r="I2999" s="7">
        <f t="shared" si="3"/>
        <v>0.900386837</v>
      </c>
    </row>
    <row r="3000">
      <c r="A3000" s="4">
        <v>3000.0</v>
      </c>
      <c r="B3000" s="3" t="s">
        <v>48216</v>
      </c>
      <c r="C3000" s="6" t="s">
        <v>74</v>
      </c>
      <c r="D3000" s="6" t="s">
        <v>48217</v>
      </c>
      <c r="E3000" s="3" t="str">
        <f t="shared" si="1"/>
        <v>inclusion&lt;br&gt;&lt;div class="audio"&gt;[sound:inclusion.mp3]&lt;/div&gt;</v>
      </c>
      <c r="F3000" s="3" t="str">
        <f t="shared" si="2"/>
        <v>(n): sự bao gồm</v>
      </c>
      <c r="G3000" s="6" t="s">
        <v>48218</v>
      </c>
      <c r="H3000" s="6" t="s">
        <v>48219</v>
      </c>
      <c r="I3000" s="7">
        <f t="shared" si="3"/>
        <v>0.2101546327</v>
      </c>
    </row>
    <row r="3001">
      <c r="A3001" s="4">
        <v>3001.0</v>
      </c>
      <c r="B3001" s="3" t="s">
        <v>48220</v>
      </c>
      <c r="C3001" s="6" t="s">
        <v>74</v>
      </c>
      <c r="D3001" s="6" t="s">
        <v>48221</v>
      </c>
      <c r="E3001" s="3" t="str">
        <f t="shared" si="1"/>
        <v>attraction&lt;br&gt;&lt;div class="audio"&gt;[sound:attraction.mp3]&lt;/div&gt;</v>
      </c>
      <c r="F3001" s="3" t="str">
        <f t="shared" si="2"/>
        <v>(n): sự thu hút</v>
      </c>
      <c r="G3001" s="6" t="s">
        <v>48222</v>
      </c>
      <c r="H3001" s="6" t="s">
        <v>48223</v>
      </c>
      <c r="I3001" s="7">
        <f t="shared" si="3"/>
        <v>0.3659624518</v>
      </c>
    </row>
    <row r="3002">
      <c r="A3002" s="4">
        <v>3002.0</v>
      </c>
      <c r="B3002" s="3" t="s">
        <v>48224</v>
      </c>
      <c r="C3002" s="6" t="s">
        <v>74</v>
      </c>
      <c r="D3002" s="6" t="s">
        <v>48225</v>
      </c>
      <c r="E3002" s="3" t="str">
        <f t="shared" si="1"/>
        <v>maintenance&lt;br&gt;&lt;div class="audio"&gt;[sound:maintenance.mp3]&lt;/div&gt;</v>
      </c>
      <c r="F3002" s="3" t="str">
        <f t="shared" si="2"/>
        <v>(n): sự bảo trì</v>
      </c>
      <c r="G3002" s="6" t="s">
        <v>48226</v>
      </c>
      <c r="H3002" s="6" t="s">
        <v>48227</v>
      </c>
      <c r="I3002" s="7">
        <f t="shared" si="3"/>
        <v>0.2109901</v>
      </c>
    </row>
    <row r="3003">
      <c r="A3003" s="4">
        <v>3003.0</v>
      </c>
      <c r="B3003" s="3" t="s">
        <v>48228</v>
      </c>
      <c r="C3003" s="6" t="s">
        <v>74</v>
      </c>
      <c r="D3003" s="8" t="s">
        <v>2686</v>
      </c>
      <c r="E3003" s="3" t="str">
        <f t="shared" si="1"/>
        <v>stance&lt;br&gt;&lt;div class="audio"&gt;[sound:stance.mp3]&lt;/div&gt;</v>
      </c>
      <c r="F3003" s="3" t="str">
        <f t="shared" si="2"/>
        <v>(n): lập trường</v>
      </c>
      <c r="G3003" s="8" t="s">
        <v>48229</v>
      </c>
      <c r="H3003" s="8" t="s">
        <v>48230</v>
      </c>
      <c r="I3003" s="7">
        <f t="shared" si="3"/>
        <v>0.3186002066</v>
      </c>
    </row>
    <row r="3004">
      <c r="A3004" s="4">
        <v>3004.0</v>
      </c>
      <c r="B3004" s="3" t="s">
        <v>48231</v>
      </c>
      <c r="C3004" s="6" t="s">
        <v>24</v>
      </c>
      <c r="D3004" s="6" t="s">
        <v>48232</v>
      </c>
      <c r="E3004" s="3" t="str">
        <f t="shared" si="1"/>
        <v>adapt&lt;br&gt;&lt;div class="audio"&gt;[sound:adapt.mp3]&lt;/div&gt;</v>
      </c>
      <c r="F3004" s="3" t="str">
        <f t="shared" si="2"/>
        <v>(v): thích nghi</v>
      </c>
      <c r="G3004" s="6" t="s">
        <v>48233</v>
      </c>
      <c r="H3004" s="6" t="s">
        <v>48234</v>
      </c>
      <c r="I3004" s="7">
        <f t="shared" si="3"/>
        <v>0.9306040023</v>
      </c>
    </row>
    <row r="3005">
      <c r="A3005" s="4">
        <v>3005.0</v>
      </c>
      <c r="B3005" s="3" t="s">
        <v>48235</v>
      </c>
      <c r="C3005" s="6" t="s">
        <v>24</v>
      </c>
      <c r="D3005" s="6" t="s">
        <v>32416</v>
      </c>
      <c r="E3005" s="3" t="str">
        <f t="shared" si="1"/>
        <v>justify&lt;br&gt;&lt;div class="audio"&gt;[sound:justify.mp3]&lt;/div&gt;</v>
      </c>
      <c r="F3005" s="3" t="str">
        <f t="shared" si="2"/>
        <v>(v): biện minh</v>
      </c>
      <c r="G3005" s="6" t="s">
        <v>48236</v>
      </c>
      <c r="H3005" s="6" t="s">
        <v>48237</v>
      </c>
      <c r="I3005" s="7">
        <f t="shared" si="3"/>
        <v>0.4977704216</v>
      </c>
    </row>
    <row r="3006">
      <c r="A3006" s="4">
        <v>3006.0</v>
      </c>
      <c r="B3006" s="3" t="s">
        <v>48238</v>
      </c>
      <c r="C3006" s="6" t="s">
        <v>24</v>
      </c>
      <c r="D3006" s="6" t="s">
        <v>48239</v>
      </c>
      <c r="E3006" s="3" t="str">
        <f t="shared" si="1"/>
        <v>compile&lt;br&gt;&lt;div class="audio"&gt;[sound:compile.mp3]&lt;/div&gt;</v>
      </c>
      <c r="F3006" s="3" t="str">
        <f t="shared" si="2"/>
        <v>(v): biên soạn</v>
      </c>
      <c r="G3006" s="6" t="s">
        <v>48240</v>
      </c>
      <c r="H3006" s="6" t="s">
        <v>48241</v>
      </c>
      <c r="I3006" s="7">
        <f t="shared" si="3"/>
        <v>0.8858253797</v>
      </c>
    </row>
    <row r="3007">
      <c r="A3007" s="4">
        <v>3007.0</v>
      </c>
      <c r="B3007" s="3" t="s">
        <v>48242</v>
      </c>
      <c r="C3007" s="6" t="s">
        <v>24</v>
      </c>
      <c r="D3007" s="6" t="s">
        <v>5718</v>
      </c>
      <c r="E3007" s="3" t="str">
        <f t="shared" si="1"/>
        <v>compute&lt;br&gt;&lt;div class="audio"&gt;[sound:compute.mp3]&lt;/div&gt;</v>
      </c>
      <c r="F3007" s="3" t="str">
        <f t="shared" si="2"/>
        <v>(v): tính toán</v>
      </c>
      <c r="G3007" s="6" t="s">
        <v>48243</v>
      </c>
      <c r="H3007" s="6" t="s">
        <v>48244</v>
      </c>
      <c r="I3007" s="7">
        <f t="shared" si="3"/>
        <v>0.9989305739</v>
      </c>
    </row>
    <row r="3008">
      <c r="A3008" s="4">
        <v>3008.0</v>
      </c>
      <c r="B3008" s="3" t="s">
        <v>48245</v>
      </c>
      <c r="C3008" s="6" t="s">
        <v>74</v>
      </c>
      <c r="D3008" s="6" t="s">
        <v>1787</v>
      </c>
      <c r="E3008" s="3" t="str">
        <f t="shared" si="1"/>
        <v>burden&lt;br&gt;&lt;div class="audio"&gt;[sound:burden.mp3]&lt;/div&gt;</v>
      </c>
      <c r="F3008" s="3" t="str">
        <f t="shared" si="2"/>
        <v>(n): gánh nặng</v>
      </c>
      <c r="G3008" s="6" t="s">
        <v>48246</v>
      </c>
      <c r="H3008" s="6" t="s">
        <v>48247</v>
      </c>
      <c r="I3008" s="7">
        <f t="shared" si="3"/>
        <v>0.790391515</v>
      </c>
    </row>
    <row r="3009">
      <c r="A3009" s="4">
        <v>3009.0</v>
      </c>
      <c r="B3009" s="3" t="s">
        <v>48248</v>
      </c>
      <c r="C3009" s="6" t="s">
        <v>24</v>
      </c>
      <c r="D3009" s="6" t="s">
        <v>13531</v>
      </c>
      <c r="E3009" s="3" t="str">
        <f t="shared" si="1"/>
        <v>interfere&lt;br&gt;&lt;div class="audio"&gt;[sound:interfere.mp3]&lt;/div&gt;</v>
      </c>
      <c r="F3009" s="3" t="str">
        <f t="shared" si="2"/>
        <v>(v): can thiệp</v>
      </c>
      <c r="G3009" s="6" t="s">
        <v>48249</v>
      </c>
      <c r="H3009" s="6" t="s">
        <v>48250</v>
      </c>
      <c r="I3009" s="7">
        <f t="shared" si="3"/>
        <v>0.4299219959</v>
      </c>
    </row>
    <row r="3010">
      <c r="A3010" s="4">
        <v>3010.0</v>
      </c>
      <c r="B3010" s="3" t="s">
        <v>48251</v>
      </c>
      <c r="C3010" s="6" t="s">
        <v>74</v>
      </c>
      <c r="D3010" s="6" t="s">
        <v>22472</v>
      </c>
      <c r="E3010" s="3" t="str">
        <f t="shared" si="1"/>
        <v>planet&lt;br&gt;&lt;div class="audio"&gt;[sound:planet.mp3]&lt;/div&gt;</v>
      </c>
      <c r="F3010" s="3" t="str">
        <f t="shared" si="2"/>
        <v>(n): hành tinh</v>
      </c>
      <c r="G3010" s="6" t="s">
        <v>48252</v>
      </c>
      <c r="H3010" s="6" t="s">
        <v>48253</v>
      </c>
      <c r="I3010" s="7">
        <f t="shared" si="3"/>
        <v>0.4906642525</v>
      </c>
    </row>
    <row r="3011">
      <c r="A3011" s="4">
        <v>3011.0</v>
      </c>
      <c r="B3011" s="3" t="s">
        <v>48254</v>
      </c>
      <c r="C3011" s="6" t="s">
        <v>11</v>
      </c>
      <c r="D3011" s="6" t="s">
        <v>33245</v>
      </c>
      <c r="E3011" s="3" t="str">
        <f t="shared" si="1"/>
        <v>frozen&lt;br&gt;&lt;div class="audio"&gt;[sound:frozen.mp3]&lt;/div&gt;</v>
      </c>
      <c r="F3011" s="3" t="str">
        <f t="shared" si="2"/>
        <v>(adj): đóng băng</v>
      </c>
      <c r="G3011" s="6" t="s">
        <v>48255</v>
      </c>
      <c r="H3011" s="6" t="s">
        <v>48256</v>
      </c>
      <c r="I3011" s="7">
        <f t="shared" si="3"/>
        <v>0.1552732343</v>
      </c>
    </row>
    <row r="3012">
      <c r="A3012" s="4">
        <v>3012.0</v>
      </c>
      <c r="B3012" s="3" t="s">
        <v>48257</v>
      </c>
      <c r="C3012" s="6" t="s">
        <v>74</v>
      </c>
      <c r="D3012" s="6" t="s">
        <v>19461</v>
      </c>
      <c r="E3012" s="3" t="str">
        <f t="shared" si="1"/>
        <v>isolation&lt;br&gt;&lt;div class="audio"&gt;[sound:isolation.mp3]&lt;/div&gt;</v>
      </c>
      <c r="F3012" s="3" t="str">
        <f t="shared" si="2"/>
        <v>(n): sự cô lập</v>
      </c>
      <c r="G3012" s="6" t="s">
        <v>48258</v>
      </c>
      <c r="H3012" s="6" t="s">
        <v>48259</v>
      </c>
      <c r="I3012" s="7">
        <f t="shared" si="3"/>
        <v>0.8916988358</v>
      </c>
    </row>
    <row r="3013">
      <c r="A3013" s="4">
        <v>3013.0</v>
      </c>
      <c r="B3013" s="3" t="s">
        <v>48260</v>
      </c>
      <c r="C3013" s="6" t="s">
        <v>24</v>
      </c>
      <c r="D3013" s="6" t="s">
        <v>11204</v>
      </c>
      <c r="E3013" s="3" t="str">
        <f t="shared" si="1"/>
        <v>concede&lt;br&gt;&lt;div class="audio"&gt;[sound:concede.mp3]&lt;/div&gt;</v>
      </c>
      <c r="F3013" s="3" t="str">
        <f t="shared" si="2"/>
        <v>(v): thừa nhận</v>
      </c>
      <c r="G3013" s="6" t="s">
        <v>48261</v>
      </c>
      <c r="H3013" s="6" t="s">
        <v>48262</v>
      </c>
      <c r="I3013" s="7">
        <f t="shared" si="3"/>
        <v>0.2992126749</v>
      </c>
    </row>
    <row r="3014">
      <c r="A3014" s="4">
        <v>3014.0</v>
      </c>
      <c r="B3014" s="3" t="s">
        <v>48263</v>
      </c>
      <c r="C3014" s="6" t="s">
        <v>74</v>
      </c>
      <c r="D3014" s="8" t="s">
        <v>48264</v>
      </c>
      <c r="E3014" s="3" t="str">
        <f t="shared" si="1"/>
        <v>spy&lt;br&gt;&lt;div class="audio"&gt;[sound:spy.mp3]&lt;/div&gt;</v>
      </c>
      <c r="F3014" s="3" t="str">
        <f t="shared" si="2"/>
        <v>(n): điệp viên</v>
      </c>
      <c r="G3014" s="8" t="s">
        <v>48265</v>
      </c>
      <c r="H3014" s="8" t="s">
        <v>48266</v>
      </c>
      <c r="I3014" s="7">
        <f t="shared" si="3"/>
        <v>0.06194117953</v>
      </c>
    </row>
    <row r="3015">
      <c r="A3015" s="4">
        <v>3015.0</v>
      </c>
      <c r="B3015" s="3" t="s">
        <v>48267</v>
      </c>
      <c r="C3015" s="6" t="s">
        <v>85</v>
      </c>
      <c r="D3015" s="6" t="s">
        <v>28354</v>
      </c>
      <c r="E3015" s="3" t="str">
        <f t="shared" si="1"/>
        <v>permanently&lt;br&gt;&lt;div class="audio"&gt;[sound:permanently.mp3]&lt;/div&gt;</v>
      </c>
      <c r="F3015" s="3" t="str">
        <f t="shared" si="2"/>
        <v>(adv): vĩnh viễn</v>
      </c>
      <c r="G3015" s="6" t="s">
        <v>48268</v>
      </c>
      <c r="H3015" s="6" t="s">
        <v>48269</v>
      </c>
      <c r="I3015" s="7">
        <f t="shared" si="3"/>
        <v>0.7617993049</v>
      </c>
    </row>
    <row r="3016">
      <c r="A3016" s="4">
        <v>3016.0</v>
      </c>
      <c r="B3016" s="3" t="s">
        <v>48270</v>
      </c>
      <c r="C3016" s="6" t="s">
        <v>74</v>
      </c>
      <c r="D3016" s="6" t="s">
        <v>48271</v>
      </c>
      <c r="E3016" s="3" t="str">
        <f t="shared" si="1"/>
        <v>baseball&lt;br&gt;&lt;div class="audio"&gt;[sound:baseball.mp3]&lt;/div&gt;</v>
      </c>
      <c r="F3016" s="3" t="str">
        <f t="shared" si="2"/>
        <v>(n): bóng chày</v>
      </c>
      <c r="G3016" s="6" t="s">
        <v>48272</v>
      </c>
      <c r="H3016" s="6" t="s">
        <v>48273</v>
      </c>
      <c r="I3016" s="7">
        <f t="shared" si="3"/>
        <v>0.01673765847</v>
      </c>
    </row>
    <row r="3017">
      <c r="A3017" s="4">
        <v>3017.0</v>
      </c>
      <c r="B3017" s="3" t="s">
        <v>48274</v>
      </c>
      <c r="C3017" s="6" t="s">
        <v>90</v>
      </c>
      <c r="D3017" s="6" t="s">
        <v>38637</v>
      </c>
      <c r="E3017" s="3" t="str">
        <f t="shared" si="1"/>
        <v>whereas&lt;br&gt;&lt;div class="audio"&gt;[sound:whereas.mp3]&lt;/div&gt;</v>
      </c>
      <c r="F3017" s="3" t="str">
        <f t="shared" si="2"/>
        <v>(conj): trong khi</v>
      </c>
      <c r="G3017" s="6" t="s">
        <v>48275</v>
      </c>
      <c r="H3017" s="6" t="s">
        <v>48276</v>
      </c>
      <c r="I3017" s="7">
        <f t="shared" si="3"/>
        <v>0.7393248158</v>
      </c>
    </row>
    <row r="3018">
      <c r="A3018" s="4">
        <v>3018.0</v>
      </c>
      <c r="B3018" s="3" t="s">
        <v>48277</v>
      </c>
      <c r="C3018" s="6" t="s">
        <v>74</v>
      </c>
      <c r="D3018" s="6" t="s">
        <v>9996</v>
      </c>
      <c r="E3018" s="3" t="str">
        <f t="shared" si="1"/>
        <v>mood&lt;br&gt;&lt;div class="audio"&gt;[sound:mood.mp3]&lt;/div&gt;</v>
      </c>
      <c r="F3018" s="3" t="str">
        <f t="shared" si="2"/>
        <v>(n): tâm trạng</v>
      </c>
      <c r="G3018" s="6" t="s">
        <v>48278</v>
      </c>
      <c r="H3018" s="6" t="s">
        <v>48279</v>
      </c>
      <c r="I3018" s="7">
        <f t="shared" si="3"/>
        <v>0.603407234</v>
      </c>
    </row>
    <row r="3019">
      <c r="A3019" s="4">
        <v>3019.0</v>
      </c>
      <c r="B3019" s="3" t="s">
        <v>48280</v>
      </c>
      <c r="C3019" s="6" t="s">
        <v>11</v>
      </c>
      <c r="D3019" s="6" t="s">
        <v>48281</v>
      </c>
      <c r="E3019" s="3" t="str">
        <f t="shared" si="1"/>
        <v>weekly&lt;br&gt;&lt;div class="audio"&gt;[sound:weekly.mp3]&lt;/div&gt;</v>
      </c>
      <c r="F3019" s="3" t="str">
        <f t="shared" si="2"/>
        <v>(adj): hàng tuần</v>
      </c>
      <c r="G3019" s="6" t="s">
        <v>48282</v>
      </c>
      <c r="H3019" s="6" t="s">
        <v>48283</v>
      </c>
      <c r="I3019" s="7">
        <f t="shared" si="3"/>
        <v>0.8770912227</v>
      </c>
    </row>
    <row r="3020">
      <c r="A3020" s="4">
        <v>3020.0</v>
      </c>
      <c r="B3020" s="3" t="s">
        <v>48284</v>
      </c>
      <c r="C3020" s="6" t="s">
        <v>11</v>
      </c>
      <c r="D3020" s="6" t="s">
        <v>48285</v>
      </c>
      <c r="E3020" s="3" t="str">
        <f t="shared" si="1"/>
        <v>intermediate&lt;br&gt;&lt;div class="audio"&gt;[sound:intermediate.mp3]&lt;/div&gt;</v>
      </c>
      <c r="F3020" s="3" t="str">
        <f t="shared" si="2"/>
        <v>(adj): trung cấp</v>
      </c>
      <c r="G3020" s="6" t="s">
        <v>48286</v>
      </c>
      <c r="H3020" s="6" t="s">
        <v>48287</v>
      </c>
      <c r="I3020" s="7">
        <f t="shared" si="3"/>
        <v>0.3862306778</v>
      </c>
    </row>
    <row r="3021">
      <c r="A3021" s="4">
        <v>3021.0</v>
      </c>
      <c r="B3021" s="3" t="s">
        <v>48288</v>
      </c>
      <c r="C3021" s="6" t="s">
        <v>85</v>
      </c>
      <c r="D3021" s="6" t="s">
        <v>438</v>
      </c>
      <c r="E3021" s="3" t="str">
        <f t="shared" si="1"/>
        <v>nevertheless&lt;br&gt;&lt;div class="audio"&gt;[sound:nevertheless.mp3]&lt;/div&gt;</v>
      </c>
      <c r="F3021" s="3" t="str">
        <f t="shared" si="2"/>
        <v>(adv): tuy nhiên</v>
      </c>
      <c r="G3021" s="6" t="s">
        <v>48289</v>
      </c>
      <c r="H3021" s="6" t="s">
        <v>48290</v>
      </c>
      <c r="I3021" s="7">
        <f t="shared" si="3"/>
        <v>0.6700229682</v>
      </c>
    </row>
    <row r="3022">
      <c r="A3022" s="4">
        <v>3022.0</v>
      </c>
      <c r="B3022" s="3" t="s">
        <v>48291</v>
      </c>
      <c r="C3022" s="6" t="s">
        <v>74</v>
      </c>
      <c r="D3022" s="6" t="s">
        <v>8030</v>
      </c>
      <c r="E3022" s="3" t="str">
        <f t="shared" si="1"/>
        <v>legislation&lt;br&gt;&lt;div class="audio"&gt;[sound:legislation.mp3]&lt;/div&gt;</v>
      </c>
      <c r="F3022" s="3" t="str">
        <f t="shared" si="2"/>
        <v>(n): pháp luật</v>
      </c>
      <c r="G3022" s="6" t="s">
        <v>48292</v>
      </c>
      <c r="H3022" s="6" t="s">
        <v>48293</v>
      </c>
      <c r="I3022" s="7">
        <f t="shared" si="3"/>
        <v>0.2288641063</v>
      </c>
    </row>
    <row r="3023">
      <c r="A3023" s="4">
        <v>3023.0</v>
      </c>
      <c r="B3023" s="3" t="s">
        <v>48294</v>
      </c>
      <c r="C3023" s="6" t="s">
        <v>11</v>
      </c>
      <c r="D3023" s="6" t="s">
        <v>48295</v>
      </c>
      <c r="E3023" s="3" t="str">
        <f t="shared" si="1"/>
        <v>flexible&lt;br&gt;&lt;div class="audio"&gt;[sound:flexible.mp3]&lt;/div&gt;</v>
      </c>
      <c r="F3023" s="3" t="str">
        <f t="shared" si="2"/>
        <v>(adj): linh hoạt</v>
      </c>
      <c r="G3023" s="6" t="s">
        <v>48296</v>
      </c>
      <c r="H3023" s="6" t="s">
        <v>48297</v>
      </c>
      <c r="I3023" s="7">
        <f t="shared" si="3"/>
        <v>0.4676496564</v>
      </c>
    </row>
    <row r="3024">
      <c r="A3024" s="4">
        <v>3024.0</v>
      </c>
      <c r="B3024" s="3" t="s">
        <v>48298</v>
      </c>
      <c r="C3024" s="6" t="s">
        <v>90</v>
      </c>
      <c r="D3024" s="6" t="s">
        <v>38637</v>
      </c>
      <c r="E3024" s="3" t="str">
        <f t="shared" si="1"/>
        <v>whilst&lt;br&gt;&lt;div class="audio"&gt;[sound:whilst.mp3]&lt;/div&gt;</v>
      </c>
      <c r="F3024" s="3" t="str">
        <f t="shared" si="2"/>
        <v>(conj): trong khi</v>
      </c>
      <c r="G3024" s="6" t="s">
        <v>48299</v>
      </c>
      <c r="H3024" s="6" t="s">
        <v>48300</v>
      </c>
      <c r="I3024" s="7">
        <f t="shared" si="3"/>
        <v>0.2430163184</v>
      </c>
    </row>
    <row r="3025">
      <c r="A3025" s="4">
        <v>3025.0</v>
      </c>
      <c r="B3025" s="3" t="s">
        <v>48301</v>
      </c>
      <c r="C3025" s="6" t="s">
        <v>74</v>
      </c>
      <c r="D3025" s="6" t="s">
        <v>19483</v>
      </c>
      <c r="E3025" s="3" t="str">
        <f t="shared" si="1"/>
        <v>conscience&lt;br&gt;&lt;div class="audio"&gt;[sound:conscience.mp3]&lt;/div&gt;</v>
      </c>
      <c r="F3025" s="3" t="str">
        <f t="shared" si="2"/>
        <v>(n): lương tâm</v>
      </c>
      <c r="G3025" s="6" t="s">
        <v>48302</v>
      </c>
      <c r="H3025" s="6" t="s">
        <v>48303</v>
      </c>
      <c r="I3025" s="7">
        <f t="shared" si="3"/>
        <v>0.0412411567</v>
      </c>
    </row>
    <row r="3026">
      <c r="A3026" s="4">
        <v>3026.0</v>
      </c>
      <c r="B3026" s="3" t="s">
        <v>48304</v>
      </c>
      <c r="C3026" s="6" t="s">
        <v>24</v>
      </c>
      <c r="D3026" s="6" t="s">
        <v>6825</v>
      </c>
      <c r="E3026" s="3" t="str">
        <f t="shared" si="1"/>
        <v>instruct&lt;br&gt;&lt;div class="audio"&gt;[sound:instruct.mp3]&lt;/div&gt;</v>
      </c>
      <c r="F3026" s="3" t="str">
        <f t="shared" si="2"/>
        <v>(v): hướng dẫn</v>
      </c>
      <c r="G3026" s="6" t="s">
        <v>48305</v>
      </c>
      <c r="H3026" s="6" t="s">
        <v>48306</v>
      </c>
      <c r="I3026" s="7">
        <f t="shared" si="3"/>
        <v>0.09250048418</v>
      </c>
    </row>
    <row r="3027">
      <c r="A3027" s="4">
        <v>3027.0</v>
      </c>
      <c r="B3027" s="3" t="s">
        <v>48307</v>
      </c>
      <c r="C3027" s="6" t="s">
        <v>24</v>
      </c>
      <c r="D3027" s="6" t="s">
        <v>4487</v>
      </c>
      <c r="E3027" s="3" t="str">
        <f t="shared" si="1"/>
        <v>urge&lt;br&gt;&lt;div class="audio"&gt;[sound:urge.mp3]&lt;/div&gt;</v>
      </c>
      <c r="F3027" s="3" t="str">
        <f t="shared" si="2"/>
        <v>(v): thúc giục</v>
      </c>
      <c r="G3027" s="6" t="s">
        <v>48308</v>
      </c>
      <c r="H3027" s="6" t="s">
        <v>48309</v>
      </c>
      <c r="I3027" s="7">
        <f t="shared" si="3"/>
        <v>0.1918621882</v>
      </c>
    </row>
    <row r="3028">
      <c r="A3028" s="4">
        <v>3028.0</v>
      </c>
      <c r="B3028" s="3" t="s">
        <v>48310</v>
      </c>
      <c r="C3028" s="6" t="s">
        <v>74</v>
      </c>
      <c r="D3028" s="6" t="s">
        <v>48311</v>
      </c>
      <c r="E3028" s="3" t="str">
        <f t="shared" si="1"/>
        <v>calculation&lt;br&gt;&lt;div class="audio"&gt;[sound:calculation.mp3]&lt;/div&gt;</v>
      </c>
      <c r="F3028" s="3" t="str">
        <f t="shared" si="2"/>
        <v>(n): phép tính</v>
      </c>
      <c r="G3028" s="6" t="s">
        <v>48312</v>
      </c>
      <c r="H3028" s="6" t="s">
        <v>48313</v>
      </c>
      <c r="I3028" s="7">
        <f t="shared" si="3"/>
        <v>0.06586142055</v>
      </c>
    </row>
    <row r="3029">
      <c r="A3029" s="4">
        <v>3029.0</v>
      </c>
      <c r="B3029" s="3" t="s">
        <v>48314</v>
      </c>
      <c r="C3029" s="6" t="s">
        <v>11</v>
      </c>
      <c r="D3029" s="6" t="s">
        <v>30326</v>
      </c>
      <c r="E3029" s="3" t="str">
        <f t="shared" si="1"/>
        <v>colonial&lt;br&gt;&lt;div class="audio"&gt;[sound:colonial.mp3]&lt;/div&gt;</v>
      </c>
      <c r="F3029" s="3" t="str">
        <f t="shared" si="2"/>
        <v>(adj): thuộc địa</v>
      </c>
      <c r="G3029" s="6" t="s">
        <v>48315</v>
      </c>
      <c r="H3029" s="6" t="s">
        <v>48316</v>
      </c>
      <c r="I3029" s="7">
        <f t="shared" si="3"/>
        <v>0.08153141354</v>
      </c>
    </row>
    <row r="3030">
      <c r="A3030" s="4">
        <v>3030.0</v>
      </c>
      <c r="B3030" s="3" t="s">
        <v>48317</v>
      </c>
      <c r="C3030" s="6" t="s">
        <v>74</v>
      </c>
      <c r="D3030" s="6" t="s">
        <v>48318</v>
      </c>
      <c r="E3030" s="3" t="str">
        <f t="shared" si="1"/>
        <v>incidence&lt;br&gt;&lt;div class="audio"&gt;[sound:incidence.mp3]&lt;/div&gt;</v>
      </c>
      <c r="F3030" s="3" t="str">
        <f t="shared" si="2"/>
        <v>(n): tỷ lệ mắc</v>
      </c>
      <c r="G3030" s="6" t="s">
        <v>48319</v>
      </c>
      <c r="H3030" s="6" t="s">
        <v>48320</v>
      </c>
      <c r="I3030" s="7">
        <f t="shared" si="3"/>
        <v>0.4417002312</v>
      </c>
    </row>
    <row r="3031">
      <c r="A3031" s="4">
        <v>3031.0</v>
      </c>
      <c r="B3031" s="3" t="s">
        <v>48321</v>
      </c>
      <c r="C3031" s="6" t="s">
        <v>74</v>
      </c>
      <c r="D3031" s="6" t="s">
        <v>17799</v>
      </c>
      <c r="E3031" s="3" t="str">
        <f t="shared" si="1"/>
        <v>lecture&lt;br&gt;&lt;div class="audio"&gt;[sound:lecture.mp3]&lt;/div&gt;</v>
      </c>
      <c r="F3031" s="3" t="str">
        <f t="shared" si="2"/>
        <v>(n): bài giảng</v>
      </c>
      <c r="G3031" s="6" t="s">
        <v>48322</v>
      </c>
      <c r="H3031" s="6" t="s">
        <v>48323</v>
      </c>
      <c r="I3031" s="7">
        <f t="shared" si="3"/>
        <v>0.5713438564</v>
      </c>
    </row>
    <row r="3032">
      <c r="A3032" s="4">
        <v>3032.0</v>
      </c>
      <c r="B3032" s="3" t="s">
        <v>48324</v>
      </c>
      <c r="C3032" s="6" t="s">
        <v>24</v>
      </c>
      <c r="D3032" s="8" t="s">
        <v>48325</v>
      </c>
      <c r="E3032" s="3" t="str">
        <f t="shared" si="1"/>
        <v>surge&lt;br&gt;&lt;div class="audio"&gt;[sound:surge.mp3]&lt;/div&gt;</v>
      </c>
      <c r="F3032" s="3" t="str">
        <f t="shared" si="2"/>
        <v>(v): dâng trào</v>
      </c>
      <c r="G3032" s="8" t="s">
        <v>48326</v>
      </c>
      <c r="H3032" s="8" t="s">
        <v>48327</v>
      </c>
      <c r="I3032" s="7">
        <f t="shared" si="3"/>
        <v>0.1296990872</v>
      </c>
    </row>
    <row r="3033">
      <c r="A3033" s="4">
        <v>3033.0</v>
      </c>
      <c r="B3033" s="3" t="s">
        <v>48328</v>
      </c>
      <c r="C3033" s="6" t="s">
        <v>58</v>
      </c>
      <c r="D3033" s="6" t="s">
        <v>48329</v>
      </c>
      <c r="E3033" s="3" t="str">
        <f t="shared" si="1"/>
        <v>ninety&lt;br&gt;&lt;div class="audio"&gt;[sound:ninety.mp3]&lt;/div&gt;</v>
      </c>
      <c r="F3033" s="3" t="str">
        <f t="shared" si="2"/>
        <v>(num): chín mươi</v>
      </c>
      <c r="G3033" s="6" t="s">
        <v>48330</v>
      </c>
      <c r="H3033" s="6" t="s">
        <v>48331</v>
      </c>
      <c r="I3033" s="7">
        <f t="shared" si="3"/>
        <v>0.7692877862</v>
      </c>
    </row>
    <row r="3034">
      <c r="A3034" s="4">
        <v>3034.0</v>
      </c>
      <c r="B3034" s="3" t="s">
        <v>48332</v>
      </c>
      <c r="C3034" s="6" t="s">
        <v>85</v>
      </c>
      <c r="D3034" s="8" t="s">
        <v>48333</v>
      </c>
      <c r="E3034" s="3" t="str">
        <f t="shared" si="1"/>
        <v>seemingly&lt;br&gt;&lt;div class="audio"&gt;[sound:seemingly.mp3]&lt;/div&gt;</v>
      </c>
      <c r="F3034" s="3" t="str">
        <f t="shared" si="2"/>
        <v>(adv): có vẻ như</v>
      </c>
      <c r="G3034" s="8" t="s">
        <v>48334</v>
      </c>
      <c r="H3034" s="8" t="s">
        <v>48335</v>
      </c>
      <c r="I3034" s="7">
        <f t="shared" si="3"/>
        <v>0.3664496371</v>
      </c>
    </row>
    <row r="3035">
      <c r="A3035" s="4">
        <v>3035.0</v>
      </c>
      <c r="B3035" s="3" t="s">
        <v>48336</v>
      </c>
      <c r="C3035" s="6" t="s">
        <v>74</v>
      </c>
      <c r="D3035" s="6" t="s">
        <v>38852</v>
      </c>
      <c r="E3035" s="3" t="str">
        <f t="shared" si="1"/>
        <v>transaction&lt;br&gt;&lt;div class="audio"&gt;[sound:transaction.mp3]&lt;/div&gt;</v>
      </c>
      <c r="F3035" s="3" t="str">
        <f t="shared" si="2"/>
        <v>(n): giao dịch</v>
      </c>
      <c r="G3035" s="6" t="s">
        <v>48337</v>
      </c>
      <c r="H3035" s="6" t="s">
        <v>48338</v>
      </c>
      <c r="I3035" s="7">
        <f t="shared" si="3"/>
        <v>0.5986305429</v>
      </c>
    </row>
    <row r="3036">
      <c r="A3036" s="4">
        <v>3036.0</v>
      </c>
      <c r="B3036" s="3" t="s">
        <v>48339</v>
      </c>
      <c r="C3036" s="6" t="s">
        <v>11</v>
      </c>
      <c r="D3036" s="6" t="s">
        <v>45520</v>
      </c>
      <c r="E3036" s="3" t="str">
        <f t="shared" si="1"/>
        <v>interactive&lt;br&gt;&lt;div class="audio"&gt;[sound:interactive.mp3]&lt;/div&gt;</v>
      </c>
      <c r="F3036" s="3" t="str">
        <f t="shared" si="2"/>
        <v>(adj): tương tác</v>
      </c>
      <c r="G3036" s="6" t="s">
        <v>48340</v>
      </c>
      <c r="H3036" s="6" t="s">
        <v>48341</v>
      </c>
      <c r="I3036" s="7">
        <f t="shared" si="3"/>
        <v>0.9458913599</v>
      </c>
    </row>
    <row r="3037">
      <c r="A3037" s="4">
        <v>3037.0</v>
      </c>
      <c r="B3037" s="3" t="s">
        <v>48342</v>
      </c>
      <c r="C3037" s="6" t="s">
        <v>24</v>
      </c>
      <c r="D3037" s="6" t="s">
        <v>35880</v>
      </c>
      <c r="E3037" s="3" t="str">
        <f t="shared" si="1"/>
        <v>assign&lt;br&gt;&lt;div class="audio"&gt;[sound:assign.mp3]&lt;/div&gt;</v>
      </c>
      <c r="F3037" s="3" t="str">
        <f t="shared" si="2"/>
        <v>(v): phân công</v>
      </c>
      <c r="G3037" s="6" t="s">
        <v>48343</v>
      </c>
      <c r="H3037" s="6" t="s">
        <v>48344</v>
      </c>
      <c r="I3037" s="7">
        <f t="shared" si="3"/>
        <v>0.5703553718</v>
      </c>
    </row>
    <row r="3038">
      <c r="A3038" s="4">
        <v>3038.0</v>
      </c>
      <c r="B3038" s="3" t="s">
        <v>48345</v>
      </c>
      <c r="C3038" s="6" t="s">
        <v>74</v>
      </c>
      <c r="D3038" s="6" t="s">
        <v>9510</v>
      </c>
      <c r="E3038" s="3" t="str">
        <f t="shared" si="1"/>
        <v>consent&lt;br&gt;&lt;div class="audio"&gt;[sound:consent.mp3]&lt;/div&gt;</v>
      </c>
      <c r="F3038" s="3" t="str">
        <f t="shared" si="2"/>
        <v>(n): sự đồng ý</v>
      </c>
      <c r="G3038" s="6" t="s">
        <v>48346</v>
      </c>
      <c r="H3038" s="6" t="s">
        <v>48347</v>
      </c>
      <c r="I3038" s="7">
        <f t="shared" si="3"/>
        <v>0.4649785434</v>
      </c>
    </row>
    <row r="3039">
      <c r="A3039" s="4">
        <v>3039.0</v>
      </c>
      <c r="B3039" s="3" t="s">
        <v>48348</v>
      </c>
      <c r="C3039" s="6" t="s">
        <v>24</v>
      </c>
      <c r="D3039" s="6" t="s">
        <v>28942</v>
      </c>
      <c r="E3039" s="3" t="str">
        <f t="shared" si="1"/>
        <v>invent&lt;br&gt;&lt;div class="audio"&gt;[sound:invent.mp3]&lt;/div&gt;</v>
      </c>
      <c r="F3039" s="3" t="str">
        <f t="shared" si="2"/>
        <v>(v): phát minh</v>
      </c>
      <c r="G3039" s="6" t="s">
        <v>48349</v>
      </c>
      <c r="H3039" s="6" t="s">
        <v>48350</v>
      </c>
      <c r="I3039" s="7">
        <f t="shared" si="3"/>
        <v>0.1085260255</v>
      </c>
    </row>
    <row r="3040">
      <c r="A3040" s="4">
        <v>3040.0</v>
      </c>
      <c r="B3040" s="3" t="s">
        <v>48351</v>
      </c>
      <c r="C3040" s="6" t="s">
        <v>11</v>
      </c>
      <c r="D3040" s="6" t="s">
        <v>3109</v>
      </c>
      <c r="E3040" s="3" t="str">
        <f t="shared" si="1"/>
        <v>intensive&lt;br&gt;&lt;div class="audio"&gt;[sound:intensive.mp3]&lt;/div&gt;</v>
      </c>
      <c r="F3040" s="3" t="str">
        <f t="shared" si="2"/>
        <v>(adj): tập trung</v>
      </c>
      <c r="G3040" s="6" t="s">
        <v>48352</v>
      </c>
      <c r="H3040" s="6" t="s">
        <v>48353</v>
      </c>
      <c r="I3040" s="7">
        <f t="shared" si="3"/>
        <v>0.8397495513</v>
      </c>
    </row>
    <row r="3041">
      <c r="A3041" s="4">
        <v>3041.0</v>
      </c>
      <c r="B3041" s="3" t="s">
        <v>48354</v>
      </c>
      <c r="C3041" s="6" t="s">
        <v>24</v>
      </c>
      <c r="D3041" s="8" t="s">
        <v>48355</v>
      </c>
      <c r="E3041" s="3" t="str">
        <f t="shared" si="1"/>
        <v>specialize&lt;br&gt;&lt;div class="audio"&gt;[sound:specialize.mp3]&lt;/div&gt;</v>
      </c>
      <c r="F3041" s="3" t="str">
        <f t="shared" si="2"/>
        <v>(v): chuyên về</v>
      </c>
      <c r="G3041" s="8" t="s">
        <v>48356</v>
      </c>
      <c r="H3041" s="8" t="s">
        <v>48357</v>
      </c>
      <c r="I3041" s="7">
        <f t="shared" si="3"/>
        <v>0.9670794211</v>
      </c>
    </row>
    <row r="3042">
      <c r="A3042" s="4">
        <v>3042.0</v>
      </c>
      <c r="B3042" s="3" t="s">
        <v>48358</v>
      </c>
      <c r="C3042" s="6" t="s">
        <v>74</v>
      </c>
      <c r="D3042" s="6" t="s">
        <v>9499</v>
      </c>
      <c r="E3042" s="3" t="str">
        <f t="shared" si="1"/>
        <v>uniform&lt;br&gt;&lt;div class="audio"&gt;[sound:uniform.mp3]&lt;/div&gt;</v>
      </c>
      <c r="F3042" s="3" t="str">
        <f t="shared" si="2"/>
        <v>(n): đồng phục</v>
      </c>
      <c r="G3042" s="6" t="s">
        <v>48359</v>
      </c>
      <c r="H3042" s="6" t="s">
        <v>48360</v>
      </c>
      <c r="I3042" s="7">
        <f t="shared" si="3"/>
        <v>0.697028496</v>
      </c>
    </row>
    <row r="3043">
      <c r="A3043" s="4">
        <v>3043.0</v>
      </c>
      <c r="B3043" s="3" t="s">
        <v>48361</v>
      </c>
      <c r="C3043" s="6" t="s">
        <v>85</v>
      </c>
      <c r="D3043" s="6" t="s">
        <v>874</v>
      </c>
      <c r="E3043" s="3" t="str">
        <f t="shared" si="1"/>
        <v>inevitably&lt;br&gt;&lt;div class="audio"&gt;[sound:inevitably.mp3]&lt;/div&gt;</v>
      </c>
      <c r="F3043" s="3" t="str">
        <f t="shared" si="2"/>
        <v>(adv): chắc chắn</v>
      </c>
      <c r="G3043" s="6" t="s">
        <v>48362</v>
      </c>
      <c r="H3043" s="6" t="s">
        <v>48363</v>
      </c>
      <c r="I3043" s="7">
        <f t="shared" si="3"/>
        <v>0.1749742339</v>
      </c>
    </row>
    <row r="3044">
      <c r="A3044" s="4">
        <v>3044.0</v>
      </c>
      <c r="B3044" s="3" t="s">
        <v>48364</v>
      </c>
      <c r="C3044" s="6" t="s">
        <v>24</v>
      </c>
      <c r="D3044" s="6" t="s">
        <v>48365</v>
      </c>
      <c r="E3044" s="3" t="str">
        <f t="shared" si="1"/>
        <v>trigger&lt;br&gt;&lt;div class="audio"&gt;[sound:trigger.mp3]&lt;/div&gt;</v>
      </c>
      <c r="F3044" s="3" t="str">
        <f t="shared" si="2"/>
        <v>(v): kích hoạt</v>
      </c>
      <c r="G3044" s="6" t="s">
        <v>48366</v>
      </c>
      <c r="H3044" s="6" t="s">
        <v>48367</v>
      </c>
      <c r="I3044" s="7">
        <f t="shared" si="3"/>
        <v>0.5524274755</v>
      </c>
    </row>
    <row r="3045">
      <c r="A3045" s="4">
        <v>3045.0</v>
      </c>
      <c r="B3045" s="3" t="s">
        <v>48368</v>
      </c>
      <c r="C3045" s="6" t="s">
        <v>11</v>
      </c>
      <c r="D3045" s="6" t="s">
        <v>48369</v>
      </c>
      <c r="E3045" s="3" t="str">
        <f t="shared" si="1"/>
        <v>exclusive&lt;br&gt;&lt;div class="audio"&gt;[sound:exclusive.mp3]&lt;/div&gt;</v>
      </c>
      <c r="F3045" s="3" t="str">
        <f t="shared" si="2"/>
        <v>(adj): độc quyền</v>
      </c>
      <c r="G3045" s="6" t="s">
        <v>48370</v>
      </c>
      <c r="H3045" s="6" t="s">
        <v>48371</v>
      </c>
      <c r="I3045" s="7">
        <f t="shared" si="3"/>
        <v>0.9415445851</v>
      </c>
    </row>
    <row r="3046">
      <c r="A3046" s="4">
        <v>3046.0</v>
      </c>
      <c r="B3046" s="3" t="s">
        <v>48372</v>
      </c>
      <c r="C3046" s="6" t="s">
        <v>24</v>
      </c>
      <c r="D3046" s="6" t="s">
        <v>48373</v>
      </c>
      <c r="E3046" s="3" t="str">
        <f t="shared" si="1"/>
        <v>heal&lt;br&gt;&lt;div class="audio"&gt;[sound:heal.mp3]&lt;/div&gt;</v>
      </c>
      <c r="F3046" s="3" t="str">
        <f t="shared" si="2"/>
        <v>(v): chữa lành</v>
      </c>
      <c r="G3046" s="6" t="s">
        <v>48374</v>
      </c>
      <c r="H3046" s="6" t="s">
        <v>48375</v>
      </c>
      <c r="I3046" s="7">
        <f t="shared" si="3"/>
        <v>0.1541482717</v>
      </c>
    </row>
    <row r="3047">
      <c r="A3047" s="4">
        <v>3047.0</v>
      </c>
      <c r="B3047" s="3" t="s">
        <v>48376</v>
      </c>
      <c r="C3047" s="6" t="s">
        <v>24</v>
      </c>
      <c r="D3047" s="6" t="s">
        <v>5436</v>
      </c>
      <c r="E3047" s="3" t="str">
        <f t="shared" si="1"/>
        <v>advertise&lt;br&gt;&lt;div class="audio"&gt;[sound:advertise.mp3]&lt;/div&gt;</v>
      </c>
      <c r="F3047" s="3" t="str">
        <f t="shared" si="2"/>
        <v>(v): quảng cáo</v>
      </c>
      <c r="G3047" s="6" t="s">
        <v>48377</v>
      </c>
      <c r="H3047" s="6" t="s">
        <v>48378</v>
      </c>
      <c r="I3047" s="7">
        <f t="shared" si="3"/>
        <v>0.3861481735</v>
      </c>
    </row>
    <row r="3048">
      <c r="A3048" s="4">
        <v>3048.0</v>
      </c>
      <c r="B3048" s="3" t="s">
        <v>48379</v>
      </c>
      <c r="C3048" s="6" t="s">
        <v>24</v>
      </c>
      <c r="D3048" s="6" t="s">
        <v>41758</v>
      </c>
      <c r="E3048" s="3" t="str">
        <f t="shared" si="1"/>
        <v>perceive&lt;br&gt;&lt;div class="audio"&gt;[sound:perceive.mp3]&lt;/div&gt;</v>
      </c>
      <c r="F3048" s="3" t="str">
        <f t="shared" si="2"/>
        <v>(v): nhận thức</v>
      </c>
      <c r="G3048" s="6" t="s">
        <v>48380</v>
      </c>
      <c r="H3048" s="6" t="s">
        <v>48381</v>
      </c>
      <c r="I3048" s="7">
        <f t="shared" si="3"/>
        <v>0.2904362702</v>
      </c>
    </row>
    <row r="3049">
      <c r="A3049" s="4">
        <v>3049.0</v>
      </c>
      <c r="B3049" s="3" t="s">
        <v>48382</v>
      </c>
      <c r="C3049" s="6" t="s">
        <v>74</v>
      </c>
      <c r="D3049" s="6" t="s">
        <v>22160</v>
      </c>
      <c r="E3049" s="3" t="str">
        <f t="shared" si="1"/>
        <v>origin&lt;br&gt;&lt;div class="audio"&gt;[sound:origin.mp3]&lt;/div&gt;</v>
      </c>
      <c r="F3049" s="3" t="str">
        <f t="shared" si="2"/>
        <v>(n): nguồn gốc</v>
      </c>
      <c r="G3049" s="6" t="s">
        <v>48383</v>
      </c>
      <c r="H3049" s="6" t="s">
        <v>48384</v>
      </c>
      <c r="I3049" s="7">
        <f t="shared" si="3"/>
        <v>0.3697001358</v>
      </c>
    </row>
    <row r="3050">
      <c r="A3050" s="4">
        <v>3050.0</v>
      </c>
      <c r="B3050" s="3" t="s">
        <v>48385</v>
      </c>
      <c r="C3050" s="6" t="s">
        <v>11</v>
      </c>
      <c r="D3050" s="6" t="s">
        <v>48386</v>
      </c>
      <c r="E3050" s="3" t="str">
        <f t="shared" si="1"/>
        <v>gorgeous&lt;br&gt;&lt;div class="audio"&gt;[sound:gorgeous.mp3]&lt;/div&gt;</v>
      </c>
      <c r="F3050" s="3" t="str">
        <f t="shared" si="2"/>
        <v>(adj): tuyệt đẹp</v>
      </c>
      <c r="G3050" s="6" t="s">
        <v>48387</v>
      </c>
      <c r="H3050" s="6" t="s">
        <v>48388</v>
      </c>
      <c r="I3050" s="7">
        <f t="shared" si="3"/>
        <v>0.3406752293</v>
      </c>
    </row>
    <row r="3051">
      <c r="A3051" s="4">
        <v>3051.0</v>
      </c>
      <c r="B3051" s="3" t="s">
        <v>48389</v>
      </c>
      <c r="C3051" s="6" t="s">
        <v>74</v>
      </c>
      <c r="D3051" s="6" t="s">
        <v>48390</v>
      </c>
      <c r="E3051" s="3" t="str">
        <f t="shared" si="1"/>
        <v>leaf&lt;br&gt;&lt;div class="audio"&gt;[sound:leaf.mp3]&lt;/div&gt;</v>
      </c>
      <c r="F3051" s="3" t="str">
        <f t="shared" si="2"/>
        <v>(n): chiếc lá</v>
      </c>
      <c r="G3051" s="6" t="s">
        <v>48391</v>
      </c>
      <c r="H3051" s="6" t="s">
        <v>48392</v>
      </c>
      <c r="I3051" s="7">
        <f t="shared" si="3"/>
        <v>0.09751749158</v>
      </c>
    </row>
    <row r="3052">
      <c r="A3052" s="4">
        <v>3052.0</v>
      </c>
      <c r="B3052" s="3" t="s">
        <v>48393</v>
      </c>
      <c r="C3052" s="6" t="s">
        <v>11</v>
      </c>
      <c r="D3052" s="6" t="s">
        <v>48394</v>
      </c>
      <c r="E3052" s="3" t="str">
        <f t="shared" si="1"/>
        <v>willing&lt;br&gt;&lt;div class="audio"&gt;[sound:willing.mp3]&lt;/div&gt;</v>
      </c>
      <c r="F3052" s="3" t="str">
        <f t="shared" si="2"/>
        <v>(adj): sẵn lòng</v>
      </c>
      <c r="G3052" s="6" t="s">
        <v>48395</v>
      </c>
      <c r="H3052" s="6" t="s">
        <v>48396</v>
      </c>
      <c r="I3052" s="7">
        <f t="shared" si="3"/>
        <v>0.08841141688</v>
      </c>
    </row>
    <row r="3053">
      <c r="A3053" s="4">
        <v>3053.0</v>
      </c>
      <c r="B3053" s="3" t="s">
        <v>48397</v>
      </c>
      <c r="C3053" s="6" t="s">
        <v>63</v>
      </c>
      <c r="D3053" s="6" t="s">
        <v>200</v>
      </c>
      <c r="E3053" s="3" t="str">
        <f t="shared" si="1"/>
        <v>besides&lt;br&gt;&lt;div class="audio"&gt;[sound:besides.mp3]&lt;/div&gt;</v>
      </c>
      <c r="F3053" s="3" t="str">
        <f t="shared" si="2"/>
        <v>(prep): ngoài ra</v>
      </c>
      <c r="G3053" s="6" t="s">
        <v>48398</v>
      </c>
      <c r="H3053" s="6" t="s">
        <v>48399</v>
      </c>
      <c r="I3053" s="7">
        <f t="shared" si="3"/>
        <v>0.2332617565</v>
      </c>
    </row>
    <row r="3054">
      <c r="A3054" s="4">
        <v>3054.0</v>
      </c>
      <c r="B3054" s="3" t="s">
        <v>48400</v>
      </c>
      <c r="C3054" s="6" t="s">
        <v>74</v>
      </c>
      <c r="D3054" s="8" t="s">
        <v>10075</v>
      </c>
      <c r="E3054" s="3" t="str">
        <f t="shared" si="1"/>
        <v>spouse&lt;br&gt;&lt;div class="audio"&gt;[sound:spouse.mp3]&lt;/div&gt;</v>
      </c>
      <c r="F3054" s="3" t="str">
        <f t="shared" si="2"/>
        <v>(n): vợ chồng</v>
      </c>
      <c r="G3054" s="8" t="s">
        <v>48401</v>
      </c>
      <c r="H3054" s="8" t="s">
        <v>48402</v>
      </c>
      <c r="I3054" s="7">
        <f t="shared" si="3"/>
        <v>0.829569049</v>
      </c>
    </row>
    <row r="3055">
      <c r="A3055" s="4">
        <v>3055.0</v>
      </c>
      <c r="B3055" s="3" t="s">
        <v>48403</v>
      </c>
      <c r="C3055" s="6" t="s">
        <v>24</v>
      </c>
      <c r="D3055" s="6" t="s">
        <v>15240</v>
      </c>
      <c r="E3055" s="3" t="str">
        <f t="shared" si="1"/>
        <v>lend&lt;br&gt;&lt;div class="audio"&gt;[sound:lend.mp3]&lt;/div&gt;</v>
      </c>
      <c r="F3055" s="3" t="str">
        <f t="shared" si="2"/>
        <v>(v): cho mượn</v>
      </c>
      <c r="G3055" s="6" t="s">
        <v>48404</v>
      </c>
      <c r="H3055" s="6" t="s">
        <v>48405</v>
      </c>
      <c r="I3055" s="7">
        <f t="shared" si="3"/>
        <v>0.6659771972</v>
      </c>
    </row>
    <row r="3056">
      <c r="A3056" s="4">
        <v>3056.0</v>
      </c>
      <c r="B3056" s="3" t="s">
        <v>48406</v>
      </c>
      <c r="C3056" s="6" t="s">
        <v>74</v>
      </c>
      <c r="D3056" s="6" t="s">
        <v>35530</v>
      </c>
      <c r="E3056" s="3" t="str">
        <f t="shared" si="1"/>
        <v>catalogue&lt;br&gt;&lt;div class="audio"&gt;[sound:catalogue.mp3]&lt;/div&gt;</v>
      </c>
      <c r="F3056" s="3" t="str">
        <f t="shared" si="2"/>
        <v>(n): danh mục</v>
      </c>
      <c r="G3056" s="6" t="s">
        <v>48407</v>
      </c>
      <c r="H3056" s="6" t="s">
        <v>48408</v>
      </c>
      <c r="I3056" s="7">
        <f t="shared" si="3"/>
        <v>0.6993962367</v>
      </c>
    </row>
    <row r="3057">
      <c r="A3057" s="4">
        <v>3057.0</v>
      </c>
      <c r="B3057" s="3" t="s">
        <v>48409</v>
      </c>
      <c r="C3057" s="6" t="s">
        <v>74</v>
      </c>
      <c r="D3057" s="6" t="s">
        <v>14431</v>
      </c>
      <c r="E3057" s="3" t="str">
        <f t="shared" si="1"/>
        <v>assignment&lt;br&gt;&lt;div class="audio"&gt;[sound:assignment.mp3]&lt;/div&gt;</v>
      </c>
      <c r="F3057" s="3" t="str">
        <f t="shared" si="2"/>
        <v>(n): nhiệm vụ</v>
      </c>
      <c r="G3057" s="6" t="s">
        <v>48410</v>
      </c>
      <c r="H3057" s="6" t="s">
        <v>48411</v>
      </c>
      <c r="I3057" s="7">
        <f t="shared" si="3"/>
        <v>0.6627261533</v>
      </c>
    </row>
    <row r="3058">
      <c r="A3058" s="4">
        <v>3058.0</v>
      </c>
      <c r="B3058" s="3" t="s">
        <v>48412</v>
      </c>
      <c r="C3058" s="6" t="s">
        <v>24</v>
      </c>
      <c r="D3058" s="6" t="s">
        <v>13348</v>
      </c>
      <c r="E3058" s="3" t="str">
        <f t="shared" si="1"/>
        <v>exclude&lt;br&gt;&lt;div class="audio"&gt;[sound:exclude.mp3]&lt;/div&gt;</v>
      </c>
      <c r="F3058" s="3" t="str">
        <f t="shared" si="2"/>
        <v>(v): loại trừ</v>
      </c>
      <c r="G3058" s="6" t="s">
        <v>48413</v>
      </c>
      <c r="H3058" s="6" t="s">
        <v>48414</v>
      </c>
      <c r="I3058" s="7">
        <f t="shared" si="3"/>
        <v>0.8340215677</v>
      </c>
    </row>
    <row r="3059">
      <c r="A3059" s="4">
        <v>3059.0</v>
      </c>
      <c r="B3059" s="3" t="s">
        <v>48415</v>
      </c>
      <c r="C3059" s="6" t="s">
        <v>24</v>
      </c>
      <c r="D3059" s="8" t="s">
        <v>33341</v>
      </c>
      <c r="E3059" s="3" t="str">
        <f t="shared" si="1"/>
        <v>spoil&lt;br&gt;&lt;div class="audio"&gt;[sound:spoil.mp3]&lt;/div&gt;</v>
      </c>
      <c r="F3059" s="3" t="str">
        <f t="shared" si="2"/>
        <v>(v): làm hỏng</v>
      </c>
      <c r="G3059" s="8" t="s">
        <v>48416</v>
      </c>
      <c r="H3059" s="8" t="s">
        <v>48417</v>
      </c>
      <c r="I3059" s="7">
        <f t="shared" si="3"/>
        <v>0.2276898304</v>
      </c>
    </row>
    <row r="3060">
      <c r="A3060" s="4">
        <v>3060.0</v>
      </c>
      <c r="B3060" s="3" t="s">
        <v>48418</v>
      </c>
      <c r="C3060" s="6" t="s">
        <v>24</v>
      </c>
      <c r="D3060" s="6" t="s">
        <v>2726</v>
      </c>
      <c r="E3060" s="3" t="str">
        <f t="shared" si="1"/>
        <v>educate&lt;br&gt;&lt;div class="audio"&gt;[sound:educate.mp3]&lt;/div&gt;</v>
      </c>
      <c r="F3060" s="3" t="str">
        <f t="shared" si="2"/>
        <v>(v): giáo dục</v>
      </c>
      <c r="G3060" s="6" t="s">
        <v>48419</v>
      </c>
      <c r="H3060" s="6" t="s">
        <v>48420</v>
      </c>
      <c r="I3060" s="7">
        <f t="shared" si="3"/>
        <v>0.4817885533</v>
      </c>
    </row>
    <row r="3061">
      <c r="A3061" s="4">
        <v>3061.0</v>
      </c>
      <c r="B3061" s="3" t="s">
        <v>48421</v>
      </c>
      <c r="C3061" s="6" t="s">
        <v>85</v>
      </c>
      <c r="D3061" s="6" t="s">
        <v>5734</v>
      </c>
      <c r="E3061" s="3" t="str">
        <f t="shared" si="1"/>
        <v>continually&lt;br&gt;&lt;div class="audio"&gt;[sound:continually.mp3]&lt;/div&gt;</v>
      </c>
      <c r="F3061" s="3" t="str">
        <f t="shared" si="2"/>
        <v>(adv): liên tục</v>
      </c>
      <c r="G3061" s="6" t="s">
        <v>48422</v>
      </c>
      <c r="H3061" s="6" t="s">
        <v>48423</v>
      </c>
      <c r="I3061" s="7">
        <f t="shared" si="3"/>
        <v>0.08753018698</v>
      </c>
    </row>
    <row r="3062">
      <c r="A3062" s="4">
        <v>3062.0</v>
      </c>
      <c r="B3062" s="3" t="s">
        <v>48424</v>
      </c>
      <c r="C3062" s="6" t="s">
        <v>74</v>
      </c>
      <c r="D3062" s="8" t="s">
        <v>48425</v>
      </c>
      <c r="E3062" s="3" t="str">
        <f t="shared" si="1"/>
        <v>sexuality&lt;br&gt;&lt;div class="audio"&gt;[sound:sexuality.mp3]&lt;/div&gt;</v>
      </c>
      <c r="F3062" s="3" t="str">
        <f t="shared" si="2"/>
        <v>(n): tính dục</v>
      </c>
      <c r="G3062" s="8" t="s">
        <v>48426</v>
      </c>
      <c r="H3062" s="8" t="s">
        <v>48427</v>
      </c>
      <c r="I3062" s="7">
        <f t="shared" si="3"/>
        <v>0.3187747901</v>
      </c>
    </row>
    <row r="3063">
      <c r="A3063" s="4">
        <v>3063.0</v>
      </c>
      <c r="B3063" s="3" t="s">
        <v>48428</v>
      </c>
      <c r="C3063" s="6" t="s">
        <v>74</v>
      </c>
      <c r="D3063" s="6" t="s">
        <v>48429</v>
      </c>
      <c r="E3063" s="3" t="str">
        <f t="shared" si="1"/>
        <v>lifestyle&lt;br&gt;&lt;div class="audio"&gt;[sound:lifestyle.mp3]&lt;/div&gt;</v>
      </c>
      <c r="F3063" s="3" t="str">
        <f t="shared" si="2"/>
        <v>(n): lối sống</v>
      </c>
      <c r="G3063" s="6" t="s">
        <v>48430</v>
      </c>
      <c r="H3063" s="6" t="s">
        <v>48431</v>
      </c>
      <c r="I3063" s="7">
        <f t="shared" si="3"/>
        <v>0.798114029</v>
      </c>
    </row>
    <row r="3064">
      <c r="A3064" s="4">
        <v>3064.0</v>
      </c>
      <c r="B3064" s="3" t="s">
        <v>48432</v>
      </c>
      <c r="C3064" s="6" t="s">
        <v>74</v>
      </c>
      <c r="D3064" s="6" t="s">
        <v>14577</v>
      </c>
      <c r="E3064" s="3" t="str">
        <f t="shared" si="1"/>
        <v>pilot&lt;br&gt;&lt;div class="audio"&gt;[sound:pilot.mp3]&lt;/div&gt;</v>
      </c>
      <c r="F3064" s="3" t="str">
        <f t="shared" si="2"/>
        <v>(n): phi công</v>
      </c>
      <c r="G3064" s="6" t="s">
        <v>48433</v>
      </c>
      <c r="H3064" s="6" t="s">
        <v>48434</v>
      </c>
      <c r="I3064" s="7">
        <f t="shared" si="3"/>
        <v>0.9132298928</v>
      </c>
    </row>
    <row r="3065">
      <c r="A3065" s="4">
        <v>3065.0</v>
      </c>
      <c r="B3065" s="3" t="s">
        <v>48435</v>
      </c>
      <c r="C3065" s="6" t="s">
        <v>74</v>
      </c>
      <c r="D3065" s="8" t="s">
        <v>30433</v>
      </c>
      <c r="E3065" s="3" t="str">
        <f t="shared" si="1"/>
        <v>steam&lt;br&gt;&lt;div class="audio"&gt;[sound:steam.mp3]&lt;/div&gt;</v>
      </c>
      <c r="F3065" s="3" t="str">
        <f t="shared" si="2"/>
        <v>(n): hơi nước</v>
      </c>
      <c r="G3065" s="8" t="s">
        <v>48436</v>
      </c>
      <c r="H3065" s="8" t="s">
        <v>48437</v>
      </c>
      <c r="I3065" s="7">
        <f t="shared" si="3"/>
        <v>0.1883309756</v>
      </c>
    </row>
    <row r="3066">
      <c r="A3066" s="4">
        <v>3066.0</v>
      </c>
      <c r="B3066" s="3" t="s">
        <v>48438</v>
      </c>
      <c r="C3066" s="6" t="s">
        <v>24</v>
      </c>
      <c r="D3066" s="6" t="s">
        <v>48439</v>
      </c>
      <c r="E3066" s="3" t="str">
        <f t="shared" si="1"/>
        <v>evolve&lt;br&gt;&lt;div class="audio"&gt;[sound:evolve.mp3]&lt;/div&gt;</v>
      </c>
      <c r="F3066" s="3" t="str">
        <f t="shared" si="2"/>
        <v>(v): tiến hóa</v>
      </c>
      <c r="G3066" s="6" t="s">
        <v>48440</v>
      </c>
      <c r="H3066" s="6" t="s">
        <v>48441</v>
      </c>
      <c r="I3066" s="7">
        <f t="shared" si="3"/>
        <v>0.7643368173</v>
      </c>
    </row>
    <row r="3067">
      <c r="A3067" s="4">
        <v>3067.0</v>
      </c>
      <c r="B3067" s="3" t="s">
        <v>48442</v>
      </c>
      <c r="C3067" s="6" t="s">
        <v>74</v>
      </c>
      <c r="D3067" s="8" t="s">
        <v>2385</v>
      </c>
      <c r="E3067" s="3" t="str">
        <f t="shared" si="1"/>
        <v>sensation&lt;br&gt;&lt;div class="audio"&gt;[sound:sensation.mp3]&lt;/div&gt;</v>
      </c>
      <c r="F3067" s="3" t="str">
        <f t="shared" si="2"/>
        <v>(n): cảm giác</v>
      </c>
      <c r="G3067" s="8" t="s">
        <v>48443</v>
      </c>
      <c r="H3067" s="8" t="s">
        <v>48444</v>
      </c>
      <c r="I3067" s="7">
        <f t="shared" si="3"/>
        <v>0.3447630789</v>
      </c>
    </row>
    <row r="3068">
      <c r="A3068" s="4">
        <v>3068.0</v>
      </c>
      <c r="B3068" s="3" t="s">
        <v>48445</v>
      </c>
      <c r="C3068" s="6" t="s">
        <v>11</v>
      </c>
      <c r="D3068" s="6" t="s">
        <v>3455</v>
      </c>
      <c r="E3068" s="3" t="str">
        <f t="shared" si="1"/>
        <v>universal&lt;br&gt;&lt;div class="audio"&gt;[sound:universal.mp3]&lt;/div&gt;</v>
      </c>
      <c r="F3068" s="3" t="str">
        <f t="shared" si="2"/>
        <v>(adj): phổ biến</v>
      </c>
      <c r="G3068" s="6" t="s">
        <v>48446</v>
      </c>
      <c r="H3068" s="6" t="s">
        <v>48447</v>
      </c>
      <c r="I3068" s="7">
        <f t="shared" si="3"/>
        <v>0.4290996397</v>
      </c>
    </row>
    <row r="3069">
      <c r="A3069" s="4">
        <v>3069.0</v>
      </c>
      <c r="B3069" s="3" t="s">
        <v>48448</v>
      </c>
      <c r="C3069" s="6" t="s">
        <v>11</v>
      </c>
      <c r="D3069" s="6" t="s">
        <v>48449</v>
      </c>
      <c r="E3069" s="3" t="str">
        <f t="shared" si="1"/>
        <v>peaceful&lt;br&gt;&lt;div class="audio"&gt;[sound:peaceful.mp3]&lt;/div&gt;</v>
      </c>
      <c r="F3069" s="3" t="str">
        <f t="shared" si="2"/>
        <v>(adj): yên bình</v>
      </c>
      <c r="G3069" s="6" t="s">
        <v>48450</v>
      </c>
      <c r="H3069" s="6" t="s">
        <v>48451</v>
      </c>
      <c r="I3069" s="7">
        <f t="shared" si="3"/>
        <v>0.9215794456</v>
      </c>
    </row>
    <row r="3070">
      <c r="A3070" s="4">
        <v>3070.0</v>
      </c>
      <c r="B3070" s="3" t="s">
        <v>48452</v>
      </c>
      <c r="C3070" s="6" t="s">
        <v>74</v>
      </c>
      <c r="D3070" s="6" t="s">
        <v>8541</v>
      </c>
      <c r="E3070" s="3" t="str">
        <f t="shared" si="1"/>
        <v>obligation&lt;br&gt;&lt;div class="audio"&gt;[sound:obligation.mp3]&lt;/div&gt;</v>
      </c>
      <c r="F3070" s="3" t="str">
        <f t="shared" si="2"/>
        <v>(n): nghĩa vụ</v>
      </c>
      <c r="G3070" s="6" t="s">
        <v>48453</v>
      </c>
      <c r="H3070" s="6" t="s">
        <v>48454</v>
      </c>
      <c r="I3070" s="7">
        <f t="shared" si="3"/>
        <v>0.5927929503</v>
      </c>
    </row>
    <row r="3071">
      <c r="A3071" s="4">
        <v>3071.0</v>
      </c>
      <c r="B3071" s="3" t="s">
        <v>48455</v>
      </c>
      <c r="C3071" s="6" t="s">
        <v>24</v>
      </c>
      <c r="D3071" s="6" t="s">
        <v>48456</v>
      </c>
      <c r="E3071" s="3" t="str">
        <f t="shared" si="1"/>
        <v>collaborate&lt;br&gt;&lt;div class="audio"&gt;[sound:collaborate.mp3]&lt;/div&gt;</v>
      </c>
      <c r="F3071" s="3" t="str">
        <f t="shared" si="2"/>
        <v>(v): cộng tác</v>
      </c>
      <c r="G3071" s="6" t="s">
        <v>48457</v>
      </c>
      <c r="H3071" s="6" t="s">
        <v>48458</v>
      </c>
      <c r="I3071" s="7">
        <f t="shared" si="3"/>
        <v>0.01155624076</v>
      </c>
    </row>
    <row r="3072">
      <c r="A3072" s="4">
        <v>3072.0</v>
      </c>
      <c r="B3072" s="3" t="s">
        <v>48459</v>
      </c>
      <c r="C3072" s="6" t="s">
        <v>11</v>
      </c>
      <c r="D3072" s="6" t="s">
        <v>48460</v>
      </c>
      <c r="E3072" s="3" t="str">
        <f t="shared" si="1"/>
        <v>flying&lt;br&gt;&lt;div class="audio"&gt;[sound:flying.mp3]&lt;/div&gt;</v>
      </c>
      <c r="F3072" s="3" t="str">
        <f t="shared" si="2"/>
        <v>(adj): đang bay</v>
      </c>
      <c r="G3072" s="6" t="s">
        <v>48461</v>
      </c>
      <c r="H3072" s="6" t="s">
        <v>48462</v>
      </c>
      <c r="I3072" s="7">
        <f t="shared" si="3"/>
        <v>0.2569094507</v>
      </c>
    </row>
    <row r="3073">
      <c r="A3073" s="4">
        <v>3073.0</v>
      </c>
      <c r="B3073" s="3" t="s">
        <v>48463</v>
      </c>
      <c r="C3073" s="6" t="s">
        <v>74</v>
      </c>
      <c r="D3073" s="6" t="s">
        <v>4100</v>
      </c>
      <c r="E3073" s="3" t="str">
        <f t="shared" si="1"/>
        <v>menu&lt;br&gt;&lt;div class="audio"&gt;[sound:menu.mp3]&lt;/div&gt;</v>
      </c>
      <c r="F3073" s="3" t="str">
        <f t="shared" si="2"/>
        <v>(n): thực đơn</v>
      </c>
      <c r="G3073" s="6" t="s">
        <v>48464</v>
      </c>
      <c r="H3073" s="6" t="s">
        <v>48465</v>
      </c>
      <c r="I3073" s="7">
        <f t="shared" si="3"/>
        <v>0.6180044721</v>
      </c>
    </row>
    <row r="3074">
      <c r="A3074" s="4">
        <v>3074.0</v>
      </c>
      <c r="B3074" s="3" t="s">
        <v>48466</v>
      </c>
      <c r="C3074" s="6" t="s">
        <v>24</v>
      </c>
      <c r="D3074" s="6" t="s">
        <v>48467</v>
      </c>
      <c r="E3074" s="3" t="str">
        <f t="shared" si="1"/>
        <v>monitor&lt;br&gt;&lt;div class="audio"&gt;[sound:monitor.mp3]&lt;/div&gt;</v>
      </c>
      <c r="F3074" s="3" t="str">
        <f t="shared" si="2"/>
        <v>(v): theo dõi</v>
      </c>
      <c r="G3074" s="6" t="s">
        <v>48468</v>
      </c>
      <c r="H3074" s="6" t="s">
        <v>48469</v>
      </c>
      <c r="I3074" s="7">
        <f t="shared" si="3"/>
        <v>0.5656676097</v>
      </c>
    </row>
    <row r="3075">
      <c r="A3075" s="4">
        <v>3075.0</v>
      </c>
      <c r="B3075" s="3" t="s">
        <v>48470</v>
      </c>
      <c r="C3075" s="6" t="s">
        <v>74</v>
      </c>
      <c r="D3075" s="6" t="s">
        <v>48471</v>
      </c>
      <c r="E3075" s="3" t="str">
        <f t="shared" si="1"/>
        <v>keyboard&lt;br&gt;&lt;div class="audio"&gt;[sound:keyboard.mp3]&lt;/div&gt;</v>
      </c>
      <c r="F3075" s="3" t="str">
        <f t="shared" si="2"/>
        <v>(n): bàn phím</v>
      </c>
      <c r="G3075" s="6" t="s">
        <v>48472</v>
      </c>
      <c r="H3075" s="6" t="s">
        <v>48473</v>
      </c>
      <c r="I3075" s="7">
        <f t="shared" si="3"/>
        <v>0.8581975511</v>
      </c>
    </row>
    <row r="3076">
      <c r="A3076" s="4">
        <v>3076.0</v>
      </c>
      <c r="B3076" s="3" t="s">
        <v>48474</v>
      </c>
      <c r="C3076" s="6" t="s">
        <v>24</v>
      </c>
      <c r="D3076" s="8" t="s">
        <v>48475</v>
      </c>
      <c r="E3076" s="3" t="str">
        <f t="shared" si="1"/>
        <v>surrender&lt;br&gt;&lt;div class="audio"&gt;[sound:surrender.mp3]&lt;/div&gt;</v>
      </c>
      <c r="F3076" s="3" t="str">
        <f t="shared" si="2"/>
        <v>(v): đầu hàng</v>
      </c>
      <c r="G3076" s="8" t="s">
        <v>48476</v>
      </c>
      <c r="H3076" s="8" t="s">
        <v>48477</v>
      </c>
      <c r="I3076" s="7">
        <f t="shared" si="3"/>
        <v>0.7977757758</v>
      </c>
    </row>
    <row r="3077">
      <c r="A3077" s="4">
        <v>3077.0</v>
      </c>
      <c r="B3077" s="3" t="s">
        <v>48478</v>
      </c>
      <c r="C3077" s="6" t="s">
        <v>24</v>
      </c>
      <c r="D3077" s="6" t="s">
        <v>48479</v>
      </c>
      <c r="E3077" s="3" t="str">
        <f t="shared" si="1"/>
        <v>trace&lt;br&gt;&lt;div class="audio"&gt;[sound:trace.mp3]&lt;/div&gt;</v>
      </c>
      <c r="F3077" s="3" t="str">
        <f t="shared" si="2"/>
        <v>(v): truy vết</v>
      </c>
      <c r="G3077" s="6" t="s">
        <v>48480</v>
      </c>
      <c r="H3077" s="6" t="s">
        <v>48481</v>
      </c>
      <c r="I3077" s="7">
        <f t="shared" si="3"/>
        <v>0.04432051201</v>
      </c>
    </row>
    <row r="3078">
      <c r="A3078" s="4">
        <v>3078.0</v>
      </c>
      <c r="B3078" s="3" t="s">
        <v>48482</v>
      </c>
      <c r="C3078" s="6" t="s">
        <v>74</v>
      </c>
      <c r="D3078" s="6" t="s">
        <v>3400</v>
      </c>
      <c r="E3078" s="3" t="str">
        <f t="shared" si="1"/>
        <v>competence&lt;br&gt;&lt;div class="audio"&gt;[sound:competence.mp3]&lt;/div&gt;</v>
      </c>
      <c r="F3078" s="3" t="str">
        <f t="shared" si="2"/>
        <v>(n): năng lực</v>
      </c>
      <c r="G3078" s="6" t="s">
        <v>48483</v>
      </c>
      <c r="H3078" s="6" t="s">
        <v>48484</v>
      </c>
      <c r="I3078" s="7">
        <f t="shared" si="3"/>
        <v>0.1722999849</v>
      </c>
    </row>
    <row r="3079">
      <c r="A3079" s="4">
        <v>3079.0</v>
      </c>
      <c r="B3079" s="3" t="s">
        <v>48485</v>
      </c>
      <c r="C3079" s="6" t="s">
        <v>58</v>
      </c>
      <c r="D3079" s="6" t="s">
        <v>48486</v>
      </c>
      <c r="E3079" s="3" t="str">
        <f t="shared" si="1"/>
        <v>eighteen&lt;br&gt;&lt;div class="audio"&gt;[sound:eighteen.mp3]&lt;/div&gt;</v>
      </c>
      <c r="F3079" s="3" t="str">
        <f t="shared" si="2"/>
        <v>(num): mười tám</v>
      </c>
      <c r="G3079" s="6" t="s">
        <v>48487</v>
      </c>
      <c r="H3079" s="6" t="s">
        <v>48488</v>
      </c>
      <c r="I3079" s="7">
        <f t="shared" si="3"/>
        <v>0.3188354386</v>
      </c>
    </row>
    <row r="3080">
      <c r="A3080" s="4">
        <v>3080.0</v>
      </c>
      <c r="B3080" s="3" t="s">
        <v>48489</v>
      </c>
      <c r="C3080" s="6" t="s">
        <v>58</v>
      </c>
      <c r="D3080" s="6" t="s">
        <v>48490</v>
      </c>
      <c r="E3080" s="3" t="str">
        <f t="shared" si="1"/>
        <v>forty&lt;br&gt;&lt;div class="audio"&gt;[sound:forty.mp3]&lt;/div&gt;</v>
      </c>
      <c r="F3080" s="3" t="str">
        <f t="shared" si="2"/>
        <v>(num): bốn mươi</v>
      </c>
      <c r="G3080" s="6" t="s">
        <v>48491</v>
      </c>
      <c r="H3080" s="6" t="s">
        <v>48492</v>
      </c>
      <c r="I3080" s="7">
        <f t="shared" si="3"/>
        <v>0.8922811983</v>
      </c>
    </row>
    <row r="3081">
      <c r="A3081" s="4">
        <v>3081.0</v>
      </c>
      <c r="B3081" s="3" t="s">
        <v>48493</v>
      </c>
      <c r="C3081" s="6" t="s">
        <v>74</v>
      </c>
      <c r="D3081" s="6" t="s">
        <v>22811</v>
      </c>
      <c r="E3081" s="3" t="str">
        <f t="shared" si="1"/>
        <v>grammar&lt;br&gt;&lt;div class="audio"&gt;[sound:grammar.mp3]&lt;/div&gt;</v>
      </c>
      <c r="F3081" s="3" t="str">
        <f t="shared" si="2"/>
        <v>(n): ngữ pháp</v>
      </c>
      <c r="G3081" s="6" t="s">
        <v>48494</v>
      </c>
      <c r="H3081" s="6" t="s">
        <v>48495</v>
      </c>
      <c r="I3081" s="7">
        <f t="shared" si="3"/>
        <v>0.3614168589</v>
      </c>
    </row>
    <row r="3082">
      <c r="A3082" s="4">
        <v>3082.0</v>
      </c>
      <c r="B3082" s="3" t="s">
        <v>48496</v>
      </c>
      <c r="C3082" s="6" t="s">
        <v>11</v>
      </c>
      <c r="D3082" s="6" t="s">
        <v>32627</v>
      </c>
      <c r="E3082" s="3" t="str">
        <f t="shared" si="1"/>
        <v>charming&lt;br&gt;&lt;div class="audio"&gt;[sound:charming.mp3]&lt;/div&gt;</v>
      </c>
      <c r="F3082" s="3" t="str">
        <f t="shared" si="2"/>
        <v>(adj): quyến rũ</v>
      </c>
      <c r="G3082" s="6" t="s">
        <v>48497</v>
      </c>
      <c r="H3082" s="6" t="s">
        <v>48498</v>
      </c>
      <c r="I3082" s="7">
        <f t="shared" si="3"/>
        <v>0.1414545405</v>
      </c>
    </row>
    <row r="3083">
      <c r="A3083" s="4">
        <v>3083.0</v>
      </c>
      <c r="B3083" s="3" t="s">
        <v>48499</v>
      </c>
      <c r="C3083" s="6" t="s">
        <v>74</v>
      </c>
      <c r="D3083" s="6" t="s">
        <v>47319</v>
      </c>
      <c r="E3083" s="3" t="str">
        <f t="shared" si="1"/>
        <v>tournament&lt;br&gt;&lt;div class="audio"&gt;[sound:tournament.mp3]&lt;/div&gt;</v>
      </c>
      <c r="F3083" s="3" t="str">
        <f t="shared" si="2"/>
        <v>(n): giải đấu</v>
      </c>
      <c r="G3083" s="6" t="s">
        <v>48500</v>
      </c>
      <c r="H3083" s="6" t="s">
        <v>48501</v>
      </c>
      <c r="I3083" s="7">
        <f t="shared" si="3"/>
        <v>0.08132836991</v>
      </c>
    </row>
    <row r="3084">
      <c r="A3084" s="4">
        <v>3084.0</v>
      </c>
      <c r="B3084" s="3" t="s">
        <v>48502</v>
      </c>
      <c r="C3084" s="6" t="s">
        <v>24</v>
      </c>
      <c r="D3084" s="6" t="s">
        <v>9602</v>
      </c>
      <c r="E3084" s="3" t="str">
        <f t="shared" si="1"/>
        <v>exceed&lt;br&gt;&lt;div class="audio"&gt;[sound:exceed.mp3]&lt;/div&gt;</v>
      </c>
      <c r="F3084" s="3" t="str">
        <f t="shared" si="2"/>
        <v>(v): vượt quá</v>
      </c>
      <c r="G3084" s="6" t="s">
        <v>48503</v>
      </c>
      <c r="H3084" s="6" t="s">
        <v>48504</v>
      </c>
      <c r="I3084" s="7">
        <f t="shared" si="3"/>
        <v>0.0004184595818</v>
      </c>
    </row>
    <row r="3085">
      <c r="A3085" s="4">
        <v>3085.0</v>
      </c>
      <c r="B3085" s="3" t="s">
        <v>48505</v>
      </c>
      <c r="C3085" s="6" t="s">
        <v>24</v>
      </c>
      <c r="D3085" s="8" t="s">
        <v>48506</v>
      </c>
      <c r="E3085" s="3" t="str">
        <f t="shared" si="1"/>
        <v>supervise&lt;br&gt;&lt;div class="audio"&gt;[sound:supervise.mp3]&lt;/div&gt;</v>
      </c>
      <c r="F3085" s="3" t="str">
        <f t="shared" si="2"/>
        <v>(v): giám sát</v>
      </c>
      <c r="G3085" s="8" t="s">
        <v>48507</v>
      </c>
      <c r="H3085" s="8" t="s">
        <v>48508</v>
      </c>
      <c r="I3085" s="7">
        <f t="shared" si="3"/>
        <v>0.1124815075</v>
      </c>
    </row>
    <row r="3086">
      <c r="A3086" s="4">
        <v>3086.0</v>
      </c>
      <c r="B3086" s="3" t="s">
        <v>48509</v>
      </c>
      <c r="C3086" s="6" t="s">
        <v>11</v>
      </c>
      <c r="D3086" s="6" t="s">
        <v>48510</v>
      </c>
      <c r="E3086" s="3" t="str">
        <f t="shared" si="1"/>
        <v>coastal&lt;br&gt;&lt;div class="audio"&gt;[sound:coastal.mp3]&lt;/div&gt;</v>
      </c>
      <c r="F3086" s="3" t="str">
        <f t="shared" si="2"/>
        <v>(adj): ven biển</v>
      </c>
      <c r="G3086" s="6" t="s">
        <v>48511</v>
      </c>
      <c r="H3086" s="6" t="s">
        <v>48512</v>
      </c>
      <c r="I3086" s="7">
        <f t="shared" si="3"/>
        <v>0.7293947559</v>
      </c>
    </row>
    <row r="3087">
      <c r="A3087" s="4">
        <v>3087.0</v>
      </c>
      <c r="B3087" s="3" t="s">
        <v>48513</v>
      </c>
      <c r="C3087" s="6" t="s">
        <v>11</v>
      </c>
      <c r="D3087" s="8" t="s">
        <v>10416</v>
      </c>
      <c r="E3087" s="3" t="str">
        <f t="shared" si="1"/>
        <v>suspicious&lt;br&gt;&lt;div class="audio"&gt;[sound:suspicious.mp3]&lt;/div&gt;</v>
      </c>
      <c r="F3087" s="3" t="str">
        <f t="shared" si="2"/>
        <v>(adj): đáng ngờ</v>
      </c>
      <c r="G3087" s="8" t="s">
        <v>48514</v>
      </c>
      <c r="H3087" s="8" t="s">
        <v>48515</v>
      </c>
      <c r="I3087" s="7">
        <f t="shared" si="3"/>
        <v>0.2417605511</v>
      </c>
    </row>
    <row r="3088">
      <c r="A3088" s="4">
        <v>3088.0</v>
      </c>
      <c r="B3088" s="3" t="s">
        <v>48516</v>
      </c>
      <c r="C3088" s="6" t="s">
        <v>24</v>
      </c>
      <c r="D3088" s="6" t="s">
        <v>23223</v>
      </c>
      <c r="E3088" s="3" t="str">
        <f t="shared" si="1"/>
        <v>entertain&lt;br&gt;&lt;div class="audio"&gt;[sound:entertain.mp3]&lt;/div&gt;</v>
      </c>
      <c r="F3088" s="3" t="str">
        <f t="shared" si="2"/>
        <v>(v): giải trí</v>
      </c>
      <c r="G3088" s="6" t="s">
        <v>48517</v>
      </c>
      <c r="H3088" s="6" t="s">
        <v>48518</v>
      </c>
      <c r="I3088" s="7">
        <f t="shared" si="3"/>
        <v>0.9239433511</v>
      </c>
    </row>
    <row r="3089">
      <c r="A3089" s="4">
        <v>3089.0</v>
      </c>
      <c r="B3089" s="3" t="s">
        <v>48519</v>
      </c>
      <c r="C3089" s="6" t="s">
        <v>74</v>
      </c>
      <c r="D3089" s="8" t="s">
        <v>22982</v>
      </c>
      <c r="E3089" s="3" t="str">
        <f t="shared" si="1"/>
        <v>stem&lt;br&gt;&lt;div class="audio"&gt;[sound:stem.mp3]&lt;/div&gt;</v>
      </c>
      <c r="F3089" s="3" t="str">
        <f t="shared" si="2"/>
        <v>(n): thân cây</v>
      </c>
      <c r="G3089" s="8" t="s">
        <v>48520</v>
      </c>
      <c r="H3089" s="8" t="s">
        <v>48521</v>
      </c>
      <c r="I3089" s="7">
        <f t="shared" si="3"/>
        <v>0.7309589577</v>
      </c>
    </row>
    <row r="3090">
      <c r="A3090" s="4">
        <v>3090.0</v>
      </c>
      <c r="B3090" s="3" t="s">
        <v>48522</v>
      </c>
      <c r="C3090" s="6" t="s">
        <v>11</v>
      </c>
      <c r="D3090" s="8" t="s">
        <v>2844</v>
      </c>
      <c r="E3090" s="3" t="str">
        <f t="shared" si="1"/>
        <v>straightforward&lt;br&gt;&lt;div class="audio"&gt;[sound:straightforward.mp3]&lt;/div&gt;</v>
      </c>
      <c r="F3090" s="3" t="str">
        <f t="shared" si="2"/>
        <v>(adj): đơn giản</v>
      </c>
      <c r="G3090" s="8" t="s">
        <v>48523</v>
      </c>
      <c r="H3090" s="8" t="s">
        <v>48524</v>
      </c>
      <c r="I3090" s="7">
        <f t="shared" si="3"/>
        <v>0.3644073696</v>
      </c>
    </row>
    <row r="3091">
      <c r="A3091" s="4">
        <v>3091.0</v>
      </c>
      <c r="B3091" s="3" t="s">
        <v>48525</v>
      </c>
      <c r="C3091" s="6" t="s">
        <v>74</v>
      </c>
      <c r="D3091" s="6" t="s">
        <v>14900</v>
      </c>
      <c r="E3091" s="3" t="str">
        <f t="shared" si="1"/>
        <v>troop&lt;br&gt;&lt;div class="audio"&gt;[sound:troop.mp3]&lt;/div&gt;</v>
      </c>
      <c r="F3091" s="3" t="str">
        <f t="shared" si="2"/>
        <v>(n): quân đội</v>
      </c>
      <c r="G3091" s="6" t="s">
        <v>48526</v>
      </c>
      <c r="H3091" s="6" t="s">
        <v>48527</v>
      </c>
      <c r="I3091" s="7">
        <f t="shared" si="3"/>
        <v>0.3984234625</v>
      </c>
    </row>
    <row r="3092">
      <c r="A3092" s="4">
        <v>3092.0</v>
      </c>
      <c r="B3092" s="3" t="s">
        <v>48528</v>
      </c>
      <c r="C3092" s="6" t="s">
        <v>74</v>
      </c>
      <c r="D3092" s="6" t="s">
        <v>48529</v>
      </c>
      <c r="E3092" s="3" t="str">
        <f t="shared" si="1"/>
        <v>greenhouse&lt;br&gt;&lt;div class="audio"&gt;[sound:greenhouse.mp3]&lt;/div&gt;</v>
      </c>
      <c r="F3092" s="3" t="str">
        <f t="shared" si="2"/>
        <v>(n): nhà kính</v>
      </c>
      <c r="G3092" s="6" t="s">
        <v>48530</v>
      </c>
      <c r="H3092" s="6" t="s">
        <v>48531</v>
      </c>
      <c r="I3092" s="7">
        <f t="shared" si="3"/>
        <v>0.2043456855</v>
      </c>
    </row>
    <row r="3093">
      <c r="A3093" s="4">
        <v>3093.0</v>
      </c>
      <c r="B3093" s="3" t="s">
        <v>48532</v>
      </c>
      <c r="C3093" s="6" t="s">
        <v>11</v>
      </c>
      <c r="D3093" s="6" t="s">
        <v>48533</v>
      </c>
      <c r="E3093" s="3" t="str">
        <f t="shared" si="1"/>
        <v>intimate&lt;br&gt;&lt;div class="audio"&gt;[sound:intimate.mp3]&lt;/div&gt;</v>
      </c>
      <c r="F3093" s="3" t="str">
        <f t="shared" si="2"/>
        <v>(adj): thân mật</v>
      </c>
      <c r="G3093" s="6" t="s">
        <v>48534</v>
      </c>
      <c r="H3093" s="6" t="s">
        <v>48535</v>
      </c>
      <c r="I3093" s="7">
        <f t="shared" si="3"/>
        <v>0.5709352834</v>
      </c>
    </row>
    <row r="3094">
      <c r="A3094" s="4">
        <v>3094.0</v>
      </c>
      <c r="B3094" s="3" t="s">
        <v>48536</v>
      </c>
      <c r="C3094" s="6" t="s">
        <v>11</v>
      </c>
      <c r="D3094" s="6" t="s">
        <v>19571</v>
      </c>
      <c r="E3094" s="3" t="str">
        <f t="shared" si="1"/>
        <v>mixed&lt;br&gt;&lt;div class="audio"&gt;[sound:mixed.mp3]&lt;/div&gt;</v>
      </c>
      <c r="F3094" s="3" t="str">
        <f t="shared" si="2"/>
        <v>(adj): trộn lẫn</v>
      </c>
      <c r="G3094" s="6" t="s">
        <v>48537</v>
      </c>
      <c r="H3094" s="6" t="s">
        <v>48538</v>
      </c>
      <c r="I3094" s="7">
        <f t="shared" si="3"/>
        <v>0.5607706263</v>
      </c>
    </row>
    <row r="3095">
      <c r="A3095" s="4">
        <v>3095.0</v>
      </c>
      <c r="B3095" s="3" t="s">
        <v>48539</v>
      </c>
      <c r="C3095" s="6" t="s">
        <v>24</v>
      </c>
      <c r="D3095" s="6" t="s">
        <v>10925</v>
      </c>
      <c r="E3095" s="3" t="str">
        <f t="shared" si="1"/>
        <v>inspect&lt;br&gt;&lt;div class="audio"&gt;[sound:inspect.mp3]&lt;/div&gt;</v>
      </c>
      <c r="F3095" s="3" t="str">
        <f t="shared" si="2"/>
        <v>(v): kiểm tra</v>
      </c>
      <c r="G3095" s="6" t="s">
        <v>48540</v>
      </c>
      <c r="H3095" s="6" t="s">
        <v>48541</v>
      </c>
      <c r="I3095" s="7">
        <f t="shared" si="3"/>
        <v>0.8152982057</v>
      </c>
    </row>
    <row r="3096">
      <c r="A3096" s="4">
        <v>3096.0</v>
      </c>
      <c r="B3096" s="3" t="s">
        <v>48542</v>
      </c>
      <c r="C3096" s="6" t="s">
        <v>74</v>
      </c>
      <c r="D3096" s="6" t="s">
        <v>48543</v>
      </c>
      <c r="E3096" s="3" t="str">
        <f t="shared" si="1"/>
        <v>minority&lt;br&gt;&lt;div class="audio"&gt;[sound:minority.mp3]&lt;/div&gt;</v>
      </c>
      <c r="F3096" s="3" t="str">
        <f t="shared" si="2"/>
        <v>(n): thiểu số</v>
      </c>
      <c r="G3096" s="6" t="s">
        <v>48544</v>
      </c>
      <c r="H3096" s="6" t="s">
        <v>48545</v>
      </c>
      <c r="I3096" s="7">
        <f t="shared" si="3"/>
        <v>0.7407807043</v>
      </c>
    </row>
    <row r="3097">
      <c r="A3097" s="4">
        <v>3097.0</v>
      </c>
      <c r="B3097" s="3" t="s">
        <v>48546</v>
      </c>
      <c r="C3097" s="6" t="s">
        <v>24</v>
      </c>
      <c r="D3097" s="8" t="s">
        <v>48547</v>
      </c>
      <c r="E3097" s="3" t="str">
        <f t="shared" si="1"/>
        <v>suspend&lt;br&gt;&lt;div class="audio"&gt;[sound:suspend.mp3]&lt;/div&gt;</v>
      </c>
      <c r="F3097" s="3" t="str">
        <f t="shared" si="2"/>
        <v>(v): đình chỉ</v>
      </c>
      <c r="G3097" s="8" t="s">
        <v>48548</v>
      </c>
      <c r="H3097" s="8" t="s">
        <v>48549</v>
      </c>
      <c r="I3097" s="7">
        <f t="shared" si="3"/>
        <v>0.1314901365</v>
      </c>
    </row>
    <row r="3098">
      <c r="A3098" s="4">
        <v>3098.0</v>
      </c>
      <c r="B3098" s="3" t="s">
        <v>48550</v>
      </c>
      <c r="C3098" s="6" t="s">
        <v>74</v>
      </c>
      <c r="D3098" s="6" t="s">
        <v>48551</v>
      </c>
      <c r="E3098" s="3" t="str">
        <f t="shared" si="1"/>
        <v>temple&lt;br&gt;&lt;div class="audio"&gt;[sound:temple.mp3]&lt;/div&gt;</v>
      </c>
      <c r="F3098" s="3" t="str">
        <f t="shared" si="2"/>
        <v>(n): ngôi đền</v>
      </c>
      <c r="G3098" s="6" t="s">
        <v>48552</v>
      </c>
      <c r="H3098" s="6" t="s">
        <v>48553</v>
      </c>
      <c r="I3098" s="7">
        <f t="shared" si="3"/>
        <v>0.7544195708</v>
      </c>
    </row>
    <row r="3099">
      <c r="A3099" s="4">
        <v>3099.0</v>
      </c>
      <c r="B3099" s="3" t="s">
        <v>48554</v>
      </c>
      <c r="C3099" s="6" t="s">
        <v>11</v>
      </c>
      <c r="D3099" s="6" t="s">
        <v>10342</v>
      </c>
      <c r="E3099" s="3" t="str">
        <f t="shared" si="1"/>
        <v>urgent&lt;br&gt;&lt;div class="audio"&gt;[sound:urgent.mp3]&lt;/div&gt;</v>
      </c>
      <c r="F3099" s="3" t="str">
        <f t="shared" si="2"/>
        <v>(adj): khẩn cấp</v>
      </c>
      <c r="G3099" s="6" t="s">
        <v>48555</v>
      </c>
      <c r="H3099" s="6" t="s">
        <v>48556</v>
      </c>
      <c r="I3099" s="7">
        <f t="shared" si="3"/>
        <v>0.9071444268</v>
      </c>
    </row>
    <row r="3100">
      <c r="A3100" s="4">
        <v>3100.0</v>
      </c>
      <c r="B3100" s="3" t="s">
        <v>48557</v>
      </c>
      <c r="C3100" s="6" t="s">
        <v>74</v>
      </c>
      <c r="D3100" s="6" t="s">
        <v>16860</v>
      </c>
      <c r="E3100" s="3" t="str">
        <f t="shared" si="1"/>
        <v>weakness&lt;br&gt;&lt;div class="audio"&gt;[sound:weakness.mp3]&lt;/div&gt;</v>
      </c>
      <c r="F3100" s="3" t="str">
        <f t="shared" si="2"/>
        <v>(n): điểm yếu</v>
      </c>
      <c r="G3100" s="6" t="s">
        <v>48558</v>
      </c>
      <c r="H3100" s="6" t="s">
        <v>48559</v>
      </c>
      <c r="I3100" s="7">
        <f t="shared" si="3"/>
        <v>0.489685316</v>
      </c>
    </row>
    <row r="3101">
      <c r="A3101" s="4">
        <v>3101.0</v>
      </c>
      <c r="B3101" s="3" t="s">
        <v>48560</v>
      </c>
      <c r="C3101" s="6" t="s">
        <v>24</v>
      </c>
      <c r="D3101" s="6" t="s">
        <v>48561</v>
      </c>
      <c r="E3101" s="3" t="str">
        <f t="shared" si="1"/>
        <v>upgrade&lt;br&gt;&lt;div class="audio"&gt;[sound:upgrade.mp3]&lt;/div&gt;</v>
      </c>
      <c r="F3101" s="3" t="str">
        <f t="shared" si="2"/>
        <v>(v): nâng cấp</v>
      </c>
      <c r="G3101" s="6" t="s">
        <v>48562</v>
      </c>
      <c r="H3101" s="6" t="s">
        <v>48563</v>
      </c>
      <c r="I3101" s="7">
        <f t="shared" si="3"/>
        <v>0.9717503324</v>
      </c>
    </row>
    <row r="3102">
      <c r="A3102" s="4">
        <v>3102.0</v>
      </c>
      <c r="B3102" s="3" t="s">
        <v>48564</v>
      </c>
      <c r="C3102" s="6" t="s">
        <v>74</v>
      </c>
      <c r="D3102" s="6" t="s">
        <v>31436</v>
      </c>
      <c r="E3102" s="3" t="str">
        <f t="shared" si="1"/>
        <v>friendship&lt;br&gt;&lt;div class="audio"&gt;[sound:friendship.mp3]&lt;/div&gt;</v>
      </c>
      <c r="F3102" s="3" t="str">
        <f t="shared" si="2"/>
        <v>(n): tình bạn</v>
      </c>
      <c r="G3102" s="6" t="s">
        <v>48565</v>
      </c>
      <c r="H3102" s="6" t="s">
        <v>48566</v>
      </c>
      <c r="I3102" s="7">
        <f t="shared" si="3"/>
        <v>0.8580678024</v>
      </c>
    </row>
    <row r="3103">
      <c r="A3103" s="4">
        <v>3103.0</v>
      </c>
      <c r="B3103" s="3" t="s">
        <v>48567</v>
      </c>
      <c r="C3103" s="6" t="s">
        <v>74</v>
      </c>
      <c r="D3103" s="6" t="s">
        <v>10524</v>
      </c>
      <c r="E3103" s="3" t="str">
        <f t="shared" si="1"/>
        <v>luck&lt;br&gt;&lt;div class="audio"&gt;[sound:luck.mp3]&lt;/div&gt;</v>
      </c>
      <c r="F3103" s="3" t="str">
        <f t="shared" si="2"/>
        <v>(n): may mắn</v>
      </c>
      <c r="G3103" s="6" t="s">
        <v>48568</v>
      </c>
      <c r="H3103" s="6" t="s">
        <v>48569</v>
      </c>
      <c r="I3103" s="7">
        <f t="shared" si="3"/>
        <v>0.07662191384</v>
      </c>
    </row>
    <row r="3104">
      <c r="A3104" s="4">
        <v>3104.0</v>
      </c>
      <c r="B3104" s="3" t="s">
        <v>48570</v>
      </c>
      <c r="C3104" s="6" t="s">
        <v>74</v>
      </c>
      <c r="D3104" s="6" t="s">
        <v>43323</v>
      </c>
      <c r="E3104" s="3" t="str">
        <f t="shared" si="1"/>
        <v>attorney&lt;br&gt;&lt;div class="audio"&gt;[sound:attorney.mp3]&lt;/div&gt;</v>
      </c>
      <c r="F3104" s="3" t="str">
        <f t="shared" si="2"/>
        <v>(n): luật sư</v>
      </c>
      <c r="G3104" s="6" t="s">
        <v>48571</v>
      </c>
      <c r="H3104" s="6" t="s">
        <v>48572</v>
      </c>
      <c r="I3104" s="7">
        <f t="shared" si="3"/>
        <v>0.3314372536</v>
      </c>
    </row>
    <row r="3105">
      <c r="A3105" s="4">
        <v>3105.0</v>
      </c>
      <c r="B3105" s="3" t="s">
        <v>48573</v>
      </c>
      <c r="C3105" s="6" t="s">
        <v>24</v>
      </c>
      <c r="D3105" s="6" t="s">
        <v>6408</v>
      </c>
      <c r="E3105" s="3" t="str">
        <f t="shared" si="1"/>
        <v>predict&lt;br&gt;&lt;div class="audio"&gt;[sound:predict.mp3]&lt;/div&gt;</v>
      </c>
      <c r="F3105" s="3" t="str">
        <f t="shared" si="2"/>
        <v>(v): dự đoán</v>
      </c>
      <c r="G3105" s="6" t="s">
        <v>48574</v>
      </c>
      <c r="H3105" s="6" t="s">
        <v>48575</v>
      </c>
      <c r="I3105" s="7">
        <f t="shared" si="3"/>
        <v>0.7948247169</v>
      </c>
    </row>
    <row r="3106">
      <c r="A3106" s="4">
        <v>3106.0</v>
      </c>
      <c r="B3106" s="3" t="s">
        <v>48576</v>
      </c>
      <c r="C3106" s="6" t="s">
        <v>24</v>
      </c>
      <c r="D3106" s="6" t="s">
        <v>10807</v>
      </c>
      <c r="E3106" s="3" t="str">
        <f t="shared" si="1"/>
        <v>confine&lt;br&gt;&lt;div class="audio"&gt;[sound:confine.mp3]&lt;/div&gt;</v>
      </c>
      <c r="F3106" s="3" t="str">
        <f t="shared" si="2"/>
        <v>(v): hạn chế</v>
      </c>
      <c r="G3106" s="6" t="s">
        <v>48577</v>
      </c>
      <c r="H3106" s="6" t="s">
        <v>48578</v>
      </c>
      <c r="I3106" s="7">
        <f t="shared" si="3"/>
        <v>0.8853037911</v>
      </c>
    </row>
    <row r="3107">
      <c r="A3107" s="4">
        <v>3107.0</v>
      </c>
      <c r="B3107" s="3" t="s">
        <v>48579</v>
      </c>
      <c r="C3107" s="6" t="s">
        <v>24</v>
      </c>
      <c r="D3107" s="6" t="s">
        <v>30791</v>
      </c>
      <c r="E3107" s="3" t="str">
        <f t="shared" si="1"/>
        <v>bet&lt;br&gt;&lt;div class="audio"&gt;[sound:bet.mp3]&lt;/div&gt;</v>
      </c>
      <c r="F3107" s="3" t="str">
        <f t="shared" si="2"/>
        <v>(v): cá cược</v>
      </c>
      <c r="G3107" s="6" t="s">
        <v>48580</v>
      </c>
      <c r="H3107" s="6" t="s">
        <v>48581</v>
      </c>
      <c r="I3107" s="7">
        <f t="shared" si="3"/>
        <v>0.3684413633</v>
      </c>
    </row>
    <row r="3108">
      <c r="A3108" s="4">
        <v>3108.0</v>
      </c>
      <c r="B3108" s="3" t="s">
        <v>48582</v>
      </c>
      <c r="C3108" s="6" t="s">
        <v>11</v>
      </c>
      <c r="D3108" s="6" t="s">
        <v>2119</v>
      </c>
      <c r="E3108" s="3" t="str">
        <f t="shared" si="1"/>
        <v>anxious&lt;br&gt;&lt;div class="audio"&gt;[sound:anxious.mp3]&lt;/div&gt;</v>
      </c>
      <c r="F3108" s="3" t="str">
        <f t="shared" si="2"/>
        <v>(adj): lo lắng</v>
      </c>
      <c r="G3108" s="6" t="s">
        <v>48583</v>
      </c>
      <c r="H3108" s="6" t="s">
        <v>48584</v>
      </c>
      <c r="I3108" s="7">
        <f t="shared" si="3"/>
        <v>0.3192972659</v>
      </c>
    </row>
    <row r="3109">
      <c r="A3109" s="4">
        <v>3109.0</v>
      </c>
      <c r="B3109" s="3" t="s">
        <v>48585</v>
      </c>
      <c r="C3109" s="6" t="s">
        <v>58</v>
      </c>
      <c r="D3109" s="6" t="s">
        <v>48586</v>
      </c>
      <c r="E3109" s="3" t="str">
        <f t="shared" si="1"/>
        <v>thirteen&lt;br&gt;&lt;div class="audio"&gt;[sound:thirteen.mp3]&lt;/div&gt;</v>
      </c>
      <c r="F3109" s="3" t="str">
        <f t="shared" si="2"/>
        <v>(num): mười ba</v>
      </c>
      <c r="G3109" s="6" t="s">
        <v>48587</v>
      </c>
      <c r="H3109" s="6" t="s">
        <v>48588</v>
      </c>
      <c r="I3109" s="7">
        <f t="shared" si="3"/>
        <v>0.3164958232</v>
      </c>
    </row>
    <row r="3110">
      <c r="A3110" s="4">
        <v>3110.0</v>
      </c>
      <c r="B3110" s="3" t="s">
        <v>48589</v>
      </c>
      <c r="C3110" s="6" t="s">
        <v>58</v>
      </c>
      <c r="D3110" s="6" t="s">
        <v>9939</v>
      </c>
      <c r="E3110" s="3" t="str">
        <f t="shared" si="1"/>
        <v>fifth&lt;br&gt;&lt;div class="audio"&gt;[sound:fifth.mp3]&lt;/div&gt;</v>
      </c>
      <c r="F3110" s="3" t="str">
        <f t="shared" si="2"/>
        <v>(num): thứ năm</v>
      </c>
      <c r="G3110" s="6" t="s">
        <v>48590</v>
      </c>
      <c r="H3110" s="6" t="s">
        <v>48591</v>
      </c>
      <c r="I3110" s="7">
        <f t="shared" si="3"/>
        <v>0.9511872509</v>
      </c>
    </row>
    <row r="3111">
      <c r="A3111" s="4">
        <v>3111.0</v>
      </c>
      <c r="B3111" s="3" t="s">
        <v>48592</v>
      </c>
      <c r="C3111" s="6" t="s">
        <v>11</v>
      </c>
      <c r="D3111" s="6" t="s">
        <v>28073</v>
      </c>
      <c r="E3111" s="3" t="str">
        <f t="shared" si="1"/>
        <v>grateful&lt;br&gt;&lt;div class="audio"&gt;[sound:grateful.mp3]&lt;/div&gt;</v>
      </c>
      <c r="F3111" s="3" t="str">
        <f t="shared" si="2"/>
        <v>(adj): biết ơn</v>
      </c>
      <c r="G3111" s="6" t="s">
        <v>48593</v>
      </c>
      <c r="H3111" s="6" t="s">
        <v>48594</v>
      </c>
      <c r="I3111" s="7">
        <f t="shared" si="3"/>
        <v>0.4963605524</v>
      </c>
    </row>
    <row r="3112">
      <c r="A3112" s="4">
        <v>3112.0</v>
      </c>
      <c r="B3112" s="3" t="s">
        <v>48595</v>
      </c>
      <c r="C3112" s="6" t="s">
        <v>24</v>
      </c>
      <c r="D3112" s="6" t="s">
        <v>40220</v>
      </c>
      <c r="E3112" s="3" t="str">
        <f t="shared" si="1"/>
        <v>assure&lt;br&gt;&lt;div class="audio"&gt;[sound:assure.mp3]&lt;/div&gt;</v>
      </c>
      <c r="F3112" s="3" t="str">
        <f t="shared" si="2"/>
        <v>(v): đảm bảo</v>
      </c>
      <c r="G3112" s="6" t="s">
        <v>48596</v>
      </c>
      <c r="H3112" s="6" t="s">
        <v>48597</v>
      </c>
      <c r="I3112" s="7">
        <f t="shared" si="3"/>
        <v>0.5620079838</v>
      </c>
    </row>
    <row r="3113">
      <c r="A3113" s="4">
        <v>3113.0</v>
      </c>
      <c r="B3113" s="3" t="s">
        <v>48598</v>
      </c>
      <c r="C3113" s="6" t="s">
        <v>74</v>
      </c>
      <c r="D3113" s="6" t="s">
        <v>6402</v>
      </c>
      <c r="E3113" s="3" t="str">
        <f t="shared" si="1"/>
        <v>juice&lt;br&gt;&lt;div class="audio"&gt;[sound:juice.mp3]&lt;/div&gt;</v>
      </c>
      <c r="F3113" s="3" t="str">
        <f t="shared" si="2"/>
        <v>(n): nước ép</v>
      </c>
      <c r="G3113" s="6" t="s">
        <v>48599</v>
      </c>
      <c r="H3113" s="6" t="s">
        <v>48600</v>
      </c>
      <c r="I3113" s="7">
        <f t="shared" si="3"/>
        <v>0.8284886752</v>
      </c>
    </row>
    <row r="3114">
      <c r="A3114" s="4">
        <v>3114.0</v>
      </c>
      <c r="B3114" s="3" t="s">
        <v>48601</v>
      </c>
      <c r="C3114" s="6" t="s">
        <v>24</v>
      </c>
      <c r="D3114" s="6" t="s">
        <v>7556</v>
      </c>
      <c r="E3114" s="3" t="str">
        <f t="shared" si="1"/>
        <v>grasp&lt;br&gt;&lt;div class="audio"&gt;[sound:grasp.mp3]&lt;/div&gt;</v>
      </c>
      <c r="F3114" s="3" t="str">
        <f t="shared" si="2"/>
        <v>(v): nắm bắt</v>
      </c>
      <c r="G3114" s="6" t="s">
        <v>48602</v>
      </c>
      <c r="H3114" s="6" t="s">
        <v>48603</v>
      </c>
      <c r="I3114" s="7">
        <f t="shared" si="3"/>
        <v>0.3211292528</v>
      </c>
    </row>
    <row r="3115">
      <c r="A3115" s="4">
        <v>3115.0</v>
      </c>
      <c r="B3115" s="3" t="s">
        <v>48604</v>
      </c>
      <c r="C3115" s="6" t="s">
        <v>74</v>
      </c>
      <c r="D3115" s="6" t="s">
        <v>16470</v>
      </c>
      <c r="E3115" s="3" t="str">
        <f t="shared" si="1"/>
        <v>literature&lt;br&gt;&lt;div class="audio"&gt;[sound:literature.mp3]&lt;/div&gt;</v>
      </c>
      <c r="F3115" s="3" t="str">
        <f t="shared" si="2"/>
        <v>(n): văn học</v>
      </c>
      <c r="G3115" s="6" t="s">
        <v>48605</v>
      </c>
      <c r="H3115" s="6" t="s">
        <v>48606</v>
      </c>
      <c r="I3115" s="7">
        <f t="shared" si="3"/>
        <v>0.5459132204</v>
      </c>
    </row>
    <row r="3116">
      <c r="A3116" s="4">
        <v>3116.0</v>
      </c>
      <c r="B3116" s="3" t="s">
        <v>48607</v>
      </c>
      <c r="C3116" s="6" t="s">
        <v>11</v>
      </c>
      <c r="D3116" s="6" t="s">
        <v>28061</v>
      </c>
      <c r="E3116" s="3" t="str">
        <f t="shared" si="1"/>
        <v>pleasant&lt;br&gt;&lt;div class="audio"&gt;[sound:pleasant.mp3]&lt;/div&gt;</v>
      </c>
      <c r="F3116" s="3" t="str">
        <f t="shared" si="2"/>
        <v>(adj): dễ chịu</v>
      </c>
      <c r="G3116" s="6" t="s">
        <v>48608</v>
      </c>
      <c r="H3116" s="6" t="s">
        <v>48609</v>
      </c>
      <c r="I3116" s="7">
        <f t="shared" si="3"/>
        <v>0.9338053015</v>
      </c>
    </row>
    <row r="3117">
      <c r="A3117" s="4">
        <v>3117.0</v>
      </c>
      <c r="B3117" s="3" t="s">
        <v>48610</v>
      </c>
      <c r="C3117" s="6" t="s">
        <v>85</v>
      </c>
      <c r="D3117" s="6" t="s">
        <v>1585</v>
      </c>
      <c r="E3117" s="3" t="str">
        <f t="shared" si="1"/>
        <v>virtually&lt;br&gt;&lt;div class="audio"&gt;[sound:virtually.mp3]&lt;/div&gt;</v>
      </c>
      <c r="F3117" s="3" t="str">
        <f t="shared" si="2"/>
        <v>(adv): gần như</v>
      </c>
      <c r="G3117" s="6" t="s">
        <v>48611</v>
      </c>
      <c r="H3117" s="6" t="s">
        <v>48612</v>
      </c>
      <c r="I3117" s="7">
        <f t="shared" si="3"/>
        <v>0.8163326032</v>
      </c>
    </row>
    <row r="3118">
      <c r="A3118" s="4">
        <v>3118.0</v>
      </c>
      <c r="B3118" s="3" t="s">
        <v>48613</v>
      </c>
      <c r="C3118" s="6" t="s">
        <v>11</v>
      </c>
      <c r="D3118" s="6" t="s">
        <v>26858</v>
      </c>
      <c r="E3118" s="3" t="str">
        <f t="shared" si="1"/>
        <v>painful&lt;br&gt;&lt;div class="audio"&gt;[sound:painful.mp3]&lt;/div&gt;</v>
      </c>
      <c r="F3118" s="3" t="str">
        <f t="shared" si="2"/>
        <v>(adj): đau đớn</v>
      </c>
      <c r="G3118" s="6" t="s">
        <v>48614</v>
      </c>
      <c r="H3118" s="6" t="s">
        <v>48615</v>
      </c>
      <c r="I3118" s="7">
        <f t="shared" si="3"/>
        <v>0.9503470155</v>
      </c>
    </row>
    <row r="3119">
      <c r="A3119" s="4">
        <v>3119.0</v>
      </c>
      <c r="B3119" s="3" t="s">
        <v>48616</v>
      </c>
      <c r="C3119" s="6" t="s">
        <v>24</v>
      </c>
      <c r="D3119" s="6" t="s">
        <v>48617</v>
      </c>
      <c r="E3119" s="3" t="str">
        <f t="shared" si="1"/>
        <v>mount&lt;br&gt;&lt;div class="audio"&gt;[sound:mount.mp3]&lt;/div&gt;</v>
      </c>
      <c r="F3119" s="3" t="str">
        <f t="shared" si="2"/>
        <v>(v): leo lên</v>
      </c>
      <c r="G3119" s="6" t="s">
        <v>48618</v>
      </c>
      <c r="H3119" s="6" t="s">
        <v>48619</v>
      </c>
      <c r="I3119" s="7">
        <f t="shared" si="3"/>
        <v>0.05907800256</v>
      </c>
    </row>
    <row r="3120">
      <c r="A3120" s="4">
        <v>3120.0</v>
      </c>
      <c r="B3120" s="3" t="s">
        <v>48620</v>
      </c>
      <c r="C3120" s="6" t="s">
        <v>24</v>
      </c>
      <c r="D3120" s="6" t="s">
        <v>18007</v>
      </c>
      <c r="E3120" s="3" t="str">
        <f t="shared" si="1"/>
        <v>arrest&lt;br&gt;&lt;div class="audio"&gt;[sound:arrest.mp3]&lt;/div&gt;</v>
      </c>
      <c r="F3120" s="3" t="str">
        <f t="shared" si="2"/>
        <v>(v): bắt giữ</v>
      </c>
      <c r="G3120" s="6" t="s">
        <v>48621</v>
      </c>
      <c r="H3120" s="6" t="s">
        <v>48622</v>
      </c>
      <c r="I3120" s="7">
        <f t="shared" si="3"/>
        <v>0.6542312559</v>
      </c>
    </row>
    <row r="3121">
      <c r="A3121" s="4">
        <v>3121.0</v>
      </c>
      <c r="B3121" s="3" t="s">
        <v>48623</v>
      </c>
      <c r="C3121" s="6" t="s">
        <v>11</v>
      </c>
      <c r="D3121" s="6" t="s">
        <v>20815</v>
      </c>
      <c r="E3121" s="3" t="str">
        <f t="shared" si="1"/>
        <v>outstanding&lt;br&gt;&lt;div class="audio"&gt;[sound:outstanding.mp3]&lt;/div&gt;</v>
      </c>
      <c r="F3121" s="3" t="str">
        <f t="shared" si="2"/>
        <v>(adj): nổi bật</v>
      </c>
      <c r="G3121" s="6" t="s">
        <v>48624</v>
      </c>
      <c r="H3121" s="6" t="s">
        <v>48625</v>
      </c>
      <c r="I3121" s="7">
        <f t="shared" si="3"/>
        <v>0.5982775035</v>
      </c>
    </row>
    <row r="3122">
      <c r="A3122" s="4">
        <v>3122.0</v>
      </c>
      <c r="B3122" s="3" t="s">
        <v>48626</v>
      </c>
      <c r="C3122" s="6" t="s">
        <v>74</v>
      </c>
      <c r="D3122" s="6" t="s">
        <v>7962</v>
      </c>
      <c r="E3122" s="3" t="str">
        <f t="shared" si="1"/>
        <v>accounting&lt;br&gt;&lt;div class="audio"&gt;[sound:accounting.mp3]&lt;/div&gt;</v>
      </c>
      <c r="F3122" s="3" t="str">
        <f t="shared" si="2"/>
        <v>(n): kế toán</v>
      </c>
      <c r="G3122" s="6" t="s">
        <v>48627</v>
      </c>
      <c r="H3122" s="6" t="s">
        <v>48628</v>
      </c>
      <c r="I3122" s="7">
        <f t="shared" si="3"/>
        <v>0.1329426238</v>
      </c>
    </row>
    <row r="3123">
      <c r="A3123" s="4">
        <v>3123.0</v>
      </c>
      <c r="B3123" s="3" t="s">
        <v>48629</v>
      </c>
      <c r="C3123" s="6" t="s">
        <v>74</v>
      </c>
      <c r="D3123" s="6" t="s">
        <v>48630</v>
      </c>
      <c r="E3123" s="3" t="str">
        <f t="shared" si="1"/>
        <v>thread&lt;br&gt;&lt;div class="audio"&gt;[sound:thread.mp3]&lt;/div&gt;</v>
      </c>
      <c r="F3123" s="3" t="str">
        <f t="shared" si="2"/>
        <v>(n): sợi chỉ</v>
      </c>
      <c r="G3123" s="6" t="s">
        <v>48631</v>
      </c>
      <c r="H3123" s="6" t="s">
        <v>48632</v>
      </c>
      <c r="I3123" s="7">
        <f t="shared" si="3"/>
        <v>0.2666645188</v>
      </c>
    </row>
    <row r="3124">
      <c r="A3124" s="4">
        <v>3124.0</v>
      </c>
      <c r="B3124" s="3" t="s">
        <v>48633</v>
      </c>
      <c r="C3124" s="6" t="s">
        <v>74</v>
      </c>
      <c r="D3124" s="6" t="s">
        <v>7814</v>
      </c>
      <c r="E3124" s="3" t="str">
        <f t="shared" si="1"/>
        <v>journal&lt;br&gt;&lt;div class="audio"&gt;[sound:journal.mp3]&lt;/div&gt;</v>
      </c>
      <c r="F3124" s="3" t="str">
        <f t="shared" si="2"/>
        <v>(n): tạp chí</v>
      </c>
      <c r="G3124" s="6" t="s">
        <v>48634</v>
      </c>
      <c r="H3124" s="6" t="s">
        <v>48635</v>
      </c>
      <c r="I3124" s="7">
        <f t="shared" si="3"/>
        <v>0.5350202127</v>
      </c>
    </row>
    <row r="3125">
      <c r="A3125" s="4">
        <v>3125.0</v>
      </c>
      <c r="B3125" s="3" t="s">
        <v>48636</v>
      </c>
      <c r="C3125" s="6" t="s">
        <v>24</v>
      </c>
      <c r="D3125" s="8" t="s">
        <v>21431</v>
      </c>
      <c r="E3125" s="3" t="str">
        <f t="shared" si="1"/>
        <v>summarize&lt;br&gt;&lt;div class="audio"&gt;[sound:summarize.mp3]&lt;/div&gt;</v>
      </c>
      <c r="F3125" s="3" t="str">
        <f t="shared" si="2"/>
        <v>(v): tóm tắt</v>
      </c>
      <c r="G3125" s="8" t="s">
        <v>48637</v>
      </c>
      <c r="H3125" s="8" t="s">
        <v>48638</v>
      </c>
      <c r="I3125" s="7">
        <f t="shared" si="3"/>
        <v>0.7144207387</v>
      </c>
    </row>
    <row r="3126">
      <c r="A3126" s="4">
        <v>3126.0</v>
      </c>
      <c r="B3126" s="3" t="s">
        <v>48639</v>
      </c>
      <c r="C3126" s="6" t="s">
        <v>74</v>
      </c>
      <c r="D3126" s="6" t="s">
        <v>24353</v>
      </c>
      <c r="E3126" s="3" t="str">
        <f t="shared" si="1"/>
        <v>tragedy&lt;br&gt;&lt;div class="audio"&gt;[sound:tragedy.mp3]&lt;/div&gt;</v>
      </c>
      <c r="F3126" s="3" t="str">
        <f t="shared" si="2"/>
        <v>(n): bi kịch</v>
      </c>
      <c r="G3126" s="6" t="s">
        <v>48640</v>
      </c>
      <c r="H3126" s="6" t="s">
        <v>48641</v>
      </c>
      <c r="I3126" s="7">
        <f t="shared" si="3"/>
        <v>0.4626626839</v>
      </c>
    </row>
    <row r="3127">
      <c r="A3127" s="4">
        <v>3127.0</v>
      </c>
      <c r="B3127" s="3" t="s">
        <v>48642</v>
      </c>
      <c r="C3127" s="6" t="s">
        <v>74</v>
      </c>
      <c r="D3127" s="6" t="s">
        <v>10492</v>
      </c>
      <c r="E3127" s="3" t="str">
        <f t="shared" si="1"/>
        <v>aircraft&lt;br&gt;&lt;div class="audio"&gt;[sound:aircraft.mp3]&lt;/div&gt;</v>
      </c>
      <c r="F3127" s="3" t="str">
        <f t="shared" si="2"/>
        <v>(n): máy bay</v>
      </c>
      <c r="G3127" s="6" t="s">
        <v>48643</v>
      </c>
      <c r="H3127" s="6" t="s">
        <v>48644</v>
      </c>
      <c r="I3127" s="7">
        <f t="shared" si="3"/>
        <v>0.9500150979</v>
      </c>
    </row>
    <row r="3128">
      <c r="A3128" s="4">
        <v>3128.0</v>
      </c>
      <c r="B3128" s="3" t="s">
        <v>48645</v>
      </c>
      <c r="C3128" s="6" t="s">
        <v>11</v>
      </c>
      <c r="D3128" s="6" t="s">
        <v>48646</v>
      </c>
      <c r="E3128" s="3" t="str">
        <f t="shared" si="1"/>
        <v>invisible&lt;br&gt;&lt;div class="audio"&gt;[sound:invisible.mp3]&lt;/div&gt;</v>
      </c>
      <c r="F3128" s="3" t="str">
        <f t="shared" si="2"/>
        <v>(adj): vô hình</v>
      </c>
      <c r="G3128" s="6" t="s">
        <v>48647</v>
      </c>
      <c r="H3128" s="6" t="s">
        <v>48648</v>
      </c>
      <c r="I3128" s="7">
        <f t="shared" si="3"/>
        <v>0.3524628204</v>
      </c>
    </row>
    <row r="3129">
      <c r="A3129" s="4">
        <v>3129.0</v>
      </c>
      <c r="B3129" s="3" t="s">
        <v>48649</v>
      </c>
      <c r="C3129" s="6" t="s">
        <v>74</v>
      </c>
      <c r="D3129" s="6" t="s">
        <v>11808</v>
      </c>
      <c r="E3129" s="3" t="str">
        <f t="shared" si="1"/>
        <v>personnel&lt;br&gt;&lt;div class="audio"&gt;[sound:personnel.mp3]&lt;/div&gt;</v>
      </c>
      <c r="F3129" s="3" t="str">
        <f t="shared" si="2"/>
        <v>(n): nhân sự</v>
      </c>
      <c r="G3129" s="6" t="s">
        <v>48650</v>
      </c>
      <c r="H3129" s="6" t="s">
        <v>48651</v>
      </c>
      <c r="I3129" s="7">
        <f t="shared" si="3"/>
        <v>0.7141465897</v>
      </c>
    </row>
    <row r="3130">
      <c r="A3130" s="4">
        <v>3130.0</v>
      </c>
      <c r="B3130" s="3" t="s">
        <v>48652</v>
      </c>
      <c r="C3130" s="6" t="s">
        <v>24</v>
      </c>
      <c r="D3130" s="6" t="s">
        <v>2755</v>
      </c>
      <c r="E3130" s="3" t="str">
        <f t="shared" si="1"/>
        <v>comprise&lt;br&gt;&lt;div class="audio"&gt;[sound:comprise.mp3]&lt;/div&gt;</v>
      </c>
      <c r="F3130" s="3" t="str">
        <f t="shared" si="2"/>
        <v>(v): bao gồm</v>
      </c>
      <c r="G3130" s="6" t="s">
        <v>48653</v>
      </c>
      <c r="H3130" s="6" t="s">
        <v>48654</v>
      </c>
      <c r="I3130" s="7">
        <f t="shared" si="3"/>
        <v>0.296653274</v>
      </c>
    </row>
    <row r="3131">
      <c r="A3131" s="4">
        <v>3131.0</v>
      </c>
      <c r="B3131" s="3" t="s">
        <v>48655</v>
      </c>
      <c r="C3131" s="6" t="s">
        <v>74</v>
      </c>
      <c r="D3131" s="6" t="s">
        <v>10672</v>
      </c>
      <c r="E3131" s="3" t="str">
        <f t="shared" si="1"/>
        <v>pipe&lt;br&gt;&lt;div class="audio"&gt;[sound:pipe.mp3]&lt;/div&gt;</v>
      </c>
      <c r="F3131" s="3" t="str">
        <f t="shared" si="2"/>
        <v>(n): ống dẫn</v>
      </c>
      <c r="G3131" s="6" t="s">
        <v>48656</v>
      </c>
      <c r="H3131" s="6" t="s">
        <v>48657</v>
      </c>
      <c r="I3131" s="7">
        <f t="shared" si="3"/>
        <v>0.7856900242</v>
      </c>
    </row>
    <row r="3132">
      <c r="A3132" s="4">
        <v>3132.0</v>
      </c>
      <c r="B3132" s="3" t="s">
        <v>48658</v>
      </c>
      <c r="C3132" s="6" t="s">
        <v>74</v>
      </c>
      <c r="D3132" s="6" t="s">
        <v>48659</v>
      </c>
      <c r="E3132" s="3" t="str">
        <f t="shared" si="1"/>
        <v>treasure&lt;br&gt;&lt;div class="audio"&gt;[sound:treasure.mp3]&lt;/div&gt;</v>
      </c>
      <c r="F3132" s="3" t="str">
        <f t="shared" si="2"/>
        <v>(n): kho báu</v>
      </c>
      <c r="G3132" s="6" t="s">
        <v>48660</v>
      </c>
      <c r="H3132" s="6" t="s">
        <v>48661</v>
      </c>
      <c r="I3132" s="7">
        <f t="shared" si="3"/>
        <v>0.3710351057</v>
      </c>
    </row>
    <row r="3133">
      <c r="A3133" s="4">
        <v>3133.0</v>
      </c>
      <c r="B3133" s="3" t="s">
        <v>48662</v>
      </c>
      <c r="C3133" s="6" t="s">
        <v>11</v>
      </c>
      <c r="D3133" s="6" t="s">
        <v>8188</v>
      </c>
      <c r="E3133" s="3" t="str">
        <f t="shared" si="1"/>
        <v>automatic&lt;br&gt;&lt;div class="audio"&gt;[sound:automatic.mp3]&lt;/div&gt;</v>
      </c>
      <c r="F3133" s="3" t="str">
        <f t="shared" si="2"/>
        <v>(adj): tự động</v>
      </c>
      <c r="G3133" s="6" t="s">
        <v>48663</v>
      </c>
      <c r="H3133" s="6" t="s">
        <v>48664</v>
      </c>
      <c r="I3133" s="7">
        <f t="shared" si="3"/>
        <v>0.06517550523</v>
      </c>
    </row>
    <row r="3134">
      <c r="A3134" s="4">
        <v>3134.0</v>
      </c>
      <c r="B3134" s="3" t="s">
        <v>48665</v>
      </c>
      <c r="C3134" s="6" t="s">
        <v>74</v>
      </c>
      <c r="D3134" s="6" t="s">
        <v>6995</v>
      </c>
      <c r="E3134" s="3" t="str">
        <f t="shared" si="1"/>
        <v>asset&lt;br&gt;&lt;div class="audio"&gt;[sound:asset.mp3]&lt;/div&gt;</v>
      </c>
      <c r="F3134" s="3" t="str">
        <f t="shared" si="2"/>
        <v>(n): tài sản</v>
      </c>
      <c r="G3134" s="6" t="s">
        <v>48666</v>
      </c>
      <c r="H3134" s="6" t="s">
        <v>48667</v>
      </c>
      <c r="I3134" s="7">
        <f t="shared" si="3"/>
        <v>0.309033001</v>
      </c>
    </row>
    <row r="3135">
      <c r="A3135" s="4">
        <v>3135.0</v>
      </c>
      <c r="B3135" s="3" t="s">
        <v>48668</v>
      </c>
      <c r="C3135" s="6" t="s">
        <v>74</v>
      </c>
      <c r="D3135" s="6" t="s">
        <v>48669</v>
      </c>
      <c r="E3135" s="3" t="str">
        <f t="shared" si="1"/>
        <v>variable&lt;br&gt;&lt;div class="audio"&gt;[sound:variable.mp3]&lt;/div&gt;</v>
      </c>
      <c r="F3135" s="3" t="str">
        <f t="shared" si="2"/>
        <v>(n): biến số</v>
      </c>
      <c r="G3135" s="6" t="s">
        <v>48670</v>
      </c>
      <c r="H3135" s="6" t="s">
        <v>48671</v>
      </c>
      <c r="I3135" s="7">
        <f t="shared" si="3"/>
        <v>0.05512478059</v>
      </c>
    </row>
    <row r="3136">
      <c r="A3136" s="4">
        <v>3136.0</v>
      </c>
      <c r="B3136" s="3" t="s">
        <v>48672</v>
      </c>
      <c r="C3136" s="6" t="s">
        <v>24</v>
      </c>
      <c r="D3136" s="6" t="s">
        <v>12878</v>
      </c>
      <c r="E3136" s="3" t="str">
        <f t="shared" si="1"/>
        <v>eliminate&lt;br&gt;&lt;div class="audio"&gt;[sound:eliminate.mp3]&lt;/div&gt;</v>
      </c>
      <c r="F3136" s="3" t="str">
        <f t="shared" si="2"/>
        <v>(v): loại bỏ</v>
      </c>
      <c r="G3136" s="6" t="s">
        <v>48673</v>
      </c>
      <c r="H3136" s="6" t="s">
        <v>48674</v>
      </c>
      <c r="I3136" s="7">
        <f t="shared" si="3"/>
        <v>0.5177128943</v>
      </c>
    </row>
    <row r="3137">
      <c r="A3137" s="4">
        <v>3137.0</v>
      </c>
      <c r="B3137" s="3" t="s">
        <v>48675</v>
      </c>
      <c r="C3137" s="6" t="s">
        <v>24</v>
      </c>
      <c r="D3137" s="6" t="s">
        <v>48676</v>
      </c>
      <c r="E3137" s="3" t="str">
        <f t="shared" si="1"/>
        <v>preserve&lt;br&gt;&lt;div class="audio"&gt;[sound:preserve.mp3]&lt;/div&gt;</v>
      </c>
      <c r="F3137" s="3" t="str">
        <f t="shared" si="2"/>
        <v>(v): bảo tồn</v>
      </c>
      <c r="G3137" s="6" t="s">
        <v>48677</v>
      </c>
      <c r="H3137" s="6" t="s">
        <v>48678</v>
      </c>
      <c r="I3137" s="7">
        <f t="shared" si="3"/>
        <v>0.1389653615</v>
      </c>
    </row>
    <row r="3138">
      <c r="A3138" s="4">
        <v>3138.0</v>
      </c>
      <c r="B3138" s="3" t="s">
        <v>48679</v>
      </c>
      <c r="C3138" s="6" t="s">
        <v>24</v>
      </c>
      <c r="D3138" s="6" t="s">
        <v>48680</v>
      </c>
      <c r="E3138" s="3" t="str">
        <f t="shared" si="1"/>
        <v>compensate&lt;br&gt;&lt;div class="audio"&gt;[sound:compensate.mp3]&lt;/div&gt;</v>
      </c>
      <c r="F3138" s="3" t="str">
        <f t="shared" si="2"/>
        <v>(v): đền bù</v>
      </c>
      <c r="G3138" s="6" t="s">
        <v>48681</v>
      </c>
      <c r="H3138" s="6" t="s">
        <v>48682</v>
      </c>
      <c r="I3138" s="7">
        <f t="shared" si="3"/>
        <v>0.5228643795</v>
      </c>
    </row>
    <row r="3139">
      <c r="A3139" s="4">
        <v>3139.0</v>
      </c>
      <c r="B3139" s="3" t="s">
        <v>48683</v>
      </c>
      <c r="C3139" s="6" t="s">
        <v>74</v>
      </c>
      <c r="D3139" s="6" t="s">
        <v>24537</v>
      </c>
      <c r="E3139" s="3" t="str">
        <f t="shared" si="1"/>
        <v>bucket&lt;br&gt;&lt;div class="audio"&gt;[sound:bucket.mp3]&lt;/div&gt;</v>
      </c>
      <c r="F3139" s="3" t="str">
        <f t="shared" si="2"/>
        <v>(n): cái xô</v>
      </c>
      <c r="G3139" s="6" t="s">
        <v>48684</v>
      </c>
      <c r="H3139" s="6" t="s">
        <v>48685</v>
      </c>
      <c r="I3139" s="7">
        <f t="shared" si="3"/>
        <v>0.2858184795</v>
      </c>
    </row>
    <row r="3140">
      <c r="A3140" s="4">
        <v>3140.0</v>
      </c>
      <c r="B3140" s="3" t="s">
        <v>48686</v>
      </c>
      <c r="C3140" s="6" t="s">
        <v>11</v>
      </c>
      <c r="D3140" s="6" t="s">
        <v>23519</v>
      </c>
      <c r="E3140" s="3" t="str">
        <f t="shared" si="1"/>
        <v>cheerful&lt;br&gt;&lt;div class="audio"&gt;[sound:cheerful.mp3]&lt;/div&gt;</v>
      </c>
      <c r="F3140" s="3" t="str">
        <f t="shared" si="2"/>
        <v>(adj): vui vẻ</v>
      </c>
      <c r="G3140" s="6" t="s">
        <v>48687</v>
      </c>
      <c r="H3140" s="6" t="s">
        <v>48688</v>
      </c>
      <c r="I3140" s="7">
        <f t="shared" si="3"/>
        <v>0.08627450855</v>
      </c>
    </row>
    <row r="3141">
      <c r="A3141" s="4">
        <v>3141.0</v>
      </c>
      <c r="B3141" s="3" t="s">
        <v>48689</v>
      </c>
      <c r="C3141" s="6" t="s">
        <v>85</v>
      </c>
      <c r="D3141" s="6" t="s">
        <v>48690</v>
      </c>
      <c r="E3141" s="3" t="str">
        <f t="shared" si="1"/>
        <v>merely&lt;br&gt;&lt;div class="audio"&gt;[sound:merely.mp3]&lt;/div&gt;</v>
      </c>
      <c r="F3141" s="3" t="str">
        <f t="shared" si="2"/>
        <v>(adv): chỉ là</v>
      </c>
      <c r="G3141" s="6" t="s">
        <v>48691</v>
      </c>
      <c r="H3141" s="6" t="s">
        <v>48692</v>
      </c>
      <c r="I3141" s="7">
        <f t="shared" si="3"/>
        <v>0.6149026273</v>
      </c>
    </row>
    <row r="3142">
      <c r="A3142" s="4">
        <v>3142.0</v>
      </c>
      <c r="B3142" s="3" t="s">
        <v>48693</v>
      </c>
      <c r="C3142" s="6" t="s">
        <v>74</v>
      </c>
      <c r="D3142" s="6" t="s">
        <v>13390</v>
      </c>
      <c r="E3142" s="3" t="str">
        <f t="shared" si="1"/>
        <v>notion&lt;br&gt;&lt;div class="audio"&gt;[sound:notion.mp3]&lt;/div&gt;</v>
      </c>
      <c r="F3142" s="3" t="str">
        <f t="shared" si="2"/>
        <v>(n): ý niệm</v>
      </c>
      <c r="G3142" s="6" t="s">
        <v>48694</v>
      </c>
      <c r="H3142" s="6" t="s">
        <v>48695</v>
      </c>
      <c r="I3142" s="7">
        <f t="shared" si="3"/>
        <v>0.4171117013</v>
      </c>
    </row>
    <row r="3143">
      <c r="A3143" s="4">
        <v>3143.0</v>
      </c>
      <c r="B3143" s="3" t="s">
        <v>48696</v>
      </c>
      <c r="C3143" s="6" t="s">
        <v>63</v>
      </c>
      <c r="D3143" s="6" t="s">
        <v>38184</v>
      </c>
      <c r="E3143" s="3" t="str">
        <f t="shared" si="1"/>
        <v>versus&lt;br&gt;&lt;div class="audio"&gt;[sound:versus.mp3]&lt;/div&gt;</v>
      </c>
      <c r="F3143" s="3" t="str">
        <f t="shared" si="2"/>
        <v>(prep): so với</v>
      </c>
      <c r="G3143" s="6" t="s">
        <v>48697</v>
      </c>
      <c r="H3143" s="6" t="s">
        <v>48698</v>
      </c>
      <c r="I3143" s="7">
        <f t="shared" si="3"/>
        <v>0.7314321622</v>
      </c>
    </row>
    <row r="3144">
      <c r="A3144" s="4">
        <v>3144.0</v>
      </c>
      <c r="B3144" s="3" t="s">
        <v>48699</v>
      </c>
      <c r="C3144" s="6" t="s">
        <v>24</v>
      </c>
      <c r="D3144" s="8" t="s">
        <v>48700</v>
      </c>
      <c r="E3144" s="3" t="str">
        <f t="shared" si="1"/>
        <v>skip&lt;br&gt;&lt;div class="audio"&gt;[sound:skip.mp3]&lt;/div&gt;</v>
      </c>
      <c r="F3144" s="3" t="str">
        <f t="shared" si="2"/>
        <v>(v): bỏ qua</v>
      </c>
      <c r="G3144" s="8" t="s">
        <v>48701</v>
      </c>
      <c r="H3144" s="8" t="s">
        <v>48702</v>
      </c>
      <c r="I3144" s="7">
        <f t="shared" si="3"/>
        <v>0.1370275027</v>
      </c>
    </row>
    <row r="3145">
      <c r="A3145" s="4">
        <v>3145.0</v>
      </c>
      <c r="B3145" s="3" t="s">
        <v>48703</v>
      </c>
      <c r="C3145" s="6" t="s">
        <v>11</v>
      </c>
      <c r="D3145" s="6" t="s">
        <v>35640</v>
      </c>
      <c r="E3145" s="3" t="str">
        <f t="shared" si="1"/>
        <v>ugly&lt;br&gt;&lt;div class="audio"&gt;[sound:ugly.mp3]&lt;/div&gt;</v>
      </c>
      <c r="F3145" s="3" t="str">
        <f t="shared" si="2"/>
        <v>(adj): xấu xí</v>
      </c>
      <c r="G3145" s="6" t="s">
        <v>48704</v>
      </c>
      <c r="H3145" s="6" t="s">
        <v>48705</v>
      </c>
      <c r="I3145" s="7">
        <f t="shared" si="3"/>
        <v>0.1896664568</v>
      </c>
    </row>
    <row r="3146">
      <c r="A3146" s="4">
        <v>3146.0</v>
      </c>
      <c r="B3146" s="3" t="s">
        <v>48706</v>
      </c>
      <c r="C3146" s="6" t="s">
        <v>11</v>
      </c>
      <c r="D3146" s="6" t="s">
        <v>3963</v>
      </c>
      <c r="E3146" s="3" t="str">
        <f t="shared" si="1"/>
        <v>adequate&lt;br&gt;&lt;div class="audio"&gt;[sound:adequate.mp3]&lt;/div&gt;</v>
      </c>
      <c r="F3146" s="3" t="str">
        <f t="shared" si="2"/>
        <v>(adj): đầy đủ</v>
      </c>
      <c r="G3146" s="6" t="s">
        <v>48707</v>
      </c>
      <c r="H3146" s="6" t="s">
        <v>48708</v>
      </c>
      <c r="I3146" s="7">
        <f t="shared" si="3"/>
        <v>0.3194312003</v>
      </c>
    </row>
    <row r="3147">
      <c r="A3147" s="4">
        <v>3147.0</v>
      </c>
      <c r="B3147" s="3" t="s">
        <v>48709</v>
      </c>
      <c r="C3147" s="6" t="s">
        <v>11</v>
      </c>
      <c r="D3147" s="6" t="s">
        <v>48710</v>
      </c>
      <c r="E3147" s="3" t="str">
        <f t="shared" si="1"/>
        <v>graphic&lt;br&gt;&lt;div class="audio"&gt;[sound:graphic.mp3]&lt;/div&gt;</v>
      </c>
      <c r="F3147" s="3" t="str">
        <f t="shared" si="2"/>
        <v>(adj): đồ họa</v>
      </c>
      <c r="G3147" s="6" t="s">
        <v>48711</v>
      </c>
      <c r="H3147" s="6" t="s">
        <v>48712</v>
      </c>
      <c r="I3147" s="7">
        <f t="shared" si="3"/>
        <v>0.5952467496</v>
      </c>
    </row>
    <row r="3148">
      <c r="A3148" s="4">
        <v>3148.0</v>
      </c>
      <c r="B3148" s="3" t="s">
        <v>48713</v>
      </c>
      <c r="C3148" s="6" t="s">
        <v>74</v>
      </c>
      <c r="D3148" s="6" t="s">
        <v>47803</v>
      </c>
      <c r="E3148" s="3" t="str">
        <f t="shared" si="1"/>
        <v>harvest&lt;br&gt;&lt;div class="audio"&gt;[sound:harvest.mp3]&lt;/div&gt;</v>
      </c>
      <c r="F3148" s="3" t="str">
        <f t="shared" si="2"/>
        <v>(n): vụ mùa</v>
      </c>
      <c r="G3148" s="6" t="s">
        <v>48714</v>
      </c>
      <c r="H3148" s="6" t="s">
        <v>48715</v>
      </c>
      <c r="I3148" s="7">
        <f t="shared" si="3"/>
        <v>0.9497782078</v>
      </c>
    </row>
    <row r="3149">
      <c r="A3149" s="4">
        <v>3149.0</v>
      </c>
      <c r="B3149" s="3" t="s">
        <v>48716</v>
      </c>
      <c r="C3149" s="6" t="s">
        <v>11</v>
      </c>
      <c r="D3149" s="6" t="s">
        <v>48717</v>
      </c>
      <c r="E3149" s="3" t="str">
        <f t="shared" si="1"/>
        <v>immense&lt;br&gt;&lt;div class="audio"&gt;[sound:immense.mp3]&lt;/div&gt;</v>
      </c>
      <c r="F3149" s="3" t="str">
        <f t="shared" si="2"/>
        <v>(adj): bao la</v>
      </c>
      <c r="G3149" s="6" t="s">
        <v>48718</v>
      </c>
      <c r="H3149" s="6" t="s">
        <v>48719</v>
      </c>
      <c r="I3149" s="7">
        <f t="shared" si="3"/>
        <v>0.1783441221</v>
      </c>
    </row>
    <row r="3150">
      <c r="A3150" s="4">
        <v>3150.0</v>
      </c>
      <c r="B3150" s="3" t="s">
        <v>48720</v>
      </c>
      <c r="C3150" s="6" t="s">
        <v>11</v>
      </c>
      <c r="D3150" s="6" t="s">
        <v>48721</v>
      </c>
      <c r="E3150" s="3" t="str">
        <f t="shared" si="1"/>
        <v>valid&lt;br&gt;&lt;div class="audio"&gt;[sound:valid.mp3]&lt;/div&gt;</v>
      </c>
      <c r="F3150" s="3" t="str">
        <f t="shared" si="2"/>
        <v>(adj): hợp lệ</v>
      </c>
      <c r="G3150" s="6" t="s">
        <v>48722</v>
      </c>
      <c r="H3150" s="6" t="s">
        <v>48723</v>
      </c>
      <c r="I3150" s="7">
        <f t="shared" si="3"/>
        <v>0.3161473987</v>
      </c>
    </row>
    <row r="3151">
      <c r="A3151" s="4">
        <v>3151.0</v>
      </c>
      <c r="B3151" s="3" t="s">
        <v>48724</v>
      </c>
      <c r="C3151" s="6" t="s">
        <v>74</v>
      </c>
      <c r="D3151" s="6" t="s">
        <v>24861</v>
      </c>
      <c r="E3151" s="3" t="str">
        <f t="shared" si="1"/>
        <v>tyre&lt;br&gt;&lt;div class="audio"&gt;[sound:tyre.mp3]&lt;/div&gt;</v>
      </c>
      <c r="F3151" s="3" t="str">
        <f t="shared" si="2"/>
        <v>(n): lốp xe</v>
      </c>
      <c r="G3151" s="6" t="s">
        <v>48725</v>
      </c>
      <c r="H3151" s="6" t="s">
        <v>48726</v>
      </c>
      <c r="I3151" s="7">
        <f t="shared" si="3"/>
        <v>0.5547504399</v>
      </c>
    </row>
    <row r="3152">
      <c r="A3152" s="4">
        <v>3152.0</v>
      </c>
      <c r="B3152" s="3" t="s">
        <v>48727</v>
      </c>
      <c r="C3152" s="6" t="s">
        <v>24</v>
      </c>
      <c r="D3152" s="6" t="s">
        <v>4801</v>
      </c>
      <c r="E3152" s="3" t="str">
        <f t="shared" si="1"/>
        <v>advocate&lt;br&gt;&lt;div class="audio"&gt;[sound:advocate.mp3]&lt;/div&gt;</v>
      </c>
      <c r="F3152" s="3" t="str">
        <f t="shared" si="2"/>
        <v>(v): ủng hộ</v>
      </c>
      <c r="G3152" s="6" t="s">
        <v>48728</v>
      </c>
      <c r="H3152" s="6" t="s">
        <v>48729</v>
      </c>
      <c r="I3152" s="7">
        <f t="shared" si="3"/>
        <v>0.9864951837</v>
      </c>
    </row>
    <row r="3153">
      <c r="A3153" s="4">
        <v>3153.0</v>
      </c>
      <c r="B3153" s="3" t="s">
        <v>48730</v>
      </c>
      <c r="C3153" s="6" t="s">
        <v>74</v>
      </c>
      <c r="D3153" s="6" t="s">
        <v>35622</v>
      </c>
      <c r="E3153" s="3" t="str">
        <f t="shared" si="1"/>
        <v>conspiracy&lt;br&gt;&lt;div class="audio"&gt;[sound:conspiracy.mp3]&lt;/div&gt;</v>
      </c>
      <c r="F3153" s="3" t="str">
        <f t="shared" si="2"/>
        <v>(n): âm mưu</v>
      </c>
      <c r="G3153" s="6" t="s">
        <v>48731</v>
      </c>
      <c r="H3153" s="6" t="s">
        <v>48732</v>
      </c>
      <c r="I3153" s="7">
        <f t="shared" si="3"/>
        <v>0.450321233</v>
      </c>
    </row>
    <row r="3154">
      <c r="A3154" s="4">
        <v>3154.0</v>
      </c>
      <c r="B3154" s="3" t="s">
        <v>48733</v>
      </c>
      <c r="C3154" s="6" t="s">
        <v>24</v>
      </c>
      <c r="D3154" s="6" t="s">
        <v>48734</v>
      </c>
      <c r="E3154" s="3" t="str">
        <f t="shared" si="1"/>
        <v>isolate&lt;br&gt;&lt;div class="audio"&gt;[sound:isolate.mp3]&lt;/div&gt;</v>
      </c>
      <c r="F3154" s="3" t="str">
        <f t="shared" si="2"/>
        <v>(v): cô lập</v>
      </c>
      <c r="G3154" s="6" t="s">
        <v>48735</v>
      </c>
      <c r="H3154" s="6" t="s">
        <v>48736</v>
      </c>
      <c r="I3154" s="7">
        <f t="shared" si="3"/>
        <v>0.3375273747</v>
      </c>
    </row>
    <row r="3155">
      <c r="A3155" s="4">
        <v>3155.0</v>
      </c>
      <c r="B3155" s="3" t="s">
        <v>48737</v>
      </c>
      <c r="C3155" s="6" t="s">
        <v>74</v>
      </c>
      <c r="D3155" s="6" t="s">
        <v>48738</v>
      </c>
      <c r="E3155" s="3" t="str">
        <f t="shared" si="1"/>
        <v>pitch&lt;br&gt;&lt;div class="audio"&gt;[sound:pitch.mp3]&lt;/div&gt;</v>
      </c>
      <c r="F3155" s="3" t="str">
        <f t="shared" si="2"/>
        <v>(n): sân cỏ</v>
      </c>
      <c r="G3155" s="6" t="s">
        <v>48739</v>
      </c>
      <c r="H3155" s="6" t="s">
        <v>48740</v>
      </c>
      <c r="I3155" s="7">
        <f t="shared" si="3"/>
        <v>0.4546953351</v>
      </c>
    </row>
    <row r="3156">
      <c r="A3156" s="4">
        <v>3156.0</v>
      </c>
      <c r="B3156" s="3" t="s">
        <v>48741</v>
      </c>
      <c r="C3156" s="6" t="s">
        <v>11</v>
      </c>
      <c r="D3156" s="6" t="s">
        <v>24254</v>
      </c>
      <c r="E3156" s="3" t="str">
        <f t="shared" si="1"/>
        <v>fancy&lt;br&gt;&lt;div class="audio"&gt;[sound:fancy.mp3]&lt;/div&gt;</v>
      </c>
      <c r="F3156" s="3" t="str">
        <f t="shared" si="2"/>
        <v>(adj): xa hoa</v>
      </c>
      <c r="G3156" s="6" t="s">
        <v>48742</v>
      </c>
      <c r="H3156" s="6" t="s">
        <v>48743</v>
      </c>
      <c r="I3156" s="7">
        <f t="shared" si="3"/>
        <v>0.8250012187</v>
      </c>
    </row>
    <row r="3157">
      <c r="A3157" s="4">
        <v>3157.0</v>
      </c>
      <c r="B3157" s="3" t="s">
        <v>48744</v>
      </c>
      <c r="C3157" s="6" t="s">
        <v>11</v>
      </c>
      <c r="D3157" s="6" t="s">
        <v>2617</v>
      </c>
      <c r="E3157" s="3" t="str">
        <f t="shared" si="1"/>
        <v>fundamental&lt;br&gt;&lt;div class="audio"&gt;[sound:fundamental.mp3]&lt;/div&gt;</v>
      </c>
      <c r="F3157" s="3" t="str">
        <f t="shared" si="2"/>
        <v>(adj): cơ bản</v>
      </c>
      <c r="G3157" s="6" t="s">
        <v>48745</v>
      </c>
      <c r="H3157" s="6" t="s">
        <v>48746</v>
      </c>
      <c r="I3157" s="7">
        <f t="shared" si="3"/>
        <v>0.1556661799</v>
      </c>
    </row>
    <row r="3158">
      <c r="A3158" s="4">
        <v>3158.0</v>
      </c>
      <c r="B3158" s="3" t="s">
        <v>48747</v>
      </c>
      <c r="C3158" s="6" t="s">
        <v>74</v>
      </c>
      <c r="D3158" s="6" t="s">
        <v>26148</v>
      </c>
      <c r="E3158" s="3" t="str">
        <f t="shared" si="1"/>
        <v>mechanism&lt;br&gt;&lt;div class="audio"&gt;[sound:mechanism.mp3]&lt;/div&gt;</v>
      </c>
      <c r="F3158" s="3" t="str">
        <f t="shared" si="2"/>
        <v>(n): cơ chế</v>
      </c>
      <c r="G3158" s="6" t="s">
        <v>48748</v>
      </c>
      <c r="H3158" s="6" t="s">
        <v>48749</v>
      </c>
      <c r="I3158" s="7">
        <f t="shared" si="3"/>
        <v>0.9094719583</v>
      </c>
    </row>
    <row r="3159">
      <c r="A3159" s="4">
        <v>3159.0</v>
      </c>
      <c r="B3159" s="3" t="s">
        <v>48750</v>
      </c>
      <c r="C3159" s="6" t="s">
        <v>11</v>
      </c>
      <c r="D3159" s="6" t="s">
        <v>30847</v>
      </c>
      <c r="E3159" s="3" t="str">
        <f t="shared" si="1"/>
        <v>tremendous&lt;br&gt;&lt;div class="audio"&gt;[sound:tremendous.mp3]&lt;/div&gt;</v>
      </c>
      <c r="F3159" s="3" t="str">
        <f t="shared" si="2"/>
        <v>(adj): to lớn</v>
      </c>
      <c r="G3159" s="6" t="s">
        <v>48751</v>
      </c>
      <c r="H3159" s="6" t="s">
        <v>48752</v>
      </c>
      <c r="I3159" s="7">
        <f t="shared" si="3"/>
        <v>0.00178407402</v>
      </c>
    </row>
    <row r="3160">
      <c r="A3160" s="4">
        <v>3160.0</v>
      </c>
      <c r="B3160" s="3" t="s">
        <v>48753</v>
      </c>
      <c r="C3160" s="6" t="s">
        <v>74</v>
      </c>
      <c r="D3160" s="6" t="s">
        <v>13210</v>
      </c>
      <c r="E3160" s="3" t="str">
        <f t="shared" si="1"/>
        <v>universe&lt;br&gt;&lt;div class="audio"&gt;[sound:universe.mp3]&lt;/div&gt;</v>
      </c>
      <c r="F3160" s="3" t="str">
        <f t="shared" si="2"/>
        <v>(n): vũ trụ</v>
      </c>
      <c r="G3160" s="6" t="s">
        <v>48754</v>
      </c>
      <c r="H3160" s="6" t="s">
        <v>48755</v>
      </c>
      <c r="I3160" s="7">
        <f t="shared" si="3"/>
        <v>0.4361605221</v>
      </c>
    </row>
    <row r="3161">
      <c r="A3161" s="4">
        <v>3161.0</v>
      </c>
      <c r="B3161" s="3" t="s">
        <v>48756</v>
      </c>
      <c r="C3161" s="6" t="s">
        <v>74</v>
      </c>
      <c r="D3161" s="6" t="s">
        <v>48757</v>
      </c>
      <c r="E3161" s="3" t="str">
        <f t="shared" si="1"/>
        <v>arrival&lt;br&gt;&lt;div class="audio"&gt;[sound:arrival.mp3]&lt;/div&gt;</v>
      </c>
      <c r="F3161" s="3" t="str">
        <f t="shared" si="2"/>
        <v>(n): sự đến</v>
      </c>
      <c r="G3161" s="6" t="s">
        <v>48758</v>
      </c>
      <c r="H3161" s="6" t="s">
        <v>48759</v>
      </c>
      <c r="I3161" s="7">
        <f t="shared" si="3"/>
        <v>0.8666726464</v>
      </c>
    </row>
    <row r="3162">
      <c r="A3162" s="4">
        <v>3162.0</v>
      </c>
      <c r="B3162" s="3" t="s">
        <v>48760</v>
      </c>
      <c r="C3162" s="6" t="s">
        <v>24</v>
      </c>
      <c r="D3162" s="6" t="s">
        <v>23523</v>
      </c>
      <c r="E3162" s="3" t="str">
        <f t="shared" si="1"/>
        <v>hesitate&lt;br&gt;&lt;div class="audio"&gt;[sound:hesitate.mp3]&lt;/div&gt;</v>
      </c>
      <c r="F3162" s="3" t="str">
        <f t="shared" si="2"/>
        <v>(v): do dự</v>
      </c>
      <c r="G3162" s="6" t="s">
        <v>48761</v>
      </c>
      <c r="H3162" s="6" t="s">
        <v>48762</v>
      </c>
      <c r="I3162" s="7">
        <f t="shared" si="3"/>
        <v>0.3020011912</v>
      </c>
    </row>
    <row r="3163">
      <c r="A3163" s="4">
        <v>3163.0</v>
      </c>
      <c r="B3163" s="3" t="s">
        <v>48763</v>
      </c>
      <c r="C3163" s="6" t="s">
        <v>11</v>
      </c>
      <c r="D3163" s="6" t="s">
        <v>852</v>
      </c>
      <c r="E3163" s="3" t="str">
        <f t="shared" si="1"/>
        <v>odd&lt;br&gt;&lt;div class="audio"&gt;[sound:odd.mp3]&lt;/div&gt;</v>
      </c>
      <c r="F3163" s="3" t="str">
        <f t="shared" si="2"/>
        <v>(adj): kỳ lạ</v>
      </c>
      <c r="G3163" s="6" t="s">
        <v>48764</v>
      </c>
      <c r="H3163" s="6" t="s">
        <v>47575</v>
      </c>
      <c r="I3163" s="7">
        <f t="shared" si="3"/>
        <v>0.9162169265</v>
      </c>
    </row>
    <row r="3164">
      <c r="A3164" s="4">
        <v>3164.0</v>
      </c>
      <c r="B3164" s="3" t="s">
        <v>48765</v>
      </c>
      <c r="C3164" s="6" t="s">
        <v>11</v>
      </c>
      <c r="D3164" s="6" t="s">
        <v>48766</v>
      </c>
      <c r="E3164" s="3" t="str">
        <f t="shared" si="1"/>
        <v>troubled&lt;br&gt;&lt;div class="audio"&gt;[sound:troubled.mp3]&lt;/div&gt;</v>
      </c>
      <c r="F3164" s="3" t="str">
        <f t="shared" si="2"/>
        <v>(adj): lo âu</v>
      </c>
      <c r="G3164" s="6" t="s">
        <v>48767</v>
      </c>
      <c r="H3164" s="6" t="s">
        <v>48768</v>
      </c>
      <c r="I3164" s="7">
        <f t="shared" si="3"/>
        <v>0.9944112175</v>
      </c>
    </row>
    <row r="3165">
      <c r="A3165" s="4">
        <v>3165.0</v>
      </c>
      <c r="B3165" s="3" t="s">
        <v>48769</v>
      </c>
      <c r="C3165" s="6" t="s">
        <v>74</v>
      </c>
      <c r="D3165" s="6" t="s">
        <v>39891</v>
      </c>
      <c r="E3165" s="3" t="str">
        <f t="shared" si="1"/>
        <v>venture&lt;br&gt;&lt;div class="audio"&gt;[sound:venture.mp3]&lt;/div&gt;</v>
      </c>
      <c r="F3165" s="3" t="str">
        <f t="shared" si="2"/>
        <v>(n): dự án</v>
      </c>
      <c r="G3165" s="6" t="s">
        <v>48770</v>
      </c>
      <c r="H3165" s="6" t="s">
        <v>48771</v>
      </c>
      <c r="I3165" s="7">
        <f t="shared" si="3"/>
        <v>0.0844200997</v>
      </c>
    </row>
    <row r="3166">
      <c r="A3166" s="4">
        <v>3166.0</v>
      </c>
      <c r="B3166" s="3" t="s">
        <v>48772</v>
      </c>
      <c r="C3166" s="6" t="s">
        <v>24</v>
      </c>
      <c r="D3166" s="6" t="s">
        <v>26760</v>
      </c>
      <c r="E3166" s="3" t="str">
        <f t="shared" si="1"/>
        <v>behave&lt;br&gt;&lt;div class="audio"&gt;[sound:behave.mp3]&lt;/div&gt;</v>
      </c>
      <c r="F3166" s="3" t="str">
        <f t="shared" si="2"/>
        <v>(v): cư xử</v>
      </c>
      <c r="G3166" s="6" t="s">
        <v>48773</v>
      </c>
      <c r="H3166" s="6" t="s">
        <v>48774</v>
      </c>
      <c r="I3166" s="7">
        <f t="shared" si="3"/>
        <v>0.4504194032</v>
      </c>
    </row>
    <row r="3167">
      <c r="A3167" s="4">
        <v>3167.0</v>
      </c>
      <c r="B3167" s="3" t="s">
        <v>48775</v>
      </c>
      <c r="C3167" s="6" t="s">
        <v>11</v>
      </c>
      <c r="D3167" s="6" t="s">
        <v>48776</v>
      </c>
      <c r="E3167" s="3" t="str">
        <f t="shared" si="1"/>
        <v>frightened&lt;br&gt;&lt;div class="audio"&gt;[sound:frightened.mp3]&lt;/div&gt;</v>
      </c>
      <c r="F3167" s="3" t="str">
        <f t="shared" si="2"/>
        <v>(adj): bị sợ</v>
      </c>
      <c r="G3167" s="6" t="s">
        <v>48777</v>
      </c>
      <c r="H3167" s="6" t="s">
        <v>48778</v>
      </c>
      <c r="I3167" s="7">
        <f t="shared" si="3"/>
        <v>0.2736504381</v>
      </c>
    </row>
    <row r="3168">
      <c r="A3168" s="4">
        <v>3168.0</v>
      </c>
      <c r="B3168" s="3" t="s">
        <v>48779</v>
      </c>
      <c r="C3168" s="6" t="s">
        <v>74</v>
      </c>
      <c r="D3168" s="6" t="s">
        <v>48780</v>
      </c>
      <c r="E3168" s="3" t="str">
        <f t="shared" si="1"/>
        <v>explosion&lt;br&gt;&lt;div class="audio"&gt;[sound:explosion.mp3]&lt;/div&gt;</v>
      </c>
      <c r="F3168" s="3" t="str">
        <f t="shared" si="2"/>
        <v>(n): vụ nổ</v>
      </c>
      <c r="G3168" s="6" t="s">
        <v>48781</v>
      </c>
      <c r="H3168" s="6" t="s">
        <v>48782</v>
      </c>
      <c r="I3168" s="7">
        <f t="shared" si="3"/>
        <v>0.1351257352</v>
      </c>
    </row>
    <row r="3169">
      <c r="A3169" s="4">
        <v>3169.0</v>
      </c>
      <c r="B3169" s="3" t="s">
        <v>48783</v>
      </c>
      <c r="C3169" s="6" t="s">
        <v>74</v>
      </c>
      <c r="D3169" s="6" t="s">
        <v>48784</v>
      </c>
      <c r="E3169" s="3" t="str">
        <f t="shared" si="1"/>
        <v>flag&lt;br&gt;&lt;div class="audio"&gt;[sound:flag.mp3]&lt;/div&gt;</v>
      </c>
      <c r="F3169" s="3" t="str">
        <f t="shared" si="2"/>
        <v>(n): lá cờ</v>
      </c>
      <c r="G3169" s="6" t="s">
        <v>48785</v>
      </c>
      <c r="H3169" s="6" t="s">
        <v>48786</v>
      </c>
      <c r="I3169" s="7">
        <f t="shared" si="3"/>
        <v>0.5416570595</v>
      </c>
    </row>
    <row r="3170">
      <c r="A3170" s="4">
        <v>3170.0</v>
      </c>
      <c r="B3170" s="3" t="s">
        <v>48787</v>
      </c>
      <c r="C3170" s="6" t="s">
        <v>24</v>
      </c>
      <c r="D3170" s="6" t="s">
        <v>27437</v>
      </c>
      <c r="E3170" s="3" t="str">
        <f t="shared" si="1"/>
        <v>cease&lt;br&gt;&lt;div class="audio"&gt;[sound:cease.mp3]&lt;/div&gt;</v>
      </c>
      <c r="F3170" s="3" t="str">
        <f t="shared" si="2"/>
        <v>(v): ngừng</v>
      </c>
      <c r="G3170" s="6" t="s">
        <v>48788</v>
      </c>
      <c r="H3170" s="6" t="s">
        <v>48789</v>
      </c>
      <c r="I3170" s="7">
        <f t="shared" si="3"/>
        <v>0.07680216472</v>
      </c>
    </row>
    <row r="3171">
      <c r="A3171" s="4">
        <v>3171.0</v>
      </c>
      <c r="B3171" s="3" t="s">
        <v>48790</v>
      </c>
      <c r="C3171" s="6" t="s">
        <v>11</v>
      </c>
      <c r="D3171" s="6" t="s">
        <v>8867</v>
      </c>
      <c r="E3171" s="3" t="str">
        <f t="shared" si="1"/>
        <v>joint&lt;br&gt;&lt;div class="audio"&gt;[sound:joint.mp3]&lt;/div&gt;</v>
      </c>
      <c r="F3171" s="3" t="str">
        <f t="shared" si="2"/>
        <v>(adj): chung</v>
      </c>
      <c r="G3171" s="6" t="s">
        <v>48791</v>
      </c>
      <c r="H3171" s="6" t="s">
        <v>48792</v>
      </c>
      <c r="I3171" s="7">
        <f t="shared" si="3"/>
        <v>0.705689008</v>
      </c>
    </row>
    <row r="3172">
      <c r="A3172" s="4">
        <v>3172.0</v>
      </c>
      <c r="B3172" s="3" t="s">
        <v>11823</v>
      </c>
      <c r="C3172" s="6" t="s">
        <v>74</v>
      </c>
      <c r="D3172" s="6" t="s">
        <v>11823</v>
      </c>
      <c r="E3172" s="3" t="str">
        <f t="shared" si="1"/>
        <v>album&lt;br&gt;&lt;div class="audio"&gt;[sound:album.mp3]&lt;/div&gt;</v>
      </c>
      <c r="F3172" s="3" t="str">
        <f t="shared" si="2"/>
        <v>(n): album</v>
      </c>
      <c r="G3172" s="6" t="s">
        <v>48793</v>
      </c>
      <c r="H3172" s="6" t="s">
        <v>48794</v>
      </c>
      <c r="I3172" s="7">
        <f t="shared" si="3"/>
        <v>0.2021644854</v>
      </c>
    </row>
    <row r="3173">
      <c r="A3173" s="4">
        <v>3173.0</v>
      </c>
      <c r="B3173" s="3" t="s">
        <v>48795</v>
      </c>
      <c r="C3173" s="6" t="s">
        <v>74</v>
      </c>
      <c r="D3173" s="6" t="s">
        <v>48796</v>
      </c>
      <c r="E3173" s="3" t="str">
        <f t="shared" si="1"/>
        <v>grave&lt;br&gt;&lt;div class="audio"&gt;[sound:grave.mp3]&lt;/div&gt;</v>
      </c>
      <c r="F3173" s="3" t="str">
        <f t="shared" si="2"/>
        <v>(n): mồ mả</v>
      </c>
      <c r="G3173" s="6" t="s">
        <v>48797</v>
      </c>
      <c r="H3173" s="6" t="s">
        <v>48798</v>
      </c>
      <c r="I3173" s="7">
        <f t="shared" si="3"/>
        <v>0.3710075419</v>
      </c>
    </row>
    <row r="3174">
      <c r="A3174" s="4">
        <v>3174.0</v>
      </c>
      <c r="B3174" s="3" t="s">
        <v>48799</v>
      </c>
      <c r="C3174" s="6" t="s">
        <v>11</v>
      </c>
      <c r="D3174" s="6" t="s">
        <v>8867</v>
      </c>
      <c r="E3174" s="3" t="str">
        <f t="shared" si="1"/>
        <v>generic&lt;br&gt;&lt;div class="audio"&gt;[sound:generic.mp3]&lt;/div&gt;</v>
      </c>
      <c r="F3174" s="3" t="str">
        <f t="shared" si="2"/>
        <v>(adj): chung</v>
      </c>
      <c r="G3174" s="6" t="s">
        <v>48800</v>
      </c>
      <c r="H3174" s="6" t="s">
        <v>48801</v>
      </c>
      <c r="I3174" s="7">
        <f t="shared" si="3"/>
        <v>0.8974561332</v>
      </c>
    </row>
    <row r="3175">
      <c r="A3175" s="4">
        <v>3175.0</v>
      </c>
      <c r="B3175" s="3" t="s">
        <v>48802</v>
      </c>
      <c r="C3175" s="6" t="s">
        <v>24</v>
      </c>
      <c r="D3175" s="6" t="s">
        <v>48803</v>
      </c>
      <c r="E3175" s="3" t="str">
        <f t="shared" si="1"/>
        <v>brush&lt;br&gt;&lt;div class="audio"&gt;[sound:brush.mp3]&lt;/div&gt;</v>
      </c>
      <c r="F3175" s="3" t="str">
        <f t="shared" si="2"/>
        <v>(v): chải</v>
      </c>
      <c r="G3175" s="6" t="s">
        <v>48804</v>
      </c>
      <c r="H3175" s="6" t="s">
        <v>48805</v>
      </c>
      <c r="I3175" s="7">
        <f t="shared" si="3"/>
        <v>0.7178510576</v>
      </c>
    </row>
    <row r="3176">
      <c r="A3176" s="4">
        <v>3176.0</v>
      </c>
      <c r="B3176" s="3" t="s">
        <v>48806</v>
      </c>
      <c r="C3176" s="6" t="s">
        <v>24</v>
      </c>
      <c r="D3176" s="6" t="s">
        <v>48807</v>
      </c>
      <c r="E3176" s="3" t="str">
        <f t="shared" si="1"/>
        <v>insert&lt;br&gt;&lt;div class="audio"&gt;[sound:insert.mp3]&lt;/div&gt;</v>
      </c>
      <c r="F3176" s="3" t="str">
        <f t="shared" si="2"/>
        <v>(v): chèn</v>
      </c>
      <c r="G3176" s="6" t="s">
        <v>48808</v>
      </c>
      <c r="H3176" s="6" t="s">
        <v>48809</v>
      </c>
      <c r="I3176" s="7">
        <f t="shared" si="3"/>
        <v>0.5651213064</v>
      </c>
    </row>
    <row r="3177">
      <c r="A3177" s="4">
        <v>3177.0</v>
      </c>
      <c r="B3177" s="3" t="s">
        <v>48810</v>
      </c>
      <c r="C3177" s="6" t="s">
        <v>11</v>
      </c>
      <c r="D3177" s="6" t="s">
        <v>4777</v>
      </c>
      <c r="E3177" s="3" t="str">
        <f t="shared" si="1"/>
        <v>upset&lt;br&gt;&lt;div class="audio"&gt;[sound:upset.mp3]&lt;/div&gt;</v>
      </c>
      <c r="F3177" s="3" t="str">
        <f t="shared" si="2"/>
        <v>(adj): buồn</v>
      </c>
      <c r="G3177" s="6" t="s">
        <v>48811</v>
      </c>
      <c r="H3177" s="6" t="s">
        <v>48812</v>
      </c>
      <c r="I3177" s="7">
        <f t="shared" si="3"/>
        <v>0.001445941696</v>
      </c>
    </row>
    <row r="3178">
      <c r="A3178" s="4">
        <v>3178.0</v>
      </c>
      <c r="B3178" s="3" t="s">
        <v>48813</v>
      </c>
      <c r="C3178" s="6" t="s">
        <v>24</v>
      </c>
      <c r="D3178" s="6" t="s">
        <v>35952</v>
      </c>
      <c r="E3178" s="3" t="str">
        <f t="shared" si="1"/>
        <v>twist&lt;br&gt;&lt;div class="audio"&gt;[sound:twist.mp3]&lt;/div&gt;</v>
      </c>
      <c r="F3178" s="3" t="str">
        <f t="shared" si="2"/>
        <v>(v): xoắn</v>
      </c>
      <c r="G3178" s="6" t="s">
        <v>48814</v>
      </c>
      <c r="H3178" s="6" t="s">
        <v>48815</v>
      </c>
      <c r="I3178" s="7">
        <f t="shared" si="3"/>
        <v>0.6662601104</v>
      </c>
    </row>
    <row r="3179">
      <c r="A3179" s="4">
        <v>3179.0</v>
      </c>
      <c r="B3179" s="3" t="s">
        <v>48816</v>
      </c>
      <c r="C3179" s="6" t="s">
        <v>74</v>
      </c>
      <c r="D3179" s="6" t="s">
        <v>48817</v>
      </c>
      <c r="E3179" s="3" t="str">
        <f t="shared" si="1"/>
        <v>hip&lt;br&gt;&lt;div class="audio"&gt;[sound:hip.mp3]&lt;/div&gt;</v>
      </c>
      <c r="F3179" s="3" t="str">
        <f t="shared" si="2"/>
        <v>(n): hông</v>
      </c>
      <c r="G3179" s="6" t="s">
        <v>48818</v>
      </c>
      <c r="H3179" s="6" t="s">
        <v>48819</v>
      </c>
      <c r="I3179" s="7">
        <f t="shared" si="3"/>
        <v>0.6310216244</v>
      </c>
    </row>
    <row r="3180">
      <c r="A3180" s="4">
        <v>3180.0</v>
      </c>
      <c r="B3180" s="3" t="s">
        <v>48820</v>
      </c>
      <c r="C3180" s="6" t="s">
        <v>74</v>
      </c>
      <c r="D3180" s="6" t="s">
        <v>48821</v>
      </c>
      <c r="E3180" s="3" t="str">
        <f t="shared" si="1"/>
        <v>faculty&lt;br&gt;&lt;div class="audio"&gt;[sound:faculty.mp3]&lt;/div&gt;</v>
      </c>
      <c r="F3180" s="3" t="str">
        <f t="shared" si="2"/>
        <v>(n): khoa</v>
      </c>
      <c r="G3180" s="6" t="s">
        <v>48822</v>
      </c>
      <c r="H3180" s="6" t="s">
        <v>48823</v>
      </c>
      <c r="I3180" s="7">
        <f t="shared" si="3"/>
        <v>0.5281416589</v>
      </c>
    </row>
    <row r="3181">
      <c r="A3181" s="4">
        <v>3181.0</v>
      </c>
      <c r="B3181" s="3" t="s">
        <v>48824</v>
      </c>
      <c r="C3181" s="6" t="s">
        <v>24</v>
      </c>
      <c r="D3181" s="8" t="s">
        <v>9126</v>
      </c>
      <c r="E3181" s="3" t="str">
        <f t="shared" si="1"/>
        <v>shed&lt;br&gt;&lt;div class="audio"&gt;[sound:shed.mp3]&lt;/div&gt;</v>
      </c>
      <c r="F3181" s="3" t="str">
        <f t="shared" si="2"/>
        <v>(v): rụng</v>
      </c>
      <c r="G3181" s="8" t="s">
        <v>48825</v>
      </c>
      <c r="H3181" s="8" t="s">
        <v>48826</v>
      </c>
      <c r="I3181" s="7">
        <f t="shared" si="3"/>
        <v>0.5961816307</v>
      </c>
    </row>
    <row r="3182">
      <c r="A3182" s="4">
        <v>3182.0</v>
      </c>
      <c r="B3182" s="3" t="s">
        <v>48827</v>
      </c>
      <c r="C3182" s="6" t="s">
        <v>11</v>
      </c>
      <c r="D3182" s="6" t="s">
        <v>16289</v>
      </c>
      <c r="E3182" s="3" t="str">
        <f t="shared" si="1"/>
        <v>yellow&lt;br&gt;&lt;div class="audio"&gt;[sound:yellow.mp3]&lt;/div&gt;</v>
      </c>
      <c r="F3182" s="3" t="str">
        <f t="shared" si="2"/>
        <v>(adj): vàng</v>
      </c>
      <c r="G3182" s="6" t="s">
        <v>48828</v>
      </c>
      <c r="H3182" s="6" t="s">
        <v>48829</v>
      </c>
      <c r="I3182" s="7">
        <f t="shared" si="3"/>
        <v>0.07430366574</v>
      </c>
    </row>
    <row r="3183">
      <c r="A3183" s="4">
        <v>3183.0</v>
      </c>
      <c r="B3183" s="3" t="s">
        <v>48830</v>
      </c>
      <c r="C3183" s="6" t="s">
        <v>11</v>
      </c>
      <c r="D3183" s="6" t="s">
        <v>44893</v>
      </c>
      <c r="E3183" s="3" t="str">
        <f t="shared" si="1"/>
        <v>gross&lt;br&gt;&lt;div class="audio"&gt;[sound:gross.mp3]&lt;/div&gt;</v>
      </c>
      <c r="F3183" s="3" t="str">
        <f t="shared" si="2"/>
        <v>(adj): tổng</v>
      </c>
      <c r="G3183" s="6" t="s">
        <v>48831</v>
      </c>
      <c r="H3183" s="6" t="s">
        <v>48832</v>
      </c>
      <c r="I3183" s="7">
        <f t="shared" si="3"/>
        <v>0.5557239085</v>
      </c>
    </row>
    <row r="3184">
      <c r="A3184" s="4">
        <v>3184.0</v>
      </c>
      <c r="B3184" s="3" t="s">
        <v>48833</v>
      </c>
      <c r="C3184" s="6" t="s">
        <v>11</v>
      </c>
      <c r="D3184" s="6" t="s">
        <v>21819</v>
      </c>
      <c r="E3184" s="3" t="str">
        <f t="shared" si="1"/>
        <v>loose&lt;br&gt;&lt;div class="audio"&gt;[sound:loose.mp3]&lt;/div&gt;</v>
      </c>
      <c r="F3184" s="3" t="str">
        <f t="shared" si="2"/>
        <v>(adj): lỏng</v>
      </c>
      <c r="G3184" s="6" t="s">
        <v>48834</v>
      </c>
      <c r="H3184" s="6" t="s">
        <v>48835</v>
      </c>
      <c r="I3184" s="7">
        <f t="shared" si="3"/>
        <v>0.7008273168</v>
      </c>
    </row>
    <row r="3185">
      <c r="A3185" s="4">
        <v>3185.0</v>
      </c>
      <c r="B3185" s="3" t="s">
        <v>48836</v>
      </c>
      <c r="C3185" s="6" t="s">
        <v>11</v>
      </c>
      <c r="D3185" s="6" t="s">
        <v>7289</v>
      </c>
      <c r="E3185" s="3" t="str">
        <f t="shared" si="1"/>
        <v>underground&lt;br&gt;&lt;div class="audio"&gt;[sound:underground.mp3]&lt;/div&gt;</v>
      </c>
      <c r="F3185" s="3" t="str">
        <f t="shared" si="2"/>
        <v>(adj): ngầm</v>
      </c>
      <c r="G3185" s="6" t="s">
        <v>48837</v>
      </c>
      <c r="H3185" s="6" t="s">
        <v>48838</v>
      </c>
      <c r="I3185" s="7">
        <f t="shared" si="3"/>
        <v>0.9515389525</v>
      </c>
    </row>
    <row r="3186">
      <c r="A3186" s="4">
        <v>3186.0</v>
      </c>
      <c r="B3186" s="3" t="s">
        <v>48839</v>
      </c>
      <c r="C3186" s="6" t="s">
        <v>74</v>
      </c>
      <c r="D3186" s="6" t="s">
        <v>9841</v>
      </c>
      <c r="E3186" s="3" t="str">
        <f t="shared" si="1"/>
        <v>battery&lt;br&gt;&lt;div class="audio"&gt;[sound:battery.mp3]&lt;/div&gt;</v>
      </c>
      <c r="F3186" s="3" t="str">
        <f t="shared" si="2"/>
        <v>(n): pin</v>
      </c>
      <c r="G3186" s="6" t="s">
        <v>48840</v>
      </c>
      <c r="H3186" s="6" t="s">
        <v>48841</v>
      </c>
      <c r="I3186" s="7">
        <f t="shared" si="3"/>
        <v>0.2029971981</v>
      </c>
    </row>
    <row r="3187">
      <c r="A3187" s="4">
        <v>3187.0</v>
      </c>
      <c r="B3187" s="3" t="s">
        <v>48842</v>
      </c>
      <c r="C3187" s="6" t="s">
        <v>74</v>
      </c>
      <c r="D3187" s="6" t="s">
        <v>6616</v>
      </c>
      <c r="E3187" s="3" t="str">
        <f t="shared" si="1"/>
        <v>trash&lt;br&gt;&lt;div class="audio"&gt;[sound:trash.mp3]&lt;/div&gt;</v>
      </c>
      <c r="F3187" s="3" t="str">
        <f t="shared" si="2"/>
        <v>(n): rác</v>
      </c>
      <c r="G3187" s="6" t="s">
        <v>48843</v>
      </c>
      <c r="H3187" s="6" t="s">
        <v>48844</v>
      </c>
      <c r="I3187" s="7">
        <f t="shared" si="3"/>
        <v>0.3681120119</v>
      </c>
    </row>
    <row r="3188">
      <c r="A3188" s="4">
        <v>3188.0</v>
      </c>
      <c r="B3188" s="3" t="s">
        <v>48845</v>
      </c>
      <c r="C3188" s="6" t="s">
        <v>74</v>
      </c>
      <c r="D3188" s="8" t="s">
        <v>48846</v>
      </c>
      <c r="E3188" s="3" t="str">
        <f t="shared" si="1"/>
        <v>slot&lt;br&gt;&lt;div class="audio"&gt;[sound:slot.mp3]&lt;/div&gt;</v>
      </c>
      <c r="F3188" s="3" t="str">
        <f t="shared" si="2"/>
        <v>(n): khe</v>
      </c>
      <c r="G3188" s="8" t="s">
        <v>48847</v>
      </c>
      <c r="H3188" s="8" t="s">
        <v>48848</v>
      </c>
      <c r="I3188" s="7">
        <f t="shared" si="3"/>
        <v>0.9566248182</v>
      </c>
    </row>
    <row r="3189">
      <c r="A3189" s="4">
        <v>3189.0</v>
      </c>
      <c r="B3189" s="3" t="s">
        <v>48849</v>
      </c>
      <c r="C3189" s="6" t="s">
        <v>24</v>
      </c>
      <c r="D3189" s="6" t="s">
        <v>48850</v>
      </c>
      <c r="E3189" s="3" t="str">
        <f t="shared" si="1"/>
        <v>kiss&lt;br&gt;&lt;div class="audio"&gt;[sound:kiss.mp3]&lt;/div&gt;</v>
      </c>
      <c r="F3189" s="3" t="str">
        <f t="shared" si="2"/>
        <v>(v): hôn</v>
      </c>
      <c r="G3189" s="6" t="s">
        <v>48851</v>
      </c>
      <c r="H3189" s="6" t="s">
        <v>48852</v>
      </c>
      <c r="I3189" s="7">
        <f t="shared" si="3"/>
        <v>0.03911472902</v>
      </c>
    </row>
    <row r="3190">
      <c r="A3190" s="4">
        <v>3190.0</v>
      </c>
      <c r="B3190" s="3" t="s">
        <v>48853</v>
      </c>
      <c r="C3190" s="6" t="s">
        <v>74</v>
      </c>
      <c r="D3190" s="6" t="s">
        <v>37533</v>
      </c>
      <c r="E3190" s="3" t="str">
        <f t="shared" si="1"/>
        <v>candy&lt;br&gt;&lt;div class="audio"&gt;[sound:candy.mp3]&lt;/div&gt;</v>
      </c>
      <c r="F3190" s="3" t="str">
        <f t="shared" si="2"/>
        <v>(n): kẹo</v>
      </c>
      <c r="G3190" s="6" t="s">
        <v>48854</v>
      </c>
      <c r="H3190" s="6" t="s">
        <v>48855</v>
      </c>
      <c r="I3190" s="7">
        <f t="shared" si="3"/>
        <v>0.3108355461</v>
      </c>
    </row>
    <row r="3191">
      <c r="A3191" s="4">
        <v>3191.0</v>
      </c>
      <c r="B3191" s="3" t="s">
        <v>48856</v>
      </c>
      <c r="C3191" s="6" t="s">
        <v>11</v>
      </c>
      <c r="D3191" s="8" t="s">
        <v>14351</v>
      </c>
      <c r="E3191" s="3" t="str">
        <f t="shared" si="1"/>
        <v>steep&lt;br&gt;&lt;div class="audio"&gt;[sound:steep.mp3]&lt;/div&gt;</v>
      </c>
      <c r="F3191" s="3" t="str">
        <f t="shared" si="2"/>
        <v>(adj): dốc</v>
      </c>
      <c r="G3191" s="8" t="s">
        <v>48857</v>
      </c>
      <c r="H3191" s="8" t="s">
        <v>48858</v>
      </c>
      <c r="I3191" s="7">
        <f t="shared" si="3"/>
        <v>0.8724080042</v>
      </c>
    </row>
    <row r="3192">
      <c r="A3192" s="4">
        <v>3192.0</v>
      </c>
      <c r="B3192" s="3" t="s">
        <v>48859</v>
      </c>
      <c r="C3192" s="6" t="s">
        <v>74</v>
      </c>
      <c r="D3192" s="8" t="s">
        <v>14351</v>
      </c>
      <c r="E3192" s="3" t="str">
        <f t="shared" si="1"/>
        <v>slope&lt;br&gt;&lt;div class="audio"&gt;[sound:slope.mp3]&lt;/div&gt;</v>
      </c>
      <c r="F3192" s="3" t="str">
        <f t="shared" si="2"/>
        <v>(n): dốc</v>
      </c>
      <c r="G3192" s="8" t="s">
        <v>48860</v>
      </c>
      <c r="H3192" s="8" t="s">
        <v>48861</v>
      </c>
      <c r="I3192" s="7">
        <f t="shared" si="3"/>
        <v>0.2652264004</v>
      </c>
    </row>
    <row r="3193">
      <c r="A3193" s="4">
        <v>3193.0</v>
      </c>
      <c r="B3193" s="3" t="s">
        <v>48862</v>
      </c>
      <c r="C3193" s="6" t="s">
        <v>74</v>
      </c>
      <c r="D3193" s="8" t="s">
        <v>48863</v>
      </c>
      <c r="E3193" s="3" t="str">
        <f t="shared" si="1"/>
        <v>spectrum&lt;br&gt;&lt;div class="audio"&gt;[sound:spectrum.mp3]&lt;/div&gt;</v>
      </c>
      <c r="F3193" s="3" t="str">
        <f t="shared" si="2"/>
        <v>(n): phổ</v>
      </c>
      <c r="G3193" s="8" t="s">
        <v>48864</v>
      </c>
      <c r="H3193" s="8" t="s">
        <v>48865</v>
      </c>
      <c r="I3193" s="7">
        <f t="shared" si="3"/>
        <v>0.7924394409</v>
      </c>
    </row>
    <row r="3194">
      <c r="A3194" s="4">
        <v>3194.0</v>
      </c>
      <c r="B3194" s="3" t="s">
        <v>48866</v>
      </c>
      <c r="C3194" s="6" t="s">
        <v>74</v>
      </c>
      <c r="D3194" s="8" t="s">
        <v>3806</v>
      </c>
      <c r="E3194" s="3" t="str">
        <f t="shared" si="1"/>
        <v>squad&lt;br&gt;&lt;div class="audio"&gt;[sound:squad.mp3]&lt;/div&gt;</v>
      </c>
      <c r="F3194" s="3" t="str">
        <f t="shared" si="2"/>
        <v>(n): đội</v>
      </c>
      <c r="G3194" s="8" t="s">
        <v>48867</v>
      </c>
      <c r="H3194" s="8" t="s">
        <v>48868</v>
      </c>
      <c r="I3194" s="7">
        <f t="shared" si="3"/>
        <v>0.2232547108</v>
      </c>
    </row>
    <row r="3195">
      <c r="A3195" s="4">
        <v>3195.0</v>
      </c>
      <c r="B3195" s="3" t="s">
        <v>48869</v>
      </c>
      <c r="C3195" s="6" t="s">
        <v>11</v>
      </c>
      <c r="D3195" s="6" t="s">
        <v>12105</v>
      </c>
      <c r="E3195" s="3" t="str">
        <f t="shared" si="1"/>
        <v>narrow&lt;br&gt;&lt;div class="audio"&gt;[sound:narrow.mp3]&lt;/div&gt;</v>
      </c>
      <c r="F3195" s="3" t="str">
        <f t="shared" si="2"/>
        <v>(adj): hẹp</v>
      </c>
      <c r="G3195" s="6" t="s">
        <v>48870</v>
      </c>
      <c r="H3195" s="6" t="s">
        <v>48871</v>
      </c>
      <c r="I3195" s="7">
        <f t="shared" si="3"/>
        <v>0.2065767229</v>
      </c>
    </row>
    <row r="3196">
      <c r="A3196" s="4">
        <v>3196.0</v>
      </c>
      <c r="B3196" s="3" t="s">
        <v>48872</v>
      </c>
      <c r="C3196" s="6" t="s">
        <v>74</v>
      </c>
      <c r="D3196" s="6" t="s">
        <v>11776</v>
      </c>
      <c r="E3196" s="3" t="str">
        <f t="shared" si="1"/>
        <v>fabric&lt;br&gt;&lt;div class="audio"&gt;[sound:fabric.mp3]&lt;/div&gt;</v>
      </c>
      <c r="F3196" s="3" t="str">
        <f t="shared" si="2"/>
        <v>(n): vải</v>
      </c>
      <c r="G3196" s="6" t="s">
        <v>48873</v>
      </c>
      <c r="H3196" s="6" t="s">
        <v>48874</v>
      </c>
      <c r="I3196" s="7">
        <f t="shared" si="3"/>
        <v>0.7528967246</v>
      </c>
    </row>
    <row r="3197">
      <c r="A3197" s="4">
        <v>3197.0</v>
      </c>
      <c r="B3197" s="3" t="s">
        <v>48875</v>
      </c>
      <c r="C3197" s="6" t="s">
        <v>74</v>
      </c>
      <c r="D3197" s="6" t="s">
        <v>6571</v>
      </c>
      <c r="E3197" s="3" t="str">
        <f t="shared" si="1"/>
        <v>ministry&lt;br&gt;&lt;div class="audio"&gt;[sound:ministry.mp3]&lt;/div&gt;</v>
      </c>
      <c r="F3197" s="3" t="str">
        <f t="shared" si="2"/>
        <v>(n): bộ</v>
      </c>
      <c r="G3197" s="6" t="s">
        <v>48876</v>
      </c>
      <c r="H3197" s="6" t="s">
        <v>48877</v>
      </c>
      <c r="I3197" s="7">
        <f t="shared" si="3"/>
        <v>0.3145645881</v>
      </c>
    </row>
    <row r="3198">
      <c r="A3198" s="4">
        <v>3198.0</v>
      </c>
      <c r="B3198" s="3" t="s">
        <v>48878</v>
      </c>
      <c r="C3198" s="6" t="s">
        <v>74</v>
      </c>
      <c r="D3198" s="6" t="s">
        <v>19522</v>
      </c>
      <c r="E3198" s="3" t="str">
        <f t="shared" si="1"/>
        <v>custom&lt;br&gt;&lt;div class="audio"&gt;[sound:custom.mp3]&lt;/div&gt;</v>
      </c>
      <c r="F3198" s="3" t="str">
        <f t="shared" si="2"/>
        <v>(n): phong tục</v>
      </c>
      <c r="G3198" s="6" t="s">
        <v>48879</v>
      </c>
      <c r="H3198" s="6" t="s">
        <v>48880</v>
      </c>
      <c r="I3198" s="7">
        <f t="shared" si="3"/>
        <v>0.4905292597</v>
      </c>
    </row>
    <row r="3199">
      <c r="A3199" s="4">
        <v>3199.0</v>
      </c>
      <c r="B3199" s="3" t="s">
        <v>48881</v>
      </c>
      <c r="C3199" s="6" t="s">
        <v>74</v>
      </c>
      <c r="D3199" s="6" t="s">
        <v>48882</v>
      </c>
      <c r="E3199" s="3" t="str">
        <f t="shared" si="1"/>
        <v>dude&lt;br&gt;&lt;div class="audio"&gt;[sound:dude.mp3]&lt;/div&gt;</v>
      </c>
      <c r="F3199" s="3" t="str">
        <f t="shared" si="2"/>
        <v>(n): anh bạn</v>
      </c>
      <c r="G3199" s="6" t="s">
        <v>48883</v>
      </c>
      <c r="H3199" s="6" t="s">
        <v>48884</v>
      </c>
      <c r="I3199" s="7">
        <f t="shared" si="3"/>
        <v>0.07635118306</v>
      </c>
    </row>
    <row r="3200">
      <c r="A3200" s="4">
        <v>3200.0</v>
      </c>
      <c r="B3200" s="3" t="s">
        <v>48885</v>
      </c>
      <c r="C3200" s="6" t="s">
        <v>74</v>
      </c>
      <c r="D3200" s="6" t="s">
        <v>48886</v>
      </c>
      <c r="E3200" s="3" t="str">
        <f t="shared" si="1"/>
        <v>taxpayer&lt;br&gt;&lt;div class="audio"&gt;[sound:taxpayer.mp3]&lt;/div&gt;</v>
      </c>
      <c r="F3200" s="3" t="str">
        <f t="shared" si="2"/>
        <v>(n): người đóng thuế</v>
      </c>
      <c r="G3200" s="6" t="s">
        <v>48887</v>
      </c>
      <c r="H3200" s="6" t="s">
        <v>48888</v>
      </c>
      <c r="I3200" s="7">
        <f t="shared" si="3"/>
        <v>0.318269626</v>
      </c>
    </row>
    <row r="3201">
      <c r="A3201" s="4">
        <v>3201.0</v>
      </c>
      <c r="B3201" s="3" t="s">
        <v>48889</v>
      </c>
      <c r="C3201" s="6" t="s">
        <v>11</v>
      </c>
      <c r="D3201" s="6" t="s">
        <v>48890</v>
      </c>
      <c r="E3201" s="3" t="str">
        <f t="shared" si="1"/>
        <v>disappointed&lt;br&gt;&lt;div class="audio"&gt;[sound:disappointed.mp3]&lt;/div&gt;</v>
      </c>
      <c r="F3201" s="3" t="str">
        <f t="shared" si="2"/>
        <v>(adj): bị thất vọng</v>
      </c>
      <c r="G3201" s="6" t="s">
        <v>48891</v>
      </c>
      <c r="H3201" s="6" t="s">
        <v>48892</v>
      </c>
      <c r="I3201" s="7">
        <f t="shared" si="3"/>
        <v>0.4144437384</v>
      </c>
    </row>
    <row r="3202">
      <c r="A3202" s="4">
        <v>3202.0</v>
      </c>
      <c r="B3202" s="3" t="s">
        <v>48893</v>
      </c>
      <c r="C3202" s="6" t="s">
        <v>74</v>
      </c>
      <c r="D3202" s="6" t="s">
        <v>16894</v>
      </c>
      <c r="E3202" s="3" t="str">
        <f t="shared" si="1"/>
        <v>edition&lt;br&gt;&lt;div class="audio"&gt;[sound:edition.mp3]&lt;/div&gt;</v>
      </c>
      <c r="F3202" s="3" t="str">
        <f t="shared" si="2"/>
        <v>(n): phiên bản</v>
      </c>
      <c r="G3202" s="6" t="s">
        <v>48894</v>
      </c>
      <c r="H3202" s="6" t="s">
        <v>48895</v>
      </c>
      <c r="I3202" s="7">
        <f t="shared" si="3"/>
        <v>0.780415639</v>
      </c>
    </row>
    <row r="3203">
      <c r="A3203" s="4">
        <v>3203.0</v>
      </c>
      <c r="B3203" s="3" t="s">
        <v>48896</v>
      </c>
      <c r="C3203" s="6" t="s">
        <v>74</v>
      </c>
      <c r="D3203" s="6" t="s">
        <v>48897</v>
      </c>
      <c r="E3203" s="3" t="str">
        <f t="shared" si="1"/>
        <v>counter&lt;br&gt;&lt;div class="audio"&gt;[sound:counter.mp3]&lt;/div&gt;</v>
      </c>
      <c r="F3203" s="3" t="str">
        <f t="shared" si="2"/>
        <v>(n): quầy</v>
      </c>
      <c r="G3203" s="6" t="s">
        <v>48898</v>
      </c>
      <c r="H3203" s="6" t="s">
        <v>48899</v>
      </c>
      <c r="I3203" s="7">
        <f t="shared" si="3"/>
        <v>0.5872932209</v>
      </c>
    </row>
    <row r="3204">
      <c r="A3204" s="4">
        <v>3204.0</v>
      </c>
      <c r="B3204" s="3" t="s">
        <v>48900</v>
      </c>
      <c r="C3204" s="6" t="s">
        <v>74</v>
      </c>
      <c r="D3204" s="6" t="s">
        <v>48901</v>
      </c>
      <c r="E3204" s="3" t="str">
        <f t="shared" si="1"/>
        <v>golf&lt;br&gt;&lt;div class="audio"&gt;[sound:golf.mp3]&lt;/div&gt;</v>
      </c>
      <c r="F3204" s="3" t="str">
        <f t="shared" si="2"/>
        <v>(n): gôn</v>
      </c>
      <c r="G3204" s="6" t="s">
        <v>48902</v>
      </c>
      <c r="H3204" s="6" t="s">
        <v>48903</v>
      </c>
      <c r="I3204" s="7">
        <f t="shared" si="3"/>
        <v>0.011043717</v>
      </c>
    </row>
    <row r="3205">
      <c r="A3205" s="4">
        <v>3205.0</v>
      </c>
      <c r="B3205" s="3" t="s">
        <v>48904</v>
      </c>
      <c r="C3205" s="6" t="s">
        <v>74</v>
      </c>
      <c r="D3205" s="6" t="s">
        <v>48905</v>
      </c>
      <c r="E3205" s="3" t="str">
        <f t="shared" si="1"/>
        <v>divorce&lt;br&gt;&lt;div class="audio"&gt;[sound:divorce.mp3]&lt;/div&gt;</v>
      </c>
      <c r="F3205" s="3" t="str">
        <f t="shared" si="2"/>
        <v>(n): sự ly hôn</v>
      </c>
      <c r="G3205" s="6" t="s">
        <v>48906</v>
      </c>
      <c r="H3205" s="6" t="s">
        <v>48907</v>
      </c>
      <c r="I3205" s="7">
        <f t="shared" si="3"/>
        <v>0.2676696144</v>
      </c>
    </row>
    <row r="3206">
      <c r="A3206" s="4">
        <v>3206.0</v>
      </c>
      <c r="B3206" s="3" t="s">
        <v>48908</v>
      </c>
      <c r="C3206" s="6" t="s">
        <v>24</v>
      </c>
      <c r="D3206" s="6" t="s">
        <v>7398</v>
      </c>
      <c r="E3206" s="3" t="str">
        <f t="shared" si="1"/>
        <v>decline&lt;br&gt;&lt;div class="audio"&gt;[sound:decline.mp3]&lt;/div&gt;</v>
      </c>
      <c r="F3206" s="3" t="str">
        <f t="shared" si="2"/>
        <v>(v): từ chối</v>
      </c>
      <c r="G3206" s="6" t="s">
        <v>48909</v>
      </c>
      <c r="H3206" s="6" t="s">
        <v>48910</v>
      </c>
      <c r="I3206" s="7">
        <f t="shared" si="3"/>
        <v>0.6802546798</v>
      </c>
    </row>
    <row r="3207">
      <c r="A3207" s="4">
        <v>3207.0</v>
      </c>
      <c r="B3207" s="3" t="s">
        <v>48911</v>
      </c>
      <c r="C3207" s="6" t="s">
        <v>74</v>
      </c>
      <c r="D3207" s="6" t="s">
        <v>48912</v>
      </c>
      <c r="E3207" s="3" t="str">
        <f t="shared" si="1"/>
        <v>cousin&lt;br&gt;&lt;div class="audio"&gt;[sound:cousin.mp3]&lt;/div&gt;</v>
      </c>
      <c r="F3207" s="3" t="str">
        <f t="shared" si="2"/>
        <v>(n): anh chị em họ</v>
      </c>
      <c r="G3207" s="6" t="s">
        <v>48913</v>
      </c>
      <c r="H3207" s="6" t="s">
        <v>48914</v>
      </c>
      <c r="I3207" s="7">
        <f t="shared" si="3"/>
        <v>0.2853928677</v>
      </c>
    </row>
    <row r="3208">
      <c r="A3208" s="4">
        <v>3208.0</v>
      </c>
      <c r="B3208" s="3" t="s">
        <v>48915</v>
      </c>
      <c r="C3208" s="6" t="s">
        <v>11</v>
      </c>
      <c r="D3208" s="6" t="s">
        <v>48916</v>
      </c>
      <c r="E3208" s="3" t="str">
        <f t="shared" si="1"/>
        <v>educated&lt;br&gt;&lt;div class="audio"&gt;[sound:educated.mp3]&lt;/div&gt;</v>
      </c>
      <c r="F3208" s="3" t="str">
        <f t="shared" si="2"/>
        <v>(adj): có học thức</v>
      </c>
      <c r="G3208" s="6" t="s">
        <v>48917</v>
      </c>
      <c r="H3208" s="6" t="s">
        <v>48918</v>
      </c>
      <c r="I3208" s="7">
        <f t="shared" si="3"/>
        <v>0.1671368323</v>
      </c>
    </row>
    <row r="3209">
      <c r="A3209" s="4">
        <v>3209.0</v>
      </c>
      <c r="B3209" s="3" t="s">
        <v>48919</v>
      </c>
      <c r="C3209" s="6" t="s">
        <v>24</v>
      </c>
      <c r="D3209" s="6" t="s">
        <v>11766</v>
      </c>
      <c r="E3209" s="3" t="str">
        <f t="shared" si="1"/>
        <v>decrease&lt;br&gt;&lt;div class="audio"&gt;[sound:decrease.mp3]&lt;/div&gt;</v>
      </c>
      <c r="F3209" s="3" t="str">
        <f t="shared" si="2"/>
        <v>(v): giảm</v>
      </c>
      <c r="G3209" s="6" t="s">
        <v>48920</v>
      </c>
      <c r="H3209" s="6" t="s">
        <v>48921</v>
      </c>
      <c r="I3209" s="7">
        <f t="shared" si="3"/>
        <v>0.04107559816</v>
      </c>
    </row>
    <row r="3210">
      <c r="A3210" s="4">
        <v>3210.0</v>
      </c>
      <c r="B3210" s="3" t="s">
        <v>48922</v>
      </c>
      <c r="C3210" s="6" t="s">
        <v>74</v>
      </c>
      <c r="D3210" s="6" t="s">
        <v>24999</v>
      </c>
      <c r="E3210" s="3" t="str">
        <f t="shared" si="1"/>
        <v>tent&lt;br&gt;&lt;div class="audio"&gt;[sound:tent.mp3]&lt;/div&gt;</v>
      </c>
      <c r="F3210" s="3" t="str">
        <f t="shared" si="2"/>
        <v>(n): lều</v>
      </c>
      <c r="G3210" s="6" t="s">
        <v>48923</v>
      </c>
      <c r="H3210" s="6" t="s">
        <v>48924</v>
      </c>
      <c r="I3210" s="7">
        <f t="shared" si="3"/>
        <v>0.1975041559</v>
      </c>
    </row>
    <row r="3211">
      <c r="A3211" s="4">
        <v>3211.0</v>
      </c>
      <c r="B3211" s="3" t="s">
        <v>48925</v>
      </c>
      <c r="C3211" s="6" t="s">
        <v>74</v>
      </c>
      <c r="D3211" s="6" t="s">
        <v>48926</v>
      </c>
      <c r="E3211" s="3" t="str">
        <f t="shared" si="1"/>
        <v>database&lt;br&gt;&lt;div class="audio"&gt;[sound:database.mp3]&lt;/div&gt;</v>
      </c>
      <c r="F3211" s="3" t="str">
        <f t="shared" si="2"/>
        <v>(n): cơ sở dữ liệu</v>
      </c>
      <c r="G3211" s="6" t="s">
        <v>48927</v>
      </c>
      <c r="H3211" s="6" t="s">
        <v>48928</v>
      </c>
      <c r="I3211" s="7">
        <f t="shared" si="3"/>
        <v>0.5137814339</v>
      </c>
    </row>
    <row r="3212">
      <c r="A3212" s="4">
        <v>3212.0</v>
      </c>
      <c r="B3212" s="3" t="s">
        <v>48929</v>
      </c>
      <c r="C3212" s="6" t="s">
        <v>74</v>
      </c>
      <c r="D3212" s="6" t="s">
        <v>3028</v>
      </c>
      <c r="E3212" s="3" t="str">
        <f t="shared" si="1"/>
        <v>dish&lt;br&gt;&lt;div class="audio"&gt;[sound:dish.mp3]&lt;/div&gt;</v>
      </c>
      <c r="F3212" s="3" t="str">
        <f t="shared" si="2"/>
        <v>(n): món ăn</v>
      </c>
      <c r="G3212" s="6" t="s">
        <v>48930</v>
      </c>
      <c r="H3212" s="6" t="s">
        <v>48931</v>
      </c>
      <c r="I3212" s="7">
        <f t="shared" si="3"/>
        <v>0.9862435907</v>
      </c>
    </row>
    <row r="3213">
      <c r="A3213" s="4">
        <v>3213.0</v>
      </c>
      <c r="B3213" s="3" t="s">
        <v>48932</v>
      </c>
      <c r="C3213" s="6" t="s">
        <v>74</v>
      </c>
      <c r="D3213" s="6" t="s">
        <v>41652</v>
      </c>
      <c r="E3213" s="3" t="str">
        <f t="shared" si="1"/>
        <v>defeat&lt;br&gt;&lt;div class="audio"&gt;[sound:defeat.mp3]&lt;/div&gt;</v>
      </c>
      <c r="F3213" s="3" t="str">
        <f t="shared" si="2"/>
        <v>(n): sự thất bại</v>
      </c>
      <c r="G3213" s="6" t="s">
        <v>48933</v>
      </c>
      <c r="H3213" s="6" t="s">
        <v>48934</v>
      </c>
      <c r="I3213" s="7">
        <f t="shared" si="3"/>
        <v>0.5209050085</v>
      </c>
    </row>
    <row r="3214">
      <c r="A3214" s="4">
        <v>3214.0</v>
      </c>
      <c r="B3214" s="3" t="s">
        <v>48935</v>
      </c>
      <c r="C3214" s="6" t="s">
        <v>74</v>
      </c>
      <c r="D3214" s="6" t="s">
        <v>15653</v>
      </c>
      <c r="E3214" s="3" t="str">
        <f t="shared" si="1"/>
        <v>synthesis&lt;br&gt;&lt;div class="audio"&gt;[sound:synthesis.mp3]&lt;/div&gt;</v>
      </c>
      <c r="F3214" s="3" t="str">
        <f t="shared" si="2"/>
        <v>(n): sự tổng hợp</v>
      </c>
      <c r="G3214" s="6" t="s">
        <v>48936</v>
      </c>
      <c r="H3214" s="6" t="s">
        <v>48937</v>
      </c>
      <c r="I3214" s="7">
        <f t="shared" si="3"/>
        <v>0.7681801012</v>
      </c>
    </row>
    <row r="3215">
      <c r="A3215" s="4">
        <v>3215.0</v>
      </c>
      <c r="B3215" s="3" t="s">
        <v>48938</v>
      </c>
      <c r="C3215" s="6" t="s">
        <v>85</v>
      </c>
      <c r="D3215" s="6" t="s">
        <v>48939</v>
      </c>
      <c r="E3215" s="3" t="str">
        <f t="shared" si="1"/>
        <v>terribly&lt;br&gt;&lt;div class="audio"&gt;[sound:terribly.mp3]&lt;/div&gt;</v>
      </c>
      <c r="F3215" s="3" t="str">
        <f t="shared" si="2"/>
        <v>(adv): rất nhiều</v>
      </c>
      <c r="G3215" s="6" t="s">
        <v>48940</v>
      </c>
      <c r="H3215" s="6" t="s">
        <v>48941</v>
      </c>
      <c r="I3215" s="7">
        <f t="shared" si="3"/>
        <v>0.3464526293</v>
      </c>
    </row>
    <row r="3216">
      <c r="A3216" s="4">
        <v>3216.0</v>
      </c>
      <c r="B3216" s="3" t="s">
        <v>48942</v>
      </c>
      <c r="C3216" s="6" t="s">
        <v>74</v>
      </c>
      <c r="D3216" s="6" t="s">
        <v>48943</v>
      </c>
      <c r="E3216" s="3" t="str">
        <f t="shared" si="1"/>
        <v>toe&lt;br&gt;&lt;div class="audio"&gt;[sound:toe.mp3]&lt;/div&gt;</v>
      </c>
      <c r="F3216" s="3" t="str">
        <f t="shared" si="2"/>
        <v>(n): ngón chân</v>
      </c>
      <c r="G3216" s="6" t="s">
        <v>48944</v>
      </c>
      <c r="H3216" s="6" t="s">
        <v>48945</v>
      </c>
      <c r="I3216" s="7">
        <f t="shared" si="3"/>
        <v>0.8363721622</v>
      </c>
    </row>
    <row r="3217">
      <c r="A3217" s="4">
        <v>3217.0</v>
      </c>
      <c r="B3217" s="3" t="s">
        <v>48946</v>
      </c>
      <c r="C3217" s="6" t="s">
        <v>74</v>
      </c>
      <c r="D3217" s="6" t="s">
        <v>25550</v>
      </c>
      <c r="E3217" s="3" t="str">
        <f t="shared" si="1"/>
        <v>tissue&lt;br&gt;&lt;div class="audio"&gt;[sound:tissue.mp3]&lt;/div&gt;</v>
      </c>
      <c r="F3217" s="3" t="str">
        <f t="shared" si="2"/>
        <v>(n): khăn giấy</v>
      </c>
      <c r="G3217" s="6" t="s">
        <v>48947</v>
      </c>
      <c r="H3217" s="6" t="s">
        <v>48948</v>
      </c>
      <c r="I3217" s="7">
        <f t="shared" si="3"/>
        <v>0.1406966463</v>
      </c>
    </row>
    <row r="3218">
      <c r="A3218" s="4">
        <v>3218.0</v>
      </c>
      <c r="B3218" s="3" t="s">
        <v>48949</v>
      </c>
      <c r="C3218" s="6" t="s">
        <v>74</v>
      </c>
      <c r="D3218" s="6" t="s">
        <v>6856</v>
      </c>
      <c r="E3218" s="3" t="str">
        <f t="shared" si="1"/>
        <v>efficiency&lt;br&gt;&lt;div class="audio"&gt;[sound:efficiency.mp3]&lt;/div&gt;</v>
      </c>
      <c r="F3218" s="3" t="str">
        <f t="shared" si="2"/>
        <v>(n): hiệu suất</v>
      </c>
      <c r="G3218" s="6" t="s">
        <v>48950</v>
      </c>
      <c r="H3218" s="6" t="s">
        <v>48951</v>
      </c>
      <c r="I3218" s="7">
        <f t="shared" si="3"/>
        <v>0.5094435594</v>
      </c>
    </row>
    <row r="3219">
      <c r="A3219" s="4">
        <v>3219.0</v>
      </c>
      <c r="B3219" s="3" t="s">
        <v>48952</v>
      </c>
      <c r="C3219" s="6" t="s">
        <v>74</v>
      </c>
      <c r="D3219" s="6" t="s">
        <v>13324</v>
      </c>
      <c r="E3219" s="3" t="str">
        <f t="shared" si="1"/>
        <v>craft&lt;br&gt;&lt;div class="audio"&gt;[sound:craft.mp3]&lt;/div&gt;</v>
      </c>
      <c r="F3219" s="3" t="str">
        <f t="shared" si="2"/>
        <v>(n): thủ công</v>
      </c>
      <c r="G3219" s="6" t="s">
        <v>48953</v>
      </c>
      <c r="H3219" s="6" t="s">
        <v>48954</v>
      </c>
      <c r="I3219" s="7">
        <f t="shared" si="3"/>
        <v>0.1694571767</v>
      </c>
    </row>
    <row r="3220">
      <c r="A3220" s="4">
        <v>3220.0</v>
      </c>
      <c r="B3220" s="3" t="s">
        <v>48955</v>
      </c>
      <c r="C3220" s="6" t="s">
        <v>74</v>
      </c>
      <c r="D3220" s="6" t="s">
        <v>11802</v>
      </c>
      <c r="E3220" s="3" t="str">
        <f t="shared" si="1"/>
        <v>thesis&lt;br&gt;&lt;div class="audio"&gt;[sound:thesis.mp3]&lt;/div&gt;</v>
      </c>
      <c r="F3220" s="3" t="str">
        <f t="shared" si="2"/>
        <v>(n): luận văn</v>
      </c>
      <c r="G3220" s="6" t="s">
        <v>48956</v>
      </c>
      <c r="H3220" s="6" t="s">
        <v>48957</v>
      </c>
      <c r="I3220" s="7">
        <f t="shared" si="3"/>
        <v>0.07481941229</v>
      </c>
    </row>
    <row r="3221">
      <c r="A3221" s="4">
        <v>3221.0</v>
      </c>
      <c r="B3221" s="3" t="s">
        <v>48958</v>
      </c>
      <c r="C3221" s="6" t="s">
        <v>74</v>
      </c>
      <c r="D3221" s="6" t="s">
        <v>48959</v>
      </c>
      <c r="E3221" s="3" t="str">
        <f t="shared" si="1"/>
        <v>globe&lt;br&gt;&lt;div class="audio"&gt;[sound:globe.mp3]&lt;/div&gt;</v>
      </c>
      <c r="F3221" s="3" t="str">
        <f t="shared" si="2"/>
        <v>(n): địa cầu</v>
      </c>
      <c r="G3221" s="6" t="s">
        <v>48960</v>
      </c>
      <c r="H3221" s="6" t="s">
        <v>48961</v>
      </c>
      <c r="I3221" s="7">
        <f t="shared" si="3"/>
        <v>0.3177307767</v>
      </c>
    </row>
    <row r="3222">
      <c r="A3222" s="4">
        <v>3222.0</v>
      </c>
      <c r="B3222" s="3" t="s">
        <v>48962</v>
      </c>
      <c r="C3222" s="6" t="s">
        <v>74</v>
      </c>
      <c r="D3222" s="6" t="s">
        <v>9802</v>
      </c>
      <c r="E3222" s="3" t="str">
        <f t="shared" si="1"/>
        <v>cycle&lt;br&gt;&lt;div class="audio"&gt;[sound:cycle.mp3]&lt;/div&gt;</v>
      </c>
      <c r="F3222" s="3" t="str">
        <f t="shared" si="2"/>
        <v>(n): chu kỳ</v>
      </c>
      <c r="G3222" s="6" t="s">
        <v>48963</v>
      </c>
      <c r="H3222" s="6" t="s">
        <v>48964</v>
      </c>
      <c r="I3222" s="7">
        <f t="shared" si="3"/>
        <v>0.7855772203</v>
      </c>
    </row>
    <row r="3223">
      <c r="A3223" s="4">
        <v>3223.0</v>
      </c>
      <c r="B3223" s="3" t="s">
        <v>48965</v>
      </c>
      <c r="C3223" s="6" t="s">
        <v>74</v>
      </c>
      <c r="D3223" s="6" t="s">
        <v>10330</v>
      </c>
      <c r="E3223" s="3" t="str">
        <f t="shared" si="1"/>
        <v>disk&lt;br&gt;&lt;div class="audio"&gt;[sound:disk.mp3]&lt;/div&gt;</v>
      </c>
      <c r="F3223" s="3" t="str">
        <f t="shared" si="2"/>
        <v>(n): đĩa</v>
      </c>
      <c r="G3223" s="6" t="s">
        <v>48966</v>
      </c>
      <c r="H3223" s="6" t="s">
        <v>48967</v>
      </c>
      <c r="I3223" s="7">
        <f t="shared" si="3"/>
        <v>0.4458560191</v>
      </c>
    </row>
    <row r="3224">
      <c r="A3224" s="4">
        <v>3224.0</v>
      </c>
      <c r="B3224" s="3" t="s">
        <v>48968</v>
      </c>
      <c r="C3224" s="6" t="s">
        <v>74</v>
      </c>
      <c r="D3224" s="6" t="s">
        <v>10330</v>
      </c>
      <c r="E3224" s="3" t="str">
        <f t="shared" si="1"/>
        <v>disc&lt;br&gt;&lt;div class="audio"&gt;[sound:disc.mp3]&lt;/div&gt;</v>
      </c>
      <c r="F3224" s="3" t="str">
        <f t="shared" si="2"/>
        <v>(n): đĩa</v>
      </c>
      <c r="G3224" s="6" t="s">
        <v>48969</v>
      </c>
      <c r="H3224" s="6" t="s">
        <v>48970</v>
      </c>
      <c r="I3224" s="7">
        <f t="shared" si="3"/>
        <v>0.586176643</v>
      </c>
    </row>
    <row r="3225">
      <c r="A3225" s="4">
        <v>3225.0</v>
      </c>
      <c r="B3225" s="3" t="s">
        <v>48971</v>
      </c>
      <c r="C3225" s="6" t="s">
        <v>11</v>
      </c>
      <c r="D3225" s="6" t="s">
        <v>47810</v>
      </c>
      <c r="E3225" s="3" t="str">
        <f t="shared" si="1"/>
        <v>teenage&lt;br&gt;&lt;div class="audio"&gt;[sound:teenage.mp3]&lt;/div&gt;</v>
      </c>
      <c r="F3225" s="3" t="str">
        <f t="shared" si="2"/>
        <v>(adj): tuổi thiếu niên</v>
      </c>
      <c r="G3225" s="6" t="s">
        <v>48972</v>
      </c>
      <c r="H3225" s="6" t="s">
        <v>48973</v>
      </c>
      <c r="I3225" s="7">
        <f t="shared" si="3"/>
        <v>0.6758246797</v>
      </c>
    </row>
    <row r="3226">
      <c r="A3226" s="4">
        <v>3226.0</v>
      </c>
      <c r="B3226" s="3" t="s">
        <v>48974</v>
      </c>
      <c r="C3226" s="6" t="s">
        <v>74</v>
      </c>
      <c r="D3226" s="6" t="s">
        <v>48975</v>
      </c>
      <c r="E3226" s="3" t="str">
        <f t="shared" si="1"/>
        <v>demonstration&lt;br&gt;&lt;div class="audio"&gt;[sound:demonstration.mp3]&lt;/div&gt;</v>
      </c>
      <c r="F3226" s="3" t="str">
        <f t="shared" si="2"/>
        <v>(n): sự chứng minh</v>
      </c>
      <c r="G3226" s="6" t="s">
        <v>48976</v>
      </c>
      <c r="H3226" s="6" t="s">
        <v>48977</v>
      </c>
      <c r="I3226" s="7">
        <f t="shared" si="3"/>
        <v>0.8958537348</v>
      </c>
    </row>
    <row r="3227">
      <c r="A3227" s="4">
        <v>3227.0</v>
      </c>
      <c r="B3227" s="3" t="s">
        <v>48978</v>
      </c>
      <c r="C3227" s="6" t="s">
        <v>74</v>
      </c>
      <c r="D3227" s="6" t="s">
        <v>48979</v>
      </c>
      <c r="E3227" s="3" t="str">
        <f t="shared" si="1"/>
        <v>courage&lt;br&gt;&lt;div class="audio"&gt;[sound:courage.mp3]&lt;/div&gt;</v>
      </c>
      <c r="F3227" s="3" t="str">
        <f t="shared" si="2"/>
        <v>(n): lòng can đảm</v>
      </c>
      <c r="G3227" s="6" t="s">
        <v>48980</v>
      </c>
      <c r="H3227" s="6" t="s">
        <v>48981</v>
      </c>
      <c r="I3227" s="7">
        <f t="shared" si="3"/>
        <v>0.3227881586</v>
      </c>
    </row>
    <row r="3228">
      <c r="A3228" s="4">
        <v>3228.0</v>
      </c>
      <c r="B3228" s="3" t="s">
        <v>48982</v>
      </c>
      <c r="C3228" s="6" t="s">
        <v>74</v>
      </c>
      <c r="D3228" s="6" t="s">
        <v>42418</v>
      </c>
      <c r="E3228" s="3" t="str">
        <f t="shared" si="1"/>
        <v>diversity&lt;br&gt;&lt;div class="audio"&gt;[sound:diversity.mp3]&lt;/div&gt;</v>
      </c>
      <c r="F3228" s="3" t="str">
        <f t="shared" si="2"/>
        <v>(n): sự đa dạng</v>
      </c>
      <c r="G3228" s="6" t="s">
        <v>48983</v>
      </c>
      <c r="H3228" s="6" t="s">
        <v>48984</v>
      </c>
      <c r="I3228" s="7">
        <f t="shared" si="3"/>
        <v>0.5553407926</v>
      </c>
    </row>
    <row r="3229">
      <c r="A3229" s="4">
        <v>3229.0</v>
      </c>
      <c r="B3229" s="3" t="s">
        <v>48985</v>
      </c>
      <c r="C3229" s="6" t="s">
        <v>74</v>
      </c>
      <c r="D3229" s="6" t="s">
        <v>48986</v>
      </c>
      <c r="E3229" s="3" t="str">
        <f t="shared" si="1"/>
        <v>theft&lt;br&gt;&lt;div class="audio"&gt;[sound:theft.mp3]&lt;/div&gt;</v>
      </c>
      <c r="F3229" s="3" t="str">
        <f t="shared" si="2"/>
        <v>(n): vụ trộm</v>
      </c>
      <c r="G3229" s="6" t="s">
        <v>48987</v>
      </c>
      <c r="H3229" s="6" t="s">
        <v>48988</v>
      </c>
      <c r="I3229" s="7">
        <f t="shared" si="3"/>
        <v>0.5574627252</v>
      </c>
    </row>
    <row r="3230">
      <c r="A3230" s="4">
        <v>3230.0</v>
      </c>
      <c r="B3230" s="3" t="s">
        <v>48989</v>
      </c>
      <c r="C3230" s="6" t="s">
        <v>74</v>
      </c>
      <c r="D3230" s="6" t="s">
        <v>24386</v>
      </c>
      <c r="E3230" s="3" t="str">
        <f t="shared" si="1"/>
        <v>discipline&lt;br&gt;&lt;div class="audio"&gt;[sound:discipline.mp3]&lt;/div&gt;</v>
      </c>
      <c r="F3230" s="3" t="str">
        <f t="shared" si="2"/>
        <v>(n): kỷ luật</v>
      </c>
      <c r="G3230" s="6" t="s">
        <v>48990</v>
      </c>
      <c r="H3230" s="6" t="s">
        <v>48991</v>
      </c>
      <c r="I3230" s="7">
        <f t="shared" si="3"/>
        <v>0.8383064032</v>
      </c>
    </row>
    <row r="3231">
      <c r="A3231" s="4">
        <v>3231.0</v>
      </c>
      <c r="B3231" s="3" t="s">
        <v>48992</v>
      </c>
      <c r="C3231" s="6" t="s">
        <v>11</v>
      </c>
      <c r="D3231" s="6" t="s">
        <v>48993</v>
      </c>
      <c r="E3231" s="3" t="str">
        <f t="shared" si="1"/>
        <v>curious&lt;br&gt;&lt;div class="audio"&gt;[sound:curious.mp3]&lt;/div&gt;</v>
      </c>
      <c r="F3231" s="3" t="str">
        <f t="shared" si="2"/>
        <v>(adj): tò mò</v>
      </c>
      <c r="G3231" s="6" t="s">
        <v>48994</v>
      </c>
      <c r="H3231" s="6" t="s">
        <v>48995</v>
      </c>
      <c r="I3231" s="7">
        <f t="shared" si="3"/>
        <v>0.5173287935</v>
      </c>
    </row>
    <row r="3232">
      <c r="A3232" s="4">
        <v>3232.0</v>
      </c>
      <c r="B3232" s="3" t="s">
        <v>48996</v>
      </c>
      <c r="C3232" s="6" t="s">
        <v>74</v>
      </c>
      <c r="D3232" s="6" t="s">
        <v>33717</v>
      </c>
      <c r="E3232" s="3" t="str">
        <f t="shared" si="1"/>
        <v>dust&lt;br&gt;&lt;div class="audio"&gt;[sound:dust.mp3]&lt;/div&gt;</v>
      </c>
      <c r="F3232" s="3" t="str">
        <f t="shared" si="2"/>
        <v>(n): bụi</v>
      </c>
      <c r="G3232" s="6" t="s">
        <v>48997</v>
      </c>
      <c r="H3232" s="6" t="s">
        <v>48998</v>
      </c>
      <c r="I3232" s="7">
        <f t="shared" si="3"/>
        <v>0.21713849</v>
      </c>
    </row>
    <row r="3233">
      <c r="A3233" s="4">
        <v>3233.0</v>
      </c>
      <c r="B3233" s="3" t="s">
        <v>48999</v>
      </c>
      <c r="C3233" s="6" t="s">
        <v>74</v>
      </c>
      <c r="D3233" s="6" t="s">
        <v>49000</v>
      </c>
      <c r="E3233" s="3" t="str">
        <f t="shared" si="1"/>
        <v>nursing&lt;br&gt;&lt;div class="audio"&gt;[sound:nursing.mp3]&lt;/div&gt;</v>
      </c>
      <c r="F3233" s="3" t="str">
        <f t="shared" si="2"/>
        <v>(n): công việc điều dưỡng</v>
      </c>
      <c r="G3233" s="6" t="s">
        <v>49001</v>
      </c>
      <c r="H3233" s="6" t="s">
        <v>49002</v>
      </c>
      <c r="I3233" s="7">
        <f t="shared" si="3"/>
        <v>0.209690401</v>
      </c>
    </row>
    <row r="3234">
      <c r="A3234" s="4">
        <v>3234.0</v>
      </c>
      <c r="B3234" s="3" t="s">
        <v>49003</v>
      </c>
      <c r="C3234" s="6" t="s">
        <v>11</v>
      </c>
      <c r="D3234" s="6" t="s">
        <v>49004</v>
      </c>
      <c r="E3234" s="3" t="str">
        <f t="shared" si="1"/>
        <v>experimental&lt;br&gt;&lt;div class="audio"&gt;[sound:experimental.mp3]&lt;/div&gt;</v>
      </c>
      <c r="F3234" s="3" t="str">
        <f t="shared" si="2"/>
        <v>(adj): mang tính thí nghiệm</v>
      </c>
      <c r="G3234" s="6" t="s">
        <v>49005</v>
      </c>
      <c r="H3234" s="6" t="s">
        <v>49006</v>
      </c>
      <c r="I3234" s="7">
        <f t="shared" si="3"/>
        <v>0.655169313</v>
      </c>
    </row>
    <row r="3235">
      <c r="A3235" s="4">
        <v>3235.0</v>
      </c>
      <c r="B3235" s="3" t="s">
        <v>49007</v>
      </c>
      <c r="C3235" s="6" t="s">
        <v>85</v>
      </c>
      <c r="D3235" s="6" t="s">
        <v>49008</v>
      </c>
      <c r="E3235" s="3" t="str">
        <f t="shared" si="1"/>
        <v>remarkably&lt;br&gt;&lt;div class="audio"&gt;[sound:remarkably.mp3]&lt;/div&gt;</v>
      </c>
      <c r="F3235" s="3" t="str">
        <f t="shared" si="2"/>
        <v>(adv): một cách đáng chú ý</v>
      </c>
      <c r="G3235" s="6" t="s">
        <v>49009</v>
      </c>
      <c r="H3235" s="6" t="s">
        <v>49010</v>
      </c>
      <c r="I3235" s="7">
        <f t="shared" si="3"/>
        <v>0.352384348</v>
      </c>
    </row>
    <row r="3236">
      <c r="A3236" s="4">
        <v>3236.0</v>
      </c>
      <c r="B3236" s="3" t="s">
        <v>49011</v>
      </c>
      <c r="C3236" s="6" t="s">
        <v>74</v>
      </c>
      <c r="D3236" s="6" t="s">
        <v>49012</v>
      </c>
      <c r="E3236" s="3" t="str">
        <f t="shared" si="1"/>
        <v>glimpse&lt;br&gt;&lt;div class="audio"&gt;[sound:glimpse.mp3]&lt;/div&gt;</v>
      </c>
      <c r="F3236" s="3" t="str">
        <f t="shared" si="2"/>
        <v>(n): cái nhìn thoáng qua</v>
      </c>
      <c r="G3236" s="6" t="s">
        <v>49013</v>
      </c>
      <c r="H3236" s="6" t="s">
        <v>49014</v>
      </c>
      <c r="I3236" s="7">
        <f t="shared" si="3"/>
        <v>0.4540538337</v>
      </c>
    </row>
    <row r="3237">
      <c r="A3237" s="4">
        <v>3237.0</v>
      </c>
      <c r="B3237" s="3" t="s">
        <v>49015</v>
      </c>
      <c r="C3237" s="6" t="s">
        <v>85</v>
      </c>
      <c r="D3237" s="6" t="s">
        <v>49016</v>
      </c>
      <c r="E3237" s="3" t="str">
        <f t="shared" si="1"/>
        <v>desperately&lt;br&gt;&lt;div class="audio"&gt;[sound:desperately.mp3]&lt;/div&gt;</v>
      </c>
      <c r="F3237" s="3" t="str">
        <f t="shared" si="2"/>
        <v>(adv): một cách tuyệt vọng</v>
      </c>
      <c r="G3237" s="6" t="s">
        <v>49017</v>
      </c>
      <c r="H3237" s="6" t="s">
        <v>49018</v>
      </c>
      <c r="I3237" s="7">
        <f t="shared" si="3"/>
        <v>0.1658980233</v>
      </c>
    </row>
    <row r="3238">
      <c r="A3238" s="4">
        <v>3238.0</v>
      </c>
      <c r="B3238" s="3" t="s">
        <v>49019</v>
      </c>
      <c r="C3238" s="6" t="s">
        <v>11</v>
      </c>
      <c r="D3238" s="6" t="s">
        <v>49020</v>
      </c>
      <c r="E3238" s="3" t="str">
        <f t="shared" si="1"/>
        <v>cognitive&lt;br&gt;&lt;div class="audio"&gt;[sound:cognitive.mp3]&lt;/div&gt;</v>
      </c>
      <c r="F3238" s="3" t="str">
        <f t="shared" si="2"/>
        <v>(adj): thuộc về nhận thức</v>
      </c>
      <c r="G3238" s="6" t="s">
        <v>49021</v>
      </c>
      <c r="H3238" s="6" t="s">
        <v>49022</v>
      </c>
      <c r="I3238" s="7">
        <f t="shared" si="3"/>
        <v>0.8237632084</v>
      </c>
    </row>
    <row r="3239">
      <c r="A3239" s="4">
        <v>3239.0</v>
      </c>
      <c r="B3239" s="3" t="s">
        <v>49023</v>
      </c>
      <c r="C3239" s="6" t="s">
        <v>74</v>
      </c>
      <c r="D3239" s="6" t="s">
        <v>49024</v>
      </c>
      <c r="E3239" s="3" t="str">
        <f t="shared" si="1"/>
        <v>grocery&lt;br&gt;&lt;div class="audio"&gt;[sound:grocery.mp3]&lt;/div&gt;</v>
      </c>
      <c r="F3239" s="3" t="str">
        <f t="shared" si="2"/>
        <v>(n): cửa hàng thực phẩm</v>
      </c>
      <c r="G3239" s="6" t="s">
        <v>49025</v>
      </c>
      <c r="H3239" s="6" t="s">
        <v>49026</v>
      </c>
      <c r="I3239" s="7">
        <f t="shared" si="3"/>
        <v>0.9046909565</v>
      </c>
    </row>
    <row r="3240">
      <c r="A3240" s="4">
        <v>3240.0</v>
      </c>
      <c r="B3240" s="3" t="s">
        <v>49027</v>
      </c>
      <c r="C3240" s="6" t="s">
        <v>85</v>
      </c>
      <c r="D3240" s="6" t="s">
        <v>49028</v>
      </c>
      <c r="E3240" s="3" t="str">
        <f t="shared" si="1"/>
        <v>precisely&lt;br&gt;&lt;div class="audio"&gt;[sound:precisely.mp3]&lt;/div&gt;</v>
      </c>
      <c r="F3240" s="3" t="str">
        <f t="shared" si="2"/>
        <v>(adv): một cách chính xác</v>
      </c>
      <c r="G3240" s="6" t="s">
        <v>49029</v>
      </c>
      <c r="H3240" s="6" t="s">
        <v>40707</v>
      </c>
      <c r="I3240" s="7">
        <f t="shared" si="3"/>
        <v>0.1496828108</v>
      </c>
    </row>
    <row r="3241">
      <c r="A3241" s="4">
        <v>3241.0</v>
      </c>
      <c r="B3241" s="3" t="s">
        <v>49030</v>
      </c>
      <c r="C3241" s="6" t="s">
        <v>11</v>
      </c>
      <c r="D3241" s="6" t="s">
        <v>49031</v>
      </c>
      <c r="E3241" s="3" t="str">
        <f t="shared" si="1"/>
        <v>entertaining&lt;br&gt;&lt;div class="audio"&gt;[sound:entertaining.mp3]&lt;/div&gt;</v>
      </c>
      <c r="F3241" s="3" t="str">
        <f t="shared" si="2"/>
        <v>(adj): mang tính giải trí</v>
      </c>
      <c r="G3241" s="6" t="s">
        <v>49032</v>
      </c>
      <c r="H3241" s="6" t="s">
        <v>49033</v>
      </c>
      <c r="I3241" s="7">
        <f t="shared" si="3"/>
        <v>0.6395643752</v>
      </c>
    </row>
    <row r="3242">
      <c r="A3242" s="4">
        <v>3242.0</v>
      </c>
      <c r="B3242" s="3" t="s">
        <v>49034</v>
      </c>
      <c r="C3242" s="6" t="s">
        <v>85</v>
      </c>
      <c r="D3242" s="6" t="s">
        <v>49035</v>
      </c>
      <c r="E3242" s="3" t="str">
        <f t="shared" si="1"/>
        <v>respectively&lt;br&gt;&lt;div class="audio"&gt;[sound:respectively.mp3]&lt;/div&gt;</v>
      </c>
      <c r="F3242" s="3" t="str">
        <f t="shared" si="2"/>
        <v>(adv): một cách tương ứng</v>
      </c>
      <c r="G3242" s="6" t="s">
        <v>49036</v>
      </c>
      <c r="H3242" s="6" t="s">
        <v>49037</v>
      </c>
      <c r="I3242" s="7">
        <f t="shared" si="3"/>
        <v>0.5208600028</v>
      </c>
    </row>
    <row r="3243">
      <c r="A3243" s="4">
        <v>3243.0</v>
      </c>
      <c r="B3243" s="3" t="s">
        <v>49038</v>
      </c>
      <c r="C3243" s="6" t="s">
        <v>11</v>
      </c>
      <c r="D3243" s="6" t="s">
        <v>49039</v>
      </c>
      <c r="E3243" s="3" t="str">
        <f t="shared" si="1"/>
        <v>ideological&lt;br&gt;&lt;div class="audio"&gt;[sound:ideological.mp3]&lt;/div&gt;</v>
      </c>
      <c r="F3243" s="3" t="str">
        <f t="shared" si="2"/>
        <v>(adj): thuộc về tư tưởng</v>
      </c>
      <c r="G3243" s="6" t="s">
        <v>49040</v>
      </c>
      <c r="H3243" s="6" t="s">
        <v>49041</v>
      </c>
      <c r="I3243" s="7">
        <f t="shared" si="3"/>
        <v>0.9740534028</v>
      </c>
    </row>
    <row r="3244">
      <c r="A3244" s="4">
        <v>3244.0</v>
      </c>
      <c r="B3244" s="3" t="s">
        <v>49042</v>
      </c>
      <c r="C3244" s="6" t="s">
        <v>11</v>
      </c>
      <c r="D3244" s="6" t="s">
        <v>49043</v>
      </c>
      <c r="E3244" s="3" t="str">
        <f t="shared" si="1"/>
        <v>civic&lt;br&gt;&lt;div class="audio"&gt;[sound:civic.mp3]&lt;/div&gt;</v>
      </c>
      <c r="F3244" s="3" t="str">
        <f t="shared" si="2"/>
        <v>(adj): thuộc về công dân</v>
      </c>
      <c r="G3244" s="6" t="s">
        <v>49044</v>
      </c>
      <c r="H3244" s="6" t="s">
        <v>49045</v>
      </c>
      <c r="I3244" s="7">
        <f t="shared" si="3"/>
        <v>0.147920788</v>
      </c>
    </row>
    <row r="3245">
      <c r="A3245" s="4">
        <v>3245.0</v>
      </c>
      <c r="B3245" s="3" t="s">
        <v>49046</v>
      </c>
      <c r="C3245" s="6" t="s">
        <v>74</v>
      </c>
      <c r="D3245" s="6" t="s">
        <v>49047</v>
      </c>
      <c r="E3245" s="3" t="str">
        <f t="shared" si="1"/>
        <v>hierarchy&lt;br&gt;&lt;div class="audio"&gt;[sound:hierarchy.mp3]&lt;/div&gt;</v>
      </c>
      <c r="F3245" s="3" t="str">
        <f t="shared" si="2"/>
        <v>(n): hệ thống phân cấp</v>
      </c>
      <c r="G3245" s="6" t="s">
        <v>49048</v>
      </c>
      <c r="H3245" s="6" t="s">
        <v>49049</v>
      </c>
      <c r="I3245" s="7">
        <f t="shared" si="3"/>
        <v>0.1962263059</v>
      </c>
    </row>
    <row r="3246">
      <c r="A3246" s="4">
        <v>3246.0</v>
      </c>
      <c r="B3246" s="3" t="s">
        <v>49050</v>
      </c>
      <c r="C3246" s="6" t="s">
        <v>74</v>
      </c>
      <c r="D3246" s="6" t="s">
        <v>49051</v>
      </c>
      <c r="E3246" s="3" t="str">
        <f t="shared" si="1"/>
        <v>regulator&lt;br&gt;&lt;div class="audio"&gt;[sound:regulator.mp3]&lt;/div&gt;</v>
      </c>
      <c r="F3246" s="3" t="str">
        <f t="shared" si="2"/>
        <v>(n): cơ quan điều tiết</v>
      </c>
      <c r="G3246" s="6" t="s">
        <v>49052</v>
      </c>
      <c r="H3246" s="6" t="s">
        <v>49053</v>
      </c>
      <c r="I3246" s="7">
        <f t="shared" si="3"/>
        <v>0.359067675</v>
      </c>
    </row>
    <row r="3247">
      <c r="A3247" s="4">
        <v>3247.0</v>
      </c>
      <c r="B3247" s="3" t="s">
        <v>49054</v>
      </c>
      <c r="C3247" s="6" t="s">
        <v>11</v>
      </c>
      <c r="D3247" s="6" t="s">
        <v>49055</v>
      </c>
      <c r="E3247" s="3" t="str">
        <f t="shared" si="1"/>
        <v>regulatory&lt;br&gt;&lt;div class="audio"&gt;[sound:regulatory.mp3]&lt;/div&gt;</v>
      </c>
      <c r="F3247" s="3" t="str">
        <f t="shared" si="2"/>
        <v>(adj): có tính điều tiết</v>
      </c>
      <c r="G3247" s="6" t="s">
        <v>49056</v>
      </c>
      <c r="H3247" s="6" t="s">
        <v>49057</v>
      </c>
      <c r="I3247" s="7">
        <f t="shared" si="3"/>
        <v>0.986281664</v>
      </c>
    </row>
    <row r="3248">
      <c r="A3248" s="4">
        <v>3248.0</v>
      </c>
      <c r="B3248" s="3" t="s">
        <v>49058</v>
      </c>
      <c r="C3248" s="6" t="s">
        <v>74</v>
      </c>
      <c r="D3248" s="6" t="s">
        <v>49059</v>
      </c>
      <c r="E3248" s="3" t="str">
        <f t="shared" si="1"/>
        <v>lab&lt;br&gt;&lt;div class="audio"&gt;[sound:lab.mp3]&lt;/div&gt;</v>
      </c>
      <c r="F3248" s="3" t="str">
        <f t="shared" si="2"/>
        <v>(n): phòng thí nghiệm</v>
      </c>
      <c r="G3248" s="6" t="s">
        <v>49060</v>
      </c>
      <c r="H3248" s="6" t="s">
        <v>49061</v>
      </c>
      <c r="I3248" s="7">
        <f t="shared" si="3"/>
        <v>0.5165217517</v>
      </c>
    </row>
    <row r="3249">
      <c r="A3249" s="4">
        <v>3249.0</v>
      </c>
      <c r="B3249" s="3" t="s">
        <v>49062</v>
      </c>
      <c r="C3249" s="6" t="s">
        <v>11</v>
      </c>
      <c r="D3249" s="6" t="s">
        <v>49063</v>
      </c>
      <c r="E3249" s="3" t="str">
        <f t="shared" si="1"/>
        <v>informal&lt;br&gt;&lt;div class="audio"&gt;[sound:informal.mp3]&lt;/div&gt;</v>
      </c>
      <c r="F3249" s="3" t="str">
        <f t="shared" si="2"/>
        <v>(adj): không chính thức</v>
      </c>
      <c r="G3249" s="6" t="s">
        <v>49064</v>
      </c>
      <c r="H3249" s="6" t="s">
        <v>49065</v>
      </c>
      <c r="I3249" s="7">
        <f t="shared" si="3"/>
        <v>0.5763852946</v>
      </c>
    </row>
    <row r="3250">
      <c r="A3250" s="4">
        <v>3250.0</v>
      </c>
      <c r="B3250" s="3" t="s">
        <v>49066</v>
      </c>
      <c r="C3250" s="6" t="s">
        <v>74</v>
      </c>
      <c r="D3250" s="6" t="s">
        <v>49067</v>
      </c>
      <c r="E3250" s="3" t="str">
        <f t="shared" si="1"/>
        <v>sailing&lt;br&gt;&lt;div class="audio"&gt;[sound:sailing.mp3]&lt;/div&gt;</v>
      </c>
      <c r="F3250" s="3" t="str">
        <f t="shared" si="2"/>
        <v>(n): việc chèo thuyền</v>
      </c>
      <c r="G3250" s="6" t="s">
        <v>49068</v>
      </c>
      <c r="H3250" s="6" t="s">
        <v>49069</v>
      </c>
      <c r="I3250" s="7">
        <f t="shared" si="3"/>
        <v>0.3705341611</v>
      </c>
    </row>
    <row r="3251">
      <c r="A3251" s="4">
        <v>3251.0</v>
      </c>
      <c r="B3251" s="3" t="s">
        <v>49070</v>
      </c>
      <c r="C3251" s="6" t="s">
        <v>74</v>
      </c>
      <c r="D3251" s="8" t="s">
        <v>49071</v>
      </c>
      <c r="E3251" s="3" t="str">
        <f t="shared" si="1"/>
        <v>skiing&lt;br&gt;&lt;div class="audio"&gt;[sound:skiing.mp3]&lt;/div&gt;</v>
      </c>
      <c r="F3251" s="3" t="str">
        <f t="shared" si="2"/>
        <v>(n): việc trượt tuyết</v>
      </c>
      <c r="G3251" s="8" t="s">
        <v>49072</v>
      </c>
      <c r="H3251" s="8" t="s">
        <v>49073</v>
      </c>
      <c r="I3251" s="7">
        <f t="shared" si="3"/>
        <v>0.001852883337</v>
      </c>
    </row>
    <row r="3252">
      <c r="A3252" s="4">
        <v>3252.0</v>
      </c>
      <c r="B3252" s="3" t="s">
        <v>49074</v>
      </c>
      <c r="C3252" s="6" t="s">
        <v>11</v>
      </c>
      <c r="D3252" s="8" t="s">
        <v>49075</v>
      </c>
      <c r="E3252" s="3" t="str">
        <f t="shared" si="1"/>
        <v>socialist&lt;br&gt;&lt;div class="audio"&gt;[sound:socialist.mp3]&lt;/div&gt;</v>
      </c>
      <c r="F3252" s="3" t="str">
        <f t="shared" si="2"/>
        <v>(adj): xã hội chủ nghĩa</v>
      </c>
      <c r="G3252" s="8" t="s">
        <v>49076</v>
      </c>
      <c r="H3252" s="8" t="s">
        <v>49077</v>
      </c>
      <c r="I3252" s="7">
        <f t="shared" si="3"/>
        <v>0.5685510234</v>
      </c>
    </row>
    <row r="3253">
      <c r="A3253" s="4">
        <v>3253.0</v>
      </c>
      <c r="B3253" s="3" t="s">
        <v>49078</v>
      </c>
      <c r="C3253" s="6" t="s">
        <v>11</v>
      </c>
      <c r="D3253" s="6" t="s">
        <v>49079</v>
      </c>
      <c r="E3253" s="3" t="str">
        <f t="shared" si="1"/>
        <v>residential&lt;br&gt;&lt;div class="audio"&gt;[sound:residential.mp3]&lt;/div&gt;</v>
      </c>
      <c r="F3253" s="3" t="str">
        <f t="shared" si="2"/>
        <v>(adj): thuộc khu dân cư</v>
      </c>
      <c r="G3253" s="6" t="s">
        <v>49080</v>
      </c>
      <c r="H3253" s="6" t="s">
        <v>49081</v>
      </c>
      <c r="I3253" s="7">
        <f t="shared" si="3"/>
        <v>0.3047577599</v>
      </c>
    </row>
    <row r="3254">
      <c r="A3254" s="4">
        <v>3254.0</v>
      </c>
      <c r="B3254" s="3" t="s">
        <v>49082</v>
      </c>
      <c r="C3254" s="6" t="s">
        <v>74</v>
      </c>
      <c r="D3254" s="6" t="s">
        <v>49083</v>
      </c>
      <c r="E3254" s="3" t="str">
        <f t="shared" si="1"/>
        <v>capitalism&lt;br&gt;&lt;div class="audio"&gt;[sound:capitalism.mp3]&lt;/div&gt;</v>
      </c>
      <c r="F3254" s="3" t="str">
        <f t="shared" si="2"/>
        <v>(n): chủ nghĩa tư bản</v>
      </c>
      <c r="G3254" s="6" t="s">
        <v>49084</v>
      </c>
      <c r="H3254" s="6" t="s">
        <v>49085</v>
      </c>
      <c r="I3254" s="7">
        <f t="shared" si="3"/>
        <v>0.5962775467</v>
      </c>
    </row>
    <row r="3255">
      <c r="A3255" s="4">
        <v>3255.0</v>
      </c>
      <c r="B3255" s="3" t="s">
        <v>49086</v>
      </c>
      <c r="C3255" s="6" t="s">
        <v>11</v>
      </c>
      <c r="D3255" s="6" t="s">
        <v>49087</v>
      </c>
      <c r="E3255" s="3" t="str">
        <f t="shared" si="1"/>
        <v>presidential&lt;br&gt;&lt;div class="audio"&gt;[sound:presidential.mp3]&lt;/div&gt;</v>
      </c>
      <c r="F3255" s="3" t="str">
        <f t="shared" si="2"/>
        <v>(adj): thuộc tổng thống</v>
      </c>
      <c r="G3255" s="6" t="s">
        <v>49088</v>
      </c>
      <c r="H3255" s="6" t="s">
        <v>49089</v>
      </c>
      <c r="I3255" s="7">
        <f t="shared" si="3"/>
        <v>0.7181463622</v>
      </c>
    </row>
    <row r="3256">
      <c r="A3256" s="4">
        <v>3256.0</v>
      </c>
      <c r="B3256" s="3" t="s">
        <v>49090</v>
      </c>
      <c r="C3256" s="6" t="s">
        <v>11</v>
      </c>
      <c r="D3256" s="8" t="s">
        <v>49091</v>
      </c>
      <c r="E3256" s="3" t="str">
        <f t="shared" si="1"/>
        <v>surgical&lt;br&gt;&lt;div class="audio"&gt;[sound:surgical.mp3]&lt;/div&gt;</v>
      </c>
      <c r="F3256" s="3" t="str">
        <f t="shared" si="2"/>
        <v>(adj): thuộc phẫu thuật</v>
      </c>
      <c r="G3256" s="8" t="s">
        <v>49092</v>
      </c>
      <c r="H3256" s="8" t="s">
        <v>49093</v>
      </c>
      <c r="I3256" s="7">
        <f t="shared" si="3"/>
        <v>0.7563863389</v>
      </c>
    </row>
    <row r="3257">
      <c r="A3257" s="4">
        <v>3257.0</v>
      </c>
      <c r="B3257" s="3" t="s">
        <v>19532</v>
      </c>
      <c r="C3257" s="6" t="s">
        <v>74</v>
      </c>
      <c r="D3257" s="6" t="s">
        <v>49094</v>
      </c>
      <c r="E3257" s="3" t="str">
        <f t="shared" si="1"/>
        <v>cocktail&lt;br&gt;&lt;div class="audio"&gt;[sound:cocktail.mp3]&lt;/div&gt;</v>
      </c>
      <c r="F3257" s="3" t="str">
        <f t="shared" si="2"/>
        <v>(n): đồ uống pha chế</v>
      </c>
      <c r="G3257" s="6" t="s">
        <v>49095</v>
      </c>
      <c r="H3257" s="6" t="s">
        <v>49096</v>
      </c>
      <c r="I3257" s="7">
        <f t="shared" si="3"/>
        <v>0.6402205859</v>
      </c>
    </row>
    <row r="3258">
      <c r="A3258" s="4">
        <v>3258.0</v>
      </c>
      <c r="B3258" s="3" t="s">
        <v>49097</v>
      </c>
      <c r="C3258" s="6" t="s">
        <v>74</v>
      </c>
      <c r="D3258" s="6" t="s">
        <v>49098</v>
      </c>
      <c r="E3258" s="3" t="str">
        <f t="shared" si="1"/>
        <v>habitat&lt;br&gt;&lt;div class="audio"&gt;[sound:habitat.mp3]&lt;/div&gt;</v>
      </c>
      <c r="F3258" s="3" t="str">
        <f t="shared" si="2"/>
        <v>(n): môi trường sống</v>
      </c>
      <c r="G3258" s="6" t="s">
        <v>49099</v>
      </c>
      <c r="H3258" s="6" t="s">
        <v>49100</v>
      </c>
      <c r="I3258" s="7">
        <f t="shared" si="3"/>
        <v>0.6287069075</v>
      </c>
    </row>
    <row r="3259">
      <c r="A3259" s="4">
        <v>3259.0</v>
      </c>
      <c r="B3259" s="3" t="s">
        <v>49101</v>
      </c>
      <c r="C3259" s="6" t="s">
        <v>74</v>
      </c>
      <c r="D3259" s="6" t="s">
        <v>49102</v>
      </c>
      <c r="E3259" s="3" t="str">
        <f t="shared" si="1"/>
        <v>protester&lt;br&gt;&lt;div class="audio"&gt;[sound:protester.mp3]&lt;/div&gt;</v>
      </c>
      <c r="F3259" s="3" t="str">
        <f t="shared" si="2"/>
        <v>(n): người biểu tình</v>
      </c>
      <c r="G3259" s="6" t="s">
        <v>49103</v>
      </c>
      <c r="H3259" s="6" t="s">
        <v>49104</v>
      </c>
      <c r="I3259" s="7">
        <f t="shared" si="3"/>
        <v>0.7251701316</v>
      </c>
    </row>
    <row r="3260">
      <c r="A3260" s="4">
        <v>3260.0</v>
      </c>
      <c r="B3260" s="3" t="s">
        <v>49105</v>
      </c>
      <c r="C3260" s="6" t="s">
        <v>74</v>
      </c>
      <c r="D3260" s="8" t="s">
        <v>49106</v>
      </c>
      <c r="E3260" s="3" t="str">
        <f t="shared" si="1"/>
        <v>spokesperson&lt;br&gt;&lt;div class="audio"&gt;[sound:spokesperson.mp3]&lt;/div&gt;</v>
      </c>
      <c r="F3260" s="3" t="str">
        <f t="shared" si="2"/>
        <v>(n): người phát ngôn</v>
      </c>
      <c r="G3260" s="8" t="s">
        <v>49107</v>
      </c>
      <c r="H3260" s="8" t="s">
        <v>49108</v>
      </c>
      <c r="I3260" s="7">
        <f t="shared" si="3"/>
        <v>0.1203040738</v>
      </c>
    </row>
    <row r="3261">
      <c r="A3261" s="4">
        <v>3261.0</v>
      </c>
      <c r="B3261" s="3" t="s">
        <v>49109</v>
      </c>
      <c r="C3261" s="6" t="s">
        <v>74</v>
      </c>
      <c r="D3261" s="6" t="s">
        <v>28360</v>
      </c>
      <c r="E3261" s="3" t="str">
        <f t="shared" si="1"/>
        <v>horizon&lt;br&gt;&lt;div class="audio"&gt;[sound:horizon.mp3]&lt;/div&gt;</v>
      </c>
      <c r="F3261" s="3" t="str">
        <f t="shared" si="2"/>
        <v>(n): đường chân trời</v>
      </c>
      <c r="G3261" s="6" t="s">
        <v>49110</v>
      </c>
      <c r="H3261" s="6" t="s">
        <v>49111</v>
      </c>
      <c r="I3261" s="7">
        <f t="shared" si="3"/>
        <v>0.4959992743</v>
      </c>
    </row>
    <row r="3262">
      <c r="A3262" s="4">
        <v>3262.0</v>
      </c>
      <c r="B3262" s="3" t="s">
        <v>49112</v>
      </c>
      <c r="C3262" s="6" t="s">
        <v>11</v>
      </c>
      <c r="D3262" s="6" t="s">
        <v>49113</v>
      </c>
      <c r="E3262" s="3" t="str">
        <f t="shared" si="1"/>
        <v>racial&lt;br&gt;&lt;div class="audio"&gt;[sound:racial.mp3]&lt;/div&gt;</v>
      </c>
      <c r="F3262" s="3" t="str">
        <f t="shared" si="2"/>
        <v>(adj): thuộc chủng tộc</v>
      </c>
      <c r="G3262" s="6" t="s">
        <v>49114</v>
      </c>
      <c r="H3262" s="6" t="s">
        <v>49115</v>
      </c>
      <c r="I3262" s="7">
        <f t="shared" si="3"/>
        <v>0.8504066199</v>
      </c>
    </row>
    <row r="3263">
      <c r="A3263" s="4">
        <v>3263.0</v>
      </c>
      <c r="B3263" s="3" t="s">
        <v>49116</v>
      </c>
      <c r="C3263" s="6" t="s">
        <v>11</v>
      </c>
      <c r="D3263" s="6" t="s">
        <v>49117</v>
      </c>
      <c r="E3263" s="3" t="str">
        <f t="shared" si="1"/>
        <v>rural&lt;br&gt;&lt;div class="audio"&gt;[sound:rural.mp3]&lt;/div&gt;</v>
      </c>
      <c r="F3263" s="3" t="str">
        <f t="shared" si="2"/>
        <v>(adj): thuộc nông thôn</v>
      </c>
      <c r="G3263" s="6" t="s">
        <v>49118</v>
      </c>
      <c r="H3263" s="6" t="s">
        <v>49119</v>
      </c>
      <c r="I3263" s="7">
        <f t="shared" si="3"/>
        <v>0.3030173451</v>
      </c>
    </row>
    <row r="3264">
      <c r="A3264" s="4">
        <v>3264.0</v>
      </c>
      <c r="B3264" s="3" t="s">
        <v>49120</v>
      </c>
      <c r="C3264" s="6" t="s">
        <v>74</v>
      </c>
      <c r="D3264" s="6" t="s">
        <v>49121</v>
      </c>
      <c r="E3264" s="3" t="str">
        <f t="shared" si="1"/>
        <v>citizenship&lt;br&gt;&lt;div class="audio"&gt;[sound:citizenship.mp3]&lt;/div&gt;</v>
      </c>
      <c r="F3264" s="3" t="str">
        <f t="shared" si="2"/>
        <v>(n): quyền công dân</v>
      </c>
      <c r="G3264" s="6" t="s">
        <v>49122</v>
      </c>
      <c r="H3264" s="6" t="s">
        <v>49123</v>
      </c>
      <c r="I3264" s="7">
        <f t="shared" si="3"/>
        <v>0.4473213617</v>
      </c>
    </row>
    <row r="3265">
      <c r="A3265" s="4">
        <v>3265.0</v>
      </c>
      <c r="B3265" s="3" t="s">
        <v>49124</v>
      </c>
      <c r="C3265" s="6" t="s">
        <v>74</v>
      </c>
      <c r="D3265" s="6" t="s">
        <v>49125</v>
      </c>
      <c r="E3265" s="3" t="str">
        <f t="shared" si="1"/>
        <v>gaming&lt;br&gt;&lt;div class="audio"&gt;[sound:gaming.mp3]&lt;/div&gt;</v>
      </c>
      <c r="F3265" s="3" t="str">
        <f t="shared" si="2"/>
        <v>(n): việc chơi game</v>
      </c>
      <c r="G3265" s="6" t="s">
        <v>49126</v>
      </c>
      <c r="H3265" s="6" t="s">
        <v>49127</v>
      </c>
      <c r="I3265" s="7">
        <f t="shared" si="3"/>
        <v>0.1910909009</v>
      </c>
    </row>
    <row r="3266">
      <c r="A3266" s="4">
        <v>3266.0</v>
      </c>
      <c r="B3266" s="3" t="s">
        <v>49128</v>
      </c>
      <c r="C3266" s="6" t="s">
        <v>74</v>
      </c>
      <c r="D3266" s="6" t="s">
        <v>49129</v>
      </c>
      <c r="E3266" s="3" t="str">
        <f t="shared" si="1"/>
        <v>constituency&lt;br&gt;&lt;div class="audio"&gt;[sound:constituency.mp3]&lt;/div&gt;</v>
      </c>
      <c r="F3266" s="3" t="str">
        <f t="shared" si="2"/>
        <v>(n): khu vực bầu cử</v>
      </c>
      <c r="G3266" s="6" t="s">
        <v>49130</v>
      </c>
      <c r="H3266" s="6" t="s">
        <v>49131</v>
      </c>
      <c r="I3266" s="7">
        <f t="shared" si="3"/>
        <v>0.9140141242</v>
      </c>
    </row>
    <row r="3267">
      <c r="A3267" s="4">
        <v>3267.0</v>
      </c>
      <c r="B3267" s="3" t="s">
        <v>49132</v>
      </c>
      <c r="C3267" s="6" t="s">
        <v>74</v>
      </c>
      <c r="D3267" s="6" t="s">
        <v>49133</v>
      </c>
      <c r="E3267" s="3" t="str">
        <f t="shared" si="1"/>
        <v>manufacturing&lt;br&gt;&lt;div class="audio"&gt;[sound:manufacturing.mp3]&lt;/div&gt;</v>
      </c>
      <c r="F3267" s="3" t="str">
        <f t="shared" si="2"/>
        <v>(n): ngành sản xuất</v>
      </c>
      <c r="G3267" s="6" t="s">
        <v>49134</v>
      </c>
      <c r="H3267" s="6" t="s">
        <v>49135</v>
      </c>
      <c r="I3267" s="7">
        <f t="shared" si="3"/>
        <v>0.7338614192</v>
      </c>
    </row>
    <row r="3268">
      <c r="A3268" s="4">
        <v>3268.0</v>
      </c>
      <c r="B3268" s="3" t="s">
        <v>49136</v>
      </c>
      <c r="C3268" s="6" t="s">
        <v>11</v>
      </c>
      <c r="D3268" s="6" t="s">
        <v>49137</v>
      </c>
      <c r="E3268" s="3" t="str">
        <f t="shared" si="1"/>
        <v>full-time&lt;br&gt;&lt;div class="audio"&gt;[sound:full-time.mp3]&lt;/div&gt;</v>
      </c>
      <c r="F3268" s="3" t="str">
        <f t="shared" si="2"/>
        <v>(adj): toàn thời gian</v>
      </c>
      <c r="G3268" s="6" t="s">
        <v>49138</v>
      </c>
      <c r="H3268" s="6" t="s">
        <v>49139</v>
      </c>
      <c r="I3268" s="7">
        <f t="shared" si="3"/>
        <v>0.6758466143</v>
      </c>
    </row>
    <row r="3269">
      <c r="A3269" s="4">
        <v>3269.0</v>
      </c>
      <c r="B3269" s="3" t="s">
        <v>49140</v>
      </c>
      <c r="C3269" s="6" t="s">
        <v>11</v>
      </c>
      <c r="D3269" s="6" t="s">
        <v>49141</v>
      </c>
      <c r="E3269" s="3" t="str">
        <f t="shared" si="1"/>
        <v>instrumental&lt;br&gt;&lt;div class="audio"&gt;[sound:instrumental.mp3]&lt;/div&gt;</v>
      </c>
      <c r="F3269" s="3" t="str">
        <f t="shared" si="2"/>
        <v>(adj): có tính hỗ trợ</v>
      </c>
      <c r="G3269" s="6" t="s">
        <v>49142</v>
      </c>
      <c r="H3269" s="6" t="s">
        <v>49143</v>
      </c>
      <c r="I3269" s="7">
        <f t="shared" si="3"/>
        <v>0.281609961</v>
      </c>
    </row>
    <row r="3270">
      <c r="A3270" s="4">
        <v>3270.0</v>
      </c>
      <c r="B3270" s="3" t="s">
        <v>49144</v>
      </c>
      <c r="C3270" s="6" t="s">
        <v>74</v>
      </c>
      <c r="D3270" s="6" t="s">
        <v>49145</v>
      </c>
      <c r="E3270" s="3" t="str">
        <f t="shared" si="1"/>
        <v>psychologist&lt;br&gt;&lt;div class="audio"&gt;[sound:psychologist.mp3]&lt;/div&gt;</v>
      </c>
      <c r="F3270" s="3" t="str">
        <f t="shared" si="2"/>
        <v>(n): nhà tâm lý học</v>
      </c>
      <c r="G3270" s="6" t="s">
        <v>49146</v>
      </c>
      <c r="H3270" s="6" t="s">
        <v>49147</v>
      </c>
      <c r="I3270" s="7">
        <f t="shared" si="3"/>
        <v>0.2160296179</v>
      </c>
    </row>
    <row r="3271">
      <c r="A3271" s="4">
        <v>3271.0</v>
      </c>
      <c r="B3271" s="3" t="s">
        <v>49148</v>
      </c>
      <c r="C3271" s="6" t="s">
        <v>74</v>
      </c>
      <c r="D3271" s="6" t="s">
        <v>49149</v>
      </c>
      <c r="E3271" s="3" t="str">
        <f t="shared" si="1"/>
        <v>veteran&lt;br&gt;&lt;div class="audio"&gt;[sound:veteran.mp3]&lt;/div&gt;</v>
      </c>
      <c r="F3271" s="3" t="str">
        <f t="shared" si="2"/>
        <v>(n): cựu chiến binh</v>
      </c>
      <c r="G3271" s="6" t="s">
        <v>49150</v>
      </c>
      <c r="H3271" s="6" t="s">
        <v>49151</v>
      </c>
      <c r="I3271" s="7">
        <f t="shared" si="3"/>
        <v>0.4421191719</v>
      </c>
    </row>
    <row r="3272">
      <c r="A3272" s="4">
        <v>3272.0</v>
      </c>
      <c r="B3272" s="3" t="s">
        <v>49152</v>
      </c>
      <c r="C3272" s="6" t="s">
        <v>85</v>
      </c>
      <c r="D3272" s="6" t="s">
        <v>49153</v>
      </c>
      <c r="E3272" s="3" t="str">
        <f t="shared" si="1"/>
        <v>emotionally&lt;br&gt;&lt;div class="audio"&gt;[sound:emotionally.mp3]&lt;/div&gt;</v>
      </c>
      <c r="F3272" s="3" t="str">
        <f t="shared" si="2"/>
        <v>(adv): về mặt cảm xúc</v>
      </c>
      <c r="G3272" s="6" t="s">
        <v>49154</v>
      </c>
      <c r="H3272" s="6" t="s">
        <v>49155</v>
      </c>
      <c r="I3272" s="7">
        <f t="shared" si="3"/>
        <v>0.3678245432</v>
      </c>
    </row>
    <row r="3273">
      <c r="A3273" s="4">
        <v>3273.0</v>
      </c>
      <c r="B3273" s="3" t="s">
        <v>49156</v>
      </c>
      <c r="C3273" s="6" t="s">
        <v>74</v>
      </c>
      <c r="D3273" s="6" t="s">
        <v>49157</v>
      </c>
      <c r="E3273" s="3" t="str">
        <f t="shared" si="1"/>
        <v>intake&lt;br&gt;&lt;div class="audio"&gt;[sound:intake.mp3]&lt;/div&gt;</v>
      </c>
      <c r="F3273" s="3" t="str">
        <f t="shared" si="2"/>
        <v>(n): lượng tiêu thụ</v>
      </c>
      <c r="G3273" s="6" t="s">
        <v>49158</v>
      </c>
      <c r="H3273" s="6" t="s">
        <v>49159</v>
      </c>
      <c r="I3273" s="7">
        <f t="shared" si="3"/>
        <v>0.2646896349</v>
      </c>
    </row>
    <row r="3274">
      <c r="A3274" s="4">
        <v>3274.0</v>
      </c>
      <c r="B3274" s="3" t="s">
        <v>49160</v>
      </c>
      <c r="C3274" s="6" t="s">
        <v>11</v>
      </c>
      <c r="D3274" s="6" t="s">
        <v>49161</v>
      </c>
      <c r="E3274" s="3" t="str">
        <f t="shared" si="1"/>
        <v>protective&lt;br&gt;&lt;div class="audio"&gt;[sound:protective.mp3]&lt;/div&gt;</v>
      </c>
      <c r="F3274" s="3" t="str">
        <f t="shared" si="2"/>
        <v>(adj): có tính bảo vệ</v>
      </c>
      <c r="G3274" s="6" t="s">
        <v>49162</v>
      </c>
      <c r="H3274" s="6" t="s">
        <v>49163</v>
      </c>
      <c r="I3274" s="7">
        <f t="shared" si="3"/>
        <v>0.7316533695</v>
      </c>
    </row>
    <row r="3275">
      <c r="A3275" s="4">
        <v>3275.0</v>
      </c>
      <c r="B3275" s="3" t="s">
        <v>49164</v>
      </c>
      <c r="C3275" s="6" t="s">
        <v>11</v>
      </c>
      <c r="D3275" s="6" t="s">
        <v>49165</v>
      </c>
      <c r="E3275" s="3" t="str">
        <f t="shared" si="1"/>
        <v>chronic&lt;br&gt;&lt;div class="audio"&gt;[sound:chronic.mp3]&lt;/div&gt;</v>
      </c>
      <c r="F3275" s="3" t="str">
        <f t="shared" si="2"/>
        <v>(adj): mãn tính</v>
      </c>
      <c r="G3275" s="6" t="s">
        <v>49166</v>
      </c>
      <c r="H3275" s="6" t="s">
        <v>49167</v>
      </c>
      <c r="I3275" s="7">
        <f t="shared" si="3"/>
        <v>0.2734812564</v>
      </c>
    </row>
    <row r="3276">
      <c r="A3276" s="4">
        <v>3276.0</v>
      </c>
      <c r="B3276" s="3" t="s">
        <v>49168</v>
      </c>
      <c r="C3276" s="6" t="s">
        <v>74</v>
      </c>
      <c r="D3276" s="6" t="s">
        <v>49169</v>
      </c>
      <c r="E3276" s="3" t="str">
        <f t="shared" si="1"/>
        <v>honesty&lt;br&gt;&lt;div class="audio"&gt;[sound:honesty.mp3]&lt;/div&gt;</v>
      </c>
      <c r="F3276" s="3" t="str">
        <f t="shared" si="2"/>
        <v>(n): sự trung thực</v>
      </c>
      <c r="G3276" s="6" t="s">
        <v>49170</v>
      </c>
      <c r="H3276" s="6" t="s">
        <v>49171</v>
      </c>
      <c r="I3276" s="7">
        <f t="shared" si="3"/>
        <v>0.2624441319</v>
      </c>
    </row>
    <row r="3277">
      <c r="A3277" s="4">
        <v>3277.0</v>
      </c>
      <c r="B3277" s="3" t="s">
        <v>49172</v>
      </c>
      <c r="C3277" s="6" t="s">
        <v>85</v>
      </c>
      <c r="D3277" s="6" t="s">
        <v>49173</v>
      </c>
      <c r="E3277" s="3" t="str">
        <f t="shared" si="1"/>
        <v>ironically&lt;br&gt;&lt;div class="audio"&gt;[sound:ironically.mp3]&lt;/div&gt;</v>
      </c>
      <c r="F3277" s="3" t="str">
        <f t="shared" si="2"/>
        <v>(adv): trớ trêu thay</v>
      </c>
      <c r="G3277" s="6" t="s">
        <v>49174</v>
      </c>
      <c r="H3277" s="6" t="s">
        <v>49175</v>
      </c>
      <c r="I3277" s="7">
        <f t="shared" si="3"/>
        <v>0.6477674727</v>
      </c>
    </row>
    <row r="3278">
      <c r="A3278" s="4">
        <v>3278.0</v>
      </c>
      <c r="B3278" s="3" t="s">
        <v>49176</v>
      </c>
      <c r="C3278" s="6" t="s">
        <v>11</v>
      </c>
      <c r="D3278" s="6" t="s">
        <v>49177</v>
      </c>
      <c r="E3278" s="3" t="str">
        <f t="shared" si="1"/>
        <v>ethnic&lt;br&gt;&lt;div class="audio"&gt;[sound:ethnic.mp3]&lt;/div&gt;</v>
      </c>
      <c r="F3278" s="3" t="str">
        <f t="shared" si="2"/>
        <v>(adj): thuộc dân tộc</v>
      </c>
      <c r="G3278" s="6" t="s">
        <v>49178</v>
      </c>
      <c r="H3278" s="6" t="s">
        <v>49179</v>
      </c>
      <c r="I3278" s="7">
        <f t="shared" si="3"/>
        <v>0.5982545644</v>
      </c>
    </row>
    <row r="3279">
      <c r="A3279" s="4">
        <v>3279.0</v>
      </c>
      <c r="B3279" s="3" t="s">
        <v>49180</v>
      </c>
      <c r="C3279" s="6" t="s">
        <v>74</v>
      </c>
      <c r="D3279" s="6" t="s">
        <v>49181</v>
      </c>
      <c r="E3279" s="3" t="str">
        <f t="shared" si="1"/>
        <v>publishing&lt;br&gt;&lt;div class="audio"&gt;[sound:publishing.mp3]&lt;/div&gt;</v>
      </c>
      <c r="F3279" s="3" t="str">
        <f t="shared" si="2"/>
        <v>(n): việc xuất bản</v>
      </c>
      <c r="G3279" s="6" t="s">
        <v>49182</v>
      </c>
      <c r="H3279" s="6" t="s">
        <v>49183</v>
      </c>
      <c r="I3279" s="7">
        <f t="shared" si="3"/>
        <v>0.876829807</v>
      </c>
    </row>
    <row r="3280">
      <c r="A3280" s="4">
        <v>3280.0</v>
      </c>
      <c r="B3280" s="3" t="s">
        <v>49184</v>
      </c>
      <c r="C3280" s="6" t="s">
        <v>11</v>
      </c>
      <c r="D3280" s="6" t="s">
        <v>49185</v>
      </c>
      <c r="E3280" s="3" t="str">
        <f t="shared" si="1"/>
        <v>inappropriate&lt;br&gt;&lt;div class="audio"&gt;[sound:inappropriate.mp3]&lt;/div&gt;</v>
      </c>
      <c r="F3280" s="3" t="str">
        <f t="shared" si="2"/>
        <v>(adj): không phù hợp</v>
      </c>
      <c r="G3280" s="6" t="s">
        <v>49186</v>
      </c>
      <c r="H3280" s="6" t="s">
        <v>49187</v>
      </c>
      <c r="I3280" s="7">
        <f t="shared" si="3"/>
        <v>0.02411103934</v>
      </c>
    </row>
    <row r="3281">
      <c r="A3281" s="4">
        <v>3281.0</v>
      </c>
      <c r="B3281" s="3" t="s">
        <v>49188</v>
      </c>
      <c r="C3281" s="6" t="s">
        <v>74</v>
      </c>
      <c r="D3281" s="6" t="s">
        <v>49189</v>
      </c>
      <c r="E3281" s="3" t="str">
        <f t="shared" si="1"/>
        <v>rental&lt;br&gt;&lt;div class="audio"&gt;[sound:rental.mp3]&lt;/div&gt;</v>
      </c>
      <c r="F3281" s="3" t="str">
        <f t="shared" si="2"/>
        <v>(n): việc cho thuê</v>
      </c>
      <c r="G3281" s="6" t="s">
        <v>49190</v>
      </c>
      <c r="H3281" s="6" t="s">
        <v>49191</v>
      </c>
      <c r="I3281" s="7">
        <f t="shared" si="3"/>
        <v>0.7325286505</v>
      </c>
    </row>
    <row r="3282">
      <c r="A3282" s="4">
        <v>3282.0</v>
      </c>
      <c r="B3282" s="3" t="s">
        <v>49192</v>
      </c>
      <c r="C3282" s="6" t="s">
        <v>74</v>
      </c>
      <c r="D3282" s="6" t="s">
        <v>49193</v>
      </c>
      <c r="E3282" s="3" t="str">
        <f t="shared" si="1"/>
        <v>jury&lt;br&gt;&lt;div class="audio"&gt;[sound:jury.mp3]&lt;/div&gt;</v>
      </c>
      <c r="F3282" s="3" t="str">
        <f t="shared" si="2"/>
        <v>(n): bồi thẩm đoàn</v>
      </c>
      <c r="G3282" s="6" t="s">
        <v>49194</v>
      </c>
      <c r="H3282" s="6" t="s">
        <v>49195</v>
      </c>
      <c r="I3282" s="7">
        <f t="shared" si="3"/>
        <v>0.2618331895</v>
      </c>
    </row>
    <row r="3283">
      <c r="A3283" s="4">
        <v>3283.0</v>
      </c>
      <c r="B3283" s="3" t="s">
        <v>49196</v>
      </c>
      <c r="C3283" s="6" t="s">
        <v>74</v>
      </c>
      <c r="D3283" s="6" t="s">
        <v>49197</v>
      </c>
      <c r="E3283" s="3" t="str">
        <f t="shared" si="1"/>
        <v>policeman&lt;br&gt;&lt;div class="audio"&gt;[sound:policeman.mp3]&lt;/div&gt;</v>
      </c>
      <c r="F3283" s="3" t="str">
        <f t="shared" si="2"/>
        <v>(n): cảnh sát viên</v>
      </c>
      <c r="G3283" s="6" t="s">
        <v>49198</v>
      </c>
      <c r="H3283" s="6" t="s">
        <v>49199</v>
      </c>
      <c r="I3283" s="7">
        <f t="shared" si="3"/>
        <v>0.4626333528</v>
      </c>
    </row>
    <row r="3284">
      <c r="A3284" s="4">
        <v>3284.0</v>
      </c>
      <c r="B3284" s="3" t="s">
        <v>49200</v>
      </c>
      <c r="C3284" s="6" t="s">
        <v>11</v>
      </c>
      <c r="D3284" s="8" t="s">
        <v>49201</v>
      </c>
      <c r="E3284" s="3" t="str">
        <f t="shared" si="1"/>
        <v>suburban&lt;br&gt;&lt;div class="audio"&gt;[sound:suburban.mp3]&lt;/div&gt;</v>
      </c>
      <c r="F3284" s="3" t="str">
        <f t="shared" si="2"/>
        <v>(adj): thuộc ngoại ô</v>
      </c>
      <c r="G3284" s="8" t="s">
        <v>49202</v>
      </c>
      <c r="H3284" s="8" t="s">
        <v>49203</v>
      </c>
      <c r="I3284" s="7">
        <f t="shared" si="3"/>
        <v>0.3022686484</v>
      </c>
    </row>
    <row r="3285">
      <c r="A3285" s="4">
        <v>3285.0</v>
      </c>
      <c r="B3285" s="3" t="s">
        <v>49204</v>
      </c>
      <c r="C3285" s="6" t="s">
        <v>74</v>
      </c>
      <c r="D3285" s="6" t="s">
        <v>49205</v>
      </c>
      <c r="E3285" s="3" t="str">
        <f t="shared" si="1"/>
        <v>transmission&lt;br&gt;&lt;div class="audio"&gt;[sound:transmission.mp3]&lt;/div&gt;</v>
      </c>
      <c r="F3285" s="3" t="str">
        <f t="shared" si="2"/>
        <v>(n): sự truyền tải</v>
      </c>
      <c r="G3285" s="6" t="s">
        <v>49206</v>
      </c>
      <c r="H3285" s="6" t="s">
        <v>49207</v>
      </c>
      <c r="I3285" s="7">
        <f t="shared" si="3"/>
        <v>0.4754760614</v>
      </c>
    </row>
    <row r="3286">
      <c r="A3286" s="4">
        <v>3286.0</v>
      </c>
      <c r="B3286" s="3" t="s">
        <v>49208</v>
      </c>
      <c r="C3286" s="6" t="s">
        <v>74</v>
      </c>
      <c r="D3286" s="6" t="s">
        <v>49209</v>
      </c>
      <c r="E3286" s="3" t="str">
        <f t="shared" si="1"/>
        <v>rally&lt;br&gt;&lt;div class="audio"&gt;[sound:rally.mp3]&lt;/div&gt;</v>
      </c>
      <c r="F3286" s="3" t="str">
        <f t="shared" si="2"/>
        <v>(n): cuộc mít tinh</v>
      </c>
      <c r="G3286" s="6" t="s">
        <v>49210</v>
      </c>
      <c r="H3286" s="6" t="s">
        <v>49211</v>
      </c>
      <c r="I3286" s="7">
        <f t="shared" si="3"/>
        <v>0.833844303</v>
      </c>
    </row>
    <row r="3287">
      <c r="A3287" s="4">
        <v>3287.0</v>
      </c>
      <c r="B3287" s="3" t="s">
        <v>49212</v>
      </c>
      <c r="C3287" s="6" t="s">
        <v>74</v>
      </c>
      <c r="D3287" s="8" t="s">
        <v>18890</v>
      </c>
      <c r="E3287" s="3" t="str">
        <f t="shared" si="1"/>
        <v>solidarity&lt;br&gt;&lt;div class="audio"&gt;[sound:solidarity.mp3]&lt;/div&gt;</v>
      </c>
      <c r="F3287" s="3" t="str">
        <f t="shared" si="2"/>
        <v>(n): tình đoàn kết</v>
      </c>
      <c r="G3287" s="8" t="s">
        <v>49213</v>
      </c>
      <c r="H3287" s="8" t="s">
        <v>49214</v>
      </c>
      <c r="I3287" s="7">
        <f t="shared" si="3"/>
        <v>0.1772291855</v>
      </c>
    </row>
    <row r="3288">
      <c r="A3288" s="4">
        <v>3288.0</v>
      </c>
      <c r="B3288" s="3" t="s">
        <v>49215</v>
      </c>
      <c r="C3288" s="6" t="s">
        <v>74</v>
      </c>
      <c r="D3288" s="6" t="s">
        <v>49216</v>
      </c>
      <c r="E3288" s="3" t="str">
        <f t="shared" si="1"/>
        <v>critic&lt;br&gt;&lt;div class="audio"&gt;[sound:critic.mp3]&lt;/div&gt;</v>
      </c>
      <c r="F3288" s="3" t="str">
        <f t="shared" si="2"/>
        <v>(n): nhà phê bình</v>
      </c>
      <c r="G3288" s="6" t="s">
        <v>49217</v>
      </c>
      <c r="H3288" s="6" t="s">
        <v>49218</v>
      </c>
      <c r="I3288" s="7">
        <f t="shared" si="3"/>
        <v>0.1317848028</v>
      </c>
    </row>
    <row r="3289">
      <c r="A3289" s="4">
        <v>3289.0</v>
      </c>
      <c r="B3289" s="3" t="s">
        <v>49219</v>
      </c>
      <c r="C3289" s="6" t="s">
        <v>74</v>
      </c>
      <c r="D3289" s="6" t="s">
        <v>49220</v>
      </c>
      <c r="E3289" s="3" t="str">
        <f t="shared" si="1"/>
        <v>bulk&lt;br&gt;&lt;div class="audio"&gt;[sound:bulk.mp3]&lt;/div&gt;</v>
      </c>
      <c r="F3289" s="3" t="str">
        <f t="shared" si="2"/>
        <v>(n): số lượng lớn</v>
      </c>
      <c r="G3289" s="6" t="s">
        <v>49221</v>
      </c>
      <c r="H3289" s="6" t="s">
        <v>49222</v>
      </c>
      <c r="I3289" s="7">
        <f t="shared" si="3"/>
        <v>0.9560415661</v>
      </c>
    </row>
    <row r="3290">
      <c r="A3290" s="4">
        <v>3290.0</v>
      </c>
      <c r="B3290" s="3" t="s">
        <v>49223</v>
      </c>
      <c r="C3290" s="6" t="s">
        <v>85</v>
      </c>
      <c r="D3290" s="6" t="s">
        <v>49224</v>
      </c>
      <c r="E3290" s="3" t="str">
        <f t="shared" si="1"/>
        <v>fortunately&lt;br&gt;&lt;div class="audio"&gt;[sound:fortunately.mp3]&lt;/div&gt;</v>
      </c>
      <c r="F3290" s="3" t="str">
        <f t="shared" si="2"/>
        <v>(adv): may mắn thay</v>
      </c>
      <c r="G3290" s="6" t="s">
        <v>49225</v>
      </c>
      <c r="H3290" s="6" t="s">
        <v>49226</v>
      </c>
      <c r="I3290" s="7">
        <f t="shared" si="3"/>
        <v>0.5450119829</v>
      </c>
    </row>
    <row r="3291">
      <c r="A3291" s="4">
        <v>3291.0</v>
      </c>
      <c r="B3291" s="3" t="s">
        <v>49227</v>
      </c>
      <c r="C3291" s="6" t="s">
        <v>74</v>
      </c>
      <c r="D3291" s="6" t="s">
        <v>2524</v>
      </c>
      <c r="E3291" s="3" t="str">
        <f t="shared" si="1"/>
        <v>manufacturer&lt;br&gt;&lt;div class="audio"&gt;[sound:manufacturer.mp3]&lt;/div&gt;</v>
      </c>
      <c r="F3291" s="3" t="str">
        <f t="shared" si="2"/>
        <v>(n): nhà sản xuất</v>
      </c>
      <c r="G3291" s="6" t="s">
        <v>49228</v>
      </c>
      <c r="H3291" s="6" t="s">
        <v>49229</v>
      </c>
      <c r="I3291" s="7">
        <f t="shared" si="3"/>
        <v>0.9544744121</v>
      </c>
    </row>
    <row r="3292">
      <c r="A3292" s="4">
        <v>3292.0</v>
      </c>
      <c r="B3292" s="3" t="s">
        <v>49230</v>
      </c>
      <c r="C3292" s="6" t="s">
        <v>11</v>
      </c>
      <c r="D3292" s="6" t="s">
        <v>9297</v>
      </c>
      <c r="E3292" s="3" t="str">
        <f t="shared" si="1"/>
        <v>frequent&lt;br&gt;&lt;div class="audio"&gt;[sound:frequent.mp3]&lt;/div&gt;</v>
      </c>
      <c r="F3292" s="3" t="str">
        <f t="shared" si="2"/>
        <v>(adj): thường xuyên</v>
      </c>
      <c r="G3292" s="6" t="s">
        <v>49231</v>
      </c>
      <c r="H3292" s="6" t="s">
        <v>49232</v>
      </c>
      <c r="I3292" s="7">
        <f t="shared" si="3"/>
        <v>0.5200040026</v>
      </c>
    </row>
    <row r="3293">
      <c r="A3293" s="4">
        <v>3293.0</v>
      </c>
      <c r="B3293" s="3" t="s">
        <v>49233</v>
      </c>
      <c r="C3293" s="6" t="s">
        <v>11</v>
      </c>
      <c r="D3293" s="6" t="s">
        <v>49234</v>
      </c>
      <c r="E3293" s="3" t="str">
        <f t="shared" si="1"/>
        <v>ambitious&lt;br&gt;&lt;div class="audio"&gt;[sound:ambitious.mp3]&lt;/div&gt;</v>
      </c>
      <c r="F3293" s="3" t="str">
        <f t="shared" si="2"/>
        <v>(adj): có tham vọng</v>
      </c>
      <c r="G3293" s="6" t="s">
        <v>49235</v>
      </c>
      <c r="H3293" s="6" t="s">
        <v>49236</v>
      </c>
      <c r="I3293" s="7">
        <f t="shared" si="3"/>
        <v>0.3083478419</v>
      </c>
    </row>
    <row r="3294">
      <c r="A3294" s="4">
        <v>3294.0</v>
      </c>
      <c r="B3294" s="3" t="s">
        <v>49237</v>
      </c>
      <c r="C3294" s="6" t="s">
        <v>74</v>
      </c>
      <c r="D3294" s="6" t="s">
        <v>49238</v>
      </c>
      <c r="E3294" s="3" t="str">
        <f t="shared" si="1"/>
        <v>adviser&lt;br&gt;&lt;div class="audio"&gt;[sound:adviser.mp3]&lt;/div&gt;</v>
      </c>
      <c r="F3294" s="3" t="str">
        <f t="shared" si="2"/>
        <v>(n): người cố vấn</v>
      </c>
      <c r="G3294" s="6" t="s">
        <v>49239</v>
      </c>
      <c r="H3294" s="6" t="s">
        <v>49240</v>
      </c>
      <c r="I3294" s="7">
        <f t="shared" si="3"/>
        <v>0.8282679642</v>
      </c>
    </row>
    <row r="3295">
      <c r="A3295" s="4">
        <v>3295.0</v>
      </c>
      <c r="B3295" s="3" t="s">
        <v>49241</v>
      </c>
      <c r="C3295" s="6" t="s">
        <v>74</v>
      </c>
      <c r="D3295" s="6" t="s">
        <v>10173</v>
      </c>
      <c r="E3295" s="3" t="str">
        <f t="shared" si="1"/>
        <v>possession&lt;br&gt;&lt;div class="audio"&gt;[sound:possession.mp3]&lt;/div&gt;</v>
      </c>
      <c r="F3295" s="3" t="str">
        <f t="shared" si="2"/>
        <v>(n): quyền sở hữu</v>
      </c>
      <c r="G3295" s="6" t="s">
        <v>49242</v>
      </c>
      <c r="H3295" s="6" t="s">
        <v>49243</v>
      </c>
      <c r="I3295" s="7">
        <f t="shared" si="3"/>
        <v>0.9845660602</v>
      </c>
    </row>
    <row r="3296">
      <c r="A3296" s="4">
        <v>3296.0</v>
      </c>
      <c r="B3296" s="3" t="s">
        <v>49244</v>
      </c>
      <c r="C3296" s="6" t="s">
        <v>74</v>
      </c>
      <c r="D3296" s="6" t="s">
        <v>49245</v>
      </c>
      <c r="E3296" s="3" t="str">
        <f t="shared" si="1"/>
        <v>inability&lt;br&gt;&lt;div class="audio"&gt;[sound:inability.mp3]&lt;/div&gt;</v>
      </c>
      <c r="F3296" s="3" t="str">
        <f t="shared" si="2"/>
        <v>(n): sự không thể</v>
      </c>
      <c r="G3296" s="6" t="s">
        <v>49246</v>
      </c>
      <c r="H3296" s="6" t="s">
        <v>49247</v>
      </c>
      <c r="I3296" s="7">
        <f t="shared" si="3"/>
        <v>0.790197935</v>
      </c>
    </row>
    <row r="3297">
      <c r="A3297" s="4">
        <v>3297.0</v>
      </c>
      <c r="B3297" s="3" t="s">
        <v>49248</v>
      </c>
      <c r="C3297" s="6" t="s">
        <v>74</v>
      </c>
      <c r="D3297" s="6" t="s">
        <v>29938</v>
      </c>
      <c r="E3297" s="3" t="str">
        <f t="shared" si="1"/>
        <v>fitness&lt;br&gt;&lt;div class="audio"&gt;[sound:fitness.mp3]&lt;/div&gt;</v>
      </c>
      <c r="F3297" s="3" t="str">
        <f t="shared" si="2"/>
        <v>(n): sự khỏe mạnh</v>
      </c>
      <c r="G3297" s="6" t="s">
        <v>49249</v>
      </c>
      <c r="H3297" s="6" t="s">
        <v>49250</v>
      </c>
      <c r="I3297" s="7">
        <f t="shared" si="3"/>
        <v>0.4541758693</v>
      </c>
    </row>
    <row r="3298">
      <c r="A3298" s="4">
        <v>3298.0</v>
      </c>
      <c r="B3298" s="3" t="s">
        <v>49251</v>
      </c>
      <c r="C3298" s="6" t="s">
        <v>74</v>
      </c>
      <c r="D3298" s="6" t="s">
        <v>1781</v>
      </c>
      <c r="E3298" s="3" t="str">
        <f t="shared" si="1"/>
        <v>realization&lt;br&gt;&lt;div class="audio"&gt;[sound:realization.mp3]&lt;/div&gt;</v>
      </c>
      <c r="F3298" s="3" t="str">
        <f t="shared" si="2"/>
        <v>(n): sự nhận thức</v>
      </c>
      <c r="G3298" s="6" t="s">
        <v>49252</v>
      </c>
      <c r="H3298" s="6" t="s">
        <v>49253</v>
      </c>
      <c r="I3298" s="7">
        <f t="shared" si="3"/>
        <v>0.6147076261</v>
      </c>
    </row>
    <row r="3299">
      <c r="A3299" s="4">
        <v>3299.0</v>
      </c>
      <c r="B3299" s="3" t="s">
        <v>49254</v>
      </c>
      <c r="C3299" s="6" t="s">
        <v>74</v>
      </c>
      <c r="D3299" s="6" t="s">
        <v>7832</v>
      </c>
      <c r="E3299" s="3" t="str">
        <f t="shared" si="1"/>
        <v>workplace&lt;br&gt;&lt;div class="audio"&gt;[sound:workplace.mp3]&lt;/div&gt;</v>
      </c>
      <c r="F3299" s="3" t="str">
        <f t="shared" si="2"/>
        <v>(n): nơi làm việc</v>
      </c>
      <c r="G3299" s="6" t="s">
        <v>49255</v>
      </c>
      <c r="H3299" s="6" t="s">
        <v>49256</v>
      </c>
      <c r="I3299" s="7">
        <f t="shared" si="3"/>
        <v>0.8744020657</v>
      </c>
    </row>
    <row r="3300">
      <c r="A3300" s="4">
        <v>3300.0</v>
      </c>
      <c r="B3300" s="3" t="s">
        <v>49257</v>
      </c>
      <c r="C3300" s="6" t="s">
        <v>74</v>
      </c>
      <c r="D3300" s="6" t="s">
        <v>49258</v>
      </c>
      <c r="E3300" s="3" t="str">
        <f t="shared" si="1"/>
        <v>patience&lt;br&gt;&lt;div class="audio"&gt;[sound:patience.mp3]&lt;/div&gt;</v>
      </c>
      <c r="F3300" s="3" t="str">
        <f t="shared" si="2"/>
        <v>(n): sự kiên nhẫn</v>
      </c>
      <c r="G3300" s="6" t="s">
        <v>49259</v>
      </c>
      <c r="H3300" s="6" t="s">
        <v>49260</v>
      </c>
      <c r="I3300" s="7">
        <f t="shared" si="3"/>
        <v>0.8810295496</v>
      </c>
    </row>
    <row r="3301">
      <c r="A3301" s="4">
        <v>3301.0</v>
      </c>
      <c r="B3301" s="3" t="s">
        <v>49261</v>
      </c>
      <c r="C3301" s="6" t="s">
        <v>74</v>
      </c>
      <c r="D3301" s="6" t="s">
        <v>49262</v>
      </c>
      <c r="E3301" s="3" t="str">
        <f t="shared" si="1"/>
        <v>grief&lt;br&gt;&lt;div class="audio"&gt;[sound:grief.mp3]&lt;/div&gt;</v>
      </c>
      <c r="F3301" s="3" t="str">
        <f t="shared" si="2"/>
        <v>(n): nỗi đau buồn</v>
      </c>
      <c r="G3301" s="6" t="s">
        <v>49263</v>
      </c>
      <c r="H3301" s="6" t="s">
        <v>49264</v>
      </c>
      <c r="I3301" s="7">
        <f t="shared" si="3"/>
        <v>0.6123884027</v>
      </c>
    </row>
    <row r="3302">
      <c r="A3302" s="4">
        <v>3302.0</v>
      </c>
      <c r="B3302" s="3" t="s">
        <v>49265</v>
      </c>
      <c r="C3302" s="6" t="s">
        <v>74</v>
      </c>
      <c r="D3302" s="6" t="s">
        <v>17086</v>
      </c>
      <c r="E3302" s="3" t="str">
        <f t="shared" si="1"/>
        <v>actress&lt;br&gt;&lt;div class="audio"&gt;[sound:actress.mp3]&lt;/div&gt;</v>
      </c>
      <c r="F3302" s="3" t="str">
        <f t="shared" si="2"/>
        <v>(n): nữ diễn viên</v>
      </c>
      <c r="G3302" s="6" t="s">
        <v>49266</v>
      </c>
      <c r="H3302" s="6" t="s">
        <v>49267</v>
      </c>
      <c r="I3302" s="7">
        <f t="shared" si="3"/>
        <v>0.8844641254</v>
      </c>
    </row>
    <row r="3303">
      <c r="A3303" s="4">
        <v>3303.0</v>
      </c>
      <c r="B3303" s="3" t="s">
        <v>49268</v>
      </c>
      <c r="C3303" s="6" t="s">
        <v>74</v>
      </c>
      <c r="D3303" s="6" t="s">
        <v>22431</v>
      </c>
      <c r="E3303" s="3" t="str">
        <f t="shared" si="1"/>
        <v>compassion&lt;br&gt;&lt;div class="audio"&gt;[sound:compassion.mp3]&lt;/div&gt;</v>
      </c>
      <c r="F3303" s="3" t="str">
        <f t="shared" si="2"/>
        <v>(n): lòng trắc ẩn</v>
      </c>
      <c r="G3303" s="6" t="s">
        <v>49269</v>
      </c>
      <c r="H3303" s="6" t="s">
        <v>49270</v>
      </c>
      <c r="I3303" s="7">
        <f t="shared" si="3"/>
        <v>0.1646746741</v>
      </c>
    </row>
    <row r="3304">
      <c r="A3304" s="4">
        <v>3304.0</v>
      </c>
      <c r="B3304" s="3" t="s">
        <v>49271</v>
      </c>
      <c r="C3304" s="6" t="s">
        <v>74</v>
      </c>
      <c r="D3304" s="6" t="s">
        <v>32498</v>
      </c>
      <c r="E3304" s="3" t="str">
        <f t="shared" si="1"/>
        <v>equation&lt;br&gt;&lt;div class="audio"&gt;[sound:equation.mp3]&lt;/div&gt;</v>
      </c>
      <c r="F3304" s="3" t="str">
        <f t="shared" si="2"/>
        <v>(n): phương trình</v>
      </c>
      <c r="G3304" s="6" t="s">
        <v>49272</v>
      </c>
      <c r="H3304" s="6" t="s">
        <v>49273</v>
      </c>
      <c r="I3304" s="7">
        <f t="shared" si="3"/>
        <v>0.3377792268</v>
      </c>
    </row>
    <row r="3305">
      <c r="A3305" s="4">
        <v>3305.0</v>
      </c>
      <c r="B3305" s="3" t="s">
        <v>49274</v>
      </c>
      <c r="C3305" s="6" t="s">
        <v>74</v>
      </c>
      <c r="D3305" s="6" t="s">
        <v>49275</v>
      </c>
      <c r="E3305" s="3" t="str">
        <f t="shared" si="1"/>
        <v>accuracy&lt;br&gt;&lt;div class="audio"&gt;[sound:accuracy.mp3]&lt;/div&gt;</v>
      </c>
      <c r="F3305" s="3" t="str">
        <f t="shared" si="2"/>
        <v>(n): độ chính xác</v>
      </c>
      <c r="G3305" s="6" t="s">
        <v>49276</v>
      </c>
      <c r="H3305" s="6" t="s">
        <v>49277</v>
      </c>
      <c r="I3305" s="7">
        <f t="shared" si="3"/>
        <v>0.354004835</v>
      </c>
    </row>
    <row r="3306">
      <c r="A3306" s="4">
        <v>3306.0</v>
      </c>
      <c r="B3306" s="3" t="s">
        <v>49278</v>
      </c>
      <c r="C3306" s="6" t="s">
        <v>74</v>
      </c>
      <c r="D3306" s="6" t="s">
        <v>49279</v>
      </c>
      <c r="E3306" s="3" t="str">
        <f t="shared" si="1"/>
        <v>alarm&lt;br&gt;&lt;div class="audio"&gt;[sound:alarm.mp3]&lt;/div&gt;</v>
      </c>
      <c r="F3306" s="3" t="str">
        <f t="shared" si="2"/>
        <v>(n): còi báo động</v>
      </c>
      <c r="G3306" s="6" t="s">
        <v>49280</v>
      </c>
      <c r="H3306" s="6" t="s">
        <v>49281</v>
      </c>
      <c r="I3306" s="7">
        <f t="shared" si="3"/>
        <v>0.3786591267</v>
      </c>
    </row>
    <row r="3307">
      <c r="A3307" s="4">
        <v>3307.0</v>
      </c>
      <c r="B3307" s="3" t="s">
        <v>49282</v>
      </c>
      <c r="C3307" s="6" t="s">
        <v>74</v>
      </c>
      <c r="D3307" s="6" t="s">
        <v>49283</v>
      </c>
      <c r="E3307" s="3" t="str">
        <f t="shared" si="1"/>
        <v>recession&lt;br&gt;&lt;div class="audio"&gt;[sound:recession.mp3]&lt;/div&gt;</v>
      </c>
      <c r="F3307" s="3" t="str">
        <f t="shared" si="2"/>
        <v>(n): sự suy thoái</v>
      </c>
      <c r="G3307" s="6" t="s">
        <v>49284</v>
      </c>
      <c r="H3307" s="6" t="s">
        <v>49285</v>
      </c>
      <c r="I3307" s="7">
        <f t="shared" si="3"/>
        <v>0.1159580161</v>
      </c>
    </row>
    <row r="3308">
      <c r="A3308" s="4">
        <v>3308.0</v>
      </c>
      <c r="B3308" s="3" t="s">
        <v>49286</v>
      </c>
      <c r="C3308" s="6" t="s">
        <v>74</v>
      </c>
      <c r="D3308" s="6" t="s">
        <v>49287</v>
      </c>
      <c r="E3308" s="3" t="str">
        <f t="shared" si="1"/>
        <v>publicity&lt;br&gt;&lt;div class="audio"&gt;[sound:publicity.mp3]&lt;/div&gt;</v>
      </c>
      <c r="F3308" s="3" t="str">
        <f t="shared" si="2"/>
        <v>(n): sự công khai</v>
      </c>
      <c r="G3308" s="6" t="s">
        <v>49288</v>
      </c>
      <c r="H3308" s="6" t="s">
        <v>49289</v>
      </c>
      <c r="I3308" s="7">
        <f t="shared" si="3"/>
        <v>0.173463882</v>
      </c>
    </row>
    <row r="3309">
      <c r="A3309" s="4">
        <v>3309.0</v>
      </c>
      <c r="B3309" s="3" t="s">
        <v>49290</v>
      </c>
      <c r="C3309" s="6" t="s">
        <v>74</v>
      </c>
      <c r="D3309" s="6" t="s">
        <v>49291</v>
      </c>
      <c r="E3309" s="3" t="str">
        <f t="shared" si="1"/>
        <v>contention&lt;br&gt;&lt;div class="audio"&gt;[sound:contention.mp3]&lt;/div&gt;</v>
      </c>
      <c r="F3309" s="3" t="str">
        <f t="shared" si="2"/>
        <v>(n): sự tranh cãi</v>
      </c>
      <c r="G3309" s="6" t="s">
        <v>49292</v>
      </c>
      <c r="H3309" s="6" t="s">
        <v>49293</v>
      </c>
      <c r="I3309" s="7">
        <f t="shared" si="3"/>
        <v>0.9223182386</v>
      </c>
    </row>
    <row r="3310">
      <c r="A3310" s="4">
        <v>3310.0</v>
      </c>
      <c r="B3310" s="3" t="s">
        <v>49294</v>
      </c>
      <c r="C3310" s="6" t="s">
        <v>11</v>
      </c>
      <c r="D3310" s="6" t="s">
        <v>49295</v>
      </c>
      <c r="E3310" s="3" t="str">
        <f t="shared" si="1"/>
        <v>ongoing&lt;br&gt;&lt;div class="audio"&gt;[sound:ongoing.mp3]&lt;/div&gt;</v>
      </c>
      <c r="F3310" s="3" t="str">
        <f t="shared" si="2"/>
        <v>(adj): đang diễn ra</v>
      </c>
      <c r="G3310" s="6" t="s">
        <v>49296</v>
      </c>
      <c r="H3310" s="6" t="s">
        <v>49297</v>
      </c>
      <c r="I3310" s="7">
        <f t="shared" si="3"/>
        <v>0.6490963069</v>
      </c>
    </row>
    <row r="3311">
      <c r="A3311" s="4">
        <v>3311.0</v>
      </c>
      <c r="B3311" s="3" t="s">
        <v>49298</v>
      </c>
      <c r="C3311" s="6" t="s">
        <v>74</v>
      </c>
      <c r="D3311" s="6" t="s">
        <v>49299</v>
      </c>
      <c r="E3311" s="3" t="str">
        <f t="shared" si="1"/>
        <v>prosecutor&lt;br&gt;&lt;div class="audio"&gt;[sound:prosecutor.mp3]&lt;/div&gt;</v>
      </c>
      <c r="F3311" s="3" t="str">
        <f t="shared" si="2"/>
        <v>(n): công tố viên</v>
      </c>
      <c r="G3311" s="6" t="s">
        <v>49300</v>
      </c>
      <c r="H3311" s="6" t="s">
        <v>49301</v>
      </c>
      <c r="I3311" s="7">
        <f t="shared" si="3"/>
        <v>0.579372377</v>
      </c>
    </row>
    <row r="3312">
      <c r="A3312" s="4">
        <v>3312.0</v>
      </c>
      <c r="B3312" s="3" t="s">
        <v>49302</v>
      </c>
      <c r="C3312" s="6" t="s">
        <v>74</v>
      </c>
      <c r="D3312" s="6" t="s">
        <v>49303</v>
      </c>
      <c r="E3312" s="3" t="str">
        <f t="shared" si="1"/>
        <v>refugee&lt;br&gt;&lt;div class="audio"&gt;[sound:refugee.mp3]&lt;/div&gt;</v>
      </c>
      <c r="F3312" s="3" t="str">
        <f t="shared" si="2"/>
        <v>(n): người tị nạn</v>
      </c>
      <c r="G3312" s="6" t="s">
        <v>49304</v>
      </c>
      <c r="H3312" s="6" t="s">
        <v>49305</v>
      </c>
      <c r="I3312" s="7">
        <f t="shared" si="3"/>
        <v>0.1266132129</v>
      </c>
    </row>
    <row r="3313">
      <c r="A3313" s="4">
        <v>3313.0</v>
      </c>
      <c r="B3313" s="3" t="s">
        <v>49306</v>
      </c>
      <c r="C3313" s="6" t="s">
        <v>11</v>
      </c>
      <c r="D3313" s="6" t="s">
        <v>49307</v>
      </c>
      <c r="E3313" s="3" t="str">
        <f t="shared" si="1"/>
        <v>repeated&lt;br&gt;&lt;div class="audio"&gt;[sound:repeated.mp3]&lt;/div&gt;</v>
      </c>
      <c r="F3313" s="3" t="str">
        <f t="shared" si="2"/>
        <v>(adj): được lặp lại</v>
      </c>
      <c r="G3313" s="6" t="s">
        <v>49308</v>
      </c>
      <c r="H3313" s="6" t="s">
        <v>49309</v>
      </c>
      <c r="I3313" s="7">
        <f t="shared" si="3"/>
        <v>0.6438910651</v>
      </c>
    </row>
    <row r="3314">
      <c r="A3314" s="4">
        <v>3314.0</v>
      </c>
      <c r="B3314" s="3" t="s">
        <v>49310</v>
      </c>
      <c r="C3314" s="6" t="s">
        <v>11</v>
      </c>
      <c r="D3314" s="6" t="s">
        <v>49311</v>
      </c>
      <c r="E3314" s="3" t="str">
        <f t="shared" si="1"/>
        <v>encouraging&lt;br&gt;&lt;div class="audio"&gt;[sound:encouraging.mp3]&lt;/div&gt;</v>
      </c>
      <c r="F3314" s="3" t="str">
        <f t="shared" si="2"/>
        <v>(adj): đầy khích lệ</v>
      </c>
      <c r="G3314" s="6" t="s">
        <v>49312</v>
      </c>
      <c r="H3314" s="6" t="s">
        <v>49313</v>
      </c>
      <c r="I3314" s="7">
        <f t="shared" si="3"/>
        <v>0.2991216695</v>
      </c>
    </row>
    <row r="3315">
      <c r="A3315" s="4">
        <v>3315.0</v>
      </c>
      <c r="B3315" s="3" t="s">
        <v>49314</v>
      </c>
      <c r="C3315" s="6" t="s">
        <v>74</v>
      </c>
      <c r="D3315" s="8" t="s">
        <v>17075</v>
      </c>
      <c r="E3315" s="3" t="str">
        <f t="shared" si="1"/>
        <v>stadium&lt;br&gt;&lt;div class="audio"&gt;[sound:stadium.mp3]&lt;/div&gt;</v>
      </c>
      <c r="F3315" s="3" t="str">
        <f t="shared" si="2"/>
        <v>(n): sân vận động</v>
      </c>
      <c r="G3315" s="8" t="s">
        <v>49315</v>
      </c>
      <c r="H3315" s="8" t="s">
        <v>49316</v>
      </c>
      <c r="I3315" s="7">
        <f t="shared" si="3"/>
        <v>0.3269777758</v>
      </c>
    </row>
    <row r="3316">
      <c r="A3316" s="4">
        <v>3316.0</v>
      </c>
      <c r="B3316" s="3" t="s">
        <v>49317</v>
      </c>
      <c r="C3316" s="6" t="s">
        <v>11</v>
      </c>
      <c r="D3316" s="6" t="s">
        <v>49318</v>
      </c>
      <c r="E3316" s="3" t="str">
        <f t="shared" si="1"/>
        <v>inadequate&lt;br&gt;&lt;div class="audio"&gt;[sound:inadequate.mp3]&lt;/div&gt;</v>
      </c>
      <c r="F3316" s="3" t="str">
        <f t="shared" si="2"/>
        <v>(adj): không đầy đủ</v>
      </c>
      <c r="G3316" s="6" t="s">
        <v>49319</v>
      </c>
      <c r="H3316" s="6" t="s">
        <v>49320</v>
      </c>
      <c r="I3316" s="7">
        <f t="shared" si="3"/>
        <v>0.09734951116</v>
      </c>
    </row>
    <row r="3317">
      <c r="A3317" s="4">
        <v>3317.0</v>
      </c>
      <c r="B3317" s="3" t="s">
        <v>49321</v>
      </c>
      <c r="C3317" s="6" t="s">
        <v>11</v>
      </c>
      <c r="D3317" s="6" t="s">
        <v>49322</v>
      </c>
      <c r="E3317" s="3" t="str">
        <f t="shared" si="1"/>
        <v>liberal&lt;br&gt;&lt;div class="audio"&gt;[sound:liberal.mp3]&lt;/div&gt;</v>
      </c>
      <c r="F3317" s="3" t="str">
        <f t="shared" si="2"/>
        <v>(adj): phóng khoáng</v>
      </c>
      <c r="G3317" s="6" t="s">
        <v>49323</v>
      </c>
      <c r="H3317" s="6" t="s">
        <v>49324</v>
      </c>
      <c r="I3317" s="7">
        <f t="shared" si="3"/>
        <v>0.5189607361</v>
      </c>
    </row>
    <row r="3318">
      <c r="A3318" s="4">
        <v>3318.0</v>
      </c>
      <c r="B3318" s="3" t="s">
        <v>49325</v>
      </c>
      <c r="C3318" s="6" t="s">
        <v>74</v>
      </c>
      <c r="D3318" s="6" t="s">
        <v>49326</v>
      </c>
      <c r="E3318" s="3" t="str">
        <f t="shared" si="1"/>
        <v>breakthrough&lt;br&gt;&lt;div class="audio"&gt;[sound:breakthrough.mp3]&lt;/div&gt;</v>
      </c>
      <c r="F3318" s="3" t="str">
        <f t="shared" si="2"/>
        <v>(n): bước đột phá</v>
      </c>
      <c r="G3318" s="6" t="s">
        <v>49327</v>
      </c>
      <c r="H3318" s="6" t="s">
        <v>49328</v>
      </c>
      <c r="I3318" s="7">
        <f t="shared" si="3"/>
        <v>0.3520827365</v>
      </c>
    </row>
    <row r="3319">
      <c r="A3319" s="4">
        <v>3319.0</v>
      </c>
      <c r="B3319" s="3" t="s">
        <v>49329</v>
      </c>
      <c r="C3319" s="6" t="s">
        <v>74</v>
      </c>
      <c r="D3319" s="6" t="s">
        <v>49330</v>
      </c>
      <c r="E3319" s="3" t="str">
        <f t="shared" si="1"/>
        <v>hockey&lt;br&gt;&lt;div class="audio"&gt;[sound:hockey.mp3]&lt;/div&gt;</v>
      </c>
      <c r="F3319" s="3" t="str">
        <f t="shared" si="2"/>
        <v>(n): khúc côn cầu</v>
      </c>
      <c r="G3319" s="6" t="s">
        <v>49331</v>
      </c>
      <c r="H3319" s="6" t="s">
        <v>49332</v>
      </c>
      <c r="I3319" s="7">
        <f t="shared" si="3"/>
        <v>0.432869395</v>
      </c>
    </row>
    <row r="3320">
      <c r="A3320" s="4">
        <v>3320.0</v>
      </c>
      <c r="B3320" s="3" t="s">
        <v>49333</v>
      </c>
      <c r="C3320" s="6" t="s">
        <v>11</v>
      </c>
      <c r="D3320" s="6" t="s">
        <v>49334</v>
      </c>
      <c r="E3320" s="3" t="str">
        <f t="shared" si="1"/>
        <v>psychological&lt;br&gt;&lt;div class="audio"&gt;[sound:psychological.mp3]&lt;/div&gt;</v>
      </c>
      <c r="F3320" s="3" t="str">
        <f t="shared" si="2"/>
        <v>(adj): thuộc tâm lý</v>
      </c>
      <c r="G3320" s="6" t="s">
        <v>49335</v>
      </c>
      <c r="H3320" s="6" t="s">
        <v>49336</v>
      </c>
      <c r="I3320" s="7">
        <f t="shared" si="3"/>
        <v>0.7045509323</v>
      </c>
    </row>
    <row r="3321">
      <c r="A3321" s="4">
        <v>3321.0</v>
      </c>
      <c r="B3321" s="3" t="s">
        <v>49337</v>
      </c>
      <c r="C3321" s="6" t="s">
        <v>74</v>
      </c>
      <c r="D3321" s="6" t="s">
        <v>12375</v>
      </c>
      <c r="E3321" s="3" t="str">
        <f t="shared" si="1"/>
        <v>relevance&lt;br&gt;&lt;div class="audio"&gt;[sound:relevance.mp3]&lt;/div&gt;</v>
      </c>
      <c r="F3321" s="3" t="str">
        <f t="shared" si="2"/>
        <v>(n): sự liên quan</v>
      </c>
      <c r="G3321" s="6" t="s">
        <v>49338</v>
      </c>
      <c r="H3321" s="6" t="s">
        <v>49339</v>
      </c>
      <c r="I3321" s="7">
        <f t="shared" si="3"/>
        <v>0.498732133</v>
      </c>
    </row>
    <row r="3322">
      <c r="A3322" s="4">
        <v>3322.0</v>
      </c>
      <c r="B3322" s="3" t="s">
        <v>49340</v>
      </c>
      <c r="C3322" s="6" t="s">
        <v>74</v>
      </c>
      <c r="D3322" s="6" t="s">
        <v>49341</v>
      </c>
      <c r="E3322" s="3" t="str">
        <f t="shared" si="1"/>
        <v>emission&lt;br&gt;&lt;div class="audio"&gt;[sound:emission.mp3]&lt;/div&gt;</v>
      </c>
      <c r="F3322" s="3" t="str">
        <f t="shared" si="2"/>
        <v>(n): sự phát thải</v>
      </c>
      <c r="G3322" s="6" t="s">
        <v>49342</v>
      </c>
      <c r="H3322" s="6" t="s">
        <v>49343</v>
      </c>
      <c r="I3322" s="7">
        <f t="shared" si="3"/>
        <v>0.1730761203</v>
      </c>
    </row>
    <row r="3323">
      <c r="A3323" s="4">
        <v>3323.0</v>
      </c>
      <c r="B3323" s="3" t="s">
        <v>49344</v>
      </c>
      <c r="C3323" s="6" t="s">
        <v>74</v>
      </c>
      <c r="D3323" s="6" t="s">
        <v>49345</v>
      </c>
      <c r="E3323" s="3" t="str">
        <f t="shared" si="1"/>
        <v>breakdown&lt;br&gt;&lt;div class="audio"&gt;[sound:breakdown.mp3]&lt;/div&gt;</v>
      </c>
      <c r="F3323" s="3" t="str">
        <f t="shared" si="2"/>
        <v>(n): sự hỏng hóc</v>
      </c>
      <c r="G3323" s="6" t="s">
        <v>49346</v>
      </c>
      <c r="H3323" s="6" t="s">
        <v>49347</v>
      </c>
      <c r="I3323" s="7">
        <f t="shared" si="3"/>
        <v>0.1680184685</v>
      </c>
    </row>
    <row r="3324">
      <c r="A3324" s="4">
        <v>3324.0</v>
      </c>
      <c r="B3324" s="3" t="s">
        <v>49348</v>
      </c>
      <c r="C3324" s="6" t="s">
        <v>74</v>
      </c>
      <c r="D3324" s="6" t="s">
        <v>49349</v>
      </c>
      <c r="E3324" s="3" t="str">
        <f t="shared" si="1"/>
        <v>cherry&lt;br&gt;&lt;div class="audio"&gt;[sound:cherry.mp3]&lt;/div&gt;</v>
      </c>
      <c r="F3324" s="3" t="str">
        <f t="shared" si="2"/>
        <v>(n): quả anh đào</v>
      </c>
      <c r="G3324" s="6" t="s">
        <v>49350</v>
      </c>
      <c r="H3324" s="6" t="s">
        <v>49351</v>
      </c>
      <c r="I3324" s="7">
        <f t="shared" si="3"/>
        <v>0.9742600631</v>
      </c>
    </row>
    <row r="3325">
      <c r="A3325" s="4">
        <v>3325.0</v>
      </c>
      <c r="B3325" s="3" t="s">
        <v>49352</v>
      </c>
      <c r="C3325" s="6" t="s">
        <v>11</v>
      </c>
      <c r="D3325" s="6" t="s">
        <v>49353</v>
      </c>
      <c r="E3325" s="3" t="str">
        <f t="shared" si="1"/>
        <v>hopeful&lt;br&gt;&lt;div class="audio"&gt;[sound:hopeful.mp3]&lt;/div&gt;</v>
      </c>
      <c r="F3325" s="3" t="str">
        <f t="shared" si="2"/>
        <v>(adj): đầy hy vọng</v>
      </c>
      <c r="G3325" s="6" t="s">
        <v>49354</v>
      </c>
      <c r="H3325" s="6" t="s">
        <v>49355</v>
      </c>
      <c r="I3325" s="7">
        <f t="shared" si="3"/>
        <v>0.5322287148</v>
      </c>
    </row>
    <row r="3326">
      <c r="A3326" s="4">
        <v>3326.0</v>
      </c>
      <c r="B3326" s="3" t="s">
        <v>49356</v>
      </c>
      <c r="C3326" s="6" t="s">
        <v>11</v>
      </c>
      <c r="D3326" s="6" t="s">
        <v>49357</v>
      </c>
      <c r="E3326" s="3" t="str">
        <f t="shared" si="1"/>
        <v>promising&lt;br&gt;&lt;div class="audio"&gt;[sound:promising.mp3]&lt;/div&gt;</v>
      </c>
      <c r="F3326" s="3" t="str">
        <f t="shared" si="2"/>
        <v>(adj): đầy hứa hẹn</v>
      </c>
      <c r="G3326" s="6" t="s">
        <v>49358</v>
      </c>
      <c r="H3326" s="6" t="s">
        <v>49359</v>
      </c>
      <c r="I3326" s="7">
        <f t="shared" si="3"/>
        <v>0.2651810778</v>
      </c>
    </row>
    <row r="3327">
      <c r="A3327" s="4">
        <v>3327.0</v>
      </c>
      <c r="B3327" s="3" t="s">
        <v>49360</v>
      </c>
      <c r="C3327" s="6" t="s">
        <v>85</v>
      </c>
      <c r="D3327" s="8" t="s">
        <v>49361</v>
      </c>
      <c r="E3327" s="3" t="str">
        <f t="shared" si="1"/>
        <v>supposedly&lt;br&gt;&lt;div class="audio"&gt;[sound:supposedly.mp3]&lt;/div&gt;</v>
      </c>
      <c r="F3327" s="3" t="str">
        <f t="shared" si="2"/>
        <v>(adv): được cho là</v>
      </c>
      <c r="G3327" s="8" t="s">
        <v>49362</v>
      </c>
      <c r="H3327" s="8" t="s">
        <v>49363</v>
      </c>
      <c r="I3327" s="7">
        <f t="shared" si="3"/>
        <v>0.4002220566</v>
      </c>
    </row>
    <row r="3328">
      <c r="A3328" s="4">
        <v>3328.0</v>
      </c>
      <c r="B3328" s="3" t="s">
        <v>49364</v>
      </c>
      <c r="C3328" s="6" t="s">
        <v>74</v>
      </c>
      <c r="D3328" s="8" t="s">
        <v>21973</v>
      </c>
      <c r="E3328" s="3" t="str">
        <f t="shared" si="1"/>
        <v>supervision&lt;br&gt;&lt;div class="audio"&gt;[sound:supervision.mp3]&lt;/div&gt;</v>
      </c>
      <c r="F3328" s="3" t="str">
        <f t="shared" si="2"/>
        <v>(n): sự giám sát</v>
      </c>
      <c r="G3328" s="8" t="s">
        <v>49365</v>
      </c>
      <c r="H3328" s="8" t="s">
        <v>49366</v>
      </c>
      <c r="I3328" s="7">
        <f t="shared" si="3"/>
        <v>0.1431337278</v>
      </c>
    </row>
    <row r="3329">
      <c r="A3329" s="4">
        <v>3329.0</v>
      </c>
      <c r="B3329" s="3" t="s">
        <v>49367</v>
      </c>
      <c r="C3329" s="6" t="s">
        <v>74</v>
      </c>
      <c r="D3329" s="6" t="s">
        <v>44052</v>
      </c>
      <c r="E3329" s="3" t="str">
        <f t="shared" si="1"/>
        <v>behalf&lt;br&gt;&lt;div class="audio"&gt;[sound:behalf.mp3]&lt;/div&gt;</v>
      </c>
      <c r="F3329" s="3" t="str">
        <f t="shared" si="2"/>
        <v>(n): sự đại diện</v>
      </c>
      <c r="G3329" s="6" t="s">
        <v>49368</v>
      </c>
      <c r="H3329" s="6" t="s">
        <v>49369</v>
      </c>
      <c r="I3329" s="7">
        <f t="shared" si="3"/>
        <v>0.1968203496</v>
      </c>
    </row>
    <row r="3330">
      <c r="A3330" s="4">
        <v>3330.0</v>
      </c>
      <c r="B3330" s="3" t="s">
        <v>49370</v>
      </c>
      <c r="C3330" s="6" t="s">
        <v>74</v>
      </c>
      <c r="D3330" s="6" t="s">
        <v>11604</v>
      </c>
      <c r="E3330" s="3" t="str">
        <f t="shared" si="1"/>
        <v>agriculture&lt;br&gt;&lt;div class="audio"&gt;[sound:agriculture.mp3]&lt;/div&gt;</v>
      </c>
      <c r="F3330" s="3" t="str">
        <f t="shared" si="2"/>
        <v>(n): nông nghiệp</v>
      </c>
      <c r="G3330" s="6" t="s">
        <v>49371</v>
      </c>
      <c r="H3330" s="6" t="s">
        <v>49372</v>
      </c>
      <c r="I3330" s="7">
        <f t="shared" si="3"/>
        <v>0.5631343599</v>
      </c>
    </row>
    <row r="3331">
      <c r="A3331" s="4">
        <v>3331.0</v>
      </c>
      <c r="B3331" s="3" t="s">
        <v>49373</v>
      </c>
      <c r="C3331" s="6" t="s">
        <v>74</v>
      </c>
      <c r="D3331" s="6" t="s">
        <v>20565</v>
      </c>
      <c r="E3331" s="3" t="str">
        <f t="shared" si="1"/>
        <v>pride&lt;br&gt;&lt;div class="audio"&gt;[sound:pride.mp3]&lt;/div&gt;</v>
      </c>
      <c r="F3331" s="3" t="str">
        <f t="shared" si="2"/>
        <v>(n): niềm tự hào</v>
      </c>
      <c r="G3331" s="6" t="s">
        <v>49374</v>
      </c>
      <c r="H3331" s="6" t="s">
        <v>49375</v>
      </c>
      <c r="I3331" s="7">
        <f t="shared" si="3"/>
        <v>0.6750953104</v>
      </c>
    </row>
    <row r="3332">
      <c r="A3332" s="4">
        <v>3332.0</v>
      </c>
      <c r="B3332" s="3" t="s">
        <v>49376</v>
      </c>
      <c r="C3332" s="6" t="s">
        <v>74</v>
      </c>
      <c r="D3332" s="6" t="s">
        <v>49377</v>
      </c>
      <c r="E3332" s="3" t="str">
        <f t="shared" si="1"/>
        <v>sandwich&lt;br&gt;&lt;div class="audio"&gt;[sound:sandwich.mp3]&lt;/div&gt;</v>
      </c>
      <c r="F3332" s="3" t="str">
        <f t="shared" si="2"/>
        <v>(n): bánh mì kẹp</v>
      </c>
      <c r="G3332" s="6" t="s">
        <v>49378</v>
      </c>
      <c r="H3332" s="6" t="s">
        <v>49379</v>
      </c>
      <c r="I3332" s="7">
        <f t="shared" si="3"/>
        <v>0.4406109777</v>
      </c>
    </row>
    <row r="3333">
      <c r="A3333" s="4">
        <v>3333.0</v>
      </c>
      <c r="B3333" s="3" t="s">
        <v>49380</v>
      </c>
      <c r="C3333" s="6" t="s">
        <v>11</v>
      </c>
      <c r="D3333" s="8" t="s">
        <v>49381</v>
      </c>
      <c r="E3333" s="3" t="str">
        <f t="shared" si="1"/>
        <v>so-called&lt;br&gt;&lt;div class="audio"&gt;[sound:so-called.mp3]&lt;/div&gt;</v>
      </c>
      <c r="F3333" s="3" t="str">
        <f t="shared" si="2"/>
        <v>(adj): được gọi là</v>
      </c>
      <c r="G3333" s="8" t="s">
        <v>49382</v>
      </c>
      <c r="H3333" s="8" t="s">
        <v>49383</v>
      </c>
      <c r="I3333" s="7">
        <f t="shared" si="3"/>
        <v>0.6142399968</v>
      </c>
    </row>
    <row r="3334">
      <c r="A3334" s="4">
        <v>3334.0</v>
      </c>
      <c r="B3334" s="3" t="s">
        <v>49384</v>
      </c>
      <c r="C3334" s="6" t="s">
        <v>11</v>
      </c>
      <c r="D3334" s="6" t="s">
        <v>40069</v>
      </c>
      <c r="E3334" s="3" t="str">
        <f t="shared" si="1"/>
        <v>probable&lt;br&gt;&lt;div class="audio"&gt;[sound:probable.mp3]&lt;/div&gt;</v>
      </c>
      <c r="F3334" s="3" t="str">
        <f t="shared" si="2"/>
        <v>(adj): có khả năng</v>
      </c>
      <c r="G3334" s="6" t="s">
        <v>49385</v>
      </c>
      <c r="H3334" s="6" t="s">
        <v>49386</v>
      </c>
      <c r="I3334" s="7">
        <f t="shared" si="3"/>
        <v>0.5554096004</v>
      </c>
    </row>
    <row r="3335">
      <c r="A3335" s="4">
        <v>3335.0</v>
      </c>
      <c r="B3335" s="3" t="s">
        <v>49387</v>
      </c>
      <c r="C3335" s="6" t="s">
        <v>74</v>
      </c>
      <c r="D3335" s="8" t="s">
        <v>21973</v>
      </c>
      <c r="E3335" s="3" t="str">
        <f t="shared" si="1"/>
        <v>surveillance&lt;br&gt;&lt;div class="audio"&gt;[sound:surveillance.mp3]&lt;/div&gt;</v>
      </c>
      <c r="F3335" s="3" t="str">
        <f t="shared" si="2"/>
        <v>(n): sự giám sát</v>
      </c>
      <c r="G3335" s="8" t="s">
        <v>49388</v>
      </c>
      <c r="H3335" s="8" t="s">
        <v>49389</v>
      </c>
      <c r="I3335" s="7">
        <f t="shared" si="3"/>
        <v>0.9948607969</v>
      </c>
    </row>
    <row r="3336">
      <c r="A3336" s="4">
        <v>3336.0</v>
      </c>
      <c r="B3336" s="3" t="s">
        <v>49390</v>
      </c>
      <c r="C3336" s="6" t="s">
        <v>11</v>
      </c>
      <c r="D3336" s="6" t="s">
        <v>49391</v>
      </c>
      <c r="E3336" s="3" t="str">
        <f t="shared" si="1"/>
        <v>retired&lt;br&gt;&lt;div class="audio"&gt;[sound:retired.mp3]&lt;/div&gt;</v>
      </c>
      <c r="F3336" s="3" t="str">
        <f t="shared" si="2"/>
        <v>(adj): đã nghỉ hưu</v>
      </c>
      <c r="G3336" s="6" t="s">
        <v>49392</v>
      </c>
      <c r="H3336" s="6" t="s">
        <v>49393</v>
      </c>
      <c r="I3336" s="7">
        <f t="shared" si="3"/>
        <v>0.4996112548</v>
      </c>
    </row>
    <row r="3337">
      <c r="A3337" s="4">
        <v>3337.0</v>
      </c>
      <c r="B3337" s="3" t="s">
        <v>49394</v>
      </c>
      <c r="C3337" s="6" t="s">
        <v>24</v>
      </c>
      <c r="D3337" s="8" t="s">
        <v>49395</v>
      </c>
      <c r="E3337" s="3" t="str">
        <f t="shared" si="1"/>
        <v>soar&lt;br&gt;&lt;div class="audio"&gt;[sound:soar.mp3]&lt;/div&gt;</v>
      </c>
      <c r="F3337" s="3" t="str">
        <f t="shared" si="2"/>
        <v>(v): bay vút lên</v>
      </c>
      <c r="G3337" s="8" t="s">
        <v>49396</v>
      </c>
      <c r="H3337" s="8" t="s">
        <v>49397</v>
      </c>
      <c r="I3337" s="7">
        <f t="shared" si="3"/>
        <v>0.3978474542</v>
      </c>
    </row>
    <row r="3338">
      <c r="A3338" s="4">
        <v>3338.0</v>
      </c>
      <c r="B3338" s="3" t="s">
        <v>49398</v>
      </c>
      <c r="C3338" s="6" t="s">
        <v>74</v>
      </c>
      <c r="D3338" s="6" t="s">
        <v>49399</v>
      </c>
      <c r="E3338" s="3" t="str">
        <f t="shared" si="1"/>
        <v>feeding&lt;br&gt;&lt;div class="audio"&gt;[sound:feeding.mp3]&lt;/div&gt;</v>
      </c>
      <c r="F3338" s="3" t="str">
        <f t="shared" si="2"/>
        <v>(n): việc cho ăn</v>
      </c>
      <c r="G3338" s="6" t="s">
        <v>49400</v>
      </c>
      <c r="H3338" s="6" t="s">
        <v>49401</v>
      </c>
      <c r="I3338" s="7">
        <f t="shared" si="3"/>
        <v>0.679921775</v>
      </c>
    </row>
    <row r="3339">
      <c r="A3339" s="4">
        <v>3339.0</v>
      </c>
      <c r="B3339" s="3" t="s">
        <v>49402</v>
      </c>
      <c r="C3339" s="6" t="s">
        <v>74</v>
      </c>
      <c r="D3339" s="6" t="s">
        <v>49403</v>
      </c>
      <c r="E3339" s="3" t="str">
        <f t="shared" si="1"/>
        <v>processor&lt;br&gt;&lt;div class="audio"&gt;[sound:processor.mp3]&lt;/div&gt;</v>
      </c>
      <c r="F3339" s="3" t="str">
        <f t="shared" si="2"/>
        <v>(n): bộ vi xử lý</v>
      </c>
      <c r="G3339" s="6" t="s">
        <v>49404</v>
      </c>
      <c r="H3339" s="6" t="s">
        <v>49405</v>
      </c>
      <c r="I3339" s="7">
        <f t="shared" si="3"/>
        <v>0.8087587975</v>
      </c>
    </row>
    <row r="3340">
      <c r="A3340" s="4">
        <v>3340.0</v>
      </c>
      <c r="B3340" s="3" t="s">
        <v>49406</v>
      </c>
      <c r="C3340" s="6" t="s">
        <v>74</v>
      </c>
      <c r="D3340" s="6" t="s">
        <v>49407</v>
      </c>
      <c r="E3340" s="3" t="str">
        <f t="shared" si="1"/>
        <v>popularity&lt;br&gt;&lt;div class="audio"&gt;[sound:popularity.mp3]&lt;/div&gt;</v>
      </c>
      <c r="F3340" s="3" t="str">
        <f t="shared" si="2"/>
        <v>(n): sự phổ biến</v>
      </c>
      <c r="G3340" s="6" t="s">
        <v>49408</v>
      </c>
      <c r="H3340" s="6" t="s">
        <v>49409</v>
      </c>
      <c r="I3340" s="7">
        <f t="shared" si="3"/>
        <v>0.7379550948</v>
      </c>
    </row>
    <row r="3341">
      <c r="A3341" s="4">
        <v>3341.0</v>
      </c>
      <c r="B3341" s="3" t="s">
        <v>49410</v>
      </c>
      <c r="C3341" s="6" t="s">
        <v>74</v>
      </c>
      <c r="D3341" s="8" t="s">
        <v>19112</v>
      </c>
      <c r="E3341" s="3" t="str">
        <f t="shared" si="1"/>
        <v>substitution&lt;br&gt;&lt;div class="audio"&gt;[sound:substitution.mp3]&lt;/div&gt;</v>
      </c>
      <c r="F3341" s="3" t="str">
        <f t="shared" si="2"/>
        <v>(n): sự thay thế</v>
      </c>
      <c r="G3341" s="8" t="s">
        <v>49411</v>
      </c>
      <c r="H3341" s="8" t="s">
        <v>49412</v>
      </c>
      <c r="I3341" s="7">
        <f t="shared" si="3"/>
        <v>0.5770938785</v>
      </c>
    </row>
    <row r="3342">
      <c r="A3342" s="4">
        <v>3342.0</v>
      </c>
      <c r="B3342" s="3" t="s">
        <v>49413</v>
      </c>
      <c r="C3342" s="6" t="s">
        <v>74</v>
      </c>
      <c r="D3342" s="8" t="s">
        <v>49414</v>
      </c>
      <c r="E3342" s="3" t="str">
        <f t="shared" si="1"/>
        <v>suspension&lt;br&gt;&lt;div class="audio"&gt;[sound:suspension.mp3]&lt;/div&gt;</v>
      </c>
      <c r="F3342" s="3" t="str">
        <f t="shared" si="2"/>
        <v>(n): sự đình chỉ</v>
      </c>
      <c r="G3342" s="8" t="s">
        <v>49415</v>
      </c>
      <c r="H3342" s="8" t="s">
        <v>49416</v>
      </c>
      <c r="I3342" s="7">
        <f t="shared" si="3"/>
        <v>0.959086151</v>
      </c>
    </row>
    <row r="3343">
      <c r="A3343" s="4">
        <v>3343.0</v>
      </c>
      <c r="B3343" s="3" t="s">
        <v>49417</v>
      </c>
      <c r="C3343" s="6" t="s">
        <v>74</v>
      </c>
      <c r="D3343" s="6" t="s">
        <v>49418</v>
      </c>
      <c r="E3343" s="3" t="str">
        <f t="shared" si="1"/>
        <v>casualty&lt;br&gt;&lt;div class="audio"&gt;[sound:casualty.mp3]&lt;/div&gt;</v>
      </c>
      <c r="F3343" s="3" t="str">
        <f t="shared" si="2"/>
        <v>(n): thương vong</v>
      </c>
      <c r="G3343" s="6" t="s">
        <v>49419</v>
      </c>
      <c r="H3343" s="6" t="s">
        <v>49420</v>
      </c>
      <c r="I3343" s="7">
        <f t="shared" si="3"/>
        <v>0.8822240424</v>
      </c>
    </row>
    <row r="3344">
      <c r="A3344" s="4">
        <v>3344.0</v>
      </c>
      <c r="B3344" s="3" t="s">
        <v>49421</v>
      </c>
      <c r="C3344" s="6" t="s">
        <v>58</v>
      </c>
      <c r="D3344" s="8" t="s">
        <v>49422</v>
      </c>
      <c r="E3344" s="3" t="str">
        <f t="shared" si="1"/>
        <v>sixteen&lt;br&gt;&lt;div class="audio"&gt;[sound:sixteen.mp3]&lt;/div&gt;</v>
      </c>
      <c r="F3344" s="3" t="str">
        <f t="shared" si="2"/>
        <v>(num): số mười sáu</v>
      </c>
      <c r="G3344" s="8" t="s">
        <v>49423</v>
      </c>
      <c r="H3344" s="8" t="s">
        <v>49424</v>
      </c>
      <c r="I3344" s="7">
        <f t="shared" si="3"/>
        <v>0.6513349796</v>
      </c>
    </row>
    <row r="3345">
      <c r="A3345" s="4">
        <v>3345.0</v>
      </c>
      <c r="B3345" s="3" t="s">
        <v>49425</v>
      </c>
      <c r="C3345" s="6" t="s">
        <v>74</v>
      </c>
      <c r="D3345" s="6" t="s">
        <v>49426</v>
      </c>
      <c r="E3345" s="3" t="str">
        <f t="shared" si="1"/>
        <v>romance&lt;br&gt;&lt;div class="audio"&gt;[sound:romance.mp3]&lt;/div&gt;</v>
      </c>
      <c r="F3345" s="3" t="str">
        <f t="shared" si="2"/>
        <v>(n): sự lãng mạn</v>
      </c>
      <c r="G3345" s="6" t="s">
        <v>49427</v>
      </c>
      <c r="H3345" s="6" t="s">
        <v>49428</v>
      </c>
      <c r="I3345" s="7">
        <f t="shared" si="3"/>
        <v>0.8015853021</v>
      </c>
    </row>
    <row r="3346">
      <c r="A3346" s="4">
        <v>3346.0</v>
      </c>
      <c r="B3346" s="3" t="s">
        <v>49429</v>
      </c>
      <c r="C3346" s="6" t="s">
        <v>74</v>
      </c>
      <c r="D3346" s="6" t="s">
        <v>49430</v>
      </c>
      <c r="E3346" s="3" t="str">
        <f t="shared" si="1"/>
        <v>cemetery&lt;br&gt;&lt;div class="audio"&gt;[sound:cemetery.mp3]&lt;/div&gt;</v>
      </c>
      <c r="F3346" s="3" t="str">
        <f t="shared" si="2"/>
        <v>(n): nghĩa trang</v>
      </c>
      <c r="G3346" s="6" t="s">
        <v>49431</v>
      </c>
      <c r="H3346" s="6" t="s">
        <v>49432</v>
      </c>
      <c r="I3346" s="7">
        <f t="shared" si="3"/>
        <v>0.7667177486</v>
      </c>
    </row>
    <row r="3347">
      <c r="A3347" s="4">
        <v>3347.0</v>
      </c>
      <c r="B3347" s="3" t="s">
        <v>49433</v>
      </c>
      <c r="C3347" s="6" t="s">
        <v>24</v>
      </c>
      <c r="D3347" s="6" t="s">
        <v>49434</v>
      </c>
      <c r="E3347" s="3" t="str">
        <f t="shared" si="1"/>
        <v>sail&lt;br&gt;&lt;div class="audio"&gt;[sound:sail.mp3]&lt;/div&gt;</v>
      </c>
      <c r="F3347" s="3" t="str">
        <f t="shared" si="2"/>
        <v>(v): chèo thuyền</v>
      </c>
      <c r="G3347" s="6" t="s">
        <v>49435</v>
      </c>
      <c r="H3347" s="6" t="s">
        <v>49436</v>
      </c>
      <c r="I3347" s="7">
        <f t="shared" si="3"/>
        <v>0.5215432541</v>
      </c>
    </row>
    <row r="3348">
      <c r="A3348" s="4">
        <v>3348.0</v>
      </c>
      <c r="B3348" s="3" t="s">
        <v>49437</v>
      </c>
      <c r="C3348" s="6" t="s">
        <v>74</v>
      </c>
      <c r="D3348" s="6" t="s">
        <v>49438</v>
      </c>
      <c r="E3348" s="3" t="str">
        <f t="shared" si="1"/>
        <v>injustice&lt;br&gt;&lt;div class="audio"&gt;[sound:injustice.mp3]&lt;/div&gt;</v>
      </c>
      <c r="F3348" s="3" t="str">
        <f t="shared" si="2"/>
        <v>(n): sự bất công</v>
      </c>
      <c r="G3348" s="6" t="s">
        <v>49439</v>
      </c>
      <c r="H3348" s="6" t="s">
        <v>49440</v>
      </c>
      <c r="I3348" s="7">
        <f t="shared" si="3"/>
        <v>0.4635444379</v>
      </c>
    </row>
    <row r="3349">
      <c r="A3349" s="4">
        <v>3349.0</v>
      </c>
      <c r="B3349" s="3" t="s">
        <v>49441</v>
      </c>
      <c r="C3349" s="6" t="s">
        <v>11</v>
      </c>
      <c r="D3349" s="8" t="s">
        <v>19327</v>
      </c>
      <c r="E3349" s="3" t="str">
        <f t="shared" si="1"/>
        <v>sincere&lt;br&gt;&lt;div class="audio"&gt;[sound:sincere.mp3]&lt;/div&gt;</v>
      </c>
      <c r="F3349" s="3" t="str">
        <f t="shared" si="2"/>
        <v>(adj): chân thành</v>
      </c>
      <c r="G3349" s="8" t="s">
        <v>49442</v>
      </c>
      <c r="H3349" s="8" t="s">
        <v>39731</v>
      </c>
      <c r="I3349" s="7">
        <f t="shared" si="3"/>
        <v>0.6398393879</v>
      </c>
    </row>
    <row r="3350">
      <c r="A3350" s="4">
        <v>3350.0</v>
      </c>
      <c r="B3350" s="3" t="s">
        <v>49443</v>
      </c>
      <c r="C3350" s="6" t="s">
        <v>74</v>
      </c>
      <c r="D3350" s="6" t="s">
        <v>49444</v>
      </c>
      <c r="E3350" s="3" t="str">
        <f t="shared" si="1"/>
        <v>attendance&lt;br&gt;&lt;div class="audio"&gt;[sound:attendance.mp3]&lt;/div&gt;</v>
      </c>
      <c r="F3350" s="3" t="str">
        <f t="shared" si="2"/>
        <v>(n): sự tham dự</v>
      </c>
      <c r="G3350" s="6" t="s">
        <v>49445</v>
      </c>
      <c r="H3350" s="6" t="s">
        <v>49446</v>
      </c>
      <c r="I3350" s="7">
        <f t="shared" si="3"/>
        <v>0.9522659313</v>
      </c>
    </row>
    <row r="3351">
      <c r="A3351" s="4">
        <v>3351.0</v>
      </c>
      <c r="B3351" s="3" t="s">
        <v>49447</v>
      </c>
      <c r="C3351" s="6" t="s">
        <v>74</v>
      </c>
      <c r="D3351" s="6" t="s">
        <v>49448</v>
      </c>
      <c r="E3351" s="3" t="str">
        <f t="shared" si="1"/>
        <v>excess&lt;br&gt;&lt;div class="audio"&gt;[sound:excess.mp3]&lt;/div&gt;</v>
      </c>
      <c r="F3351" s="3" t="str">
        <f t="shared" si="2"/>
        <v>(n): sự dư thừa</v>
      </c>
      <c r="G3351" s="6" t="s">
        <v>49449</v>
      </c>
      <c r="H3351" s="6" t="s">
        <v>49450</v>
      </c>
      <c r="I3351" s="7">
        <f t="shared" si="3"/>
        <v>0.09652942391</v>
      </c>
    </row>
    <row r="3352">
      <c r="A3352" s="4">
        <v>3352.0</v>
      </c>
      <c r="B3352" s="3" t="s">
        <v>49451</v>
      </c>
      <c r="C3352" s="6" t="s">
        <v>24</v>
      </c>
      <c r="D3352" s="6" t="s">
        <v>22939</v>
      </c>
      <c r="E3352" s="3" t="str">
        <f t="shared" si="1"/>
        <v>conquer&lt;br&gt;&lt;div class="audio"&gt;[sound:conquer.mp3]&lt;/div&gt;</v>
      </c>
      <c r="F3352" s="3" t="str">
        <f t="shared" si="2"/>
        <v>(v): chinh phục</v>
      </c>
      <c r="G3352" s="6" t="s">
        <v>49452</v>
      </c>
      <c r="H3352" s="6" t="s">
        <v>49453</v>
      </c>
      <c r="I3352" s="7">
        <f t="shared" si="3"/>
        <v>0.9908084348</v>
      </c>
    </row>
    <row r="3353">
      <c r="A3353" s="4">
        <v>3353.0</v>
      </c>
      <c r="B3353" s="3" t="s">
        <v>49454</v>
      </c>
      <c r="C3353" s="6" t="s">
        <v>24</v>
      </c>
      <c r="D3353" s="6" t="s">
        <v>49455</v>
      </c>
      <c r="E3353" s="3" t="str">
        <f t="shared" si="1"/>
        <v>scare&lt;br&gt;&lt;div class="audio"&gt;[sound:scare.mp3]&lt;/div&gt;</v>
      </c>
      <c r="F3353" s="3" t="str">
        <f t="shared" si="2"/>
        <v>(v): làm sợ hãi</v>
      </c>
      <c r="G3353" s="6" t="s">
        <v>49456</v>
      </c>
      <c r="H3353" s="6" t="s">
        <v>49457</v>
      </c>
      <c r="I3353" s="7">
        <f t="shared" si="3"/>
        <v>0.4567745792</v>
      </c>
    </row>
    <row r="3354">
      <c r="A3354" s="4">
        <v>3354.0</v>
      </c>
      <c r="B3354" s="3" t="s">
        <v>49458</v>
      </c>
      <c r="C3354" s="6" t="s">
        <v>85</v>
      </c>
      <c r="D3354" s="6" t="s">
        <v>49459</v>
      </c>
      <c r="E3354" s="3" t="str">
        <f t="shared" si="1"/>
        <v>frankly&lt;br&gt;&lt;div class="audio"&gt;[sound:frankly.mp3]&lt;/div&gt;</v>
      </c>
      <c r="F3354" s="3" t="str">
        <f t="shared" si="2"/>
        <v>(adv): thẳng thắn</v>
      </c>
      <c r="G3354" s="6" t="s">
        <v>49460</v>
      </c>
      <c r="H3354" s="6" t="s">
        <v>49461</v>
      </c>
      <c r="I3354" s="7">
        <f t="shared" si="3"/>
        <v>0.2871361546</v>
      </c>
    </row>
    <row r="3355">
      <c r="A3355" s="4">
        <v>3355.0</v>
      </c>
      <c r="B3355" s="3" t="s">
        <v>49462</v>
      </c>
      <c r="C3355" s="6" t="s">
        <v>74</v>
      </c>
      <c r="D3355" s="6" t="s">
        <v>49463</v>
      </c>
      <c r="E3355" s="3" t="str">
        <f t="shared" si="1"/>
        <v>refusal&lt;br&gt;&lt;div class="audio"&gt;[sound:refusal.mp3]&lt;/div&gt;</v>
      </c>
      <c r="F3355" s="3" t="str">
        <f t="shared" si="2"/>
        <v>(n): sự từ chối</v>
      </c>
      <c r="G3355" s="6" t="s">
        <v>49464</v>
      </c>
      <c r="H3355" s="6" t="s">
        <v>49465</v>
      </c>
      <c r="I3355" s="7">
        <f t="shared" si="3"/>
        <v>0.9258182976</v>
      </c>
    </row>
    <row r="3356">
      <c r="A3356" s="4">
        <v>3356.0</v>
      </c>
      <c r="B3356" s="3" t="s">
        <v>49466</v>
      </c>
      <c r="C3356" s="6" t="s">
        <v>74</v>
      </c>
      <c r="D3356" s="6" t="s">
        <v>44108</v>
      </c>
      <c r="E3356" s="3" t="str">
        <f t="shared" si="1"/>
        <v>entrepreneur&lt;br&gt;&lt;div class="audio"&gt;[sound:entrepreneur.mp3]&lt;/div&gt;</v>
      </c>
      <c r="F3356" s="3" t="str">
        <f t="shared" si="2"/>
        <v>(n): doanh nhân</v>
      </c>
      <c r="G3356" s="6" t="s">
        <v>49467</v>
      </c>
      <c r="H3356" s="6" t="s">
        <v>49468</v>
      </c>
      <c r="I3356" s="7">
        <f t="shared" si="3"/>
        <v>0.8944391806</v>
      </c>
    </row>
    <row r="3357">
      <c r="A3357" s="4">
        <v>3357.0</v>
      </c>
      <c r="B3357" s="3" t="s">
        <v>49469</v>
      </c>
      <c r="C3357" s="6" t="s">
        <v>74</v>
      </c>
      <c r="D3357" s="6" t="s">
        <v>49470</v>
      </c>
      <c r="E3357" s="3" t="str">
        <f t="shared" si="1"/>
        <v>runner&lt;br&gt;&lt;div class="audio"&gt;[sound:runner.mp3]&lt;/div&gt;</v>
      </c>
      <c r="F3357" s="3" t="str">
        <f t="shared" si="2"/>
        <v>(n): người chạy</v>
      </c>
      <c r="G3357" s="6" t="s">
        <v>49471</v>
      </c>
      <c r="H3357" s="6" t="s">
        <v>49472</v>
      </c>
      <c r="I3357" s="7">
        <f t="shared" si="3"/>
        <v>0.1791666428</v>
      </c>
    </row>
    <row r="3358">
      <c r="A3358" s="4">
        <v>3358.0</v>
      </c>
      <c r="B3358" s="3" t="s">
        <v>49473</v>
      </c>
      <c r="C3358" s="6" t="s">
        <v>74</v>
      </c>
      <c r="D3358" s="6" t="s">
        <v>49474</v>
      </c>
      <c r="E3358" s="3" t="str">
        <f t="shared" si="1"/>
        <v>capitalist&lt;br&gt;&lt;div class="audio"&gt;[sound:capitalist.mp3]&lt;/div&gt;</v>
      </c>
      <c r="F3358" s="3" t="str">
        <f t="shared" si="2"/>
        <v>(n): nhà tư bản</v>
      </c>
      <c r="G3358" s="6" t="s">
        <v>49475</v>
      </c>
      <c r="H3358" s="6" t="s">
        <v>49476</v>
      </c>
      <c r="I3358" s="7">
        <f t="shared" si="3"/>
        <v>0.3433594081</v>
      </c>
    </row>
    <row r="3359">
      <c r="A3359" s="4">
        <v>3359.0</v>
      </c>
      <c r="B3359" s="3" t="s">
        <v>49477</v>
      </c>
      <c r="C3359" s="6" t="s">
        <v>11</v>
      </c>
      <c r="D3359" s="6" t="s">
        <v>49478</v>
      </c>
      <c r="E3359" s="3" t="str">
        <f t="shared" si="1"/>
        <v>random&lt;br&gt;&lt;div class="audio"&gt;[sound:random.mp3]&lt;/div&gt;</v>
      </c>
      <c r="F3359" s="3" t="str">
        <f t="shared" si="2"/>
        <v>(adj): ngẫu nhiên</v>
      </c>
      <c r="G3359" s="6" t="s">
        <v>49479</v>
      </c>
      <c r="H3359" s="6" t="s">
        <v>49480</v>
      </c>
      <c r="I3359" s="7">
        <f t="shared" si="3"/>
        <v>0.3677132191</v>
      </c>
    </row>
    <row r="3360">
      <c r="A3360" s="4">
        <v>3360.0</v>
      </c>
      <c r="B3360" s="3" t="s">
        <v>49481</v>
      </c>
      <c r="C3360" s="6" t="s">
        <v>85</v>
      </c>
      <c r="D3360" s="6" t="s">
        <v>2641</v>
      </c>
      <c r="E3360" s="3" t="str">
        <f t="shared" si="1"/>
        <v>overseas&lt;br&gt;&lt;div class="audio"&gt;[sound:overseas.mp3]&lt;/div&gt;</v>
      </c>
      <c r="F3360" s="3" t="str">
        <f t="shared" si="2"/>
        <v>(adv): nước ngoài</v>
      </c>
      <c r="G3360" s="6" t="s">
        <v>49482</v>
      </c>
      <c r="H3360" s="6" t="s">
        <v>49483</v>
      </c>
      <c r="I3360" s="7">
        <f t="shared" si="3"/>
        <v>0.7196754294</v>
      </c>
    </row>
    <row r="3361">
      <c r="A3361" s="4">
        <v>3361.0</v>
      </c>
      <c r="B3361" s="3" t="s">
        <v>49484</v>
      </c>
      <c r="C3361" s="6" t="s">
        <v>74</v>
      </c>
      <c r="D3361" s="6" t="s">
        <v>49485</v>
      </c>
      <c r="E3361" s="3" t="str">
        <f t="shared" si="1"/>
        <v>reservation&lt;br&gt;&lt;div class="audio"&gt;[sound:reservation.mp3]&lt;/div&gt;</v>
      </c>
      <c r="F3361" s="3" t="str">
        <f t="shared" si="2"/>
        <v>(n): sự đặt chỗ</v>
      </c>
      <c r="G3361" s="6" t="s">
        <v>49486</v>
      </c>
      <c r="H3361" s="6" t="s">
        <v>49487</v>
      </c>
      <c r="I3361" s="7">
        <f t="shared" si="3"/>
        <v>0.2397518209</v>
      </c>
    </row>
    <row r="3362">
      <c r="A3362" s="4">
        <v>3362.0</v>
      </c>
      <c r="B3362" s="3" t="s">
        <v>49488</v>
      </c>
      <c r="C3362" s="6" t="s">
        <v>74</v>
      </c>
      <c r="D3362" s="6" t="s">
        <v>8222</v>
      </c>
      <c r="E3362" s="3" t="str">
        <f t="shared" si="1"/>
        <v>laughter&lt;br&gt;&lt;div class="audio"&gt;[sound:laughter.mp3]&lt;/div&gt;</v>
      </c>
      <c r="F3362" s="3" t="str">
        <f t="shared" si="2"/>
        <v>(n): tiếng cười</v>
      </c>
      <c r="G3362" s="6" t="s">
        <v>49489</v>
      </c>
      <c r="H3362" s="6" t="s">
        <v>49490</v>
      </c>
      <c r="I3362" s="7">
        <f t="shared" si="3"/>
        <v>0.4666262146</v>
      </c>
    </row>
    <row r="3363">
      <c r="A3363" s="4">
        <v>3363.0</v>
      </c>
      <c r="B3363" s="3" t="s">
        <v>49491</v>
      </c>
      <c r="C3363" s="6" t="s">
        <v>74</v>
      </c>
      <c r="D3363" s="6" t="s">
        <v>49492</v>
      </c>
      <c r="E3363" s="3" t="str">
        <f t="shared" si="1"/>
        <v>salad&lt;br&gt;&lt;div class="audio"&gt;[sound:salad.mp3]&lt;/div&gt;</v>
      </c>
      <c r="F3363" s="3" t="str">
        <f t="shared" si="2"/>
        <v>(n): món sa-lát</v>
      </c>
      <c r="G3363" s="6" t="s">
        <v>49493</v>
      </c>
      <c r="H3363" s="6" t="s">
        <v>49494</v>
      </c>
      <c r="I3363" s="7">
        <f t="shared" si="3"/>
        <v>0.394074406</v>
      </c>
    </row>
    <row r="3364">
      <c r="A3364" s="4">
        <v>3364.0</v>
      </c>
      <c r="B3364" s="3" t="s">
        <v>49495</v>
      </c>
      <c r="C3364" s="6" t="s">
        <v>74</v>
      </c>
      <c r="D3364" s="6" t="s">
        <v>49496</v>
      </c>
      <c r="E3364" s="3" t="str">
        <f t="shared" si="1"/>
        <v>violation&lt;br&gt;&lt;div class="audio"&gt;[sound:violation.mp3]&lt;/div&gt;</v>
      </c>
      <c r="F3364" s="3" t="str">
        <f t="shared" si="2"/>
        <v>(n): sự vi phạm</v>
      </c>
      <c r="G3364" s="6" t="s">
        <v>49497</v>
      </c>
      <c r="H3364" s="6" t="s">
        <v>49498</v>
      </c>
      <c r="I3364" s="7">
        <f t="shared" si="3"/>
        <v>0.2484454757</v>
      </c>
    </row>
    <row r="3365">
      <c r="A3365" s="4">
        <v>3365.0</v>
      </c>
      <c r="B3365" s="3" t="s">
        <v>49499</v>
      </c>
      <c r="C3365" s="6" t="s">
        <v>85</v>
      </c>
      <c r="D3365" s="6" t="s">
        <v>49500</v>
      </c>
      <c r="E3365" s="3" t="str">
        <f t="shared" si="1"/>
        <v>necessarily&lt;br&gt;&lt;div class="audio"&gt;[sound:necessarily.mp3]&lt;/div&gt;</v>
      </c>
      <c r="F3365" s="3" t="str">
        <f t="shared" si="2"/>
        <v>(adv): nhất thiết</v>
      </c>
      <c r="G3365" s="6" t="s">
        <v>49501</v>
      </c>
      <c r="H3365" s="6" t="s">
        <v>49502</v>
      </c>
      <c r="I3365" s="7">
        <f t="shared" si="3"/>
        <v>0.1283527064</v>
      </c>
    </row>
    <row r="3366">
      <c r="A3366" s="4">
        <v>3366.0</v>
      </c>
      <c r="B3366" s="3" t="s">
        <v>49503</v>
      </c>
      <c r="C3366" s="6" t="s">
        <v>74</v>
      </c>
      <c r="D3366" s="6" t="s">
        <v>49496</v>
      </c>
      <c r="E3366" s="3" t="str">
        <f t="shared" si="1"/>
        <v>breach&lt;br&gt;&lt;div class="audio"&gt;[sound:breach.mp3]&lt;/div&gt;</v>
      </c>
      <c r="F3366" s="3" t="str">
        <f t="shared" si="2"/>
        <v>(n): sự vi phạm</v>
      </c>
      <c r="G3366" s="6" t="s">
        <v>49504</v>
      </c>
      <c r="H3366" s="6" t="s">
        <v>49505</v>
      </c>
      <c r="I3366" s="7">
        <f t="shared" si="3"/>
        <v>0.4637118743</v>
      </c>
    </row>
    <row r="3367">
      <c r="A3367" s="4">
        <v>3367.0</v>
      </c>
      <c r="B3367" s="3" t="s">
        <v>49506</v>
      </c>
      <c r="C3367" s="6" t="s">
        <v>74</v>
      </c>
      <c r="D3367" s="6" t="s">
        <v>12515</v>
      </c>
      <c r="E3367" s="3" t="str">
        <f t="shared" si="1"/>
        <v>limitation&lt;br&gt;&lt;div class="audio"&gt;[sound:limitation.mp3]&lt;/div&gt;</v>
      </c>
      <c r="F3367" s="3" t="str">
        <f t="shared" si="2"/>
        <v>(n): sự hạn chế</v>
      </c>
      <c r="G3367" s="6" t="s">
        <v>49507</v>
      </c>
      <c r="H3367" s="6" t="s">
        <v>49508</v>
      </c>
      <c r="I3367" s="7">
        <f t="shared" si="3"/>
        <v>0.01556973381</v>
      </c>
    </row>
    <row r="3368">
      <c r="A3368" s="4">
        <v>3368.0</v>
      </c>
      <c r="B3368" s="3" t="s">
        <v>49509</v>
      </c>
      <c r="C3368" s="6" t="s">
        <v>24</v>
      </c>
      <c r="D3368" s="6" t="s">
        <v>49510</v>
      </c>
      <c r="E3368" s="3" t="str">
        <f t="shared" si="1"/>
        <v>seal&lt;br&gt;&lt;div class="audio"&gt;[sound:seal.mp3]&lt;/div&gt;</v>
      </c>
      <c r="F3368" s="3" t="str">
        <f t="shared" si="2"/>
        <v>(v): niêm phong</v>
      </c>
      <c r="G3368" s="6" t="s">
        <v>49511</v>
      </c>
      <c r="H3368" s="6" t="s">
        <v>49512</v>
      </c>
      <c r="I3368" s="7">
        <f t="shared" si="3"/>
        <v>0.7299274899</v>
      </c>
    </row>
    <row r="3369">
      <c r="A3369" s="4">
        <v>3369.0</v>
      </c>
      <c r="B3369" s="3" t="s">
        <v>49513</v>
      </c>
      <c r="C3369" s="6" t="s">
        <v>74</v>
      </c>
      <c r="D3369" s="6" t="s">
        <v>49514</v>
      </c>
      <c r="E3369" s="3" t="str">
        <f t="shared" si="1"/>
        <v>pollution&lt;br&gt;&lt;div class="audio"&gt;[sound:pollution.mp3]&lt;/div&gt;</v>
      </c>
      <c r="F3369" s="3" t="str">
        <f t="shared" si="2"/>
        <v>(n): sự ô nhiễm</v>
      </c>
      <c r="G3369" s="6" t="s">
        <v>49515</v>
      </c>
      <c r="H3369" s="6" t="s">
        <v>49516</v>
      </c>
      <c r="I3369" s="7">
        <f t="shared" si="3"/>
        <v>0.2723466673</v>
      </c>
    </row>
    <row r="3370">
      <c r="A3370" s="4">
        <v>3370.0</v>
      </c>
      <c r="B3370" s="3" t="s">
        <v>49517</v>
      </c>
      <c r="C3370" s="6" t="s">
        <v>74</v>
      </c>
      <c r="D3370" s="6" t="s">
        <v>49518</v>
      </c>
      <c r="E3370" s="3" t="str">
        <f t="shared" si="1"/>
        <v>frustration&lt;br&gt;&lt;div class="audio"&gt;[sound:frustration.mp3]&lt;/div&gt;</v>
      </c>
      <c r="F3370" s="3" t="str">
        <f t="shared" si="2"/>
        <v>(n): sự bực bội</v>
      </c>
      <c r="G3370" s="6" t="s">
        <v>49519</v>
      </c>
      <c r="H3370" s="6" t="s">
        <v>49520</v>
      </c>
      <c r="I3370" s="7">
        <f t="shared" si="3"/>
        <v>0.9885756415</v>
      </c>
    </row>
    <row r="3371">
      <c r="A3371" s="4">
        <v>3371.0</v>
      </c>
      <c r="B3371" s="3" t="s">
        <v>49521</v>
      </c>
      <c r="C3371" s="6" t="s">
        <v>11</v>
      </c>
      <c r="D3371" s="8" t="s">
        <v>49522</v>
      </c>
      <c r="E3371" s="3" t="str">
        <f t="shared" si="1"/>
        <v>slim&lt;br&gt;&lt;div class="audio"&gt;[sound:slim.mp3]&lt;/div&gt;</v>
      </c>
      <c r="F3371" s="3" t="str">
        <f t="shared" si="2"/>
        <v>(adj): mảnh khảnh</v>
      </c>
      <c r="G3371" s="8" t="s">
        <v>49523</v>
      </c>
      <c r="H3371" s="8" t="s">
        <v>49524</v>
      </c>
      <c r="I3371" s="7">
        <f t="shared" si="3"/>
        <v>0.6736736872</v>
      </c>
    </row>
    <row r="3372">
      <c r="A3372" s="4">
        <v>3372.0</v>
      </c>
      <c r="B3372" s="3" t="s">
        <v>49525</v>
      </c>
      <c r="C3372" s="6" t="s">
        <v>11</v>
      </c>
      <c r="D3372" s="6" t="s">
        <v>48177</v>
      </c>
      <c r="E3372" s="3" t="str">
        <f t="shared" si="1"/>
        <v>exceptional&lt;br&gt;&lt;div class="audio"&gt;[sound:exceptional.mp3]&lt;/div&gt;</v>
      </c>
      <c r="F3372" s="3" t="str">
        <f t="shared" si="2"/>
        <v>(adj): phi thường</v>
      </c>
      <c r="G3372" s="6" t="s">
        <v>49526</v>
      </c>
      <c r="H3372" s="6" t="s">
        <v>49527</v>
      </c>
      <c r="I3372" s="7">
        <f t="shared" si="3"/>
        <v>0.4951628688</v>
      </c>
    </row>
    <row r="3373">
      <c r="A3373" s="4">
        <v>3373.0</v>
      </c>
      <c r="B3373" s="3" t="s">
        <v>49528</v>
      </c>
      <c r="C3373" s="6" t="s">
        <v>11</v>
      </c>
      <c r="D3373" s="6" t="s">
        <v>49529</v>
      </c>
      <c r="E3373" s="3" t="str">
        <f t="shared" si="1"/>
        <v>passing&lt;br&gt;&lt;div class="audio"&gt;[sound:passing.mp3]&lt;/div&gt;</v>
      </c>
      <c r="F3373" s="3" t="str">
        <f t="shared" si="2"/>
        <v>(adj): thoáng qua</v>
      </c>
      <c r="G3373" s="6" t="s">
        <v>49530</v>
      </c>
      <c r="H3373" s="6" t="s">
        <v>49531</v>
      </c>
      <c r="I3373" s="7">
        <f t="shared" si="3"/>
        <v>0.4189930708</v>
      </c>
    </row>
    <row r="3374">
      <c r="A3374" s="4">
        <v>3374.0</v>
      </c>
      <c r="B3374" s="3" t="s">
        <v>49532</v>
      </c>
      <c r="C3374" s="6" t="s">
        <v>74</v>
      </c>
      <c r="D3374" s="6" t="s">
        <v>49533</v>
      </c>
      <c r="E3374" s="3" t="str">
        <f t="shared" si="1"/>
        <v>exploration&lt;br&gt;&lt;div class="audio"&gt;[sound:exploration.mp3]&lt;/div&gt;</v>
      </c>
      <c r="F3374" s="3" t="str">
        <f t="shared" si="2"/>
        <v>(n): sự thăm dò</v>
      </c>
      <c r="G3374" s="6" t="s">
        <v>49534</v>
      </c>
      <c r="H3374" s="6" t="s">
        <v>49535</v>
      </c>
      <c r="I3374" s="7">
        <f t="shared" si="3"/>
        <v>0.3819254252</v>
      </c>
    </row>
    <row r="3375">
      <c r="A3375" s="4">
        <v>3375.0</v>
      </c>
      <c r="B3375" s="3" t="s">
        <v>49536</v>
      </c>
      <c r="C3375" s="6" t="s">
        <v>74</v>
      </c>
      <c r="D3375" s="6" t="s">
        <v>49537</v>
      </c>
      <c r="E3375" s="3" t="str">
        <f t="shared" si="1"/>
        <v>clarity&lt;br&gt;&lt;div class="audio"&gt;[sound:clarity.mp3]&lt;/div&gt;</v>
      </c>
      <c r="F3375" s="3" t="str">
        <f t="shared" si="2"/>
        <v>(n): sự rõ ràng</v>
      </c>
      <c r="G3375" s="6" t="s">
        <v>49538</v>
      </c>
      <c r="H3375" s="6" t="s">
        <v>49539</v>
      </c>
      <c r="I3375" s="7">
        <f t="shared" si="3"/>
        <v>0.11812159</v>
      </c>
    </row>
    <row r="3376">
      <c r="A3376" s="4">
        <v>3376.0</v>
      </c>
      <c r="B3376" s="3" t="s">
        <v>49540</v>
      </c>
      <c r="C3376" s="6" t="s">
        <v>74</v>
      </c>
      <c r="D3376" s="6" t="s">
        <v>49541</v>
      </c>
      <c r="E3376" s="3" t="str">
        <f t="shared" si="1"/>
        <v>assembly&lt;br&gt;&lt;div class="audio"&gt;[sound:assembly.mp3]&lt;/div&gt;</v>
      </c>
      <c r="F3376" s="3" t="str">
        <f t="shared" si="2"/>
        <v>(n): sự lắp ráp</v>
      </c>
      <c r="G3376" s="6" t="s">
        <v>49542</v>
      </c>
      <c r="H3376" s="6" t="s">
        <v>49543</v>
      </c>
      <c r="I3376" s="7">
        <f t="shared" si="3"/>
        <v>0.3106118705</v>
      </c>
    </row>
    <row r="3377">
      <c r="A3377" s="4">
        <v>3377.0</v>
      </c>
      <c r="B3377" s="3" t="s">
        <v>49544</v>
      </c>
      <c r="C3377" s="6" t="s">
        <v>74</v>
      </c>
      <c r="D3377" s="6" t="s">
        <v>49545</v>
      </c>
      <c r="E3377" s="3" t="str">
        <f t="shared" si="1"/>
        <v>bell&lt;br&gt;&lt;div class="audio"&gt;[sound:bell.mp3]&lt;/div&gt;</v>
      </c>
      <c r="F3377" s="3" t="str">
        <f t="shared" si="2"/>
        <v>(n): cái chuông</v>
      </c>
      <c r="G3377" s="6" t="s">
        <v>49546</v>
      </c>
      <c r="H3377" s="6" t="s">
        <v>49547</v>
      </c>
      <c r="I3377" s="7">
        <f t="shared" si="3"/>
        <v>0.2985804295</v>
      </c>
    </row>
    <row r="3378">
      <c r="A3378" s="4">
        <v>3378.0</v>
      </c>
      <c r="B3378" s="3" t="s">
        <v>49548</v>
      </c>
      <c r="C3378" s="6" t="s">
        <v>74</v>
      </c>
      <c r="D3378" s="6" t="s">
        <v>49549</v>
      </c>
      <c r="E3378" s="3" t="str">
        <f t="shared" si="1"/>
        <v>ruling&lt;br&gt;&lt;div class="audio"&gt;[sound:ruling.mp3]&lt;/div&gt;</v>
      </c>
      <c r="F3378" s="3" t="str">
        <f t="shared" si="2"/>
        <v>(n): phán quyết</v>
      </c>
      <c r="G3378" s="6" t="s">
        <v>49550</v>
      </c>
      <c r="H3378" s="6" t="s">
        <v>49551</v>
      </c>
      <c r="I3378" s="7">
        <f t="shared" si="3"/>
        <v>0.895797074</v>
      </c>
    </row>
    <row r="3379">
      <c r="A3379" s="4">
        <v>3379.0</v>
      </c>
      <c r="B3379" s="3" t="s">
        <v>49552</v>
      </c>
      <c r="C3379" s="6" t="s">
        <v>74</v>
      </c>
      <c r="D3379" s="6" t="s">
        <v>49553</v>
      </c>
      <c r="E3379" s="3" t="str">
        <f t="shared" si="1"/>
        <v>screening&lt;br&gt;&lt;div class="audio"&gt;[sound:screening.mp3]&lt;/div&gt;</v>
      </c>
      <c r="F3379" s="3" t="str">
        <f t="shared" si="2"/>
        <v>(n): việc chiếu</v>
      </c>
      <c r="G3379" s="6" t="s">
        <v>49554</v>
      </c>
      <c r="H3379" s="6" t="s">
        <v>49555</v>
      </c>
      <c r="I3379" s="7">
        <f t="shared" si="3"/>
        <v>0.3480973873</v>
      </c>
    </row>
    <row r="3380">
      <c r="A3380" s="4">
        <v>3380.0</v>
      </c>
      <c r="B3380" s="3" t="s">
        <v>49556</v>
      </c>
      <c r="C3380" s="6" t="s">
        <v>74</v>
      </c>
      <c r="D3380" s="6" t="s">
        <v>16932</v>
      </c>
      <c r="E3380" s="3" t="str">
        <f t="shared" si="1"/>
        <v>landscape&lt;br&gt;&lt;div class="audio"&gt;[sound:landscape.mp3]&lt;/div&gt;</v>
      </c>
      <c r="F3380" s="3" t="str">
        <f t="shared" si="2"/>
        <v>(n): phong cảnh</v>
      </c>
      <c r="G3380" s="6" t="s">
        <v>49557</v>
      </c>
      <c r="H3380" s="6" t="s">
        <v>49558</v>
      </c>
      <c r="I3380" s="7">
        <f t="shared" si="3"/>
        <v>0.5804230576</v>
      </c>
    </row>
    <row r="3381">
      <c r="A3381" s="4">
        <v>3381.0</v>
      </c>
      <c r="B3381" s="3" t="s">
        <v>49559</v>
      </c>
      <c r="C3381" s="6" t="s">
        <v>24</v>
      </c>
      <c r="D3381" s="8" t="s">
        <v>49560</v>
      </c>
      <c r="E3381" s="3" t="str">
        <f t="shared" si="1"/>
        <v>stun&lt;br&gt;&lt;div class="audio"&gt;[sound:stun.mp3]&lt;/div&gt;</v>
      </c>
      <c r="F3381" s="3" t="str">
        <f t="shared" si="2"/>
        <v>(v): làm choáng</v>
      </c>
      <c r="G3381" s="8" t="s">
        <v>49561</v>
      </c>
      <c r="H3381" s="8" t="s">
        <v>49562</v>
      </c>
      <c r="I3381" s="7">
        <f t="shared" si="3"/>
        <v>0.1100499181</v>
      </c>
    </row>
    <row r="3382">
      <c r="A3382" s="4">
        <v>3382.0</v>
      </c>
      <c r="B3382" s="3" t="s">
        <v>49563</v>
      </c>
      <c r="C3382" s="6" t="s">
        <v>74</v>
      </c>
      <c r="D3382" s="6" t="s">
        <v>49564</v>
      </c>
      <c r="E3382" s="3" t="str">
        <f t="shared" si="1"/>
        <v>mayor&lt;br&gt;&lt;div class="audio"&gt;[sound:mayor.mp3]&lt;/div&gt;</v>
      </c>
      <c r="F3382" s="3" t="str">
        <f t="shared" si="2"/>
        <v>(n): thị trưởng</v>
      </c>
      <c r="G3382" s="6" t="s">
        <v>49565</v>
      </c>
      <c r="H3382" s="6" t="s">
        <v>49566</v>
      </c>
      <c r="I3382" s="7">
        <f t="shared" si="3"/>
        <v>0.8177050288</v>
      </c>
    </row>
    <row r="3383">
      <c r="A3383" s="4">
        <v>3383.0</v>
      </c>
      <c r="B3383" s="3" t="s">
        <v>49567</v>
      </c>
      <c r="C3383" s="6" t="s">
        <v>74</v>
      </c>
      <c r="D3383" s="6" t="s">
        <v>49568</v>
      </c>
      <c r="E3383" s="3" t="str">
        <f t="shared" si="1"/>
        <v>prosecution&lt;br&gt;&lt;div class="audio"&gt;[sound:prosecution.mp3]&lt;/div&gt;</v>
      </c>
      <c r="F3383" s="3" t="str">
        <f t="shared" si="2"/>
        <v>(n): sự truy tố</v>
      </c>
      <c r="G3383" s="6" t="s">
        <v>49569</v>
      </c>
      <c r="H3383" s="6" t="s">
        <v>49570</v>
      </c>
      <c r="I3383" s="7">
        <f t="shared" si="3"/>
        <v>0.9112520253</v>
      </c>
    </row>
    <row r="3384">
      <c r="A3384" s="4">
        <v>3384.0</v>
      </c>
      <c r="B3384" s="3" t="s">
        <v>49571</v>
      </c>
      <c r="C3384" s="6" t="s">
        <v>74</v>
      </c>
      <c r="D3384" s="6" t="s">
        <v>49463</v>
      </c>
      <c r="E3384" s="3" t="str">
        <f t="shared" si="1"/>
        <v>rejection&lt;br&gt;&lt;div class="audio"&gt;[sound:rejection.mp3]&lt;/div&gt;</v>
      </c>
      <c r="F3384" s="3" t="str">
        <f t="shared" si="2"/>
        <v>(n): sự từ chối</v>
      </c>
      <c r="G3384" s="6" t="s">
        <v>49572</v>
      </c>
      <c r="H3384" s="6" t="s">
        <v>49573</v>
      </c>
      <c r="I3384" s="7">
        <f t="shared" si="3"/>
        <v>0.1683212367</v>
      </c>
    </row>
    <row r="3385">
      <c r="A3385" s="4">
        <v>3385.0</v>
      </c>
      <c r="B3385" s="3" t="s">
        <v>49574</v>
      </c>
      <c r="C3385" s="6" t="s">
        <v>74</v>
      </c>
      <c r="D3385" s="6" t="s">
        <v>49575</v>
      </c>
      <c r="E3385" s="3" t="str">
        <f t="shared" si="1"/>
        <v>removal&lt;br&gt;&lt;div class="audio"&gt;[sound:removal.mp3]&lt;/div&gt;</v>
      </c>
      <c r="F3385" s="3" t="str">
        <f t="shared" si="2"/>
        <v>(n): sự loại bỏ</v>
      </c>
      <c r="G3385" s="6" t="s">
        <v>49576</v>
      </c>
      <c r="H3385" s="6" t="s">
        <v>49577</v>
      </c>
      <c r="I3385" s="7">
        <f t="shared" si="3"/>
        <v>0.2896970269</v>
      </c>
    </row>
    <row r="3386">
      <c r="A3386" s="4">
        <v>3386.0</v>
      </c>
      <c r="B3386" s="3" t="s">
        <v>49578</v>
      </c>
      <c r="C3386" s="6" t="s">
        <v>74</v>
      </c>
      <c r="D3386" s="6" t="s">
        <v>49579</v>
      </c>
      <c r="E3386" s="3" t="str">
        <f t="shared" si="1"/>
        <v>revision&lt;br&gt;&lt;div class="audio"&gt;[sound:revision.mp3]&lt;/div&gt;</v>
      </c>
      <c r="F3386" s="3" t="str">
        <f t="shared" si="2"/>
        <v>(n): sự sửa đổi</v>
      </c>
      <c r="G3386" s="6" t="s">
        <v>49580</v>
      </c>
      <c r="H3386" s="6" t="s">
        <v>49581</v>
      </c>
      <c r="I3386" s="7">
        <f t="shared" si="3"/>
        <v>0.9981790337</v>
      </c>
    </row>
    <row r="3387">
      <c r="A3387" s="4">
        <v>3387.0</v>
      </c>
      <c r="B3387" s="3" t="s">
        <v>49582</v>
      </c>
      <c r="C3387" s="6" t="s">
        <v>74</v>
      </c>
      <c r="D3387" s="6" t="s">
        <v>49583</v>
      </c>
      <c r="E3387" s="3" t="str">
        <f t="shared" si="1"/>
        <v>projection&lt;br&gt;&lt;div class="audio"&gt;[sound:projection.mp3]&lt;/div&gt;</v>
      </c>
      <c r="F3387" s="3" t="str">
        <f t="shared" si="2"/>
        <v>(n): sự dự đoán</v>
      </c>
      <c r="G3387" s="6" t="s">
        <v>49584</v>
      </c>
      <c r="H3387" s="6" t="s">
        <v>49585</v>
      </c>
      <c r="I3387" s="7">
        <f t="shared" si="3"/>
        <v>0.226721229</v>
      </c>
    </row>
    <row r="3388">
      <c r="A3388" s="4">
        <v>3388.0</v>
      </c>
      <c r="B3388" s="3" t="s">
        <v>49586</v>
      </c>
      <c r="C3388" s="6" t="s">
        <v>74</v>
      </c>
      <c r="D3388" s="6" t="s">
        <v>9471</v>
      </c>
      <c r="E3388" s="3" t="str">
        <f t="shared" si="1"/>
        <v>harmony&lt;br&gt;&lt;div class="audio"&gt;[sound:harmony.mp3]&lt;/div&gt;</v>
      </c>
      <c r="F3388" s="3" t="str">
        <f t="shared" si="2"/>
        <v>(n): sự hòa hợp</v>
      </c>
      <c r="G3388" s="6" t="s">
        <v>49587</v>
      </c>
      <c r="H3388" s="6" t="s">
        <v>49588</v>
      </c>
      <c r="I3388" s="7">
        <f t="shared" si="3"/>
        <v>0.1774009383</v>
      </c>
    </row>
    <row r="3389">
      <c r="A3389" s="4">
        <v>3389.0</v>
      </c>
      <c r="B3389" s="3" t="s">
        <v>49589</v>
      </c>
      <c r="C3389" s="6" t="s">
        <v>24</v>
      </c>
      <c r="D3389" s="6" t="s">
        <v>3074</v>
      </c>
      <c r="E3389" s="3" t="str">
        <f t="shared" si="1"/>
        <v>fulfil&lt;br&gt;&lt;div class="audio"&gt;[sound:fulfil.mp3]&lt;/div&gt;</v>
      </c>
      <c r="F3389" s="3" t="str">
        <f t="shared" si="2"/>
        <v>(v): hoàn thành</v>
      </c>
      <c r="G3389" s="6" t="s">
        <v>49590</v>
      </c>
      <c r="H3389" s="6" t="s">
        <v>49591</v>
      </c>
      <c r="I3389" s="7">
        <f t="shared" si="3"/>
        <v>0.09874866871</v>
      </c>
    </row>
    <row r="3390">
      <c r="A3390" s="4">
        <v>3390.0</v>
      </c>
      <c r="B3390" s="3" t="s">
        <v>49592</v>
      </c>
      <c r="C3390" s="6" t="s">
        <v>74</v>
      </c>
      <c r="D3390" s="8" t="s">
        <v>49593</v>
      </c>
      <c r="E3390" s="3" t="str">
        <f t="shared" si="1"/>
        <v>sponsorship&lt;br&gt;&lt;div class="audio"&gt;[sound:sponsorship.mp3]&lt;/div&gt;</v>
      </c>
      <c r="F3390" s="3" t="str">
        <f t="shared" si="2"/>
        <v>(n): sự tài trợ</v>
      </c>
      <c r="G3390" s="8" t="s">
        <v>49594</v>
      </c>
      <c r="H3390" s="8" t="s">
        <v>49595</v>
      </c>
      <c r="I3390" s="7">
        <f t="shared" si="3"/>
        <v>0.6810096838</v>
      </c>
    </row>
    <row r="3391">
      <c r="A3391" s="4">
        <v>3391.0</v>
      </c>
      <c r="B3391" s="3" t="s">
        <v>49596</v>
      </c>
      <c r="C3391" s="6" t="s">
        <v>24</v>
      </c>
      <c r="D3391" s="6" t="s">
        <v>3074</v>
      </c>
      <c r="E3391" s="3" t="str">
        <f t="shared" si="1"/>
        <v>accomplish&lt;br&gt;&lt;div class="audio"&gt;[sound:accomplish.mp3]&lt;/div&gt;</v>
      </c>
      <c r="F3391" s="3" t="str">
        <f t="shared" si="2"/>
        <v>(v): hoàn thành</v>
      </c>
      <c r="G3391" s="6" t="s">
        <v>49597</v>
      </c>
      <c r="H3391" s="6" t="s">
        <v>49598</v>
      </c>
      <c r="I3391" s="7">
        <f t="shared" si="3"/>
        <v>0.6266309856</v>
      </c>
    </row>
    <row r="3392">
      <c r="A3392" s="4">
        <v>3392.0</v>
      </c>
      <c r="B3392" s="3" t="s">
        <v>49599</v>
      </c>
      <c r="C3392" s="6" t="s">
        <v>74</v>
      </c>
      <c r="D3392" s="6" t="s">
        <v>6234</v>
      </c>
      <c r="E3392" s="3" t="str">
        <f t="shared" si="1"/>
        <v>mask&lt;br&gt;&lt;div class="audio"&gt;[sound:mask.mp3]&lt;/div&gt;</v>
      </c>
      <c r="F3392" s="3" t="str">
        <f t="shared" si="2"/>
        <v>(n): khẩu trang</v>
      </c>
      <c r="G3392" s="6" t="s">
        <v>49600</v>
      </c>
      <c r="H3392" s="6" t="s">
        <v>49601</v>
      </c>
      <c r="I3392" s="7">
        <f t="shared" si="3"/>
        <v>0.4997462506</v>
      </c>
    </row>
    <row r="3393">
      <c r="A3393" s="4">
        <v>3393.0</v>
      </c>
      <c r="B3393" s="3" t="s">
        <v>49602</v>
      </c>
      <c r="C3393" s="6" t="s">
        <v>24</v>
      </c>
      <c r="D3393" s="6" t="s">
        <v>9550</v>
      </c>
      <c r="E3393" s="3" t="str">
        <f t="shared" si="1"/>
        <v>circulate&lt;br&gt;&lt;div class="audio"&gt;[sound:circulate.mp3]&lt;/div&gt;</v>
      </c>
      <c r="F3393" s="3" t="str">
        <f t="shared" si="2"/>
        <v>(v): lưu thông</v>
      </c>
      <c r="G3393" s="6" t="s">
        <v>49603</v>
      </c>
      <c r="H3393" s="6" t="s">
        <v>49604</v>
      </c>
      <c r="I3393" s="7">
        <f t="shared" si="3"/>
        <v>0.7970577951</v>
      </c>
    </row>
    <row r="3394">
      <c r="A3394" s="4">
        <v>3394.0</v>
      </c>
      <c r="B3394" s="3" t="s">
        <v>49605</v>
      </c>
      <c r="C3394" s="6" t="s">
        <v>74</v>
      </c>
      <c r="D3394" s="8" t="s">
        <v>49606</v>
      </c>
      <c r="E3394" s="3" t="str">
        <f t="shared" si="1"/>
        <v>stall&lt;br&gt;&lt;div class="audio"&gt;[sound:stall.mp3]&lt;/div&gt;</v>
      </c>
      <c r="F3394" s="3" t="str">
        <f t="shared" si="2"/>
        <v>(n): gian hàng</v>
      </c>
      <c r="G3394" s="8" t="s">
        <v>49607</v>
      </c>
      <c r="H3394" s="8" t="s">
        <v>49608</v>
      </c>
      <c r="I3394" s="7">
        <f t="shared" si="3"/>
        <v>0.3372826273</v>
      </c>
    </row>
    <row r="3395">
      <c r="A3395" s="4">
        <v>3395.0</v>
      </c>
      <c r="B3395" s="3" t="s">
        <v>49609</v>
      </c>
      <c r="C3395" s="6" t="s">
        <v>24</v>
      </c>
      <c r="D3395" s="6" t="s">
        <v>49610</v>
      </c>
      <c r="E3395" s="3" t="str">
        <f t="shared" si="1"/>
        <v>compel&lt;br&gt;&lt;div class="audio"&gt;[sound:compel.mp3]&lt;/div&gt;</v>
      </c>
      <c r="F3395" s="3" t="str">
        <f t="shared" si="2"/>
        <v>(v): buộc phải</v>
      </c>
      <c r="G3395" s="6" t="s">
        <v>49611</v>
      </c>
      <c r="H3395" s="6" t="s">
        <v>49612</v>
      </c>
      <c r="I3395" s="7">
        <f t="shared" si="3"/>
        <v>0.4951496034</v>
      </c>
    </row>
    <row r="3396">
      <c r="A3396" s="4">
        <v>3396.0</v>
      </c>
      <c r="B3396" s="3" t="s">
        <v>49613</v>
      </c>
      <c r="C3396" s="6" t="s">
        <v>24</v>
      </c>
      <c r="D3396" s="6" t="s">
        <v>2175</v>
      </c>
      <c r="E3396" s="3" t="str">
        <f t="shared" si="1"/>
        <v>congratulate&lt;br&gt;&lt;div class="audio"&gt;[sound:congratulate.mp3]&lt;/div&gt;</v>
      </c>
      <c r="F3396" s="3" t="str">
        <f t="shared" si="2"/>
        <v>(v): chúc mừng</v>
      </c>
      <c r="G3396" s="6" t="s">
        <v>49614</v>
      </c>
      <c r="H3396" s="6" t="s">
        <v>49615</v>
      </c>
      <c r="I3396" s="7">
        <f t="shared" si="3"/>
        <v>0.3276791375</v>
      </c>
    </row>
    <row r="3397">
      <c r="A3397" s="4">
        <v>3397.0</v>
      </c>
      <c r="B3397" s="3" t="s">
        <v>49616</v>
      </c>
      <c r="C3397" s="6" t="s">
        <v>74</v>
      </c>
      <c r="D3397" s="6" t="s">
        <v>8518</v>
      </c>
      <c r="E3397" s="3" t="str">
        <f t="shared" si="1"/>
        <v>insect&lt;br&gt;&lt;div class="audio"&gt;[sound:insect.mp3]&lt;/div&gt;</v>
      </c>
      <c r="F3397" s="3" t="str">
        <f t="shared" si="2"/>
        <v>(n): côn trùng</v>
      </c>
      <c r="G3397" s="6" t="s">
        <v>49617</v>
      </c>
      <c r="H3397" s="6" t="s">
        <v>49618</v>
      </c>
      <c r="I3397" s="7">
        <f t="shared" si="3"/>
        <v>0.5578538568</v>
      </c>
    </row>
    <row r="3398">
      <c r="A3398" s="4">
        <v>3398.0</v>
      </c>
      <c r="B3398" s="3" t="s">
        <v>49619</v>
      </c>
      <c r="C3398" s="6" t="s">
        <v>74</v>
      </c>
      <c r="D3398" s="6" t="s">
        <v>49620</v>
      </c>
      <c r="E3398" s="3" t="str">
        <f t="shared" si="1"/>
        <v>carrot&lt;br&gt;&lt;div class="audio"&gt;[sound:carrot.mp3]&lt;/div&gt;</v>
      </c>
      <c r="F3398" s="3" t="str">
        <f t="shared" si="2"/>
        <v>(n): củ cà rốt</v>
      </c>
      <c r="G3398" s="6" t="s">
        <v>49621</v>
      </c>
      <c r="H3398" s="6" t="s">
        <v>49622</v>
      </c>
      <c r="I3398" s="7">
        <f t="shared" si="3"/>
        <v>0.4122900518</v>
      </c>
    </row>
    <row r="3399">
      <c r="A3399" s="4">
        <v>3399.0</v>
      </c>
      <c r="B3399" s="3" t="s">
        <v>49623</v>
      </c>
      <c r="C3399" s="6" t="s">
        <v>74</v>
      </c>
      <c r="D3399" s="6" t="s">
        <v>49624</v>
      </c>
      <c r="E3399" s="3" t="str">
        <f t="shared" si="1"/>
        <v>protocol&lt;br&gt;&lt;div class="audio"&gt;[sound:protocol.mp3]&lt;/div&gt;</v>
      </c>
      <c r="F3399" s="3" t="str">
        <f t="shared" si="2"/>
        <v>(n): giao thức</v>
      </c>
      <c r="G3399" s="6" t="s">
        <v>49625</v>
      </c>
      <c r="H3399" s="6" t="s">
        <v>49626</v>
      </c>
      <c r="I3399" s="7">
        <f t="shared" si="3"/>
        <v>0.224965586</v>
      </c>
    </row>
    <row r="3400">
      <c r="A3400" s="4">
        <v>3400.0</v>
      </c>
      <c r="B3400" s="3" t="s">
        <v>49627</v>
      </c>
      <c r="C3400" s="6" t="s">
        <v>11</v>
      </c>
      <c r="D3400" s="6" t="s">
        <v>31824</v>
      </c>
      <c r="E3400" s="3" t="str">
        <f t="shared" si="1"/>
        <v>indirect&lt;br&gt;&lt;div class="audio"&gt;[sound:indirect.mp3]&lt;/div&gt;</v>
      </c>
      <c r="F3400" s="3" t="str">
        <f t="shared" si="2"/>
        <v>(adj): gián tiếp</v>
      </c>
      <c r="G3400" s="6" t="s">
        <v>49628</v>
      </c>
      <c r="H3400" s="6" t="s">
        <v>49629</v>
      </c>
      <c r="I3400" s="7">
        <f t="shared" si="3"/>
        <v>0.1045726754</v>
      </c>
    </row>
    <row r="3401">
      <c r="A3401" s="4">
        <v>3401.0</v>
      </c>
      <c r="B3401" s="3" t="s">
        <v>49630</v>
      </c>
      <c r="C3401" s="6" t="s">
        <v>11</v>
      </c>
      <c r="D3401" s="6" t="s">
        <v>28948</v>
      </c>
      <c r="E3401" s="3" t="str">
        <f t="shared" si="1"/>
        <v>humble&lt;br&gt;&lt;div class="audio"&gt;[sound:humble.mp3]&lt;/div&gt;</v>
      </c>
      <c r="F3401" s="3" t="str">
        <f t="shared" si="2"/>
        <v>(adj): khiêm tốn</v>
      </c>
      <c r="G3401" s="6" t="s">
        <v>49631</v>
      </c>
      <c r="H3401" s="6" t="s">
        <v>49632</v>
      </c>
      <c r="I3401" s="7">
        <f t="shared" si="3"/>
        <v>0.8224313374</v>
      </c>
    </row>
    <row r="3402">
      <c r="A3402" s="4">
        <v>3402.0</v>
      </c>
      <c r="B3402" s="3" t="s">
        <v>49633</v>
      </c>
      <c r="C3402" s="6" t="s">
        <v>74</v>
      </c>
      <c r="D3402" s="6" t="s">
        <v>49634</v>
      </c>
      <c r="E3402" s="3" t="str">
        <f t="shared" si="1"/>
        <v>chap&lt;br&gt;&lt;div class="audio"&gt;[sound:chap.mp3]&lt;/div&gt;</v>
      </c>
      <c r="F3402" s="3" t="str">
        <f t="shared" si="2"/>
        <v>(n): anh chàng</v>
      </c>
      <c r="G3402" s="6" t="s">
        <v>49635</v>
      </c>
      <c r="H3402" s="6" t="s">
        <v>49636</v>
      </c>
      <c r="I3402" s="7">
        <f t="shared" si="3"/>
        <v>0.5086652751</v>
      </c>
    </row>
    <row r="3403">
      <c r="A3403" s="4">
        <v>3403.0</v>
      </c>
      <c r="B3403" s="3" t="s">
        <v>49637</v>
      </c>
      <c r="C3403" s="6" t="s">
        <v>11</v>
      </c>
      <c r="D3403" s="6" t="s">
        <v>49638</v>
      </c>
      <c r="E3403" s="3" t="str">
        <f t="shared" si="1"/>
        <v>immune&lt;br&gt;&lt;div class="audio"&gt;[sound:immune.mp3]&lt;/div&gt;</v>
      </c>
      <c r="F3403" s="3" t="str">
        <f t="shared" si="2"/>
        <v>(adj): miễn dịch</v>
      </c>
      <c r="G3403" s="6" t="s">
        <v>49639</v>
      </c>
      <c r="H3403" s="6" t="s">
        <v>49640</v>
      </c>
      <c r="I3403" s="7">
        <f t="shared" si="3"/>
        <v>0.7081404447</v>
      </c>
    </row>
    <row r="3404">
      <c r="A3404" s="4">
        <v>3404.0</v>
      </c>
      <c r="B3404" s="3" t="s">
        <v>49641</v>
      </c>
      <c r="C3404" s="6" t="s">
        <v>74</v>
      </c>
      <c r="D3404" s="6" t="s">
        <v>25584</v>
      </c>
      <c r="E3404" s="3" t="str">
        <f t="shared" si="1"/>
        <v>penalty&lt;br&gt;&lt;div class="audio"&gt;[sound:penalty.mp3]&lt;/div&gt;</v>
      </c>
      <c r="F3404" s="3" t="str">
        <f t="shared" si="2"/>
        <v>(n): hình phạt</v>
      </c>
      <c r="G3404" s="6" t="s">
        <v>49642</v>
      </c>
      <c r="H3404" s="6" t="s">
        <v>49643</v>
      </c>
      <c r="I3404" s="7">
        <f t="shared" si="3"/>
        <v>0.5855476213</v>
      </c>
    </row>
    <row r="3405">
      <c r="A3405" s="4">
        <v>3405.0</v>
      </c>
      <c r="B3405" s="3" t="s">
        <v>49644</v>
      </c>
      <c r="C3405" s="6" t="s">
        <v>74</v>
      </c>
      <c r="D3405" s="6" t="s">
        <v>11791</v>
      </c>
      <c r="E3405" s="3" t="str">
        <f t="shared" si="1"/>
        <v>belt&lt;br&gt;&lt;div class="audio"&gt;[sound:belt.mp3]&lt;/div&gt;</v>
      </c>
      <c r="F3405" s="3" t="str">
        <f t="shared" si="2"/>
        <v>(n): thắt lưng</v>
      </c>
      <c r="G3405" s="6" t="s">
        <v>49645</v>
      </c>
      <c r="H3405" s="6" t="s">
        <v>49646</v>
      </c>
      <c r="I3405" s="7">
        <f t="shared" si="3"/>
        <v>0.4938556702</v>
      </c>
    </row>
    <row r="3406">
      <c r="A3406" s="4">
        <v>3406.0</v>
      </c>
      <c r="B3406" s="3" t="s">
        <v>49647</v>
      </c>
      <c r="C3406" s="6" t="s">
        <v>74</v>
      </c>
      <c r="D3406" s="6" t="s">
        <v>49648</v>
      </c>
      <c r="E3406" s="3" t="str">
        <f t="shared" si="1"/>
        <v>productivity&lt;br&gt;&lt;div class="audio"&gt;[sound:productivity.mp3]&lt;/div&gt;</v>
      </c>
      <c r="F3406" s="3" t="str">
        <f t="shared" si="2"/>
        <v>(n): năng suất</v>
      </c>
      <c r="G3406" s="6" t="s">
        <v>49649</v>
      </c>
      <c r="H3406" s="6" t="s">
        <v>49650</v>
      </c>
      <c r="I3406" s="7">
        <f t="shared" si="3"/>
        <v>0.5495937771</v>
      </c>
    </row>
    <row r="3407">
      <c r="A3407" s="4">
        <v>3407.0</v>
      </c>
      <c r="B3407" s="3" t="s">
        <v>49651</v>
      </c>
      <c r="C3407" s="6" t="s">
        <v>24</v>
      </c>
      <c r="D3407" s="6" t="s">
        <v>13852</v>
      </c>
      <c r="E3407" s="3" t="str">
        <f t="shared" si="1"/>
        <v>admire&lt;br&gt;&lt;div class="audio"&gt;[sound:admire.mp3]&lt;/div&gt;</v>
      </c>
      <c r="F3407" s="3" t="str">
        <f t="shared" si="2"/>
        <v>(v): ngưỡng mộ</v>
      </c>
      <c r="G3407" s="6" t="s">
        <v>49652</v>
      </c>
      <c r="H3407" s="6" t="s">
        <v>49653</v>
      </c>
      <c r="I3407" s="7">
        <f t="shared" si="3"/>
        <v>0.7316067875</v>
      </c>
    </row>
    <row r="3408">
      <c r="A3408" s="4">
        <v>3408.0</v>
      </c>
      <c r="B3408" s="3" t="s">
        <v>49654</v>
      </c>
      <c r="C3408" s="6" t="s">
        <v>11</v>
      </c>
      <c r="D3408" s="6" t="s">
        <v>8923</v>
      </c>
      <c r="E3408" s="3" t="str">
        <f t="shared" si="1"/>
        <v>precise&lt;br&gt;&lt;div class="audio"&gt;[sound:precise.mp3]&lt;/div&gt;</v>
      </c>
      <c r="F3408" s="3" t="str">
        <f t="shared" si="2"/>
        <v>(adj): chính xác</v>
      </c>
      <c r="G3408" s="6" t="s">
        <v>49655</v>
      </c>
      <c r="H3408" s="6" t="s">
        <v>49656</v>
      </c>
      <c r="I3408" s="7">
        <f t="shared" si="3"/>
        <v>0.7770035929</v>
      </c>
    </row>
    <row r="3409">
      <c r="A3409" s="4">
        <v>3409.0</v>
      </c>
      <c r="B3409" s="3" t="s">
        <v>49657</v>
      </c>
      <c r="C3409" s="6" t="s">
        <v>11</v>
      </c>
      <c r="D3409" s="8" t="s">
        <v>4743</v>
      </c>
      <c r="E3409" s="3" t="str">
        <f t="shared" si="1"/>
        <v>sheer&lt;br&gt;&lt;div class="audio"&gt;[sound:sheer.mp3]&lt;/div&gt;</v>
      </c>
      <c r="F3409" s="3" t="str">
        <f t="shared" si="2"/>
        <v>(adj): hoàn toàn</v>
      </c>
      <c r="G3409" s="8" t="s">
        <v>49658</v>
      </c>
      <c r="H3409" s="8" t="s">
        <v>49659</v>
      </c>
      <c r="I3409" s="7">
        <f t="shared" si="3"/>
        <v>0.2252094779</v>
      </c>
    </row>
    <row r="3410">
      <c r="A3410" s="4">
        <v>3410.0</v>
      </c>
      <c r="B3410" s="3" t="s">
        <v>49660</v>
      </c>
      <c r="C3410" s="6" t="s">
        <v>85</v>
      </c>
      <c r="D3410" s="6" t="s">
        <v>8923</v>
      </c>
      <c r="E3410" s="3" t="str">
        <f t="shared" si="1"/>
        <v>accurately&lt;br&gt;&lt;div class="audio"&gt;[sound:accurately.mp3]&lt;/div&gt;</v>
      </c>
      <c r="F3410" s="3" t="str">
        <f t="shared" si="2"/>
        <v>(adv): chính xác</v>
      </c>
      <c r="G3410" s="6" t="s">
        <v>49661</v>
      </c>
      <c r="H3410" s="6" t="s">
        <v>49662</v>
      </c>
      <c r="I3410" s="7">
        <f t="shared" si="3"/>
        <v>0.8927130391</v>
      </c>
    </row>
    <row r="3411">
      <c r="A3411" s="4">
        <v>3411.0</v>
      </c>
      <c r="B3411" s="3" t="s">
        <v>49663</v>
      </c>
      <c r="C3411" s="6" t="s">
        <v>74</v>
      </c>
      <c r="D3411" s="8" t="s">
        <v>22113</v>
      </c>
      <c r="E3411" s="3" t="str">
        <f t="shared" si="1"/>
        <v>sovereignty&lt;br&gt;&lt;div class="audio"&gt;[sound:sovereignty.mp3]&lt;/div&gt;</v>
      </c>
      <c r="F3411" s="3" t="str">
        <f t="shared" si="2"/>
        <v>(n): chủ quyền</v>
      </c>
      <c r="G3411" s="8" t="s">
        <v>49664</v>
      </c>
      <c r="H3411" s="8" t="s">
        <v>49665</v>
      </c>
      <c r="I3411" s="7">
        <f t="shared" si="3"/>
        <v>0.9571513113</v>
      </c>
    </row>
    <row r="3412">
      <c r="A3412" s="4">
        <v>3412.0</v>
      </c>
      <c r="B3412" s="3" t="s">
        <v>49666</v>
      </c>
      <c r="C3412" s="6" t="s">
        <v>74</v>
      </c>
      <c r="D3412" s="6" t="s">
        <v>24592</v>
      </c>
      <c r="E3412" s="3" t="str">
        <f t="shared" si="1"/>
        <v>jeans&lt;br&gt;&lt;div class="audio"&gt;[sound:jeans.mp3]&lt;/div&gt;</v>
      </c>
      <c r="F3412" s="3" t="str">
        <f t="shared" si="2"/>
        <v>(n): quần jean</v>
      </c>
      <c r="G3412" s="6" t="s">
        <v>49667</v>
      </c>
      <c r="H3412" s="6" t="s">
        <v>49668</v>
      </c>
      <c r="I3412" s="7">
        <f t="shared" si="3"/>
        <v>0.5288192897</v>
      </c>
    </row>
    <row r="3413">
      <c r="A3413" s="4">
        <v>3413.0</v>
      </c>
      <c r="B3413" s="3" t="s">
        <v>49669</v>
      </c>
      <c r="C3413" s="6" t="s">
        <v>11</v>
      </c>
      <c r="D3413" s="8" t="s">
        <v>34097</v>
      </c>
      <c r="E3413" s="3" t="str">
        <f t="shared" si="1"/>
        <v>shy&lt;br&gt;&lt;div class="audio"&gt;[sound:shy.mp3]&lt;/div&gt;</v>
      </c>
      <c r="F3413" s="3" t="str">
        <f t="shared" si="2"/>
        <v>(adj): nhút nhát</v>
      </c>
      <c r="G3413" s="8" t="s">
        <v>49670</v>
      </c>
      <c r="H3413" s="8" t="s">
        <v>49671</v>
      </c>
      <c r="I3413" s="7">
        <f t="shared" si="3"/>
        <v>0.07059839522</v>
      </c>
    </row>
    <row r="3414">
      <c r="A3414" s="4">
        <v>3414.0</v>
      </c>
      <c r="B3414" s="3" t="s">
        <v>49672</v>
      </c>
      <c r="C3414" s="6" t="s">
        <v>11</v>
      </c>
      <c r="D3414" s="8" t="s">
        <v>15828</v>
      </c>
      <c r="E3414" s="3" t="str">
        <f t="shared" si="1"/>
        <v>sympathetic&lt;br&gt;&lt;div class="audio"&gt;[sound:sympathetic.mp3]&lt;/div&gt;</v>
      </c>
      <c r="F3414" s="3" t="str">
        <f t="shared" si="2"/>
        <v>(adj): thông cảm</v>
      </c>
      <c r="G3414" s="8" t="s">
        <v>49673</v>
      </c>
      <c r="H3414" s="8" t="s">
        <v>49674</v>
      </c>
      <c r="I3414" s="7">
        <f t="shared" si="3"/>
        <v>0.1983196766</v>
      </c>
    </row>
    <row r="3415">
      <c r="A3415" s="4">
        <v>3415.0</v>
      </c>
      <c r="B3415" s="3" t="s">
        <v>49675</v>
      </c>
      <c r="C3415" s="6" t="s">
        <v>74</v>
      </c>
      <c r="D3415" s="6" t="s">
        <v>14280</v>
      </c>
      <c r="E3415" s="3" t="str">
        <f t="shared" si="1"/>
        <v>lover&lt;br&gt;&lt;div class="audio"&gt;[sound:lover.mp3]&lt;/div&gt;</v>
      </c>
      <c r="F3415" s="3" t="str">
        <f t="shared" si="2"/>
        <v>(n): người yêu</v>
      </c>
      <c r="G3415" s="6" t="s">
        <v>49676</v>
      </c>
      <c r="H3415" s="6" t="s">
        <v>49677</v>
      </c>
      <c r="I3415" s="7">
        <f t="shared" si="3"/>
        <v>0.1315431876</v>
      </c>
    </row>
    <row r="3416">
      <c r="A3416" s="4">
        <v>3416.0</v>
      </c>
      <c r="B3416" s="3" t="s">
        <v>49678</v>
      </c>
      <c r="C3416" s="6" t="s">
        <v>58</v>
      </c>
      <c r="D3416" s="6" t="s">
        <v>49679</v>
      </c>
      <c r="E3416" s="3" t="str">
        <f t="shared" si="1"/>
        <v>nineteen&lt;br&gt;&lt;div class="audio"&gt;[sound:nineteen.mp3]&lt;/div&gt;</v>
      </c>
      <c r="F3416" s="3" t="str">
        <f t="shared" si="2"/>
        <v>(num): mười chín</v>
      </c>
      <c r="G3416" s="6" t="s">
        <v>49680</v>
      </c>
      <c r="H3416" s="6" t="s">
        <v>49681</v>
      </c>
      <c r="I3416" s="7">
        <f t="shared" si="3"/>
        <v>0.4641886736</v>
      </c>
    </row>
    <row r="3417">
      <c r="A3417" s="4">
        <v>3417.0</v>
      </c>
      <c r="B3417" s="3" t="s">
        <v>49682</v>
      </c>
      <c r="C3417" s="6" t="s">
        <v>74</v>
      </c>
      <c r="D3417" s="6" t="s">
        <v>13846</v>
      </c>
      <c r="E3417" s="3" t="str">
        <f t="shared" si="1"/>
        <v>quotation&lt;br&gt;&lt;div class="audio"&gt;[sound:quotation.mp3]&lt;/div&gt;</v>
      </c>
      <c r="F3417" s="3" t="str">
        <f t="shared" si="2"/>
        <v>(n): trích dẫn</v>
      </c>
      <c r="G3417" s="6" t="s">
        <v>49683</v>
      </c>
      <c r="H3417" s="6" t="s">
        <v>49684</v>
      </c>
      <c r="I3417" s="7">
        <f t="shared" si="3"/>
        <v>0.9360809745</v>
      </c>
    </row>
    <row r="3418">
      <c r="A3418" s="4">
        <v>3418.0</v>
      </c>
      <c r="B3418" s="3" t="s">
        <v>49685</v>
      </c>
      <c r="C3418" s="6" t="s">
        <v>74</v>
      </c>
      <c r="D3418" s="6" t="s">
        <v>23984</v>
      </c>
      <c r="E3418" s="3" t="str">
        <f t="shared" si="1"/>
        <v>licence&lt;br&gt;&lt;div class="audio"&gt;[sound:licence.mp3]&lt;/div&gt;</v>
      </c>
      <c r="F3418" s="3" t="str">
        <f t="shared" si="2"/>
        <v>(n): giấy phép</v>
      </c>
      <c r="G3418" s="6" t="s">
        <v>49686</v>
      </c>
      <c r="H3418" s="6" t="s">
        <v>49687</v>
      </c>
      <c r="I3418" s="7">
        <f t="shared" si="3"/>
        <v>0.09476200713</v>
      </c>
    </row>
    <row r="3419">
      <c r="A3419" s="4">
        <v>3419.0</v>
      </c>
      <c r="B3419" s="3" t="s">
        <v>49688</v>
      </c>
      <c r="C3419" s="6" t="s">
        <v>11</v>
      </c>
      <c r="D3419" s="8" t="s">
        <v>2032</v>
      </c>
      <c r="E3419" s="3" t="str">
        <f t="shared" si="1"/>
        <v>superb&lt;br&gt;&lt;div class="audio"&gt;[sound:superb.mp3]&lt;/div&gt;</v>
      </c>
      <c r="F3419" s="3" t="str">
        <f t="shared" si="2"/>
        <v>(adj): tuyệt vời</v>
      </c>
      <c r="G3419" s="8" t="s">
        <v>49689</v>
      </c>
      <c r="H3419" s="8" t="s">
        <v>49690</v>
      </c>
      <c r="I3419" s="7">
        <f t="shared" si="3"/>
        <v>0.7945387029</v>
      </c>
    </row>
    <row r="3420">
      <c r="A3420" s="4">
        <v>3420.0</v>
      </c>
      <c r="B3420" s="3" t="s">
        <v>49691</v>
      </c>
      <c r="C3420" s="6" t="s">
        <v>11</v>
      </c>
      <c r="D3420" s="6" t="s">
        <v>17502</v>
      </c>
      <c r="E3420" s="3" t="str">
        <f t="shared" si="1"/>
        <v>parallel&lt;br&gt;&lt;div class="audio"&gt;[sound:parallel.mp3]&lt;/div&gt;</v>
      </c>
      <c r="F3420" s="3" t="str">
        <f t="shared" si="2"/>
        <v>(adj): song song</v>
      </c>
      <c r="G3420" s="6" t="s">
        <v>49692</v>
      </c>
      <c r="H3420" s="6" t="s">
        <v>49693</v>
      </c>
      <c r="I3420" s="7">
        <f t="shared" si="3"/>
        <v>0.7494429607</v>
      </c>
    </row>
    <row r="3421">
      <c r="A3421" s="4">
        <v>3421.0</v>
      </c>
      <c r="B3421" s="3" t="s">
        <v>49694</v>
      </c>
      <c r="C3421" s="6" t="s">
        <v>74</v>
      </c>
      <c r="D3421" s="6" t="s">
        <v>49695</v>
      </c>
      <c r="E3421" s="3" t="str">
        <f t="shared" si="1"/>
        <v>moon&lt;br&gt;&lt;div class="audio"&gt;[sound:moon.mp3]&lt;/div&gt;</v>
      </c>
      <c r="F3421" s="3" t="str">
        <f t="shared" si="2"/>
        <v>(n): mặt trăng</v>
      </c>
      <c r="G3421" s="6" t="s">
        <v>49696</v>
      </c>
      <c r="H3421" s="6" t="s">
        <v>49697</v>
      </c>
      <c r="I3421" s="7">
        <f t="shared" si="3"/>
        <v>0.5928819032</v>
      </c>
    </row>
    <row r="3422">
      <c r="A3422" s="4">
        <v>3422.0</v>
      </c>
      <c r="B3422" s="3" t="s">
        <v>49698</v>
      </c>
      <c r="C3422" s="6" t="s">
        <v>74</v>
      </c>
      <c r="D3422" s="6" t="s">
        <v>49699</v>
      </c>
      <c r="E3422" s="3" t="str">
        <f t="shared" si="1"/>
        <v>mouse&lt;br&gt;&lt;div class="audio"&gt;[sound:mouse.mp3]&lt;/div&gt;</v>
      </c>
      <c r="F3422" s="3" t="str">
        <f t="shared" si="2"/>
        <v>(n): con chuột</v>
      </c>
      <c r="G3422" s="6" t="s">
        <v>49700</v>
      </c>
      <c r="H3422" s="6" t="s">
        <v>49701</v>
      </c>
      <c r="I3422" s="7">
        <f t="shared" si="3"/>
        <v>0.3294021102</v>
      </c>
    </row>
    <row r="3423">
      <c r="A3423" s="4">
        <v>3423.0</v>
      </c>
      <c r="B3423" s="3" t="s">
        <v>49702</v>
      </c>
      <c r="C3423" s="6" t="s">
        <v>74</v>
      </c>
      <c r="D3423" s="6" t="s">
        <v>11796</v>
      </c>
      <c r="E3423" s="3" t="str">
        <f t="shared" si="1"/>
        <v>rhythm&lt;br&gt;&lt;div class="audio"&gt;[sound:rhythm.mp3]&lt;/div&gt;</v>
      </c>
      <c r="F3423" s="3" t="str">
        <f t="shared" si="2"/>
        <v>(n): nhịp điệu</v>
      </c>
      <c r="G3423" s="6" t="s">
        <v>49703</v>
      </c>
      <c r="H3423" s="6" t="s">
        <v>49704</v>
      </c>
      <c r="I3423" s="7">
        <f t="shared" si="3"/>
        <v>0.03081315185</v>
      </c>
    </row>
    <row r="3424">
      <c r="A3424" s="4">
        <v>3424.0</v>
      </c>
      <c r="B3424" s="3" t="s">
        <v>49705</v>
      </c>
      <c r="C3424" s="6" t="s">
        <v>74</v>
      </c>
      <c r="D3424" s="6" t="s">
        <v>13779</v>
      </c>
      <c r="E3424" s="3" t="str">
        <f t="shared" si="1"/>
        <v>referee&lt;br&gt;&lt;div class="audio"&gt;[sound:referee.mp3]&lt;/div&gt;</v>
      </c>
      <c r="F3424" s="3" t="str">
        <f t="shared" si="2"/>
        <v>(n): trọng tài</v>
      </c>
      <c r="G3424" s="6" t="s">
        <v>49706</v>
      </c>
      <c r="H3424" s="6" t="s">
        <v>49707</v>
      </c>
      <c r="I3424" s="7">
        <f t="shared" si="3"/>
        <v>0.9298412343</v>
      </c>
    </row>
    <row r="3425">
      <c r="A3425" s="4">
        <v>3425.0</v>
      </c>
      <c r="B3425" s="3" t="s">
        <v>49708</v>
      </c>
      <c r="C3425" s="6" t="s">
        <v>74</v>
      </c>
      <c r="D3425" s="8" t="s">
        <v>14087</v>
      </c>
      <c r="E3425" s="3" t="str">
        <f t="shared" si="1"/>
        <v>statue&lt;br&gt;&lt;div class="audio"&gt;[sound:statue.mp3]&lt;/div&gt;</v>
      </c>
      <c r="F3425" s="3" t="str">
        <f t="shared" si="2"/>
        <v>(n): bức tượng</v>
      </c>
      <c r="G3425" s="8" t="s">
        <v>49709</v>
      </c>
      <c r="H3425" s="8" t="s">
        <v>49710</v>
      </c>
      <c r="I3425" s="7">
        <f t="shared" si="3"/>
        <v>0.4966938336</v>
      </c>
    </row>
    <row r="3426">
      <c r="A3426" s="4">
        <v>3426.0</v>
      </c>
      <c r="B3426" s="3" t="s">
        <v>49711</v>
      </c>
      <c r="C3426" s="6" t="s">
        <v>24</v>
      </c>
      <c r="D3426" s="6" t="s">
        <v>49712</v>
      </c>
      <c r="E3426" s="3" t="str">
        <f t="shared" si="1"/>
        <v>entitle&lt;br&gt;&lt;div class="audio"&gt;[sound:entitle.mp3]&lt;/div&gt;</v>
      </c>
      <c r="F3426" s="3" t="str">
        <f t="shared" si="2"/>
        <v>(v): cho quyền</v>
      </c>
      <c r="G3426" s="6" t="s">
        <v>49713</v>
      </c>
      <c r="H3426" s="6" t="s">
        <v>49714</v>
      </c>
      <c r="I3426" s="7">
        <f t="shared" si="3"/>
        <v>0.1452909512</v>
      </c>
    </row>
    <row r="3427">
      <c r="A3427" s="4">
        <v>3427.0</v>
      </c>
      <c r="B3427" s="3" t="s">
        <v>49715</v>
      </c>
      <c r="C3427" s="6" t="s">
        <v>74</v>
      </c>
      <c r="D3427" s="6" t="s">
        <v>16946</v>
      </c>
      <c r="E3427" s="3" t="str">
        <f t="shared" si="1"/>
        <v>rail&lt;br&gt;&lt;div class="audio"&gt;[sound:rail.mp3]&lt;/div&gt;</v>
      </c>
      <c r="F3427" s="3" t="str">
        <f t="shared" si="2"/>
        <v>(n): đường ray</v>
      </c>
      <c r="G3427" s="6" t="s">
        <v>49716</v>
      </c>
      <c r="H3427" s="6" t="s">
        <v>49717</v>
      </c>
      <c r="I3427" s="7">
        <f t="shared" si="3"/>
        <v>0.7464410719</v>
      </c>
    </row>
    <row r="3428">
      <c r="A3428" s="4">
        <v>3428.0</v>
      </c>
      <c r="B3428" s="3" t="s">
        <v>49718</v>
      </c>
      <c r="C3428" s="6" t="s">
        <v>24</v>
      </c>
      <c r="D3428" s="6" t="s">
        <v>5050</v>
      </c>
      <c r="E3428" s="3" t="str">
        <f t="shared" si="1"/>
        <v>infect&lt;br&gt;&lt;div class="audio"&gt;[sound:infect.mp3]&lt;/div&gt;</v>
      </c>
      <c r="F3428" s="3" t="str">
        <f t="shared" si="2"/>
        <v>(v): lây nhiễm</v>
      </c>
      <c r="G3428" s="6" t="s">
        <v>49719</v>
      </c>
      <c r="H3428" s="6" t="s">
        <v>49720</v>
      </c>
      <c r="I3428" s="7">
        <f t="shared" si="3"/>
        <v>0.6871949279</v>
      </c>
    </row>
    <row r="3429">
      <c r="A3429" s="4">
        <v>3429.0</v>
      </c>
      <c r="B3429" s="3" t="s">
        <v>49721</v>
      </c>
      <c r="C3429" s="6" t="s">
        <v>74</v>
      </c>
      <c r="D3429" s="6" t="s">
        <v>17929</v>
      </c>
      <c r="E3429" s="3" t="str">
        <f t="shared" si="1"/>
        <v>tunnel&lt;br&gt;&lt;div class="audio"&gt;[sound:tunnel.mp3]&lt;/div&gt;</v>
      </c>
      <c r="F3429" s="3" t="str">
        <f t="shared" si="2"/>
        <v>(n): đường hầm</v>
      </c>
      <c r="G3429" s="6" t="s">
        <v>49722</v>
      </c>
      <c r="H3429" s="6" t="s">
        <v>49723</v>
      </c>
      <c r="I3429" s="7">
        <f t="shared" si="3"/>
        <v>0.2945677249</v>
      </c>
    </row>
    <row r="3430">
      <c r="A3430" s="4">
        <v>3430.0</v>
      </c>
      <c r="B3430" s="3" t="s">
        <v>49724</v>
      </c>
      <c r="C3430" s="6" t="s">
        <v>24</v>
      </c>
      <c r="D3430" s="6" t="s">
        <v>49725</v>
      </c>
      <c r="E3430" s="3" t="str">
        <f t="shared" si="1"/>
        <v>contend&lt;br&gt;&lt;div class="audio"&gt;[sound:contend.mp3]&lt;/div&gt;</v>
      </c>
      <c r="F3430" s="3" t="str">
        <f t="shared" si="2"/>
        <v>(v): tranh đấu</v>
      </c>
      <c r="G3430" s="6" t="s">
        <v>49726</v>
      </c>
      <c r="H3430" s="6" t="s">
        <v>49727</v>
      </c>
      <c r="I3430" s="7">
        <f t="shared" si="3"/>
        <v>0.08170684278</v>
      </c>
    </row>
    <row r="3431">
      <c r="A3431" s="4">
        <v>3431.0</v>
      </c>
      <c r="B3431" s="3" t="s">
        <v>49728</v>
      </c>
      <c r="C3431" s="6" t="s">
        <v>24</v>
      </c>
      <c r="D3431" s="6" t="s">
        <v>978</v>
      </c>
      <c r="E3431" s="3" t="str">
        <f t="shared" si="1"/>
        <v>execute&lt;br&gt;&lt;div class="audio"&gt;[sound:execute.mp3]&lt;/div&gt;</v>
      </c>
      <c r="F3431" s="3" t="str">
        <f t="shared" si="2"/>
        <v>(v): thực hiện</v>
      </c>
      <c r="G3431" s="6" t="s">
        <v>49729</v>
      </c>
      <c r="H3431" s="6" t="s">
        <v>49730</v>
      </c>
      <c r="I3431" s="7">
        <f t="shared" si="3"/>
        <v>0.5413668621</v>
      </c>
    </row>
    <row r="3432">
      <c r="A3432" s="4">
        <v>3432.0</v>
      </c>
      <c r="B3432" s="3" t="s">
        <v>49731</v>
      </c>
      <c r="C3432" s="6" t="s">
        <v>24</v>
      </c>
      <c r="D3432" s="6" t="s">
        <v>32615</v>
      </c>
      <c r="E3432" s="3" t="str">
        <f t="shared" si="1"/>
        <v>exploit&lt;br&gt;&lt;div class="audio"&gt;[sound:exploit.mp3]&lt;/div&gt;</v>
      </c>
      <c r="F3432" s="3" t="str">
        <f t="shared" si="2"/>
        <v>(v): khai thác</v>
      </c>
      <c r="G3432" s="6" t="s">
        <v>49732</v>
      </c>
      <c r="H3432" s="6" t="s">
        <v>49733</v>
      </c>
      <c r="I3432" s="7">
        <f t="shared" si="3"/>
        <v>0.9113246714</v>
      </c>
    </row>
    <row r="3433">
      <c r="A3433" s="4">
        <v>3433.0</v>
      </c>
      <c r="B3433" s="3" t="s">
        <v>49734</v>
      </c>
      <c r="C3433" s="6" t="s">
        <v>74</v>
      </c>
      <c r="D3433" s="6" t="s">
        <v>49735</v>
      </c>
      <c r="E3433" s="3" t="str">
        <f t="shared" si="1"/>
        <v>gathering&lt;br&gt;&lt;div class="audio"&gt;[sound:gathering.mp3]&lt;/div&gt;</v>
      </c>
      <c r="F3433" s="3" t="str">
        <f t="shared" si="2"/>
        <v>(n): sự tụ họp</v>
      </c>
      <c r="G3433" s="6" t="s">
        <v>49736</v>
      </c>
      <c r="H3433" s="6" t="s">
        <v>49737</v>
      </c>
      <c r="I3433" s="7">
        <f t="shared" si="3"/>
        <v>0.6948376537</v>
      </c>
    </row>
    <row r="3434">
      <c r="A3434" s="4">
        <v>3434.0</v>
      </c>
      <c r="B3434" s="3" t="s">
        <v>49738</v>
      </c>
      <c r="C3434" s="6" t="s">
        <v>11</v>
      </c>
      <c r="D3434" s="6" t="s">
        <v>49739</v>
      </c>
      <c r="E3434" s="3" t="str">
        <f t="shared" si="1"/>
        <v>homeless&lt;br&gt;&lt;div class="audio"&gt;[sound:homeless.mp3]&lt;/div&gt;</v>
      </c>
      <c r="F3434" s="3" t="str">
        <f t="shared" si="2"/>
        <v>(adj): vô gia cư</v>
      </c>
      <c r="G3434" s="6" t="s">
        <v>49740</v>
      </c>
      <c r="H3434" s="6" t="s">
        <v>49741</v>
      </c>
      <c r="I3434" s="7">
        <f t="shared" si="3"/>
        <v>0.2609657106</v>
      </c>
    </row>
    <row r="3435">
      <c r="A3435" s="4">
        <v>3435.0</v>
      </c>
      <c r="B3435" s="3" t="s">
        <v>49742</v>
      </c>
      <c r="C3435" s="6" t="s">
        <v>24</v>
      </c>
      <c r="D3435" s="6" t="s">
        <v>13531</v>
      </c>
      <c r="E3435" s="3" t="str">
        <f t="shared" si="1"/>
        <v>intervene&lt;br&gt;&lt;div class="audio"&gt;[sound:intervene.mp3]&lt;/div&gt;</v>
      </c>
      <c r="F3435" s="3" t="str">
        <f t="shared" si="2"/>
        <v>(v): can thiệp</v>
      </c>
      <c r="G3435" s="6" t="s">
        <v>49743</v>
      </c>
      <c r="H3435" s="6" t="s">
        <v>49744</v>
      </c>
      <c r="I3435" s="7">
        <f t="shared" si="3"/>
        <v>0.4963774163</v>
      </c>
    </row>
    <row r="3436">
      <c r="A3436" s="4">
        <v>3436.0</v>
      </c>
      <c r="B3436" s="3" t="s">
        <v>49745</v>
      </c>
      <c r="C3436" s="6" t="s">
        <v>24</v>
      </c>
      <c r="D3436" s="6" t="s">
        <v>49746</v>
      </c>
      <c r="E3436" s="3" t="str">
        <f t="shared" si="1"/>
        <v>march&lt;br&gt;&lt;div class="audio"&gt;[sound:march.mp3]&lt;/div&gt;</v>
      </c>
      <c r="F3436" s="3" t="str">
        <f t="shared" si="2"/>
        <v>(v): diễu hành</v>
      </c>
      <c r="G3436" s="6" t="s">
        <v>49747</v>
      </c>
      <c r="H3436" s="6" t="s">
        <v>49748</v>
      </c>
      <c r="I3436" s="7">
        <f t="shared" si="3"/>
        <v>0.9197304898</v>
      </c>
    </row>
    <row r="3437">
      <c r="A3437" s="4">
        <v>3437.0</v>
      </c>
      <c r="B3437" s="3" t="s">
        <v>49749</v>
      </c>
      <c r="C3437" s="6" t="s">
        <v>74</v>
      </c>
      <c r="D3437" s="6" t="s">
        <v>19368</v>
      </c>
      <c r="E3437" s="3" t="str">
        <f t="shared" si="1"/>
        <v>rope&lt;br&gt;&lt;div class="audio"&gt;[sound:rope.mp3]&lt;/div&gt;</v>
      </c>
      <c r="F3437" s="3" t="str">
        <f t="shared" si="2"/>
        <v>(n): dây thừng</v>
      </c>
      <c r="G3437" s="6" t="s">
        <v>49750</v>
      </c>
      <c r="H3437" s="6" t="s">
        <v>49751</v>
      </c>
      <c r="I3437" s="7">
        <f t="shared" si="3"/>
        <v>0.3257205587</v>
      </c>
    </row>
    <row r="3438">
      <c r="A3438" s="4">
        <v>3438.0</v>
      </c>
      <c r="B3438" s="3" t="s">
        <v>49752</v>
      </c>
      <c r="C3438" s="6" t="s">
        <v>74</v>
      </c>
      <c r="D3438" s="6" t="s">
        <v>20848</v>
      </c>
      <c r="E3438" s="3" t="str">
        <f t="shared" si="1"/>
        <v>formula&lt;br&gt;&lt;div class="audio"&gt;[sound:formula.mp3]&lt;/div&gt;</v>
      </c>
      <c r="F3438" s="3" t="str">
        <f t="shared" si="2"/>
        <v>(n): công thức</v>
      </c>
      <c r="G3438" s="6" t="s">
        <v>49753</v>
      </c>
      <c r="H3438" s="6" t="s">
        <v>49754</v>
      </c>
      <c r="I3438" s="7">
        <f t="shared" si="3"/>
        <v>0.4944195499</v>
      </c>
    </row>
    <row r="3439">
      <c r="A3439" s="4">
        <v>3439.0</v>
      </c>
      <c r="B3439" s="3" t="s">
        <v>49755</v>
      </c>
      <c r="C3439" s="6" t="s">
        <v>11</v>
      </c>
      <c r="D3439" s="6" t="s">
        <v>49756</v>
      </c>
      <c r="E3439" s="3" t="str">
        <f t="shared" si="1"/>
        <v>minimum&lt;br&gt;&lt;div class="audio"&gt;[sound:minimum.mp3]&lt;/div&gt;</v>
      </c>
      <c r="F3439" s="3" t="str">
        <f t="shared" si="2"/>
        <v>(adj): tối thiểu</v>
      </c>
      <c r="G3439" s="6" t="s">
        <v>49757</v>
      </c>
      <c r="H3439" s="6" t="s">
        <v>49758</v>
      </c>
      <c r="I3439" s="7">
        <f t="shared" si="3"/>
        <v>0.09640919022</v>
      </c>
    </row>
    <row r="3440">
      <c r="A3440" s="4">
        <v>3440.0</v>
      </c>
      <c r="B3440" s="3" t="s">
        <v>49759</v>
      </c>
      <c r="C3440" s="6" t="s">
        <v>74</v>
      </c>
      <c r="D3440" s="6" t="s">
        <v>6878</v>
      </c>
      <c r="E3440" s="3" t="str">
        <f t="shared" si="1"/>
        <v>norm&lt;br&gt;&lt;div class="audio"&gt;[sound:norm.mp3]&lt;/div&gt;</v>
      </c>
      <c r="F3440" s="3" t="str">
        <f t="shared" si="2"/>
        <v>(n): quy chuẩn</v>
      </c>
      <c r="G3440" s="6" t="s">
        <v>49760</v>
      </c>
      <c r="H3440" s="6" t="s">
        <v>49761</v>
      </c>
      <c r="I3440" s="7">
        <f t="shared" si="3"/>
        <v>0.008489297456</v>
      </c>
    </row>
    <row r="3441">
      <c r="A3441" s="4">
        <v>3441.0</v>
      </c>
      <c r="B3441" s="3" t="s">
        <v>49762</v>
      </c>
      <c r="C3441" s="6" t="s">
        <v>74</v>
      </c>
      <c r="D3441" s="6" t="s">
        <v>20848</v>
      </c>
      <c r="E3441" s="3" t="str">
        <f t="shared" si="1"/>
        <v>recipe&lt;br&gt;&lt;div class="audio"&gt;[sound:recipe.mp3]&lt;/div&gt;</v>
      </c>
      <c r="F3441" s="3" t="str">
        <f t="shared" si="2"/>
        <v>(n): công thức</v>
      </c>
      <c r="G3441" s="6" t="s">
        <v>49763</v>
      </c>
      <c r="H3441" s="6" t="s">
        <v>49764</v>
      </c>
      <c r="I3441" s="7">
        <f t="shared" si="3"/>
        <v>0.3146773549</v>
      </c>
    </row>
    <row r="3442">
      <c r="A3442" s="4">
        <v>3442.0</v>
      </c>
      <c r="B3442" s="3" t="s">
        <v>49765</v>
      </c>
      <c r="C3442" s="6" t="s">
        <v>11</v>
      </c>
      <c r="D3442" s="6" t="s">
        <v>49766</v>
      </c>
      <c r="E3442" s="3" t="str">
        <f t="shared" si="1"/>
        <v>problematic&lt;br&gt;&lt;div class="audio"&gt;[sound:problematic.mp3]&lt;/div&gt;</v>
      </c>
      <c r="F3442" s="3" t="str">
        <f t="shared" si="2"/>
        <v>(adj): có vấn đề</v>
      </c>
      <c r="G3442" s="6" t="s">
        <v>49767</v>
      </c>
      <c r="H3442" s="6" t="s">
        <v>49768</v>
      </c>
      <c r="I3442" s="7">
        <f t="shared" si="3"/>
        <v>0.2173170345</v>
      </c>
    </row>
    <row r="3443">
      <c r="A3443" s="4">
        <v>3443.0</v>
      </c>
      <c r="B3443" s="3" t="s">
        <v>49769</v>
      </c>
      <c r="C3443" s="6" t="s">
        <v>11</v>
      </c>
      <c r="D3443" s="6" t="s">
        <v>49770</v>
      </c>
      <c r="E3443" s="3" t="str">
        <f t="shared" si="1"/>
        <v>consecutive&lt;br&gt;&lt;div class="audio"&gt;[sound:consecutive.mp3]&lt;/div&gt;</v>
      </c>
      <c r="F3443" s="3" t="str">
        <f t="shared" si="2"/>
        <v>(adj): liên tiếp</v>
      </c>
      <c r="G3443" s="6" t="s">
        <v>49771</v>
      </c>
      <c r="H3443" s="6" t="s">
        <v>49772</v>
      </c>
      <c r="I3443" s="7">
        <f t="shared" si="3"/>
        <v>0.07159236685</v>
      </c>
    </row>
    <row r="3444">
      <c r="A3444" s="4">
        <v>3444.0</v>
      </c>
      <c r="B3444" s="3" t="s">
        <v>49773</v>
      </c>
      <c r="C3444" s="6" t="s">
        <v>11</v>
      </c>
      <c r="D3444" s="8" t="s">
        <v>49770</v>
      </c>
      <c r="E3444" s="3" t="str">
        <f t="shared" si="1"/>
        <v>successive&lt;br&gt;&lt;div class="audio"&gt;[sound:successive.mp3]&lt;/div&gt;</v>
      </c>
      <c r="F3444" s="3" t="str">
        <f t="shared" si="2"/>
        <v>(adj): liên tiếp</v>
      </c>
      <c r="G3444" s="8" t="s">
        <v>49774</v>
      </c>
      <c r="H3444" s="8" t="s">
        <v>49775</v>
      </c>
      <c r="I3444" s="7">
        <f t="shared" si="3"/>
        <v>0.772276462</v>
      </c>
    </row>
    <row r="3445">
      <c r="A3445" s="4">
        <v>3445.0</v>
      </c>
      <c r="B3445" s="3" t="s">
        <v>49776</v>
      </c>
      <c r="C3445" s="6" t="s">
        <v>11</v>
      </c>
      <c r="D3445" s="6" t="s">
        <v>41854</v>
      </c>
      <c r="E3445" s="3" t="str">
        <f t="shared" si="1"/>
        <v>integral&lt;br&gt;&lt;div class="audio"&gt;[sound:integral.mp3]&lt;/div&gt;</v>
      </c>
      <c r="F3445" s="3" t="str">
        <f t="shared" si="2"/>
        <v>(adj): thiết yếu</v>
      </c>
      <c r="G3445" s="6" t="s">
        <v>49777</v>
      </c>
      <c r="H3445" s="6" t="s">
        <v>41856</v>
      </c>
      <c r="I3445" s="7">
        <f t="shared" si="3"/>
        <v>0.5833168552</v>
      </c>
    </row>
    <row r="3446">
      <c r="A3446" s="4">
        <v>3446.0</v>
      </c>
      <c r="B3446" s="3" t="s">
        <v>49778</v>
      </c>
      <c r="C3446" s="6" t="s">
        <v>24</v>
      </c>
      <c r="D3446" s="6" t="s">
        <v>33245</v>
      </c>
      <c r="E3446" s="3" t="str">
        <f t="shared" si="1"/>
        <v>freeze&lt;br&gt;&lt;div class="audio"&gt;[sound:freeze.mp3]&lt;/div&gt;</v>
      </c>
      <c r="F3446" s="3" t="str">
        <f t="shared" si="2"/>
        <v>(v): đóng băng</v>
      </c>
      <c r="G3446" s="6" t="s">
        <v>49779</v>
      </c>
      <c r="H3446" s="6" t="s">
        <v>49780</v>
      </c>
      <c r="I3446" s="7">
        <f t="shared" si="3"/>
        <v>0.3452082117</v>
      </c>
    </row>
    <row r="3447">
      <c r="A3447" s="4">
        <v>3447.0</v>
      </c>
      <c r="B3447" s="3" t="s">
        <v>49781</v>
      </c>
      <c r="C3447" s="6" t="s">
        <v>11</v>
      </c>
      <c r="D3447" s="6" t="s">
        <v>49648</v>
      </c>
      <c r="E3447" s="3" t="str">
        <f t="shared" si="1"/>
        <v>productive&lt;br&gt;&lt;div class="audio"&gt;[sound:productive.mp3]&lt;/div&gt;</v>
      </c>
      <c r="F3447" s="3" t="str">
        <f t="shared" si="2"/>
        <v>(adj): năng suất</v>
      </c>
      <c r="G3447" s="6" t="s">
        <v>49782</v>
      </c>
      <c r="H3447" s="6" t="s">
        <v>49783</v>
      </c>
      <c r="I3447" s="7">
        <f t="shared" si="3"/>
        <v>0.1532548005</v>
      </c>
    </row>
    <row r="3448">
      <c r="A3448" s="4">
        <v>3448.0</v>
      </c>
      <c r="B3448" s="3" t="s">
        <v>49784</v>
      </c>
      <c r="C3448" s="6" t="s">
        <v>11</v>
      </c>
      <c r="D3448" s="6" t="s">
        <v>49785</v>
      </c>
      <c r="E3448" s="3" t="str">
        <f t="shared" si="1"/>
        <v>indoor&lt;br&gt;&lt;div class="audio"&gt;[sound:indoor.mp3]&lt;/div&gt;</v>
      </c>
      <c r="F3448" s="3" t="str">
        <f t="shared" si="2"/>
        <v>(adj): trong nhà</v>
      </c>
      <c r="G3448" s="6" t="s">
        <v>49786</v>
      </c>
      <c r="H3448" s="6" t="s">
        <v>49787</v>
      </c>
      <c r="I3448" s="7">
        <f t="shared" si="3"/>
        <v>0.7925409368</v>
      </c>
    </row>
    <row r="3449">
      <c r="A3449" s="4">
        <v>3449.0</v>
      </c>
      <c r="B3449" s="3" t="s">
        <v>49788</v>
      </c>
      <c r="C3449" s="6" t="s">
        <v>44</v>
      </c>
      <c r="D3449" s="6" t="s">
        <v>39709</v>
      </c>
      <c r="E3449" s="3" t="str">
        <f t="shared" si="1"/>
        <v>whoever&lt;br&gt;&lt;div class="audio"&gt;[sound:whoever.mp3]&lt;/div&gt;</v>
      </c>
      <c r="F3449" s="3" t="str">
        <f t="shared" si="2"/>
        <v>(pron): bất kỳ ai</v>
      </c>
      <c r="G3449" s="6" t="s">
        <v>49789</v>
      </c>
      <c r="H3449" s="6" t="s">
        <v>49790</v>
      </c>
      <c r="I3449" s="7">
        <f t="shared" si="3"/>
        <v>0.2715692799</v>
      </c>
    </row>
    <row r="3450">
      <c r="A3450" s="4">
        <v>3450.0</v>
      </c>
      <c r="B3450" s="3" t="s">
        <v>49791</v>
      </c>
      <c r="C3450" s="6" t="s">
        <v>24</v>
      </c>
      <c r="D3450" s="6" t="s">
        <v>38647</v>
      </c>
      <c r="E3450" s="3" t="str">
        <f t="shared" si="1"/>
        <v>resist&lt;br&gt;&lt;div class="audio"&gt;[sound:resist.mp3]&lt;/div&gt;</v>
      </c>
      <c r="F3450" s="3" t="str">
        <f t="shared" si="2"/>
        <v>(v): chống lại</v>
      </c>
      <c r="G3450" s="6" t="s">
        <v>49792</v>
      </c>
      <c r="H3450" s="6" t="s">
        <v>49793</v>
      </c>
      <c r="I3450" s="7">
        <f t="shared" si="3"/>
        <v>0.6338329363</v>
      </c>
    </row>
    <row r="3451">
      <c r="A3451" s="4">
        <v>3451.0</v>
      </c>
      <c r="B3451" s="3" t="s">
        <v>49794</v>
      </c>
      <c r="C3451" s="6" t="s">
        <v>11</v>
      </c>
      <c r="D3451" s="6" t="s">
        <v>2032</v>
      </c>
      <c r="E3451" s="3" t="str">
        <f t="shared" si="1"/>
        <v>fabulous&lt;br&gt;&lt;div class="audio"&gt;[sound:fabulous.mp3]&lt;/div&gt;</v>
      </c>
      <c r="F3451" s="3" t="str">
        <f t="shared" si="2"/>
        <v>(adj): tuyệt vời</v>
      </c>
      <c r="G3451" s="6" t="s">
        <v>49795</v>
      </c>
      <c r="H3451" s="6" t="s">
        <v>49796</v>
      </c>
      <c r="I3451" s="7">
        <f t="shared" si="3"/>
        <v>0.6141791564</v>
      </c>
    </row>
    <row r="3452">
      <c r="A3452" s="4">
        <v>3452.0</v>
      </c>
      <c r="B3452" s="3" t="s">
        <v>49797</v>
      </c>
      <c r="C3452" s="6" t="s">
        <v>85</v>
      </c>
      <c r="D3452" s="6" t="s">
        <v>200</v>
      </c>
      <c r="E3452" s="3" t="str">
        <f t="shared" si="1"/>
        <v>additionally&lt;br&gt;&lt;div class="audio"&gt;[sound:additionally.mp3]&lt;/div&gt;</v>
      </c>
      <c r="F3452" s="3" t="str">
        <f t="shared" si="2"/>
        <v>(adv): ngoài ra</v>
      </c>
      <c r="G3452" s="6" t="s">
        <v>49798</v>
      </c>
      <c r="H3452" s="6" t="s">
        <v>49799</v>
      </c>
      <c r="I3452" s="7">
        <f t="shared" si="3"/>
        <v>0.360246167</v>
      </c>
    </row>
    <row r="3453">
      <c r="A3453" s="4">
        <v>3453.0</v>
      </c>
      <c r="B3453" s="3" t="s">
        <v>49800</v>
      </c>
      <c r="C3453" s="6" t="s">
        <v>74</v>
      </c>
      <c r="D3453" s="6" t="s">
        <v>49801</v>
      </c>
      <c r="E3453" s="3" t="str">
        <f t="shared" si="1"/>
        <v>configuration&lt;br&gt;&lt;div class="audio"&gt;[sound:configuration.mp3]&lt;/div&gt;</v>
      </c>
      <c r="F3453" s="3" t="str">
        <f t="shared" si="2"/>
        <v>(n): cấu hình</v>
      </c>
      <c r="G3453" s="6" t="s">
        <v>49802</v>
      </c>
      <c r="H3453" s="6" t="s">
        <v>49803</v>
      </c>
      <c r="I3453" s="7">
        <f t="shared" si="3"/>
        <v>0.280051437</v>
      </c>
    </row>
    <row r="3454">
      <c r="A3454" s="4">
        <v>3454.0</v>
      </c>
      <c r="B3454" s="3" t="s">
        <v>49804</v>
      </c>
      <c r="C3454" s="6" t="s">
        <v>74</v>
      </c>
      <c r="D3454" s="6" t="s">
        <v>49805</v>
      </c>
      <c r="E3454" s="3" t="str">
        <f t="shared" si="1"/>
        <v>frequency&lt;br&gt;&lt;div class="audio"&gt;[sound:frequency.mp3]&lt;/div&gt;</v>
      </c>
      <c r="F3454" s="3" t="str">
        <f t="shared" si="2"/>
        <v>(n): tần suất</v>
      </c>
      <c r="G3454" s="6" t="s">
        <v>49806</v>
      </c>
      <c r="H3454" s="6" t="s">
        <v>49807</v>
      </c>
      <c r="I3454" s="7">
        <f t="shared" si="3"/>
        <v>0.01994070371</v>
      </c>
    </row>
    <row r="3455">
      <c r="A3455" s="4">
        <v>3455.0</v>
      </c>
      <c r="B3455" s="3" t="s">
        <v>49808</v>
      </c>
      <c r="C3455" s="6" t="s">
        <v>24</v>
      </c>
      <c r="D3455" s="6" t="s">
        <v>49809</v>
      </c>
      <c r="E3455" s="3" t="str">
        <f t="shared" si="1"/>
        <v>contemplate&lt;br&gt;&lt;div class="audio"&gt;[sound:contemplate.mp3]&lt;/div&gt;</v>
      </c>
      <c r="F3455" s="3" t="str">
        <f t="shared" si="2"/>
        <v>(v): suy ngẫm</v>
      </c>
      <c r="G3455" s="6" t="s">
        <v>49810</v>
      </c>
      <c r="H3455" s="6" t="s">
        <v>49811</v>
      </c>
      <c r="I3455" s="7">
        <f t="shared" si="3"/>
        <v>0.9907267091</v>
      </c>
    </row>
    <row r="3456">
      <c r="A3456" s="4">
        <v>3456.0</v>
      </c>
      <c r="B3456" s="3" t="s">
        <v>49812</v>
      </c>
      <c r="C3456" s="6" t="s">
        <v>24</v>
      </c>
      <c r="D3456" s="6" t="s">
        <v>20627</v>
      </c>
      <c r="E3456" s="3" t="str">
        <f t="shared" si="1"/>
        <v>conceal&lt;br&gt;&lt;div class="audio"&gt;[sound:conceal.mp3]&lt;/div&gt;</v>
      </c>
      <c r="F3456" s="3" t="str">
        <f t="shared" si="2"/>
        <v>(v): che giấu</v>
      </c>
      <c r="G3456" s="6" t="s">
        <v>49813</v>
      </c>
      <c r="H3456" s="6" t="s">
        <v>49814</v>
      </c>
      <c r="I3456" s="7">
        <f t="shared" si="3"/>
        <v>0.8732224642</v>
      </c>
    </row>
    <row r="3457">
      <c r="A3457" s="4">
        <v>3457.0</v>
      </c>
      <c r="B3457" s="3" t="s">
        <v>49815</v>
      </c>
      <c r="C3457" s="6" t="s">
        <v>24</v>
      </c>
      <c r="D3457" s="6" t="s">
        <v>49816</v>
      </c>
      <c r="E3457" s="3" t="str">
        <f t="shared" si="1"/>
        <v>insult&lt;br&gt;&lt;div class="audio"&gt;[sound:insult.mp3]&lt;/div&gt;</v>
      </c>
      <c r="F3457" s="3" t="str">
        <f t="shared" si="2"/>
        <v>(v): xúc phạm</v>
      </c>
      <c r="G3457" s="6" t="s">
        <v>49817</v>
      </c>
      <c r="H3457" s="6" t="s">
        <v>49818</v>
      </c>
      <c r="I3457" s="7">
        <f t="shared" si="3"/>
        <v>0.6509911511</v>
      </c>
    </row>
    <row r="3458">
      <c r="A3458" s="4">
        <v>3458.0</v>
      </c>
      <c r="B3458" s="3" t="s">
        <v>49819</v>
      </c>
      <c r="C3458" s="6" t="s">
        <v>24</v>
      </c>
      <c r="D3458" s="8" t="s">
        <v>49820</v>
      </c>
      <c r="E3458" s="3" t="str">
        <f t="shared" si="1"/>
        <v>slam&lt;br&gt;&lt;div class="audio"&gt;[sound:slam.mp3]&lt;/div&gt;</v>
      </c>
      <c r="F3458" s="3" t="str">
        <f t="shared" si="2"/>
        <v>(v): đóng sầm</v>
      </c>
      <c r="G3458" s="8" t="s">
        <v>49821</v>
      </c>
      <c r="H3458" s="8" t="s">
        <v>49822</v>
      </c>
      <c r="I3458" s="7">
        <f t="shared" si="3"/>
        <v>0.7222468415</v>
      </c>
    </row>
    <row r="3459">
      <c r="A3459" s="4">
        <v>3459.0</v>
      </c>
      <c r="B3459" s="3" t="s">
        <v>49823</v>
      </c>
      <c r="C3459" s="6" t="s">
        <v>24</v>
      </c>
      <c r="D3459" s="8" t="s">
        <v>26535</v>
      </c>
      <c r="E3459" s="3" t="str">
        <f t="shared" si="1"/>
        <v>speculate&lt;br&gt;&lt;div class="audio"&gt;[sound:speculate.mp3]&lt;/div&gt;</v>
      </c>
      <c r="F3459" s="3" t="str">
        <f t="shared" si="2"/>
        <v>(v): suy đoán</v>
      </c>
      <c r="G3459" s="8" t="s">
        <v>49824</v>
      </c>
      <c r="H3459" s="8" t="s">
        <v>49825</v>
      </c>
      <c r="I3459" s="7">
        <f t="shared" si="3"/>
        <v>0.5690115553</v>
      </c>
    </row>
    <row r="3460">
      <c r="A3460" s="4">
        <v>3460.0</v>
      </c>
      <c r="B3460" s="3" t="s">
        <v>49826</v>
      </c>
      <c r="C3460" s="6" t="s">
        <v>74</v>
      </c>
      <c r="D3460" s="6" t="s">
        <v>49827</v>
      </c>
      <c r="E3460" s="3" t="str">
        <f t="shared" si="1"/>
        <v>entity&lt;br&gt;&lt;div class="audio"&gt;[sound:entity.mp3]&lt;/div&gt;</v>
      </c>
      <c r="F3460" s="3" t="str">
        <f t="shared" si="2"/>
        <v>(n): thực thể</v>
      </c>
      <c r="G3460" s="6" t="s">
        <v>49828</v>
      </c>
      <c r="H3460" s="6" t="s">
        <v>49829</v>
      </c>
      <c r="I3460" s="7">
        <f t="shared" si="3"/>
        <v>0.4280579522</v>
      </c>
    </row>
    <row r="3461">
      <c r="A3461" s="4">
        <v>3461.0</v>
      </c>
      <c r="B3461" s="3" t="s">
        <v>49830</v>
      </c>
      <c r="C3461" s="6" t="s">
        <v>11</v>
      </c>
      <c r="D3461" s="6" t="s">
        <v>4000</v>
      </c>
      <c r="E3461" s="3" t="str">
        <f t="shared" si="1"/>
        <v>balanced&lt;br&gt;&lt;div class="audio"&gt;[sound:balanced.mp3]&lt;/div&gt;</v>
      </c>
      <c r="F3461" s="3" t="str">
        <f t="shared" si="2"/>
        <v>(adj): cân bằng</v>
      </c>
      <c r="G3461" s="6" t="s">
        <v>49831</v>
      </c>
      <c r="H3461" s="6" t="s">
        <v>49832</v>
      </c>
      <c r="I3461" s="7">
        <f t="shared" si="3"/>
        <v>0.3957735043</v>
      </c>
    </row>
    <row r="3462">
      <c r="A3462" s="4">
        <v>3462.0</v>
      </c>
      <c r="B3462" s="3" t="s">
        <v>49833</v>
      </c>
      <c r="C3462" s="6" t="s">
        <v>74</v>
      </c>
      <c r="D3462" s="6" t="s">
        <v>19723</v>
      </c>
      <c r="E3462" s="3" t="str">
        <f t="shared" si="1"/>
        <v>protein&lt;br&gt;&lt;div class="audio"&gt;[sound:protein.mp3]&lt;/div&gt;</v>
      </c>
      <c r="F3462" s="3" t="str">
        <f t="shared" si="2"/>
        <v>(n): chất đạm</v>
      </c>
      <c r="G3462" s="6" t="s">
        <v>49834</v>
      </c>
      <c r="H3462" s="6" t="s">
        <v>49835</v>
      </c>
      <c r="I3462" s="7">
        <f t="shared" si="3"/>
        <v>0.5897388072</v>
      </c>
    </row>
    <row r="3463">
      <c r="A3463" s="4">
        <v>3463.0</v>
      </c>
      <c r="B3463" s="3" t="s">
        <v>49836</v>
      </c>
      <c r="C3463" s="6" t="s">
        <v>74</v>
      </c>
      <c r="D3463" s="6" t="s">
        <v>49837</v>
      </c>
      <c r="E3463" s="3" t="str">
        <f t="shared" si="1"/>
        <v>password&lt;br&gt;&lt;div class="audio"&gt;[sound:password.mp3]&lt;/div&gt;</v>
      </c>
      <c r="F3463" s="3" t="str">
        <f t="shared" si="2"/>
        <v>(n): mật khẩu</v>
      </c>
      <c r="G3463" s="6" t="s">
        <v>49838</v>
      </c>
      <c r="H3463" s="6" t="s">
        <v>49839</v>
      </c>
      <c r="I3463" s="7">
        <f t="shared" si="3"/>
        <v>0.05812957827</v>
      </c>
    </row>
    <row r="3464">
      <c r="A3464" s="4">
        <v>3464.0</v>
      </c>
      <c r="B3464" s="3" t="s">
        <v>49840</v>
      </c>
      <c r="C3464" s="6" t="s">
        <v>85</v>
      </c>
      <c r="D3464" s="6" t="s">
        <v>4886</v>
      </c>
      <c r="E3464" s="3" t="str">
        <f t="shared" si="1"/>
        <v>firstly&lt;br&gt;&lt;div class="audio"&gt;[sound:firstly.mp3]&lt;/div&gt;</v>
      </c>
      <c r="F3464" s="3" t="str">
        <f t="shared" si="2"/>
        <v>(adv): đầu tiên</v>
      </c>
      <c r="G3464" s="6" t="s">
        <v>49841</v>
      </c>
      <c r="H3464" s="6" t="s">
        <v>49842</v>
      </c>
      <c r="I3464" s="7">
        <f t="shared" si="3"/>
        <v>0.9125897697</v>
      </c>
    </row>
    <row r="3465">
      <c r="A3465" s="4">
        <v>3465.0</v>
      </c>
      <c r="B3465" s="3" t="s">
        <v>49843</v>
      </c>
      <c r="C3465" s="6" t="s">
        <v>24</v>
      </c>
      <c r="D3465" s="8" t="s">
        <v>49844</v>
      </c>
      <c r="E3465" s="3" t="str">
        <f t="shared" si="1"/>
        <v>shrug&lt;br&gt;&lt;div class="audio"&gt;[sound:shrug.mp3]&lt;/div&gt;</v>
      </c>
      <c r="F3465" s="3" t="str">
        <f t="shared" si="2"/>
        <v>(v): nhún vai</v>
      </c>
      <c r="G3465" s="8" t="s">
        <v>49845</v>
      </c>
      <c r="H3465" s="8" t="s">
        <v>49846</v>
      </c>
      <c r="I3465" s="7">
        <f t="shared" si="3"/>
        <v>0.4211170569</v>
      </c>
    </row>
    <row r="3466">
      <c r="A3466" s="4">
        <v>3466.0</v>
      </c>
      <c r="B3466" s="3" t="s">
        <v>49847</v>
      </c>
      <c r="C3466" s="6" t="s">
        <v>24</v>
      </c>
      <c r="D3466" s="6" t="s">
        <v>49848</v>
      </c>
      <c r="E3466" s="3" t="str">
        <f t="shared" si="1"/>
        <v>remark&lt;br&gt;&lt;div class="audio"&gt;[sound:remark.mp3]&lt;/div&gt;</v>
      </c>
      <c r="F3466" s="3" t="str">
        <f t="shared" si="2"/>
        <v>(v): nhận xét</v>
      </c>
      <c r="G3466" s="6" t="s">
        <v>49849</v>
      </c>
      <c r="H3466" s="6" t="s">
        <v>49850</v>
      </c>
      <c r="I3466" s="7">
        <f t="shared" si="3"/>
        <v>0.298802797</v>
      </c>
    </row>
    <row r="3467">
      <c r="A3467" s="4">
        <v>3467.0</v>
      </c>
      <c r="B3467" s="3" t="s">
        <v>49851</v>
      </c>
      <c r="C3467" s="6" t="s">
        <v>74</v>
      </c>
      <c r="D3467" s="6" t="s">
        <v>28678</v>
      </c>
      <c r="E3467" s="3" t="str">
        <f t="shared" si="1"/>
        <v>thumb&lt;br&gt;&lt;div class="audio"&gt;[sound:thumb.mp3]&lt;/div&gt;</v>
      </c>
      <c r="F3467" s="3" t="str">
        <f t="shared" si="2"/>
        <v>(n): ngón cái</v>
      </c>
      <c r="G3467" s="6" t="s">
        <v>49852</v>
      </c>
      <c r="H3467" s="6" t="s">
        <v>49853</v>
      </c>
      <c r="I3467" s="7">
        <f t="shared" si="3"/>
        <v>0.3705163037</v>
      </c>
    </row>
    <row r="3468">
      <c r="A3468" s="4">
        <v>3468.0</v>
      </c>
      <c r="B3468" s="3" t="s">
        <v>49854</v>
      </c>
      <c r="C3468" s="6" t="s">
        <v>58</v>
      </c>
      <c r="D3468" s="6" t="s">
        <v>49855</v>
      </c>
      <c r="E3468" s="3" t="str">
        <f t="shared" si="1"/>
        <v>eighty&lt;br&gt;&lt;div class="audio"&gt;[sound:eighty.mp3]&lt;/div&gt;</v>
      </c>
      <c r="F3468" s="3" t="str">
        <f t="shared" si="2"/>
        <v>(num): tám mươi</v>
      </c>
      <c r="G3468" s="6" t="s">
        <v>49856</v>
      </c>
      <c r="H3468" s="6" t="s">
        <v>49857</v>
      </c>
      <c r="I3468" s="7">
        <f t="shared" si="3"/>
        <v>0.5974385719</v>
      </c>
    </row>
    <row r="3469">
      <c r="A3469" s="4">
        <v>3469.0</v>
      </c>
      <c r="B3469" s="3" t="s">
        <v>49858</v>
      </c>
      <c r="C3469" s="6" t="s">
        <v>74</v>
      </c>
      <c r="D3469" s="6" t="s">
        <v>23403</v>
      </c>
      <c r="E3469" s="3" t="str">
        <f t="shared" si="1"/>
        <v>buddy&lt;br&gt;&lt;div class="audio"&gt;[sound:buddy.mp3]&lt;/div&gt;</v>
      </c>
      <c r="F3469" s="3" t="str">
        <f t="shared" si="2"/>
        <v>(n): bạn thân</v>
      </c>
      <c r="G3469" s="6" t="s">
        <v>49859</v>
      </c>
      <c r="H3469" s="6" t="s">
        <v>49860</v>
      </c>
      <c r="I3469" s="7">
        <f t="shared" si="3"/>
        <v>0.4060833955</v>
      </c>
    </row>
    <row r="3470">
      <c r="A3470" s="4">
        <v>3470.0</v>
      </c>
      <c r="B3470" s="3" t="s">
        <v>49861</v>
      </c>
      <c r="C3470" s="6" t="s">
        <v>11</v>
      </c>
      <c r="D3470" s="8" t="s">
        <v>10115</v>
      </c>
      <c r="E3470" s="3" t="str">
        <f t="shared" si="1"/>
        <v>sole&lt;br&gt;&lt;div class="audio"&gt;[sound:sole.mp3]&lt;/div&gt;</v>
      </c>
      <c r="F3470" s="3" t="str">
        <f t="shared" si="2"/>
        <v>(adj): duy nhất</v>
      </c>
      <c r="G3470" s="8" t="s">
        <v>49862</v>
      </c>
      <c r="H3470" s="8" t="s">
        <v>49863</v>
      </c>
      <c r="I3470" s="7">
        <f t="shared" si="3"/>
        <v>0.5211500138</v>
      </c>
    </row>
    <row r="3471">
      <c r="A3471" s="4">
        <v>3471.0</v>
      </c>
      <c r="B3471" s="3" t="s">
        <v>49864</v>
      </c>
      <c r="C3471" s="6" t="s">
        <v>74</v>
      </c>
      <c r="D3471" s="6" t="s">
        <v>49865</v>
      </c>
      <c r="E3471" s="3" t="str">
        <f t="shared" si="1"/>
        <v>folk&lt;br&gt;&lt;div class="audio"&gt;[sound:folk.mp3]&lt;/div&gt;</v>
      </c>
      <c r="F3471" s="3" t="str">
        <f t="shared" si="2"/>
        <v>(n): dân gian</v>
      </c>
      <c r="G3471" s="6" t="s">
        <v>49866</v>
      </c>
      <c r="H3471" s="6" t="s">
        <v>49867</v>
      </c>
      <c r="I3471" s="7">
        <f t="shared" si="3"/>
        <v>0.5828289213</v>
      </c>
    </row>
    <row r="3472">
      <c r="A3472" s="4">
        <v>3472.0</v>
      </c>
      <c r="B3472" s="3" t="s">
        <v>49868</v>
      </c>
      <c r="C3472" s="6" t="s">
        <v>74</v>
      </c>
      <c r="D3472" s="6" t="s">
        <v>12719</v>
      </c>
      <c r="E3472" s="3" t="str">
        <f t="shared" si="1"/>
        <v>racing&lt;br&gt;&lt;div class="audio"&gt;[sound:racing.mp3]&lt;/div&gt;</v>
      </c>
      <c r="F3472" s="3" t="str">
        <f t="shared" si="2"/>
        <v>(n): cuộc đua</v>
      </c>
      <c r="G3472" s="6" t="s">
        <v>49869</v>
      </c>
      <c r="H3472" s="6" t="s">
        <v>49870</v>
      </c>
      <c r="I3472" s="7">
        <f t="shared" si="3"/>
        <v>0.8236629087</v>
      </c>
    </row>
    <row r="3473">
      <c r="A3473" s="4">
        <v>3473.0</v>
      </c>
      <c r="B3473" s="3" t="s">
        <v>49871</v>
      </c>
      <c r="C3473" s="6" t="s">
        <v>85</v>
      </c>
      <c r="D3473" s="8" t="s">
        <v>36403</v>
      </c>
      <c r="E3473" s="3" t="str">
        <f t="shared" si="1"/>
        <v>seldom&lt;br&gt;&lt;div class="audio"&gt;[sound:seldom.mp3]&lt;/div&gt;</v>
      </c>
      <c r="F3473" s="3" t="str">
        <f t="shared" si="2"/>
        <v>(adv): hiếm khi</v>
      </c>
      <c r="G3473" s="8" t="s">
        <v>49872</v>
      </c>
      <c r="H3473" s="8" t="s">
        <v>49873</v>
      </c>
      <c r="I3473" s="7">
        <f t="shared" si="3"/>
        <v>0.8385686592</v>
      </c>
    </row>
    <row r="3474">
      <c r="A3474" s="4">
        <v>3474.0</v>
      </c>
      <c r="B3474" s="3" t="s">
        <v>49874</v>
      </c>
      <c r="C3474" s="6" t="s">
        <v>74</v>
      </c>
      <c r="D3474" s="6" t="s">
        <v>12706</v>
      </c>
      <c r="E3474" s="3" t="str">
        <f t="shared" si="1"/>
        <v>script&lt;br&gt;&lt;div class="audio"&gt;[sound:script.mp3]&lt;/div&gt;</v>
      </c>
      <c r="F3474" s="3" t="str">
        <f t="shared" si="2"/>
        <v>(n): kịch bản</v>
      </c>
      <c r="G3474" s="6" t="s">
        <v>49875</v>
      </c>
      <c r="H3474" s="6" t="s">
        <v>49876</v>
      </c>
      <c r="I3474" s="7">
        <f t="shared" si="3"/>
        <v>0.1112789699</v>
      </c>
    </row>
    <row r="3475">
      <c r="A3475" s="4">
        <v>3475.0</v>
      </c>
      <c r="B3475" s="3" t="s">
        <v>49877</v>
      </c>
      <c r="C3475" s="6" t="s">
        <v>74</v>
      </c>
      <c r="D3475" s="6" t="s">
        <v>49878</v>
      </c>
      <c r="E3475" s="3" t="str">
        <f t="shared" si="1"/>
        <v>goodness&lt;br&gt;&lt;div class="audio"&gt;[sound:goodness.mp3]&lt;/div&gt;</v>
      </c>
      <c r="F3475" s="3" t="str">
        <f t="shared" si="2"/>
        <v>(n): lòng tốt</v>
      </c>
      <c r="G3475" s="6" t="s">
        <v>49879</v>
      </c>
      <c r="H3475" s="6" t="s">
        <v>49880</v>
      </c>
      <c r="I3475" s="7">
        <f t="shared" si="3"/>
        <v>0.9603169812</v>
      </c>
    </row>
    <row r="3476">
      <c r="A3476" s="4">
        <v>3476.0</v>
      </c>
      <c r="B3476" s="3" t="s">
        <v>49881</v>
      </c>
      <c r="C3476" s="6" t="s">
        <v>85</v>
      </c>
      <c r="D3476" s="6" t="s">
        <v>9577</v>
      </c>
      <c r="E3476" s="3" t="str">
        <f t="shared" si="1"/>
        <v>thoroughly&lt;br&gt;&lt;div class="audio"&gt;[sound:thoroughly.mp3]&lt;/div&gt;</v>
      </c>
      <c r="F3476" s="3" t="str">
        <f t="shared" si="2"/>
        <v>(adv): kỹ lưỡng</v>
      </c>
      <c r="G3476" s="6" t="s">
        <v>49882</v>
      </c>
      <c r="H3476" s="6" t="s">
        <v>49883</v>
      </c>
      <c r="I3476" s="7">
        <f t="shared" si="3"/>
        <v>0.8884927905</v>
      </c>
    </row>
    <row r="3477">
      <c r="A3477" s="4">
        <v>3477.0</v>
      </c>
      <c r="B3477" s="3" t="s">
        <v>49884</v>
      </c>
      <c r="C3477" s="6" t="s">
        <v>24</v>
      </c>
      <c r="D3477" s="6" t="s">
        <v>49885</v>
      </c>
      <c r="E3477" s="3" t="str">
        <f t="shared" si="1"/>
        <v>regret&lt;br&gt;&lt;div class="audio"&gt;[sound:regret.mp3]&lt;/div&gt;</v>
      </c>
      <c r="F3477" s="3" t="str">
        <f t="shared" si="2"/>
        <v>(v): hối tiếc</v>
      </c>
      <c r="G3477" s="6" t="s">
        <v>49886</v>
      </c>
      <c r="H3477" s="6" t="s">
        <v>49887</v>
      </c>
      <c r="I3477" s="7">
        <f t="shared" si="3"/>
        <v>0.9326211046</v>
      </c>
    </row>
    <row r="3478">
      <c r="A3478" s="4">
        <v>3478.0</v>
      </c>
      <c r="B3478" s="3" t="s">
        <v>49888</v>
      </c>
      <c r="C3478" s="6" t="s">
        <v>74</v>
      </c>
      <c r="D3478" s="6" t="s">
        <v>49889</v>
      </c>
      <c r="E3478" s="3" t="str">
        <f t="shared" si="1"/>
        <v>reminder&lt;br&gt;&lt;div class="audio"&gt;[sound:reminder.mp3]&lt;/div&gt;</v>
      </c>
      <c r="F3478" s="3" t="str">
        <f t="shared" si="2"/>
        <v>(n): lời nhắc</v>
      </c>
      <c r="G3478" s="6" t="s">
        <v>49890</v>
      </c>
      <c r="H3478" s="6" t="s">
        <v>49891</v>
      </c>
      <c r="I3478" s="7">
        <f t="shared" si="3"/>
        <v>0.6952180276</v>
      </c>
    </row>
    <row r="3479">
      <c r="A3479" s="4">
        <v>3479.0</v>
      </c>
      <c r="B3479" s="3" t="s">
        <v>49892</v>
      </c>
      <c r="C3479" s="6" t="s">
        <v>74</v>
      </c>
      <c r="D3479" s="6" t="s">
        <v>4063</v>
      </c>
      <c r="E3479" s="3" t="str">
        <f t="shared" si="1"/>
        <v>pet&lt;br&gt;&lt;div class="audio"&gt;[sound:pet.mp3]&lt;/div&gt;</v>
      </c>
      <c r="F3479" s="3" t="str">
        <f t="shared" si="2"/>
        <v>(n): thú cưng</v>
      </c>
      <c r="G3479" s="6" t="s">
        <v>49893</v>
      </c>
      <c r="H3479" s="6" t="s">
        <v>49894</v>
      </c>
      <c r="I3479" s="7">
        <f t="shared" si="3"/>
        <v>0.3934675925</v>
      </c>
    </row>
    <row r="3480">
      <c r="A3480" s="4">
        <v>3480.0</v>
      </c>
      <c r="B3480" s="3" t="s">
        <v>49895</v>
      </c>
      <c r="C3480" s="6" t="s">
        <v>24</v>
      </c>
      <c r="D3480" s="6" t="s">
        <v>41910</v>
      </c>
      <c r="E3480" s="3" t="str">
        <f t="shared" si="1"/>
        <v>reckon&lt;br&gt;&lt;div class="audio"&gt;[sound:reckon.mp3]&lt;/div&gt;</v>
      </c>
      <c r="F3480" s="3" t="str">
        <f t="shared" si="2"/>
        <v>(v): cho rằng</v>
      </c>
      <c r="G3480" s="6" t="s">
        <v>49896</v>
      </c>
      <c r="H3480" s="6" t="s">
        <v>49897</v>
      </c>
      <c r="I3480" s="7">
        <f t="shared" si="3"/>
        <v>0.6422342705</v>
      </c>
    </row>
    <row r="3481">
      <c r="A3481" s="4">
        <v>3481.0</v>
      </c>
      <c r="B3481" s="3" t="s">
        <v>49898</v>
      </c>
      <c r="C3481" s="6" t="s">
        <v>74</v>
      </c>
      <c r="D3481" s="6" t="s">
        <v>3406</v>
      </c>
      <c r="E3481" s="3" t="str">
        <f t="shared" si="1"/>
        <v>audio&lt;br&gt;&lt;div class="audio"&gt;[sound:audio.mp3]&lt;/div&gt;</v>
      </c>
      <c r="F3481" s="3" t="str">
        <f t="shared" si="2"/>
        <v>(n): âm thanh</v>
      </c>
      <c r="G3481" s="6" t="s">
        <v>49899</v>
      </c>
      <c r="H3481" s="6" t="s">
        <v>49900</v>
      </c>
      <c r="I3481" s="7">
        <f t="shared" si="3"/>
        <v>0.8168739226</v>
      </c>
    </row>
    <row r="3482">
      <c r="A3482" s="4">
        <v>3482.0</v>
      </c>
      <c r="B3482" s="3" t="s">
        <v>49901</v>
      </c>
      <c r="C3482" s="6" t="s">
        <v>74</v>
      </c>
      <c r="D3482" s="6" t="s">
        <v>49902</v>
      </c>
      <c r="E3482" s="3" t="str">
        <f t="shared" si="1"/>
        <v>flash&lt;br&gt;&lt;div class="audio"&gt;[sound:flash.mp3]&lt;/div&gt;</v>
      </c>
      <c r="F3482" s="3" t="str">
        <f t="shared" si="2"/>
        <v>(n): ánh chớp</v>
      </c>
      <c r="G3482" s="6" t="s">
        <v>49903</v>
      </c>
      <c r="H3482" s="6" t="s">
        <v>49904</v>
      </c>
      <c r="I3482" s="7">
        <f t="shared" si="3"/>
        <v>0.7815507289</v>
      </c>
    </row>
    <row r="3483">
      <c r="A3483" s="4">
        <v>3483.0</v>
      </c>
      <c r="B3483" s="3" t="s">
        <v>49905</v>
      </c>
      <c r="C3483" s="6" t="s">
        <v>24</v>
      </c>
      <c r="D3483" s="6" t="s">
        <v>49906</v>
      </c>
      <c r="E3483" s="3" t="str">
        <f t="shared" si="1"/>
        <v>undertake&lt;br&gt;&lt;div class="audio"&gt;[sound:undertake.mp3]&lt;/div&gt;</v>
      </c>
      <c r="F3483" s="3" t="str">
        <f t="shared" si="2"/>
        <v>(v): đảm nhận</v>
      </c>
      <c r="G3483" s="6" t="s">
        <v>49907</v>
      </c>
      <c r="H3483" s="6" t="s">
        <v>49908</v>
      </c>
      <c r="I3483" s="7">
        <f t="shared" si="3"/>
        <v>0.717780764</v>
      </c>
    </row>
    <row r="3484">
      <c r="A3484" s="4">
        <v>3484.0</v>
      </c>
      <c r="B3484" s="3" t="s">
        <v>49909</v>
      </c>
      <c r="C3484" s="6" t="s">
        <v>11</v>
      </c>
      <c r="D3484" s="6" t="s">
        <v>28038</v>
      </c>
      <c r="E3484" s="3" t="str">
        <f t="shared" si="1"/>
        <v>compulsory&lt;br&gt;&lt;div class="audio"&gt;[sound:compulsory.mp3]&lt;/div&gt;</v>
      </c>
      <c r="F3484" s="3" t="str">
        <f t="shared" si="2"/>
        <v>(adj): bắt buộc</v>
      </c>
      <c r="G3484" s="6" t="s">
        <v>49910</v>
      </c>
      <c r="H3484" s="6" t="s">
        <v>49911</v>
      </c>
      <c r="I3484" s="7">
        <f t="shared" si="3"/>
        <v>0.6268202077</v>
      </c>
    </row>
    <row r="3485">
      <c r="A3485" s="4">
        <v>3485.0</v>
      </c>
      <c r="B3485" s="3" t="s">
        <v>49912</v>
      </c>
      <c r="C3485" s="6" t="s">
        <v>11</v>
      </c>
      <c r="D3485" s="6" t="s">
        <v>2844</v>
      </c>
      <c r="E3485" s="3" t="str">
        <f t="shared" si="1"/>
        <v>plain&lt;br&gt;&lt;div class="audio"&gt;[sound:plain.mp3]&lt;/div&gt;</v>
      </c>
      <c r="F3485" s="3" t="str">
        <f t="shared" si="2"/>
        <v>(adj): đơn giản</v>
      </c>
      <c r="G3485" s="6" t="s">
        <v>49913</v>
      </c>
      <c r="H3485" s="6" t="s">
        <v>49914</v>
      </c>
      <c r="I3485" s="7">
        <f t="shared" si="3"/>
        <v>0.2095780188</v>
      </c>
    </row>
    <row r="3486">
      <c r="A3486" s="4">
        <v>3486.0</v>
      </c>
      <c r="B3486" s="3" t="s">
        <v>49915</v>
      </c>
      <c r="C3486" s="6" t="s">
        <v>11</v>
      </c>
      <c r="D3486" s="6" t="s">
        <v>49916</v>
      </c>
      <c r="E3486" s="3" t="str">
        <f t="shared" si="1"/>
        <v>risky&lt;br&gt;&lt;div class="audio"&gt;[sound:risky.mp3]&lt;/div&gt;</v>
      </c>
      <c r="F3486" s="3" t="str">
        <f t="shared" si="2"/>
        <v>(adj): mạo hiểm</v>
      </c>
      <c r="G3486" s="6" t="s">
        <v>49917</v>
      </c>
      <c r="H3486" s="6" t="s">
        <v>49918</v>
      </c>
      <c r="I3486" s="7">
        <f t="shared" si="3"/>
        <v>0.6612335993</v>
      </c>
    </row>
    <row r="3487">
      <c r="A3487" s="4">
        <v>3487.0</v>
      </c>
      <c r="B3487" s="3" t="s">
        <v>49919</v>
      </c>
      <c r="C3487" s="6" t="s">
        <v>11</v>
      </c>
      <c r="D3487" s="6" t="s">
        <v>49920</v>
      </c>
      <c r="E3487" s="3" t="str">
        <f t="shared" si="1"/>
        <v>romantic&lt;br&gt;&lt;div class="audio"&gt;[sound:romantic.mp3]&lt;/div&gt;</v>
      </c>
      <c r="F3487" s="3" t="str">
        <f t="shared" si="2"/>
        <v>(adj): lãng mạn</v>
      </c>
      <c r="G3487" s="6" t="s">
        <v>49921</v>
      </c>
      <c r="H3487" s="6" t="s">
        <v>49922</v>
      </c>
      <c r="I3487" s="7">
        <f t="shared" si="3"/>
        <v>0.1658506269</v>
      </c>
    </row>
    <row r="3488">
      <c r="A3488" s="4">
        <v>3488.0</v>
      </c>
      <c r="B3488" s="3" t="s">
        <v>49923</v>
      </c>
      <c r="C3488" s="6" t="s">
        <v>74</v>
      </c>
      <c r="D3488" s="6" t="s">
        <v>49924</v>
      </c>
      <c r="E3488" s="3" t="str">
        <f t="shared" si="1"/>
        <v>illusion&lt;br&gt;&lt;div class="audio"&gt;[sound:illusion.mp3]&lt;/div&gt;</v>
      </c>
      <c r="F3488" s="3" t="str">
        <f t="shared" si="2"/>
        <v>(n): ảo tưởng</v>
      </c>
      <c r="G3488" s="6" t="s">
        <v>49925</v>
      </c>
      <c r="H3488" s="6" t="s">
        <v>49926</v>
      </c>
      <c r="I3488" s="7">
        <f t="shared" si="3"/>
        <v>0.8101145465</v>
      </c>
    </row>
    <row r="3489">
      <c r="A3489" s="4">
        <v>3489.0</v>
      </c>
      <c r="B3489" s="3" t="s">
        <v>49927</v>
      </c>
      <c r="C3489" s="6" t="s">
        <v>74</v>
      </c>
      <c r="D3489" s="8" t="s">
        <v>49928</v>
      </c>
      <c r="E3489" s="3" t="str">
        <f t="shared" si="1"/>
        <v>spine&lt;br&gt;&lt;div class="audio"&gt;[sound:spine.mp3]&lt;/div&gt;</v>
      </c>
      <c r="F3489" s="3" t="str">
        <f t="shared" si="2"/>
        <v>(n): cột sống</v>
      </c>
      <c r="G3489" s="8" t="s">
        <v>49929</v>
      </c>
      <c r="H3489" s="8" t="s">
        <v>49930</v>
      </c>
      <c r="I3489" s="7">
        <f t="shared" si="3"/>
        <v>0.7771646403</v>
      </c>
    </row>
    <row r="3490">
      <c r="A3490" s="4">
        <v>3490.0</v>
      </c>
      <c r="B3490" s="3" t="s">
        <v>49931</v>
      </c>
      <c r="C3490" s="6" t="s">
        <v>24</v>
      </c>
      <c r="D3490" s="8" t="s">
        <v>8524</v>
      </c>
      <c r="E3490" s="3" t="str">
        <f t="shared" si="1"/>
        <v>swap&lt;br&gt;&lt;div class="audio"&gt;[sound:swap.mp3]&lt;/div&gt;</v>
      </c>
      <c r="F3490" s="3" t="str">
        <f t="shared" si="2"/>
        <v>(v): trao đổi</v>
      </c>
      <c r="G3490" s="8" t="s">
        <v>49932</v>
      </c>
      <c r="H3490" s="8" t="s">
        <v>49933</v>
      </c>
      <c r="I3490" s="7">
        <f t="shared" si="3"/>
        <v>0.9144744525</v>
      </c>
    </row>
    <row r="3491">
      <c r="A3491" s="4">
        <v>3491.0</v>
      </c>
      <c r="B3491" s="3" t="s">
        <v>49934</v>
      </c>
      <c r="C3491" s="6" t="s">
        <v>85</v>
      </c>
      <c r="D3491" s="6" t="s">
        <v>49935</v>
      </c>
      <c r="E3491" s="3" t="str">
        <f t="shared" si="1"/>
        <v>nowadays&lt;br&gt;&lt;div class="audio"&gt;[sound:nowadays.mp3]&lt;/div&gt;</v>
      </c>
      <c r="F3491" s="3" t="str">
        <f t="shared" si="2"/>
        <v>(adv): ngày nay</v>
      </c>
      <c r="G3491" s="6" t="s">
        <v>49936</v>
      </c>
      <c r="H3491" s="6" t="s">
        <v>49937</v>
      </c>
      <c r="I3491" s="7">
        <f t="shared" si="3"/>
        <v>0.6354993299</v>
      </c>
    </row>
    <row r="3492">
      <c r="A3492" s="4">
        <v>3492.0</v>
      </c>
      <c r="B3492" s="3" t="s">
        <v>49938</v>
      </c>
      <c r="C3492" s="6" t="s">
        <v>74</v>
      </c>
      <c r="D3492" s="6" t="s">
        <v>4754</v>
      </c>
      <c r="E3492" s="3" t="str">
        <f t="shared" si="1"/>
        <v>commodity&lt;br&gt;&lt;div class="audio"&gt;[sound:commodity.mp3]&lt;/div&gt;</v>
      </c>
      <c r="F3492" s="3" t="str">
        <f t="shared" si="2"/>
        <v>(n): hàng hóa</v>
      </c>
      <c r="G3492" s="6" t="s">
        <v>49939</v>
      </c>
      <c r="H3492" s="6" t="s">
        <v>49940</v>
      </c>
      <c r="I3492" s="7">
        <f t="shared" si="3"/>
        <v>0.09996080401</v>
      </c>
    </row>
    <row r="3493">
      <c r="A3493" s="4">
        <v>3493.0</v>
      </c>
      <c r="B3493" s="3" t="s">
        <v>49941</v>
      </c>
      <c r="C3493" s="6" t="s">
        <v>74</v>
      </c>
      <c r="D3493" s="6" t="s">
        <v>49942</v>
      </c>
      <c r="E3493" s="3" t="str">
        <f t="shared" si="1"/>
        <v>sauce&lt;br&gt;&lt;div class="audio"&gt;[sound:sauce.mp3]&lt;/div&gt;</v>
      </c>
      <c r="F3493" s="3" t="str">
        <f t="shared" si="2"/>
        <v>(n): nước xốt</v>
      </c>
      <c r="G3493" s="6" t="s">
        <v>49943</v>
      </c>
      <c r="H3493" s="6" t="s">
        <v>49944</v>
      </c>
      <c r="I3493" s="7">
        <f t="shared" si="3"/>
        <v>0.510963096</v>
      </c>
    </row>
    <row r="3494">
      <c r="A3494" s="4">
        <v>3494.0</v>
      </c>
      <c r="B3494" s="3" t="s">
        <v>49945</v>
      </c>
      <c r="C3494" s="6" t="s">
        <v>24</v>
      </c>
      <c r="D3494" s="6" t="s">
        <v>26885</v>
      </c>
      <c r="E3494" s="3" t="str">
        <f t="shared" si="1"/>
        <v>whisper&lt;br&gt;&lt;div class="audio"&gt;[sound:whisper.mp3]&lt;/div&gt;</v>
      </c>
      <c r="F3494" s="3" t="str">
        <f t="shared" si="2"/>
        <v>(v): thì thầm</v>
      </c>
      <c r="G3494" s="6" t="s">
        <v>49946</v>
      </c>
      <c r="H3494" s="6" t="s">
        <v>49947</v>
      </c>
      <c r="I3494" s="7">
        <f t="shared" si="3"/>
        <v>0.3009467681</v>
      </c>
    </row>
    <row r="3495">
      <c r="A3495" s="4">
        <v>3495.0</v>
      </c>
      <c r="B3495" s="3" t="s">
        <v>49948</v>
      </c>
      <c r="C3495" s="6" t="s">
        <v>24</v>
      </c>
      <c r="D3495" s="6" t="s">
        <v>22585</v>
      </c>
      <c r="E3495" s="3" t="str">
        <f t="shared" si="1"/>
        <v>enforce&lt;br&gt;&lt;div class="audio"&gt;[sound:enforce.mp3]&lt;/div&gt;</v>
      </c>
      <c r="F3495" s="3" t="str">
        <f t="shared" si="2"/>
        <v>(v): thi hành</v>
      </c>
      <c r="G3495" s="6" t="s">
        <v>49949</v>
      </c>
      <c r="H3495" s="6" t="s">
        <v>49950</v>
      </c>
      <c r="I3495" s="7">
        <f t="shared" si="3"/>
        <v>0.548529855</v>
      </c>
    </row>
    <row r="3496">
      <c r="A3496" s="4">
        <v>3496.0</v>
      </c>
      <c r="B3496" s="3" t="s">
        <v>49951</v>
      </c>
      <c r="C3496" s="6" t="s">
        <v>74</v>
      </c>
      <c r="D3496" s="6" t="s">
        <v>7493</v>
      </c>
      <c r="E3496" s="3" t="str">
        <f t="shared" si="1"/>
        <v>paragraph&lt;br&gt;&lt;div class="audio"&gt;[sound:paragraph.mp3]&lt;/div&gt;</v>
      </c>
      <c r="F3496" s="3" t="str">
        <f t="shared" si="2"/>
        <v>(n): đoạn văn</v>
      </c>
      <c r="G3496" s="6" t="s">
        <v>49952</v>
      </c>
      <c r="H3496" s="6" t="s">
        <v>49953</v>
      </c>
      <c r="I3496" s="7">
        <f t="shared" si="3"/>
        <v>0.8580980416</v>
      </c>
    </row>
    <row r="3497">
      <c r="A3497" s="4">
        <v>3497.0</v>
      </c>
      <c r="B3497" s="3" t="s">
        <v>49954</v>
      </c>
      <c r="C3497" s="6" t="s">
        <v>11</v>
      </c>
      <c r="D3497" s="6" t="s">
        <v>47338</v>
      </c>
      <c r="E3497" s="3" t="str">
        <f t="shared" si="1"/>
        <v>relaxed&lt;br&gt;&lt;div class="audio"&gt;[sound:relaxed.mp3]&lt;/div&gt;</v>
      </c>
      <c r="F3497" s="3" t="str">
        <f t="shared" si="2"/>
        <v>(adj): thư giãn</v>
      </c>
      <c r="G3497" s="6" t="s">
        <v>49955</v>
      </c>
      <c r="H3497" s="6" t="s">
        <v>49956</v>
      </c>
      <c r="I3497" s="7">
        <f t="shared" si="3"/>
        <v>0.7506440337</v>
      </c>
    </row>
    <row r="3498">
      <c r="A3498" s="4">
        <v>3498.0</v>
      </c>
      <c r="B3498" s="3" t="s">
        <v>49957</v>
      </c>
      <c r="C3498" s="6" t="s">
        <v>74</v>
      </c>
      <c r="D3498" s="6" t="s">
        <v>15900</v>
      </c>
      <c r="E3498" s="3" t="str">
        <f t="shared" si="1"/>
        <v>heel&lt;br&gt;&lt;div class="audio"&gt;[sound:heel.mp3]&lt;/div&gt;</v>
      </c>
      <c r="F3498" s="3" t="str">
        <f t="shared" si="2"/>
        <v>(n): gót chân</v>
      </c>
      <c r="G3498" s="6" t="s">
        <v>49958</v>
      </c>
      <c r="H3498" s="6" t="s">
        <v>49959</v>
      </c>
      <c r="I3498" s="7">
        <f t="shared" si="3"/>
        <v>0.1738734985</v>
      </c>
    </row>
    <row r="3499">
      <c r="A3499" s="4">
        <v>3499.0</v>
      </c>
      <c r="B3499" s="3" t="s">
        <v>49960</v>
      </c>
      <c r="C3499" s="6" t="s">
        <v>63</v>
      </c>
      <c r="D3499" s="6" t="s">
        <v>3574</v>
      </c>
      <c r="E3499" s="3" t="str">
        <f t="shared" si="1"/>
        <v>beside&lt;br&gt;&lt;div class="audio"&gt;[sound:beside.mp3]&lt;/div&gt;</v>
      </c>
      <c r="F3499" s="3" t="str">
        <f t="shared" si="2"/>
        <v>(prep): bên cạnh</v>
      </c>
      <c r="G3499" s="6" t="s">
        <v>49961</v>
      </c>
      <c r="H3499" s="6" t="s">
        <v>49962</v>
      </c>
      <c r="I3499" s="7">
        <f t="shared" si="3"/>
        <v>0.8217349816</v>
      </c>
    </row>
    <row r="3500">
      <c r="A3500" s="4">
        <v>3500.0</v>
      </c>
      <c r="B3500" s="3" t="s">
        <v>49963</v>
      </c>
      <c r="C3500" s="6" t="s">
        <v>74</v>
      </c>
      <c r="D3500" s="6" t="s">
        <v>22607</v>
      </c>
      <c r="E3500" s="3" t="str">
        <f t="shared" si="1"/>
        <v>instinct&lt;br&gt;&lt;div class="audio"&gt;[sound:instinct.mp3]&lt;/div&gt;</v>
      </c>
      <c r="F3500" s="3" t="str">
        <f t="shared" si="2"/>
        <v>(n): bản năng</v>
      </c>
      <c r="G3500" s="6" t="s">
        <v>49964</v>
      </c>
      <c r="H3500" s="6" t="s">
        <v>49965</v>
      </c>
      <c r="I3500" s="7">
        <f t="shared" si="3"/>
        <v>0.5764502742</v>
      </c>
    </row>
    <row r="3501">
      <c r="A3501" s="4">
        <v>3501.0</v>
      </c>
      <c r="B3501" s="3" t="s">
        <v>49966</v>
      </c>
      <c r="C3501" s="6" t="s">
        <v>11</v>
      </c>
      <c r="D3501" s="6" t="s">
        <v>49967</v>
      </c>
      <c r="E3501" s="3" t="str">
        <f t="shared" si="1"/>
        <v>ridiculous&lt;br&gt;&lt;div class="audio"&gt;[sound:ridiculous.mp3]&lt;/div&gt;</v>
      </c>
      <c r="F3501" s="3" t="str">
        <f t="shared" si="2"/>
        <v>(adj): nực cười</v>
      </c>
      <c r="G3501" s="6" t="s">
        <v>49968</v>
      </c>
      <c r="H3501" s="6" t="s">
        <v>49969</v>
      </c>
      <c r="I3501" s="7">
        <f t="shared" si="3"/>
        <v>0.9331545209</v>
      </c>
    </row>
    <row r="3502">
      <c r="A3502" s="4">
        <v>3502.0</v>
      </c>
      <c r="B3502" s="3" t="s">
        <v>49970</v>
      </c>
      <c r="C3502" s="6" t="s">
        <v>11</v>
      </c>
      <c r="D3502" s="6" t="s">
        <v>49971</v>
      </c>
      <c r="E3502" s="3" t="str">
        <f t="shared" si="1"/>
        <v>asleep&lt;br&gt;&lt;div class="audio"&gt;[sound:asleep.mp3]&lt;/div&gt;</v>
      </c>
      <c r="F3502" s="3" t="str">
        <f t="shared" si="2"/>
        <v>(adj): đang ngủ</v>
      </c>
      <c r="G3502" s="6" t="s">
        <v>49972</v>
      </c>
      <c r="H3502" s="6" t="s">
        <v>49973</v>
      </c>
      <c r="I3502" s="7">
        <f t="shared" si="3"/>
        <v>0.3290217948</v>
      </c>
    </row>
    <row r="3503">
      <c r="A3503" s="4">
        <v>3503.0</v>
      </c>
      <c r="B3503" s="3" t="s">
        <v>49974</v>
      </c>
      <c r="C3503" s="6" t="s">
        <v>74</v>
      </c>
      <c r="D3503" s="6" t="s">
        <v>33423</v>
      </c>
      <c r="E3503" s="3" t="str">
        <f t="shared" si="1"/>
        <v>canal&lt;br&gt;&lt;div class="audio"&gt;[sound:canal.mp3]&lt;/div&gt;</v>
      </c>
      <c r="F3503" s="3" t="str">
        <f t="shared" si="2"/>
        <v>(n): kênh đào</v>
      </c>
      <c r="G3503" s="6" t="s">
        <v>49975</v>
      </c>
      <c r="H3503" s="6" t="s">
        <v>49976</v>
      </c>
      <c r="I3503" s="7">
        <f t="shared" si="3"/>
        <v>0.8751195004</v>
      </c>
    </row>
    <row r="3504">
      <c r="A3504" s="4">
        <v>3504.0</v>
      </c>
      <c r="B3504" s="3" t="s">
        <v>49977</v>
      </c>
      <c r="C3504" s="6" t="s">
        <v>11</v>
      </c>
      <c r="D3504" s="6" t="s">
        <v>49978</v>
      </c>
      <c r="E3504" s="3" t="str">
        <f t="shared" si="1"/>
        <v>hostile&lt;br&gt;&lt;div class="audio"&gt;[sound:hostile.mp3]&lt;/div&gt;</v>
      </c>
      <c r="F3504" s="3" t="str">
        <f t="shared" si="2"/>
        <v>(adj): thù địch</v>
      </c>
      <c r="G3504" s="6" t="s">
        <v>49979</v>
      </c>
      <c r="H3504" s="6" t="s">
        <v>49980</v>
      </c>
      <c r="I3504" s="7">
        <f t="shared" si="3"/>
        <v>0.7269284588</v>
      </c>
    </row>
    <row r="3505">
      <c r="A3505" s="4">
        <v>3505.0</v>
      </c>
      <c r="B3505" s="3" t="s">
        <v>49981</v>
      </c>
      <c r="C3505" s="6" t="s">
        <v>11</v>
      </c>
      <c r="D3505" s="6" t="s">
        <v>49982</v>
      </c>
      <c r="E3505" s="3" t="str">
        <f t="shared" si="1"/>
        <v>insufficient&lt;br&gt;&lt;div class="audio"&gt;[sound:insufficient.mp3]&lt;/div&gt;</v>
      </c>
      <c r="F3505" s="3" t="str">
        <f t="shared" si="2"/>
        <v>(adj): không đủ</v>
      </c>
      <c r="G3505" s="6" t="s">
        <v>49983</v>
      </c>
      <c r="H3505" s="6" t="s">
        <v>49984</v>
      </c>
      <c r="I3505" s="7">
        <f t="shared" si="3"/>
        <v>0.7523554689</v>
      </c>
    </row>
    <row r="3506">
      <c r="A3506" s="4">
        <v>3506.0</v>
      </c>
      <c r="B3506" s="3" t="s">
        <v>49985</v>
      </c>
      <c r="C3506" s="6" t="s">
        <v>74</v>
      </c>
      <c r="D3506" s="6" t="s">
        <v>15977</v>
      </c>
      <c r="E3506" s="3" t="str">
        <f t="shared" si="1"/>
        <v>flavour&lt;br&gt;&lt;div class="audio"&gt;[sound:flavour.mp3]&lt;/div&gt;</v>
      </c>
      <c r="F3506" s="3" t="str">
        <f t="shared" si="2"/>
        <v>(n): hương vị</v>
      </c>
      <c r="G3506" s="6" t="s">
        <v>49986</v>
      </c>
      <c r="H3506" s="6" t="s">
        <v>49987</v>
      </c>
      <c r="I3506" s="7">
        <f t="shared" si="3"/>
        <v>0.3764073834</v>
      </c>
    </row>
    <row r="3507">
      <c r="A3507" s="4">
        <v>3507.0</v>
      </c>
      <c r="B3507" s="3" t="s">
        <v>49988</v>
      </c>
      <c r="C3507" s="6" t="s">
        <v>74</v>
      </c>
      <c r="D3507" s="6" t="s">
        <v>49989</v>
      </c>
      <c r="E3507" s="3" t="str">
        <f t="shared" si="1"/>
        <v>injection&lt;br&gt;&lt;div class="audio"&gt;[sound:injection.mp3]&lt;/div&gt;</v>
      </c>
      <c r="F3507" s="3" t="str">
        <f t="shared" si="2"/>
        <v>(n): mũi tiêm</v>
      </c>
      <c r="G3507" s="6" t="s">
        <v>49990</v>
      </c>
      <c r="H3507" s="6" t="s">
        <v>49991</v>
      </c>
      <c r="I3507" s="7">
        <f t="shared" si="3"/>
        <v>0.6618634045</v>
      </c>
    </row>
    <row r="3508">
      <c r="A3508" s="4">
        <v>3508.0</v>
      </c>
      <c r="B3508" s="3" t="s">
        <v>49992</v>
      </c>
      <c r="C3508" s="6" t="s">
        <v>74</v>
      </c>
      <c r="D3508" s="6" t="s">
        <v>11504</v>
      </c>
      <c r="E3508" s="3" t="str">
        <f t="shared" si="1"/>
        <v>pupil&lt;br&gt;&lt;div class="audio"&gt;[sound:pupil.mp3]&lt;/div&gt;</v>
      </c>
      <c r="F3508" s="3" t="str">
        <f t="shared" si="2"/>
        <v>(n): học sinh</v>
      </c>
      <c r="G3508" s="6" t="s">
        <v>49993</v>
      </c>
      <c r="H3508" s="6" t="s">
        <v>49994</v>
      </c>
      <c r="I3508" s="7">
        <f t="shared" si="3"/>
        <v>0.5507665653</v>
      </c>
    </row>
    <row r="3509">
      <c r="A3509" s="4">
        <v>3509.0</v>
      </c>
      <c r="B3509" s="3" t="s">
        <v>49995</v>
      </c>
      <c r="C3509" s="6" t="s">
        <v>74</v>
      </c>
      <c r="D3509" s="6" t="s">
        <v>49996</v>
      </c>
      <c r="E3509" s="3" t="str">
        <f t="shared" si="1"/>
        <v>sailor&lt;br&gt;&lt;div class="audio"&gt;[sound:sailor.mp3]&lt;/div&gt;</v>
      </c>
      <c r="F3509" s="3" t="str">
        <f t="shared" si="2"/>
        <v>(n): thủy thủ</v>
      </c>
      <c r="G3509" s="6" t="s">
        <v>49997</v>
      </c>
      <c r="H3509" s="6" t="s">
        <v>49998</v>
      </c>
      <c r="I3509" s="7">
        <f t="shared" si="3"/>
        <v>0.1772684979</v>
      </c>
    </row>
    <row r="3510">
      <c r="A3510" s="4">
        <v>3510.0</v>
      </c>
      <c r="B3510" s="3" t="s">
        <v>49999</v>
      </c>
      <c r="C3510" s="6" t="s">
        <v>58</v>
      </c>
      <c r="D3510" s="6" t="s">
        <v>10661</v>
      </c>
      <c r="E3510" s="3" t="str">
        <f t="shared" si="1"/>
        <v>zero&lt;br&gt;&lt;div class="audio"&gt;[sound:zero.mp3]&lt;/div&gt;</v>
      </c>
      <c r="F3510" s="3" t="str">
        <f t="shared" si="2"/>
        <v>(num): số không</v>
      </c>
      <c r="G3510" s="6" t="s">
        <v>50000</v>
      </c>
      <c r="H3510" s="6" t="s">
        <v>50001</v>
      </c>
      <c r="I3510" s="7">
        <f t="shared" si="3"/>
        <v>0.3055159142</v>
      </c>
    </row>
    <row r="3511">
      <c r="A3511" s="4">
        <v>3511.0</v>
      </c>
      <c r="B3511" s="3" t="s">
        <v>50002</v>
      </c>
      <c r="C3511" s="6" t="s">
        <v>74</v>
      </c>
      <c r="D3511" s="8" t="s">
        <v>14713</v>
      </c>
      <c r="E3511" s="3" t="str">
        <f t="shared" si="1"/>
        <v>spectator&lt;br&gt;&lt;div class="audio"&gt;[sound:spectator.mp3]&lt;/div&gt;</v>
      </c>
      <c r="F3511" s="3" t="str">
        <f t="shared" si="2"/>
        <v>(n): khán giả</v>
      </c>
      <c r="G3511" s="8" t="s">
        <v>50003</v>
      </c>
      <c r="H3511" s="8" t="s">
        <v>50004</v>
      </c>
      <c r="I3511" s="7">
        <f t="shared" si="3"/>
        <v>0.4203738938</v>
      </c>
    </row>
    <row r="3512">
      <c r="A3512" s="4">
        <v>3512.0</v>
      </c>
      <c r="B3512" s="3" t="s">
        <v>50005</v>
      </c>
      <c r="C3512" s="6" t="s">
        <v>74</v>
      </c>
      <c r="D3512" s="6" t="s">
        <v>616</v>
      </c>
      <c r="E3512" s="3" t="str">
        <f t="shared" si="1"/>
        <v>venue&lt;br&gt;&lt;div class="audio"&gt;[sound:venue.mp3]&lt;/div&gt;</v>
      </c>
      <c r="F3512" s="3" t="str">
        <f t="shared" si="2"/>
        <v>(n): địa điểm</v>
      </c>
      <c r="G3512" s="6" t="s">
        <v>50006</v>
      </c>
      <c r="H3512" s="6" t="s">
        <v>50007</v>
      </c>
      <c r="I3512" s="7">
        <f t="shared" si="3"/>
        <v>0.2145463958</v>
      </c>
    </row>
    <row r="3513">
      <c r="A3513" s="4">
        <v>3513.0</v>
      </c>
      <c r="B3513" s="3" t="s">
        <v>50008</v>
      </c>
      <c r="C3513" s="6" t="s">
        <v>74</v>
      </c>
      <c r="D3513" s="6" t="s">
        <v>11880</v>
      </c>
      <c r="E3513" s="3" t="str">
        <f t="shared" si="1"/>
        <v>wire&lt;br&gt;&lt;div class="audio"&gt;[sound:wire.mp3]&lt;/div&gt;</v>
      </c>
      <c r="F3513" s="3" t="str">
        <f t="shared" si="2"/>
        <v>(n): dây điện</v>
      </c>
      <c r="G3513" s="6" t="s">
        <v>50009</v>
      </c>
      <c r="H3513" s="6" t="s">
        <v>50010</v>
      </c>
      <c r="I3513" s="7">
        <f t="shared" si="3"/>
        <v>0.6957838009</v>
      </c>
    </row>
    <row r="3514">
      <c r="A3514" s="4">
        <v>3514.0</v>
      </c>
      <c r="B3514" s="3" t="s">
        <v>50011</v>
      </c>
      <c r="C3514" s="6" t="s">
        <v>24</v>
      </c>
      <c r="D3514" s="6" t="s">
        <v>16748</v>
      </c>
      <c r="E3514" s="3" t="str">
        <f t="shared" si="1"/>
        <v>bow&lt;br&gt;&lt;div class="audio"&gt;[sound:bow.mp3]&lt;/div&gt;</v>
      </c>
      <c r="F3514" s="3" t="str">
        <f t="shared" si="2"/>
        <v>(v): cúi chào</v>
      </c>
      <c r="G3514" s="6" t="s">
        <v>50012</v>
      </c>
      <c r="H3514" s="6" t="s">
        <v>50013</v>
      </c>
      <c r="I3514" s="7">
        <f t="shared" si="3"/>
        <v>0.9041055084</v>
      </c>
    </row>
    <row r="3515">
      <c r="A3515" s="4">
        <v>3515.0</v>
      </c>
      <c r="B3515" s="3" t="s">
        <v>50014</v>
      </c>
      <c r="C3515" s="6" t="s">
        <v>74</v>
      </c>
      <c r="D3515" s="6" t="s">
        <v>37641</v>
      </c>
      <c r="E3515" s="3" t="str">
        <f t="shared" si="1"/>
        <v>fence&lt;br&gt;&lt;div class="audio"&gt;[sound:fence.mp3]&lt;/div&gt;</v>
      </c>
      <c r="F3515" s="3" t="str">
        <f t="shared" si="2"/>
        <v>(n): hàng rào</v>
      </c>
      <c r="G3515" s="6" t="s">
        <v>50015</v>
      </c>
      <c r="H3515" s="6" t="s">
        <v>50016</v>
      </c>
      <c r="I3515" s="7">
        <f t="shared" si="3"/>
        <v>0.2208442868</v>
      </c>
    </row>
    <row r="3516">
      <c r="A3516" s="4">
        <v>3516.0</v>
      </c>
      <c r="B3516" s="3" t="s">
        <v>50017</v>
      </c>
      <c r="C3516" s="6" t="s">
        <v>24</v>
      </c>
      <c r="D3516" s="6" t="s">
        <v>50018</v>
      </c>
      <c r="E3516" s="3" t="str">
        <f t="shared" si="1"/>
        <v>license&lt;br&gt;&lt;div class="audio"&gt;[sound:license.mp3]&lt;/div&gt;</v>
      </c>
      <c r="F3516" s="3" t="str">
        <f t="shared" si="2"/>
        <v>(v): cấp phép</v>
      </c>
      <c r="G3516" s="6" t="s">
        <v>50019</v>
      </c>
      <c r="H3516" s="6" t="s">
        <v>50020</v>
      </c>
      <c r="I3516" s="7">
        <f t="shared" si="3"/>
        <v>0.3274486059</v>
      </c>
    </row>
    <row r="3517">
      <c r="A3517" s="4">
        <v>3517.0</v>
      </c>
      <c r="B3517" s="3" t="s">
        <v>50021</v>
      </c>
      <c r="C3517" s="6" t="s">
        <v>24</v>
      </c>
      <c r="D3517" s="6" t="s">
        <v>824</v>
      </c>
      <c r="E3517" s="3" t="str">
        <f t="shared" si="1"/>
        <v>alter&lt;br&gt;&lt;div class="audio"&gt;[sound:alter.mp3]&lt;/div&gt;</v>
      </c>
      <c r="F3517" s="3" t="str">
        <f t="shared" si="2"/>
        <v>(v): thay đổi</v>
      </c>
      <c r="G3517" s="6" t="s">
        <v>50022</v>
      </c>
      <c r="H3517" s="6" t="s">
        <v>50023</v>
      </c>
      <c r="I3517" s="7">
        <f t="shared" si="3"/>
        <v>0.225875945</v>
      </c>
    </row>
    <row r="3518">
      <c r="A3518" s="4">
        <v>3518.0</v>
      </c>
      <c r="B3518" s="3" t="s">
        <v>50024</v>
      </c>
      <c r="C3518" s="6" t="s">
        <v>85</v>
      </c>
      <c r="D3518" s="6" t="s">
        <v>48394</v>
      </c>
      <c r="E3518" s="3" t="str">
        <f t="shared" si="1"/>
        <v>readily&lt;br&gt;&lt;div class="audio"&gt;[sound:readily.mp3]&lt;/div&gt;</v>
      </c>
      <c r="F3518" s="3" t="str">
        <f t="shared" si="2"/>
        <v>(adv): sẵn lòng</v>
      </c>
      <c r="G3518" s="6" t="s">
        <v>50025</v>
      </c>
      <c r="H3518" s="6" t="s">
        <v>50026</v>
      </c>
      <c r="I3518" s="7">
        <f t="shared" si="3"/>
        <v>0.08616340675</v>
      </c>
    </row>
    <row r="3519">
      <c r="A3519" s="4">
        <v>3519.0</v>
      </c>
      <c r="B3519" s="3" t="s">
        <v>50027</v>
      </c>
      <c r="C3519" s="6" t="s">
        <v>74</v>
      </c>
      <c r="D3519" s="6" t="s">
        <v>50028</v>
      </c>
      <c r="E3519" s="3" t="str">
        <f t="shared" si="1"/>
        <v>casino&lt;br&gt;&lt;div class="audio"&gt;[sound:casino.mp3]&lt;/div&gt;</v>
      </c>
      <c r="F3519" s="3" t="str">
        <f t="shared" si="2"/>
        <v>(n): sòng bạc</v>
      </c>
      <c r="G3519" s="6" t="s">
        <v>50029</v>
      </c>
      <c r="H3519" s="6" t="s">
        <v>50030</v>
      </c>
      <c r="I3519" s="7">
        <f t="shared" si="3"/>
        <v>0.4070587131</v>
      </c>
    </row>
    <row r="3520">
      <c r="A3520" s="4">
        <v>3520.0</v>
      </c>
      <c r="B3520" s="3" t="s">
        <v>50031</v>
      </c>
      <c r="C3520" s="6" t="s">
        <v>24</v>
      </c>
      <c r="D3520" s="6" t="s">
        <v>25790</v>
      </c>
      <c r="E3520" s="3" t="str">
        <f t="shared" si="1"/>
        <v>appoint&lt;br&gt;&lt;div class="audio"&gt;[sound:appoint.mp3]&lt;/div&gt;</v>
      </c>
      <c r="F3520" s="3" t="str">
        <f t="shared" si="2"/>
        <v>(v): bổ nhiệm</v>
      </c>
      <c r="G3520" s="6" t="s">
        <v>50032</v>
      </c>
      <c r="H3520" s="6" t="s">
        <v>50033</v>
      </c>
      <c r="I3520" s="7">
        <f t="shared" si="3"/>
        <v>0.2878997515</v>
      </c>
    </row>
    <row r="3521">
      <c r="A3521" s="4">
        <v>3521.0</v>
      </c>
      <c r="B3521" s="3" t="s">
        <v>50034</v>
      </c>
      <c r="C3521" s="6" t="s">
        <v>24</v>
      </c>
      <c r="D3521" s="6" t="s">
        <v>50035</v>
      </c>
      <c r="E3521" s="3" t="str">
        <f t="shared" si="1"/>
        <v>elect&lt;br&gt;&lt;div class="audio"&gt;[sound:elect.mp3]&lt;/div&gt;</v>
      </c>
      <c r="F3521" s="3" t="str">
        <f t="shared" si="2"/>
        <v>(v): bầu chọn</v>
      </c>
      <c r="G3521" s="6" t="s">
        <v>50036</v>
      </c>
      <c r="H3521" s="6" t="s">
        <v>50037</v>
      </c>
      <c r="I3521" s="7">
        <f t="shared" si="3"/>
        <v>0.3678205276</v>
      </c>
    </row>
    <row r="3522">
      <c r="A3522" s="4">
        <v>3522.0</v>
      </c>
      <c r="B3522" s="3" t="s">
        <v>50038</v>
      </c>
      <c r="C3522" s="6" t="s">
        <v>24</v>
      </c>
      <c r="D3522" s="6" t="s">
        <v>17956</v>
      </c>
      <c r="E3522" s="3" t="str">
        <f t="shared" si="1"/>
        <v>relieve&lt;br&gt;&lt;div class="audio"&gt;[sound:relieve.mp3]&lt;/div&gt;</v>
      </c>
      <c r="F3522" s="3" t="str">
        <f t="shared" si="2"/>
        <v>(v): giảm bớt</v>
      </c>
      <c r="G3522" s="6" t="s">
        <v>50039</v>
      </c>
      <c r="H3522" s="6" t="s">
        <v>50040</v>
      </c>
      <c r="I3522" s="7">
        <f t="shared" si="3"/>
        <v>0.9863467863</v>
      </c>
    </row>
    <row r="3523">
      <c r="A3523" s="4">
        <v>3523.0</v>
      </c>
      <c r="B3523" s="3" t="s">
        <v>50041</v>
      </c>
      <c r="C3523" s="6" t="s">
        <v>74</v>
      </c>
      <c r="D3523" s="8" t="s">
        <v>27017</v>
      </c>
      <c r="E3523" s="3" t="str">
        <f t="shared" si="1"/>
        <v>soap&lt;br&gt;&lt;div class="audio"&gt;[sound:soap.mp3]&lt;/div&gt;</v>
      </c>
      <c r="F3523" s="3" t="str">
        <f t="shared" si="2"/>
        <v>(n): xà phòng</v>
      </c>
      <c r="G3523" s="8" t="s">
        <v>50042</v>
      </c>
      <c r="H3523" s="8" t="s">
        <v>50043</v>
      </c>
      <c r="I3523" s="7">
        <f t="shared" si="3"/>
        <v>0.7187509273</v>
      </c>
    </row>
    <row r="3524">
      <c r="A3524" s="4">
        <v>3524.0</v>
      </c>
      <c r="B3524" s="3" t="s">
        <v>50044</v>
      </c>
      <c r="C3524" s="6" t="s">
        <v>74</v>
      </c>
      <c r="D3524" s="8" t="s">
        <v>50045</v>
      </c>
      <c r="E3524" s="3" t="str">
        <f t="shared" si="1"/>
        <v>surplus&lt;br&gt;&lt;div class="audio"&gt;[sound:surplus.mp3]&lt;/div&gt;</v>
      </c>
      <c r="F3524" s="3" t="str">
        <f t="shared" si="2"/>
        <v>(n): thặng dư</v>
      </c>
      <c r="G3524" s="8" t="s">
        <v>50046</v>
      </c>
      <c r="H3524" s="8" t="s">
        <v>50047</v>
      </c>
      <c r="I3524" s="7">
        <f t="shared" si="3"/>
        <v>0.3076688566</v>
      </c>
    </row>
    <row r="3525">
      <c r="A3525" s="4">
        <v>3525.0</v>
      </c>
      <c r="B3525" s="3" t="s">
        <v>50048</v>
      </c>
      <c r="C3525" s="6" t="s">
        <v>24</v>
      </c>
      <c r="D3525" s="8" t="s">
        <v>25336</v>
      </c>
      <c r="E3525" s="3" t="str">
        <f t="shared" si="1"/>
        <v>strive&lt;br&gt;&lt;div class="audio"&gt;[sound:strive.mp3]&lt;/div&gt;</v>
      </c>
      <c r="F3525" s="3" t="str">
        <f t="shared" si="2"/>
        <v>(v): phấn đấu</v>
      </c>
      <c r="G3525" s="8" t="s">
        <v>50049</v>
      </c>
      <c r="H3525" s="8" t="s">
        <v>50050</v>
      </c>
      <c r="I3525" s="7">
        <f t="shared" si="3"/>
        <v>0.05859878323</v>
      </c>
    </row>
    <row r="3526">
      <c r="A3526" s="4">
        <v>3526.0</v>
      </c>
      <c r="B3526" s="3" t="s">
        <v>50051</v>
      </c>
      <c r="C3526" s="6" t="s">
        <v>74</v>
      </c>
      <c r="D3526" s="6" t="s">
        <v>15234</v>
      </c>
      <c r="E3526" s="3" t="str">
        <f t="shared" si="1"/>
        <v>queue&lt;br&gt;&lt;div class="audio"&gt;[sound:queue.mp3]&lt;/div&gt;</v>
      </c>
      <c r="F3526" s="3" t="str">
        <f t="shared" si="2"/>
        <v>(n): hàng đợi</v>
      </c>
      <c r="G3526" s="6" t="s">
        <v>50052</v>
      </c>
      <c r="H3526" s="6" t="s">
        <v>50053</v>
      </c>
      <c r="I3526" s="7">
        <f t="shared" si="3"/>
        <v>0.8862460199</v>
      </c>
    </row>
    <row r="3527">
      <c r="A3527" s="4">
        <v>3527.0</v>
      </c>
      <c r="B3527" s="3" t="s">
        <v>50054</v>
      </c>
      <c r="C3527" s="6" t="s">
        <v>24</v>
      </c>
      <c r="D3527" s="6" t="s">
        <v>1615</v>
      </c>
      <c r="E3527" s="3" t="str">
        <f t="shared" si="1"/>
        <v>resume&lt;br&gt;&lt;div class="audio"&gt;[sound:resume.mp3]&lt;/div&gt;</v>
      </c>
      <c r="F3527" s="3" t="str">
        <f t="shared" si="2"/>
        <v>(v): tiếp tục</v>
      </c>
      <c r="G3527" s="6" t="s">
        <v>50055</v>
      </c>
      <c r="H3527" s="6" t="s">
        <v>50056</v>
      </c>
      <c r="I3527" s="7">
        <f t="shared" si="3"/>
        <v>0.2206469201</v>
      </c>
    </row>
    <row r="3528">
      <c r="A3528" s="4">
        <v>3528.0</v>
      </c>
      <c r="B3528" s="3" t="s">
        <v>50057</v>
      </c>
      <c r="C3528" s="6" t="s">
        <v>74</v>
      </c>
      <c r="D3528" s="6" t="s">
        <v>50058</v>
      </c>
      <c r="E3528" s="3" t="str">
        <f t="shared" si="1"/>
        <v>draft&lt;br&gt;&lt;div class="audio"&gt;[sound:draft.mp3]&lt;/div&gt;</v>
      </c>
      <c r="F3528" s="3" t="str">
        <f t="shared" si="2"/>
        <v>(n): bản nháp</v>
      </c>
      <c r="G3528" s="6" t="s">
        <v>50059</v>
      </c>
      <c r="H3528" s="6" t="s">
        <v>50060</v>
      </c>
      <c r="I3528" s="7">
        <f t="shared" si="3"/>
        <v>0.2475986298</v>
      </c>
    </row>
    <row r="3529">
      <c r="A3529" s="4">
        <v>3529.0</v>
      </c>
      <c r="B3529" s="3" t="s">
        <v>50061</v>
      </c>
      <c r="C3529" s="6" t="s">
        <v>74</v>
      </c>
      <c r="D3529" s="6" t="s">
        <v>40882</v>
      </c>
      <c r="E3529" s="3" t="str">
        <f t="shared" si="1"/>
        <v>reasoning&lt;br&gt;&lt;div class="audio"&gt;[sound:reasoning.mp3]&lt;/div&gt;</v>
      </c>
      <c r="F3529" s="3" t="str">
        <f t="shared" si="2"/>
        <v>(n): lập luận</v>
      </c>
      <c r="G3529" s="6" t="s">
        <v>50062</v>
      </c>
      <c r="H3529" s="6" t="s">
        <v>50063</v>
      </c>
      <c r="I3529" s="7">
        <f t="shared" si="3"/>
        <v>0.2336238699</v>
      </c>
    </row>
    <row r="3530">
      <c r="A3530" s="4">
        <v>3530.0</v>
      </c>
      <c r="B3530" s="3" t="s">
        <v>50064</v>
      </c>
      <c r="C3530" s="6" t="s">
        <v>24</v>
      </c>
      <c r="D3530" s="6" t="s">
        <v>33435</v>
      </c>
      <c r="E3530" s="3" t="str">
        <f t="shared" si="1"/>
        <v>pronounce&lt;br&gt;&lt;div class="audio"&gt;[sound:pronounce.mp3]&lt;/div&gt;</v>
      </c>
      <c r="F3530" s="3" t="str">
        <f t="shared" si="2"/>
        <v>(v): phát âm</v>
      </c>
      <c r="G3530" s="6" t="s">
        <v>50065</v>
      </c>
      <c r="H3530" s="6" t="s">
        <v>50066</v>
      </c>
      <c r="I3530" s="7">
        <f t="shared" si="3"/>
        <v>0.6520662303</v>
      </c>
    </row>
    <row r="3531">
      <c r="A3531" s="4">
        <v>3531.0</v>
      </c>
      <c r="B3531" s="3" t="s">
        <v>50067</v>
      </c>
      <c r="C3531" s="6" t="s">
        <v>74</v>
      </c>
      <c r="D3531" s="6" t="s">
        <v>22817</v>
      </c>
      <c r="E3531" s="3" t="str">
        <f t="shared" si="1"/>
        <v>log&lt;br&gt;&lt;div class="audio"&gt;[sound:log.mp3]&lt;/div&gt;</v>
      </c>
      <c r="F3531" s="3" t="str">
        <f t="shared" si="2"/>
        <v>(n): nhật ký</v>
      </c>
      <c r="G3531" s="6" t="s">
        <v>50068</v>
      </c>
      <c r="H3531" s="6" t="s">
        <v>50069</v>
      </c>
      <c r="I3531" s="7">
        <f t="shared" si="3"/>
        <v>0.1613903179</v>
      </c>
    </row>
    <row r="3532">
      <c r="A3532" s="4">
        <v>3532.0</v>
      </c>
      <c r="B3532" s="3" t="s">
        <v>50070</v>
      </c>
      <c r="C3532" s="6" t="s">
        <v>24</v>
      </c>
      <c r="D3532" s="6" t="s">
        <v>48676</v>
      </c>
      <c r="E3532" s="3" t="str">
        <f t="shared" si="1"/>
        <v>conserve&lt;br&gt;&lt;div class="audio"&gt;[sound:conserve.mp3]&lt;/div&gt;</v>
      </c>
      <c r="F3532" s="3" t="str">
        <f t="shared" si="2"/>
        <v>(v): bảo tồn</v>
      </c>
      <c r="G3532" s="6" t="s">
        <v>50071</v>
      </c>
      <c r="H3532" s="6" t="s">
        <v>50072</v>
      </c>
      <c r="I3532" s="7">
        <f t="shared" si="3"/>
        <v>0.5915406641</v>
      </c>
    </row>
    <row r="3533">
      <c r="A3533" s="4">
        <v>3533.0</v>
      </c>
      <c r="B3533" s="3" t="s">
        <v>50073</v>
      </c>
      <c r="C3533" s="6" t="s">
        <v>24</v>
      </c>
      <c r="D3533" s="6" t="s">
        <v>9745</v>
      </c>
      <c r="E3533" s="3" t="str">
        <f t="shared" si="1"/>
        <v>consolidate&lt;br&gt;&lt;div class="audio"&gt;[sound:consolidate.mp3]&lt;/div&gt;</v>
      </c>
      <c r="F3533" s="3" t="str">
        <f t="shared" si="2"/>
        <v>(v): củng cố</v>
      </c>
      <c r="G3533" s="6" t="s">
        <v>50074</v>
      </c>
      <c r="H3533" s="6" t="s">
        <v>50075</v>
      </c>
      <c r="I3533" s="7">
        <f t="shared" si="3"/>
        <v>0.8011166686</v>
      </c>
    </row>
    <row r="3534">
      <c r="A3534" s="4">
        <v>3534.0</v>
      </c>
      <c r="B3534" s="3" t="s">
        <v>50076</v>
      </c>
      <c r="C3534" s="6" t="s">
        <v>74</v>
      </c>
      <c r="D3534" s="8" t="s">
        <v>50077</v>
      </c>
      <c r="E3534" s="3" t="str">
        <f t="shared" si="1"/>
        <v>spam&lt;br&gt;&lt;div class="audio"&gt;[sound:spam.mp3]&lt;/div&gt;</v>
      </c>
      <c r="F3534" s="3" t="str">
        <f t="shared" si="2"/>
        <v>(n): thư rác</v>
      </c>
      <c r="G3534" s="8" t="s">
        <v>50078</v>
      </c>
      <c r="H3534" s="8" t="s">
        <v>50079</v>
      </c>
      <c r="I3534" s="7">
        <f t="shared" si="3"/>
        <v>0.3838310242</v>
      </c>
    </row>
    <row r="3535">
      <c r="A3535" s="4">
        <v>3535.0</v>
      </c>
      <c r="B3535" s="3" t="s">
        <v>50080</v>
      </c>
      <c r="C3535" s="6" t="s">
        <v>74</v>
      </c>
      <c r="D3535" s="6" t="s">
        <v>50081</v>
      </c>
      <c r="E3535" s="3" t="str">
        <f t="shared" si="1"/>
        <v>idiot&lt;br&gt;&lt;div class="audio"&gt;[sound:idiot.mp3]&lt;/div&gt;</v>
      </c>
      <c r="F3535" s="3" t="str">
        <f t="shared" si="2"/>
        <v>(n): kẻ ngốc</v>
      </c>
      <c r="G3535" s="6" t="s">
        <v>50082</v>
      </c>
      <c r="H3535" s="6" t="s">
        <v>50083</v>
      </c>
      <c r="I3535" s="7">
        <f t="shared" si="3"/>
        <v>0.5388706913</v>
      </c>
    </row>
    <row r="3536">
      <c r="A3536" s="4">
        <v>3536.0</v>
      </c>
      <c r="B3536" s="3" t="s">
        <v>50084</v>
      </c>
      <c r="C3536" s="6" t="s">
        <v>24</v>
      </c>
      <c r="D3536" s="8" t="s">
        <v>50085</v>
      </c>
      <c r="E3536" s="3" t="str">
        <f t="shared" si="1"/>
        <v>stumble&lt;br&gt;&lt;div class="audio"&gt;[sound:stumble.mp3]&lt;/div&gt;</v>
      </c>
      <c r="F3536" s="3" t="str">
        <f t="shared" si="2"/>
        <v>(v): vấp ngã</v>
      </c>
      <c r="G3536" s="8" t="s">
        <v>50086</v>
      </c>
      <c r="H3536" s="8" t="s">
        <v>50087</v>
      </c>
      <c r="I3536" s="7">
        <f t="shared" si="3"/>
        <v>0.9836953956</v>
      </c>
    </row>
    <row r="3537">
      <c r="A3537" s="4">
        <v>3537.0</v>
      </c>
      <c r="B3537" s="3" t="s">
        <v>50088</v>
      </c>
      <c r="C3537" s="6" t="s">
        <v>11</v>
      </c>
      <c r="D3537" s="6" t="s">
        <v>50089</v>
      </c>
      <c r="E3537" s="3" t="str">
        <f t="shared" si="1"/>
        <v>careless&lt;br&gt;&lt;div class="audio"&gt;[sound:careless.mp3]&lt;/div&gt;</v>
      </c>
      <c r="F3537" s="3" t="str">
        <f t="shared" si="2"/>
        <v>(adj): bất cẩn</v>
      </c>
      <c r="G3537" s="6" t="s">
        <v>50090</v>
      </c>
      <c r="H3537" s="6" t="s">
        <v>50091</v>
      </c>
      <c r="I3537" s="7">
        <f t="shared" si="3"/>
        <v>0.09090510345</v>
      </c>
    </row>
    <row r="3538">
      <c r="A3538" s="4">
        <v>3538.0</v>
      </c>
      <c r="B3538" s="3" t="s">
        <v>50092</v>
      </c>
      <c r="C3538" s="6" t="s">
        <v>74</v>
      </c>
      <c r="D3538" s="6" t="s">
        <v>34984</v>
      </c>
      <c r="E3538" s="3" t="str">
        <f t="shared" si="1"/>
        <v>cereal&lt;br&gt;&lt;div class="audio"&gt;[sound:cereal.mp3]&lt;/div&gt;</v>
      </c>
      <c r="F3538" s="3" t="str">
        <f t="shared" si="2"/>
        <v>(n): ngũ cốc</v>
      </c>
      <c r="G3538" s="6" t="s">
        <v>50093</v>
      </c>
      <c r="H3538" s="6" t="s">
        <v>50094</v>
      </c>
      <c r="I3538" s="7">
        <f t="shared" si="3"/>
        <v>0.4029698221</v>
      </c>
    </row>
    <row r="3539">
      <c r="A3539" s="4">
        <v>3539.0</v>
      </c>
      <c r="B3539" s="3" t="s">
        <v>50095</v>
      </c>
      <c r="C3539" s="6" t="s">
        <v>74</v>
      </c>
      <c r="D3539" s="6" t="s">
        <v>7001</v>
      </c>
      <c r="E3539" s="3" t="str">
        <f t="shared" si="1"/>
        <v>fate&lt;br&gt;&lt;div class="audio"&gt;[sound:fate.mp3]&lt;/div&gt;</v>
      </c>
      <c r="F3539" s="3" t="str">
        <f t="shared" si="2"/>
        <v>(n): số phận</v>
      </c>
      <c r="G3539" s="6" t="s">
        <v>50096</v>
      </c>
      <c r="H3539" s="6" t="s">
        <v>50097</v>
      </c>
      <c r="I3539" s="7">
        <f t="shared" si="3"/>
        <v>0.4580446725</v>
      </c>
    </row>
    <row r="3540">
      <c r="A3540" s="4">
        <v>3540.0</v>
      </c>
      <c r="B3540" s="3" t="s">
        <v>50098</v>
      </c>
      <c r="C3540" s="6" t="s">
        <v>74</v>
      </c>
      <c r="D3540" s="6" t="s">
        <v>47369</v>
      </c>
      <c r="E3540" s="3" t="str">
        <f t="shared" si="1"/>
        <v>rival&lt;br&gt;&lt;div class="audio"&gt;[sound:rival.mp3]&lt;/div&gt;</v>
      </c>
      <c r="F3540" s="3" t="str">
        <f t="shared" si="2"/>
        <v>(n): đối thủ</v>
      </c>
      <c r="G3540" s="6" t="s">
        <v>50099</v>
      </c>
      <c r="H3540" s="6" t="s">
        <v>50100</v>
      </c>
      <c r="I3540" s="7">
        <f t="shared" si="3"/>
        <v>0.7594415483</v>
      </c>
    </row>
    <row r="3541">
      <c r="A3541" s="4">
        <v>3541.0</v>
      </c>
      <c r="B3541" s="3" t="s">
        <v>50101</v>
      </c>
      <c r="C3541" s="6" t="s">
        <v>74</v>
      </c>
      <c r="D3541" s="8" t="s">
        <v>50102</v>
      </c>
      <c r="E3541" s="3" t="str">
        <f t="shared" si="1"/>
        <v>spite&lt;br&gt;&lt;div class="audio"&gt;[sound:spite.mp3]&lt;/div&gt;</v>
      </c>
      <c r="F3541" s="3" t="str">
        <f t="shared" si="2"/>
        <v>(n): sự ác ý</v>
      </c>
      <c r="G3541" s="8" t="s">
        <v>50103</v>
      </c>
      <c r="H3541" s="8" t="s">
        <v>50104</v>
      </c>
      <c r="I3541" s="7">
        <f t="shared" si="3"/>
        <v>0.9521158232</v>
      </c>
    </row>
    <row r="3542">
      <c r="A3542" s="4">
        <v>3542.0</v>
      </c>
      <c r="B3542" s="3" t="s">
        <v>50105</v>
      </c>
      <c r="C3542" s="6" t="s">
        <v>74</v>
      </c>
      <c r="D3542" s="6" t="s">
        <v>15317</v>
      </c>
      <c r="E3542" s="3" t="str">
        <f t="shared" si="1"/>
        <v>fortune&lt;br&gt;&lt;div class="audio"&gt;[sound:fortune.mp3]&lt;/div&gt;</v>
      </c>
      <c r="F3542" s="3" t="str">
        <f t="shared" si="2"/>
        <v>(n): vận may</v>
      </c>
      <c r="G3542" s="6" t="s">
        <v>50106</v>
      </c>
      <c r="H3542" s="6" t="s">
        <v>50107</v>
      </c>
      <c r="I3542" s="7">
        <f t="shared" si="3"/>
        <v>0.5381582829</v>
      </c>
    </row>
    <row r="3543">
      <c r="A3543" s="4">
        <v>3543.0</v>
      </c>
      <c r="B3543" s="3" t="s">
        <v>50108</v>
      </c>
      <c r="C3543" s="6" t="s">
        <v>74</v>
      </c>
      <c r="D3543" s="6" t="s">
        <v>50109</v>
      </c>
      <c r="E3543" s="3" t="str">
        <f t="shared" si="1"/>
        <v>musician&lt;br&gt;&lt;div class="audio"&gt;[sound:musician.mp3]&lt;/div&gt;</v>
      </c>
      <c r="F3543" s="3" t="str">
        <f t="shared" si="2"/>
        <v>(n): nhạc sĩ</v>
      </c>
      <c r="G3543" s="6" t="s">
        <v>50110</v>
      </c>
      <c r="H3543" s="6" t="s">
        <v>50111</v>
      </c>
      <c r="I3543" s="7">
        <f t="shared" si="3"/>
        <v>0.3331604026</v>
      </c>
    </row>
    <row r="3544">
      <c r="A3544" s="4">
        <v>3544.0</v>
      </c>
      <c r="B3544" s="3" t="s">
        <v>50112</v>
      </c>
      <c r="C3544" s="6" t="s">
        <v>74</v>
      </c>
      <c r="D3544" s="6" t="s">
        <v>50113</v>
      </c>
      <c r="E3544" s="3" t="str">
        <f t="shared" si="1"/>
        <v>lord&lt;br&gt;&lt;div class="audio"&gt;[sound:lord.mp3]&lt;/div&gt;</v>
      </c>
      <c r="F3544" s="3" t="str">
        <f t="shared" si="2"/>
        <v>(n): chúa tể</v>
      </c>
      <c r="G3544" s="6" t="s">
        <v>50114</v>
      </c>
      <c r="H3544" s="6" t="s">
        <v>50115</v>
      </c>
      <c r="I3544" s="7">
        <f t="shared" si="3"/>
        <v>0.810871716</v>
      </c>
    </row>
    <row r="3545">
      <c r="A3545" s="4">
        <v>3545.0</v>
      </c>
      <c r="B3545" s="3" t="s">
        <v>50116</v>
      </c>
      <c r="C3545" s="6" t="s">
        <v>24</v>
      </c>
      <c r="D3545" s="6" t="s">
        <v>25496</v>
      </c>
      <c r="E3545" s="3" t="str">
        <f t="shared" si="1"/>
        <v>resign&lt;br&gt;&lt;div class="audio"&gt;[sound:resign.mp3]&lt;/div&gt;</v>
      </c>
      <c r="F3545" s="3" t="str">
        <f t="shared" si="2"/>
        <v>(v): từ chức</v>
      </c>
      <c r="G3545" s="6" t="s">
        <v>50117</v>
      </c>
      <c r="H3545" s="6" t="s">
        <v>50118</v>
      </c>
      <c r="I3545" s="7">
        <f t="shared" si="3"/>
        <v>0.8431725765</v>
      </c>
    </row>
    <row r="3546">
      <c r="A3546" s="4">
        <v>3546.0</v>
      </c>
      <c r="B3546" s="3" t="s">
        <v>50119</v>
      </c>
      <c r="C3546" s="6" t="s">
        <v>74</v>
      </c>
      <c r="D3546" s="6" t="s">
        <v>50120</v>
      </c>
      <c r="E3546" s="3" t="str">
        <f t="shared" si="1"/>
        <v>orange&lt;br&gt;&lt;div class="audio"&gt;[sound:orange.mp3]&lt;/div&gt;</v>
      </c>
      <c r="F3546" s="3" t="str">
        <f t="shared" si="2"/>
        <v>(n): quả cam</v>
      </c>
      <c r="G3546" s="6" t="s">
        <v>50121</v>
      </c>
      <c r="H3546" s="6" t="s">
        <v>50122</v>
      </c>
      <c r="I3546" s="7">
        <f t="shared" si="3"/>
        <v>0.9085390254</v>
      </c>
    </row>
    <row r="3547">
      <c r="A3547" s="4">
        <v>3547.0</v>
      </c>
      <c r="B3547" s="3" t="s">
        <v>50123</v>
      </c>
      <c r="C3547" s="6" t="s">
        <v>24</v>
      </c>
      <c r="D3547" s="6" t="s">
        <v>4216</v>
      </c>
      <c r="E3547" s="3" t="str">
        <f t="shared" si="1"/>
        <v>bump&lt;br&gt;&lt;div class="audio"&gt;[sound:bump.mp3]&lt;/div&gt;</v>
      </c>
      <c r="F3547" s="3" t="str">
        <f t="shared" si="2"/>
        <v>(v): va chạm</v>
      </c>
      <c r="G3547" s="6" t="s">
        <v>50124</v>
      </c>
      <c r="H3547" s="6" t="s">
        <v>50125</v>
      </c>
      <c r="I3547" s="7">
        <f t="shared" si="3"/>
        <v>0.6083658802</v>
      </c>
    </row>
    <row r="3548">
      <c r="A3548" s="4">
        <v>3548.0</v>
      </c>
      <c r="B3548" s="3" t="s">
        <v>50126</v>
      </c>
      <c r="C3548" s="6" t="s">
        <v>74</v>
      </c>
      <c r="D3548" s="6" t="s">
        <v>40994</v>
      </c>
      <c r="E3548" s="3" t="str">
        <f t="shared" si="1"/>
        <v>sake&lt;br&gt;&lt;div class="audio"&gt;[sound:sake.mp3]&lt;/div&gt;</v>
      </c>
      <c r="F3548" s="3" t="str">
        <f t="shared" si="2"/>
        <v>(n): lợi ích</v>
      </c>
      <c r="G3548" s="6" t="s">
        <v>50127</v>
      </c>
      <c r="H3548" s="6" t="s">
        <v>50128</v>
      </c>
      <c r="I3548" s="7">
        <f t="shared" si="3"/>
        <v>0.9456341708</v>
      </c>
    </row>
    <row r="3549">
      <c r="A3549" s="4">
        <v>3549.0</v>
      </c>
      <c r="B3549" s="3" t="s">
        <v>50129</v>
      </c>
      <c r="C3549" s="6" t="s">
        <v>74</v>
      </c>
      <c r="D3549" s="8" t="s">
        <v>21536</v>
      </c>
      <c r="E3549" s="3" t="str">
        <f t="shared" si="1"/>
        <v>supper&lt;br&gt;&lt;div class="audio"&gt;[sound:supper.mp3]&lt;/div&gt;</v>
      </c>
      <c r="F3549" s="3" t="str">
        <f t="shared" si="2"/>
        <v>(n): bữa tối</v>
      </c>
      <c r="G3549" s="8" t="s">
        <v>50130</v>
      </c>
      <c r="H3549" s="8" t="s">
        <v>50131</v>
      </c>
      <c r="I3549" s="7">
        <f t="shared" si="3"/>
        <v>0.5827109091</v>
      </c>
    </row>
    <row r="3550">
      <c r="A3550" s="4">
        <v>3550.0</v>
      </c>
      <c r="B3550" s="3" t="s">
        <v>50132</v>
      </c>
      <c r="C3550" s="6" t="s">
        <v>74</v>
      </c>
      <c r="D3550" s="6" t="s">
        <v>6171</v>
      </c>
      <c r="E3550" s="3" t="str">
        <f t="shared" si="1"/>
        <v>enquiry&lt;br&gt;&lt;div class="audio"&gt;[sound:enquiry.mp3]&lt;/div&gt;</v>
      </c>
      <c r="F3550" s="3" t="str">
        <f t="shared" si="2"/>
        <v>(n): câu hỏi</v>
      </c>
      <c r="G3550" s="6" t="s">
        <v>50133</v>
      </c>
      <c r="H3550" s="6" t="s">
        <v>50134</v>
      </c>
      <c r="I3550" s="7">
        <f t="shared" si="3"/>
        <v>0.0489574958</v>
      </c>
    </row>
    <row r="3551">
      <c r="A3551" s="4">
        <v>3551.0</v>
      </c>
      <c r="B3551" s="3" t="s">
        <v>50135</v>
      </c>
      <c r="C3551" s="6" t="s">
        <v>85</v>
      </c>
      <c r="D3551" s="6" t="s">
        <v>3121</v>
      </c>
      <c r="E3551" s="3" t="str">
        <f t="shared" si="1"/>
        <v>lately&lt;br&gt;&lt;div class="audio"&gt;[sound:lately.mp3]&lt;/div&gt;</v>
      </c>
      <c r="F3551" s="3" t="str">
        <f t="shared" si="2"/>
        <v>(adv): gần đây</v>
      </c>
      <c r="G3551" s="6" t="s">
        <v>50136</v>
      </c>
      <c r="H3551" s="6" t="s">
        <v>50137</v>
      </c>
      <c r="I3551" s="7">
        <f t="shared" si="3"/>
        <v>0.9490023145</v>
      </c>
    </row>
    <row r="3552">
      <c r="A3552" s="4">
        <v>3552.0</v>
      </c>
      <c r="B3552" s="3" t="s">
        <v>50138</v>
      </c>
      <c r="C3552" s="6" t="s">
        <v>74</v>
      </c>
      <c r="D3552" s="6" t="s">
        <v>50139</v>
      </c>
      <c r="E3552" s="3" t="str">
        <f t="shared" si="1"/>
        <v>rumour&lt;br&gt;&lt;div class="audio"&gt;[sound:rumour.mp3]&lt;/div&gt;</v>
      </c>
      <c r="F3552" s="3" t="str">
        <f t="shared" si="2"/>
        <v>(n): tin đồn</v>
      </c>
      <c r="G3552" s="6" t="s">
        <v>50140</v>
      </c>
      <c r="H3552" s="6" t="s">
        <v>50141</v>
      </c>
      <c r="I3552" s="7">
        <f t="shared" si="3"/>
        <v>0.6213134879</v>
      </c>
    </row>
    <row r="3553">
      <c r="A3553" s="4">
        <v>3553.0</v>
      </c>
      <c r="B3553" s="3" t="s">
        <v>50142</v>
      </c>
      <c r="C3553" s="6" t="s">
        <v>24</v>
      </c>
      <c r="D3553" s="6" t="s">
        <v>12878</v>
      </c>
      <c r="E3553" s="3" t="str">
        <f t="shared" si="1"/>
        <v>rid&lt;br&gt;&lt;div class="audio"&gt;[sound:rid.mp3]&lt;/div&gt;</v>
      </c>
      <c r="F3553" s="3" t="str">
        <f t="shared" si="2"/>
        <v>(v): loại bỏ</v>
      </c>
      <c r="G3553" s="6" t="s">
        <v>50143</v>
      </c>
      <c r="H3553" s="6" t="s">
        <v>50144</v>
      </c>
      <c r="I3553" s="7">
        <f t="shared" si="3"/>
        <v>0.9114642561</v>
      </c>
    </row>
    <row r="3554">
      <c r="A3554" s="4">
        <v>3554.0</v>
      </c>
      <c r="B3554" s="3" t="s">
        <v>50145</v>
      </c>
      <c r="C3554" s="6" t="s">
        <v>74</v>
      </c>
      <c r="D3554" s="8" t="s">
        <v>15296</v>
      </c>
      <c r="E3554" s="3" t="str">
        <f t="shared" si="1"/>
        <v>sin&lt;br&gt;&lt;div class="audio"&gt;[sound:sin.mp3]&lt;/div&gt;</v>
      </c>
      <c r="F3554" s="3" t="str">
        <f t="shared" si="2"/>
        <v>(n): tội lỗi</v>
      </c>
      <c r="G3554" s="8" t="s">
        <v>50146</v>
      </c>
      <c r="H3554" s="8" t="s">
        <v>50147</v>
      </c>
      <c r="I3554" s="7">
        <f t="shared" si="3"/>
        <v>0.2736060608</v>
      </c>
    </row>
    <row r="3555">
      <c r="A3555" s="4">
        <v>3555.0</v>
      </c>
      <c r="B3555" s="3" t="s">
        <v>50148</v>
      </c>
      <c r="C3555" s="6" t="s">
        <v>11</v>
      </c>
      <c r="D3555" s="6" t="s">
        <v>36478</v>
      </c>
      <c r="E3555" s="3" t="str">
        <f t="shared" si="1"/>
        <v>ironic&lt;br&gt;&lt;div class="audio"&gt;[sound:ironic.mp3]&lt;/div&gt;</v>
      </c>
      <c r="F3555" s="3" t="str">
        <f t="shared" si="2"/>
        <v>(adj): mỉa mai</v>
      </c>
      <c r="G3555" s="6" t="s">
        <v>50149</v>
      </c>
      <c r="H3555" s="6" t="s">
        <v>50150</v>
      </c>
      <c r="I3555" s="7">
        <f t="shared" si="3"/>
        <v>0.7904539657</v>
      </c>
    </row>
    <row r="3556">
      <c r="A3556" s="4">
        <v>3556.0</v>
      </c>
      <c r="B3556" s="3" t="s">
        <v>50151</v>
      </c>
      <c r="C3556" s="6" t="s">
        <v>24</v>
      </c>
      <c r="D3556" s="6" t="s">
        <v>6165</v>
      </c>
      <c r="E3556" s="3" t="str">
        <f t="shared" si="1"/>
        <v>forgive&lt;br&gt;&lt;div class="audio"&gt;[sound:forgive.mp3]&lt;/div&gt;</v>
      </c>
      <c r="F3556" s="3" t="str">
        <f t="shared" si="2"/>
        <v>(v): tha thứ</v>
      </c>
      <c r="G3556" s="6" t="s">
        <v>50152</v>
      </c>
      <c r="H3556" s="6" t="s">
        <v>50153</v>
      </c>
      <c r="I3556" s="7">
        <f t="shared" si="3"/>
        <v>0.5674655733</v>
      </c>
    </row>
    <row r="3557">
      <c r="A3557" s="4">
        <v>3557.0</v>
      </c>
      <c r="B3557" s="3" t="s">
        <v>50154</v>
      </c>
      <c r="C3557" s="6" t="s">
        <v>85</v>
      </c>
      <c r="D3557" s="6" t="s">
        <v>1897</v>
      </c>
      <c r="E3557" s="3" t="str">
        <f t="shared" si="1"/>
        <v>practically&lt;br&gt;&lt;div class="audio"&gt;[sound:practically.mp3]&lt;/div&gt;</v>
      </c>
      <c r="F3557" s="3" t="str">
        <f t="shared" si="2"/>
        <v>(adv): thực tế</v>
      </c>
      <c r="G3557" s="6" t="s">
        <v>50155</v>
      </c>
      <c r="H3557" s="6" t="s">
        <v>50156</v>
      </c>
      <c r="I3557" s="7">
        <f t="shared" si="3"/>
        <v>0.6528712677</v>
      </c>
    </row>
    <row r="3558">
      <c r="A3558" s="4">
        <v>3558.0</v>
      </c>
      <c r="B3558" s="3" t="s">
        <v>50157</v>
      </c>
      <c r="C3558" s="6" t="s">
        <v>74</v>
      </c>
      <c r="D3558" s="6" t="s">
        <v>50158</v>
      </c>
      <c r="E3558" s="3" t="str">
        <f t="shared" si="1"/>
        <v>candle&lt;br&gt;&lt;div class="audio"&gt;[sound:candle.mp3]&lt;/div&gt;</v>
      </c>
      <c r="F3558" s="3" t="str">
        <f t="shared" si="2"/>
        <v>(n): cây nến</v>
      </c>
      <c r="G3558" s="6" t="s">
        <v>50159</v>
      </c>
      <c r="H3558" s="6" t="s">
        <v>50160</v>
      </c>
      <c r="I3558" s="7">
        <f t="shared" si="3"/>
        <v>0.6324767189</v>
      </c>
    </row>
    <row r="3559">
      <c r="A3559" s="4">
        <v>3559.0</v>
      </c>
      <c r="B3559" s="3" t="s">
        <v>50161</v>
      </c>
      <c r="C3559" s="6" t="s">
        <v>24</v>
      </c>
      <c r="D3559" s="6" t="s">
        <v>20320</v>
      </c>
      <c r="E3559" s="3" t="str">
        <f t="shared" si="1"/>
        <v>revise&lt;br&gt;&lt;div class="audio"&gt;[sound:revise.mp3]&lt;/div&gt;</v>
      </c>
      <c r="F3559" s="3" t="str">
        <f t="shared" si="2"/>
        <v>(v): sửa đổi</v>
      </c>
      <c r="G3559" s="6" t="s">
        <v>50162</v>
      </c>
      <c r="H3559" s="6" t="s">
        <v>50163</v>
      </c>
      <c r="I3559" s="7">
        <f t="shared" si="3"/>
        <v>0.7222457279</v>
      </c>
    </row>
    <row r="3560">
      <c r="A3560" s="4">
        <v>3560.0</v>
      </c>
      <c r="B3560" s="3" t="s">
        <v>50164</v>
      </c>
      <c r="C3560" s="6" t="s">
        <v>74</v>
      </c>
      <c r="D3560" s="6" t="s">
        <v>24856</v>
      </c>
      <c r="E3560" s="3" t="str">
        <f t="shared" si="1"/>
        <v>pot&lt;br&gt;&lt;div class="audio"&gt;[sound:pot.mp3]&lt;/div&gt;</v>
      </c>
      <c r="F3560" s="3" t="str">
        <f t="shared" si="2"/>
        <v>(n): cái nồi</v>
      </c>
      <c r="G3560" s="6" t="s">
        <v>50165</v>
      </c>
      <c r="H3560" s="6" t="s">
        <v>50166</v>
      </c>
      <c r="I3560" s="7">
        <f t="shared" si="3"/>
        <v>0.3435550597</v>
      </c>
    </row>
    <row r="3561">
      <c r="A3561" s="4">
        <v>3561.0</v>
      </c>
      <c r="B3561" s="3" t="s">
        <v>50167</v>
      </c>
      <c r="C3561" s="6" t="s">
        <v>11</v>
      </c>
      <c r="D3561" s="6" t="s">
        <v>50168</v>
      </c>
      <c r="E3561" s="3" t="str">
        <f t="shared" si="1"/>
        <v>wooden&lt;br&gt;&lt;div class="audio"&gt;[sound:wooden.mp3]&lt;/div&gt;</v>
      </c>
      <c r="F3561" s="3" t="str">
        <f t="shared" si="2"/>
        <v>(adj): bằng gỗ</v>
      </c>
      <c r="G3561" s="6" t="s">
        <v>50169</v>
      </c>
      <c r="H3561" s="6" t="s">
        <v>50170</v>
      </c>
      <c r="I3561" s="7">
        <f t="shared" si="3"/>
        <v>0.05410052773</v>
      </c>
    </row>
    <row r="3562">
      <c r="A3562" s="4">
        <v>3562.0</v>
      </c>
      <c r="B3562" s="3" t="s">
        <v>50171</v>
      </c>
      <c r="C3562" s="6" t="s">
        <v>24</v>
      </c>
      <c r="D3562" s="6" t="s">
        <v>50172</v>
      </c>
      <c r="E3562" s="3" t="str">
        <f t="shared" si="1"/>
        <v>cling&lt;br&gt;&lt;div class="audio"&gt;[sound:cling.mp3]&lt;/div&gt;</v>
      </c>
      <c r="F3562" s="3" t="str">
        <f t="shared" si="2"/>
        <v>(v): bám vào</v>
      </c>
      <c r="G3562" s="6" t="s">
        <v>50173</v>
      </c>
      <c r="H3562" s="6" t="s">
        <v>50174</v>
      </c>
      <c r="I3562" s="7">
        <f t="shared" si="3"/>
        <v>0.6792811374</v>
      </c>
    </row>
    <row r="3563">
      <c r="A3563" s="4">
        <v>3563.0</v>
      </c>
      <c r="B3563" s="3" t="s">
        <v>50175</v>
      </c>
      <c r="C3563" s="6" t="s">
        <v>24</v>
      </c>
      <c r="D3563" s="8" t="s">
        <v>50176</v>
      </c>
      <c r="E3563" s="3" t="str">
        <f t="shared" si="1"/>
        <v>sigh&lt;br&gt;&lt;div class="audio"&gt;[sound:sigh.mp3]&lt;/div&gt;</v>
      </c>
      <c r="F3563" s="3" t="str">
        <f t="shared" si="2"/>
        <v>(v): thở dài</v>
      </c>
      <c r="G3563" s="8" t="s">
        <v>50177</v>
      </c>
      <c r="H3563" s="8" t="s">
        <v>50178</v>
      </c>
      <c r="I3563" s="7">
        <f t="shared" si="3"/>
        <v>0.4321509544</v>
      </c>
    </row>
    <row r="3564">
      <c r="A3564" s="4">
        <v>3564.0</v>
      </c>
      <c r="B3564" s="3" t="s">
        <v>50179</v>
      </c>
      <c r="C3564" s="6" t="s">
        <v>11</v>
      </c>
      <c r="D3564" s="6" t="s">
        <v>20815</v>
      </c>
      <c r="E3564" s="3" t="str">
        <f t="shared" si="1"/>
        <v>prominent&lt;br&gt;&lt;div class="audio"&gt;[sound:prominent.mp3]&lt;/div&gt;</v>
      </c>
      <c r="F3564" s="3" t="str">
        <f t="shared" si="2"/>
        <v>(adj): nổi bật</v>
      </c>
      <c r="G3564" s="6" t="s">
        <v>50180</v>
      </c>
      <c r="H3564" s="6" t="s">
        <v>50181</v>
      </c>
      <c r="I3564" s="7">
        <f t="shared" si="3"/>
        <v>0.3234266324</v>
      </c>
    </row>
    <row r="3565">
      <c r="A3565" s="4">
        <v>3565.0</v>
      </c>
      <c r="B3565" s="3" t="s">
        <v>50182</v>
      </c>
      <c r="C3565" s="6" t="s">
        <v>24</v>
      </c>
      <c r="D3565" s="6" t="s">
        <v>16531</v>
      </c>
      <c r="E3565" s="3" t="str">
        <f t="shared" si="1"/>
        <v>inherit&lt;br&gt;&lt;div class="audio"&gt;[sound:inherit.mp3]&lt;/div&gt;</v>
      </c>
      <c r="F3565" s="3" t="str">
        <f t="shared" si="2"/>
        <v>(v): thừa kế</v>
      </c>
      <c r="G3565" s="6" t="s">
        <v>50183</v>
      </c>
      <c r="H3565" s="6" t="s">
        <v>50184</v>
      </c>
      <c r="I3565" s="7">
        <f t="shared" si="3"/>
        <v>0.8393828618</v>
      </c>
    </row>
    <row r="3566">
      <c r="A3566" s="4">
        <v>3566.0</v>
      </c>
      <c r="B3566" s="3" t="s">
        <v>50185</v>
      </c>
      <c r="C3566" s="6" t="s">
        <v>11</v>
      </c>
      <c r="D3566" s="6" t="s">
        <v>11664</v>
      </c>
      <c r="E3566" s="3" t="str">
        <f t="shared" si="1"/>
        <v>scary&lt;br&gt;&lt;div class="audio"&gt;[sound:scary.mp3]&lt;/div&gt;</v>
      </c>
      <c r="F3566" s="3" t="str">
        <f t="shared" si="2"/>
        <v>(adj): đáng sợ</v>
      </c>
      <c r="G3566" s="6" t="s">
        <v>50186</v>
      </c>
      <c r="H3566" s="6" t="s">
        <v>50187</v>
      </c>
      <c r="I3566" s="7">
        <f t="shared" si="3"/>
        <v>0.5400038341</v>
      </c>
    </row>
    <row r="3567">
      <c r="A3567" s="4">
        <v>3567.0</v>
      </c>
      <c r="B3567" s="3" t="s">
        <v>50188</v>
      </c>
      <c r="C3567" s="6" t="s">
        <v>74</v>
      </c>
      <c r="D3567" s="6" t="s">
        <v>31031</v>
      </c>
      <c r="E3567" s="3" t="str">
        <f t="shared" si="1"/>
        <v>cattle&lt;br&gt;&lt;div class="audio"&gt;[sound:cattle.mp3]&lt;/div&gt;</v>
      </c>
      <c r="F3567" s="3" t="str">
        <f t="shared" si="2"/>
        <v>(n): gia súc</v>
      </c>
      <c r="G3567" s="6" t="s">
        <v>50189</v>
      </c>
      <c r="H3567" s="6" t="s">
        <v>50190</v>
      </c>
      <c r="I3567" s="7">
        <f t="shared" si="3"/>
        <v>0.838391219</v>
      </c>
    </row>
    <row r="3568">
      <c r="A3568" s="4">
        <v>3568.0</v>
      </c>
      <c r="B3568" s="3" t="s">
        <v>50191</v>
      </c>
      <c r="C3568" s="6" t="s">
        <v>74</v>
      </c>
      <c r="D3568" s="6" t="s">
        <v>50192</v>
      </c>
      <c r="E3568" s="3" t="str">
        <f t="shared" si="1"/>
        <v>choir&lt;br&gt;&lt;div class="audio"&gt;[sound:choir.mp3]&lt;/div&gt;</v>
      </c>
      <c r="F3568" s="3" t="str">
        <f t="shared" si="2"/>
        <v>(n): ca đoàn</v>
      </c>
      <c r="G3568" s="6" t="s">
        <v>50193</v>
      </c>
      <c r="H3568" s="6" t="s">
        <v>50194</v>
      </c>
      <c r="I3568" s="7">
        <f t="shared" si="3"/>
        <v>0.9455738201</v>
      </c>
    </row>
    <row r="3569">
      <c r="A3569" s="4">
        <v>3569.0</v>
      </c>
      <c r="B3569" s="3" t="s">
        <v>50195</v>
      </c>
      <c r="C3569" s="6" t="s">
        <v>74</v>
      </c>
      <c r="D3569" s="6" t="s">
        <v>32829</v>
      </c>
      <c r="E3569" s="3" t="str">
        <f t="shared" si="1"/>
        <v>cliff&lt;br&gt;&lt;div class="audio"&gt;[sound:cliff.mp3]&lt;/div&gt;</v>
      </c>
      <c r="F3569" s="3" t="str">
        <f t="shared" si="2"/>
        <v>(n): vách đá</v>
      </c>
      <c r="G3569" s="6" t="s">
        <v>50196</v>
      </c>
      <c r="H3569" s="6" t="s">
        <v>50197</v>
      </c>
      <c r="I3569" s="7">
        <f t="shared" si="3"/>
        <v>0.6139880829</v>
      </c>
    </row>
    <row r="3570">
      <c r="A3570" s="4">
        <v>3570.0</v>
      </c>
      <c r="B3570" s="3" t="s">
        <v>50198</v>
      </c>
      <c r="C3570" s="6" t="s">
        <v>11</v>
      </c>
      <c r="D3570" s="6" t="s">
        <v>7808</v>
      </c>
      <c r="E3570" s="3" t="str">
        <f t="shared" si="1"/>
        <v>varied&lt;br&gt;&lt;div class="audio"&gt;[sound:varied.mp3]&lt;/div&gt;</v>
      </c>
      <c r="F3570" s="3" t="str">
        <f t="shared" si="2"/>
        <v>(adj): đa dạng</v>
      </c>
      <c r="G3570" s="6" t="s">
        <v>50199</v>
      </c>
      <c r="H3570" s="6" t="s">
        <v>50200</v>
      </c>
      <c r="I3570" s="7">
        <f t="shared" si="3"/>
        <v>0.4480131968</v>
      </c>
    </row>
    <row r="3571">
      <c r="A3571" s="4">
        <v>3571.0</v>
      </c>
      <c r="B3571" s="3" t="s">
        <v>50201</v>
      </c>
      <c r="C3571" s="6" t="s">
        <v>24</v>
      </c>
      <c r="D3571" s="8" t="s">
        <v>3010</v>
      </c>
      <c r="E3571" s="3" t="str">
        <f t="shared" si="1"/>
        <v>stabilize&lt;br&gt;&lt;div class="audio"&gt;[sound:stabilize.mp3]&lt;/div&gt;</v>
      </c>
      <c r="F3571" s="3" t="str">
        <f t="shared" si="2"/>
        <v>(v): ổn định</v>
      </c>
      <c r="G3571" s="8" t="s">
        <v>50202</v>
      </c>
      <c r="H3571" s="8" t="s">
        <v>50203</v>
      </c>
      <c r="I3571" s="7">
        <f t="shared" si="3"/>
        <v>0.5975812466</v>
      </c>
    </row>
    <row r="3572">
      <c r="A3572" s="4">
        <v>3572.0</v>
      </c>
      <c r="B3572" s="3" t="s">
        <v>50204</v>
      </c>
      <c r="C3572" s="6" t="s">
        <v>24</v>
      </c>
      <c r="D3572" s="6" t="s">
        <v>303</v>
      </c>
      <c r="E3572" s="3" t="str">
        <f t="shared" si="1"/>
        <v>commence&lt;br&gt;&lt;div class="audio"&gt;[sound:commence.mp3]&lt;/div&gt;</v>
      </c>
      <c r="F3572" s="3" t="str">
        <f t="shared" si="2"/>
        <v>(v): bắt đầu</v>
      </c>
      <c r="G3572" s="6" t="s">
        <v>50205</v>
      </c>
      <c r="H3572" s="6" t="s">
        <v>50206</v>
      </c>
      <c r="I3572" s="7">
        <f t="shared" si="3"/>
        <v>0.3233522552</v>
      </c>
    </row>
    <row r="3573">
      <c r="A3573" s="4">
        <v>3573.0</v>
      </c>
      <c r="B3573" s="3" t="s">
        <v>50207</v>
      </c>
      <c r="C3573" s="6" t="s">
        <v>74</v>
      </c>
      <c r="D3573" s="8" t="s">
        <v>41527</v>
      </c>
      <c r="E3573" s="3" t="str">
        <f t="shared" si="1"/>
        <v>subsidy&lt;br&gt;&lt;div class="audio"&gt;[sound:subsidy.mp3]&lt;/div&gt;</v>
      </c>
      <c r="F3573" s="3" t="str">
        <f t="shared" si="2"/>
        <v>(n): trợ cấp</v>
      </c>
      <c r="G3573" s="8" t="s">
        <v>50208</v>
      </c>
      <c r="H3573" s="8" t="s">
        <v>50209</v>
      </c>
      <c r="I3573" s="7">
        <f t="shared" si="3"/>
        <v>0.5198770716</v>
      </c>
    </row>
    <row r="3574">
      <c r="A3574" s="4">
        <v>3574.0</v>
      </c>
      <c r="B3574" s="3" t="s">
        <v>50210</v>
      </c>
      <c r="C3574" s="6" t="s">
        <v>74</v>
      </c>
      <c r="D3574" s="6" t="s">
        <v>17165</v>
      </c>
      <c r="E3574" s="3" t="str">
        <f t="shared" si="1"/>
        <v>organ&lt;br&gt;&lt;div class="audio"&gt;[sound:organ.mp3]&lt;/div&gt;</v>
      </c>
      <c r="F3574" s="3" t="str">
        <f t="shared" si="2"/>
        <v>(n): cơ quan</v>
      </c>
      <c r="G3574" s="6" t="s">
        <v>50211</v>
      </c>
      <c r="H3574" s="6" t="s">
        <v>50212</v>
      </c>
      <c r="I3574" s="7">
        <f t="shared" si="3"/>
        <v>0.9946616184</v>
      </c>
    </row>
    <row r="3575">
      <c r="A3575" s="4">
        <v>3575.0</v>
      </c>
      <c r="B3575" s="3" t="s">
        <v>50213</v>
      </c>
      <c r="C3575" s="6" t="s">
        <v>11</v>
      </c>
      <c r="D3575" s="6" t="s">
        <v>10733</v>
      </c>
      <c r="E3575" s="3" t="str">
        <f t="shared" si="1"/>
        <v>excessive&lt;br&gt;&lt;div class="audio"&gt;[sound:excessive.mp3]&lt;/div&gt;</v>
      </c>
      <c r="F3575" s="3" t="str">
        <f t="shared" si="2"/>
        <v>(adj): quá mức</v>
      </c>
      <c r="G3575" s="6" t="s">
        <v>50214</v>
      </c>
      <c r="H3575" s="6" t="s">
        <v>50215</v>
      </c>
      <c r="I3575" s="7">
        <f t="shared" si="3"/>
        <v>0.3918911341</v>
      </c>
    </row>
    <row r="3576">
      <c r="A3576" s="4">
        <v>3576.0</v>
      </c>
      <c r="B3576" s="3" t="s">
        <v>50216</v>
      </c>
      <c r="C3576" s="6" t="s">
        <v>24</v>
      </c>
      <c r="D3576" s="6" t="s">
        <v>7457</v>
      </c>
      <c r="E3576" s="3" t="str">
        <f t="shared" si="1"/>
        <v>ruin&lt;br&gt;&lt;div class="audio"&gt;[sound:ruin.mp3]&lt;/div&gt;</v>
      </c>
      <c r="F3576" s="3" t="str">
        <f t="shared" si="2"/>
        <v>(v): phá hủy</v>
      </c>
      <c r="G3576" s="6" t="s">
        <v>50217</v>
      </c>
      <c r="H3576" s="6" t="s">
        <v>50218</v>
      </c>
      <c r="I3576" s="7">
        <f t="shared" si="3"/>
        <v>0.4704166885</v>
      </c>
    </row>
    <row r="3577">
      <c r="A3577" s="4">
        <v>3577.0</v>
      </c>
      <c r="B3577" s="3" t="s">
        <v>50219</v>
      </c>
      <c r="C3577" s="6" t="s">
        <v>74</v>
      </c>
      <c r="D3577" s="6" t="s">
        <v>24815</v>
      </c>
      <c r="E3577" s="3" t="str">
        <f t="shared" si="1"/>
        <v>rocket&lt;br&gt;&lt;div class="audio"&gt;[sound:rocket.mp3]&lt;/div&gt;</v>
      </c>
      <c r="F3577" s="3" t="str">
        <f t="shared" si="2"/>
        <v>(n): tên lửa</v>
      </c>
      <c r="G3577" s="6" t="s">
        <v>50220</v>
      </c>
      <c r="H3577" s="6" t="s">
        <v>50221</v>
      </c>
      <c r="I3577" s="7">
        <f t="shared" si="3"/>
        <v>0.4630064633</v>
      </c>
    </row>
    <row r="3578">
      <c r="A3578" s="4">
        <v>3578.0</v>
      </c>
      <c r="B3578" s="3" t="s">
        <v>50222</v>
      </c>
      <c r="C3578" s="6" t="s">
        <v>74</v>
      </c>
      <c r="D3578" s="8" t="s">
        <v>43323</v>
      </c>
      <c r="E3578" s="3" t="str">
        <f t="shared" si="1"/>
        <v>solicitor&lt;br&gt;&lt;div class="audio"&gt;[sound:solicitor.mp3]&lt;/div&gt;</v>
      </c>
      <c r="F3578" s="3" t="str">
        <f t="shared" si="2"/>
        <v>(n): luật sư</v>
      </c>
      <c r="G3578" s="8" t="s">
        <v>50223</v>
      </c>
      <c r="H3578" s="8" t="s">
        <v>50224</v>
      </c>
      <c r="I3578" s="7">
        <f t="shared" si="3"/>
        <v>0.8335649387</v>
      </c>
    </row>
    <row r="3579">
      <c r="A3579" s="4">
        <v>3579.0</v>
      </c>
      <c r="B3579" s="3" t="s">
        <v>50225</v>
      </c>
      <c r="C3579" s="6" t="s">
        <v>74</v>
      </c>
      <c r="D3579" s="6" t="s">
        <v>8715</v>
      </c>
      <c r="E3579" s="3" t="str">
        <f t="shared" si="1"/>
        <v>expenditure&lt;br&gt;&lt;div class="audio"&gt;[sound:expenditure.mp3]&lt;/div&gt;</v>
      </c>
      <c r="F3579" s="3" t="str">
        <f t="shared" si="2"/>
        <v>(n): chi phí</v>
      </c>
      <c r="G3579" s="6" t="s">
        <v>50226</v>
      </c>
      <c r="H3579" s="6" t="s">
        <v>38813</v>
      </c>
      <c r="I3579" s="7">
        <f t="shared" si="3"/>
        <v>0.2709699052</v>
      </c>
    </row>
    <row r="3580">
      <c r="A3580" s="4">
        <v>3580.0</v>
      </c>
      <c r="B3580" s="3" t="s">
        <v>50227</v>
      </c>
      <c r="C3580" s="6" t="s">
        <v>11</v>
      </c>
      <c r="D3580" s="6" t="s">
        <v>50228</v>
      </c>
      <c r="E3580" s="3" t="str">
        <f t="shared" si="1"/>
        <v>brutal&lt;br&gt;&lt;div class="audio"&gt;[sound:brutal.mp3]&lt;/div&gt;</v>
      </c>
      <c r="F3580" s="3" t="str">
        <f t="shared" si="2"/>
        <v>(adj): tàn bạo</v>
      </c>
      <c r="G3580" s="6" t="s">
        <v>50229</v>
      </c>
      <c r="H3580" s="6" t="s">
        <v>50230</v>
      </c>
      <c r="I3580" s="7">
        <f t="shared" si="3"/>
        <v>0.4640442967</v>
      </c>
    </row>
    <row r="3581">
      <c r="A3581" s="4">
        <v>3581.0</v>
      </c>
      <c r="B3581" s="3" t="s">
        <v>50231</v>
      </c>
      <c r="C3581" s="6" t="s">
        <v>24</v>
      </c>
      <c r="D3581" s="6" t="s">
        <v>13823</v>
      </c>
      <c r="E3581" s="3" t="str">
        <f t="shared" si="1"/>
        <v>complement&lt;br&gt;&lt;div class="audio"&gt;[sound:complement.mp3]&lt;/div&gt;</v>
      </c>
      <c r="F3581" s="3" t="str">
        <f t="shared" si="2"/>
        <v>(v): bổ sung</v>
      </c>
      <c r="G3581" s="6" t="s">
        <v>50232</v>
      </c>
      <c r="H3581" s="6" t="s">
        <v>50233</v>
      </c>
      <c r="I3581" s="7">
        <f t="shared" si="3"/>
        <v>0.8074577052</v>
      </c>
    </row>
    <row r="3582">
      <c r="A3582" s="4">
        <v>3582.0</v>
      </c>
      <c r="B3582" s="3" t="s">
        <v>50234</v>
      </c>
      <c r="C3582" s="6" t="s">
        <v>85</v>
      </c>
      <c r="D3582" s="6" t="s">
        <v>3121</v>
      </c>
      <c r="E3582" s="3" t="str">
        <f t="shared" si="1"/>
        <v>newly&lt;br&gt;&lt;div class="audio"&gt;[sound:newly.mp3]&lt;/div&gt;</v>
      </c>
      <c r="F3582" s="3" t="str">
        <f t="shared" si="2"/>
        <v>(adv): gần đây</v>
      </c>
      <c r="G3582" s="6" t="s">
        <v>50235</v>
      </c>
      <c r="H3582" s="6" t="s">
        <v>50236</v>
      </c>
      <c r="I3582" s="7">
        <f t="shared" si="3"/>
        <v>0.4722582707</v>
      </c>
    </row>
    <row r="3583">
      <c r="A3583" s="4">
        <v>3583.0</v>
      </c>
      <c r="B3583" s="3" t="s">
        <v>50237</v>
      </c>
      <c r="C3583" s="6" t="s">
        <v>74</v>
      </c>
      <c r="D3583" s="6" t="s">
        <v>50238</v>
      </c>
      <c r="E3583" s="3" t="str">
        <f t="shared" si="1"/>
        <v>barrier&lt;br&gt;&lt;div class="audio"&gt;[sound:barrier.mp3]&lt;/div&gt;</v>
      </c>
      <c r="F3583" s="3" t="str">
        <f t="shared" si="2"/>
        <v>(n): rào cản</v>
      </c>
      <c r="G3583" s="6" t="s">
        <v>50239</v>
      </c>
      <c r="H3583" s="6" t="s">
        <v>50240</v>
      </c>
      <c r="I3583" s="7">
        <f t="shared" si="3"/>
        <v>0.8524933335</v>
      </c>
    </row>
    <row r="3584">
      <c r="A3584" s="4">
        <v>3584.0</v>
      </c>
      <c r="B3584" s="3" t="s">
        <v>50241</v>
      </c>
      <c r="C3584" s="6" t="s">
        <v>11</v>
      </c>
      <c r="D3584" s="6" t="s">
        <v>14768</v>
      </c>
      <c r="E3584" s="3" t="str">
        <f t="shared" si="1"/>
        <v>progressive&lt;br&gt;&lt;div class="audio"&gt;[sound:progressive.mp3]&lt;/div&gt;</v>
      </c>
      <c r="F3584" s="3" t="str">
        <f t="shared" si="2"/>
        <v>(adj): tiến bộ</v>
      </c>
      <c r="G3584" s="6" t="s">
        <v>50242</v>
      </c>
      <c r="H3584" s="6" t="s">
        <v>50243</v>
      </c>
      <c r="I3584" s="7">
        <f t="shared" si="3"/>
        <v>0.842639467</v>
      </c>
    </row>
    <row r="3585">
      <c r="A3585" s="4">
        <v>3585.0</v>
      </c>
      <c r="B3585" s="3" t="s">
        <v>50244</v>
      </c>
      <c r="C3585" s="6" t="s">
        <v>24</v>
      </c>
      <c r="D3585" s="6" t="s">
        <v>50245</v>
      </c>
      <c r="E3585" s="3" t="str">
        <f t="shared" si="1"/>
        <v>sacrifice&lt;br&gt;&lt;div class="audio"&gt;[sound:sacrifice.mp3]&lt;/div&gt;</v>
      </c>
      <c r="F3585" s="3" t="str">
        <f t="shared" si="2"/>
        <v>(v): hy sinh</v>
      </c>
      <c r="G3585" s="6" t="s">
        <v>50246</v>
      </c>
      <c r="H3585" s="6" t="s">
        <v>50247</v>
      </c>
      <c r="I3585" s="7">
        <f t="shared" si="3"/>
        <v>0.1630082534</v>
      </c>
    </row>
    <row r="3586">
      <c r="A3586" s="4">
        <v>3586.0</v>
      </c>
      <c r="B3586" s="3" t="s">
        <v>50248</v>
      </c>
      <c r="C3586" s="6" t="s">
        <v>74</v>
      </c>
      <c r="D3586" s="6" t="s">
        <v>36102</v>
      </c>
      <c r="E3586" s="3" t="str">
        <f t="shared" si="1"/>
        <v>mixture&lt;br&gt;&lt;div class="audio"&gt;[sound:mixture.mp3]&lt;/div&gt;</v>
      </c>
      <c r="F3586" s="3" t="str">
        <f t="shared" si="2"/>
        <v>(n): hỗn hợp</v>
      </c>
      <c r="G3586" s="6" t="s">
        <v>50249</v>
      </c>
      <c r="H3586" s="6" t="s">
        <v>50250</v>
      </c>
      <c r="I3586" s="7">
        <f t="shared" si="3"/>
        <v>0.08668390243</v>
      </c>
    </row>
    <row r="3587">
      <c r="A3587" s="4">
        <v>3587.0</v>
      </c>
      <c r="B3587" s="3" t="s">
        <v>50251</v>
      </c>
      <c r="C3587" s="6" t="s">
        <v>74</v>
      </c>
      <c r="D3587" s="8" t="s">
        <v>22289</v>
      </c>
      <c r="E3587" s="3" t="str">
        <f t="shared" si="1"/>
        <v>straw&lt;br&gt;&lt;div class="audio"&gt;[sound:straw.mp3]&lt;/div&gt;</v>
      </c>
      <c r="F3587" s="3" t="str">
        <f t="shared" si="2"/>
        <v>(n): ống hút</v>
      </c>
      <c r="G3587" s="8" t="s">
        <v>50252</v>
      </c>
      <c r="H3587" s="8" t="s">
        <v>50253</v>
      </c>
      <c r="I3587" s="7">
        <f t="shared" si="3"/>
        <v>0.3697699847</v>
      </c>
    </row>
    <row r="3588">
      <c r="A3588" s="4">
        <v>3588.0</v>
      </c>
      <c r="B3588" s="3" t="s">
        <v>50254</v>
      </c>
      <c r="C3588" s="6" t="s">
        <v>24</v>
      </c>
      <c r="D3588" s="6" t="s">
        <v>6408</v>
      </c>
      <c r="E3588" s="3" t="str">
        <f t="shared" si="1"/>
        <v>anticipate&lt;br&gt;&lt;div class="audio"&gt;[sound:anticipate.mp3]&lt;/div&gt;</v>
      </c>
      <c r="F3588" s="3" t="str">
        <f t="shared" si="2"/>
        <v>(v): dự đoán</v>
      </c>
      <c r="G3588" s="6" t="s">
        <v>50255</v>
      </c>
      <c r="H3588" s="6" t="s">
        <v>50256</v>
      </c>
      <c r="I3588" s="7">
        <f t="shared" si="3"/>
        <v>0.4135978365</v>
      </c>
    </row>
    <row r="3589">
      <c r="A3589" s="4">
        <v>3589.0</v>
      </c>
      <c r="B3589" s="3" t="s">
        <v>50257</v>
      </c>
      <c r="C3589" s="6" t="s">
        <v>24</v>
      </c>
      <c r="D3589" s="6" t="s">
        <v>9745</v>
      </c>
      <c r="E3589" s="3" t="str">
        <f t="shared" si="1"/>
        <v>reinforce&lt;br&gt;&lt;div class="audio"&gt;[sound:reinforce.mp3]&lt;/div&gt;</v>
      </c>
      <c r="F3589" s="3" t="str">
        <f t="shared" si="2"/>
        <v>(v): củng cố</v>
      </c>
      <c r="G3589" s="6" t="s">
        <v>50258</v>
      </c>
      <c r="H3589" s="6" t="s">
        <v>50259</v>
      </c>
      <c r="I3589" s="7">
        <f t="shared" si="3"/>
        <v>0.7804573072</v>
      </c>
    </row>
    <row r="3590">
      <c r="A3590" s="4">
        <v>3590.0</v>
      </c>
      <c r="B3590" s="3" t="s">
        <v>50260</v>
      </c>
      <c r="C3590" s="6" t="s">
        <v>74</v>
      </c>
      <c r="D3590" s="6" t="s">
        <v>50261</v>
      </c>
      <c r="E3590" s="3" t="str">
        <f t="shared" si="1"/>
        <v>parameter&lt;br&gt;&lt;div class="audio"&gt;[sound:parameter.mp3]&lt;/div&gt;</v>
      </c>
      <c r="F3590" s="3" t="str">
        <f t="shared" si="2"/>
        <v>(n): tham số</v>
      </c>
      <c r="G3590" s="6" t="s">
        <v>50262</v>
      </c>
      <c r="H3590" s="6" t="s">
        <v>50263</v>
      </c>
      <c r="I3590" s="7">
        <f t="shared" si="3"/>
        <v>0.001974202935</v>
      </c>
    </row>
    <row r="3591">
      <c r="A3591" s="4">
        <v>3591.0</v>
      </c>
      <c r="B3591" s="3" t="s">
        <v>50264</v>
      </c>
      <c r="C3591" s="6" t="s">
        <v>11</v>
      </c>
      <c r="D3591" s="6" t="s">
        <v>1897</v>
      </c>
      <c r="E3591" s="3" t="str">
        <f t="shared" si="1"/>
        <v>realistic&lt;br&gt;&lt;div class="audio"&gt;[sound:realistic.mp3]&lt;/div&gt;</v>
      </c>
      <c r="F3591" s="3" t="str">
        <f t="shared" si="2"/>
        <v>(adj): thực tế</v>
      </c>
      <c r="G3591" s="6" t="s">
        <v>50265</v>
      </c>
      <c r="H3591" s="6" t="s">
        <v>50266</v>
      </c>
      <c r="I3591" s="7">
        <f t="shared" si="3"/>
        <v>0.3956599249</v>
      </c>
    </row>
    <row r="3592">
      <c r="A3592" s="4">
        <v>3592.0</v>
      </c>
      <c r="B3592" s="3" t="s">
        <v>50267</v>
      </c>
      <c r="C3592" s="6" t="s">
        <v>74</v>
      </c>
      <c r="D3592" s="6" t="s">
        <v>50268</v>
      </c>
      <c r="E3592" s="3" t="str">
        <f t="shared" si="1"/>
        <v>basketball&lt;br&gt;&lt;div class="audio"&gt;[sound:basketball.mp3]&lt;/div&gt;</v>
      </c>
      <c r="F3592" s="3" t="str">
        <f t="shared" si="2"/>
        <v>(n): bóng rổ</v>
      </c>
      <c r="G3592" s="6" t="s">
        <v>50269</v>
      </c>
      <c r="H3592" s="6" t="s">
        <v>50270</v>
      </c>
      <c r="I3592" s="7">
        <f t="shared" si="3"/>
        <v>0.4338405383</v>
      </c>
    </row>
    <row r="3593">
      <c r="A3593" s="4">
        <v>3593.0</v>
      </c>
      <c r="B3593" s="3" t="s">
        <v>50271</v>
      </c>
      <c r="C3593" s="6" t="s">
        <v>74</v>
      </c>
      <c r="D3593" s="6" t="s">
        <v>11002</v>
      </c>
      <c r="E3593" s="3" t="str">
        <f t="shared" si="1"/>
        <v>forecast&lt;br&gt;&lt;div class="audio"&gt;[sound:forecast.mp3]&lt;/div&gt;</v>
      </c>
      <c r="F3593" s="3" t="str">
        <f t="shared" si="2"/>
        <v>(n): dự báo</v>
      </c>
      <c r="G3593" s="6" t="s">
        <v>50272</v>
      </c>
      <c r="H3593" s="6" t="s">
        <v>50273</v>
      </c>
      <c r="I3593" s="7">
        <f t="shared" si="3"/>
        <v>0.1129644213</v>
      </c>
    </row>
    <row r="3594">
      <c r="A3594" s="4">
        <v>3594.0</v>
      </c>
      <c r="B3594" s="3" t="s">
        <v>50274</v>
      </c>
      <c r="C3594" s="6" t="s">
        <v>24</v>
      </c>
      <c r="D3594" s="8" t="s">
        <v>50275</v>
      </c>
      <c r="E3594" s="3" t="str">
        <f t="shared" si="1"/>
        <v>snap&lt;br&gt;&lt;div class="audio"&gt;[sound:snap.mp3]&lt;/div&gt;</v>
      </c>
      <c r="F3594" s="3" t="str">
        <f t="shared" si="2"/>
        <v>(v): bẻ gãy</v>
      </c>
      <c r="G3594" s="8" t="s">
        <v>50276</v>
      </c>
      <c r="H3594" s="8" t="s">
        <v>50277</v>
      </c>
      <c r="I3594" s="7">
        <f t="shared" si="3"/>
        <v>0.5972504528</v>
      </c>
    </row>
    <row r="3595">
      <c r="A3595" s="4">
        <v>3595.0</v>
      </c>
      <c r="B3595" s="3" t="s">
        <v>50278</v>
      </c>
      <c r="C3595" s="6" t="s">
        <v>24</v>
      </c>
      <c r="D3595" s="8" t="s">
        <v>50279</v>
      </c>
      <c r="E3595" s="3" t="str">
        <f t="shared" si="1"/>
        <v>suppress&lt;br&gt;&lt;div class="audio"&gt;[sound:suppress.mp3]&lt;/div&gt;</v>
      </c>
      <c r="F3595" s="3" t="str">
        <f t="shared" si="2"/>
        <v>(v): đàn áp</v>
      </c>
      <c r="G3595" s="8" t="s">
        <v>50280</v>
      </c>
      <c r="H3595" s="8" t="s">
        <v>50281</v>
      </c>
      <c r="I3595" s="7">
        <f t="shared" si="3"/>
        <v>0.5691301497</v>
      </c>
    </row>
    <row r="3596">
      <c r="A3596" s="4">
        <v>3596.0</v>
      </c>
      <c r="B3596" s="3" t="s">
        <v>50282</v>
      </c>
      <c r="C3596" s="6" t="s">
        <v>24</v>
      </c>
      <c r="D3596" s="6" t="s">
        <v>50283</v>
      </c>
      <c r="E3596" s="3" t="str">
        <f t="shared" si="1"/>
        <v>pretend&lt;br&gt;&lt;div class="audio"&gt;[sound:pretend.mp3]&lt;/div&gt;</v>
      </c>
      <c r="F3596" s="3" t="str">
        <f t="shared" si="2"/>
        <v>(v): giả vờ</v>
      </c>
      <c r="G3596" s="6" t="s">
        <v>50284</v>
      </c>
      <c r="H3596" s="6" t="s">
        <v>50285</v>
      </c>
      <c r="I3596" s="7">
        <f t="shared" si="3"/>
        <v>0.8177123721</v>
      </c>
    </row>
    <row r="3597">
      <c r="A3597" s="4">
        <v>3597.0</v>
      </c>
      <c r="B3597" s="3" t="s">
        <v>50286</v>
      </c>
      <c r="C3597" s="6" t="s">
        <v>11</v>
      </c>
      <c r="D3597" s="8" t="s">
        <v>26129</v>
      </c>
      <c r="E3597" s="3" t="str">
        <f t="shared" si="1"/>
        <v>solo&lt;br&gt;&lt;div class="audio"&gt;[sound:solo.mp3]&lt;/div&gt;</v>
      </c>
      <c r="F3597" s="3" t="str">
        <f t="shared" si="2"/>
        <v>(adj): đơn ca</v>
      </c>
      <c r="G3597" s="8" t="s">
        <v>50287</v>
      </c>
      <c r="H3597" s="8" t="s">
        <v>50288</v>
      </c>
      <c r="I3597" s="7">
        <f t="shared" si="3"/>
        <v>0.3018541634</v>
      </c>
    </row>
    <row r="3598">
      <c r="A3598" s="4">
        <v>3598.0</v>
      </c>
      <c r="B3598" s="3" t="s">
        <v>50289</v>
      </c>
      <c r="C3598" s="6" t="s">
        <v>74</v>
      </c>
      <c r="D3598" s="6" t="s">
        <v>35023</v>
      </c>
      <c r="E3598" s="3" t="str">
        <f t="shared" si="1"/>
        <v>painter&lt;br&gt;&lt;div class="audio"&gt;[sound:painter.mp3]&lt;/div&gt;</v>
      </c>
      <c r="F3598" s="3" t="str">
        <f t="shared" si="2"/>
        <v>(n): họa sĩ</v>
      </c>
      <c r="G3598" s="6" t="s">
        <v>50290</v>
      </c>
      <c r="H3598" s="6" t="s">
        <v>50291</v>
      </c>
      <c r="I3598" s="7">
        <f t="shared" si="3"/>
        <v>0.9126665449</v>
      </c>
    </row>
    <row r="3599">
      <c r="A3599" s="4">
        <v>3599.0</v>
      </c>
      <c r="B3599" s="3" t="s">
        <v>50292</v>
      </c>
      <c r="C3599" s="6" t="s">
        <v>11</v>
      </c>
      <c r="D3599" s="6" t="s">
        <v>50293</v>
      </c>
      <c r="E3599" s="3" t="str">
        <f t="shared" si="1"/>
        <v>evil&lt;br&gt;&lt;div class="audio"&gt;[sound:evil.mp3]&lt;/div&gt;</v>
      </c>
      <c r="F3599" s="3" t="str">
        <f t="shared" si="2"/>
        <v>(adj): xấu xa</v>
      </c>
      <c r="G3599" s="6" t="s">
        <v>50294</v>
      </c>
      <c r="H3599" s="6" t="s">
        <v>50295</v>
      </c>
      <c r="I3599" s="7">
        <f t="shared" si="3"/>
        <v>0.8040917286</v>
      </c>
    </row>
    <row r="3600">
      <c r="A3600" s="4">
        <v>3600.0</v>
      </c>
      <c r="B3600" s="3" t="s">
        <v>50296</v>
      </c>
      <c r="C3600" s="6" t="s">
        <v>74</v>
      </c>
      <c r="D3600" s="6" t="s">
        <v>50297</v>
      </c>
      <c r="E3600" s="3" t="str">
        <f t="shared" si="1"/>
        <v>inmate&lt;br&gt;&lt;div class="audio"&gt;[sound:inmate.mp3]&lt;/div&gt;</v>
      </c>
      <c r="F3600" s="3" t="str">
        <f t="shared" si="2"/>
        <v>(n): bạn tù</v>
      </c>
      <c r="G3600" s="6" t="s">
        <v>50298</v>
      </c>
      <c r="H3600" s="6" t="s">
        <v>50299</v>
      </c>
      <c r="I3600" s="7">
        <f t="shared" si="3"/>
        <v>0.6255699057</v>
      </c>
    </row>
    <row r="3601">
      <c r="A3601" s="4">
        <v>3601.0</v>
      </c>
      <c r="B3601" s="3" t="s">
        <v>50300</v>
      </c>
      <c r="C3601" s="6" t="s">
        <v>74</v>
      </c>
      <c r="D3601" s="6" t="s">
        <v>50301</v>
      </c>
      <c r="E3601" s="3" t="str">
        <f t="shared" si="1"/>
        <v>grandparent&lt;br&gt;&lt;div class="audio"&gt;[sound:grandparent.mp3]&lt;/div&gt;</v>
      </c>
      <c r="F3601" s="3" t="str">
        <f t="shared" si="2"/>
        <v>(n): ông bà</v>
      </c>
      <c r="G3601" s="6" t="s">
        <v>50302</v>
      </c>
      <c r="H3601" s="6" t="s">
        <v>50303</v>
      </c>
      <c r="I3601" s="7">
        <f t="shared" si="3"/>
        <v>0.7017857483</v>
      </c>
    </row>
    <row r="3602">
      <c r="A3602" s="4">
        <v>3602.0</v>
      </c>
      <c r="B3602" s="3" t="s">
        <v>50304</v>
      </c>
      <c r="C3602" s="6" t="s">
        <v>11</v>
      </c>
      <c r="D3602" s="6" t="s">
        <v>29375</v>
      </c>
      <c r="E3602" s="3" t="str">
        <f t="shared" si="1"/>
        <v>rude&lt;br&gt;&lt;div class="audio"&gt;[sound:rude.mp3]&lt;/div&gt;</v>
      </c>
      <c r="F3602" s="3" t="str">
        <f t="shared" si="2"/>
        <v>(adj): thô lỗ</v>
      </c>
      <c r="G3602" s="6" t="s">
        <v>50305</v>
      </c>
      <c r="H3602" s="6" t="s">
        <v>50306</v>
      </c>
      <c r="I3602" s="7">
        <f t="shared" si="3"/>
        <v>0.1636840364</v>
      </c>
    </row>
    <row r="3603">
      <c r="A3603" s="4">
        <v>3603.0</v>
      </c>
      <c r="B3603" s="3" t="s">
        <v>50307</v>
      </c>
      <c r="C3603" s="6" t="s">
        <v>24</v>
      </c>
      <c r="D3603" s="6" t="s">
        <v>50308</v>
      </c>
      <c r="E3603" s="3" t="str">
        <f t="shared" si="1"/>
        <v>fetch&lt;br&gt;&lt;div class="audio"&gt;[sound:fetch.mp3]&lt;/div&gt;</v>
      </c>
      <c r="F3603" s="3" t="str">
        <f t="shared" si="2"/>
        <v>(v): tìm về</v>
      </c>
      <c r="G3603" s="6" t="s">
        <v>50309</v>
      </c>
      <c r="H3603" s="6" t="s">
        <v>50310</v>
      </c>
      <c r="I3603" s="7">
        <f t="shared" si="3"/>
        <v>0.269733895</v>
      </c>
    </row>
    <row r="3604">
      <c r="A3604" s="4">
        <v>3604.0</v>
      </c>
      <c r="B3604" s="3" t="s">
        <v>50311</v>
      </c>
      <c r="C3604" s="6" t="s">
        <v>74</v>
      </c>
      <c r="D3604" s="6" t="s">
        <v>6516</v>
      </c>
      <c r="E3604" s="3" t="str">
        <f t="shared" si="1"/>
        <v>mode&lt;br&gt;&lt;div class="audio"&gt;[sound:mode.mp3]&lt;/div&gt;</v>
      </c>
      <c r="F3604" s="3" t="str">
        <f t="shared" si="2"/>
        <v>(n): chế độ</v>
      </c>
      <c r="G3604" s="6" t="s">
        <v>50312</v>
      </c>
      <c r="H3604" s="6" t="s">
        <v>50313</v>
      </c>
      <c r="I3604" s="7">
        <f t="shared" si="3"/>
        <v>0.591269242</v>
      </c>
    </row>
    <row r="3605">
      <c r="A3605" s="4">
        <v>3605.0</v>
      </c>
      <c r="B3605" s="3" t="s">
        <v>50314</v>
      </c>
      <c r="C3605" s="6" t="s">
        <v>74</v>
      </c>
      <c r="D3605" s="6" t="s">
        <v>36655</v>
      </c>
      <c r="E3605" s="3" t="str">
        <f t="shared" si="1"/>
        <v>bride&lt;br&gt;&lt;div class="audio"&gt;[sound:bride.mp3]&lt;/div&gt;</v>
      </c>
      <c r="F3605" s="3" t="str">
        <f t="shared" si="2"/>
        <v>(n): cô dâu</v>
      </c>
      <c r="G3605" s="6" t="s">
        <v>50315</v>
      </c>
      <c r="H3605" s="6" t="s">
        <v>50316</v>
      </c>
      <c r="I3605" s="7">
        <f t="shared" si="3"/>
        <v>0.07288122646</v>
      </c>
    </row>
    <row r="3606">
      <c r="A3606" s="4">
        <v>3606.0</v>
      </c>
      <c r="B3606" s="3" t="s">
        <v>50317</v>
      </c>
      <c r="C3606" s="6" t="s">
        <v>24</v>
      </c>
      <c r="D3606" s="6" t="s">
        <v>50318</v>
      </c>
      <c r="E3606" s="3" t="str">
        <f t="shared" si="1"/>
        <v>fade&lt;br&gt;&lt;div class="audio"&gt;[sound:fade.mp3]&lt;/div&gt;</v>
      </c>
      <c r="F3606" s="3" t="str">
        <f t="shared" si="2"/>
        <v>(v): mờ dần</v>
      </c>
      <c r="G3606" s="6" t="s">
        <v>50319</v>
      </c>
      <c r="H3606" s="6" t="s">
        <v>50320</v>
      </c>
      <c r="I3606" s="7">
        <f t="shared" si="3"/>
        <v>0.7005726519</v>
      </c>
    </row>
    <row r="3607">
      <c r="A3607" s="4">
        <v>3607.0</v>
      </c>
      <c r="B3607" s="3" t="s">
        <v>50321</v>
      </c>
      <c r="C3607" s="6" t="s">
        <v>74</v>
      </c>
      <c r="D3607" s="6" t="s">
        <v>27576</v>
      </c>
      <c r="E3607" s="3" t="str">
        <f t="shared" si="1"/>
        <v>flood&lt;br&gt;&lt;div class="audio"&gt;[sound:flood.mp3]&lt;/div&gt;</v>
      </c>
      <c r="F3607" s="3" t="str">
        <f t="shared" si="2"/>
        <v>(n): lũ lụt</v>
      </c>
      <c r="G3607" s="6" t="s">
        <v>50322</v>
      </c>
      <c r="H3607" s="6" t="s">
        <v>50323</v>
      </c>
      <c r="I3607" s="7">
        <f t="shared" si="3"/>
        <v>0.8973900304</v>
      </c>
    </row>
    <row r="3608">
      <c r="A3608" s="4">
        <v>3608.0</v>
      </c>
      <c r="B3608" s="3" t="s">
        <v>50324</v>
      </c>
      <c r="C3608" s="6" t="s">
        <v>11</v>
      </c>
      <c r="D3608" s="6" t="s">
        <v>31618</v>
      </c>
      <c r="E3608" s="3" t="str">
        <f t="shared" si="1"/>
        <v>maximum&lt;br&gt;&lt;div class="audio"&gt;[sound:maximum.mp3]&lt;/div&gt;</v>
      </c>
      <c r="F3608" s="3" t="str">
        <f t="shared" si="2"/>
        <v>(adj): tối đa</v>
      </c>
      <c r="G3608" s="6" t="s">
        <v>50325</v>
      </c>
      <c r="H3608" s="6" t="s">
        <v>50326</v>
      </c>
      <c r="I3608" s="7">
        <f t="shared" si="3"/>
        <v>0.8578951259</v>
      </c>
    </row>
    <row r="3609">
      <c r="A3609" s="4">
        <v>3609.0</v>
      </c>
      <c r="B3609" s="3" t="s">
        <v>50327</v>
      </c>
      <c r="C3609" s="6" t="s">
        <v>74</v>
      </c>
      <c r="D3609" s="6" t="s">
        <v>6516</v>
      </c>
      <c r="E3609" s="3" t="str">
        <f t="shared" si="1"/>
        <v>regime&lt;br&gt;&lt;div class="audio"&gt;[sound:regime.mp3]&lt;/div&gt;</v>
      </c>
      <c r="F3609" s="3" t="str">
        <f t="shared" si="2"/>
        <v>(n): chế độ</v>
      </c>
      <c r="G3609" s="6" t="s">
        <v>50328</v>
      </c>
      <c r="H3609" s="6" t="s">
        <v>50329</v>
      </c>
      <c r="I3609" s="7">
        <f t="shared" si="3"/>
        <v>0.7363520503</v>
      </c>
    </row>
    <row r="3610">
      <c r="A3610" s="4">
        <v>3610.0</v>
      </c>
      <c r="B3610" s="3" t="s">
        <v>50330</v>
      </c>
      <c r="C3610" s="6" t="s">
        <v>74</v>
      </c>
      <c r="D3610" s="6" t="s">
        <v>50331</v>
      </c>
      <c r="E3610" s="3" t="str">
        <f t="shared" si="1"/>
        <v>receiver&lt;br&gt;&lt;div class="audio"&gt;[sound:receiver.mp3]&lt;/div&gt;</v>
      </c>
      <c r="F3610" s="3" t="str">
        <f t="shared" si="2"/>
        <v>(n): bộ thu</v>
      </c>
      <c r="G3610" s="6" t="s">
        <v>50332</v>
      </c>
      <c r="H3610" s="6" t="s">
        <v>50333</v>
      </c>
      <c r="I3610" s="7">
        <f t="shared" si="3"/>
        <v>0.6903891008</v>
      </c>
    </row>
    <row r="3611">
      <c r="A3611" s="4">
        <v>3611.0</v>
      </c>
      <c r="B3611" s="3" t="s">
        <v>50334</v>
      </c>
      <c r="C3611" s="6" t="s">
        <v>74</v>
      </c>
      <c r="D3611" s="6" t="s">
        <v>14785</v>
      </c>
      <c r="E3611" s="3" t="str">
        <f t="shared" si="1"/>
        <v>physician&lt;br&gt;&lt;div class="audio"&gt;[sound:physician.mp3]&lt;/div&gt;</v>
      </c>
      <c r="F3611" s="3" t="str">
        <f t="shared" si="2"/>
        <v>(n): bác sĩ</v>
      </c>
      <c r="G3611" s="6" t="s">
        <v>50335</v>
      </c>
      <c r="H3611" s="6" t="s">
        <v>50336</v>
      </c>
      <c r="I3611" s="7">
        <f t="shared" si="3"/>
        <v>0.2910417592</v>
      </c>
    </row>
    <row r="3612">
      <c r="A3612" s="4">
        <v>3612.0</v>
      </c>
      <c r="B3612" s="3" t="s">
        <v>50337</v>
      </c>
      <c r="C3612" s="6" t="s">
        <v>24</v>
      </c>
      <c r="D3612" s="6" t="s">
        <v>50338</v>
      </c>
      <c r="E3612" s="3" t="str">
        <f t="shared" si="1"/>
        <v>condemn&lt;br&gt;&lt;div class="audio"&gt;[sound:condemn.mp3]&lt;/div&gt;</v>
      </c>
      <c r="F3612" s="3" t="str">
        <f t="shared" si="2"/>
        <v>(v): lên án</v>
      </c>
      <c r="G3612" s="6" t="s">
        <v>50339</v>
      </c>
      <c r="H3612" s="6" t="s">
        <v>50340</v>
      </c>
      <c r="I3612" s="7">
        <f t="shared" si="3"/>
        <v>0.4084563235</v>
      </c>
    </row>
    <row r="3613">
      <c r="A3613" s="4">
        <v>3613.0</v>
      </c>
      <c r="B3613" s="3" t="s">
        <v>50341</v>
      </c>
      <c r="C3613" s="6" t="s">
        <v>24</v>
      </c>
      <c r="D3613" s="6" t="s">
        <v>50342</v>
      </c>
      <c r="E3613" s="3" t="str">
        <f t="shared" si="1"/>
        <v>grind&lt;br&gt;&lt;div class="audio"&gt;[sound:grind.mp3]&lt;/div&gt;</v>
      </c>
      <c r="F3613" s="3" t="str">
        <f t="shared" si="2"/>
        <v>(v): nghiền</v>
      </c>
      <c r="G3613" s="6" t="s">
        <v>50343</v>
      </c>
      <c r="H3613" s="6" t="s">
        <v>50344</v>
      </c>
      <c r="I3613" s="7">
        <f t="shared" si="3"/>
        <v>0.8153581296</v>
      </c>
    </row>
    <row r="3614">
      <c r="A3614" s="4">
        <v>3614.0</v>
      </c>
      <c r="B3614" s="3" t="s">
        <v>50345</v>
      </c>
      <c r="C3614" s="6" t="s">
        <v>11</v>
      </c>
      <c r="D3614" s="6" t="s">
        <v>20041</v>
      </c>
      <c r="E3614" s="3" t="str">
        <f t="shared" si="1"/>
        <v>remote&lt;br&gt;&lt;div class="audio"&gt;[sound:remote.mp3]&lt;/div&gt;</v>
      </c>
      <c r="F3614" s="3" t="str">
        <f t="shared" si="2"/>
        <v>(adj): xa xôi</v>
      </c>
      <c r="G3614" s="6" t="s">
        <v>50346</v>
      </c>
      <c r="H3614" s="6" t="s">
        <v>50347</v>
      </c>
      <c r="I3614" s="7">
        <f t="shared" si="3"/>
        <v>0.9441935523</v>
      </c>
    </row>
    <row r="3615">
      <c r="A3615" s="4">
        <v>3615.0</v>
      </c>
      <c r="B3615" s="3" t="s">
        <v>50348</v>
      </c>
      <c r="C3615" s="6" t="s">
        <v>24</v>
      </c>
      <c r="D3615" s="6" t="s">
        <v>7568</v>
      </c>
      <c r="E3615" s="3" t="str">
        <f t="shared" si="1"/>
        <v>possess&lt;br&gt;&lt;div class="audio"&gt;[sound:possess.mp3]&lt;/div&gt;</v>
      </c>
      <c r="F3615" s="3" t="str">
        <f t="shared" si="2"/>
        <v>(v): sở hữu</v>
      </c>
      <c r="G3615" s="6" t="s">
        <v>50349</v>
      </c>
      <c r="H3615" s="6" t="s">
        <v>50350</v>
      </c>
      <c r="I3615" s="7">
        <f t="shared" si="3"/>
        <v>0.6968868021</v>
      </c>
    </row>
    <row r="3616">
      <c r="A3616" s="4">
        <v>3616.0</v>
      </c>
      <c r="B3616" s="3" t="s">
        <v>50351</v>
      </c>
      <c r="C3616" s="6" t="s">
        <v>24</v>
      </c>
      <c r="D3616" s="8" t="s">
        <v>27264</v>
      </c>
      <c r="E3616" s="3" t="str">
        <f t="shared" si="1"/>
        <v>smash&lt;br&gt;&lt;div class="audio"&gt;[sound:smash.mp3]&lt;/div&gt;</v>
      </c>
      <c r="F3616" s="3" t="str">
        <f t="shared" si="2"/>
        <v>(v): đập vỡ</v>
      </c>
      <c r="G3616" s="8" t="s">
        <v>50352</v>
      </c>
      <c r="H3616" s="8" t="s">
        <v>50353</v>
      </c>
      <c r="I3616" s="7">
        <f t="shared" si="3"/>
        <v>0.9019051244</v>
      </c>
    </row>
    <row r="3617">
      <c r="A3617" s="4">
        <v>3617.0</v>
      </c>
      <c r="B3617" s="3" t="s">
        <v>50354</v>
      </c>
      <c r="C3617" s="6" t="s">
        <v>74</v>
      </c>
      <c r="D3617" s="6" t="s">
        <v>48710</v>
      </c>
      <c r="E3617" s="3" t="str">
        <f t="shared" si="1"/>
        <v>graphics&lt;br&gt;&lt;div class="audio"&gt;[sound:graphics.mp3]&lt;/div&gt;</v>
      </c>
      <c r="F3617" s="3" t="str">
        <f t="shared" si="2"/>
        <v>(n): đồ họa</v>
      </c>
      <c r="G3617" s="6" t="s">
        <v>50355</v>
      </c>
      <c r="H3617" s="6" t="s">
        <v>50356</v>
      </c>
      <c r="I3617" s="7">
        <f t="shared" si="3"/>
        <v>0.664279822</v>
      </c>
    </row>
    <row r="3618">
      <c r="A3618" s="4">
        <v>3618.0</v>
      </c>
      <c r="B3618" s="3" t="s">
        <v>50357</v>
      </c>
      <c r="C3618" s="6" t="s">
        <v>24</v>
      </c>
      <c r="D3618" s="6" t="s">
        <v>50358</v>
      </c>
      <c r="E3618" s="3" t="str">
        <f t="shared" si="1"/>
        <v>pose&lt;br&gt;&lt;div class="audio"&gt;[sound:pose.mp3]&lt;/div&gt;</v>
      </c>
      <c r="F3618" s="3" t="str">
        <f t="shared" si="2"/>
        <v>(v): đặt ra</v>
      </c>
      <c r="G3618" s="6" t="s">
        <v>50359</v>
      </c>
      <c r="H3618" s="6" t="s">
        <v>50360</v>
      </c>
      <c r="I3618" s="7">
        <f t="shared" si="3"/>
        <v>0.8640218407</v>
      </c>
    </row>
    <row r="3619">
      <c r="A3619" s="4">
        <v>3619.0</v>
      </c>
      <c r="B3619" s="3" t="s">
        <v>50361</v>
      </c>
      <c r="C3619" s="6" t="s">
        <v>74</v>
      </c>
      <c r="D3619" s="6" t="s">
        <v>29556</v>
      </c>
      <c r="E3619" s="3" t="str">
        <f t="shared" si="1"/>
        <v>puzzle&lt;br&gt;&lt;div class="audio"&gt;[sound:puzzle.mp3]&lt;/div&gt;</v>
      </c>
      <c r="F3619" s="3" t="str">
        <f t="shared" si="2"/>
        <v>(n): câu đố</v>
      </c>
      <c r="G3619" s="6" t="s">
        <v>50362</v>
      </c>
      <c r="H3619" s="6" t="s">
        <v>50363</v>
      </c>
      <c r="I3619" s="7">
        <f t="shared" si="3"/>
        <v>0.1219672692</v>
      </c>
    </row>
    <row r="3620">
      <c r="A3620" s="4">
        <v>3620.0</v>
      </c>
      <c r="B3620" s="3" t="s">
        <v>50364</v>
      </c>
      <c r="C3620" s="6" t="s">
        <v>74</v>
      </c>
      <c r="D3620" s="6" t="s">
        <v>17559</v>
      </c>
      <c r="E3620" s="3" t="str">
        <f t="shared" si="1"/>
        <v>rubber&lt;br&gt;&lt;div class="audio"&gt;[sound:rubber.mp3]&lt;/div&gt;</v>
      </c>
      <c r="F3620" s="3" t="str">
        <f t="shared" si="2"/>
        <v>(n): cao su</v>
      </c>
      <c r="G3620" s="6" t="s">
        <v>50365</v>
      </c>
      <c r="H3620" s="6" t="s">
        <v>50366</v>
      </c>
      <c r="I3620" s="7">
        <f t="shared" si="3"/>
        <v>0.7547212356</v>
      </c>
    </row>
    <row r="3621">
      <c r="A3621" s="4">
        <v>3621.0</v>
      </c>
      <c r="B3621" s="3" t="s">
        <v>50367</v>
      </c>
      <c r="C3621" s="6" t="s">
        <v>24</v>
      </c>
      <c r="D3621" s="8" t="s">
        <v>9957</v>
      </c>
      <c r="E3621" s="3" t="str">
        <f t="shared" si="1"/>
        <v>spark&lt;br&gt;&lt;div class="audio"&gt;[sound:spark.mp3]&lt;/div&gt;</v>
      </c>
      <c r="F3621" s="3" t="str">
        <f t="shared" si="2"/>
        <v>(v): gây ra</v>
      </c>
      <c r="G3621" s="8" t="s">
        <v>50368</v>
      </c>
      <c r="H3621" s="8" t="s">
        <v>50369</v>
      </c>
      <c r="I3621" s="7">
        <f t="shared" si="3"/>
        <v>0.7272775955</v>
      </c>
    </row>
    <row r="3622">
      <c r="A3622" s="4">
        <v>3622.0</v>
      </c>
      <c r="B3622" s="3" t="s">
        <v>50370</v>
      </c>
      <c r="C3622" s="6" t="s">
        <v>11</v>
      </c>
      <c r="D3622" s="6" t="s">
        <v>3473</v>
      </c>
      <c r="E3622" s="3" t="str">
        <f t="shared" si="1"/>
        <v>enjoyable&lt;br&gt;&lt;div class="audio"&gt;[sound:enjoyable.mp3]&lt;/div&gt;</v>
      </c>
      <c r="F3622" s="3" t="str">
        <f t="shared" si="2"/>
        <v>(adj): thú vị</v>
      </c>
      <c r="G3622" s="6" t="s">
        <v>50371</v>
      </c>
      <c r="H3622" s="6" t="s">
        <v>50372</v>
      </c>
      <c r="I3622" s="7">
        <f t="shared" si="3"/>
        <v>0.4421391962</v>
      </c>
    </row>
    <row r="3623">
      <c r="A3623" s="4">
        <v>3623.0</v>
      </c>
      <c r="B3623" s="3" t="s">
        <v>50373</v>
      </c>
      <c r="C3623" s="6" t="s">
        <v>11</v>
      </c>
      <c r="D3623" s="6" t="s">
        <v>50374</v>
      </c>
      <c r="E3623" s="3" t="str">
        <f t="shared" si="1"/>
        <v>nearby&lt;br&gt;&lt;div class="audio"&gt;[sound:nearby.mp3]&lt;/div&gt;</v>
      </c>
      <c r="F3623" s="3" t="str">
        <f t="shared" si="2"/>
        <v>(adj): gần đó</v>
      </c>
      <c r="G3623" s="6" t="s">
        <v>50375</v>
      </c>
      <c r="H3623" s="6" t="s">
        <v>50376</v>
      </c>
      <c r="I3623" s="7">
        <f t="shared" si="3"/>
        <v>0.782674581</v>
      </c>
    </row>
    <row r="3624">
      <c r="A3624" s="4">
        <v>3624.0</v>
      </c>
      <c r="B3624" s="3" t="s">
        <v>50377</v>
      </c>
      <c r="C3624" s="6" t="s">
        <v>74</v>
      </c>
      <c r="D3624" s="8" t="s">
        <v>24930</v>
      </c>
      <c r="E3624" s="3" t="str">
        <f t="shared" si="1"/>
        <v>sweater&lt;br&gt;&lt;div class="audio"&gt;[sound:sweater.mp3]&lt;/div&gt;</v>
      </c>
      <c r="F3624" s="3" t="str">
        <f t="shared" si="2"/>
        <v>(n): áo len</v>
      </c>
      <c r="G3624" s="8" t="s">
        <v>50378</v>
      </c>
      <c r="H3624" s="8" t="s">
        <v>50379</v>
      </c>
      <c r="I3624" s="7">
        <f t="shared" si="3"/>
        <v>0.3444333179</v>
      </c>
    </row>
    <row r="3625">
      <c r="A3625" s="4">
        <v>3625.0</v>
      </c>
      <c r="B3625" s="3" t="s">
        <v>50380</v>
      </c>
      <c r="C3625" s="6" t="s">
        <v>74</v>
      </c>
      <c r="D3625" s="8" t="s">
        <v>50381</v>
      </c>
      <c r="E3625" s="3" t="str">
        <f t="shared" si="1"/>
        <v>slave&lt;br&gt;&lt;div class="audio"&gt;[sound:slave.mp3]&lt;/div&gt;</v>
      </c>
      <c r="F3625" s="3" t="str">
        <f t="shared" si="2"/>
        <v>(n): nô lệ</v>
      </c>
      <c r="G3625" s="8" t="s">
        <v>50382</v>
      </c>
      <c r="H3625" s="8" t="s">
        <v>50383</v>
      </c>
      <c r="I3625" s="7">
        <f t="shared" si="3"/>
        <v>0.3609602559</v>
      </c>
    </row>
    <row r="3626">
      <c r="A3626" s="4">
        <v>3626.0</v>
      </c>
      <c r="B3626" s="3" t="s">
        <v>50384</v>
      </c>
      <c r="C3626" s="6" t="s">
        <v>74</v>
      </c>
      <c r="D3626" s="6" t="s">
        <v>21813</v>
      </c>
      <c r="E3626" s="3" t="str">
        <f t="shared" si="1"/>
        <v>mirror&lt;br&gt;&lt;div class="audio"&gt;[sound:mirror.mp3]&lt;/div&gt;</v>
      </c>
      <c r="F3626" s="3" t="str">
        <f t="shared" si="2"/>
        <v>(n): gương</v>
      </c>
      <c r="G3626" s="6" t="s">
        <v>50385</v>
      </c>
      <c r="H3626" s="6" t="s">
        <v>50386</v>
      </c>
      <c r="I3626" s="7">
        <f t="shared" si="3"/>
        <v>0.6093587689</v>
      </c>
    </row>
    <row r="3627">
      <c r="A3627" s="4">
        <v>3627.0</v>
      </c>
      <c r="B3627" s="3" t="s">
        <v>50387</v>
      </c>
      <c r="C3627" s="6" t="s">
        <v>24</v>
      </c>
      <c r="D3627" s="8" t="s">
        <v>50388</v>
      </c>
      <c r="E3627" s="3" t="str">
        <f t="shared" si="1"/>
        <v>stir&lt;br&gt;&lt;div class="audio"&gt;[sound:stir.mp3]&lt;/div&gt;</v>
      </c>
      <c r="F3627" s="3" t="str">
        <f t="shared" si="2"/>
        <v>(v): khuấy</v>
      </c>
      <c r="G3627" s="8" t="s">
        <v>50389</v>
      </c>
      <c r="H3627" s="8" t="s">
        <v>50390</v>
      </c>
      <c r="I3627" s="7">
        <f t="shared" si="3"/>
        <v>0.8110185959</v>
      </c>
    </row>
    <row r="3628">
      <c r="A3628" s="4">
        <v>3628.0</v>
      </c>
      <c r="B3628" s="3" t="s">
        <v>50391</v>
      </c>
      <c r="C3628" s="6" t="s">
        <v>11</v>
      </c>
      <c r="D3628" s="6" t="s">
        <v>533</v>
      </c>
      <c r="E3628" s="3" t="str">
        <f t="shared" si="1"/>
        <v>multiple&lt;br&gt;&lt;div class="audio"&gt;[sound:multiple.mp3]&lt;/div&gt;</v>
      </c>
      <c r="F3628" s="3" t="str">
        <f t="shared" si="2"/>
        <v>(adj): nhiều</v>
      </c>
      <c r="G3628" s="6" t="s">
        <v>50392</v>
      </c>
      <c r="H3628" s="6" t="s">
        <v>50393</v>
      </c>
      <c r="I3628" s="7">
        <f t="shared" si="3"/>
        <v>0.1538346373</v>
      </c>
    </row>
    <row r="3629">
      <c r="A3629" s="4">
        <v>3629.0</v>
      </c>
      <c r="B3629" s="3" t="s">
        <v>50394</v>
      </c>
      <c r="C3629" s="6" t="s">
        <v>24</v>
      </c>
      <c r="D3629" s="6" t="s">
        <v>25825</v>
      </c>
      <c r="E3629" s="3" t="str">
        <f t="shared" si="1"/>
        <v>confer&lt;br&gt;&lt;div class="audio"&gt;[sound:confer.mp3]&lt;/div&gt;</v>
      </c>
      <c r="F3629" s="3" t="str">
        <f t="shared" si="2"/>
        <v>(v): hội ý</v>
      </c>
      <c r="G3629" s="6" t="s">
        <v>50395</v>
      </c>
      <c r="H3629" s="6" t="s">
        <v>50396</v>
      </c>
      <c r="I3629" s="7">
        <f t="shared" si="3"/>
        <v>0.6061775642</v>
      </c>
    </row>
    <row r="3630">
      <c r="A3630" s="4">
        <v>3630.0</v>
      </c>
      <c r="B3630" s="3" t="s">
        <v>50397</v>
      </c>
      <c r="C3630" s="6" t="s">
        <v>74</v>
      </c>
      <c r="D3630" s="6" t="s">
        <v>50397</v>
      </c>
      <c r="E3630" s="3" t="str">
        <f t="shared" si="1"/>
        <v>logic&lt;br&gt;&lt;div class="audio"&gt;[sound:logic.mp3]&lt;/div&gt;</v>
      </c>
      <c r="F3630" s="3" t="str">
        <f t="shared" si="2"/>
        <v>(n): logic</v>
      </c>
      <c r="G3630" s="6" t="s">
        <v>50398</v>
      </c>
      <c r="H3630" s="6" t="s">
        <v>50399</v>
      </c>
      <c r="I3630" s="7">
        <f t="shared" si="3"/>
        <v>0.9997160483</v>
      </c>
    </row>
    <row r="3631">
      <c r="A3631" s="4">
        <v>3631.0</v>
      </c>
      <c r="B3631" s="3" t="s">
        <v>50400</v>
      </c>
      <c r="C3631" s="6" t="s">
        <v>74</v>
      </c>
      <c r="D3631" s="6" t="s">
        <v>50401</v>
      </c>
      <c r="E3631" s="3" t="str">
        <f t="shared" si="1"/>
        <v>chunk&lt;br&gt;&lt;div class="audio"&gt;[sound:chunk.mp3]&lt;/div&gt;</v>
      </c>
      <c r="F3631" s="3" t="str">
        <f t="shared" si="2"/>
        <v>(n): khúc</v>
      </c>
      <c r="G3631" s="6" t="s">
        <v>50402</v>
      </c>
      <c r="H3631" s="6" t="s">
        <v>50403</v>
      </c>
      <c r="I3631" s="7">
        <f t="shared" si="3"/>
        <v>0.5498674657</v>
      </c>
    </row>
    <row r="3632">
      <c r="A3632" s="4">
        <v>3632.0</v>
      </c>
      <c r="B3632" s="3" t="s">
        <v>50404</v>
      </c>
      <c r="C3632" s="6" t="s">
        <v>24</v>
      </c>
      <c r="D3632" s="6" t="s">
        <v>42529</v>
      </c>
      <c r="E3632" s="3" t="str">
        <f t="shared" si="1"/>
        <v>chop&lt;br&gt;&lt;div class="audio"&gt;[sound:chop.mp3]&lt;/div&gt;</v>
      </c>
      <c r="F3632" s="3" t="str">
        <f t="shared" si="2"/>
        <v>(v): chặt</v>
      </c>
      <c r="G3632" s="6" t="s">
        <v>50405</v>
      </c>
      <c r="H3632" s="6" t="s">
        <v>50406</v>
      </c>
      <c r="I3632" s="7">
        <f t="shared" si="3"/>
        <v>0.5232811731</v>
      </c>
    </row>
    <row r="3633">
      <c r="A3633" s="4">
        <v>3633.0</v>
      </c>
      <c r="B3633" s="3" t="s">
        <v>50407</v>
      </c>
      <c r="C3633" s="6" t="s">
        <v>74</v>
      </c>
      <c r="D3633" s="6" t="s">
        <v>1129</v>
      </c>
      <c r="E3633" s="3" t="str">
        <f t="shared" si="1"/>
        <v>portion&lt;br&gt;&lt;div class="audio"&gt;[sound:portion.mp3]&lt;/div&gt;</v>
      </c>
      <c r="F3633" s="3" t="str">
        <f t="shared" si="2"/>
        <v>(n): phần</v>
      </c>
      <c r="G3633" s="6" t="s">
        <v>50408</v>
      </c>
      <c r="H3633" s="6" t="s">
        <v>50409</v>
      </c>
      <c r="I3633" s="7">
        <f t="shared" si="3"/>
        <v>0.5003982589</v>
      </c>
    </row>
    <row r="3634">
      <c r="A3634" s="4">
        <v>3634.0</v>
      </c>
      <c r="B3634" s="3" t="s">
        <v>50410</v>
      </c>
      <c r="C3634" s="6" t="s">
        <v>74</v>
      </c>
      <c r="D3634" s="6" t="s">
        <v>26267</v>
      </c>
      <c r="E3634" s="3" t="str">
        <f t="shared" si="1"/>
        <v>gut&lt;br&gt;&lt;div class="audio"&gt;[sound:gut.mp3]&lt;/div&gt;</v>
      </c>
      <c r="F3634" s="3" t="str">
        <f t="shared" si="2"/>
        <v>(n): ruột</v>
      </c>
      <c r="G3634" s="6" t="s">
        <v>50411</v>
      </c>
      <c r="H3634" s="6" t="s">
        <v>50412</v>
      </c>
      <c r="I3634" s="7">
        <f t="shared" si="3"/>
        <v>0.3755488203</v>
      </c>
    </row>
    <row r="3635">
      <c r="A3635" s="4">
        <v>3635.0</v>
      </c>
      <c r="B3635" s="3" t="s">
        <v>50413</v>
      </c>
      <c r="C3635" s="6" t="s">
        <v>11</v>
      </c>
      <c r="D3635" s="6" t="s">
        <v>50414</v>
      </c>
      <c r="E3635" s="3" t="str">
        <f t="shared" si="1"/>
        <v>mad&lt;br&gt;&lt;div class="audio"&gt;[sound:mad.mp3]&lt;/div&gt;</v>
      </c>
      <c r="F3635" s="3" t="str">
        <f t="shared" si="2"/>
        <v>(adj): điên</v>
      </c>
      <c r="G3635" s="6" t="s">
        <v>50415</v>
      </c>
      <c r="H3635" s="6" t="s">
        <v>50416</v>
      </c>
      <c r="I3635" s="7">
        <f t="shared" si="3"/>
        <v>0.8279365775</v>
      </c>
    </row>
    <row r="3636">
      <c r="A3636" s="4">
        <v>3636.0</v>
      </c>
      <c r="B3636" s="3" t="s">
        <v>50417</v>
      </c>
      <c r="C3636" s="6" t="s">
        <v>74</v>
      </c>
      <c r="D3636" s="6" t="s">
        <v>6566</v>
      </c>
      <c r="E3636" s="3" t="str">
        <f t="shared" si="1"/>
        <v>pants&lt;br&gt;&lt;div class="audio"&gt;[sound:pants.mp3]&lt;/div&gt;</v>
      </c>
      <c r="F3636" s="3" t="str">
        <f t="shared" si="2"/>
        <v>(n): quần</v>
      </c>
      <c r="G3636" s="6" t="s">
        <v>50418</v>
      </c>
      <c r="H3636" s="6" t="s">
        <v>50419</v>
      </c>
      <c r="I3636" s="7">
        <f t="shared" si="3"/>
        <v>0.4333444843</v>
      </c>
    </row>
    <row r="3637">
      <c r="A3637" s="4">
        <v>3637.0</v>
      </c>
      <c r="B3637" s="3" t="s">
        <v>50420</v>
      </c>
      <c r="C3637" s="6" t="s">
        <v>74</v>
      </c>
      <c r="D3637" s="6" t="s">
        <v>50421</v>
      </c>
      <c r="E3637" s="3" t="str">
        <f t="shared" si="1"/>
        <v>math&lt;br&gt;&lt;div class="audio"&gt;[sound:math.mp3]&lt;/div&gt;</v>
      </c>
      <c r="F3637" s="3" t="str">
        <f t="shared" si="2"/>
        <v>(n): toán</v>
      </c>
      <c r="G3637" s="6" t="s">
        <v>50422</v>
      </c>
      <c r="H3637" s="6" t="s">
        <v>50423</v>
      </c>
      <c r="I3637" s="7">
        <f t="shared" si="3"/>
        <v>0.2848301592</v>
      </c>
    </row>
    <row r="3638">
      <c r="A3638" s="4">
        <v>3638.0</v>
      </c>
      <c r="B3638" s="3" t="s">
        <v>50424</v>
      </c>
      <c r="C3638" s="6" t="s">
        <v>74</v>
      </c>
      <c r="D3638" s="6" t="s">
        <v>50421</v>
      </c>
      <c r="E3638" s="3" t="str">
        <f t="shared" si="1"/>
        <v>maths&lt;br&gt;&lt;div class="audio"&gt;[sound:maths.mp3]&lt;/div&gt;</v>
      </c>
      <c r="F3638" s="3" t="str">
        <f t="shared" si="2"/>
        <v>(n): toán</v>
      </c>
      <c r="G3638" s="6" t="s">
        <v>50425</v>
      </c>
      <c r="H3638" s="6" t="s">
        <v>50426</v>
      </c>
      <c r="I3638" s="7">
        <f t="shared" si="3"/>
        <v>0.5400387307</v>
      </c>
    </row>
    <row r="3639">
      <c r="A3639" s="4">
        <v>3639.0</v>
      </c>
      <c r="B3639" s="3" t="s">
        <v>50427</v>
      </c>
      <c r="C3639" s="6" t="s">
        <v>74</v>
      </c>
      <c r="D3639" s="6" t="s">
        <v>22389</v>
      </c>
      <c r="E3639" s="3" t="str">
        <f t="shared" si="1"/>
        <v>garage&lt;br&gt;&lt;div class="audio"&gt;[sound:garage.mp3]&lt;/div&gt;</v>
      </c>
      <c r="F3639" s="3" t="str">
        <f t="shared" si="2"/>
        <v>(n): gara</v>
      </c>
      <c r="G3639" s="6" t="s">
        <v>50428</v>
      </c>
      <c r="H3639" s="6" t="s">
        <v>50429</v>
      </c>
      <c r="I3639" s="7">
        <f t="shared" si="3"/>
        <v>0.3211239916</v>
      </c>
    </row>
    <row r="3640">
      <c r="A3640" s="4">
        <v>3640.0</v>
      </c>
      <c r="B3640" s="3" t="s">
        <v>50430</v>
      </c>
      <c r="C3640" s="6" t="s">
        <v>24</v>
      </c>
      <c r="D3640" s="6" t="s">
        <v>28011</v>
      </c>
      <c r="E3640" s="3" t="str">
        <f t="shared" si="1"/>
        <v>scan&lt;br&gt;&lt;div class="audio"&gt;[sound:scan.mp3]&lt;/div&gt;</v>
      </c>
      <c r="F3640" s="3" t="str">
        <f t="shared" si="2"/>
        <v>(v): quét</v>
      </c>
      <c r="G3640" s="6" t="s">
        <v>50431</v>
      </c>
      <c r="H3640" s="6" t="s">
        <v>50432</v>
      </c>
      <c r="I3640" s="7">
        <f t="shared" si="3"/>
        <v>0.4012235167</v>
      </c>
    </row>
    <row r="3641">
      <c r="A3641" s="4">
        <v>3641.0</v>
      </c>
      <c r="B3641" s="3" t="s">
        <v>50433</v>
      </c>
      <c r="C3641" s="6" t="s">
        <v>24</v>
      </c>
      <c r="D3641" s="8" t="s">
        <v>50434</v>
      </c>
      <c r="E3641" s="3" t="str">
        <f t="shared" si="1"/>
        <v>spray&lt;br&gt;&lt;div class="audio"&gt;[sound:spray.mp3]&lt;/div&gt;</v>
      </c>
      <c r="F3641" s="3" t="str">
        <f t="shared" si="2"/>
        <v>(v): phun</v>
      </c>
      <c r="G3641" s="8" t="s">
        <v>50435</v>
      </c>
      <c r="H3641" s="8" t="s">
        <v>50436</v>
      </c>
      <c r="I3641" s="7">
        <f t="shared" si="3"/>
        <v>0.7793840976</v>
      </c>
    </row>
    <row r="3642">
      <c r="A3642" s="4">
        <v>3642.0</v>
      </c>
      <c r="B3642" s="3" t="s">
        <v>50437</v>
      </c>
      <c r="C3642" s="6" t="s">
        <v>24</v>
      </c>
      <c r="D3642" s="6" t="s">
        <v>50438</v>
      </c>
      <c r="E3642" s="3" t="str">
        <f t="shared" si="1"/>
        <v>punish&lt;br&gt;&lt;div class="audio"&gt;[sound:punish.mp3]&lt;/div&gt;</v>
      </c>
      <c r="F3642" s="3" t="str">
        <f t="shared" si="2"/>
        <v>(v): phạt</v>
      </c>
      <c r="G3642" s="6" t="s">
        <v>50439</v>
      </c>
      <c r="H3642" s="6" t="s">
        <v>50440</v>
      </c>
      <c r="I3642" s="7">
        <f t="shared" si="3"/>
        <v>0.5535299205</v>
      </c>
    </row>
    <row r="3643">
      <c r="A3643" s="4">
        <v>3643.0</v>
      </c>
      <c r="B3643" s="3" t="s">
        <v>50441</v>
      </c>
      <c r="C3643" s="6" t="s">
        <v>11</v>
      </c>
      <c r="D3643" s="8" t="s">
        <v>7230</v>
      </c>
      <c r="E3643" s="3" t="str">
        <f t="shared" si="1"/>
        <v>stiff&lt;br&gt;&lt;div class="audio"&gt;[sound:stiff.mp3]&lt;/div&gt;</v>
      </c>
      <c r="F3643" s="3" t="str">
        <f t="shared" si="2"/>
        <v>(adj): cứng</v>
      </c>
      <c r="G3643" s="8" t="s">
        <v>50442</v>
      </c>
      <c r="H3643" s="8" t="s">
        <v>50443</v>
      </c>
      <c r="I3643" s="7">
        <f t="shared" si="3"/>
        <v>0.4788605902</v>
      </c>
    </row>
    <row r="3644">
      <c r="A3644" s="4">
        <v>3644.0</v>
      </c>
      <c r="B3644" s="3" t="s">
        <v>50444</v>
      </c>
      <c r="C3644" s="6" t="s">
        <v>74</v>
      </c>
      <c r="D3644" s="6" t="s">
        <v>15269</v>
      </c>
      <c r="E3644" s="3" t="str">
        <f t="shared" si="1"/>
        <v>harbour&lt;br&gt;&lt;div class="audio"&gt;[sound:harbour.mp3]&lt;/div&gt;</v>
      </c>
      <c r="F3644" s="3" t="str">
        <f t="shared" si="2"/>
        <v>(n): cảng</v>
      </c>
      <c r="G3644" s="6" t="s">
        <v>50445</v>
      </c>
      <c r="H3644" s="6" t="s">
        <v>44884</v>
      </c>
      <c r="I3644" s="7">
        <f t="shared" si="3"/>
        <v>0.1417027089</v>
      </c>
    </row>
    <row r="3645">
      <c r="A3645" s="4">
        <v>3645.0</v>
      </c>
      <c r="B3645" s="3" t="s">
        <v>50446</v>
      </c>
      <c r="C3645" s="6" t="s">
        <v>74</v>
      </c>
      <c r="D3645" s="8" t="s">
        <v>50447</v>
      </c>
      <c r="E3645" s="3" t="str">
        <f t="shared" si="1"/>
        <v>sword&lt;br&gt;&lt;div class="audio"&gt;[sound:sword.mp3]&lt;/div&gt;</v>
      </c>
      <c r="F3645" s="3" t="str">
        <f t="shared" si="2"/>
        <v>(n): kiếm</v>
      </c>
      <c r="G3645" s="8" t="s">
        <v>50448</v>
      </c>
      <c r="H3645" s="8" t="s">
        <v>50449</v>
      </c>
      <c r="I3645" s="7">
        <f t="shared" si="3"/>
        <v>0.2737787661</v>
      </c>
    </row>
    <row r="3646">
      <c r="A3646" s="4">
        <v>3646.0</v>
      </c>
      <c r="B3646" s="3" t="s">
        <v>50450</v>
      </c>
      <c r="C3646" s="6" t="s">
        <v>11</v>
      </c>
      <c r="D3646" s="6" t="s">
        <v>50451</v>
      </c>
      <c r="E3646" s="3" t="str">
        <f t="shared" si="1"/>
        <v>hollow&lt;br&gt;&lt;div class="audio"&gt;[sound:hollow.mp3]&lt;/div&gt;</v>
      </c>
      <c r="F3646" s="3" t="str">
        <f t="shared" si="2"/>
        <v>(adj): rỗng</v>
      </c>
      <c r="G3646" s="6" t="s">
        <v>50452</v>
      </c>
      <c r="H3646" s="6" t="s">
        <v>50453</v>
      </c>
      <c r="I3646" s="7">
        <f t="shared" si="3"/>
        <v>0.4654468299</v>
      </c>
    </row>
    <row r="3647">
      <c r="A3647" s="4">
        <v>3647.0</v>
      </c>
      <c r="B3647" s="3" t="s">
        <v>50454</v>
      </c>
      <c r="C3647" s="6" t="s">
        <v>11</v>
      </c>
      <c r="D3647" s="8" t="s">
        <v>24136</v>
      </c>
      <c r="E3647" s="3" t="str">
        <f t="shared" si="1"/>
        <v>shallow&lt;br&gt;&lt;div class="audio"&gt;[sound:shallow.mp3]&lt;/div&gt;</v>
      </c>
      <c r="F3647" s="3" t="str">
        <f t="shared" si="2"/>
        <v>(adj): nông</v>
      </c>
      <c r="G3647" s="8" t="s">
        <v>50455</v>
      </c>
      <c r="H3647" s="8" t="s">
        <v>50456</v>
      </c>
      <c r="I3647" s="7">
        <f t="shared" si="3"/>
        <v>0.5224638463</v>
      </c>
    </row>
    <row r="3648">
      <c r="A3648" s="4">
        <v>3648.0</v>
      </c>
      <c r="B3648" s="3" t="s">
        <v>50457</v>
      </c>
      <c r="C3648" s="6" t="s">
        <v>24</v>
      </c>
      <c r="D3648" s="8" t="s">
        <v>8614</v>
      </c>
      <c r="E3648" s="3" t="str">
        <f t="shared" si="1"/>
        <v>sue&lt;br&gt;&lt;div class="audio"&gt;[sound:sue.mp3]&lt;/div&gt;</v>
      </c>
      <c r="F3648" s="3" t="str">
        <f t="shared" si="2"/>
        <v>(v): kiện</v>
      </c>
      <c r="G3648" s="8" t="s">
        <v>50458</v>
      </c>
      <c r="H3648" s="8" t="s">
        <v>50459</v>
      </c>
      <c r="I3648" s="7">
        <f t="shared" si="3"/>
        <v>0.1170768668</v>
      </c>
    </row>
    <row r="3649">
      <c r="A3649" s="4">
        <v>3649.0</v>
      </c>
      <c r="B3649" s="3" t="s">
        <v>50460</v>
      </c>
      <c r="C3649" s="6" t="s">
        <v>74</v>
      </c>
      <c r="D3649" s="8" t="s">
        <v>24759</v>
      </c>
      <c r="E3649" s="3" t="str">
        <f t="shared" si="1"/>
        <v>spoon&lt;br&gt;&lt;div class="audio"&gt;[sound:spoon.mp3]&lt;/div&gt;</v>
      </c>
      <c r="F3649" s="3" t="str">
        <f t="shared" si="2"/>
        <v>(n): thìa</v>
      </c>
      <c r="G3649" s="8" t="s">
        <v>50461</v>
      </c>
      <c r="H3649" s="8" t="s">
        <v>50462</v>
      </c>
      <c r="I3649" s="7">
        <f t="shared" si="3"/>
        <v>0.5145288695</v>
      </c>
    </row>
    <row r="3650">
      <c r="A3650" s="4">
        <v>3650.0</v>
      </c>
      <c r="B3650" s="3" t="s">
        <v>50463</v>
      </c>
      <c r="C3650" s="6" t="s">
        <v>24</v>
      </c>
      <c r="D3650" s="6" t="s">
        <v>34545</v>
      </c>
      <c r="E3650" s="3" t="str">
        <f t="shared" si="1"/>
        <v>scratch&lt;br&gt;&lt;div class="audio"&gt;[sound:scratch.mp3]&lt;/div&gt;</v>
      </c>
      <c r="F3650" s="3" t="str">
        <f t="shared" si="2"/>
        <v>(v): cào</v>
      </c>
      <c r="G3650" s="6" t="s">
        <v>50464</v>
      </c>
      <c r="H3650" s="6" t="s">
        <v>50465</v>
      </c>
      <c r="I3650" s="7">
        <f t="shared" si="3"/>
        <v>0.5753914186</v>
      </c>
    </row>
    <row r="3651">
      <c r="A3651" s="4">
        <v>3651.0</v>
      </c>
      <c r="B3651" s="3" t="s">
        <v>50466</v>
      </c>
      <c r="C3651" s="6" t="s">
        <v>24</v>
      </c>
      <c r="D3651" s="6" t="s">
        <v>50467</v>
      </c>
      <c r="E3651" s="3" t="str">
        <f t="shared" si="1"/>
        <v>lean&lt;br&gt;&lt;div class="audio"&gt;[sound:lean.mp3]&lt;/div&gt;</v>
      </c>
      <c r="F3651" s="3" t="str">
        <f t="shared" si="2"/>
        <v>(v): tựa</v>
      </c>
      <c r="G3651" s="6" t="s">
        <v>50468</v>
      </c>
      <c r="H3651" s="6" t="s">
        <v>50469</v>
      </c>
      <c r="I3651" s="7">
        <f t="shared" si="3"/>
        <v>0.7070535573</v>
      </c>
    </row>
    <row r="3652">
      <c r="A3652" s="4">
        <v>3652.0</v>
      </c>
      <c r="B3652" s="3" t="s">
        <v>50470</v>
      </c>
      <c r="C3652" s="6" t="s">
        <v>24</v>
      </c>
      <c r="D3652" s="6" t="s">
        <v>50471</v>
      </c>
      <c r="E3652" s="3" t="str">
        <f t="shared" si="1"/>
        <v>filter&lt;br&gt;&lt;div class="audio"&gt;[sound:filter.mp3]&lt;/div&gt;</v>
      </c>
      <c r="F3652" s="3" t="str">
        <f t="shared" si="2"/>
        <v>(v): lọc</v>
      </c>
      <c r="G3652" s="6" t="s">
        <v>50472</v>
      </c>
      <c r="H3652" s="6" t="s">
        <v>50473</v>
      </c>
      <c r="I3652" s="7">
        <f t="shared" si="3"/>
        <v>0.4803453883</v>
      </c>
    </row>
    <row r="3653">
      <c r="A3653" s="4">
        <v>3653.0</v>
      </c>
      <c r="B3653" s="3" t="s">
        <v>50474</v>
      </c>
      <c r="C3653" s="6" t="s">
        <v>24</v>
      </c>
      <c r="D3653" s="6" t="s">
        <v>32855</v>
      </c>
      <c r="E3653" s="3" t="str">
        <f t="shared" si="1"/>
        <v>punch&lt;br&gt;&lt;div class="audio"&gt;[sound:punch.mp3]&lt;/div&gt;</v>
      </c>
      <c r="F3653" s="3" t="str">
        <f t="shared" si="2"/>
        <v>(v): đấm</v>
      </c>
      <c r="G3653" s="6" t="s">
        <v>50475</v>
      </c>
      <c r="H3653" s="6" t="s">
        <v>50476</v>
      </c>
      <c r="I3653" s="7">
        <f t="shared" si="3"/>
        <v>0.7552545565</v>
      </c>
    </row>
    <row r="3654">
      <c r="A3654" s="4">
        <v>3654.0</v>
      </c>
      <c r="B3654" s="3" t="s">
        <v>50477</v>
      </c>
      <c r="C3654" s="6" t="s">
        <v>24</v>
      </c>
      <c r="D3654" s="8" t="s">
        <v>50478</v>
      </c>
      <c r="E3654" s="3" t="str">
        <f t="shared" si="1"/>
        <v>slap&lt;br&gt;&lt;div class="audio"&gt;[sound:slap.mp3]&lt;/div&gt;</v>
      </c>
      <c r="F3654" s="3" t="str">
        <f t="shared" si="2"/>
        <v>(v): tát</v>
      </c>
      <c r="G3654" s="8" t="s">
        <v>50479</v>
      </c>
      <c r="H3654" s="8" t="s">
        <v>50480</v>
      </c>
      <c r="I3654" s="7">
        <f t="shared" si="3"/>
        <v>0.4450082701</v>
      </c>
    </row>
    <row r="3655">
      <c r="A3655" s="4">
        <v>3655.0</v>
      </c>
      <c r="B3655" s="3" t="s">
        <v>50481</v>
      </c>
      <c r="C3655" s="6" t="s">
        <v>74</v>
      </c>
      <c r="D3655" s="6" t="s">
        <v>285</v>
      </c>
      <c r="E3655" s="3" t="str">
        <f t="shared" si="1"/>
        <v>mate&lt;br&gt;&lt;div class="audio"&gt;[sound:mate.mp3]&lt;/div&gt;</v>
      </c>
      <c r="F3655" s="3" t="str">
        <f t="shared" si="2"/>
        <v>(n): bạn</v>
      </c>
      <c r="G3655" s="6" t="s">
        <v>50482</v>
      </c>
      <c r="H3655" s="6" t="s">
        <v>49860</v>
      </c>
      <c r="I3655" s="7">
        <f t="shared" si="3"/>
        <v>0.3794090585</v>
      </c>
    </row>
    <row r="3656">
      <c r="A3656" s="4">
        <v>3656.0</v>
      </c>
      <c r="B3656" s="3" t="s">
        <v>50483</v>
      </c>
      <c r="C3656" s="6" t="s">
        <v>24</v>
      </c>
      <c r="D3656" s="8" t="s">
        <v>50484</v>
      </c>
      <c r="E3656" s="3" t="str">
        <f t="shared" si="1"/>
        <v>shave&lt;br&gt;&lt;div class="audio"&gt;[sound:shave.mp3]&lt;/div&gt;</v>
      </c>
      <c r="F3656" s="3" t="str">
        <f t="shared" si="2"/>
        <v>(v): cạo</v>
      </c>
      <c r="G3656" s="8" t="s">
        <v>50485</v>
      </c>
      <c r="H3656" s="8" t="s">
        <v>50486</v>
      </c>
      <c r="I3656" s="7">
        <f t="shared" si="3"/>
        <v>0.2021119577</v>
      </c>
    </row>
    <row r="3657">
      <c r="A3657" s="4">
        <v>3657.0</v>
      </c>
      <c r="B3657" s="3" t="s">
        <v>50487</v>
      </c>
      <c r="C3657" s="6" t="s">
        <v>74</v>
      </c>
      <c r="D3657" s="8" t="s">
        <v>26272</v>
      </c>
      <c r="E3657" s="3" t="str">
        <f t="shared" si="1"/>
        <v>sock&lt;br&gt;&lt;div class="audio"&gt;[sound:sock.mp3]&lt;/div&gt;</v>
      </c>
      <c r="F3657" s="3" t="str">
        <f t="shared" si="2"/>
        <v>(n): tất</v>
      </c>
      <c r="G3657" s="8" t="s">
        <v>50488</v>
      </c>
      <c r="H3657" s="8" t="s">
        <v>50489</v>
      </c>
      <c r="I3657" s="7">
        <f t="shared" si="3"/>
        <v>0.3816948414</v>
      </c>
    </row>
    <row r="3658">
      <c r="A3658" s="4">
        <v>3658.0</v>
      </c>
      <c r="B3658" s="3" t="s">
        <v>50490</v>
      </c>
      <c r="C3658" s="6" t="s">
        <v>11</v>
      </c>
      <c r="D3658" s="6" t="s">
        <v>484</v>
      </c>
      <c r="E3658" s="3" t="str">
        <f t="shared" si="1"/>
        <v>minor&lt;br&gt;&lt;div class="audio"&gt;[sound:minor.mp3]&lt;/div&gt;</v>
      </c>
      <c r="F3658" s="3" t="str">
        <f t="shared" si="2"/>
        <v>(adj): nhỏ</v>
      </c>
      <c r="G3658" s="6" t="s">
        <v>50491</v>
      </c>
      <c r="H3658" s="6" t="s">
        <v>50492</v>
      </c>
      <c r="I3658" s="7">
        <f t="shared" si="3"/>
        <v>0.4964633429</v>
      </c>
    </row>
    <row r="3659">
      <c r="A3659" s="4">
        <v>3659.0</v>
      </c>
      <c r="B3659" s="3" t="s">
        <v>50493</v>
      </c>
      <c r="C3659" s="6" t="s">
        <v>11</v>
      </c>
      <c r="D3659" s="8" t="s">
        <v>12174</v>
      </c>
      <c r="E3659" s="3" t="str">
        <f t="shared" si="1"/>
        <v>sore&lt;br&gt;&lt;div class="audio"&gt;[sound:sore.mp3]&lt;/div&gt;</v>
      </c>
      <c r="F3659" s="3" t="str">
        <f t="shared" si="2"/>
        <v>(adj): đau</v>
      </c>
      <c r="G3659" s="8" t="s">
        <v>50494</v>
      </c>
      <c r="H3659" s="8" t="s">
        <v>50495</v>
      </c>
      <c r="I3659" s="7">
        <f t="shared" si="3"/>
        <v>0.3612172405</v>
      </c>
    </row>
    <row r="3660">
      <c r="A3660" s="4">
        <v>3660.0</v>
      </c>
      <c r="B3660" s="3" t="s">
        <v>50496</v>
      </c>
      <c r="C3660" s="6" t="s">
        <v>24</v>
      </c>
      <c r="D3660" s="6" t="s">
        <v>8116</v>
      </c>
      <c r="E3660" s="3" t="str">
        <f t="shared" si="1"/>
        <v>fold&lt;br&gt;&lt;div class="audio"&gt;[sound:fold.mp3]&lt;/div&gt;</v>
      </c>
      <c r="F3660" s="3" t="str">
        <f t="shared" si="2"/>
        <v>(v): gấp</v>
      </c>
      <c r="G3660" s="6" t="s">
        <v>50497</v>
      </c>
      <c r="H3660" s="6" t="s">
        <v>50498</v>
      </c>
      <c r="I3660" s="7">
        <f t="shared" si="3"/>
        <v>0.3640080208</v>
      </c>
    </row>
    <row r="3661">
      <c r="A3661" s="4">
        <v>3661.0</v>
      </c>
      <c r="B3661" s="3" t="s">
        <v>50499</v>
      </c>
      <c r="C3661" s="6" t="s">
        <v>24</v>
      </c>
      <c r="D3661" s="6" t="s">
        <v>24266</v>
      </c>
      <c r="E3661" s="3" t="str">
        <f t="shared" si="1"/>
        <v>pour&lt;br&gt;&lt;div class="audio"&gt;[sound:pour.mp3]&lt;/div&gt;</v>
      </c>
      <c r="F3661" s="3" t="str">
        <f t="shared" si="2"/>
        <v>(v): rót</v>
      </c>
      <c r="G3661" s="6" t="s">
        <v>50500</v>
      </c>
      <c r="H3661" s="6" t="s">
        <v>50501</v>
      </c>
      <c r="I3661" s="7">
        <f t="shared" si="3"/>
        <v>0.3230036958</v>
      </c>
    </row>
    <row r="3662">
      <c r="A3662" s="4">
        <v>3662.0</v>
      </c>
      <c r="B3662" s="3" t="s">
        <v>50502</v>
      </c>
      <c r="C3662" s="6" t="s">
        <v>24</v>
      </c>
      <c r="D3662" s="6" t="s">
        <v>35986</v>
      </c>
      <c r="E3662" s="3" t="str">
        <f t="shared" si="1"/>
        <v>rub&lt;br&gt;&lt;div class="audio"&gt;[sound:rub.mp3]&lt;/div&gt;</v>
      </c>
      <c r="F3662" s="3" t="str">
        <f t="shared" si="2"/>
        <v>(v): xoa</v>
      </c>
      <c r="G3662" s="6" t="s">
        <v>50503</v>
      </c>
      <c r="H3662" s="6" t="s">
        <v>50504</v>
      </c>
      <c r="I3662" s="7">
        <f t="shared" si="3"/>
        <v>0.05389003221</v>
      </c>
    </row>
    <row r="3663">
      <c r="A3663" s="4">
        <v>3663.0</v>
      </c>
      <c r="B3663" s="3" t="s">
        <v>50505</v>
      </c>
      <c r="C3663" s="6" t="s">
        <v>74</v>
      </c>
      <c r="D3663" s="6" t="s">
        <v>6616</v>
      </c>
      <c r="E3663" s="3" t="str">
        <f t="shared" si="1"/>
        <v>rubbish&lt;br&gt;&lt;div class="audio"&gt;[sound:rubbish.mp3]&lt;/div&gt;</v>
      </c>
      <c r="F3663" s="3" t="str">
        <f t="shared" si="2"/>
        <v>(n): rác</v>
      </c>
      <c r="G3663" s="6" t="s">
        <v>50506</v>
      </c>
      <c r="H3663" s="6" t="s">
        <v>50507</v>
      </c>
      <c r="I3663" s="7">
        <f t="shared" si="3"/>
        <v>0.840481123</v>
      </c>
    </row>
    <row r="3664">
      <c r="A3664" s="4">
        <v>3664.0</v>
      </c>
      <c r="B3664" s="3" t="s">
        <v>50508</v>
      </c>
      <c r="C3664" s="6" t="s">
        <v>74</v>
      </c>
      <c r="D3664" s="8" t="s">
        <v>29578</v>
      </c>
      <c r="E3664" s="3" t="str">
        <f t="shared" si="1"/>
        <v>stamp&lt;br&gt;&lt;div class="audio"&gt;[sound:stamp.mp3]&lt;/div&gt;</v>
      </c>
      <c r="F3664" s="3" t="str">
        <f t="shared" si="2"/>
        <v>(n): tem</v>
      </c>
      <c r="G3664" s="8" t="s">
        <v>50509</v>
      </c>
      <c r="H3664" s="8" t="s">
        <v>50510</v>
      </c>
      <c r="I3664" s="7">
        <f t="shared" si="3"/>
        <v>0.7000917681</v>
      </c>
    </row>
    <row r="3665">
      <c r="A3665" s="4">
        <v>3665.0</v>
      </c>
      <c r="B3665" s="3" t="s">
        <v>50511</v>
      </c>
      <c r="C3665" s="6" t="s">
        <v>24</v>
      </c>
      <c r="D3665" s="6" t="s">
        <v>7463</v>
      </c>
      <c r="E3665" s="3" t="str">
        <f t="shared" si="1"/>
        <v>scream&lt;br&gt;&lt;div class="audio"&gt;[sound:scream.mp3]&lt;/div&gt;</v>
      </c>
      <c r="F3665" s="3" t="str">
        <f t="shared" si="2"/>
        <v>(v): hét</v>
      </c>
      <c r="G3665" s="6" t="s">
        <v>50512</v>
      </c>
      <c r="H3665" s="6" t="s">
        <v>50513</v>
      </c>
      <c r="I3665" s="7">
        <f t="shared" si="3"/>
        <v>0.3173522491</v>
      </c>
    </row>
    <row r="3666">
      <c r="A3666" s="4">
        <v>3666.0</v>
      </c>
      <c r="B3666" s="3" t="s">
        <v>50514</v>
      </c>
      <c r="C3666" s="6" t="s">
        <v>24</v>
      </c>
      <c r="D3666" s="6" t="s">
        <v>5273</v>
      </c>
      <c r="E3666" s="3" t="str">
        <f t="shared" si="1"/>
        <v>prohibit&lt;br&gt;&lt;div class="audio"&gt;[sound:prohibit.mp3]&lt;/div&gt;</v>
      </c>
      <c r="F3666" s="3" t="str">
        <f t="shared" si="2"/>
        <v>(v): cấm</v>
      </c>
      <c r="G3666" s="6" t="s">
        <v>50515</v>
      </c>
      <c r="H3666" s="6" t="s">
        <v>50516</v>
      </c>
      <c r="I3666" s="7">
        <f t="shared" si="3"/>
        <v>0.1109142997</v>
      </c>
    </row>
    <row r="3667">
      <c r="A3667" s="4">
        <v>3667.0</v>
      </c>
      <c r="B3667" s="3" t="s">
        <v>50517</v>
      </c>
      <c r="C3667" s="6" t="s">
        <v>24</v>
      </c>
      <c r="D3667" s="8" t="s">
        <v>50518</v>
      </c>
      <c r="E3667" s="3" t="str">
        <f t="shared" si="1"/>
        <v>steer&lt;br&gt;&lt;div class="audio"&gt;[sound:steer.mp3]&lt;/div&gt;</v>
      </c>
      <c r="F3667" s="3" t="str">
        <f t="shared" si="2"/>
        <v>(v): lái</v>
      </c>
      <c r="G3667" s="8" t="s">
        <v>50519</v>
      </c>
      <c r="H3667" s="8" t="s">
        <v>50520</v>
      </c>
      <c r="I3667" s="7">
        <f t="shared" si="3"/>
        <v>0.2634291412</v>
      </c>
    </row>
    <row r="3668">
      <c r="A3668" s="4">
        <v>3668.0</v>
      </c>
      <c r="B3668" s="3" t="s">
        <v>50521</v>
      </c>
      <c r="C3668" s="6" t="s">
        <v>74</v>
      </c>
      <c r="D3668" s="8" t="s">
        <v>50522</v>
      </c>
      <c r="E3668" s="3" t="str">
        <f t="shared" si="1"/>
        <v>slice&lt;br&gt;&lt;div class="audio"&gt;[sound:slice.mp3]&lt;/div&gt;</v>
      </c>
      <c r="F3668" s="3" t="str">
        <f t="shared" si="2"/>
        <v>(n): lát</v>
      </c>
      <c r="G3668" s="8" t="s">
        <v>50523</v>
      </c>
      <c r="H3668" s="8" t="s">
        <v>50524</v>
      </c>
      <c r="I3668" s="7">
        <f t="shared" si="3"/>
        <v>0.4725566255</v>
      </c>
    </row>
    <row r="3669">
      <c r="A3669" s="4">
        <v>3669.0</v>
      </c>
      <c r="B3669" s="3" t="s">
        <v>50525</v>
      </c>
      <c r="C3669" s="6" t="s">
        <v>24</v>
      </c>
      <c r="D3669" s="6" t="s">
        <v>20432</v>
      </c>
      <c r="E3669" s="3" t="str">
        <f t="shared" si="1"/>
        <v>bounce&lt;br&gt;&lt;div class="audio"&gt;[sound:bounce.mp3]&lt;/div&gt;</v>
      </c>
      <c r="F3669" s="3" t="str">
        <f t="shared" si="2"/>
        <v>(v): nảy</v>
      </c>
      <c r="G3669" s="6" t="s">
        <v>50526</v>
      </c>
      <c r="H3669" s="6" t="s">
        <v>50527</v>
      </c>
      <c r="I3669" s="7">
        <f t="shared" si="3"/>
        <v>0.1125563216</v>
      </c>
    </row>
    <row r="3670">
      <c r="A3670" s="4">
        <v>3670.0</v>
      </c>
      <c r="B3670" s="3" t="s">
        <v>50528</v>
      </c>
      <c r="C3670" s="6" t="s">
        <v>24</v>
      </c>
      <c r="D3670" s="6" t="s">
        <v>50529</v>
      </c>
      <c r="E3670" s="3" t="str">
        <f t="shared" si="1"/>
        <v>bite&lt;br&gt;&lt;div class="audio"&gt;[sound:bite.mp3]&lt;/div&gt;</v>
      </c>
      <c r="F3670" s="3" t="str">
        <f t="shared" si="2"/>
        <v>(v): cắn</v>
      </c>
      <c r="G3670" s="6" t="s">
        <v>50530</v>
      </c>
      <c r="H3670" s="6" t="s">
        <v>50531</v>
      </c>
      <c r="I3670" s="7">
        <f t="shared" si="3"/>
        <v>0.9403781327</v>
      </c>
    </row>
    <row r="3671">
      <c r="A3671" s="4">
        <v>3671.0</v>
      </c>
      <c r="B3671" s="3" t="s">
        <v>50532</v>
      </c>
      <c r="C3671" s="6" t="s">
        <v>74</v>
      </c>
      <c r="D3671" s="6" t="s">
        <v>24891</v>
      </c>
      <c r="E3671" s="3" t="str">
        <f t="shared" si="1"/>
        <v>ink&lt;br&gt;&lt;div class="audio"&gt;[sound:ink.mp3]&lt;/div&gt;</v>
      </c>
      <c r="F3671" s="3" t="str">
        <f t="shared" si="2"/>
        <v>(n): mực</v>
      </c>
      <c r="G3671" s="6" t="s">
        <v>50533</v>
      </c>
      <c r="H3671" s="6" t="s">
        <v>50534</v>
      </c>
      <c r="I3671" s="7">
        <f t="shared" si="3"/>
        <v>0.6850855079</v>
      </c>
    </row>
    <row r="3672">
      <c r="A3672" s="4">
        <v>3672.0</v>
      </c>
      <c r="B3672" s="3" t="s">
        <v>50535</v>
      </c>
      <c r="C3672" s="6" t="s">
        <v>74</v>
      </c>
      <c r="D3672" s="8" t="s">
        <v>50536</v>
      </c>
      <c r="E3672" s="3" t="str">
        <f t="shared" si="1"/>
        <v>snake&lt;br&gt;&lt;div class="audio"&gt;[sound:snake.mp3]&lt;/div&gt;</v>
      </c>
      <c r="F3672" s="3" t="str">
        <f t="shared" si="2"/>
        <v>(n): rắn</v>
      </c>
      <c r="G3672" s="8" t="s">
        <v>50537</v>
      </c>
      <c r="H3672" s="8" t="s">
        <v>50538</v>
      </c>
      <c r="I3672" s="7">
        <f t="shared" si="3"/>
        <v>0.6792163189</v>
      </c>
    </row>
    <row r="3673">
      <c r="A3673" s="4">
        <v>3673.0</v>
      </c>
      <c r="B3673" s="3" t="s">
        <v>50539</v>
      </c>
      <c r="C3673" s="6" t="s">
        <v>74</v>
      </c>
      <c r="D3673" s="8" t="s">
        <v>12168</v>
      </c>
      <c r="E3673" s="3" t="str">
        <f t="shared" si="1"/>
        <v>soup&lt;br&gt;&lt;div class="audio"&gt;[sound:soup.mp3]&lt;/div&gt;</v>
      </c>
      <c r="F3673" s="3" t="str">
        <f t="shared" si="2"/>
        <v>(n): súp</v>
      </c>
      <c r="G3673" s="8" t="s">
        <v>50540</v>
      </c>
      <c r="H3673" s="8" t="s">
        <v>50541</v>
      </c>
      <c r="I3673" s="7">
        <f t="shared" si="3"/>
        <v>0.8513933967</v>
      </c>
    </row>
    <row r="3674">
      <c r="A3674" s="4">
        <v>3674.0</v>
      </c>
      <c r="B3674" s="3" t="s">
        <v>50542</v>
      </c>
      <c r="C3674" s="6" t="s">
        <v>24</v>
      </c>
      <c r="D3674" s="6" t="s">
        <v>5273</v>
      </c>
      <c r="E3674" s="3" t="str">
        <f t="shared" si="1"/>
        <v>ban&lt;br&gt;&lt;div class="audio"&gt;[sound:ban.mp3]&lt;/div&gt;</v>
      </c>
      <c r="F3674" s="3" t="str">
        <f t="shared" si="2"/>
        <v>(v): cấm</v>
      </c>
      <c r="G3674" s="6" t="s">
        <v>50543</v>
      </c>
      <c r="H3674" s="6" t="s">
        <v>50544</v>
      </c>
      <c r="I3674" s="7">
        <f t="shared" si="3"/>
        <v>0.9016386553</v>
      </c>
    </row>
    <row r="3675">
      <c r="A3675" s="4">
        <v>3675.0</v>
      </c>
      <c r="B3675" s="3" t="s">
        <v>50545</v>
      </c>
      <c r="C3675" s="6" t="s">
        <v>11</v>
      </c>
      <c r="D3675" s="6" t="s">
        <v>50546</v>
      </c>
      <c r="E3675" s="3" t="str">
        <f t="shared" si="1"/>
        <v>fake&lt;br&gt;&lt;div class="audio"&gt;[sound:fake.mp3]&lt;/div&gt;</v>
      </c>
      <c r="F3675" s="3" t="str">
        <f t="shared" si="2"/>
        <v>(adj): giả</v>
      </c>
      <c r="G3675" s="6" t="s">
        <v>50547</v>
      </c>
      <c r="H3675" s="6" t="s">
        <v>50548</v>
      </c>
      <c r="I3675" s="7">
        <f t="shared" si="3"/>
        <v>0.6587323136</v>
      </c>
    </row>
    <row r="3676">
      <c r="A3676" s="4">
        <v>3676.0</v>
      </c>
      <c r="B3676" s="3" t="s">
        <v>50549</v>
      </c>
      <c r="C3676" s="6" t="s">
        <v>11</v>
      </c>
      <c r="D3676" s="6" t="s">
        <v>37499</v>
      </c>
      <c r="E3676" s="3" t="str">
        <f t="shared" si="1"/>
        <v>raw&lt;br&gt;&lt;div class="audio"&gt;[sound:raw.mp3]&lt;/div&gt;</v>
      </c>
      <c r="F3676" s="3" t="str">
        <f t="shared" si="2"/>
        <v>(adj): thô</v>
      </c>
      <c r="G3676" s="6" t="s">
        <v>50550</v>
      </c>
      <c r="H3676" s="6" t="s">
        <v>50551</v>
      </c>
      <c r="I3676" s="7">
        <f t="shared" si="3"/>
        <v>0.4076165016</v>
      </c>
    </row>
    <row r="3677">
      <c r="A3677" s="4">
        <v>3677.0</v>
      </c>
      <c r="B3677" s="3" t="s">
        <v>50552</v>
      </c>
      <c r="C3677" s="6" t="s">
        <v>24</v>
      </c>
      <c r="D3677" s="6" t="s">
        <v>50553</v>
      </c>
      <c r="E3677" s="3" t="str">
        <f t="shared" si="1"/>
        <v>withdraw&lt;br&gt;&lt;div class="audio"&gt;[sound:withdraw.mp3]&lt;/div&gt;</v>
      </c>
      <c r="F3677" s="3" t="str">
        <f t="shared" si="2"/>
        <v>(v): rút</v>
      </c>
      <c r="G3677" s="6" t="s">
        <v>50554</v>
      </c>
      <c r="H3677" s="6" t="s">
        <v>50555</v>
      </c>
      <c r="I3677" s="7">
        <f t="shared" si="3"/>
        <v>0.2164687757</v>
      </c>
    </row>
    <row r="3678">
      <c r="A3678" s="4">
        <v>3678.0</v>
      </c>
      <c r="B3678" s="3" t="s">
        <v>50556</v>
      </c>
      <c r="C3678" s="6" t="s">
        <v>24</v>
      </c>
      <c r="D3678" s="6" t="s">
        <v>21789</v>
      </c>
      <c r="E3678" s="3" t="str">
        <f t="shared" si="1"/>
        <v>wrap&lt;br&gt;&lt;div class="audio"&gt;[sound:wrap.mp3]&lt;/div&gt;</v>
      </c>
      <c r="F3678" s="3" t="str">
        <f t="shared" si="2"/>
        <v>(v): gói</v>
      </c>
      <c r="G3678" s="6" t="s">
        <v>50557</v>
      </c>
      <c r="H3678" s="6" t="s">
        <v>50558</v>
      </c>
      <c r="I3678" s="7">
        <f t="shared" si="3"/>
        <v>0.446327636</v>
      </c>
    </row>
    <row r="3679">
      <c r="A3679" s="4">
        <v>3679.0</v>
      </c>
      <c r="B3679" s="3" t="s">
        <v>50559</v>
      </c>
      <c r="C3679" s="6" t="s">
        <v>74</v>
      </c>
      <c r="D3679" s="6" t="s">
        <v>50560</v>
      </c>
      <c r="E3679" s="3" t="str">
        <f t="shared" si="1"/>
        <v>muscle&lt;br&gt;&lt;div class="audio"&gt;[sound:muscle.mp3]&lt;/div&gt;</v>
      </c>
      <c r="F3679" s="3" t="str">
        <f t="shared" si="2"/>
        <v>(n): cơ</v>
      </c>
      <c r="G3679" s="6" t="s">
        <v>50561</v>
      </c>
      <c r="H3679" s="6" t="s">
        <v>50562</v>
      </c>
      <c r="I3679" s="7">
        <f t="shared" si="3"/>
        <v>0.02281450572</v>
      </c>
    </row>
    <row r="3680">
      <c r="A3680" s="4">
        <v>3680.0</v>
      </c>
      <c r="B3680" s="3" t="s">
        <v>50563</v>
      </c>
      <c r="C3680" s="6" t="s">
        <v>11</v>
      </c>
      <c r="D3680" s="6" t="s">
        <v>228</v>
      </c>
      <c r="E3680" s="3" t="str">
        <f t="shared" si="1"/>
        <v>loud&lt;br&gt;&lt;div class="audio"&gt;[sound:loud.mp3]&lt;/div&gt;</v>
      </c>
      <c r="F3680" s="3" t="str">
        <f t="shared" si="2"/>
        <v>(adj): to</v>
      </c>
      <c r="G3680" s="6" t="s">
        <v>50564</v>
      </c>
      <c r="H3680" s="6" t="s">
        <v>50565</v>
      </c>
      <c r="I3680" s="7">
        <f t="shared" si="3"/>
        <v>0.8742554109</v>
      </c>
    </row>
    <row r="3681">
      <c r="A3681" s="4">
        <v>3681.0</v>
      </c>
      <c r="B3681" s="3" t="s">
        <v>50566</v>
      </c>
      <c r="C3681" s="6" t="s">
        <v>74</v>
      </c>
      <c r="D3681" s="6" t="s">
        <v>50567</v>
      </c>
      <c r="E3681" s="3" t="str">
        <f t="shared" si="1"/>
        <v>aunt&lt;br&gt;&lt;div class="audio"&gt;[sound:aunt.mp3]&lt;/div&gt;</v>
      </c>
      <c r="F3681" s="3" t="str">
        <f t="shared" si="2"/>
        <v>(n): dì</v>
      </c>
      <c r="G3681" s="6" t="s">
        <v>50568</v>
      </c>
      <c r="H3681" s="6" t="s">
        <v>50569</v>
      </c>
      <c r="I3681" s="7">
        <f t="shared" si="3"/>
        <v>0.390935762</v>
      </c>
    </row>
    <row r="3682">
      <c r="A3682" s="4">
        <v>3682.0</v>
      </c>
      <c r="B3682" s="3" t="s">
        <v>50570</v>
      </c>
      <c r="C3682" s="6" t="s">
        <v>24</v>
      </c>
      <c r="D3682" s="6" t="s">
        <v>50571</v>
      </c>
      <c r="E3682" s="3" t="str">
        <f t="shared" si="1"/>
        <v>pop&lt;br&gt;&lt;div class="audio"&gt;[sound:pop.mp3]&lt;/div&gt;</v>
      </c>
      <c r="F3682" s="3" t="str">
        <f t="shared" si="2"/>
        <v>(v): nổ</v>
      </c>
      <c r="G3682" s="6" t="s">
        <v>50572</v>
      </c>
      <c r="H3682" s="6" t="s">
        <v>50573</v>
      </c>
      <c r="I3682" s="7">
        <f t="shared" si="3"/>
        <v>0.3752146505</v>
      </c>
    </row>
    <row r="3683">
      <c r="A3683" s="4">
        <v>3683.0</v>
      </c>
      <c r="B3683" s="3" t="s">
        <v>50574</v>
      </c>
      <c r="C3683" s="6" t="s">
        <v>24</v>
      </c>
      <c r="D3683" s="6" t="s">
        <v>6551</v>
      </c>
      <c r="E3683" s="3" t="str">
        <f t="shared" si="1"/>
        <v>embrace&lt;br&gt;&lt;div class="audio"&gt;[sound:embrace.mp3]&lt;/div&gt;</v>
      </c>
      <c r="F3683" s="3" t="str">
        <f t="shared" si="2"/>
        <v>(v): ôm</v>
      </c>
      <c r="G3683" s="6" t="s">
        <v>50575</v>
      </c>
      <c r="H3683" s="6" t="s">
        <v>50576</v>
      </c>
      <c r="I3683" s="7">
        <f t="shared" si="3"/>
        <v>0.8784090208</v>
      </c>
    </row>
    <row r="3684">
      <c r="A3684" s="4">
        <v>3684.0</v>
      </c>
      <c r="B3684" s="3" t="s">
        <v>50577</v>
      </c>
      <c r="C3684" s="6" t="s">
        <v>74</v>
      </c>
      <c r="D3684" s="6" t="s">
        <v>50578</v>
      </c>
      <c r="E3684" s="3" t="str">
        <f t="shared" si="1"/>
        <v>margin&lt;br&gt;&lt;div class="audio"&gt;[sound:margin.mp3]&lt;/div&gt;</v>
      </c>
      <c r="F3684" s="3" t="str">
        <f t="shared" si="2"/>
        <v>(n): lề</v>
      </c>
      <c r="G3684" s="6" t="s">
        <v>50579</v>
      </c>
      <c r="H3684" s="6" t="s">
        <v>50580</v>
      </c>
      <c r="I3684" s="7">
        <f t="shared" si="3"/>
        <v>0.3172793109</v>
      </c>
    </row>
    <row r="3685">
      <c r="A3685" s="4">
        <v>3685.0</v>
      </c>
      <c r="B3685" s="3" t="s">
        <v>50581</v>
      </c>
      <c r="C3685" s="6" t="s">
        <v>33</v>
      </c>
      <c r="D3685" s="6" t="s">
        <v>49</v>
      </c>
      <c r="E3685" s="3" t="str">
        <f t="shared" si="1"/>
        <v>yep&lt;br&gt;&lt;div class="audio"&gt;[sound:yep.mp3]&lt;/div&gt;</v>
      </c>
      <c r="F3685" s="3" t="str">
        <f t="shared" si="2"/>
        <v>(int): ừ</v>
      </c>
      <c r="G3685" s="6" t="s">
        <v>50582</v>
      </c>
      <c r="H3685" s="6" t="s">
        <v>50583</v>
      </c>
      <c r="I3685" s="7">
        <f t="shared" si="3"/>
        <v>0.5290701866</v>
      </c>
    </row>
    <row r="3686">
      <c r="A3686" s="4">
        <v>3686.0</v>
      </c>
      <c r="B3686" s="3" t="s">
        <v>50584</v>
      </c>
      <c r="C3686" s="6" t="s">
        <v>74</v>
      </c>
      <c r="D3686" s="6" t="s">
        <v>19064</v>
      </c>
      <c r="E3686" s="3" t="str">
        <f t="shared" si="1"/>
        <v>discount&lt;br&gt;&lt;div class="audio"&gt;[sound:discount.mp3]&lt;/div&gt;</v>
      </c>
      <c r="F3686" s="3" t="str">
        <f t="shared" si="2"/>
        <v>(n): sự giảm giá</v>
      </c>
      <c r="G3686" s="6" t="s">
        <v>50585</v>
      </c>
      <c r="H3686" s="6" t="s">
        <v>50586</v>
      </c>
      <c r="I3686" s="7">
        <f t="shared" si="3"/>
        <v>0.856824011</v>
      </c>
    </row>
    <row r="3687">
      <c r="A3687" s="4">
        <v>3687.0</v>
      </c>
      <c r="B3687" s="3" t="s">
        <v>50587</v>
      </c>
      <c r="C3687" s="6" t="s">
        <v>74</v>
      </c>
      <c r="D3687" s="6" t="s">
        <v>50588</v>
      </c>
      <c r="E3687" s="3" t="str">
        <f t="shared" si="1"/>
        <v>effectiveness&lt;br&gt;&lt;div class="audio"&gt;[sound:effectiveness.mp3]&lt;/div&gt;</v>
      </c>
      <c r="F3687" s="3" t="str">
        <f t="shared" si="2"/>
        <v>(n): sự hiệu quả</v>
      </c>
      <c r="G3687" s="6" t="s">
        <v>50589</v>
      </c>
      <c r="H3687" s="6" t="s">
        <v>50590</v>
      </c>
      <c r="I3687" s="7">
        <f t="shared" si="3"/>
        <v>0.6411997202</v>
      </c>
    </row>
    <row r="3688">
      <c r="A3688" s="4">
        <v>3688.0</v>
      </c>
      <c r="B3688" s="3" t="s">
        <v>50591</v>
      </c>
      <c r="C3688" s="6" t="s">
        <v>24</v>
      </c>
      <c r="D3688" s="6" t="s">
        <v>50592</v>
      </c>
      <c r="E3688" s="3" t="str">
        <f t="shared" si="1"/>
        <v>cope&lt;br&gt;&lt;div class="audio"&gt;[sound:cope.mp3]&lt;/div&gt;</v>
      </c>
      <c r="F3688" s="3" t="str">
        <f t="shared" si="2"/>
        <v>(v): đương đầu</v>
      </c>
      <c r="G3688" s="6" t="s">
        <v>50593</v>
      </c>
      <c r="H3688" s="6" t="s">
        <v>50594</v>
      </c>
      <c r="I3688" s="7">
        <f t="shared" si="3"/>
        <v>0.4471506204</v>
      </c>
    </row>
    <row r="3689">
      <c r="A3689" s="4">
        <v>3689.0</v>
      </c>
      <c r="B3689" s="3" t="s">
        <v>50595</v>
      </c>
      <c r="C3689" s="6" t="s">
        <v>74</v>
      </c>
      <c r="D3689" s="6" t="s">
        <v>29120</v>
      </c>
      <c r="E3689" s="3" t="str">
        <f t="shared" si="1"/>
        <v>detective&lt;br&gt;&lt;div class="audio"&gt;[sound:detective.mp3]&lt;/div&gt;</v>
      </c>
      <c r="F3689" s="3" t="str">
        <f t="shared" si="2"/>
        <v>(n): thám tử</v>
      </c>
      <c r="G3689" s="6" t="s">
        <v>50596</v>
      </c>
      <c r="H3689" s="6" t="s">
        <v>50597</v>
      </c>
      <c r="I3689" s="7">
        <f t="shared" si="3"/>
        <v>0.2246448794</v>
      </c>
    </row>
    <row r="3690">
      <c r="A3690" s="4">
        <v>3690.0</v>
      </c>
      <c r="B3690" s="3" t="s">
        <v>50598</v>
      </c>
      <c r="C3690" s="6" t="s">
        <v>11</v>
      </c>
      <c r="D3690" s="6" t="s">
        <v>7808</v>
      </c>
      <c r="E3690" s="3" t="str">
        <f t="shared" si="1"/>
        <v>diverse&lt;br&gt;&lt;div class="audio"&gt;[sound:diverse.mp3]&lt;/div&gt;</v>
      </c>
      <c r="F3690" s="3" t="str">
        <f t="shared" si="2"/>
        <v>(adj): đa dạng</v>
      </c>
      <c r="G3690" s="6" t="s">
        <v>50599</v>
      </c>
      <c r="H3690" s="6" t="s">
        <v>50600</v>
      </c>
      <c r="I3690" s="7">
        <f t="shared" si="3"/>
        <v>0.5827144808</v>
      </c>
    </row>
    <row r="3691">
      <c r="A3691" s="4">
        <v>3691.0</v>
      </c>
      <c r="B3691" s="3" t="s">
        <v>50601</v>
      </c>
      <c r="C3691" s="6" t="s">
        <v>85</v>
      </c>
      <c r="D3691" s="6" t="s">
        <v>50602</v>
      </c>
      <c r="E3691" s="3" t="str">
        <f t="shared" si="1"/>
        <v>dramatically&lt;br&gt;&lt;div class="audio"&gt;[sound:dramatically.mp3]&lt;/div&gt;</v>
      </c>
      <c r="F3691" s="3" t="str">
        <f t="shared" si="2"/>
        <v>(adv): một cách ấn tượng</v>
      </c>
      <c r="G3691" s="6" t="s">
        <v>50603</v>
      </c>
      <c r="H3691" s="6" t="s">
        <v>50604</v>
      </c>
      <c r="I3691" s="7">
        <f t="shared" si="3"/>
        <v>0.2989700207</v>
      </c>
    </row>
    <row r="3692">
      <c r="A3692" s="4">
        <v>3692.0</v>
      </c>
      <c r="B3692" s="3" t="s">
        <v>50605</v>
      </c>
      <c r="C3692" s="6" t="s">
        <v>11</v>
      </c>
      <c r="D3692" s="6" t="s">
        <v>50606</v>
      </c>
      <c r="E3692" s="3" t="str">
        <f t="shared" si="1"/>
        <v>disabled&lt;br&gt;&lt;div class="audio"&gt;[sound:disabled.mp3]&lt;/div&gt;</v>
      </c>
      <c r="F3692" s="3" t="str">
        <f t="shared" si="2"/>
        <v>(adj): bị khuyết tật</v>
      </c>
      <c r="G3692" s="6" t="s">
        <v>50607</v>
      </c>
      <c r="H3692" s="6" t="s">
        <v>50608</v>
      </c>
      <c r="I3692" s="7">
        <f t="shared" si="3"/>
        <v>0.6021702809</v>
      </c>
    </row>
    <row r="3693">
      <c r="A3693" s="4">
        <v>3693.0</v>
      </c>
      <c r="B3693" s="3" t="s">
        <v>50609</v>
      </c>
      <c r="C3693" s="6" t="s">
        <v>11</v>
      </c>
      <c r="D3693" s="6" t="s">
        <v>50610</v>
      </c>
      <c r="E3693" s="3" t="str">
        <f t="shared" si="1"/>
        <v>delighted&lt;br&gt;&lt;div class="audio"&gt;[sound:delighted.mp3]&lt;/div&gt;</v>
      </c>
      <c r="F3693" s="3" t="str">
        <f t="shared" si="2"/>
        <v>(adj): vui sướng</v>
      </c>
      <c r="G3693" s="6" t="s">
        <v>50611</v>
      </c>
      <c r="H3693" s="6" t="s">
        <v>50612</v>
      </c>
      <c r="I3693" s="7">
        <f t="shared" si="3"/>
        <v>0.4152447268</v>
      </c>
    </row>
    <row r="3694">
      <c r="A3694" s="4">
        <v>3694.0</v>
      </c>
      <c r="B3694" s="3" t="s">
        <v>50613</v>
      </c>
      <c r="C3694" s="6" t="s">
        <v>74</v>
      </c>
      <c r="D3694" s="6" t="s">
        <v>14070</v>
      </c>
      <c r="E3694" s="3" t="str">
        <f t="shared" si="1"/>
        <v>textbook&lt;br&gt;&lt;div class="audio"&gt;[sound:textbook.mp3]&lt;/div&gt;</v>
      </c>
      <c r="F3694" s="3" t="str">
        <f t="shared" si="2"/>
        <v>(n): sách giáo khoa</v>
      </c>
      <c r="G3694" s="6" t="s">
        <v>50614</v>
      </c>
      <c r="H3694" s="6" t="s">
        <v>50615</v>
      </c>
      <c r="I3694" s="7">
        <f t="shared" si="3"/>
        <v>0.7048373717</v>
      </c>
    </row>
    <row r="3695">
      <c r="A3695" s="4">
        <v>3695.0</v>
      </c>
      <c r="B3695" s="3" t="s">
        <v>50616</v>
      </c>
      <c r="C3695" s="6" t="s">
        <v>74</v>
      </c>
      <c r="D3695" s="6" t="s">
        <v>50617</v>
      </c>
      <c r="E3695" s="3" t="str">
        <f t="shared" si="1"/>
        <v>departure&lt;br&gt;&lt;div class="audio"&gt;[sound:departure.mp3]&lt;/div&gt;</v>
      </c>
      <c r="F3695" s="3" t="str">
        <f t="shared" si="2"/>
        <v>(n): sự khởi hành</v>
      </c>
      <c r="G3695" s="6" t="s">
        <v>50618</v>
      </c>
      <c r="H3695" s="6" t="s">
        <v>50619</v>
      </c>
      <c r="I3695" s="7">
        <f t="shared" si="3"/>
        <v>0.9089457072</v>
      </c>
    </row>
    <row r="3696">
      <c r="A3696" s="4">
        <v>3696.0</v>
      </c>
      <c r="B3696" s="3" t="s">
        <v>50620</v>
      </c>
      <c r="C3696" s="6" t="s">
        <v>24</v>
      </c>
      <c r="D3696" s="6" t="s">
        <v>2058</v>
      </c>
      <c r="E3696" s="3" t="str">
        <f t="shared" si="1"/>
        <v>convey&lt;br&gt;&lt;div class="audio"&gt;[sound:convey.mp3]&lt;/div&gt;</v>
      </c>
      <c r="F3696" s="3" t="str">
        <f t="shared" si="2"/>
        <v>(v): truyền đạt</v>
      </c>
      <c r="G3696" s="6" t="s">
        <v>50621</v>
      </c>
      <c r="H3696" s="6" t="s">
        <v>50622</v>
      </c>
      <c r="I3696" s="7">
        <f t="shared" si="3"/>
        <v>0.1043678183</v>
      </c>
    </row>
    <row r="3697">
      <c r="A3697" s="4">
        <v>3697.0</v>
      </c>
      <c r="B3697" s="3" t="s">
        <v>50623</v>
      </c>
      <c r="C3697" s="6" t="s">
        <v>24</v>
      </c>
      <c r="D3697" s="6" t="s">
        <v>5912</v>
      </c>
      <c r="E3697" s="3" t="str">
        <f t="shared" si="1"/>
        <v>tackle&lt;br&gt;&lt;div class="audio"&gt;[sound:tackle.mp3]&lt;/div&gt;</v>
      </c>
      <c r="F3697" s="3" t="str">
        <f t="shared" si="2"/>
        <v>(v): giải quyết</v>
      </c>
      <c r="G3697" s="6" t="s">
        <v>50624</v>
      </c>
      <c r="H3697" s="6" t="s">
        <v>50625</v>
      </c>
      <c r="I3697" s="7">
        <f t="shared" si="3"/>
        <v>0.2671087437</v>
      </c>
    </row>
    <row r="3698">
      <c r="A3698" s="4">
        <v>3698.0</v>
      </c>
      <c r="B3698" s="3" t="s">
        <v>50626</v>
      </c>
      <c r="C3698" s="6" t="s">
        <v>11</v>
      </c>
      <c r="D3698" s="6" t="s">
        <v>25537</v>
      </c>
      <c r="E3698" s="3" t="str">
        <f t="shared" si="1"/>
        <v>dynamic&lt;br&gt;&lt;div class="audio"&gt;[sound:dynamic.mp3]&lt;/div&gt;</v>
      </c>
      <c r="F3698" s="3" t="str">
        <f t="shared" si="2"/>
        <v>(adj): năng động</v>
      </c>
      <c r="G3698" s="6" t="s">
        <v>50627</v>
      </c>
      <c r="H3698" s="6" t="s">
        <v>50628</v>
      </c>
      <c r="I3698" s="7">
        <f t="shared" si="3"/>
        <v>0.8771478222</v>
      </c>
    </row>
    <row r="3699">
      <c r="A3699" s="4">
        <v>3699.0</v>
      </c>
      <c r="B3699" s="3" t="s">
        <v>50629</v>
      </c>
      <c r="C3699" s="6" t="s">
        <v>11</v>
      </c>
      <c r="D3699" s="6" t="s">
        <v>2032</v>
      </c>
      <c r="E3699" s="3" t="str">
        <f t="shared" si="1"/>
        <v>terrific&lt;br&gt;&lt;div class="audio"&gt;[sound:terrific.mp3]&lt;/div&gt;</v>
      </c>
      <c r="F3699" s="3" t="str">
        <f t="shared" si="2"/>
        <v>(adj): tuyệt vời</v>
      </c>
      <c r="G3699" s="6" t="s">
        <v>50630</v>
      </c>
      <c r="H3699" s="6" t="s">
        <v>41863</v>
      </c>
      <c r="I3699" s="7">
        <f t="shared" si="3"/>
        <v>0.928890213</v>
      </c>
    </row>
    <row r="3700">
      <c r="A3700" s="4">
        <v>3700.0</v>
      </c>
      <c r="B3700" s="3" t="s">
        <v>50631</v>
      </c>
      <c r="C3700" s="6" t="s">
        <v>74</v>
      </c>
      <c r="D3700" s="6" t="s">
        <v>50632</v>
      </c>
      <c r="E3700" s="3" t="str">
        <f t="shared" si="1"/>
        <v>trailer&lt;br&gt;&lt;div class="audio"&gt;[sound:trailer.mp3]&lt;/div&gt;</v>
      </c>
      <c r="F3700" s="3" t="str">
        <f t="shared" si="2"/>
        <v>(n): xe kéo</v>
      </c>
      <c r="G3700" s="6" t="s">
        <v>50633</v>
      </c>
      <c r="H3700" s="6" t="s">
        <v>50634</v>
      </c>
      <c r="I3700" s="7">
        <f t="shared" si="3"/>
        <v>0.5661562897</v>
      </c>
    </row>
    <row r="3701">
      <c r="A3701" s="4">
        <v>3701.0</v>
      </c>
      <c r="B3701" s="3" t="s">
        <v>50635</v>
      </c>
      <c r="C3701" s="6" t="s">
        <v>74</v>
      </c>
      <c r="D3701" s="6" t="s">
        <v>50636</v>
      </c>
      <c r="E3701" s="3" t="str">
        <f t="shared" si="1"/>
        <v>threshold&lt;br&gt;&lt;div class="audio"&gt;[sound:threshold.mp3]&lt;/div&gt;</v>
      </c>
      <c r="F3701" s="3" t="str">
        <f t="shared" si="2"/>
        <v>(n): ngưỡng</v>
      </c>
      <c r="G3701" s="6" t="s">
        <v>50637</v>
      </c>
      <c r="H3701" s="6" t="s">
        <v>50638</v>
      </c>
      <c r="I3701" s="7">
        <f t="shared" si="3"/>
        <v>0.8477806641</v>
      </c>
    </row>
    <row r="3702">
      <c r="A3702" s="4">
        <v>3702.0</v>
      </c>
      <c r="B3702" s="3" t="s">
        <v>50639</v>
      </c>
      <c r="C3702" s="6" t="s">
        <v>74</v>
      </c>
      <c r="D3702" s="6" t="s">
        <v>50640</v>
      </c>
      <c r="E3702" s="3" t="str">
        <f t="shared" si="1"/>
        <v>dancing&lt;br&gt;&lt;div class="audio"&gt;[sound:dancing.mp3]&lt;/div&gt;</v>
      </c>
      <c r="F3702" s="3" t="str">
        <f t="shared" si="2"/>
        <v>(n): việc nhảy múa</v>
      </c>
      <c r="G3702" s="6" t="s">
        <v>50641</v>
      </c>
      <c r="H3702" s="6" t="s">
        <v>50642</v>
      </c>
      <c r="I3702" s="7">
        <f t="shared" si="3"/>
        <v>0.806650444</v>
      </c>
    </row>
    <row r="3703">
      <c r="A3703" s="4">
        <v>3703.0</v>
      </c>
      <c r="B3703" s="3" t="s">
        <v>50643</v>
      </c>
      <c r="C3703" s="6" t="s">
        <v>11</v>
      </c>
      <c r="D3703" s="6" t="s">
        <v>10789</v>
      </c>
      <c r="E3703" s="3" t="str">
        <f t="shared" si="1"/>
        <v>distinct&lt;br&gt;&lt;div class="audio"&gt;[sound:distinct.mp3]&lt;/div&gt;</v>
      </c>
      <c r="F3703" s="3" t="str">
        <f t="shared" si="2"/>
        <v>(adj): khác biệt</v>
      </c>
      <c r="G3703" s="6" t="s">
        <v>50644</v>
      </c>
      <c r="H3703" s="6" t="s">
        <v>50645</v>
      </c>
      <c r="I3703" s="7">
        <f t="shared" si="3"/>
        <v>0.1916755935</v>
      </c>
    </row>
    <row r="3704">
      <c r="A3704" s="4">
        <v>3704.0</v>
      </c>
      <c r="B3704" s="3" t="s">
        <v>50646</v>
      </c>
      <c r="C3704" s="6" t="s">
        <v>74</v>
      </c>
      <c r="D3704" s="6" t="s">
        <v>23838</v>
      </c>
      <c r="E3704" s="3" t="str">
        <f t="shared" si="1"/>
        <v>devil&lt;br&gt;&lt;div class="audio"&gt;[sound:devil.mp3]&lt;/div&gt;</v>
      </c>
      <c r="F3704" s="3" t="str">
        <f t="shared" si="2"/>
        <v>(n): ác quỷ</v>
      </c>
      <c r="G3704" s="6" t="s">
        <v>50647</v>
      </c>
      <c r="H3704" s="6" t="s">
        <v>50648</v>
      </c>
      <c r="I3704" s="7">
        <f t="shared" si="3"/>
        <v>0.0592813026</v>
      </c>
    </row>
    <row r="3705">
      <c r="A3705" s="4">
        <v>3705.0</v>
      </c>
      <c r="B3705" s="3" t="s">
        <v>50649</v>
      </c>
      <c r="C3705" s="6" t="s">
        <v>74</v>
      </c>
      <c r="D3705" s="6" t="s">
        <v>50650</v>
      </c>
      <c r="E3705" s="3" t="str">
        <f t="shared" si="1"/>
        <v>corruption&lt;br&gt;&lt;div class="audio"&gt;[sound:corruption.mp3]&lt;/div&gt;</v>
      </c>
      <c r="F3705" s="3" t="str">
        <f t="shared" si="2"/>
        <v>(n): sự tham nhũng</v>
      </c>
      <c r="G3705" s="6" t="s">
        <v>50651</v>
      </c>
      <c r="H3705" s="6" t="s">
        <v>50652</v>
      </c>
      <c r="I3705" s="7">
        <f t="shared" si="3"/>
        <v>0.8127945144</v>
      </c>
    </row>
    <row r="3706">
      <c r="A3706" s="4">
        <v>3706.0</v>
      </c>
      <c r="B3706" s="3" t="s">
        <v>50653</v>
      </c>
      <c r="C3706" s="6" t="s">
        <v>74</v>
      </c>
      <c r="D3706" s="6" t="s">
        <v>50654</v>
      </c>
      <c r="E3706" s="3" t="str">
        <f t="shared" si="1"/>
        <v>deposit&lt;br&gt;&lt;div class="audio"&gt;[sound:deposit.mp3]&lt;/div&gt;</v>
      </c>
      <c r="F3706" s="3" t="str">
        <f t="shared" si="2"/>
        <v>(n): tiền đặt cọc</v>
      </c>
      <c r="G3706" s="6" t="s">
        <v>50655</v>
      </c>
      <c r="H3706" s="6" t="s">
        <v>50656</v>
      </c>
      <c r="I3706" s="7">
        <f t="shared" si="3"/>
        <v>0.2083196632</v>
      </c>
    </row>
    <row r="3707">
      <c r="A3707" s="4">
        <v>3707.0</v>
      </c>
      <c r="B3707" s="3" t="s">
        <v>50657</v>
      </c>
      <c r="C3707" s="6" t="s">
        <v>24</v>
      </c>
      <c r="D3707" s="6" t="s">
        <v>7850</v>
      </c>
      <c r="E3707" s="3" t="str">
        <f t="shared" si="1"/>
        <v>distinguish&lt;br&gt;&lt;div class="audio"&gt;[sound:distinguish.mp3]&lt;/div&gt;</v>
      </c>
      <c r="F3707" s="3" t="str">
        <f t="shared" si="2"/>
        <v>(v): phân biệt</v>
      </c>
      <c r="G3707" s="6" t="s">
        <v>50658</v>
      </c>
      <c r="H3707" s="6" t="s">
        <v>50659</v>
      </c>
      <c r="I3707" s="7">
        <f t="shared" si="3"/>
        <v>0.2051222001</v>
      </c>
    </row>
    <row r="3708">
      <c r="A3708" s="4">
        <v>3708.0</v>
      </c>
      <c r="B3708" s="3" t="s">
        <v>50660</v>
      </c>
      <c r="C3708" s="6" t="s">
        <v>74</v>
      </c>
      <c r="D3708" s="6" t="s">
        <v>50661</v>
      </c>
      <c r="E3708" s="3" t="str">
        <f t="shared" si="1"/>
        <v>dvd&lt;br&gt;&lt;div class="audio"&gt;[sound:dvd.mp3]&lt;/div&gt;</v>
      </c>
      <c r="F3708" s="3" t="str">
        <f t="shared" si="2"/>
        <v>(n): đĩa dvd</v>
      </c>
      <c r="G3708" s="6" t="s">
        <v>50662</v>
      </c>
      <c r="H3708" s="6" t="s">
        <v>50663</v>
      </c>
      <c r="I3708" s="7">
        <f t="shared" si="3"/>
        <v>0.1249765351</v>
      </c>
    </row>
    <row r="3709">
      <c r="A3709" s="4">
        <v>3709.0</v>
      </c>
      <c r="B3709" s="3" t="s">
        <v>50664</v>
      </c>
      <c r="C3709" s="6" t="s">
        <v>74</v>
      </c>
      <c r="D3709" s="6" t="s">
        <v>50665</v>
      </c>
      <c r="E3709" s="3" t="str">
        <f t="shared" si="1"/>
        <v>diamond&lt;br&gt;&lt;div class="audio"&gt;[sound:diamond.mp3]&lt;/div&gt;</v>
      </c>
      <c r="F3709" s="3" t="str">
        <f t="shared" si="2"/>
        <v>(n): kim cương</v>
      </c>
      <c r="G3709" s="6" t="s">
        <v>50666</v>
      </c>
      <c r="H3709" s="6" t="s">
        <v>50667</v>
      </c>
      <c r="I3709" s="7">
        <f t="shared" si="3"/>
        <v>0.9078177643</v>
      </c>
    </row>
    <row r="3710">
      <c r="A3710" s="4">
        <v>3710.0</v>
      </c>
      <c r="B3710" s="3" t="s">
        <v>50668</v>
      </c>
      <c r="C3710" s="6" t="s">
        <v>11</v>
      </c>
      <c r="D3710" s="6" t="s">
        <v>50669</v>
      </c>
      <c r="E3710" s="3" t="str">
        <f t="shared" si="1"/>
        <v>divorced&lt;br&gt;&lt;div class="audio"&gt;[sound:divorced.mp3]&lt;/div&gt;</v>
      </c>
      <c r="F3710" s="3" t="str">
        <f t="shared" si="2"/>
        <v>(adj): đã ly hôn</v>
      </c>
      <c r="G3710" s="6" t="s">
        <v>50670</v>
      </c>
      <c r="H3710" s="6" t="s">
        <v>50671</v>
      </c>
      <c r="I3710" s="7">
        <f t="shared" si="3"/>
        <v>0.953841761</v>
      </c>
    </row>
    <row r="3711">
      <c r="A3711" s="4">
        <v>3711.0</v>
      </c>
      <c r="B3711" s="3" t="s">
        <v>50672</v>
      </c>
      <c r="C3711" s="6" t="s">
        <v>74</v>
      </c>
      <c r="D3711" s="6" t="s">
        <v>19760</v>
      </c>
      <c r="E3711" s="3" t="str">
        <f t="shared" si="1"/>
        <v>darkness&lt;br&gt;&lt;div class="audio"&gt;[sound:darkness.mp3]&lt;/div&gt;</v>
      </c>
      <c r="F3711" s="3" t="str">
        <f t="shared" si="2"/>
        <v>(n): bóng tối</v>
      </c>
      <c r="G3711" s="6" t="s">
        <v>50673</v>
      </c>
      <c r="H3711" s="6" t="s">
        <v>50674</v>
      </c>
      <c r="I3711" s="7">
        <f t="shared" si="3"/>
        <v>0.9872204229</v>
      </c>
    </row>
    <row r="3712">
      <c r="A3712" s="4">
        <v>3712.0</v>
      </c>
      <c r="B3712" s="3" t="s">
        <v>50675</v>
      </c>
      <c r="C3712" s="6" t="s">
        <v>74</v>
      </c>
      <c r="D3712" s="6" t="s">
        <v>50676</v>
      </c>
      <c r="E3712" s="3" t="str">
        <f t="shared" si="1"/>
        <v>determination&lt;br&gt;&lt;div class="audio"&gt;[sound:determination.mp3]&lt;/div&gt;</v>
      </c>
      <c r="F3712" s="3" t="str">
        <f t="shared" si="2"/>
        <v>(n): sự quyết tâm</v>
      </c>
      <c r="G3712" s="6" t="s">
        <v>50677</v>
      </c>
      <c r="H3712" s="6" t="s">
        <v>50678</v>
      </c>
      <c r="I3712" s="7">
        <f t="shared" si="3"/>
        <v>0.5778711277</v>
      </c>
    </row>
    <row r="3713">
      <c r="A3713" s="4">
        <v>3713.0</v>
      </c>
      <c r="B3713" s="3" t="s">
        <v>50679</v>
      </c>
      <c r="C3713" s="6" t="s">
        <v>24</v>
      </c>
      <c r="D3713" s="6" t="s">
        <v>50680</v>
      </c>
      <c r="E3713" s="3" t="str">
        <f t="shared" si="1"/>
        <v>dominate&lt;br&gt;&lt;div class="audio"&gt;[sound:dominate.mp3]&lt;/div&gt;</v>
      </c>
      <c r="F3713" s="3" t="str">
        <f t="shared" si="2"/>
        <v>(v): thống trị</v>
      </c>
      <c r="G3713" s="6" t="s">
        <v>50681</v>
      </c>
      <c r="H3713" s="6" t="s">
        <v>50682</v>
      </c>
      <c r="I3713" s="7">
        <f t="shared" si="3"/>
        <v>0.8191191067</v>
      </c>
    </row>
    <row r="3714">
      <c r="A3714" s="4">
        <v>3714.0</v>
      </c>
      <c r="B3714" s="3" t="s">
        <v>50683</v>
      </c>
      <c r="C3714" s="6" t="s">
        <v>74</v>
      </c>
      <c r="D3714" s="6" t="s">
        <v>50684</v>
      </c>
      <c r="E3714" s="3" t="str">
        <f t="shared" si="1"/>
        <v>corn&lt;br&gt;&lt;div class="audio"&gt;[sound:corn.mp3]&lt;/div&gt;</v>
      </c>
      <c r="F3714" s="3" t="str">
        <f t="shared" si="2"/>
        <v>(n): ngô</v>
      </c>
      <c r="G3714" s="6" t="s">
        <v>50685</v>
      </c>
      <c r="H3714" s="6" t="s">
        <v>50686</v>
      </c>
      <c r="I3714" s="7">
        <f t="shared" si="3"/>
        <v>0.5058842439</v>
      </c>
    </row>
    <row r="3715">
      <c r="A3715" s="4">
        <v>3715.0</v>
      </c>
      <c r="B3715" s="3" t="s">
        <v>50687</v>
      </c>
      <c r="C3715" s="6" t="s">
        <v>24</v>
      </c>
      <c r="D3715" s="6" t="s">
        <v>50688</v>
      </c>
      <c r="E3715" s="3" t="str">
        <f t="shared" si="1"/>
        <v>dismiss&lt;br&gt;&lt;div class="audio"&gt;[sound:dismiss.mp3]&lt;/div&gt;</v>
      </c>
      <c r="F3715" s="3" t="str">
        <f t="shared" si="2"/>
        <v>(v): sa thải</v>
      </c>
      <c r="G3715" s="6" t="s">
        <v>50689</v>
      </c>
      <c r="H3715" s="6" t="s">
        <v>50690</v>
      </c>
      <c r="I3715" s="7">
        <f t="shared" si="3"/>
        <v>0.8314189505</v>
      </c>
    </row>
    <row r="3716">
      <c r="A3716" s="4">
        <v>3716.0</v>
      </c>
      <c r="B3716" s="3" t="s">
        <v>50691</v>
      </c>
      <c r="C3716" s="6" t="s">
        <v>11</v>
      </c>
      <c r="D3716" s="6" t="s">
        <v>2392</v>
      </c>
      <c r="E3716" s="3" t="str">
        <f t="shared" si="1"/>
        <v>delicious&lt;br&gt;&lt;div class="audio"&gt;[sound:delicious.mp3]&lt;/div&gt;</v>
      </c>
      <c r="F3716" s="3" t="str">
        <f t="shared" si="2"/>
        <v>(adj): ngon</v>
      </c>
      <c r="G3716" s="6" t="s">
        <v>50692</v>
      </c>
      <c r="H3716" s="6" t="s">
        <v>50693</v>
      </c>
      <c r="I3716" s="7">
        <f t="shared" si="3"/>
        <v>0.9360766276</v>
      </c>
    </row>
    <row r="3717">
      <c r="A3717" s="4">
        <v>3717.0</v>
      </c>
      <c r="B3717" s="3" t="s">
        <v>50694</v>
      </c>
      <c r="C3717" s="6" t="s">
        <v>11</v>
      </c>
      <c r="D3717" s="6" t="s">
        <v>50695</v>
      </c>
      <c r="E3717" s="3" t="str">
        <f t="shared" si="1"/>
        <v>unacceptable&lt;br&gt;&lt;div class="audio"&gt;[sound:unacceptable.mp3]&lt;/div&gt;</v>
      </c>
      <c r="F3717" s="3" t="str">
        <f t="shared" si="2"/>
        <v>(adj): không thể chấp nhận</v>
      </c>
      <c r="G3717" s="6" t="s">
        <v>50696</v>
      </c>
      <c r="H3717" s="6" t="s">
        <v>50697</v>
      </c>
      <c r="I3717" s="7">
        <f t="shared" si="3"/>
        <v>0.7929238266</v>
      </c>
    </row>
    <row r="3718">
      <c r="A3718" s="4">
        <v>3718.0</v>
      </c>
      <c r="B3718" s="3" t="s">
        <v>50698</v>
      </c>
      <c r="C3718" s="6" t="s">
        <v>74</v>
      </c>
      <c r="D3718" s="6" t="s">
        <v>35196</v>
      </c>
      <c r="E3718" s="3" t="str">
        <f t="shared" si="1"/>
        <v>ignorance&lt;br&gt;&lt;div class="audio"&gt;[sound:ignorance.mp3]&lt;/div&gt;</v>
      </c>
      <c r="F3718" s="3" t="str">
        <f t="shared" si="2"/>
        <v>(n): sự thiếu hiểu biết</v>
      </c>
      <c r="G3718" s="6" t="s">
        <v>50699</v>
      </c>
      <c r="H3718" s="6" t="s">
        <v>50700</v>
      </c>
      <c r="I3718" s="7">
        <f t="shared" si="3"/>
        <v>0.4376054587</v>
      </c>
    </row>
    <row r="3719">
      <c r="A3719" s="4">
        <v>3719.0</v>
      </c>
      <c r="B3719" s="3" t="s">
        <v>50701</v>
      </c>
      <c r="C3719" s="6" t="s">
        <v>11</v>
      </c>
      <c r="D3719" s="6" t="s">
        <v>50702</v>
      </c>
      <c r="E3719" s="3" t="str">
        <f t="shared" si="1"/>
        <v>operational&lt;br&gt;&lt;div class="audio"&gt;[sound:operational.mp3]&lt;/div&gt;</v>
      </c>
      <c r="F3719" s="3" t="str">
        <f t="shared" si="2"/>
        <v>(adj): sẵn sàng hoạt động</v>
      </c>
      <c r="G3719" s="6" t="s">
        <v>50703</v>
      </c>
      <c r="H3719" s="6" t="s">
        <v>50704</v>
      </c>
      <c r="I3719" s="7">
        <f t="shared" si="3"/>
        <v>0.2374828807</v>
      </c>
    </row>
    <row r="3720">
      <c r="A3720" s="4">
        <v>3720.0</v>
      </c>
      <c r="B3720" s="3" t="s">
        <v>50705</v>
      </c>
      <c r="C3720" s="6" t="s">
        <v>74</v>
      </c>
      <c r="D3720" s="6" t="s">
        <v>50706</v>
      </c>
      <c r="E3720" s="3" t="str">
        <f t="shared" si="1"/>
        <v>bureaucracy&lt;br&gt;&lt;div class="audio"&gt;[sound:bureaucracy.mp3]&lt;/div&gt;</v>
      </c>
      <c r="F3720" s="3" t="str">
        <f t="shared" si="2"/>
        <v>(n): bộ máy quan liêu</v>
      </c>
      <c r="G3720" s="6" t="s">
        <v>50707</v>
      </c>
      <c r="H3720" s="6" t="s">
        <v>50708</v>
      </c>
      <c r="I3720" s="7">
        <f t="shared" si="3"/>
        <v>0.09601450511</v>
      </c>
    </row>
    <row r="3721">
      <c r="A3721" s="4">
        <v>3721.0</v>
      </c>
      <c r="B3721" s="3" t="s">
        <v>50709</v>
      </c>
      <c r="C3721" s="6" t="s">
        <v>74</v>
      </c>
      <c r="D3721" s="6" t="s">
        <v>49059</v>
      </c>
      <c r="E3721" s="3" t="str">
        <f t="shared" si="1"/>
        <v>laboratory&lt;br&gt;&lt;div class="audio"&gt;[sound:laboratory.mp3]&lt;/div&gt;</v>
      </c>
      <c r="F3721" s="3" t="str">
        <f t="shared" si="2"/>
        <v>(n): phòng thí nghiệm</v>
      </c>
      <c r="G3721" s="6" t="s">
        <v>50710</v>
      </c>
      <c r="H3721" s="6" t="s">
        <v>50711</v>
      </c>
      <c r="I3721" s="7">
        <f t="shared" si="3"/>
        <v>0.4881647538</v>
      </c>
    </row>
    <row r="3722">
      <c r="A3722" s="4">
        <v>3722.0</v>
      </c>
      <c r="B3722" s="3" t="s">
        <v>50712</v>
      </c>
      <c r="C3722" s="6" t="s">
        <v>74</v>
      </c>
      <c r="D3722" s="6" t="s">
        <v>32873</v>
      </c>
      <c r="E3722" s="3" t="str">
        <f t="shared" si="1"/>
        <v>jet&lt;br&gt;&lt;div class="audio"&gt;[sound:jet.mp3]&lt;/div&gt;</v>
      </c>
      <c r="F3722" s="3" t="str">
        <f t="shared" si="2"/>
        <v>(n): máy bay phản lực</v>
      </c>
      <c r="G3722" s="6" t="s">
        <v>50713</v>
      </c>
      <c r="H3722" s="6" t="s">
        <v>50714</v>
      </c>
      <c r="I3722" s="7">
        <f t="shared" si="3"/>
        <v>0.9513757606</v>
      </c>
    </row>
    <row r="3723">
      <c r="A3723" s="4">
        <v>3723.0</v>
      </c>
      <c r="B3723" s="3" t="s">
        <v>50715</v>
      </c>
      <c r="C3723" s="6" t="s">
        <v>74</v>
      </c>
      <c r="D3723" s="6" t="s">
        <v>50716</v>
      </c>
      <c r="E3723" s="3" t="str">
        <f t="shared" si="1"/>
        <v>contempt&lt;br&gt;&lt;div class="audio"&gt;[sound:contempt.mp3]&lt;/div&gt;</v>
      </c>
      <c r="F3723" s="3" t="str">
        <f t="shared" si="2"/>
        <v>(n): sự khinh thường</v>
      </c>
      <c r="G3723" s="6" t="s">
        <v>50717</v>
      </c>
      <c r="H3723" s="6" t="s">
        <v>50718</v>
      </c>
      <c r="I3723" s="7">
        <f t="shared" si="3"/>
        <v>0.7404968116</v>
      </c>
    </row>
    <row r="3724">
      <c r="A3724" s="4">
        <v>3724.0</v>
      </c>
      <c r="B3724" s="3" t="s">
        <v>50719</v>
      </c>
      <c r="C3724" s="6" t="s">
        <v>74</v>
      </c>
      <c r="D3724" s="6" t="s">
        <v>50720</v>
      </c>
      <c r="E3724" s="3" t="str">
        <f t="shared" si="1"/>
        <v>contender&lt;br&gt;&lt;div class="audio"&gt;[sound:contender.mp3]&lt;/div&gt;</v>
      </c>
      <c r="F3724" s="3" t="str">
        <f t="shared" si="2"/>
        <v>(n): người tranh đấu</v>
      </c>
      <c r="G3724" s="6" t="s">
        <v>50721</v>
      </c>
      <c r="H3724" s="6" t="s">
        <v>50722</v>
      </c>
      <c r="I3724" s="7">
        <f t="shared" si="3"/>
        <v>0.5629276852</v>
      </c>
    </row>
    <row r="3725">
      <c r="A3725" s="4">
        <v>3725.0</v>
      </c>
      <c r="B3725" s="3" t="s">
        <v>50723</v>
      </c>
      <c r="C3725" s="6" t="s">
        <v>11</v>
      </c>
      <c r="D3725" s="6" t="s">
        <v>50724</v>
      </c>
      <c r="E3725" s="3" t="str">
        <f t="shared" si="1"/>
        <v>unhappy&lt;br&gt;&lt;div class="audio"&gt;[sound:unhappy.mp3]&lt;/div&gt;</v>
      </c>
      <c r="F3725" s="3" t="str">
        <f t="shared" si="2"/>
        <v>(adj): không hạnh phúc</v>
      </c>
      <c r="G3725" s="6" t="s">
        <v>50725</v>
      </c>
      <c r="H3725" s="6" t="s">
        <v>50726</v>
      </c>
      <c r="I3725" s="7">
        <f t="shared" si="3"/>
        <v>0.7273321124</v>
      </c>
    </row>
    <row r="3726">
      <c r="A3726" s="4">
        <v>3726.0</v>
      </c>
      <c r="B3726" s="3" t="s">
        <v>50727</v>
      </c>
      <c r="C3726" s="6" t="s">
        <v>11</v>
      </c>
      <c r="D3726" s="6" t="s">
        <v>50728</v>
      </c>
      <c r="E3726" s="3" t="str">
        <f t="shared" si="1"/>
        <v>unfair&lt;br&gt;&lt;div class="audio"&gt;[sound:unfair.mp3]&lt;/div&gt;</v>
      </c>
      <c r="F3726" s="3" t="str">
        <f t="shared" si="2"/>
        <v>(adj): không công bằng</v>
      </c>
      <c r="G3726" s="6" t="s">
        <v>50729</v>
      </c>
      <c r="H3726" s="6" t="s">
        <v>50730</v>
      </c>
      <c r="I3726" s="7">
        <f t="shared" si="3"/>
        <v>0.8311884502</v>
      </c>
    </row>
    <row r="3727">
      <c r="A3727" s="4">
        <v>3727.0</v>
      </c>
      <c r="B3727" s="3" t="s">
        <v>50731</v>
      </c>
      <c r="C3727" s="6" t="s">
        <v>24</v>
      </c>
      <c r="D3727" s="6" t="s">
        <v>50732</v>
      </c>
      <c r="E3727" s="3" t="str">
        <f t="shared" si="1"/>
        <v>cater&lt;br&gt;&lt;div class="audio"&gt;[sound:cater.mp3]&lt;/div&gt;</v>
      </c>
      <c r="F3727" s="3" t="str">
        <f t="shared" si="2"/>
        <v>(v): phục vụ ăn uống</v>
      </c>
      <c r="G3727" s="6" t="s">
        <v>50733</v>
      </c>
      <c r="H3727" s="6" t="s">
        <v>50734</v>
      </c>
      <c r="I3727" s="7">
        <f t="shared" si="3"/>
        <v>0.5239072592</v>
      </c>
    </row>
    <row r="3728">
      <c r="A3728" s="4">
        <v>3728.0</v>
      </c>
      <c r="B3728" s="3" t="s">
        <v>50735</v>
      </c>
      <c r="C3728" s="6" t="s">
        <v>11</v>
      </c>
      <c r="D3728" s="6" t="s">
        <v>50736</v>
      </c>
      <c r="E3728" s="3" t="str">
        <f t="shared" si="1"/>
        <v>unnecessary&lt;br&gt;&lt;div class="audio"&gt;[sound:unnecessary.mp3]&lt;/div&gt;</v>
      </c>
      <c r="F3728" s="3" t="str">
        <f t="shared" si="2"/>
        <v>(adj): không cần thiết</v>
      </c>
      <c r="G3728" s="6" t="s">
        <v>50737</v>
      </c>
      <c r="H3728" s="6" t="s">
        <v>50738</v>
      </c>
      <c r="I3728" s="7">
        <f t="shared" si="3"/>
        <v>0.1466527037</v>
      </c>
    </row>
    <row r="3729">
      <c r="A3729" s="4">
        <v>3729.0</v>
      </c>
      <c r="B3729" s="3" t="s">
        <v>50739</v>
      </c>
      <c r="C3729" s="6" t="s">
        <v>11</v>
      </c>
      <c r="D3729" s="6" t="s">
        <v>50740</v>
      </c>
      <c r="E3729" s="3" t="str">
        <f t="shared" si="1"/>
        <v>irrelevant&lt;br&gt;&lt;div class="audio"&gt;[sound:irrelevant.mp3]&lt;/div&gt;</v>
      </c>
      <c r="F3729" s="3" t="str">
        <f t="shared" si="2"/>
        <v>(adj): không liên quan</v>
      </c>
      <c r="G3729" s="6" t="s">
        <v>50741</v>
      </c>
      <c r="H3729" s="6" t="s">
        <v>50742</v>
      </c>
      <c r="I3729" s="7">
        <f t="shared" si="3"/>
        <v>0.1665709419</v>
      </c>
    </row>
    <row r="3730">
      <c r="A3730" s="4">
        <v>3730.0</v>
      </c>
      <c r="B3730" s="3" t="s">
        <v>50743</v>
      </c>
      <c r="C3730" s="6" t="s">
        <v>74</v>
      </c>
      <c r="D3730" s="6" t="s">
        <v>50744</v>
      </c>
      <c r="E3730" s="3" t="str">
        <f t="shared" si="1"/>
        <v>pension&lt;br&gt;&lt;div class="audio"&gt;[sound:pension.mp3]&lt;/div&gt;</v>
      </c>
      <c r="F3730" s="3" t="str">
        <f t="shared" si="2"/>
        <v>(n): tiền lương hưu</v>
      </c>
      <c r="G3730" s="6" t="s">
        <v>50745</v>
      </c>
      <c r="H3730" s="6" t="s">
        <v>50746</v>
      </c>
      <c r="I3730" s="7">
        <f t="shared" si="3"/>
        <v>0.1899975716</v>
      </c>
    </row>
    <row r="3731">
      <c r="A3731" s="4">
        <v>3731.0</v>
      </c>
      <c r="B3731" s="3" t="s">
        <v>50747</v>
      </c>
      <c r="C3731" s="6" t="s">
        <v>74</v>
      </c>
      <c r="D3731" s="6" t="s">
        <v>21901</v>
      </c>
      <c r="E3731" s="3" t="str">
        <f t="shared" si="1"/>
        <v>leisure&lt;br&gt;&lt;div class="audio"&gt;[sound:leisure.mp3]&lt;/div&gt;</v>
      </c>
      <c r="F3731" s="3" t="str">
        <f t="shared" si="2"/>
        <v>(n): thời gian rảnh</v>
      </c>
      <c r="G3731" s="6" t="s">
        <v>50748</v>
      </c>
      <c r="H3731" s="6" t="s">
        <v>50749</v>
      </c>
      <c r="I3731" s="7">
        <f t="shared" si="3"/>
        <v>0.5120699316</v>
      </c>
    </row>
    <row r="3732">
      <c r="A3732" s="4">
        <v>3732.0</v>
      </c>
      <c r="B3732" s="3" t="s">
        <v>50750</v>
      </c>
      <c r="C3732" s="6" t="s">
        <v>74</v>
      </c>
      <c r="D3732" s="6" t="s">
        <v>50751</v>
      </c>
      <c r="E3732" s="3" t="str">
        <f t="shared" si="1"/>
        <v>observer&lt;br&gt;&lt;div class="audio"&gt;[sound:observer.mp3]&lt;/div&gt;</v>
      </c>
      <c r="F3732" s="3" t="str">
        <f t="shared" si="2"/>
        <v>(n): người quan sát</v>
      </c>
      <c r="G3732" s="6" t="s">
        <v>50752</v>
      </c>
      <c r="H3732" s="6" t="s">
        <v>50753</v>
      </c>
      <c r="I3732" s="7">
        <f t="shared" si="3"/>
        <v>0.5371114569</v>
      </c>
    </row>
    <row r="3733">
      <c r="A3733" s="4">
        <v>3733.0</v>
      </c>
      <c r="B3733" s="3" t="s">
        <v>50754</v>
      </c>
      <c r="C3733" s="6" t="s">
        <v>74</v>
      </c>
      <c r="D3733" s="6" t="s">
        <v>50755</v>
      </c>
      <c r="E3733" s="3" t="str">
        <f t="shared" si="1"/>
        <v>administrator&lt;br&gt;&lt;div class="audio"&gt;[sound:administrator.mp3]&lt;/div&gt;</v>
      </c>
      <c r="F3733" s="3" t="str">
        <f t="shared" si="2"/>
        <v>(n): người quản lý</v>
      </c>
      <c r="G3733" s="6" t="s">
        <v>50756</v>
      </c>
      <c r="H3733" s="6" t="s">
        <v>50757</v>
      </c>
      <c r="I3733" s="7">
        <f t="shared" si="3"/>
        <v>0.4188704103</v>
      </c>
    </row>
    <row r="3734">
      <c r="A3734" s="4">
        <v>3734.0</v>
      </c>
      <c r="B3734" s="3" t="s">
        <v>50758</v>
      </c>
      <c r="C3734" s="6" t="s">
        <v>74</v>
      </c>
      <c r="D3734" s="6" t="s">
        <v>50759</v>
      </c>
      <c r="E3734" s="3" t="str">
        <f t="shared" si="1"/>
        <v>nerve&lt;br&gt;&lt;div class="audio"&gt;[sound:nerve.mp3]&lt;/div&gt;</v>
      </c>
      <c r="F3734" s="3" t="str">
        <f t="shared" si="2"/>
        <v>(n): dây thần kinh</v>
      </c>
      <c r="G3734" s="6" t="s">
        <v>50760</v>
      </c>
      <c r="H3734" s="6" t="s">
        <v>50761</v>
      </c>
      <c r="I3734" s="7">
        <f t="shared" si="3"/>
        <v>0.7062266871</v>
      </c>
    </row>
    <row r="3735">
      <c r="A3735" s="4">
        <v>3735.0</v>
      </c>
      <c r="B3735" s="3" t="s">
        <v>50762</v>
      </c>
      <c r="C3735" s="6" t="s">
        <v>24</v>
      </c>
      <c r="D3735" s="6" t="s">
        <v>25085</v>
      </c>
      <c r="E3735" s="3" t="str">
        <f t="shared" si="1"/>
        <v>wander&lt;br&gt;&lt;div class="audio"&gt;[sound:wander.mp3]&lt;/div&gt;</v>
      </c>
      <c r="F3735" s="3" t="str">
        <f t="shared" si="2"/>
        <v>(v): đi lang thang</v>
      </c>
      <c r="G3735" s="6" t="s">
        <v>50763</v>
      </c>
      <c r="H3735" s="6" t="s">
        <v>50764</v>
      </c>
      <c r="I3735" s="7">
        <f t="shared" si="3"/>
        <v>0.1035865461</v>
      </c>
    </row>
    <row r="3736">
      <c r="A3736" s="4">
        <v>3736.0</v>
      </c>
      <c r="B3736" s="3" t="s">
        <v>50765</v>
      </c>
      <c r="C3736" s="6" t="s">
        <v>74</v>
      </c>
      <c r="D3736" s="6" t="s">
        <v>50766</v>
      </c>
      <c r="E3736" s="3" t="str">
        <f t="shared" si="1"/>
        <v>testimony&lt;br&gt;&lt;div class="audio"&gt;[sound:testimony.mp3]&lt;/div&gt;</v>
      </c>
      <c r="F3736" s="3" t="str">
        <f t="shared" si="2"/>
        <v>(n): lời làm chứng</v>
      </c>
      <c r="G3736" s="6" t="s">
        <v>50767</v>
      </c>
      <c r="H3736" s="6" t="s">
        <v>50768</v>
      </c>
      <c r="I3736" s="7">
        <f t="shared" si="3"/>
        <v>0.5851148067</v>
      </c>
    </row>
    <row r="3737">
      <c r="A3737" s="4">
        <v>3737.0</v>
      </c>
      <c r="B3737" s="3" t="s">
        <v>50769</v>
      </c>
      <c r="C3737" s="6" t="s">
        <v>74</v>
      </c>
      <c r="D3737" s="6" t="s">
        <v>50770</v>
      </c>
      <c r="E3737" s="3" t="str">
        <f t="shared" si="1"/>
        <v>activist&lt;br&gt;&lt;div class="audio"&gt;[sound:activist.mp3]&lt;/div&gt;</v>
      </c>
      <c r="F3737" s="3" t="str">
        <f t="shared" si="2"/>
        <v>(n): nhà hoạt động</v>
      </c>
      <c r="G3737" s="6" t="s">
        <v>50771</v>
      </c>
      <c r="H3737" s="6" t="s">
        <v>50772</v>
      </c>
      <c r="I3737" s="7">
        <f t="shared" si="3"/>
        <v>0.8331336601</v>
      </c>
    </row>
    <row r="3738">
      <c r="A3738" s="4">
        <v>3738.0</v>
      </c>
      <c r="B3738" s="3" t="s">
        <v>50773</v>
      </c>
      <c r="C3738" s="6" t="s">
        <v>74</v>
      </c>
      <c r="D3738" s="6" t="s">
        <v>50774</v>
      </c>
      <c r="E3738" s="3" t="str">
        <f t="shared" si="1"/>
        <v>tolerance&lt;br&gt;&lt;div class="audio"&gt;[sound:tolerance.mp3]&lt;/div&gt;</v>
      </c>
      <c r="F3738" s="3" t="str">
        <f t="shared" si="2"/>
        <v>(n): sự khoan dung</v>
      </c>
      <c r="G3738" s="6" t="s">
        <v>50775</v>
      </c>
      <c r="H3738" s="6" t="s">
        <v>50776</v>
      </c>
      <c r="I3738" s="7">
        <f t="shared" si="3"/>
        <v>0.7829508215</v>
      </c>
    </row>
    <row r="3739">
      <c r="A3739" s="4">
        <v>3739.0</v>
      </c>
      <c r="B3739" s="3" t="s">
        <v>50777</v>
      </c>
      <c r="C3739" s="6" t="s">
        <v>24</v>
      </c>
      <c r="D3739" s="6" t="s">
        <v>50778</v>
      </c>
      <c r="E3739" s="3" t="str">
        <f t="shared" si="1"/>
        <v>facilitate&lt;br&gt;&lt;div class="audio"&gt;[sound:facilitate.mp3]&lt;/div&gt;</v>
      </c>
      <c r="F3739" s="3" t="str">
        <f t="shared" si="2"/>
        <v>(v): tạo điều kiện</v>
      </c>
      <c r="G3739" s="6" t="s">
        <v>50779</v>
      </c>
      <c r="H3739" s="6" t="s">
        <v>50780</v>
      </c>
      <c r="I3739" s="7">
        <f t="shared" si="3"/>
        <v>0.8287877953</v>
      </c>
    </row>
    <row r="3740">
      <c r="A3740" s="4">
        <v>3740.0</v>
      </c>
      <c r="B3740" s="3" t="s">
        <v>50781</v>
      </c>
      <c r="C3740" s="6" t="s">
        <v>74</v>
      </c>
      <c r="D3740" s="6" t="s">
        <v>50782</v>
      </c>
      <c r="E3740" s="3" t="str">
        <f t="shared" si="1"/>
        <v>insider&lt;br&gt;&lt;div class="audio"&gt;[sound:insider.mp3]&lt;/div&gt;</v>
      </c>
      <c r="F3740" s="3" t="str">
        <f t="shared" si="2"/>
        <v>(n): người nội bộ</v>
      </c>
      <c r="G3740" s="6" t="s">
        <v>50783</v>
      </c>
      <c r="H3740" s="6" t="s">
        <v>50784</v>
      </c>
      <c r="I3740" s="7">
        <f t="shared" si="3"/>
        <v>0.4314528189</v>
      </c>
    </row>
    <row r="3741">
      <c r="A3741" s="4">
        <v>3741.0</v>
      </c>
      <c r="B3741" s="3" t="s">
        <v>50785</v>
      </c>
      <c r="C3741" s="6" t="s">
        <v>74</v>
      </c>
      <c r="D3741" s="6" t="s">
        <v>50786</v>
      </c>
      <c r="E3741" s="3" t="str">
        <f t="shared" si="1"/>
        <v>fame&lt;br&gt;&lt;div class="audio"&gt;[sound:fame.mp3]&lt;/div&gt;</v>
      </c>
      <c r="F3741" s="3" t="str">
        <f t="shared" si="2"/>
        <v>(n): sự nổi tiếng</v>
      </c>
      <c r="G3741" s="6" t="s">
        <v>50787</v>
      </c>
      <c r="H3741" s="6" t="s">
        <v>50788</v>
      </c>
      <c r="I3741" s="7">
        <f t="shared" si="3"/>
        <v>0.9571135348</v>
      </c>
    </row>
    <row r="3742">
      <c r="A3742" s="4">
        <v>3742.0</v>
      </c>
      <c r="B3742" s="3" t="s">
        <v>50789</v>
      </c>
      <c r="C3742" s="6" t="s">
        <v>11</v>
      </c>
      <c r="D3742" s="6" t="s">
        <v>50790</v>
      </c>
      <c r="E3742" s="3" t="str">
        <f t="shared" si="1"/>
        <v>awkward&lt;br&gt;&lt;div class="audio"&gt;[sound:awkward.mp3]&lt;/div&gt;</v>
      </c>
      <c r="F3742" s="3" t="str">
        <f t="shared" si="2"/>
        <v>(adj): ngượng ngùng</v>
      </c>
      <c r="G3742" s="6" t="s">
        <v>50791</v>
      </c>
      <c r="H3742" s="6" t="s">
        <v>50792</v>
      </c>
      <c r="I3742" s="7">
        <f t="shared" si="3"/>
        <v>0.2087616953</v>
      </c>
    </row>
    <row r="3743">
      <c r="A3743" s="4">
        <v>3743.0</v>
      </c>
      <c r="B3743" s="3" t="s">
        <v>50793</v>
      </c>
      <c r="C3743" s="6" t="s">
        <v>11</v>
      </c>
      <c r="D3743" s="6" t="s">
        <v>5287</v>
      </c>
      <c r="E3743" s="3" t="str">
        <f t="shared" si="1"/>
        <v>occasional&lt;br&gt;&lt;div class="audio"&gt;[sound:occasional.mp3]&lt;/div&gt;</v>
      </c>
      <c r="F3743" s="3" t="str">
        <f t="shared" si="2"/>
        <v>(adj): thỉnh thoảng</v>
      </c>
      <c r="G3743" s="6" t="s">
        <v>50794</v>
      </c>
      <c r="H3743" s="6" t="s">
        <v>50795</v>
      </c>
      <c r="I3743" s="7">
        <f t="shared" si="3"/>
        <v>0.9930378041</v>
      </c>
    </row>
    <row r="3744">
      <c r="A3744" s="4">
        <v>3744.0</v>
      </c>
      <c r="B3744" s="3" t="s">
        <v>50796</v>
      </c>
      <c r="C3744" s="6" t="s">
        <v>74</v>
      </c>
      <c r="D3744" s="6" t="s">
        <v>50797</v>
      </c>
      <c r="E3744" s="3" t="str">
        <f t="shared" si="1"/>
        <v>hatred&lt;br&gt;&lt;div class="audio"&gt;[sound:hatred.mp3]&lt;/div&gt;</v>
      </c>
      <c r="F3744" s="3" t="str">
        <f t="shared" si="2"/>
        <v>(n): lòng căm thù</v>
      </c>
      <c r="G3744" s="6" t="s">
        <v>50798</v>
      </c>
      <c r="H3744" s="6" t="s">
        <v>50799</v>
      </c>
      <c r="I3744" s="7">
        <f t="shared" si="3"/>
        <v>0.8508792695</v>
      </c>
    </row>
    <row r="3745">
      <c r="A3745" s="4">
        <v>3745.0</v>
      </c>
      <c r="B3745" s="3" t="s">
        <v>50800</v>
      </c>
      <c r="C3745" s="6" t="s">
        <v>74</v>
      </c>
      <c r="D3745" s="6" t="s">
        <v>50801</v>
      </c>
      <c r="E3745" s="3" t="str">
        <f t="shared" si="1"/>
        <v>execution&lt;br&gt;&lt;div class="audio"&gt;[sound:execution.mp3]&lt;/div&gt;</v>
      </c>
      <c r="F3745" s="3" t="str">
        <f t="shared" si="2"/>
        <v>(n): sự thực hiện</v>
      </c>
      <c r="G3745" s="6" t="s">
        <v>50802</v>
      </c>
      <c r="H3745" s="6" t="s">
        <v>50803</v>
      </c>
      <c r="I3745" s="7">
        <f t="shared" si="3"/>
        <v>0.6936436421</v>
      </c>
    </row>
    <row r="3746">
      <c r="A3746" s="4">
        <v>3746.0</v>
      </c>
      <c r="B3746" s="3" t="s">
        <v>50804</v>
      </c>
      <c r="C3746" s="6" t="s">
        <v>74</v>
      </c>
      <c r="D3746" s="6" t="s">
        <v>50805</v>
      </c>
      <c r="E3746" s="3" t="str">
        <f t="shared" si="1"/>
        <v>placement&lt;br&gt;&lt;div class="audio"&gt;[sound:placement.mp3]&lt;/div&gt;</v>
      </c>
      <c r="F3746" s="3" t="str">
        <f t="shared" si="2"/>
        <v>(n): việc sắp xếp</v>
      </c>
      <c r="G3746" s="6" t="s">
        <v>50806</v>
      </c>
      <c r="H3746" s="6" t="s">
        <v>50807</v>
      </c>
      <c r="I3746" s="7">
        <f t="shared" si="3"/>
        <v>0.451084005</v>
      </c>
    </row>
    <row r="3747">
      <c r="A3747" s="4">
        <v>3747.0</v>
      </c>
      <c r="B3747" s="3" t="s">
        <v>50808</v>
      </c>
      <c r="C3747" s="6" t="s">
        <v>74</v>
      </c>
      <c r="D3747" s="6" t="s">
        <v>50809</v>
      </c>
      <c r="E3747" s="3" t="str">
        <f t="shared" si="1"/>
        <v>therapist&lt;br&gt;&lt;div class="audio"&gt;[sound:therapist.mp3]&lt;/div&gt;</v>
      </c>
      <c r="F3747" s="3" t="str">
        <f t="shared" si="2"/>
        <v>(n): nhà trị liệu</v>
      </c>
      <c r="G3747" s="6" t="s">
        <v>50810</v>
      </c>
      <c r="H3747" s="6" t="s">
        <v>50811</v>
      </c>
      <c r="I3747" s="7">
        <f t="shared" si="3"/>
        <v>0.8021065956</v>
      </c>
    </row>
    <row r="3748">
      <c r="A3748" s="4">
        <v>3748.0</v>
      </c>
      <c r="B3748" s="3" t="s">
        <v>50812</v>
      </c>
      <c r="C3748" s="6" t="s">
        <v>74</v>
      </c>
      <c r="D3748" s="6" t="s">
        <v>50813</v>
      </c>
      <c r="E3748" s="3" t="str">
        <f t="shared" si="1"/>
        <v>anniversary&lt;br&gt;&lt;div class="audio"&gt;[sound:anniversary.mp3]&lt;/div&gt;</v>
      </c>
      <c r="F3748" s="3" t="str">
        <f t="shared" si="2"/>
        <v>(n): ngày kỷ niệm</v>
      </c>
      <c r="G3748" s="6" t="s">
        <v>50814</v>
      </c>
      <c r="H3748" s="6" t="s">
        <v>50815</v>
      </c>
      <c r="I3748" s="7">
        <f t="shared" si="3"/>
        <v>0.3074809479</v>
      </c>
    </row>
    <row r="3749">
      <c r="A3749" s="4">
        <v>3749.0</v>
      </c>
      <c r="B3749" s="3" t="s">
        <v>50816</v>
      </c>
      <c r="C3749" s="6" t="s">
        <v>74</v>
      </c>
      <c r="D3749" s="6" t="s">
        <v>50817</v>
      </c>
      <c r="E3749" s="3" t="str">
        <f t="shared" si="1"/>
        <v>economist&lt;br&gt;&lt;div class="audio"&gt;[sound:economist.mp3]&lt;/div&gt;</v>
      </c>
      <c r="F3749" s="3" t="str">
        <f t="shared" si="2"/>
        <v>(n): nhà kinh tế</v>
      </c>
      <c r="G3749" s="6" t="s">
        <v>50818</v>
      </c>
      <c r="H3749" s="6" t="s">
        <v>50819</v>
      </c>
      <c r="I3749" s="7">
        <f t="shared" si="3"/>
        <v>0.2972900267</v>
      </c>
    </row>
    <row r="3750">
      <c r="A3750" s="4">
        <v>3750.0</v>
      </c>
      <c r="B3750" s="3" t="s">
        <v>50820</v>
      </c>
      <c r="C3750" s="6" t="s">
        <v>74</v>
      </c>
      <c r="D3750" s="6" t="s">
        <v>50821</v>
      </c>
      <c r="E3750" s="3" t="str">
        <f t="shared" si="1"/>
        <v>disorder&lt;br&gt;&lt;div class="audio"&gt;[sound:disorder.mp3]&lt;/div&gt;</v>
      </c>
      <c r="F3750" s="3" t="str">
        <f t="shared" si="2"/>
        <v>(n): sự rối loạn</v>
      </c>
      <c r="G3750" s="6" t="s">
        <v>50822</v>
      </c>
      <c r="H3750" s="6" t="s">
        <v>50823</v>
      </c>
      <c r="I3750" s="7">
        <f t="shared" si="3"/>
        <v>0.6707183557</v>
      </c>
    </row>
    <row r="3751">
      <c r="A3751" s="4">
        <v>3751.0</v>
      </c>
      <c r="B3751" s="3" t="s">
        <v>50824</v>
      </c>
      <c r="C3751" s="6" t="s">
        <v>74</v>
      </c>
      <c r="D3751" s="6" t="s">
        <v>29038</v>
      </c>
      <c r="E3751" s="3" t="str">
        <f t="shared" si="1"/>
        <v>whisky&lt;br&gt;&lt;div class="audio"&gt;[sound:whisky.mp3]&lt;/div&gt;</v>
      </c>
      <c r="F3751" s="3" t="str">
        <f t="shared" si="2"/>
        <v>(n): rượu whisky</v>
      </c>
      <c r="G3751" s="6" t="s">
        <v>50825</v>
      </c>
      <c r="H3751" s="6" t="s">
        <v>50826</v>
      </c>
      <c r="I3751" s="7">
        <f t="shared" si="3"/>
        <v>0.5566775223</v>
      </c>
    </row>
    <row r="3752">
      <c r="A3752" s="4">
        <v>3752.0</v>
      </c>
      <c r="B3752" s="3" t="s">
        <v>50827</v>
      </c>
      <c r="C3752" s="6" t="s">
        <v>74</v>
      </c>
      <c r="D3752" s="6" t="s">
        <v>50828</v>
      </c>
      <c r="E3752" s="3" t="str">
        <f t="shared" si="1"/>
        <v>imprisonment&lt;br&gt;&lt;div class="audio"&gt;[sound:imprisonment.mp3]&lt;/div&gt;</v>
      </c>
      <c r="F3752" s="3" t="str">
        <f t="shared" si="2"/>
        <v>(n): sự giam giữ</v>
      </c>
      <c r="G3752" s="6" t="s">
        <v>50829</v>
      </c>
      <c r="H3752" s="6" t="s">
        <v>50830</v>
      </c>
      <c r="I3752" s="7">
        <f t="shared" si="3"/>
        <v>0.2540549577</v>
      </c>
    </row>
    <row r="3753">
      <c r="A3753" s="4">
        <v>3753.0</v>
      </c>
      <c r="B3753" s="3" t="s">
        <v>50831</v>
      </c>
      <c r="C3753" s="6" t="s">
        <v>11</v>
      </c>
      <c r="D3753" s="6" t="s">
        <v>7768</v>
      </c>
      <c r="E3753" s="3" t="str">
        <f t="shared" si="1"/>
        <v>imaginary&lt;br&gt;&lt;div class="audio"&gt;[sound:imaginary.mp3]&lt;/div&gt;</v>
      </c>
      <c r="F3753" s="3" t="str">
        <f t="shared" si="2"/>
        <v>(adj): tưởng tượng</v>
      </c>
      <c r="G3753" s="6" t="s">
        <v>50832</v>
      </c>
      <c r="H3753" s="6" t="s">
        <v>50833</v>
      </c>
      <c r="I3753" s="7">
        <f t="shared" si="3"/>
        <v>0.6524944599</v>
      </c>
    </row>
    <row r="3754">
      <c r="A3754" s="4">
        <v>3754.0</v>
      </c>
      <c r="B3754" s="3" t="s">
        <v>50834</v>
      </c>
      <c r="C3754" s="6" t="s">
        <v>74</v>
      </c>
      <c r="D3754" s="6" t="s">
        <v>50835</v>
      </c>
      <c r="E3754" s="3" t="str">
        <f t="shared" si="1"/>
        <v>legend&lt;br&gt;&lt;div class="audio"&gt;[sound:legend.mp3]&lt;/div&gt;</v>
      </c>
      <c r="F3754" s="3" t="str">
        <f t="shared" si="2"/>
        <v>(n): huyền thoại</v>
      </c>
      <c r="G3754" s="6" t="s">
        <v>50836</v>
      </c>
      <c r="H3754" s="6" t="s">
        <v>50837</v>
      </c>
      <c r="I3754" s="7">
        <f t="shared" si="3"/>
        <v>0.9106444086</v>
      </c>
    </row>
    <row r="3755">
      <c r="A3755" s="4">
        <v>3755.0</v>
      </c>
      <c r="B3755" s="3" t="s">
        <v>50838</v>
      </c>
      <c r="C3755" s="6" t="s">
        <v>11</v>
      </c>
      <c r="D3755" s="6" t="s">
        <v>26959</v>
      </c>
      <c r="E3755" s="3" t="str">
        <f t="shared" si="1"/>
        <v>unemployed&lt;br&gt;&lt;div class="audio"&gt;[sound:unemployed.mp3]&lt;/div&gt;</v>
      </c>
      <c r="F3755" s="3" t="str">
        <f t="shared" si="2"/>
        <v>(adj): thất nghiệp</v>
      </c>
      <c r="G3755" s="6" t="s">
        <v>50839</v>
      </c>
      <c r="H3755" s="6" t="s">
        <v>50840</v>
      </c>
      <c r="I3755" s="7">
        <f t="shared" si="3"/>
        <v>0.2501260639</v>
      </c>
    </row>
    <row r="3756">
      <c r="A3756" s="4">
        <v>3756.0</v>
      </c>
      <c r="B3756" s="3" t="s">
        <v>50841</v>
      </c>
      <c r="C3756" s="6" t="s">
        <v>74</v>
      </c>
      <c r="D3756" s="6" t="s">
        <v>50842</v>
      </c>
      <c r="E3756" s="3" t="str">
        <f t="shared" si="1"/>
        <v>appreciation&lt;br&gt;&lt;div class="audio"&gt;[sound:appreciation.mp3]&lt;/div&gt;</v>
      </c>
      <c r="F3756" s="3" t="str">
        <f t="shared" si="2"/>
        <v>(n): sự cảm kích</v>
      </c>
      <c r="G3756" s="6" t="s">
        <v>50843</v>
      </c>
      <c r="H3756" s="6" t="s">
        <v>50844</v>
      </c>
      <c r="I3756" s="7">
        <f t="shared" si="3"/>
        <v>0.1505003004</v>
      </c>
    </row>
    <row r="3757">
      <c r="A3757" s="4">
        <v>3757.0</v>
      </c>
      <c r="B3757" s="3" t="s">
        <v>50845</v>
      </c>
      <c r="C3757" s="6" t="s">
        <v>74</v>
      </c>
      <c r="D3757" s="6" t="s">
        <v>19129</v>
      </c>
      <c r="E3757" s="3" t="str">
        <f t="shared" si="1"/>
        <v>unity&lt;br&gt;&lt;div class="audio"&gt;[sound:unity.mp3]&lt;/div&gt;</v>
      </c>
      <c r="F3757" s="3" t="str">
        <f t="shared" si="2"/>
        <v>(n): sự đoàn kết</v>
      </c>
      <c r="G3757" s="6" t="s">
        <v>50846</v>
      </c>
      <c r="H3757" s="6" t="s">
        <v>50847</v>
      </c>
      <c r="I3757" s="7">
        <f t="shared" si="3"/>
        <v>0.7244744534</v>
      </c>
    </row>
    <row r="3758">
      <c r="A3758" s="4">
        <v>3758.0</v>
      </c>
      <c r="B3758" s="3" t="s">
        <v>50848</v>
      </c>
      <c r="C3758" s="6" t="s">
        <v>74</v>
      </c>
      <c r="D3758" s="6" t="s">
        <v>42713</v>
      </c>
      <c r="E3758" s="3" t="str">
        <f t="shared" si="1"/>
        <v>trauma&lt;br&gt;&lt;div class="audio"&gt;[sound:trauma.mp3]&lt;/div&gt;</v>
      </c>
      <c r="F3758" s="3" t="str">
        <f t="shared" si="2"/>
        <v>(n): chấn thương</v>
      </c>
      <c r="G3758" s="6" t="s">
        <v>50849</v>
      </c>
      <c r="H3758" s="6" t="s">
        <v>50850</v>
      </c>
      <c r="I3758" s="7">
        <f t="shared" si="3"/>
        <v>0.6826253791</v>
      </c>
    </row>
    <row r="3759">
      <c r="A3759" s="4">
        <v>3759.0</v>
      </c>
      <c r="B3759" s="3" t="s">
        <v>50851</v>
      </c>
      <c r="C3759" s="6" t="s">
        <v>74</v>
      </c>
      <c r="D3759" s="6" t="s">
        <v>50852</v>
      </c>
      <c r="E3759" s="3" t="str">
        <f t="shared" si="1"/>
        <v>enforcement&lt;br&gt;&lt;div class="audio"&gt;[sound:enforcement.mp3]&lt;/div&gt;</v>
      </c>
      <c r="F3759" s="3" t="str">
        <f t="shared" si="2"/>
        <v>(n): sự thi hành</v>
      </c>
      <c r="G3759" s="6" t="s">
        <v>50853</v>
      </c>
      <c r="H3759" s="6" t="s">
        <v>50854</v>
      </c>
      <c r="I3759" s="7">
        <f t="shared" si="3"/>
        <v>0.3070278174</v>
      </c>
    </row>
    <row r="3760">
      <c r="A3760" s="4">
        <v>3760.0</v>
      </c>
      <c r="B3760" s="3" t="s">
        <v>50855</v>
      </c>
      <c r="C3760" s="6" t="s">
        <v>74</v>
      </c>
      <c r="D3760" s="6" t="s">
        <v>50856</v>
      </c>
      <c r="E3760" s="3" t="str">
        <f t="shared" si="1"/>
        <v>bench&lt;br&gt;&lt;div class="audio"&gt;[sound:bench.mp3]&lt;/div&gt;</v>
      </c>
      <c r="F3760" s="3" t="str">
        <f t="shared" si="2"/>
        <v>(n): cái ghế dài</v>
      </c>
      <c r="G3760" s="6" t="s">
        <v>50857</v>
      </c>
      <c r="H3760" s="6" t="s">
        <v>50858</v>
      </c>
      <c r="I3760" s="7">
        <f t="shared" si="3"/>
        <v>0.5248624355</v>
      </c>
    </row>
    <row r="3761">
      <c r="A3761" s="4">
        <v>3761.0</v>
      </c>
      <c r="B3761" s="3" t="s">
        <v>50859</v>
      </c>
      <c r="C3761" s="6" t="s">
        <v>11</v>
      </c>
      <c r="D3761" s="6" t="s">
        <v>50860</v>
      </c>
      <c r="E3761" s="3" t="str">
        <f t="shared" si="1"/>
        <v>systematic&lt;br&gt;&lt;div class="audio"&gt;[sound:systematic.mp3]&lt;/div&gt;</v>
      </c>
      <c r="F3761" s="3" t="str">
        <f t="shared" si="2"/>
        <v>(adj): có hệ thống</v>
      </c>
      <c r="G3761" s="6" t="s">
        <v>50861</v>
      </c>
      <c r="H3761" s="6" t="s">
        <v>50862</v>
      </c>
      <c r="I3761" s="7">
        <f t="shared" si="3"/>
        <v>0.6805920058</v>
      </c>
    </row>
    <row r="3762">
      <c r="A3762" s="4">
        <v>3762.0</v>
      </c>
      <c r="B3762" s="3" t="s">
        <v>50863</v>
      </c>
      <c r="C3762" s="6" t="s">
        <v>74</v>
      </c>
      <c r="D3762" s="6" t="s">
        <v>50864</v>
      </c>
      <c r="E3762" s="3" t="str">
        <f t="shared" si="1"/>
        <v>mess&lt;br&gt;&lt;div class="audio"&gt;[sound:mess.mp3]&lt;/div&gt;</v>
      </c>
      <c r="F3762" s="3" t="str">
        <f t="shared" si="2"/>
        <v>(n): sự bừa bộn</v>
      </c>
      <c r="G3762" s="6" t="s">
        <v>50865</v>
      </c>
      <c r="H3762" s="6" t="s">
        <v>50866</v>
      </c>
      <c r="I3762" s="7">
        <f t="shared" si="3"/>
        <v>0.3519130041</v>
      </c>
    </row>
    <row r="3763">
      <c r="A3763" s="4">
        <v>3763.0</v>
      </c>
      <c r="B3763" s="3" t="s">
        <v>50867</v>
      </c>
      <c r="C3763" s="6" t="s">
        <v>24</v>
      </c>
      <c r="D3763" s="6" t="s">
        <v>50868</v>
      </c>
      <c r="E3763" s="3" t="str">
        <f t="shared" si="1"/>
        <v>extract&lt;br&gt;&lt;div class="audio"&gt;[sound:extract.mp3]&lt;/div&gt;</v>
      </c>
      <c r="F3763" s="3" t="str">
        <f t="shared" si="2"/>
        <v>(v): trích xuất</v>
      </c>
      <c r="G3763" s="6" t="s">
        <v>50869</v>
      </c>
      <c r="H3763" s="6" t="s">
        <v>50870</v>
      </c>
      <c r="I3763" s="7">
        <f t="shared" si="3"/>
        <v>0.2594228779</v>
      </c>
    </row>
    <row r="3764">
      <c r="A3764" s="4">
        <v>3764.0</v>
      </c>
      <c r="B3764" s="3" t="s">
        <v>50871</v>
      </c>
      <c r="C3764" s="6" t="s">
        <v>74</v>
      </c>
      <c r="D3764" s="6" t="s">
        <v>9459</v>
      </c>
      <c r="E3764" s="3" t="str">
        <f t="shared" si="1"/>
        <v>outlook&lt;br&gt;&lt;div class="audio"&gt;[sound:outlook.mp3]&lt;/div&gt;</v>
      </c>
      <c r="F3764" s="3" t="str">
        <f t="shared" si="2"/>
        <v>(n): triển vọng</v>
      </c>
      <c r="G3764" s="6" t="s">
        <v>50872</v>
      </c>
      <c r="H3764" s="6" t="s">
        <v>50873</v>
      </c>
      <c r="I3764" s="7">
        <f t="shared" si="3"/>
        <v>0.1555526931</v>
      </c>
    </row>
    <row r="3765">
      <c r="A3765" s="4">
        <v>3765.0</v>
      </c>
      <c r="B3765" s="3" t="s">
        <v>50874</v>
      </c>
      <c r="C3765" s="6" t="s">
        <v>74</v>
      </c>
      <c r="D3765" s="6" t="s">
        <v>49583</v>
      </c>
      <c r="E3765" s="3" t="str">
        <f t="shared" si="1"/>
        <v>prediction&lt;br&gt;&lt;div class="audio"&gt;[sound:prediction.mp3]&lt;/div&gt;</v>
      </c>
      <c r="F3765" s="3" t="str">
        <f t="shared" si="2"/>
        <v>(n): sự dự đoán</v>
      </c>
      <c r="G3765" s="6" t="s">
        <v>50875</v>
      </c>
      <c r="H3765" s="6" t="s">
        <v>50876</v>
      </c>
      <c r="I3765" s="7">
        <f t="shared" si="3"/>
        <v>0.9425968332</v>
      </c>
    </row>
    <row r="3766">
      <c r="A3766" s="4">
        <v>3766.0</v>
      </c>
      <c r="B3766" s="3" t="s">
        <v>50877</v>
      </c>
      <c r="C3766" s="6" t="s">
        <v>74</v>
      </c>
      <c r="D3766" s="6" t="s">
        <v>5293</v>
      </c>
      <c r="E3766" s="3" t="str">
        <f t="shared" si="1"/>
        <v>width&lt;br&gt;&lt;div class="audio"&gt;[sound:width.mp3]&lt;/div&gt;</v>
      </c>
      <c r="F3766" s="3" t="str">
        <f t="shared" si="2"/>
        <v>(n): chiều rộng</v>
      </c>
      <c r="G3766" s="6" t="s">
        <v>50878</v>
      </c>
      <c r="H3766" s="6" t="s">
        <v>50879</v>
      </c>
      <c r="I3766" s="7">
        <f t="shared" si="3"/>
        <v>0.3033598543</v>
      </c>
    </row>
    <row r="3767">
      <c r="A3767" s="4">
        <v>3767.0</v>
      </c>
      <c r="B3767" s="3" t="s">
        <v>50880</v>
      </c>
      <c r="C3767" s="6" t="s">
        <v>11</v>
      </c>
      <c r="D3767" s="6" t="s">
        <v>50881</v>
      </c>
      <c r="E3767" s="3" t="str">
        <f t="shared" si="1"/>
        <v>passionate&lt;br&gt;&lt;div class="audio"&gt;[sound:passionate.mp3]&lt;/div&gt;</v>
      </c>
      <c r="F3767" s="3" t="str">
        <f t="shared" si="2"/>
        <v>(adj): đầy đam mê</v>
      </c>
      <c r="G3767" s="6" t="s">
        <v>50882</v>
      </c>
      <c r="H3767" s="6" t="s">
        <v>50883</v>
      </c>
      <c r="I3767" s="7">
        <f t="shared" si="3"/>
        <v>0.873684724</v>
      </c>
    </row>
    <row r="3768">
      <c r="A3768" s="4">
        <v>3768.0</v>
      </c>
      <c r="B3768" s="3" t="s">
        <v>50884</v>
      </c>
      <c r="C3768" s="6" t="s">
        <v>11</v>
      </c>
      <c r="D3768" s="6" t="s">
        <v>17924</v>
      </c>
      <c r="E3768" s="3" t="str">
        <f t="shared" si="1"/>
        <v>elegant&lt;br&gt;&lt;div class="audio"&gt;[sound:elegant.mp3]&lt;/div&gt;</v>
      </c>
      <c r="F3768" s="3" t="str">
        <f t="shared" si="2"/>
        <v>(adj): thanh lịch</v>
      </c>
      <c r="G3768" s="6" t="s">
        <v>50885</v>
      </c>
      <c r="H3768" s="6" t="s">
        <v>50886</v>
      </c>
      <c r="I3768" s="7">
        <f t="shared" si="3"/>
        <v>0.1143971036</v>
      </c>
    </row>
    <row r="3769">
      <c r="A3769" s="4">
        <v>3769.0</v>
      </c>
      <c r="B3769" s="3" t="s">
        <v>50887</v>
      </c>
      <c r="C3769" s="6" t="s">
        <v>74</v>
      </c>
      <c r="D3769" s="6" t="s">
        <v>50888</v>
      </c>
      <c r="E3769" s="3" t="str">
        <f t="shared" si="1"/>
        <v>ward&lt;br&gt;&lt;div class="audio"&gt;[sound:ward.mp3]&lt;/div&gt;</v>
      </c>
      <c r="F3769" s="3" t="str">
        <f t="shared" si="2"/>
        <v>(n): phòng bệnh</v>
      </c>
      <c r="G3769" s="6" t="s">
        <v>50889</v>
      </c>
      <c r="H3769" s="6" t="s">
        <v>50890</v>
      </c>
      <c r="I3769" s="7">
        <f t="shared" si="3"/>
        <v>0.3490964527</v>
      </c>
    </row>
    <row r="3770">
      <c r="A3770" s="4">
        <v>3770.0</v>
      </c>
      <c r="B3770" s="3" t="s">
        <v>50891</v>
      </c>
      <c r="C3770" s="6" t="s">
        <v>11</v>
      </c>
      <c r="D3770" s="6" t="s">
        <v>50892</v>
      </c>
      <c r="E3770" s="3" t="str">
        <f t="shared" si="1"/>
        <v>wise&lt;br&gt;&lt;div class="audio"&gt;[sound:wise.mp3]&lt;/div&gt;</v>
      </c>
      <c r="F3770" s="3" t="str">
        <f t="shared" si="2"/>
        <v>(adj): khôn ngoan</v>
      </c>
      <c r="G3770" s="6" t="s">
        <v>50893</v>
      </c>
      <c r="H3770" s="6" t="s">
        <v>50894</v>
      </c>
      <c r="I3770" s="7">
        <f t="shared" si="3"/>
        <v>0.8615037856</v>
      </c>
    </row>
    <row r="3771">
      <c r="A3771" s="4">
        <v>3771.0</v>
      </c>
      <c r="B3771" s="3" t="s">
        <v>50895</v>
      </c>
      <c r="C3771" s="6" t="s">
        <v>11</v>
      </c>
      <c r="D3771" s="6" t="s">
        <v>24304</v>
      </c>
      <c r="E3771" s="3" t="str">
        <f t="shared" si="1"/>
        <v>transparent&lt;br&gt;&lt;div class="audio"&gt;[sound:transparent.mp3]&lt;/div&gt;</v>
      </c>
      <c r="F3771" s="3" t="str">
        <f t="shared" si="2"/>
        <v>(adj): trong suốt</v>
      </c>
      <c r="G3771" s="6" t="s">
        <v>50896</v>
      </c>
      <c r="H3771" s="6" t="s">
        <v>50897</v>
      </c>
      <c r="I3771" s="7">
        <f t="shared" si="3"/>
        <v>0.6129117836</v>
      </c>
    </row>
    <row r="3772">
      <c r="A3772" s="4">
        <v>3772.0</v>
      </c>
      <c r="B3772" s="3" t="s">
        <v>50898</v>
      </c>
      <c r="C3772" s="6" t="s">
        <v>11</v>
      </c>
      <c r="D3772" s="6" t="s">
        <v>50899</v>
      </c>
      <c r="E3772" s="3" t="str">
        <f t="shared" si="1"/>
        <v>intact&lt;br&gt;&lt;div class="audio"&gt;[sound:intact.mp3]&lt;/div&gt;</v>
      </c>
      <c r="F3772" s="3" t="str">
        <f t="shared" si="2"/>
        <v>(adj): nguyên vẹn</v>
      </c>
      <c r="G3772" s="6" t="s">
        <v>50900</v>
      </c>
      <c r="H3772" s="6" t="s">
        <v>50901</v>
      </c>
      <c r="I3772" s="7">
        <f t="shared" si="3"/>
        <v>0.9775517847</v>
      </c>
    </row>
    <row r="3773">
      <c r="A3773" s="4">
        <v>3773.0</v>
      </c>
      <c r="B3773" s="3" t="s">
        <v>50902</v>
      </c>
      <c r="C3773" s="6" t="s">
        <v>74</v>
      </c>
      <c r="D3773" s="6" t="s">
        <v>50903</v>
      </c>
      <c r="E3773" s="3" t="str">
        <f t="shared" si="1"/>
        <v>imagery&lt;br&gt;&lt;div class="audio"&gt;[sound:imagery.mp3]&lt;/div&gt;</v>
      </c>
      <c r="F3773" s="3" t="str">
        <f t="shared" si="2"/>
        <v>(n): hình tượng</v>
      </c>
      <c r="G3773" s="6" t="s">
        <v>50904</v>
      </c>
      <c r="H3773" s="6" t="s">
        <v>50905</v>
      </c>
      <c r="I3773" s="7">
        <f t="shared" si="3"/>
        <v>0.6827999626</v>
      </c>
    </row>
    <row r="3774">
      <c r="A3774" s="4">
        <v>3774.0</v>
      </c>
      <c r="B3774" s="3" t="s">
        <v>50906</v>
      </c>
      <c r="C3774" s="6" t="s">
        <v>24</v>
      </c>
      <c r="D3774" s="6" t="s">
        <v>5906</v>
      </c>
      <c r="E3774" s="3" t="str">
        <f t="shared" si="1"/>
        <v>intensify&lt;br&gt;&lt;div class="audio"&gt;[sound:intensify.mp3]&lt;/div&gt;</v>
      </c>
      <c r="F3774" s="3" t="str">
        <f t="shared" si="2"/>
        <v>(v): tăng cường</v>
      </c>
      <c r="G3774" s="6" t="s">
        <v>50907</v>
      </c>
      <c r="H3774" s="6" t="s">
        <v>50908</v>
      </c>
      <c r="I3774" s="7">
        <f t="shared" si="3"/>
        <v>0.3326968506</v>
      </c>
    </row>
    <row r="3775">
      <c r="A3775" s="4">
        <v>3775.0</v>
      </c>
      <c r="B3775" s="3" t="s">
        <v>50909</v>
      </c>
      <c r="C3775" s="6" t="s">
        <v>11</v>
      </c>
      <c r="D3775" s="6" t="s">
        <v>48146</v>
      </c>
      <c r="E3775" s="3" t="str">
        <f t="shared" si="1"/>
        <v>hopeless&lt;br&gt;&lt;div class="audio"&gt;[sound:hopeless.mp3]&lt;/div&gt;</v>
      </c>
      <c r="F3775" s="3" t="str">
        <f t="shared" si="2"/>
        <v>(adj): tuyệt vọng</v>
      </c>
      <c r="G3775" s="6" t="s">
        <v>50910</v>
      </c>
      <c r="H3775" s="6" t="s">
        <v>50911</v>
      </c>
      <c r="I3775" s="7">
        <f t="shared" si="3"/>
        <v>0.3480800862</v>
      </c>
    </row>
    <row r="3776">
      <c r="A3776" s="4">
        <v>3776.0</v>
      </c>
      <c r="B3776" s="3" t="s">
        <v>50912</v>
      </c>
      <c r="C3776" s="6" t="s">
        <v>74</v>
      </c>
      <c r="D3776" s="6" t="s">
        <v>50913</v>
      </c>
      <c r="E3776" s="3" t="str">
        <f t="shared" si="1"/>
        <v>kingdom&lt;br&gt;&lt;div class="audio"&gt;[sound:kingdom.mp3]&lt;/div&gt;</v>
      </c>
      <c r="F3776" s="3" t="str">
        <f t="shared" si="2"/>
        <v>(n): vương quốc</v>
      </c>
      <c r="G3776" s="6" t="s">
        <v>50914</v>
      </c>
      <c r="H3776" s="6" t="s">
        <v>50915</v>
      </c>
      <c r="I3776" s="7">
        <f t="shared" si="3"/>
        <v>0.9849553811</v>
      </c>
    </row>
    <row r="3777">
      <c r="A3777" s="4">
        <v>3777.0</v>
      </c>
      <c r="B3777" s="3" t="s">
        <v>50916</v>
      </c>
      <c r="C3777" s="6" t="s">
        <v>85</v>
      </c>
      <c r="D3777" s="6" t="s">
        <v>18047</v>
      </c>
      <c r="E3777" s="3" t="str">
        <f t="shared" si="1"/>
        <v>halfway&lt;br&gt;&lt;div class="audio"&gt;[sound:halfway.mp3]&lt;/div&gt;</v>
      </c>
      <c r="F3777" s="3" t="str">
        <f t="shared" si="2"/>
        <v>(adv): giữa chừng</v>
      </c>
      <c r="G3777" s="6" t="s">
        <v>50917</v>
      </c>
      <c r="H3777" s="6" t="s">
        <v>50918</v>
      </c>
      <c r="I3777" s="7">
        <f t="shared" si="3"/>
        <v>0.04852792389</v>
      </c>
    </row>
    <row r="3778">
      <c r="A3778" s="4">
        <v>3778.0</v>
      </c>
      <c r="B3778" s="3" t="s">
        <v>50919</v>
      </c>
      <c r="C3778" s="6" t="s">
        <v>74</v>
      </c>
      <c r="D3778" s="6" t="s">
        <v>50920</v>
      </c>
      <c r="E3778" s="3" t="str">
        <f t="shared" si="1"/>
        <v>pizza&lt;br&gt;&lt;div class="audio"&gt;[sound:pizza.mp3]&lt;/div&gt;</v>
      </c>
      <c r="F3778" s="3" t="str">
        <f t="shared" si="2"/>
        <v>(n): bánh pizza</v>
      </c>
      <c r="G3778" s="6" t="s">
        <v>50921</v>
      </c>
      <c r="H3778" s="6" t="s">
        <v>50922</v>
      </c>
      <c r="I3778" s="7">
        <f t="shared" si="3"/>
        <v>0.3391090686</v>
      </c>
    </row>
    <row r="3779">
      <c r="A3779" s="4">
        <v>3779.0</v>
      </c>
      <c r="B3779" s="3" t="s">
        <v>50923</v>
      </c>
      <c r="C3779" s="6" t="s">
        <v>11</v>
      </c>
      <c r="D3779" s="6" t="s">
        <v>41812</v>
      </c>
      <c r="E3779" s="3" t="str">
        <f t="shared" si="1"/>
        <v>dependent&lt;br&gt;&lt;div class="audio"&gt;[sound:dependent.mp3]&lt;/div&gt;</v>
      </c>
      <c r="F3779" s="3" t="str">
        <f t="shared" si="2"/>
        <v>(adj): phụ thuộc</v>
      </c>
      <c r="G3779" s="6" t="s">
        <v>50924</v>
      </c>
      <c r="H3779" s="6" t="s">
        <v>50925</v>
      </c>
      <c r="I3779" s="7">
        <f t="shared" si="3"/>
        <v>0.9157660052</v>
      </c>
    </row>
    <row r="3780">
      <c r="A3780" s="4">
        <v>3780.0</v>
      </c>
      <c r="B3780" s="3" t="s">
        <v>50926</v>
      </c>
      <c r="C3780" s="6" t="s">
        <v>11</v>
      </c>
      <c r="D3780" s="6" t="s">
        <v>50927</v>
      </c>
      <c r="E3780" s="3" t="str">
        <f t="shared" si="1"/>
        <v>matching&lt;br&gt;&lt;div class="audio"&gt;[sound:matching.mp3]&lt;/div&gt;</v>
      </c>
      <c r="F3780" s="3" t="str">
        <f t="shared" si="2"/>
        <v>(adj): tương ứng</v>
      </c>
      <c r="G3780" s="6" t="s">
        <v>50928</v>
      </c>
      <c r="H3780" s="6" t="s">
        <v>50929</v>
      </c>
      <c r="I3780" s="7">
        <f t="shared" si="3"/>
        <v>0.3088711735</v>
      </c>
    </row>
    <row r="3781">
      <c r="A3781" s="4">
        <v>3781.0</v>
      </c>
      <c r="B3781" s="3" t="s">
        <v>50930</v>
      </c>
      <c r="C3781" s="6" t="s">
        <v>74</v>
      </c>
      <c r="D3781" s="6" t="s">
        <v>19500</v>
      </c>
      <c r="E3781" s="3" t="str">
        <f t="shared" si="1"/>
        <v>homeland&lt;br&gt;&lt;div class="audio"&gt;[sound:homeland.mp3]&lt;/div&gt;</v>
      </c>
      <c r="F3781" s="3" t="str">
        <f t="shared" si="2"/>
        <v>(n): quê hương</v>
      </c>
      <c r="G3781" s="6" t="s">
        <v>50931</v>
      </c>
      <c r="H3781" s="6" t="s">
        <v>50932</v>
      </c>
      <c r="I3781" s="7">
        <f t="shared" si="3"/>
        <v>0.9756762808</v>
      </c>
    </row>
    <row r="3782">
      <c r="A3782" s="4">
        <v>3782.0</v>
      </c>
      <c r="B3782" s="3" t="s">
        <v>50933</v>
      </c>
      <c r="C3782" s="6" t="s">
        <v>85</v>
      </c>
      <c r="D3782" s="6" t="s">
        <v>4743</v>
      </c>
      <c r="E3782" s="3" t="str">
        <f t="shared" si="1"/>
        <v>altogether&lt;br&gt;&lt;div class="audio"&gt;[sound:altogether.mp3]&lt;/div&gt;</v>
      </c>
      <c r="F3782" s="3" t="str">
        <f t="shared" si="2"/>
        <v>(adv): hoàn toàn</v>
      </c>
      <c r="G3782" s="6" t="s">
        <v>50934</v>
      </c>
      <c r="H3782" s="6" t="s">
        <v>50935</v>
      </c>
      <c r="I3782" s="7">
        <f t="shared" si="3"/>
        <v>0.8224454151</v>
      </c>
    </row>
    <row r="3783">
      <c r="A3783" s="4">
        <v>3783.0</v>
      </c>
      <c r="B3783" s="3" t="s">
        <v>50936</v>
      </c>
      <c r="C3783" s="6" t="s">
        <v>11</v>
      </c>
      <c r="D3783" s="6" t="s">
        <v>50937</v>
      </c>
      <c r="E3783" s="3" t="str">
        <f t="shared" si="1"/>
        <v>unfortunate&lt;br&gt;&lt;div class="audio"&gt;[sound:unfortunate.mp3]&lt;/div&gt;</v>
      </c>
      <c r="F3783" s="3" t="str">
        <f t="shared" si="2"/>
        <v>(adj): không may</v>
      </c>
      <c r="G3783" s="6" t="s">
        <v>50938</v>
      </c>
      <c r="H3783" s="6" t="s">
        <v>50939</v>
      </c>
      <c r="I3783" s="7">
        <f t="shared" si="3"/>
        <v>0.4610681641</v>
      </c>
    </row>
    <row r="3784">
      <c r="A3784" s="4">
        <v>3784.0</v>
      </c>
      <c r="B3784" s="3" t="s">
        <v>50940</v>
      </c>
      <c r="C3784" s="6" t="s">
        <v>24</v>
      </c>
      <c r="D3784" s="6" t="s">
        <v>50941</v>
      </c>
      <c r="E3784" s="3" t="str">
        <f t="shared" si="1"/>
        <v>coincide&lt;br&gt;&lt;div class="audio"&gt;[sound:coincide.mp3]&lt;/div&gt;</v>
      </c>
      <c r="F3784" s="3" t="str">
        <f t="shared" si="2"/>
        <v>(v): trùng hợp</v>
      </c>
      <c r="G3784" s="6" t="s">
        <v>50942</v>
      </c>
      <c r="H3784" s="6" t="s">
        <v>50943</v>
      </c>
      <c r="I3784" s="7">
        <f t="shared" si="3"/>
        <v>0.8782050007</v>
      </c>
    </row>
    <row r="3785">
      <c r="A3785" s="4">
        <v>3785.0</v>
      </c>
      <c r="B3785" s="3" t="s">
        <v>50944</v>
      </c>
      <c r="C3785" s="6" t="s">
        <v>24</v>
      </c>
      <c r="D3785" s="6" t="s">
        <v>50945</v>
      </c>
      <c r="E3785" s="3" t="str">
        <f t="shared" si="1"/>
        <v>tighten&lt;br&gt;&lt;div class="audio"&gt;[sound:tighten.mp3]&lt;/div&gt;</v>
      </c>
      <c r="F3785" s="3" t="str">
        <f t="shared" si="2"/>
        <v>(v): thắt chặt</v>
      </c>
      <c r="G3785" s="6" t="s">
        <v>50946</v>
      </c>
      <c r="H3785" s="6" t="s">
        <v>50947</v>
      </c>
      <c r="I3785" s="7">
        <f t="shared" si="3"/>
        <v>0.6627672088</v>
      </c>
    </row>
    <row r="3786">
      <c r="A3786" s="4">
        <v>3786.0</v>
      </c>
      <c r="B3786" s="3" t="s">
        <v>50948</v>
      </c>
      <c r="C3786" s="6" t="s">
        <v>11</v>
      </c>
      <c r="D3786" s="6" t="s">
        <v>50949</v>
      </c>
      <c r="E3786" s="3" t="str">
        <f t="shared" si="1"/>
        <v>pregnant&lt;br&gt;&lt;div class="audio"&gt;[sound:pregnant.mp3]&lt;/div&gt;</v>
      </c>
      <c r="F3786" s="3" t="str">
        <f t="shared" si="2"/>
        <v>(adj): mang thai</v>
      </c>
      <c r="G3786" s="6" t="s">
        <v>50950</v>
      </c>
      <c r="H3786" s="6" t="s">
        <v>50951</v>
      </c>
      <c r="I3786" s="7">
        <f t="shared" si="3"/>
        <v>0.7094715599</v>
      </c>
    </row>
    <row r="3787">
      <c r="A3787" s="4">
        <v>3787.0</v>
      </c>
      <c r="B3787" s="3" t="s">
        <v>50952</v>
      </c>
      <c r="C3787" s="6" t="s">
        <v>11</v>
      </c>
      <c r="D3787" s="6" t="s">
        <v>50953</v>
      </c>
      <c r="E3787" s="3" t="str">
        <f t="shared" si="1"/>
        <v>pale&lt;br&gt;&lt;div class="audio"&gt;[sound:pale.mp3]&lt;/div&gt;</v>
      </c>
      <c r="F3787" s="3" t="str">
        <f t="shared" si="2"/>
        <v>(adj): nhợt nhạt</v>
      </c>
      <c r="G3787" s="6" t="s">
        <v>50954</v>
      </c>
      <c r="H3787" s="6" t="s">
        <v>50955</v>
      </c>
      <c r="I3787" s="7">
        <f t="shared" si="3"/>
        <v>0.5014278341</v>
      </c>
    </row>
    <row r="3788">
      <c r="A3788" s="4">
        <v>3788.0</v>
      </c>
      <c r="B3788" s="3" t="s">
        <v>50956</v>
      </c>
      <c r="C3788" s="6" t="s">
        <v>74</v>
      </c>
      <c r="D3788" s="6" t="s">
        <v>8642</v>
      </c>
      <c r="E3788" s="3" t="str">
        <f t="shared" si="1"/>
        <v>architecture&lt;br&gt;&lt;div class="audio"&gt;[sound:architecture.mp3]&lt;/div&gt;</v>
      </c>
      <c r="F3788" s="3" t="str">
        <f t="shared" si="2"/>
        <v>(n): kiến trúc</v>
      </c>
      <c r="G3788" s="6" t="s">
        <v>50957</v>
      </c>
      <c r="H3788" s="6" t="s">
        <v>50958</v>
      </c>
      <c r="I3788" s="7">
        <f t="shared" si="3"/>
        <v>0.3976672992</v>
      </c>
    </row>
    <row r="3789">
      <c r="A3789" s="4">
        <v>3789.0</v>
      </c>
      <c r="B3789" s="3" t="s">
        <v>50959</v>
      </c>
      <c r="C3789" s="6" t="s">
        <v>74</v>
      </c>
      <c r="D3789" s="6" t="s">
        <v>50960</v>
      </c>
      <c r="E3789" s="3" t="str">
        <f t="shared" si="1"/>
        <v>lane&lt;br&gt;&lt;div class="audio"&gt;[sound:lane.mp3]&lt;/div&gt;</v>
      </c>
      <c r="F3789" s="3" t="str">
        <f t="shared" si="2"/>
        <v>(n): làn đường</v>
      </c>
      <c r="G3789" s="6" t="s">
        <v>50961</v>
      </c>
      <c r="H3789" s="6" t="s">
        <v>50962</v>
      </c>
      <c r="I3789" s="7">
        <f t="shared" si="3"/>
        <v>0.4819153282</v>
      </c>
    </row>
    <row r="3790">
      <c r="A3790" s="4">
        <v>3790.0</v>
      </c>
      <c r="B3790" s="3" t="s">
        <v>50963</v>
      </c>
      <c r="C3790" s="6" t="s">
        <v>85</v>
      </c>
      <c r="D3790" s="6" t="s">
        <v>49785</v>
      </c>
      <c r="E3790" s="3" t="str">
        <f t="shared" si="1"/>
        <v>indoors&lt;br&gt;&lt;div class="audio"&gt;[sound:indoors.mp3]&lt;/div&gt;</v>
      </c>
      <c r="F3790" s="3" t="str">
        <f t="shared" si="2"/>
        <v>(adv): trong nhà</v>
      </c>
      <c r="G3790" s="6" t="s">
        <v>50964</v>
      </c>
      <c r="H3790" s="6" t="s">
        <v>50965</v>
      </c>
      <c r="I3790" s="7">
        <f t="shared" si="3"/>
        <v>0.251952416</v>
      </c>
    </row>
    <row r="3791">
      <c r="A3791" s="4">
        <v>3791.0</v>
      </c>
      <c r="B3791" s="3" t="s">
        <v>18080</v>
      </c>
      <c r="C3791" s="6" t="s">
        <v>74</v>
      </c>
      <c r="D3791" s="6" t="s">
        <v>50966</v>
      </c>
      <c r="E3791" s="3" t="str">
        <f t="shared" si="1"/>
        <v>vitamin&lt;br&gt;&lt;div class="audio"&gt;[sound:vitamin.mp3]&lt;/div&gt;</v>
      </c>
      <c r="F3791" s="3" t="str">
        <f t="shared" si="2"/>
        <v>(n): vi-ta-min</v>
      </c>
      <c r="G3791" s="6" t="s">
        <v>50967</v>
      </c>
      <c r="H3791" s="6" t="s">
        <v>50968</v>
      </c>
      <c r="I3791" s="7">
        <f t="shared" si="3"/>
        <v>0.3003680265</v>
      </c>
    </row>
    <row r="3792">
      <c r="A3792" s="4">
        <v>3792.0</v>
      </c>
      <c r="B3792" s="3" t="s">
        <v>50969</v>
      </c>
      <c r="C3792" s="6" t="s">
        <v>74</v>
      </c>
      <c r="D3792" s="6" t="s">
        <v>6833</v>
      </c>
      <c r="E3792" s="3" t="str">
        <f t="shared" si="1"/>
        <v>gig&lt;br&gt;&lt;div class="audio"&gt;[sound:gig.mp3]&lt;/div&gt;</v>
      </c>
      <c r="F3792" s="3" t="str">
        <f t="shared" si="2"/>
        <v>(n): buổi diễn</v>
      </c>
      <c r="G3792" s="6" t="s">
        <v>50970</v>
      </c>
      <c r="H3792" s="6" t="s">
        <v>50971</v>
      </c>
      <c r="I3792" s="7">
        <f t="shared" si="3"/>
        <v>0.2994808745</v>
      </c>
    </row>
    <row r="3793">
      <c r="A3793" s="4">
        <v>3793.0</v>
      </c>
      <c r="B3793" s="3" t="s">
        <v>50972</v>
      </c>
      <c r="C3793" s="6" t="s">
        <v>74</v>
      </c>
      <c r="D3793" s="6" t="s">
        <v>50973</v>
      </c>
      <c r="E3793" s="3" t="str">
        <f t="shared" si="1"/>
        <v>congregation&lt;br&gt;&lt;div class="audio"&gt;[sound:congregation.mp3]&lt;/div&gt;</v>
      </c>
      <c r="F3793" s="3" t="str">
        <f t="shared" si="2"/>
        <v>(n): giáo đoàn</v>
      </c>
      <c r="G3793" s="6" t="s">
        <v>50974</v>
      </c>
      <c r="H3793" s="6" t="s">
        <v>50975</v>
      </c>
      <c r="I3793" s="7">
        <f t="shared" si="3"/>
        <v>0.7174828965</v>
      </c>
    </row>
    <row r="3794">
      <c r="A3794" s="4">
        <v>3794.0</v>
      </c>
      <c r="B3794" s="3" t="s">
        <v>50976</v>
      </c>
      <c r="C3794" s="6" t="s">
        <v>74</v>
      </c>
      <c r="D3794" s="6" t="s">
        <v>50977</v>
      </c>
      <c r="E3794" s="3" t="str">
        <f t="shared" si="1"/>
        <v>elevator&lt;br&gt;&lt;div class="audio"&gt;[sound:elevator.mp3]&lt;/div&gt;</v>
      </c>
      <c r="F3794" s="3" t="str">
        <f t="shared" si="2"/>
        <v>(n): thang máy</v>
      </c>
      <c r="G3794" s="6" t="s">
        <v>50978</v>
      </c>
      <c r="H3794" s="6" t="s">
        <v>50979</v>
      </c>
      <c r="I3794" s="7">
        <f t="shared" si="3"/>
        <v>0.4803650212</v>
      </c>
    </row>
    <row r="3795">
      <c r="A3795" s="4">
        <v>3795.0</v>
      </c>
      <c r="B3795" s="3" t="s">
        <v>50980</v>
      </c>
      <c r="C3795" s="6" t="s">
        <v>74</v>
      </c>
      <c r="D3795" s="6" t="s">
        <v>28401</v>
      </c>
      <c r="E3795" s="3" t="str">
        <f t="shared" si="1"/>
        <v>gang&lt;br&gt;&lt;div class="audio"&gt;[sound:gang.mp3]&lt;/div&gt;</v>
      </c>
      <c r="F3795" s="3" t="str">
        <f t="shared" si="2"/>
        <v>(n): băng nhóm</v>
      </c>
      <c r="G3795" s="6" t="s">
        <v>50981</v>
      </c>
      <c r="H3795" s="6" t="s">
        <v>50982</v>
      </c>
      <c r="I3795" s="7">
        <f t="shared" si="3"/>
        <v>0.4497407699</v>
      </c>
    </row>
    <row r="3796">
      <c r="A3796" s="4">
        <v>3796.0</v>
      </c>
      <c r="B3796" s="3" t="s">
        <v>50983</v>
      </c>
      <c r="C3796" s="6" t="s">
        <v>85</v>
      </c>
      <c r="D3796" s="6" t="s">
        <v>50984</v>
      </c>
      <c r="E3796" s="3" t="str">
        <f t="shared" si="1"/>
        <v>upwards&lt;br&gt;&lt;div class="audio"&gt;[sound:upwards.mp3]&lt;/div&gt;</v>
      </c>
      <c r="F3796" s="3" t="str">
        <f t="shared" si="2"/>
        <v>(adv): hướng lên</v>
      </c>
      <c r="G3796" s="6" t="s">
        <v>50985</v>
      </c>
      <c r="H3796" s="6" t="s">
        <v>50986</v>
      </c>
      <c r="I3796" s="7">
        <f t="shared" si="3"/>
        <v>0.3702185482</v>
      </c>
    </row>
    <row r="3797">
      <c r="A3797" s="4">
        <v>3797.0</v>
      </c>
      <c r="B3797" s="3" t="s">
        <v>50987</v>
      </c>
      <c r="C3797" s="6" t="s">
        <v>74</v>
      </c>
      <c r="D3797" s="6" t="s">
        <v>50988</v>
      </c>
      <c r="E3797" s="3" t="str">
        <f t="shared" si="1"/>
        <v>bias&lt;br&gt;&lt;div class="audio"&gt;[sound:bias.mp3]&lt;/div&gt;</v>
      </c>
      <c r="F3797" s="3" t="str">
        <f t="shared" si="2"/>
        <v>(n): định kiến</v>
      </c>
      <c r="G3797" s="6" t="s">
        <v>50989</v>
      </c>
      <c r="H3797" s="6" t="s">
        <v>50990</v>
      </c>
      <c r="I3797" s="7">
        <f t="shared" si="3"/>
        <v>0.5258931417</v>
      </c>
    </row>
    <row r="3798">
      <c r="A3798" s="4">
        <v>3798.0</v>
      </c>
      <c r="B3798" s="3" t="s">
        <v>50991</v>
      </c>
      <c r="C3798" s="6" t="s">
        <v>74</v>
      </c>
      <c r="D3798" s="6" t="s">
        <v>19358</v>
      </c>
      <c r="E3798" s="3" t="str">
        <f t="shared" si="1"/>
        <v>jazz&lt;br&gt;&lt;div class="audio"&gt;[sound:jazz.mp3]&lt;/div&gt;</v>
      </c>
      <c r="F3798" s="3" t="str">
        <f t="shared" si="2"/>
        <v>(n): nhạc jazz</v>
      </c>
      <c r="G3798" s="6" t="s">
        <v>50992</v>
      </c>
      <c r="H3798" s="6" t="s">
        <v>50993</v>
      </c>
      <c r="I3798" s="7">
        <f t="shared" si="3"/>
        <v>0.0437550589</v>
      </c>
    </row>
    <row r="3799">
      <c r="A3799" s="4">
        <v>3799.0</v>
      </c>
      <c r="B3799" s="3" t="s">
        <v>50994</v>
      </c>
      <c r="C3799" s="6" t="s">
        <v>74</v>
      </c>
      <c r="D3799" s="6" t="s">
        <v>19425</v>
      </c>
      <c r="E3799" s="3" t="str">
        <f t="shared" si="1"/>
        <v>alliance&lt;br&gt;&lt;div class="audio"&gt;[sound:alliance.mp3]&lt;/div&gt;</v>
      </c>
      <c r="F3799" s="3" t="str">
        <f t="shared" si="2"/>
        <v>(n): liên minh</v>
      </c>
      <c r="G3799" s="6" t="s">
        <v>50995</v>
      </c>
      <c r="H3799" s="6" t="s">
        <v>50996</v>
      </c>
      <c r="I3799" s="7">
        <f t="shared" si="3"/>
        <v>0.5248934616</v>
      </c>
    </row>
    <row r="3800">
      <c r="A3800" s="4">
        <v>3800.0</v>
      </c>
      <c r="B3800" s="3" t="s">
        <v>50997</v>
      </c>
      <c r="C3800" s="6" t="s">
        <v>74</v>
      </c>
      <c r="D3800" s="6" t="s">
        <v>50998</v>
      </c>
      <c r="E3800" s="3" t="str">
        <f t="shared" si="1"/>
        <v>footage&lt;br&gt;&lt;div class="audio"&gt;[sound:footage.mp3]&lt;/div&gt;</v>
      </c>
      <c r="F3800" s="3" t="str">
        <f t="shared" si="2"/>
        <v>(n): đoạn phim</v>
      </c>
      <c r="G3800" s="6" t="s">
        <v>50999</v>
      </c>
      <c r="H3800" s="6" t="s">
        <v>51000</v>
      </c>
      <c r="I3800" s="7">
        <f t="shared" si="3"/>
        <v>0.7064877083</v>
      </c>
    </row>
    <row r="3801">
      <c r="A3801" s="4">
        <v>3801.0</v>
      </c>
      <c r="B3801" s="3" t="s">
        <v>51001</v>
      </c>
      <c r="C3801" s="6" t="s">
        <v>74</v>
      </c>
      <c r="D3801" s="6" t="s">
        <v>45789</v>
      </c>
      <c r="E3801" s="3" t="str">
        <f t="shared" si="1"/>
        <v>workshop&lt;br&gt;&lt;div class="audio"&gt;[sound:workshop.mp3]&lt;/div&gt;</v>
      </c>
      <c r="F3801" s="3" t="str">
        <f t="shared" si="2"/>
        <v>(n): hội thảo</v>
      </c>
      <c r="G3801" s="6" t="s">
        <v>51002</v>
      </c>
      <c r="H3801" s="6" t="s">
        <v>51003</v>
      </c>
      <c r="I3801" s="7">
        <f t="shared" si="3"/>
        <v>0.2725158098</v>
      </c>
    </row>
    <row r="3802">
      <c r="A3802" s="4">
        <v>3802.0</v>
      </c>
      <c r="B3802" s="3" t="s">
        <v>51004</v>
      </c>
      <c r="C3802" s="6" t="s">
        <v>24</v>
      </c>
      <c r="D3802" s="6" t="s">
        <v>51005</v>
      </c>
      <c r="E3802" s="3" t="str">
        <f t="shared" si="1"/>
        <v>bang&lt;br&gt;&lt;div class="audio"&gt;[sound:bang.mp3]&lt;/div&gt;</v>
      </c>
      <c r="F3802" s="3" t="str">
        <f t="shared" si="2"/>
        <v>(v): đập mạnh</v>
      </c>
      <c r="G3802" s="6" t="s">
        <v>51006</v>
      </c>
      <c r="H3802" s="6" t="s">
        <v>51007</v>
      </c>
      <c r="I3802" s="7">
        <f t="shared" si="3"/>
        <v>0.947364296</v>
      </c>
    </row>
    <row r="3803">
      <c r="A3803" s="4">
        <v>3803.0</v>
      </c>
      <c r="B3803" s="3" t="s">
        <v>51008</v>
      </c>
      <c r="C3803" s="6" t="s">
        <v>74</v>
      </c>
      <c r="D3803" s="6" t="s">
        <v>51009</v>
      </c>
      <c r="E3803" s="3" t="str">
        <f t="shared" si="1"/>
        <v>cookie&lt;br&gt;&lt;div class="audio"&gt;[sound:cookie.mp3]&lt;/div&gt;</v>
      </c>
      <c r="F3803" s="3" t="str">
        <f t="shared" si="2"/>
        <v>(n): bánh quy</v>
      </c>
      <c r="G3803" s="6" t="s">
        <v>51010</v>
      </c>
      <c r="H3803" s="6" t="s">
        <v>51011</v>
      </c>
      <c r="I3803" s="7">
        <f t="shared" si="3"/>
        <v>0.2992346916</v>
      </c>
    </row>
    <row r="3804">
      <c r="A3804" s="4">
        <v>3804.0</v>
      </c>
      <c r="B3804" s="3" t="s">
        <v>51012</v>
      </c>
      <c r="C3804" s="6" t="s">
        <v>74</v>
      </c>
      <c r="D3804" s="6" t="s">
        <v>51013</v>
      </c>
      <c r="E3804" s="3" t="str">
        <f t="shared" si="1"/>
        <v>lap&lt;br&gt;&lt;div class="audio"&gt;[sound:lap.mp3]&lt;/div&gt;</v>
      </c>
      <c r="F3804" s="3" t="str">
        <f t="shared" si="2"/>
        <v>(n): vòng đua</v>
      </c>
      <c r="G3804" s="6" t="s">
        <v>51014</v>
      </c>
      <c r="H3804" s="6" t="s">
        <v>51015</v>
      </c>
      <c r="I3804" s="7">
        <f t="shared" si="3"/>
        <v>0.4705616703</v>
      </c>
    </row>
    <row r="3805">
      <c r="A3805" s="4">
        <v>3805.0</v>
      </c>
      <c r="B3805" s="3" t="s">
        <v>51016</v>
      </c>
      <c r="C3805" s="6" t="s">
        <v>11</v>
      </c>
      <c r="D3805" s="6" t="s">
        <v>3585</v>
      </c>
      <c r="E3805" s="3" t="str">
        <f t="shared" si="1"/>
        <v>interim&lt;br&gt;&lt;div class="audio"&gt;[sound:interim.mp3]&lt;/div&gt;</v>
      </c>
      <c r="F3805" s="3" t="str">
        <f t="shared" si="2"/>
        <v>(adj): tạm thời</v>
      </c>
      <c r="G3805" s="6" t="s">
        <v>51017</v>
      </c>
      <c r="H3805" s="6" t="s">
        <v>51018</v>
      </c>
      <c r="I3805" s="7">
        <f t="shared" si="3"/>
        <v>0.7267347248</v>
      </c>
    </row>
    <row r="3806">
      <c r="A3806" s="4">
        <v>3806.0</v>
      </c>
      <c r="B3806" s="3" t="s">
        <v>51019</v>
      </c>
      <c r="C3806" s="6" t="s">
        <v>74</v>
      </c>
      <c r="D3806" s="6" t="s">
        <v>51020</v>
      </c>
      <c r="E3806" s="3" t="str">
        <f t="shared" si="1"/>
        <v>trousers&lt;br&gt;&lt;div class="audio"&gt;[sound:trousers.mp3]&lt;/div&gt;</v>
      </c>
      <c r="F3806" s="3" t="str">
        <f t="shared" si="2"/>
        <v>(n): quần dài</v>
      </c>
      <c r="G3806" s="6" t="s">
        <v>51021</v>
      </c>
      <c r="H3806" s="6" t="s">
        <v>51022</v>
      </c>
      <c r="I3806" s="7">
        <f t="shared" si="3"/>
        <v>0.3451638462</v>
      </c>
    </row>
    <row r="3807">
      <c r="A3807" s="4">
        <v>3807.0</v>
      </c>
      <c r="B3807" s="3" t="s">
        <v>51023</v>
      </c>
      <c r="C3807" s="6" t="s">
        <v>11</v>
      </c>
      <c r="D3807" s="6" t="s">
        <v>19587</v>
      </c>
      <c r="E3807" s="3" t="str">
        <f t="shared" si="1"/>
        <v>awake&lt;br&gt;&lt;div class="audio"&gt;[sound:awake.mp3]&lt;/div&gt;</v>
      </c>
      <c r="F3807" s="3" t="str">
        <f t="shared" si="2"/>
        <v>(adj): tỉnh táo</v>
      </c>
      <c r="G3807" s="6" t="s">
        <v>51024</v>
      </c>
      <c r="H3807" s="6" t="s">
        <v>51025</v>
      </c>
      <c r="I3807" s="7">
        <f t="shared" si="3"/>
        <v>0.2830009052</v>
      </c>
    </row>
    <row r="3808">
      <c r="A3808" s="4">
        <v>3808.0</v>
      </c>
      <c r="B3808" s="3" t="s">
        <v>51026</v>
      </c>
      <c r="C3808" s="6" t="s">
        <v>11</v>
      </c>
      <c r="D3808" s="6" t="s">
        <v>3455</v>
      </c>
      <c r="E3808" s="3" t="str">
        <f t="shared" si="1"/>
        <v>widespread&lt;br&gt;&lt;div class="audio"&gt;[sound:widespread.mp3]&lt;/div&gt;</v>
      </c>
      <c r="F3808" s="3" t="str">
        <f t="shared" si="2"/>
        <v>(adj): phổ biến</v>
      </c>
      <c r="G3808" s="6" t="s">
        <v>51027</v>
      </c>
      <c r="H3808" s="6" t="s">
        <v>51028</v>
      </c>
      <c r="I3808" s="7">
        <f t="shared" si="3"/>
        <v>0.6406905195</v>
      </c>
    </row>
    <row r="3809">
      <c r="A3809" s="4">
        <v>3809.0</v>
      </c>
      <c r="B3809" s="3" t="s">
        <v>51029</v>
      </c>
      <c r="C3809" s="6" t="s">
        <v>85</v>
      </c>
      <c r="D3809" s="6" t="s">
        <v>19560</v>
      </c>
      <c r="E3809" s="3" t="str">
        <f t="shared" si="1"/>
        <v>partially&lt;br&gt;&lt;div class="audio"&gt;[sound:partially.mp3]&lt;/div&gt;</v>
      </c>
      <c r="F3809" s="3" t="str">
        <f t="shared" si="2"/>
        <v>(adv): một phần</v>
      </c>
      <c r="G3809" s="6" t="s">
        <v>51030</v>
      </c>
      <c r="H3809" s="6" t="s">
        <v>51031</v>
      </c>
      <c r="I3809" s="7">
        <f t="shared" si="3"/>
        <v>0.07775225256</v>
      </c>
    </row>
    <row r="3810">
      <c r="A3810" s="4">
        <v>3810.0</v>
      </c>
      <c r="B3810" s="3" t="s">
        <v>51032</v>
      </c>
      <c r="C3810" s="6" t="s">
        <v>24</v>
      </c>
      <c r="D3810" s="6" t="s">
        <v>51033</v>
      </c>
      <c r="E3810" s="3" t="str">
        <f t="shared" si="1"/>
        <v>verify&lt;br&gt;&lt;div class="audio"&gt;[sound:verify.mp3]&lt;/div&gt;</v>
      </c>
      <c r="F3810" s="3" t="str">
        <f t="shared" si="2"/>
        <v>(v): xác minh</v>
      </c>
      <c r="G3810" s="6" t="s">
        <v>51034</v>
      </c>
      <c r="H3810" s="6" t="s">
        <v>51035</v>
      </c>
      <c r="I3810" s="7">
        <f t="shared" si="3"/>
        <v>0.5961862358</v>
      </c>
    </row>
    <row r="3811">
      <c r="A3811" s="4">
        <v>3811.0</v>
      </c>
      <c r="B3811" s="3" t="s">
        <v>51036</v>
      </c>
      <c r="C3811" s="6" t="s">
        <v>11</v>
      </c>
      <c r="D3811" s="6" t="s">
        <v>51037</v>
      </c>
      <c r="E3811" s="3" t="str">
        <f t="shared" si="1"/>
        <v>elderly&lt;br&gt;&lt;div class="audio"&gt;[sound:elderly.mp3]&lt;/div&gt;</v>
      </c>
      <c r="F3811" s="3" t="str">
        <f t="shared" si="2"/>
        <v>(adj): cao tuổi</v>
      </c>
      <c r="G3811" s="6" t="s">
        <v>51038</v>
      </c>
      <c r="H3811" s="6" t="s">
        <v>51039</v>
      </c>
      <c r="I3811" s="7">
        <f t="shared" si="3"/>
        <v>0.2855948301</v>
      </c>
    </row>
    <row r="3812">
      <c r="A3812" s="4">
        <v>3812.0</v>
      </c>
      <c r="B3812" s="3" t="s">
        <v>51040</v>
      </c>
      <c r="C3812" s="6" t="s">
        <v>58</v>
      </c>
      <c r="D3812" s="6" t="s">
        <v>51041</v>
      </c>
      <c r="E3812" s="3" t="str">
        <f t="shared" si="1"/>
        <v>fourteen&lt;br&gt;&lt;div class="audio"&gt;[sound:fourteen.mp3]&lt;/div&gt;</v>
      </c>
      <c r="F3812" s="3" t="str">
        <f t="shared" si="2"/>
        <v>(num): mười bốn</v>
      </c>
      <c r="G3812" s="6" t="s">
        <v>51042</v>
      </c>
      <c r="H3812" s="6" t="s">
        <v>51043</v>
      </c>
      <c r="I3812" s="7">
        <f t="shared" si="3"/>
        <v>0.5807067786</v>
      </c>
    </row>
    <row r="3813">
      <c r="A3813" s="4">
        <v>3813.0</v>
      </c>
      <c r="B3813" s="3" t="s">
        <v>51044</v>
      </c>
      <c r="C3813" s="6" t="s">
        <v>11</v>
      </c>
      <c r="D3813" s="6" t="s">
        <v>17148</v>
      </c>
      <c r="E3813" s="3" t="str">
        <f t="shared" si="1"/>
        <v>keen&lt;br&gt;&lt;div class="audio"&gt;[sound:keen.mp3]&lt;/div&gt;</v>
      </c>
      <c r="F3813" s="3" t="str">
        <f t="shared" si="2"/>
        <v>(adj): hăng hái</v>
      </c>
      <c r="G3813" s="6" t="s">
        <v>51045</v>
      </c>
      <c r="H3813" s="6" t="s">
        <v>51046</v>
      </c>
      <c r="I3813" s="7">
        <f t="shared" si="3"/>
        <v>0.3713809138</v>
      </c>
    </row>
    <row r="3814">
      <c r="A3814" s="4">
        <v>3814.0</v>
      </c>
      <c r="B3814" s="3" t="s">
        <v>51047</v>
      </c>
      <c r="C3814" s="6" t="s">
        <v>74</v>
      </c>
      <c r="D3814" s="6" t="s">
        <v>51048</v>
      </c>
      <c r="E3814" s="3" t="str">
        <f t="shared" si="1"/>
        <v>mystery&lt;br&gt;&lt;div class="audio"&gt;[sound:mystery.mp3]&lt;/div&gt;</v>
      </c>
      <c r="F3814" s="3" t="str">
        <f t="shared" si="2"/>
        <v>(n): sự bí ẩn</v>
      </c>
      <c r="G3814" s="6" t="s">
        <v>51049</v>
      </c>
      <c r="H3814" s="6" t="s">
        <v>51050</v>
      </c>
      <c r="I3814" s="7">
        <f t="shared" si="3"/>
        <v>0.2515567557</v>
      </c>
    </row>
    <row r="3815">
      <c r="A3815" s="4">
        <v>3815.0</v>
      </c>
      <c r="B3815" s="3" t="s">
        <v>51051</v>
      </c>
      <c r="C3815" s="6" t="s">
        <v>85</v>
      </c>
      <c r="D3815" s="6" t="s">
        <v>44548</v>
      </c>
      <c r="E3815" s="3" t="str">
        <f t="shared" si="1"/>
        <v>annually&lt;br&gt;&lt;div class="audio"&gt;[sound:annually.mp3]&lt;/div&gt;</v>
      </c>
      <c r="F3815" s="3" t="str">
        <f t="shared" si="2"/>
        <v>(adv): hàng năm</v>
      </c>
      <c r="G3815" s="6" t="s">
        <v>51052</v>
      </c>
      <c r="H3815" s="6" t="s">
        <v>51053</v>
      </c>
      <c r="I3815" s="7">
        <f t="shared" si="3"/>
        <v>0.2916875704</v>
      </c>
    </row>
    <row r="3816">
      <c r="A3816" s="4">
        <v>3816.0</v>
      </c>
      <c r="B3816" s="3" t="s">
        <v>51054</v>
      </c>
      <c r="C3816" s="6" t="s">
        <v>74</v>
      </c>
      <c r="D3816" s="6" t="s">
        <v>51055</v>
      </c>
      <c r="E3816" s="3" t="str">
        <f t="shared" si="1"/>
        <v>offering&lt;br&gt;&lt;div class="audio"&gt;[sound:offering.mp3]&lt;/div&gt;</v>
      </c>
      <c r="F3816" s="3" t="str">
        <f t="shared" si="2"/>
        <v>(n): vật phẩm</v>
      </c>
      <c r="G3816" s="6" t="s">
        <v>51056</v>
      </c>
      <c r="H3816" s="6" t="s">
        <v>51057</v>
      </c>
      <c r="I3816" s="7">
        <f t="shared" si="3"/>
        <v>0.7896744511</v>
      </c>
    </row>
    <row r="3817">
      <c r="A3817" s="4">
        <v>3817.0</v>
      </c>
      <c r="B3817" s="3" t="s">
        <v>51058</v>
      </c>
      <c r="C3817" s="6" t="s">
        <v>74</v>
      </c>
      <c r="D3817" s="6" t="s">
        <v>51059</v>
      </c>
      <c r="E3817" s="3" t="str">
        <f t="shared" si="1"/>
        <v>utility&lt;br&gt;&lt;div class="audio"&gt;[sound:utility.mp3]&lt;/div&gt;</v>
      </c>
      <c r="F3817" s="3" t="str">
        <f t="shared" si="2"/>
        <v>(n): tiện ích</v>
      </c>
      <c r="G3817" s="6" t="s">
        <v>51060</v>
      </c>
      <c r="H3817" s="6" t="s">
        <v>51061</v>
      </c>
      <c r="I3817" s="7">
        <f t="shared" si="3"/>
        <v>0.7620174974</v>
      </c>
    </row>
    <row r="3818">
      <c r="A3818" s="4">
        <v>3818.0</v>
      </c>
      <c r="B3818" s="3" t="s">
        <v>51062</v>
      </c>
      <c r="C3818" s="6" t="s">
        <v>24</v>
      </c>
      <c r="D3818" s="6" t="s">
        <v>26368</v>
      </c>
      <c r="E3818" s="3" t="str">
        <f t="shared" si="1"/>
        <v>bend&lt;br&gt;&lt;div class="audio"&gt;[sound:bend.mp3]&lt;/div&gt;</v>
      </c>
      <c r="F3818" s="3" t="str">
        <f t="shared" si="2"/>
        <v>(v): uốn cong</v>
      </c>
      <c r="G3818" s="6" t="s">
        <v>51063</v>
      </c>
      <c r="H3818" s="6" t="s">
        <v>51064</v>
      </c>
      <c r="I3818" s="7">
        <f t="shared" si="3"/>
        <v>0.5033826276</v>
      </c>
    </row>
    <row r="3819">
      <c r="A3819" s="4">
        <v>3819.0</v>
      </c>
      <c r="B3819" s="3" t="s">
        <v>51065</v>
      </c>
      <c r="C3819" s="6" t="s">
        <v>58</v>
      </c>
      <c r="D3819" s="6" t="s">
        <v>12737</v>
      </c>
      <c r="E3819" s="3" t="str">
        <f t="shared" si="1"/>
        <v>trillion&lt;br&gt;&lt;div class="audio"&gt;[sound:trillion.mp3]&lt;/div&gt;</v>
      </c>
      <c r="F3819" s="3" t="str">
        <f t="shared" si="2"/>
        <v>(num): nghìn tỷ</v>
      </c>
      <c r="G3819" s="6" t="s">
        <v>51066</v>
      </c>
      <c r="H3819" s="6" t="s">
        <v>51067</v>
      </c>
      <c r="I3819" s="7">
        <f t="shared" si="3"/>
        <v>0.1883463853</v>
      </c>
    </row>
    <row r="3820">
      <c r="A3820" s="4">
        <v>3820.0</v>
      </c>
      <c r="B3820" s="3" t="s">
        <v>51068</v>
      </c>
      <c r="C3820" s="6" t="s">
        <v>24</v>
      </c>
      <c r="D3820" s="6" t="s">
        <v>51069</v>
      </c>
      <c r="E3820" s="3" t="str">
        <f t="shared" si="1"/>
        <v>invade&lt;br&gt;&lt;div class="audio"&gt;[sound:invade.mp3]&lt;/div&gt;</v>
      </c>
      <c r="F3820" s="3" t="str">
        <f t="shared" si="2"/>
        <v>(v): xâm lược</v>
      </c>
      <c r="G3820" s="6" t="s">
        <v>51070</v>
      </c>
      <c r="H3820" s="6" t="s">
        <v>51071</v>
      </c>
      <c r="I3820" s="7">
        <f t="shared" si="3"/>
        <v>0.6347122567</v>
      </c>
    </row>
    <row r="3821">
      <c r="A3821" s="4">
        <v>3821.0</v>
      </c>
      <c r="B3821" s="3" t="s">
        <v>51072</v>
      </c>
      <c r="C3821" s="6" t="s">
        <v>74</v>
      </c>
      <c r="D3821" s="6" t="s">
        <v>51073</v>
      </c>
      <c r="E3821" s="3" t="str">
        <f t="shared" si="1"/>
        <v>luxury&lt;br&gt;&lt;div class="audio"&gt;[sound:luxury.mp3]&lt;/div&gt;</v>
      </c>
      <c r="F3821" s="3" t="str">
        <f t="shared" si="2"/>
        <v>(n): sự xa xỉ</v>
      </c>
      <c r="G3821" s="6" t="s">
        <v>51074</v>
      </c>
      <c r="H3821" s="6" t="s">
        <v>51075</v>
      </c>
      <c r="I3821" s="7">
        <f t="shared" si="3"/>
        <v>0.9241910395</v>
      </c>
    </row>
    <row r="3822">
      <c r="A3822" s="4">
        <v>3822.0</v>
      </c>
      <c r="B3822" s="3" t="s">
        <v>51076</v>
      </c>
      <c r="C3822" s="6" t="s">
        <v>24</v>
      </c>
      <c r="D3822" s="6" t="s">
        <v>11639</v>
      </c>
      <c r="E3822" s="3" t="str">
        <f t="shared" si="1"/>
        <v>manufacture&lt;br&gt;&lt;div class="audio"&gt;[sound:manufacture.mp3]&lt;/div&gt;</v>
      </c>
      <c r="F3822" s="3" t="str">
        <f t="shared" si="2"/>
        <v>(v): sản xuất</v>
      </c>
      <c r="G3822" s="6" t="s">
        <v>51077</v>
      </c>
      <c r="H3822" s="6" t="s">
        <v>51078</v>
      </c>
      <c r="I3822" s="7">
        <f t="shared" si="3"/>
        <v>0.8971662221</v>
      </c>
    </row>
    <row r="3823">
      <c r="A3823" s="4">
        <v>3823.0</v>
      </c>
      <c r="B3823" s="3" t="s">
        <v>51079</v>
      </c>
      <c r="C3823" s="6" t="s">
        <v>24</v>
      </c>
      <c r="D3823" s="6" t="s">
        <v>8699</v>
      </c>
      <c r="E3823" s="3" t="str">
        <f t="shared" si="1"/>
        <v>undergo&lt;br&gt;&lt;div class="audio"&gt;[sound:undergo.mp3]&lt;/div&gt;</v>
      </c>
      <c r="F3823" s="3" t="str">
        <f t="shared" si="2"/>
        <v>(v): trải qua</v>
      </c>
      <c r="G3823" s="6" t="s">
        <v>51080</v>
      </c>
      <c r="H3823" s="6" t="s">
        <v>51081</v>
      </c>
      <c r="I3823" s="7">
        <f t="shared" si="3"/>
        <v>0.7837701226</v>
      </c>
    </row>
    <row r="3824">
      <c r="A3824" s="4">
        <v>3824.0</v>
      </c>
      <c r="B3824" s="3" t="s">
        <v>51082</v>
      </c>
      <c r="C3824" s="6" t="s">
        <v>74</v>
      </c>
      <c r="D3824" s="6" t="s">
        <v>13640</v>
      </c>
      <c r="E3824" s="3" t="str">
        <f t="shared" si="1"/>
        <v>obstacle&lt;br&gt;&lt;div class="audio"&gt;[sound:obstacle.mp3]&lt;/div&gt;</v>
      </c>
      <c r="F3824" s="3" t="str">
        <f t="shared" si="2"/>
        <v>(n): trở ngại</v>
      </c>
      <c r="G3824" s="6" t="s">
        <v>51083</v>
      </c>
      <c r="H3824" s="6" t="s">
        <v>51084</v>
      </c>
      <c r="I3824" s="7">
        <f t="shared" si="3"/>
        <v>0.2187551472</v>
      </c>
    </row>
    <row r="3825">
      <c r="A3825" s="4">
        <v>3825.0</v>
      </c>
      <c r="B3825" s="3" t="s">
        <v>51085</v>
      </c>
      <c r="C3825" s="6" t="s">
        <v>74</v>
      </c>
      <c r="D3825" s="6" t="s">
        <v>6922</v>
      </c>
      <c r="E3825" s="3" t="str">
        <f t="shared" si="1"/>
        <v>treaty&lt;br&gt;&lt;div class="audio"&gt;[sound:treaty.mp3]&lt;/div&gt;</v>
      </c>
      <c r="F3825" s="3" t="str">
        <f t="shared" si="2"/>
        <v>(n): hiệp ước</v>
      </c>
      <c r="G3825" s="6" t="s">
        <v>51086</v>
      </c>
      <c r="H3825" s="6" t="s">
        <v>51087</v>
      </c>
      <c r="I3825" s="7">
        <f t="shared" si="3"/>
        <v>0.07452021437</v>
      </c>
    </row>
    <row r="3826">
      <c r="A3826" s="4">
        <v>3826.0</v>
      </c>
      <c r="B3826" s="3" t="s">
        <v>51088</v>
      </c>
      <c r="C3826" s="6" t="s">
        <v>74</v>
      </c>
      <c r="D3826" s="6" t="s">
        <v>51089</v>
      </c>
      <c r="E3826" s="3" t="str">
        <f t="shared" si="1"/>
        <v>bid&lt;br&gt;&lt;div class="audio"&gt;[sound:bid.mp3]&lt;/div&gt;</v>
      </c>
      <c r="F3826" s="3" t="str">
        <f t="shared" si="2"/>
        <v>(n): đấu thầu</v>
      </c>
      <c r="G3826" s="6" t="s">
        <v>51090</v>
      </c>
      <c r="H3826" s="6" t="s">
        <v>51091</v>
      </c>
      <c r="I3826" s="7">
        <f t="shared" si="3"/>
        <v>0.7861664132</v>
      </c>
    </row>
    <row r="3827">
      <c r="A3827" s="4">
        <v>3827.0</v>
      </c>
      <c r="B3827" s="3" t="s">
        <v>51092</v>
      </c>
      <c r="C3827" s="6" t="s">
        <v>11</v>
      </c>
      <c r="D3827" s="6" t="s">
        <v>8784</v>
      </c>
      <c r="E3827" s="3" t="str">
        <f t="shared" si="1"/>
        <v>tricky&lt;br&gt;&lt;div class="audio"&gt;[sound:tricky.mp3]&lt;/div&gt;</v>
      </c>
      <c r="F3827" s="3" t="str">
        <f t="shared" si="2"/>
        <v>(adj): phức tạp</v>
      </c>
      <c r="G3827" s="6" t="s">
        <v>51093</v>
      </c>
      <c r="H3827" s="6" t="s">
        <v>51094</v>
      </c>
      <c r="I3827" s="7">
        <f t="shared" si="3"/>
        <v>0.117785385</v>
      </c>
    </row>
    <row r="3828">
      <c r="A3828" s="4">
        <v>3828.0</v>
      </c>
      <c r="B3828" s="3" t="s">
        <v>51095</v>
      </c>
      <c r="C3828" s="6" t="s">
        <v>74</v>
      </c>
      <c r="D3828" s="6" t="s">
        <v>51096</v>
      </c>
      <c r="E3828" s="3" t="str">
        <f t="shared" si="1"/>
        <v>heater&lt;br&gt;&lt;div class="audio"&gt;[sound:heater.mp3]&lt;/div&gt;</v>
      </c>
      <c r="F3828" s="3" t="str">
        <f t="shared" si="2"/>
        <v>(n): máy sưởi</v>
      </c>
      <c r="G3828" s="6" t="s">
        <v>51097</v>
      </c>
      <c r="H3828" s="6" t="s">
        <v>51098</v>
      </c>
      <c r="I3828" s="7">
        <f t="shared" si="3"/>
        <v>0.7899008236</v>
      </c>
    </row>
    <row r="3829">
      <c r="A3829" s="4">
        <v>3829.0</v>
      </c>
      <c r="B3829" s="3" t="s">
        <v>51099</v>
      </c>
      <c r="C3829" s="6" t="s">
        <v>24</v>
      </c>
      <c r="D3829" s="6" t="s">
        <v>6934</v>
      </c>
      <c r="E3829" s="3" t="str">
        <f t="shared" si="1"/>
        <v>equip&lt;br&gt;&lt;div class="audio"&gt;[sound:equip.mp3]&lt;/div&gt;</v>
      </c>
      <c r="F3829" s="3" t="str">
        <f t="shared" si="2"/>
        <v>(v): trang bị</v>
      </c>
      <c r="G3829" s="6" t="s">
        <v>51100</v>
      </c>
      <c r="H3829" s="6" t="s">
        <v>51101</v>
      </c>
      <c r="I3829" s="7">
        <f t="shared" si="3"/>
        <v>0.3176122349</v>
      </c>
    </row>
    <row r="3830">
      <c r="A3830" s="4">
        <v>3830.0</v>
      </c>
      <c r="B3830" s="3" t="s">
        <v>51102</v>
      </c>
      <c r="C3830" s="6" t="s">
        <v>24</v>
      </c>
      <c r="D3830" s="6" t="s">
        <v>12773</v>
      </c>
      <c r="E3830" s="3" t="str">
        <f t="shared" si="1"/>
        <v>utilize&lt;br&gt;&lt;div class="audio"&gt;[sound:utilize.mp3]&lt;/div&gt;</v>
      </c>
      <c r="F3830" s="3" t="str">
        <f t="shared" si="2"/>
        <v>(v): tận dụng</v>
      </c>
      <c r="G3830" s="6" t="s">
        <v>51103</v>
      </c>
      <c r="H3830" s="6" t="s">
        <v>51104</v>
      </c>
      <c r="I3830" s="7">
        <f t="shared" si="3"/>
        <v>0.08913992706</v>
      </c>
    </row>
    <row r="3831">
      <c r="A3831" s="4">
        <v>3831.0</v>
      </c>
      <c r="B3831" s="3" t="s">
        <v>51105</v>
      </c>
      <c r="C3831" s="6" t="s">
        <v>11</v>
      </c>
      <c r="D3831" s="6" t="s">
        <v>9577</v>
      </c>
      <c r="E3831" s="3" t="str">
        <f t="shared" si="1"/>
        <v>thorough&lt;br&gt;&lt;div class="audio"&gt;[sound:thorough.mp3]&lt;/div&gt;</v>
      </c>
      <c r="F3831" s="3" t="str">
        <f t="shared" si="2"/>
        <v>(adj): kỹ lưỡng</v>
      </c>
      <c r="G3831" s="6" t="s">
        <v>51106</v>
      </c>
      <c r="H3831" s="6" t="s">
        <v>51107</v>
      </c>
      <c r="I3831" s="7">
        <f t="shared" si="3"/>
        <v>0.2800757654</v>
      </c>
    </row>
    <row r="3832">
      <c r="A3832" s="4">
        <v>3832.0</v>
      </c>
      <c r="B3832" s="3" t="s">
        <v>51108</v>
      </c>
      <c r="C3832" s="6" t="s">
        <v>24</v>
      </c>
      <c r="D3832" s="6" t="s">
        <v>16637</v>
      </c>
      <c r="E3832" s="3" t="str">
        <f t="shared" si="1"/>
        <v>infer&lt;br&gt;&lt;div class="audio"&gt;[sound:infer.mp3]&lt;/div&gt;</v>
      </c>
      <c r="F3832" s="3" t="str">
        <f t="shared" si="2"/>
        <v>(v): suy luận</v>
      </c>
      <c r="G3832" s="6" t="s">
        <v>51109</v>
      </c>
      <c r="H3832" s="6" t="s">
        <v>51110</v>
      </c>
      <c r="I3832" s="7">
        <f t="shared" si="3"/>
        <v>0.2601206759</v>
      </c>
    </row>
    <row r="3833">
      <c r="A3833" s="4">
        <v>3833.0</v>
      </c>
      <c r="B3833" s="3" t="s">
        <v>51111</v>
      </c>
      <c r="C3833" s="6" t="s">
        <v>74</v>
      </c>
      <c r="D3833" s="6" t="s">
        <v>50081</v>
      </c>
      <c r="E3833" s="3" t="str">
        <f t="shared" si="1"/>
        <v>fool&lt;br&gt;&lt;div class="audio"&gt;[sound:fool.mp3]&lt;/div&gt;</v>
      </c>
      <c r="F3833" s="3" t="str">
        <f t="shared" si="2"/>
        <v>(n): kẻ ngốc</v>
      </c>
      <c r="G3833" s="6" t="s">
        <v>51112</v>
      </c>
      <c r="H3833" s="6" t="s">
        <v>51113</v>
      </c>
      <c r="I3833" s="7">
        <f t="shared" si="3"/>
        <v>0.4483796326</v>
      </c>
    </row>
    <row r="3834">
      <c r="A3834" s="4">
        <v>3834.0</v>
      </c>
      <c r="B3834" s="3" t="s">
        <v>51114</v>
      </c>
      <c r="C3834" s="6" t="s">
        <v>74</v>
      </c>
      <c r="D3834" s="6" t="s">
        <v>51115</v>
      </c>
      <c r="E3834" s="3" t="str">
        <f t="shared" si="1"/>
        <v>pole&lt;br&gt;&lt;div class="audio"&gt;[sound:pole.mp3]&lt;/div&gt;</v>
      </c>
      <c r="F3834" s="3" t="str">
        <f t="shared" si="2"/>
        <v>(n): cái cột</v>
      </c>
      <c r="G3834" s="6" t="s">
        <v>51116</v>
      </c>
      <c r="H3834" s="6" t="s">
        <v>51117</v>
      </c>
      <c r="I3834" s="7">
        <f t="shared" si="3"/>
        <v>0.4021524902</v>
      </c>
    </row>
    <row r="3835">
      <c r="A3835" s="4">
        <v>3835.0</v>
      </c>
      <c r="B3835" s="3" t="s">
        <v>51118</v>
      </c>
      <c r="C3835" s="6" t="s">
        <v>74</v>
      </c>
      <c r="D3835" s="6" t="s">
        <v>51119</v>
      </c>
      <c r="E3835" s="3" t="str">
        <f t="shared" si="1"/>
        <v>fever&lt;br&gt;&lt;div class="audio"&gt;[sound:fever.mp3]&lt;/div&gt;</v>
      </c>
      <c r="F3835" s="3" t="str">
        <f t="shared" si="2"/>
        <v>(n): cơn sốt</v>
      </c>
      <c r="G3835" s="6" t="s">
        <v>51120</v>
      </c>
      <c r="H3835" s="6" t="s">
        <v>51121</v>
      </c>
      <c r="I3835" s="7">
        <f t="shared" si="3"/>
        <v>0.8241877592</v>
      </c>
    </row>
    <row r="3836">
      <c r="A3836" s="4">
        <v>3836.0</v>
      </c>
      <c r="B3836" s="3" t="s">
        <v>51122</v>
      </c>
      <c r="C3836" s="6" t="s">
        <v>74</v>
      </c>
      <c r="D3836" s="6" t="s">
        <v>24850</v>
      </c>
      <c r="E3836" s="3" t="str">
        <f t="shared" si="1"/>
        <v>ethic&lt;br&gt;&lt;div class="audio"&gt;[sound:ethic.mp3]&lt;/div&gt;</v>
      </c>
      <c r="F3836" s="3" t="str">
        <f t="shared" si="2"/>
        <v>(n): đạo đức</v>
      </c>
      <c r="G3836" s="6" t="s">
        <v>51123</v>
      </c>
      <c r="H3836" s="6" t="s">
        <v>51124</v>
      </c>
      <c r="I3836" s="7">
        <f t="shared" si="3"/>
        <v>0.4684977731</v>
      </c>
    </row>
    <row r="3837">
      <c r="A3837" s="4">
        <v>3837.0</v>
      </c>
      <c r="B3837" s="3" t="s">
        <v>51125</v>
      </c>
      <c r="C3837" s="6" t="s">
        <v>74</v>
      </c>
      <c r="D3837" s="6" t="s">
        <v>51126</v>
      </c>
      <c r="E3837" s="3" t="str">
        <f t="shared" si="1"/>
        <v>handful&lt;br&gt;&lt;div class="audio"&gt;[sound:handful.mp3]&lt;/div&gt;</v>
      </c>
      <c r="F3837" s="3" t="str">
        <f t="shared" si="2"/>
        <v>(n): một nắm</v>
      </c>
      <c r="G3837" s="6" t="s">
        <v>51127</v>
      </c>
      <c r="H3837" s="6" t="s">
        <v>51128</v>
      </c>
      <c r="I3837" s="7">
        <f t="shared" si="3"/>
        <v>0.9184471685</v>
      </c>
    </row>
    <row r="3838">
      <c r="A3838" s="4">
        <v>3838.0</v>
      </c>
      <c r="B3838" s="3" t="s">
        <v>51129</v>
      </c>
      <c r="C3838" s="6" t="s">
        <v>85</v>
      </c>
      <c r="D3838" s="6" t="s">
        <v>18091</v>
      </c>
      <c r="E3838" s="3" t="str">
        <f t="shared" si="1"/>
        <v>accidentally&lt;br&gt;&lt;div class="audio"&gt;[sound:accidentally.mp3]&lt;/div&gt;</v>
      </c>
      <c r="F3838" s="3" t="str">
        <f t="shared" si="2"/>
        <v>(adv): tình cờ</v>
      </c>
      <c r="G3838" s="6" t="s">
        <v>51130</v>
      </c>
      <c r="H3838" s="6" t="s">
        <v>51131</v>
      </c>
      <c r="I3838" s="7">
        <f t="shared" si="3"/>
        <v>0.4106569465</v>
      </c>
    </row>
    <row r="3839">
      <c r="A3839" s="4">
        <v>3839.0</v>
      </c>
      <c r="B3839" s="3" t="s">
        <v>51132</v>
      </c>
      <c r="C3839" s="6" t="s">
        <v>11</v>
      </c>
      <c r="D3839" s="6" t="s">
        <v>51133</v>
      </c>
      <c r="E3839" s="3" t="str">
        <f t="shared" si="1"/>
        <v>frustrated&lt;br&gt;&lt;div class="audio"&gt;[sound:frustrated.mp3]&lt;/div&gt;</v>
      </c>
      <c r="F3839" s="3" t="str">
        <f t="shared" si="2"/>
        <v>(adj): bực bội</v>
      </c>
      <c r="G3839" s="6" t="s">
        <v>51134</v>
      </c>
      <c r="H3839" s="6" t="s">
        <v>51135</v>
      </c>
      <c r="I3839" s="7">
        <f t="shared" si="3"/>
        <v>0.3936768004</v>
      </c>
    </row>
    <row r="3840">
      <c r="A3840" s="4">
        <v>3840.0</v>
      </c>
      <c r="B3840" s="3" t="s">
        <v>51136</v>
      </c>
      <c r="C3840" s="6" t="s">
        <v>74</v>
      </c>
      <c r="D3840" s="6" t="s">
        <v>34622</v>
      </c>
      <c r="E3840" s="3" t="str">
        <f t="shared" si="1"/>
        <v>headache&lt;br&gt;&lt;div class="audio"&gt;[sound:headache.mp3]&lt;/div&gt;</v>
      </c>
      <c r="F3840" s="3" t="str">
        <f t="shared" si="2"/>
        <v>(n): đau đầu</v>
      </c>
      <c r="G3840" s="6" t="s">
        <v>51137</v>
      </c>
      <c r="H3840" s="6" t="s">
        <v>51138</v>
      </c>
      <c r="I3840" s="7">
        <f t="shared" si="3"/>
        <v>0.7977866426</v>
      </c>
    </row>
    <row r="3841">
      <c r="A3841" s="4">
        <v>3841.0</v>
      </c>
      <c r="B3841" s="3" t="s">
        <v>51139</v>
      </c>
      <c r="C3841" s="6" t="s">
        <v>74</v>
      </c>
      <c r="D3841" s="6" t="s">
        <v>51140</v>
      </c>
      <c r="E3841" s="3" t="str">
        <f t="shared" si="1"/>
        <v>pen&lt;br&gt;&lt;div class="audio"&gt;[sound:pen.mp3]&lt;/div&gt;</v>
      </c>
      <c r="F3841" s="3" t="str">
        <f t="shared" si="2"/>
        <v>(n): cây bút</v>
      </c>
      <c r="G3841" s="6" t="s">
        <v>51141</v>
      </c>
      <c r="H3841" s="6" t="s">
        <v>51142</v>
      </c>
      <c r="I3841" s="7">
        <f t="shared" si="3"/>
        <v>0.4057664709</v>
      </c>
    </row>
    <row r="3842">
      <c r="A3842" s="4">
        <v>3842.0</v>
      </c>
      <c r="B3842" s="3" t="s">
        <v>51143</v>
      </c>
      <c r="C3842" s="6" t="s">
        <v>24</v>
      </c>
      <c r="D3842" s="6" t="s">
        <v>10737</v>
      </c>
      <c r="E3842" s="3" t="str">
        <f t="shared" si="1"/>
        <v>apologize&lt;br&gt;&lt;div class="audio"&gt;[sound:apologize.mp3]&lt;/div&gt;</v>
      </c>
      <c r="F3842" s="3" t="str">
        <f t="shared" si="2"/>
        <v>(v): xin lỗi</v>
      </c>
      <c r="G3842" s="6" t="s">
        <v>51144</v>
      </c>
      <c r="H3842" s="6" t="s">
        <v>51145</v>
      </c>
      <c r="I3842" s="7">
        <f t="shared" si="3"/>
        <v>0.8497943163</v>
      </c>
    </row>
    <row r="3843">
      <c r="A3843" s="4">
        <v>3843.0</v>
      </c>
      <c r="B3843" s="3" t="s">
        <v>51146</v>
      </c>
      <c r="C3843" s="6" t="s">
        <v>11</v>
      </c>
      <c r="D3843" s="6" t="s">
        <v>11664</v>
      </c>
      <c r="E3843" s="3" t="str">
        <f t="shared" si="1"/>
        <v>frightening&lt;br&gt;&lt;div class="audio"&gt;[sound:frightening.mp3]&lt;/div&gt;</v>
      </c>
      <c r="F3843" s="3" t="str">
        <f t="shared" si="2"/>
        <v>(adj): đáng sợ</v>
      </c>
      <c r="G3843" s="6" t="s">
        <v>51147</v>
      </c>
      <c r="H3843" s="6" t="s">
        <v>51148</v>
      </c>
      <c r="I3843" s="7">
        <f t="shared" si="3"/>
        <v>0.3613270982</v>
      </c>
    </row>
    <row r="3844">
      <c r="A3844" s="4">
        <v>3844.0</v>
      </c>
      <c r="B3844" s="3" t="s">
        <v>51149</v>
      </c>
      <c r="C3844" s="6" t="s">
        <v>11</v>
      </c>
      <c r="D3844" s="6" t="s">
        <v>51150</v>
      </c>
      <c r="E3844" s="3" t="str">
        <f t="shared" si="1"/>
        <v>tragic&lt;br&gt;&lt;div class="audio"&gt;[sound:tragic.mp3]&lt;/div&gt;</v>
      </c>
      <c r="F3844" s="3" t="str">
        <f t="shared" si="2"/>
        <v>(adj): bi thảm</v>
      </c>
      <c r="G3844" s="6" t="s">
        <v>51151</v>
      </c>
      <c r="H3844" s="6" t="s">
        <v>51152</v>
      </c>
      <c r="I3844" s="7">
        <f t="shared" si="3"/>
        <v>0.6329731835</v>
      </c>
    </row>
    <row r="3845">
      <c r="A3845" s="4">
        <v>3845.0</v>
      </c>
      <c r="B3845" s="3" t="s">
        <v>51153</v>
      </c>
      <c r="C3845" s="6" t="s">
        <v>11</v>
      </c>
      <c r="D3845" s="6" t="s">
        <v>32260</v>
      </c>
      <c r="E3845" s="3" t="str">
        <f t="shared" si="1"/>
        <v>unexpected&lt;br&gt;&lt;div class="audio"&gt;[sound:unexpected.mp3]&lt;/div&gt;</v>
      </c>
      <c r="F3845" s="3" t="str">
        <f t="shared" si="2"/>
        <v>(adj): bất ngờ</v>
      </c>
      <c r="G3845" s="6" t="s">
        <v>51154</v>
      </c>
      <c r="H3845" s="6" t="s">
        <v>51155</v>
      </c>
      <c r="I3845" s="7">
        <f t="shared" si="3"/>
        <v>0.3142508684</v>
      </c>
    </row>
    <row r="3846">
      <c r="A3846" s="4">
        <v>3846.0</v>
      </c>
      <c r="B3846" s="3" t="s">
        <v>51156</v>
      </c>
      <c r="C3846" s="6" t="s">
        <v>85</v>
      </c>
      <c r="D3846" s="6" t="s">
        <v>51157</v>
      </c>
      <c r="E3846" s="3" t="str">
        <f t="shared" si="1"/>
        <v>upstairs&lt;br&gt;&lt;div class="audio"&gt;[sound:upstairs.mp3]&lt;/div&gt;</v>
      </c>
      <c r="F3846" s="3" t="str">
        <f t="shared" si="2"/>
        <v>(adv): lên lầu</v>
      </c>
      <c r="G3846" s="6" t="s">
        <v>51158</v>
      </c>
      <c r="H3846" s="6" t="s">
        <v>51159</v>
      </c>
      <c r="I3846" s="7">
        <f t="shared" si="3"/>
        <v>0.9688801028</v>
      </c>
    </row>
    <row r="3847">
      <c r="A3847" s="4">
        <v>3847.0</v>
      </c>
      <c r="B3847" s="3" t="s">
        <v>51160</v>
      </c>
      <c r="C3847" s="6" t="s">
        <v>11</v>
      </c>
      <c r="D3847" s="6" t="s">
        <v>47465</v>
      </c>
      <c r="E3847" s="3" t="str">
        <f t="shared" si="1"/>
        <v>intriguing&lt;br&gt;&lt;div class="audio"&gt;[sound:intriguing.mp3]&lt;/div&gt;</v>
      </c>
      <c r="F3847" s="3" t="str">
        <f t="shared" si="2"/>
        <v>(adj): hấp dẫn</v>
      </c>
      <c r="G3847" s="6" t="s">
        <v>51161</v>
      </c>
      <c r="H3847" s="6" t="s">
        <v>51162</v>
      </c>
      <c r="I3847" s="7">
        <f t="shared" si="3"/>
        <v>0.1231997463</v>
      </c>
    </row>
    <row r="3848">
      <c r="A3848" s="4">
        <v>3848.0</v>
      </c>
      <c r="B3848" s="3" t="s">
        <v>51163</v>
      </c>
      <c r="C3848" s="6" t="s">
        <v>74</v>
      </c>
      <c r="D3848" s="6" t="s">
        <v>51164</v>
      </c>
      <c r="E3848" s="3" t="str">
        <f t="shared" si="1"/>
        <v>boiler&lt;br&gt;&lt;div class="audio"&gt;[sound:boiler.mp3]&lt;/div&gt;</v>
      </c>
      <c r="F3848" s="3" t="str">
        <f t="shared" si="2"/>
        <v>(n): nồi hơi</v>
      </c>
      <c r="G3848" s="6" t="s">
        <v>51165</v>
      </c>
      <c r="H3848" s="6" t="s">
        <v>51166</v>
      </c>
      <c r="I3848" s="7">
        <f t="shared" si="3"/>
        <v>0.9366454128</v>
      </c>
    </row>
    <row r="3849">
      <c r="A3849" s="4">
        <v>3849.0</v>
      </c>
      <c r="B3849" s="3" t="s">
        <v>51167</v>
      </c>
      <c r="C3849" s="6" t="s">
        <v>74</v>
      </c>
      <c r="D3849" s="6" t="s">
        <v>26636</v>
      </c>
      <c r="E3849" s="3" t="str">
        <f t="shared" si="1"/>
        <v>fridge&lt;br&gt;&lt;div class="audio"&gt;[sound:fridge.mp3]&lt;/div&gt;</v>
      </c>
      <c r="F3849" s="3" t="str">
        <f t="shared" si="2"/>
        <v>(n): tủ lạnh</v>
      </c>
      <c r="G3849" s="6" t="s">
        <v>51168</v>
      </c>
      <c r="H3849" s="6" t="s">
        <v>51169</v>
      </c>
      <c r="I3849" s="7">
        <f t="shared" si="3"/>
        <v>0.5741887209</v>
      </c>
    </row>
    <row r="3850">
      <c r="A3850" s="4">
        <v>3850.0</v>
      </c>
      <c r="B3850" s="3" t="s">
        <v>51170</v>
      </c>
      <c r="C3850" s="6" t="s">
        <v>74</v>
      </c>
      <c r="D3850" s="6" t="s">
        <v>51171</v>
      </c>
      <c r="E3850" s="3" t="str">
        <f t="shared" si="1"/>
        <v>insertion&lt;br&gt;&lt;div class="audio"&gt;[sound:insertion.mp3]&lt;/div&gt;</v>
      </c>
      <c r="F3850" s="3" t="str">
        <f t="shared" si="2"/>
        <v>(n): sự chèn</v>
      </c>
      <c r="G3850" s="6" t="s">
        <v>51172</v>
      </c>
      <c r="H3850" s="6" t="s">
        <v>51173</v>
      </c>
      <c r="I3850" s="7">
        <f t="shared" si="3"/>
        <v>0.5702975703</v>
      </c>
    </row>
    <row r="3851">
      <c r="A3851" s="4">
        <v>3851.0</v>
      </c>
      <c r="B3851" s="3" t="s">
        <v>51174</v>
      </c>
      <c r="C3851" s="6" t="s">
        <v>11</v>
      </c>
      <c r="D3851" s="6" t="s">
        <v>23204</v>
      </c>
      <c r="E3851" s="3" t="str">
        <f t="shared" si="1"/>
        <v>latter&lt;br&gt;&lt;div class="audio"&gt;[sound:latter.mp3]&lt;/div&gt;</v>
      </c>
      <c r="F3851" s="3" t="str">
        <f t="shared" si="2"/>
        <v>(adj): cái sau</v>
      </c>
      <c r="G3851" s="6" t="s">
        <v>51175</v>
      </c>
      <c r="H3851" s="6" t="s">
        <v>51176</v>
      </c>
      <c r="I3851" s="7">
        <f t="shared" si="3"/>
        <v>0.1863330898</v>
      </c>
    </row>
    <row r="3852">
      <c r="A3852" s="4">
        <v>3852.0</v>
      </c>
      <c r="B3852" s="3" t="s">
        <v>51177</v>
      </c>
      <c r="C3852" s="6" t="s">
        <v>74</v>
      </c>
      <c r="D3852" s="6" t="s">
        <v>3418</v>
      </c>
      <c r="E3852" s="3" t="str">
        <f t="shared" si="1"/>
        <v>autumn&lt;br&gt;&lt;div class="audio"&gt;[sound:autumn.mp3]&lt;/div&gt;</v>
      </c>
      <c r="F3852" s="3" t="str">
        <f t="shared" si="2"/>
        <v>(n): mùa thu</v>
      </c>
      <c r="G3852" s="6" t="s">
        <v>51178</v>
      </c>
      <c r="H3852" s="6" t="s">
        <v>51179</v>
      </c>
      <c r="I3852" s="7">
        <f t="shared" si="3"/>
        <v>0.9083685404</v>
      </c>
    </row>
    <row r="3853">
      <c r="A3853" s="4">
        <v>3853.0</v>
      </c>
      <c r="B3853" s="3" t="s">
        <v>51180</v>
      </c>
      <c r="C3853" s="6" t="s">
        <v>74</v>
      </c>
      <c r="D3853" s="6" t="s">
        <v>51181</v>
      </c>
      <c r="E3853" s="3" t="str">
        <f t="shared" si="1"/>
        <v>landing&lt;br&gt;&lt;div class="audio"&gt;[sound:landing.mp3]&lt;/div&gt;</v>
      </c>
      <c r="F3853" s="3" t="str">
        <f t="shared" si="2"/>
        <v>(n): bãi đáp</v>
      </c>
      <c r="G3853" s="6" t="s">
        <v>51182</v>
      </c>
      <c r="H3853" s="6" t="s">
        <v>51183</v>
      </c>
      <c r="I3853" s="7">
        <f t="shared" si="3"/>
        <v>0.3143884093</v>
      </c>
    </row>
    <row r="3854">
      <c r="A3854" s="4">
        <v>3854.0</v>
      </c>
      <c r="B3854" s="3" t="s">
        <v>51184</v>
      </c>
      <c r="C3854" s="6" t="s">
        <v>11</v>
      </c>
      <c r="D3854" s="8" t="s">
        <v>51185</v>
      </c>
      <c r="E3854" s="3" t="str">
        <f t="shared" si="1"/>
        <v>secular&lt;br&gt;&lt;div class="audio"&gt;[sound:secular.mp3]&lt;/div&gt;</v>
      </c>
      <c r="F3854" s="3" t="str">
        <f t="shared" si="2"/>
        <v>(adj): thế tục</v>
      </c>
      <c r="G3854" s="8" t="s">
        <v>51186</v>
      </c>
      <c r="H3854" s="8" t="s">
        <v>51187</v>
      </c>
      <c r="I3854" s="7">
        <f t="shared" si="3"/>
        <v>0.2135261675</v>
      </c>
    </row>
    <row r="3855">
      <c r="A3855" s="4">
        <v>3855.0</v>
      </c>
      <c r="B3855" s="3" t="s">
        <v>51188</v>
      </c>
      <c r="C3855" s="6" t="s">
        <v>74</v>
      </c>
      <c r="D3855" s="6" t="s">
        <v>35936</v>
      </c>
      <c r="E3855" s="3" t="str">
        <f t="shared" si="1"/>
        <v>tuition&lt;br&gt;&lt;div class="audio"&gt;[sound:tuition.mp3]&lt;/div&gt;</v>
      </c>
      <c r="F3855" s="3" t="str">
        <f t="shared" si="2"/>
        <v>(n): học phí</v>
      </c>
      <c r="G3855" s="6" t="s">
        <v>51189</v>
      </c>
      <c r="H3855" s="6" t="s">
        <v>51190</v>
      </c>
      <c r="I3855" s="7">
        <f t="shared" si="3"/>
        <v>0.3422406248</v>
      </c>
    </row>
    <row r="3856">
      <c r="A3856" s="4">
        <v>3856.0</v>
      </c>
      <c r="B3856" s="3" t="s">
        <v>51191</v>
      </c>
      <c r="C3856" s="6" t="s">
        <v>74</v>
      </c>
      <c r="D3856" s="6" t="s">
        <v>51192</v>
      </c>
      <c r="E3856" s="3" t="str">
        <f t="shared" si="1"/>
        <v>waiter&lt;br&gt;&lt;div class="audio"&gt;[sound:waiter.mp3]&lt;/div&gt;</v>
      </c>
      <c r="F3856" s="3" t="str">
        <f t="shared" si="2"/>
        <v>(n): bồi bàn</v>
      </c>
      <c r="G3856" s="6" t="s">
        <v>51193</v>
      </c>
      <c r="H3856" s="6" t="s">
        <v>51194</v>
      </c>
      <c r="I3856" s="7">
        <f t="shared" si="3"/>
        <v>0.2938908721</v>
      </c>
    </row>
    <row r="3857">
      <c r="A3857" s="4">
        <v>3857.0</v>
      </c>
      <c r="B3857" s="3" t="s">
        <v>51195</v>
      </c>
      <c r="C3857" s="6" t="s">
        <v>24</v>
      </c>
      <c r="D3857" s="6" t="s">
        <v>1591</v>
      </c>
      <c r="E3857" s="3" t="str">
        <f t="shared" si="1"/>
        <v>administer&lt;br&gt;&lt;div class="audio"&gt;[sound:administer.mp3]&lt;/div&gt;</v>
      </c>
      <c r="F3857" s="3" t="str">
        <f t="shared" si="2"/>
        <v>(v): quản lý</v>
      </c>
      <c r="G3857" s="6" t="s">
        <v>51196</v>
      </c>
      <c r="H3857" s="6" t="s">
        <v>51197</v>
      </c>
      <c r="I3857" s="7">
        <f t="shared" si="3"/>
        <v>0.3334538942</v>
      </c>
    </row>
    <row r="3858">
      <c r="A3858" s="4">
        <v>3858.0</v>
      </c>
      <c r="B3858" s="3" t="s">
        <v>51198</v>
      </c>
      <c r="C3858" s="6" t="s">
        <v>24</v>
      </c>
      <c r="D3858" s="6" t="s">
        <v>51199</v>
      </c>
      <c r="E3858" s="3" t="str">
        <f t="shared" si="1"/>
        <v>praise&lt;br&gt;&lt;div class="audio"&gt;[sound:praise.mp3]&lt;/div&gt;</v>
      </c>
      <c r="F3858" s="3" t="str">
        <f t="shared" si="2"/>
        <v>(v): ca ngợi</v>
      </c>
      <c r="G3858" s="6" t="s">
        <v>51200</v>
      </c>
      <c r="H3858" s="6" t="s">
        <v>51201</v>
      </c>
      <c r="I3858" s="7">
        <f t="shared" si="3"/>
        <v>0.1017920541</v>
      </c>
    </row>
    <row r="3859">
      <c r="A3859" s="4">
        <v>3859.0</v>
      </c>
      <c r="B3859" s="3" t="s">
        <v>51202</v>
      </c>
      <c r="C3859" s="6" t="s">
        <v>74</v>
      </c>
      <c r="D3859" s="6" t="s">
        <v>51203</v>
      </c>
      <c r="E3859" s="3" t="str">
        <f t="shared" si="1"/>
        <v>warehouse&lt;br&gt;&lt;div class="audio"&gt;[sound:warehouse.mp3]&lt;/div&gt;</v>
      </c>
      <c r="F3859" s="3" t="str">
        <f t="shared" si="2"/>
        <v>(n): nhà kho</v>
      </c>
      <c r="G3859" s="6" t="s">
        <v>51204</v>
      </c>
      <c r="H3859" s="6" t="s">
        <v>51205</v>
      </c>
      <c r="I3859" s="7">
        <f t="shared" si="3"/>
        <v>0.02792124816</v>
      </c>
    </row>
    <row r="3860">
      <c r="A3860" s="4">
        <v>3860.0</v>
      </c>
      <c r="B3860" s="3" t="s">
        <v>51206</v>
      </c>
      <c r="C3860" s="6" t="s">
        <v>74</v>
      </c>
      <c r="D3860" s="6" t="s">
        <v>21807</v>
      </c>
      <c r="E3860" s="3" t="str">
        <f t="shared" si="1"/>
        <v>physics&lt;br&gt;&lt;div class="audio"&gt;[sound:physics.mp3]&lt;/div&gt;</v>
      </c>
      <c r="F3860" s="3" t="str">
        <f t="shared" si="2"/>
        <v>(n): vật lý</v>
      </c>
      <c r="G3860" s="6" t="s">
        <v>51207</v>
      </c>
      <c r="H3860" s="6" t="s">
        <v>51208</v>
      </c>
      <c r="I3860" s="7">
        <f t="shared" si="3"/>
        <v>0.4148898135</v>
      </c>
    </row>
    <row r="3861">
      <c r="A3861" s="4">
        <v>3861.0</v>
      </c>
      <c r="B3861" s="3" t="s">
        <v>51209</v>
      </c>
      <c r="C3861" s="6" t="s">
        <v>74</v>
      </c>
      <c r="D3861" s="6" t="s">
        <v>11385</v>
      </c>
      <c r="E3861" s="3" t="str">
        <f t="shared" si="1"/>
        <v>lifetime&lt;br&gt;&lt;div class="audio"&gt;[sound:lifetime.mp3]&lt;/div&gt;</v>
      </c>
      <c r="F3861" s="3" t="str">
        <f t="shared" si="2"/>
        <v>(n): cả đời</v>
      </c>
      <c r="G3861" s="6" t="s">
        <v>51210</v>
      </c>
      <c r="H3861" s="6" t="s">
        <v>51211</v>
      </c>
      <c r="I3861" s="7">
        <f t="shared" si="3"/>
        <v>0.8102845503</v>
      </c>
    </row>
    <row r="3862">
      <c r="A3862" s="4">
        <v>3862.0</v>
      </c>
      <c r="B3862" s="3" t="s">
        <v>51212</v>
      </c>
      <c r="C3862" s="6" t="s">
        <v>74</v>
      </c>
      <c r="D3862" s="6" t="s">
        <v>47564</v>
      </c>
      <c r="E3862" s="3" t="str">
        <f t="shared" si="1"/>
        <v>legacy&lt;br&gt;&lt;div class="audio"&gt;[sound:legacy.mp3]&lt;/div&gt;</v>
      </c>
      <c r="F3862" s="3" t="str">
        <f t="shared" si="2"/>
        <v>(n): di sản</v>
      </c>
      <c r="G3862" s="6" t="s">
        <v>51213</v>
      </c>
      <c r="H3862" s="6" t="s">
        <v>51214</v>
      </c>
      <c r="I3862" s="7">
        <f t="shared" si="3"/>
        <v>0.5018348899</v>
      </c>
    </row>
    <row r="3863">
      <c r="A3863" s="4">
        <v>3863.0</v>
      </c>
      <c r="B3863" s="3" t="s">
        <v>51215</v>
      </c>
      <c r="C3863" s="6" t="s">
        <v>11</v>
      </c>
      <c r="D3863" s="6" t="s">
        <v>51216</v>
      </c>
      <c r="E3863" s="3" t="str">
        <f t="shared" si="1"/>
        <v>inherent&lt;br&gt;&lt;div class="audio"&gt;[sound:inherent.mp3]&lt;/div&gt;</v>
      </c>
      <c r="F3863" s="3" t="str">
        <f t="shared" si="2"/>
        <v>(adj): vốn có</v>
      </c>
      <c r="G3863" s="6" t="s">
        <v>51217</v>
      </c>
      <c r="H3863" s="6" t="s">
        <v>51218</v>
      </c>
      <c r="I3863" s="7">
        <f t="shared" si="3"/>
        <v>0.4419172363</v>
      </c>
    </row>
    <row r="3864">
      <c r="A3864" s="4">
        <v>3864.0</v>
      </c>
      <c r="B3864" s="3" t="s">
        <v>51219</v>
      </c>
      <c r="C3864" s="6" t="s">
        <v>11</v>
      </c>
      <c r="D3864" s="6" t="s">
        <v>51220</v>
      </c>
      <c r="E3864" s="3" t="str">
        <f t="shared" si="1"/>
        <v>native&lt;br&gt;&lt;div class="audio"&gt;[sound:native.mp3]&lt;/div&gt;</v>
      </c>
      <c r="F3864" s="3" t="str">
        <f t="shared" si="2"/>
        <v>(adj): bản xứ</v>
      </c>
      <c r="G3864" s="6" t="s">
        <v>51221</v>
      </c>
      <c r="H3864" s="6" t="s">
        <v>51222</v>
      </c>
      <c r="I3864" s="7">
        <f t="shared" si="3"/>
        <v>0.4010999034</v>
      </c>
    </row>
    <row r="3865">
      <c r="A3865" s="4">
        <v>3865.0</v>
      </c>
      <c r="B3865" s="3" t="s">
        <v>51223</v>
      </c>
      <c r="C3865" s="6" t="s">
        <v>24</v>
      </c>
      <c r="D3865" s="6" t="s">
        <v>9957</v>
      </c>
      <c r="E3865" s="3" t="str">
        <f t="shared" si="1"/>
        <v>induce&lt;br&gt;&lt;div class="audio"&gt;[sound:induce.mp3]&lt;/div&gt;</v>
      </c>
      <c r="F3865" s="3" t="str">
        <f t="shared" si="2"/>
        <v>(v): gây ra</v>
      </c>
      <c r="G3865" s="6" t="s">
        <v>51224</v>
      </c>
      <c r="H3865" s="6" t="s">
        <v>51225</v>
      </c>
      <c r="I3865" s="7">
        <f t="shared" si="3"/>
        <v>0.3628387627</v>
      </c>
    </row>
    <row r="3866">
      <c r="A3866" s="4">
        <v>3866.0</v>
      </c>
      <c r="B3866" s="3" t="s">
        <v>51226</v>
      </c>
      <c r="C3866" s="6" t="s">
        <v>74</v>
      </c>
      <c r="D3866" s="6" t="s">
        <v>51227</v>
      </c>
      <c r="E3866" s="3" t="str">
        <f t="shared" si="1"/>
        <v>fare&lt;br&gt;&lt;div class="audio"&gt;[sound:fare.mp3]&lt;/div&gt;</v>
      </c>
      <c r="F3866" s="3" t="str">
        <f t="shared" si="2"/>
        <v>(n): giá vé</v>
      </c>
      <c r="G3866" s="6" t="s">
        <v>51228</v>
      </c>
      <c r="H3866" s="6" t="s">
        <v>51229</v>
      </c>
      <c r="I3866" s="7">
        <f t="shared" si="3"/>
        <v>0.2865432015</v>
      </c>
    </row>
    <row r="3867">
      <c r="A3867" s="4">
        <v>3867.0</v>
      </c>
      <c r="B3867" s="3" t="s">
        <v>51230</v>
      </c>
      <c r="C3867" s="6" t="s">
        <v>11</v>
      </c>
      <c r="D3867" s="6" t="s">
        <v>27644</v>
      </c>
      <c r="E3867" s="3" t="str">
        <f t="shared" si="1"/>
        <v>beneficial&lt;br&gt;&lt;div class="audio"&gt;[sound:beneficial.mp3]&lt;/div&gt;</v>
      </c>
      <c r="F3867" s="3" t="str">
        <f t="shared" si="2"/>
        <v>(adj): có lợi</v>
      </c>
      <c r="G3867" s="6" t="s">
        <v>51231</v>
      </c>
      <c r="H3867" s="6" t="s">
        <v>51232</v>
      </c>
      <c r="I3867" s="7">
        <f t="shared" si="3"/>
        <v>0.1050257405</v>
      </c>
    </row>
    <row r="3868">
      <c r="A3868" s="4">
        <v>3868.0</v>
      </c>
      <c r="B3868" s="3" t="s">
        <v>51233</v>
      </c>
      <c r="C3868" s="6" t="s">
        <v>74</v>
      </c>
      <c r="D3868" s="6" t="s">
        <v>51234</v>
      </c>
      <c r="E3868" s="3" t="str">
        <f t="shared" si="1"/>
        <v>pit&lt;br&gt;&lt;div class="audio"&gt;[sound:pit.mp3]&lt;/div&gt;</v>
      </c>
      <c r="F3868" s="3" t="str">
        <f t="shared" si="2"/>
        <v>(n): cái hố</v>
      </c>
      <c r="G3868" s="6" t="s">
        <v>51235</v>
      </c>
      <c r="H3868" s="6" t="s">
        <v>51236</v>
      </c>
      <c r="I3868" s="7">
        <f t="shared" si="3"/>
        <v>0.4240478115</v>
      </c>
    </row>
    <row r="3869">
      <c r="A3869" s="4">
        <v>3869.0</v>
      </c>
      <c r="B3869" s="3" t="s">
        <v>51237</v>
      </c>
      <c r="C3869" s="6" t="s">
        <v>11</v>
      </c>
      <c r="D3869" s="6" t="s">
        <v>51238</v>
      </c>
      <c r="E3869" s="3" t="str">
        <f t="shared" si="1"/>
        <v>useless&lt;br&gt;&lt;div class="audio"&gt;[sound:useless.mp3]&lt;/div&gt;</v>
      </c>
      <c r="F3869" s="3" t="str">
        <f t="shared" si="2"/>
        <v>(adj): vô ích</v>
      </c>
      <c r="G3869" s="6" t="s">
        <v>51239</v>
      </c>
      <c r="H3869" s="6" t="s">
        <v>51240</v>
      </c>
      <c r="I3869" s="7">
        <f t="shared" si="3"/>
        <v>0.389396152</v>
      </c>
    </row>
    <row r="3870">
      <c r="A3870" s="4">
        <v>3870.0</v>
      </c>
      <c r="B3870" s="3" t="s">
        <v>51241</v>
      </c>
      <c r="C3870" s="6" t="s">
        <v>11</v>
      </c>
      <c r="D3870" s="6" t="s">
        <v>2617</v>
      </c>
      <c r="E3870" s="3" t="str">
        <f t="shared" si="1"/>
        <v>underlying&lt;br&gt;&lt;div class="audio"&gt;[sound:underlying.mp3]&lt;/div&gt;</v>
      </c>
      <c r="F3870" s="3" t="str">
        <f t="shared" si="2"/>
        <v>(adj): cơ bản</v>
      </c>
      <c r="G3870" s="6" t="s">
        <v>51242</v>
      </c>
      <c r="H3870" s="6" t="s">
        <v>51243</v>
      </c>
      <c r="I3870" s="7">
        <f t="shared" si="3"/>
        <v>0.3357182646</v>
      </c>
    </row>
    <row r="3871">
      <c r="A3871" s="4">
        <v>3871.0</v>
      </c>
      <c r="B3871" s="3" t="s">
        <v>51244</v>
      </c>
      <c r="C3871" s="6" t="s">
        <v>74</v>
      </c>
      <c r="D3871" s="6" t="s">
        <v>1290</v>
      </c>
      <c r="E3871" s="3" t="str">
        <f t="shared" si="1"/>
        <v>terminal&lt;br&gt;&lt;div class="audio"&gt;[sound:terminal.mp3]&lt;/div&gt;</v>
      </c>
      <c r="F3871" s="3" t="str">
        <f t="shared" si="2"/>
        <v>(n): nhà ga</v>
      </c>
      <c r="G3871" s="6" t="s">
        <v>51245</v>
      </c>
      <c r="H3871" s="6" t="s">
        <v>51246</v>
      </c>
      <c r="I3871" s="7">
        <f t="shared" si="3"/>
        <v>0.3335899961</v>
      </c>
    </row>
    <row r="3872">
      <c r="A3872" s="4">
        <v>3872.0</v>
      </c>
      <c r="B3872" s="3" t="s">
        <v>51247</v>
      </c>
      <c r="C3872" s="6" t="s">
        <v>24</v>
      </c>
      <c r="D3872" s="6" t="s">
        <v>51248</v>
      </c>
      <c r="E3872" s="3" t="str">
        <f t="shared" si="1"/>
        <v>leak&lt;br&gt;&lt;div class="audio"&gt;[sound:leak.mp3]&lt;/div&gt;</v>
      </c>
      <c r="F3872" s="3" t="str">
        <f t="shared" si="2"/>
        <v>(v): rò rỉ</v>
      </c>
      <c r="G3872" s="6" t="s">
        <v>51249</v>
      </c>
      <c r="H3872" s="6" t="s">
        <v>51250</v>
      </c>
      <c r="I3872" s="7">
        <f t="shared" si="3"/>
        <v>0.9552518964</v>
      </c>
    </row>
    <row r="3873">
      <c r="A3873" s="4">
        <v>3873.0</v>
      </c>
      <c r="B3873" s="3" t="s">
        <v>51251</v>
      </c>
      <c r="C3873" s="6" t="s">
        <v>74</v>
      </c>
      <c r="D3873" s="6" t="s">
        <v>2207</v>
      </c>
      <c r="E3873" s="3" t="str">
        <f t="shared" si="1"/>
        <v>liberty&lt;br&gt;&lt;div class="audio"&gt;[sound:liberty.mp3]&lt;/div&gt;</v>
      </c>
      <c r="F3873" s="3" t="str">
        <f t="shared" si="2"/>
        <v>(n): tự do</v>
      </c>
      <c r="G3873" s="6" t="s">
        <v>51252</v>
      </c>
      <c r="H3873" s="6" t="s">
        <v>51253</v>
      </c>
      <c r="I3873" s="7">
        <f t="shared" si="3"/>
        <v>0.6079976457</v>
      </c>
    </row>
    <row r="3874">
      <c r="A3874" s="4">
        <v>3874.0</v>
      </c>
      <c r="B3874" s="3" t="s">
        <v>51254</v>
      </c>
      <c r="C3874" s="6" t="s">
        <v>74</v>
      </c>
      <c r="D3874" s="6" t="s">
        <v>51255</v>
      </c>
      <c r="E3874" s="3" t="str">
        <f t="shared" si="1"/>
        <v>pile&lt;br&gt;&lt;div class="audio"&gt;[sound:pile.mp3]&lt;/div&gt;</v>
      </c>
      <c r="F3874" s="3" t="str">
        <f t="shared" si="2"/>
        <v>(n): đống</v>
      </c>
      <c r="G3874" s="6" t="s">
        <v>51256</v>
      </c>
      <c r="H3874" s="6" t="s">
        <v>51257</v>
      </c>
      <c r="I3874" s="7">
        <f t="shared" si="3"/>
        <v>0.08198438392</v>
      </c>
    </row>
    <row r="3875">
      <c r="A3875" s="4">
        <v>3875.0</v>
      </c>
      <c r="B3875" s="3" t="s">
        <v>51258</v>
      </c>
      <c r="C3875" s="6" t="s">
        <v>24</v>
      </c>
      <c r="D3875" s="6" t="s">
        <v>29498</v>
      </c>
      <c r="E3875" s="3" t="str">
        <f t="shared" si="1"/>
        <v>inject&lt;br&gt;&lt;div class="audio"&gt;[sound:inject.mp3]&lt;/div&gt;</v>
      </c>
      <c r="F3875" s="3" t="str">
        <f t="shared" si="2"/>
        <v>(v): tiêm</v>
      </c>
      <c r="G3875" s="6" t="s">
        <v>51259</v>
      </c>
      <c r="H3875" s="6" t="s">
        <v>51260</v>
      </c>
      <c r="I3875" s="7">
        <f t="shared" si="3"/>
        <v>0.5278660972</v>
      </c>
    </row>
    <row r="3876">
      <c r="A3876" s="4">
        <v>3876.0</v>
      </c>
      <c r="B3876" s="3" t="s">
        <v>51261</v>
      </c>
      <c r="C3876" s="6" t="s">
        <v>24</v>
      </c>
      <c r="D3876" s="6" t="s">
        <v>9210</v>
      </c>
      <c r="E3876" s="3" t="str">
        <f t="shared" si="1"/>
        <v>chuck&lt;br&gt;&lt;div class="audio"&gt;[sound:chuck.mp3]&lt;/div&gt;</v>
      </c>
      <c r="F3876" s="3" t="str">
        <f t="shared" si="2"/>
        <v>(v): ném</v>
      </c>
      <c r="G3876" s="6" t="s">
        <v>51262</v>
      </c>
      <c r="H3876" s="6" t="s">
        <v>51263</v>
      </c>
      <c r="I3876" s="7">
        <f t="shared" si="3"/>
        <v>0.2016270128</v>
      </c>
    </row>
    <row r="3877">
      <c r="A3877" s="4">
        <v>3877.0</v>
      </c>
      <c r="B3877" s="3" t="s">
        <v>51264</v>
      </c>
      <c r="C3877" s="6" t="s">
        <v>74</v>
      </c>
      <c r="D3877" s="6" t="s">
        <v>51265</v>
      </c>
      <c r="E3877" s="3" t="str">
        <f t="shared" si="1"/>
        <v>horn&lt;br&gt;&lt;div class="audio"&gt;[sound:horn.mp3]&lt;/div&gt;</v>
      </c>
      <c r="F3877" s="3" t="str">
        <f t="shared" si="2"/>
        <v>(n): còi</v>
      </c>
      <c r="G3877" s="6" t="s">
        <v>51266</v>
      </c>
      <c r="H3877" s="6" t="s">
        <v>51267</v>
      </c>
      <c r="I3877" s="7">
        <f t="shared" si="3"/>
        <v>0.8474394806</v>
      </c>
    </row>
    <row r="3878">
      <c r="A3878" s="4">
        <v>3878.0</v>
      </c>
      <c r="B3878" s="3" t="s">
        <v>51268</v>
      </c>
      <c r="C3878" s="6" t="s">
        <v>24</v>
      </c>
      <c r="D3878" s="6" t="s">
        <v>26675</v>
      </c>
      <c r="E3878" s="3" t="str">
        <f t="shared" si="1"/>
        <v>float&lt;br&gt;&lt;div class="audio"&gt;[sound:float.mp3]&lt;/div&gt;</v>
      </c>
      <c r="F3878" s="3" t="str">
        <f t="shared" si="2"/>
        <v>(v): nổi</v>
      </c>
      <c r="G3878" s="6" t="s">
        <v>51269</v>
      </c>
      <c r="H3878" s="6" t="s">
        <v>51270</v>
      </c>
      <c r="I3878" s="7">
        <f t="shared" si="3"/>
        <v>0.4468711561</v>
      </c>
    </row>
    <row r="3879">
      <c r="A3879" s="4">
        <v>3879.0</v>
      </c>
      <c r="B3879" s="3" t="s">
        <v>51271</v>
      </c>
      <c r="C3879" s="6" t="s">
        <v>74</v>
      </c>
      <c r="D3879" s="6" t="s">
        <v>20143</v>
      </c>
      <c r="E3879" s="3" t="str">
        <f t="shared" si="1"/>
        <v>lamp&lt;br&gt;&lt;div class="audio"&gt;[sound:lamp.mp3]&lt;/div&gt;</v>
      </c>
      <c r="F3879" s="3" t="str">
        <f t="shared" si="2"/>
        <v>(n): đèn</v>
      </c>
      <c r="G3879" s="6" t="s">
        <v>51272</v>
      </c>
      <c r="H3879" s="6" t="s">
        <v>51273</v>
      </c>
      <c r="I3879" s="7">
        <f t="shared" si="3"/>
        <v>0.2687825793</v>
      </c>
    </row>
    <row r="3880">
      <c r="A3880" s="4">
        <v>3880.0</v>
      </c>
      <c r="B3880" s="3" t="s">
        <v>51274</v>
      </c>
      <c r="C3880" s="6" t="s">
        <v>24</v>
      </c>
      <c r="D3880" s="6" t="s">
        <v>18663</v>
      </c>
      <c r="E3880" s="3" t="str">
        <f t="shared" si="1"/>
        <v>wipe&lt;br&gt;&lt;div class="audio"&gt;[sound:wipe.mp3]&lt;/div&gt;</v>
      </c>
      <c r="F3880" s="3" t="str">
        <f t="shared" si="2"/>
        <v>(v): lau</v>
      </c>
      <c r="G3880" s="6" t="s">
        <v>51275</v>
      </c>
      <c r="H3880" s="6" t="s">
        <v>51276</v>
      </c>
      <c r="I3880" s="7">
        <f t="shared" si="3"/>
        <v>0.9069674315</v>
      </c>
    </row>
    <row r="3881">
      <c r="A3881" s="4">
        <v>3881.0</v>
      </c>
      <c r="B3881" s="3" t="s">
        <v>51277</v>
      </c>
      <c r="C3881" s="6" t="s">
        <v>74</v>
      </c>
      <c r="D3881" s="6" t="s">
        <v>4306</v>
      </c>
      <c r="E3881" s="3" t="str">
        <f t="shared" si="1"/>
        <v>grandma&lt;br&gt;&lt;div class="audio"&gt;[sound:grandma.mp3]&lt;/div&gt;</v>
      </c>
      <c r="F3881" s="3" t="str">
        <f t="shared" si="2"/>
        <v>(n): bà</v>
      </c>
      <c r="G3881" s="6" t="s">
        <v>51278</v>
      </c>
      <c r="H3881" s="6" t="s">
        <v>51279</v>
      </c>
      <c r="I3881" s="7">
        <f t="shared" si="3"/>
        <v>0.4371410268</v>
      </c>
    </row>
    <row r="3882">
      <c r="A3882" s="4">
        <v>3882.0</v>
      </c>
      <c r="B3882" s="3" t="s">
        <v>51280</v>
      </c>
      <c r="C3882" s="6" t="s">
        <v>74</v>
      </c>
      <c r="D3882" s="6" t="s">
        <v>848</v>
      </c>
      <c r="E3882" s="3" t="str">
        <f t="shared" si="1"/>
        <v>mummy&lt;br&gt;&lt;div class="audio"&gt;[sound:mummy.mp3]&lt;/div&gt;</v>
      </c>
      <c r="F3882" s="3" t="str">
        <f t="shared" si="2"/>
        <v>(n): mẹ</v>
      </c>
      <c r="G3882" s="6" t="s">
        <v>51281</v>
      </c>
      <c r="H3882" s="6" t="s">
        <v>51282</v>
      </c>
      <c r="I3882" s="7">
        <f t="shared" si="3"/>
        <v>0.7763512391</v>
      </c>
    </row>
    <row r="3883">
      <c r="A3883" s="4">
        <v>3883.0</v>
      </c>
      <c r="B3883" s="3" t="s">
        <v>51283</v>
      </c>
      <c r="C3883" s="6" t="s">
        <v>24</v>
      </c>
      <c r="D3883" s="6" t="s">
        <v>50571</v>
      </c>
      <c r="E3883" s="3" t="str">
        <f t="shared" si="1"/>
        <v>explode&lt;br&gt;&lt;div class="audio"&gt;[sound:explode.mp3]&lt;/div&gt;</v>
      </c>
      <c r="F3883" s="3" t="str">
        <f t="shared" si="2"/>
        <v>(v): nổ</v>
      </c>
      <c r="G3883" s="6" t="s">
        <v>51284</v>
      </c>
      <c r="H3883" s="6" t="s">
        <v>51285</v>
      </c>
      <c r="I3883" s="7">
        <f t="shared" si="3"/>
        <v>0.9634793064</v>
      </c>
    </row>
    <row r="3884">
      <c r="A3884" s="4">
        <v>3884.0</v>
      </c>
      <c r="B3884" s="3" t="s">
        <v>51286</v>
      </c>
      <c r="C3884" s="6" t="s">
        <v>85</v>
      </c>
      <c r="D3884" s="6" t="s">
        <v>51287</v>
      </c>
      <c r="E3884" s="3" t="str">
        <f t="shared" si="1"/>
        <v>downtown&lt;br&gt;&lt;div class="audio"&gt;[sound:downtown.mp3]&lt;/div&gt;</v>
      </c>
      <c r="F3884" s="3" t="str">
        <f t="shared" si="2"/>
        <v>(adv): ở trung tâm</v>
      </c>
      <c r="G3884" s="6" t="s">
        <v>51288</v>
      </c>
      <c r="H3884" s="6" t="s">
        <v>51289</v>
      </c>
      <c r="I3884" s="7">
        <f t="shared" si="3"/>
        <v>0.6507645087</v>
      </c>
    </row>
    <row r="3885">
      <c r="A3885" s="4">
        <v>3885.0</v>
      </c>
      <c r="B3885" s="3" t="s">
        <v>51290</v>
      </c>
      <c r="C3885" s="6" t="s">
        <v>74</v>
      </c>
      <c r="D3885" s="6" t="s">
        <v>2540</v>
      </c>
      <c r="E3885" s="3" t="str">
        <f t="shared" si="1"/>
        <v>dimension&lt;br&gt;&lt;div class="audio"&gt;[sound:dimension.mp3]&lt;/div&gt;</v>
      </c>
      <c r="F3885" s="3" t="str">
        <f t="shared" si="2"/>
        <v>(n): kích thước</v>
      </c>
      <c r="G3885" s="6" t="s">
        <v>51291</v>
      </c>
      <c r="H3885" s="6" t="s">
        <v>51292</v>
      </c>
      <c r="I3885" s="7">
        <f t="shared" si="3"/>
        <v>0.9934027415</v>
      </c>
    </row>
    <row r="3886">
      <c r="A3886" s="4">
        <v>3886.0</v>
      </c>
      <c r="B3886" s="3" t="s">
        <v>51293</v>
      </c>
      <c r="C3886" s="6" t="s">
        <v>11</v>
      </c>
      <c r="D3886" s="6" t="s">
        <v>16481</v>
      </c>
      <c r="E3886" s="3" t="str">
        <f t="shared" si="1"/>
        <v>cute&lt;br&gt;&lt;div class="audio"&gt;[sound:cute.mp3]&lt;/div&gt;</v>
      </c>
      <c r="F3886" s="3" t="str">
        <f t="shared" si="2"/>
        <v>(adj): dễ thương</v>
      </c>
      <c r="G3886" s="6" t="s">
        <v>51294</v>
      </c>
      <c r="H3886" s="6" t="s">
        <v>51295</v>
      </c>
      <c r="I3886" s="7">
        <f t="shared" si="3"/>
        <v>0.1556247012</v>
      </c>
    </row>
    <row r="3887">
      <c r="A3887" s="4">
        <v>3887.0</v>
      </c>
      <c r="B3887" s="3" t="s">
        <v>51296</v>
      </c>
      <c r="C3887" s="6" t="s">
        <v>11</v>
      </c>
      <c r="D3887" s="6" t="s">
        <v>50680</v>
      </c>
      <c r="E3887" s="3" t="str">
        <f t="shared" si="1"/>
        <v>dominant&lt;br&gt;&lt;div class="audio"&gt;[sound:dominant.mp3]&lt;/div&gt;</v>
      </c>
      <c r="F3887" s="3" t="str">
        <f t="shared" si="2"/>
        <v>(adj): thống trị</v>
      </c>
      <c r="G3887" s="6" t="s">
        <v>51297</v>
      </c>
      <c r="H3887" s="6" t="s">
        <v>51298</v>
      </c>
      <c r="I3887" s="7">
        <f t="shared" si="3"/>
        <v>0.1833332528</v>
      </c>
    </row>
    <row r="3888">
      <c r="A3888" s="4">
        <v>3888.0</v>
      </c>
      <c r="B3888" s="3" t="s">
        <v>51299</v>
      </c>
      <c r="C3888" s="6" t="s">
        <v>74</v>
      </c>
      <c r="D3888" s="6" t="s">
        <v>17849</v>
      </c>
      <c r="E3888" s="3" t="str">
        <f t="shared" si="1"/>
        <v>creature&lt;br&gt;&lt;div class="audio"&gt;[sound:creature.mp3]&lt;/div&gt;</v>
      </c>
      <c r="F3888" s="3" t="str">
        <f t="shared" si="2"/>
        <v>(n): sinh vật</v>
      </c>
      <c r="G3888" s="6" t="s">
        <v>51300</v>
      </c>
      <c r="H3888" s="6" t="s">
        <v>51301</v>
      </c>
      <c r="I3888" s="7">
        <f t="shared" si="3"/>
        <v>0.6242475081</v>
      </c>
    </row>
    <row r="3889">
      <c r="A3889" s="4">
        <v>3889.0</v>
      </c>
      <c r="B3889" s="3" t="s">
        <v>51302</v>
      </c>
      <c r="C3889" s="6" t="s">
        <v>74</v>
      </c>
      <c r="D3889" s="6" t="s">
        <v>51303</v>
      </c>
      <c r="E3889" s="3" t="str">
        <f t="shared" si="1"/>
        <v>destination&lt;br&gt;&lt;div class="audio"&gt;[sound:destination.mp3]&lt;/div&gt;</v>
      </c>
      <c r="F3889" s="3" t="str">
        <f t="shared" si="2"/>
        <v>(n): điểm đến</v>
      </c>
      <c r="G3889" s="6" t="s">
        <v>51304</v>
      </c>
      <c r="H3889" s="6" t="s">
        <v>51305</v>
      </c>
      <c r="I3889" s="7">
        <f t="shared" si="3"/>
        <v>0.00601521656</v>
      </c>
    </row>
    <row r="3890">
      <c r="A3890" s="4">
        <v>3890.0</v>
      </c>
      <c r="B3890" s="3" t="s">
        <v>51306</v>
      </c>
      <c r="C3890" s="6" t="s">
        <v>74</v>
      </c>
      <c r="D3890" s="6" t="s">
        <v>51307</v>
      </c>
      <c r="E3890" s="3" t="str">
        <f t="shared" si="1"/>
        <v>disability&lt;br&gt;&lt;div class="audio"&gt;[sound:disability.mp3]&lt;/div&gt;</v>
      </c>
      <c r="F3890" s="3" t="str">
        <f t="shared" si="2"/>
        <v>(n): sự khuyết tật</v>
      </c>
      <c r="G3890" s="6" t="s">
        <v>51308</v>
      </c>
      <c r="H3890" s="6" t="s">
        <v>51309</v>
      </c>
      <c r="I3890" s="7">
        <f t="shared" si="3"/>
        <v>0.6596993237</v>
      </c>
    </row>
    <row r="3891">
      <c r="A3891" s="4">
        <v>3891.0</v>
      </c>
      <c r="B3891" s="3" t="s">
        <v>51310</v>
      </c>
      <c r="C3891" s="6" t="s">
        <v>74</v>
      </c>
      <c r="D3891" s="6" t="s">
        <v>19935</v>
      </c>
      <c r="E3891" s="3" t="str">
        <f t="shared" si="1"/>
        <v>currency&lt;br&gt;&lt;div class="audio"&gt;[sound:currency.mp3]&lt;/div&gt;</v>
      </c>
      <c r="F3891" s="3" t="str">
        <f t="shared" si="2"/>
        <v>(n): tiền tệ</v>
      </c>
      <c r="G3891" s="6" t="s">
        <v>51311</v>
      </c>
      <c r="H3891" s="6" t="s">
        <v>51312</v>
      </c>
      <c r="I3891" s="7">
        <f t="shared" si="3"/>
        <v>0.8977485463</v>
      </c>
    </row>
    <row r="3892">
      <c r="A3892" s="4">
        <v>3892.0</v>
      </c>
      <c r="B3892" s="3" t="s">
        <v>51313</v>
      </c>
      <c r="C3892" s="6" t="s">
        <v>74</v>
      </c>
      <c r="D3892" s="6" t="s">
        <v>35701</v>
      </c>
      <c r="E3892" s="3" t="str">
        <f t="shared" si="1"/>
        <v>dozen&lt;br&gt;&lt;div class="audio"&gt;[sound:dozen.mp3]&lt;/div&gt;</v>
      </c>
      <c r="F3892" s="3" t="str">
        <f t="shared" si="2"/>
        <v>(n): tá</v>
      </c>
      <c r="G3892" s="6" t="s">
        <v>51314</v>
      </c>
      <c r="H3892" s="6" t="s">
        <v>51315</v>
      </c>
      <c r="I3892" s="7">
        <f t="shared" si="3"/>
        <v>0.6184197883</v>
      </c>
    </row>
    <row r="3893">
      <c r="A3893" s="4">
        <v>3893.0</v>
      </c>
      <c r="B3893" s="3" t="s">
        <v>51316</v>
      </c>
      <c r="C3893" s="6" t="s">
        <v>74</v>
      </c>
      <c r="D3893" s="6" t="s">
        <v>3162</v>
      </c>
      <c r="E3893" s="3" t="str">
        <f t="shared" si="1"/>
        <v>distinction&lt;br&gt;&lt;div class="audio"&gt;[sound:distinction.mp3]&lt;/div&gt;</v>
      </c>
      <c r="F3893" s="3" t="str">
        <f t="shared" si="2"/>
        <v>(n): sự khác biệt</v>
      </c>
      <c r="G3893" s="6" t="s">
        <v>51317</v>
      </c>
      <c r="H3893" s="6" t="s">
        <v>51318</v>
      </c>
      <c r="I3893" s="7">
        <f t="shared" si="3"/>
        <v>0.3918757968</v>
      </c>
    </row>
    <row r="3894">
      <c r="A3894" s="4">
        <v>3894.0</v>
      </c>
      <c r="B3894" s="3" t="s">
        <v>51319</v>
      </c>
      <c r="C3894" s="6" t="s">
        <v>24</v>
      </c>
      <c r="D3894" s="6" t="s">
        <v>51320</v>
      </c>
      <c r="E3894" s="3" t="str">
        <f t="shared" si="1"/>
        <v>dip&lt;br&gt;&lt;div class="audio"&gt;[sound:dip.mp3]&lt;/div&gt;</v>
      </c>
      <c r="F3894" s="3" t="str">
        <f t="shared" si="2"/>
        <v>(v): nhúng</v>
      </c>
      <c r="G3894" s="6" t="s">
        <v>51321</v>
      </c>
      <c r="H3894" s="6" t="s">
        <v>51322</v>
      </c>
      <c r="I3894" s="7">
        <f t="shared" si="3"/>
        <v>0.6793234943</v>
      </c>
    </row>
    <row r="3895">
      <c r="A3895" s="4">
        <v>3895.0</v>
      </c>
      <c r="B3895" s="3" t="s">
        <v>51323</v>
      </c>
      <c r="C3895" s="6" t="s">
        <v>24</v>
      </c>
      <c r="D3895" s="6" t="s">
        <v>51324</v>
      </c>
      <c r="E3895" s="3" t="str">
        <f t="shared" si="1"/>
        <v>crack&lt;br&gt;&lt;div class="audio"&gt;[sound:crack.mp3]&lt;/div&gt;</v>
      </c>
      <c r="F3895" s="3" t="str">
        <f t="shared" si="2"/>
        <v>(v): nứt</v>
      </c>
      <c r="G3895" s="6" t="s">
        <v>51325</v>
      </c>
      <c r="H3895" s="6" t="s">
        <v>51326</v>
      </c>
      <c r="I3895" s="7">
        <f t="shared" si="3"/>
        <v>0.522808788</v>
      </c>
    </row>
    <row r="3896">
      <c r="A3896" s="4">
        <v>3896.0</v>
      </c>
      <c r="B3896" s="3" t="s">
        <v>51327</v>
      </c>
      <c r="C3896" s="6" t="s">
        <v>74</v>
      </c>
      <c r="D3896" s="6" t="s">
        <v>51328</v>
      </c>
      <c r="E3896" s="3" t="str">
        <f t="shared" si="1"/>
        <v>delight&lt;br&gt;&lt;div class="audio"&gt;[sound:delight.mp3]&lt;/div&gt;</v>
      </c>
      <c r="F3896" s="3" t="str">
        <f t="shared" si="2"/>
        <v>(n): sự vui sướng</v>
      </c>
      <c r="G3896" s="6" t="s">
        <v>51329</v>
      </c>
      <c r="H3896" s="6" t="s">
        <v>51330</v>
      </c>
      <c r="I3896" s="7">
        <f t="shared" si="3"/>
        <v>0.6199944494</v>
      </c>
    </row>
    <row r="3897">
      <c r="A3897" s="4">
        <v>3897.0</v>
      </c>
      <c r="B3897" s="3" t="s">
        <v>51331</v>
      </c>
      <c r="C3897" s="6" t="s">
        <v>74</v>
      </c>
      <c r="D3897" s="6" t="s">
        <v>51332</v>
      </c>
      <c r="E3897" s="3" t="str">
        <f t="shared" si="1"/>
        <v>dot&lt;br&gt;&lt;div class="audio"&gt;[sound:dot.mp3]&lt;/div&gt;</v>
      </c>
      <c r="F3897" s="3" t="str">
        <f t="shared" si="2"/>
        <v>(n): dấu chấm</v>
      </c>
      <c r="G3897" s="6" t="s">
        <v>51333</v>
      </c>
      <c r="H3897" s="6" t="s">
        <v>51334</v>
      </c>
      <c r="I3897" s="7">
        <f t="shared" si="3"/>
        <v>0.1012147184</v>
      </c>
    </row>
    <row r="3898">
      <c r="A3898" s="4">
        <v>3898.0</v>
      </c>
      <c r="B3898" s="3" t="s">
        <v>51335</v>
      </c>
      <c r="C3898" s="6" t="s">
        <v>11</v>
      </c>
      <c r="D3898" s="6" t="s">
        <v>51336</v>
      </c>
      <c r="E3898" s="3" t="str">
        <f t="shared" si="1"/>
        <v>theoretical&lt;br&gt;&lt;div class="audio"&gt;[sound:theoretical.mp3]&lt;/div&gt;</v>
      </c>
      <c r="F3898" s="3" t="str">
        <f t="shared" si="2"/>
        <v>(adj): thuộc lý thuyết</v>
      </c>
      <c r="G3898" s="6" t="s">
        <v>51337</v>
      </c>
      <c r="H3898" s="6" t="s">
        <v>51338</v>
      </c>
      <c r="I3898" s="7">
        <f t="shared" si="3"/>
        <v>0.4510863674</v>
      </c>
    </row>
    <row r="3899">
      <c r="A3899" s="4">
        <v>3899.0</v>
      </c>
      <c r="B3899" s="3" t="s">
        <v>51339</v>
      </c>
      <c r="C3899" s="6" t="s">
        <v>74</v>
      </c>
      <c r="D3899" s="6" t="s">
        <v>51340</v>
      </c>
      <c r="E3899" s="3" t="str">
        <f t="shared" si="1"/>
        <v>dispute&lt;br&gt;&lt;div class="audio"&gt;[sound:dispute.mp3]&lt;/div&gt;</v>
      </c>
      <c r="F3899" s="3" t="str">
        <f t="shared" si="2"/>
        <v>(n): cuộc tranh chấp</v>
      </c>
      <c r="G3899" s="6" t="s">
        <v>51341</v>
      </c>
      <c r="H3899" s="6" t="s">
        <v>51342</v>
      </c>
      <c r="I3899" s="7">
        <f t="shared" si="3"/>
        <v>0.07595975182</v>
      </c>
    </row>
    <row r="3900">
      <c r="A3900" s="4">
        <v>3900.0</v>
      </c>
      <c r="B3900" s="3" t="s">
        <v>51343</v>
      </c>
      <c r="C3900" s="6" t="s">
        <v>74</v>
      </c>
      <c r="D3900" s="6" t="s">
        <v>51344</v>
      </c>
      <c r="E3900" s="3" t="str">
        <f t="shared" si="1"/>
        <v>tenant&lt;br&gt;&lt;div class="audio"&gt;[sound:tenant.mp3]&lt;/div&gt;</v>
      </c>
      <c r="F3900" s="3" t="str">
        <f t="shared" si="2"/>
        <v>(n): người thuê nhà</v>
      </c>
      <c r="G3900" s="6" t="s">
        <v>51345</v>
      </c>
      <c r="H3900" s="6" t="s">
        <v>51346</v>
      </c>
      <c r="I3900" s="7">
        <f t="shared" si="3"/>
        <v>0.9785171411</v>
      </c>
    </row>
    <row r="3901">
      <c r="A3901" s="4">
        <v>3901.0</v>
      </c>
      <c r="B3901" s="3" t="s">
        <v>51347</v>
      </c>
      <c r="C3901" s="6" t="s">
        <v>74</v>
      </c>
      <c r="D3901" s="6" t="s">
        <v>6680</v>
      </c>
      <c r="E3901" s="3" t="str">
        <f t="shared" si="1"/>
        <v>conversion&lt;br&gt;&lt;div class="audio"&gt;[sound:conversion.mp3]&lt;/div&gt;</v>
      </c>
      <c r="F3901" s="3" t="str">
        <f t="shared" si="2"/>
        <v>(n): sự chuyển đổi</v>
      </c>
      <c r="G3901" s="6" t="s">
        <v>51348</v>
      </c>
      <c r="H3901" s="6" t="s">
        <v>51349</v>
      </c>
      <c r="I3901" s="7">
        <f t="shared" si="3"/>
        <v>0.9372277715</v>
      </c>
    </row>
    <row r="3902">
      <c r="A3902" s="4">
        <v>3902.0</v>
      </c>
      <c r="B3902" s="3" t="s">
        <v>51350</v>
      </c>
      <c r="C3902" s="6" t="s">
        <v>24</v>
      </c>
      <c r="D3902" s="6" t="s">
        <v>51351</v>
      </c>
      <c r="E3902" s="3" t="str">
        <f t="shared" si="1"/>
        <v>derive&lt;br&gt;&lt;div class="audio"&gt;[sound:derive.mp3]&lt;/div&gt;</v>
      </c>
      <c r="F3902" s="3" t="str">
        <f t="shared" si="2"/>
        <v>(v): bắt nguồn</v>
      </c>
      <c r="G3902" s="6" t="s">
        <v>51352</v>
      </c>
      <c r="H3902" s="6" t="s">
        <v>51353</v>
      </c>
      <c r="I3902" s="7">
        <f t="shared" si="3"/>
        <v>0.3160081038</v>
      </c>
    </row>
    <row r="3903">
      <c r="A3903" s="4">
        <v>3903.0</v>
      </c>
      <c r="B3903" s="3" t="s">
        <v>51354</v>
      </c>
      <c r="C3903" s="6" t="s">
        <v>74</v>
      </c>
      <c r="D3903" s="6" t="s">
        <v>6379</v>
      </c>
      <c r="E3903" s="3" t="str">
        <f t="shared" si="1"/>
        <v>tobacco&lt;br&gt;&lt;div class="audio"&gt;[sound:tobacco.mp3]&lt;/div&gt;</v>
      </c>
      <c r="F3903" s="3" t="str">
        <f t="shared" si="2"/>
        <v>(n): thuốc lá</v>
      </c>
      <c r="G3903" s="6" t="s">
        <v>51355</v>
      </c>
      <c r="H3903" s="6" t="s">
        <v>51356</v>
      </c>
      <c r="I3903" s="7">
        <f t="shared" si="3"/>
        <v>0.756211367</v>
      </c>
    </row>
    <row r="3904">
      <c r="A3904" s="4">
        <v>3904.0</v>
      </c>
      <c r="B3904" s="3" t="s">
        <v>51357</v>
      </c>
      <c r="C3904" s="6" t="s">
        <v>74</v>
      </c>
      <c r="D3904" s="6" t="s">
        <v>44562</v>
      </c>
      <c r="E3904" s="3" t="str">
        <f t="shared" si="1"/>
        <v>trait&lt;br&gt;&lt;div class="audio"&gt;[sound:trait.mp3]&lt;/div&gt;</v>
      </c>
      <c r="F3904" s="3" t="str">
        <f t="shared" si="2"/>
        <v>(n): đặc điểm</v>
      </c>
      <c r="G3904" s="6" t="s">
        <v>51358</v>
      </c>
      <c r="H3904" s="6" t="s">
        <v>51359</v>
      </c>
      <c r="I3904" s="7">
        <f t="shared" si="3"/>
        <v>0.581595906</v>
      </c>
    </row>
    <row r="3905">
      <c r="A3905" s="4">
        <v>3905.0</v>
      </c>
      <c r="B3905" s="3" t="s">
        <v>51360</v>
      </c>
      <c r="C3905" s="6" t="s">
        <v>74</v>
      </c>
      <c r="D3905" s="6" t="s">
        <v>699</v>
      </c>
      <c r="E3905" s="3" t="str">
        <f t="shared" si="1"/>
        <v>earnings&lt;br&gt;&lt;div class="audio"&gt;[sound:earnings.mp3]&lt;/div&gt;</v>
      </c>
      <c r="F3905" s="3" t="str">
        <f t="shared" si="2"/>
        <v>(n): thu nhập</v>
      </c>
      <c r="G3905" s="6" t="s">
        <v>51361</v>
      </c>
      <c r="H3905" s="6" t="s">
        <v>51362</v>
      </c>
      <c r="I3905" s="7">
        <f t="shared" si="3"/>
        <v>0.9813580815</v>
      </c>
    </row>
    <row r="3906">
      <c r="A3906" s="4">
        <v>3906.0</v>
      </c>
      <c r="B3906" s="3" t="s">
        <v>51363</v>
      </c>
      <c r="C3906" s="6" t="s">
        <v>74</v>
      </c>
      <c r="D3906" s="6" t="s">
        <v>51364</v>
      </c>
      <c r="E3906" s="3" t="str">
        <f t="shared" si="1"/>
        <v>tomato&lt;br&gt;&lt;div class="audio"&gt;[sound:tomato.mp3]&lt;/div&gt;</v>
      </c>
      <c r="F3906" s="3" t="str">
        <f t="shared" si="2"/>
        <v>(n): cà chua</v>
      </c>
      <c r="G3906" s="6" t="s">
        <v>51365</v>
      </c>
      <c r="H3906" s="6" t="s">
        <v>51366</v>
      </c>
      <c r="I3906" s="7">
        <f t="shared" si="3"/>
        <v>0.03270012606</v>
      </c>
    </row>
    <row r="3907">
      <c r="A3907" s="4">
        <v>3907.0</v>
      </c>
      <c r="B3907" s="3" t="s">
        <v>51367</v>
      </c>
      <c r="C3907" s="6" t="s">
        <v>74</v>
      </c>
      <c r="D3907" s="6" t="s">
        <v>28280</v>
      </c>
      <c r="E3907" s="3" t="str">
        <f t="shared" si="1"/>
        <v>thief&lt;br&gt;&lt;div class="audio"&gt;[sound:thief.mp3]&lt;/div&gt;</v>
      </c>
      <c r="F3907" s="3" t="str">
        <f t="shared" si="2"/>
        <v>(n): kẻ trộm</v>
      </c>
      <c r="G3907" s="6" t="s">
        <v>51368</v>
      </c>
      <c r="H3907" s="6" t="s">
        <v>51369</v>
      </c>
      <c r="I3907" s="7">
        <f t="shared" si="3"/>
        <v>0.9539171132</v>
      </c>
    </row>
    <row r="3908">
      <c r="A3908" s="4">
        <v>3908.0</v>
      </c>
      <c r="B3908" s="3" t="s">
        <v>51370</v>
      </c>
      <c r="C3908" s="6" t="s">
        <v>74</v>
      </c>
      <c r="D3908" s="6" t="s">
        <v>51371</v>
      </c>
      <c r="E3908" s="3" t="str">
        <f t="shared" si="1"/>
        <v>crown&lt;br&gt;&lt;div class="audio"&gt;[sound:crown.mp3]&lt;/div&gt;</v>
      </c>
      <c r="F3908" s="3" t="str">
        <f t="shared" si="2"/>
        <v>(n): vương miện</v>
      </c>
      <c r="G3908" s="6" t="s">
        <v>51372</v>
      </c>
      <c r="H3908" s="6" t="s">
        <v>51373</v>
      </c>
      <c r="I3908" s="7">
        <f t="shared" si="3"/>
        <v>0.8550414168</v>
      </c>
    </row>
    <row r="3909">
      <c r="A3909" s="4">
        <v>3909.0</v>
      </c>
      <c r="B3909" s="3" t="s">
        <v>51374</v>
      </c>
      <c r="C3909" s="6" t="s">
        <v>74</v>
      </c>
      <c r="D3909" s="6" t="s">
        <v>18458</v>
      </c>
      <c r="E3909" s="3" t="str">
        <f t="shared" si="1"/>
        <v>drawer&lt;br&gt;&lt;div class="audio"&gt;[sound:drawer.mp3]&lt;/div&gt;</v>
      </c>
      <c r="F3909" s="3" t="str">
        <f t="shared" si="2"/>
        <v>(n): ngăn kéo</v>
      </c>
      <c r="G3909" s="6" t="s">
        <v>51375</v>
      </c>
      <c r="H3909" s="6" t="s">
        <v>51376</v>
      </c>
      <c r="I3909" s="7">
        <f t="shared" si="3"/>
        <v>0.404164363</v>
      </c>
    </row>
    <row r="3910">
      <c r="A3910" s="4">
        <v>3910.0</v>
      </c>
      <c r="B3910" s="3" t="s">
        <v>51377</v>
      </c>
      <c r="C3910" s="6" t="s">
        <v>74</v>
      </c>
      <c r="D3910" s="6" t="s">
        <v>51378</v>
      </c>
      <c r="E3910" s="3" t="str">
        <f t="shared" si="1"/>
        <v>dirt&lt;br&gt;&lt;div class="audio"&gt;[sound:dirt.mp3]&lt;/div&gt;</v>
      </c>
      <c r="F3910" s="3" t="str">
        <f t="shared" si="2"/>
        <v>(n): bụi bẩn</v>
      </c>
      <c r="G3910" s="6" t="s">
        <v>51379</v>
      </c>
      <c r="H3910" s="6" t="s">
        <v>51380</v>
      </c>
      <c r="I3910" s="7">
        <f t="shared" si="3"/>
        <v>0.6791838729</v>
      </c>
    </row>
    <row r="3911">
      <c r="A3911" s="4">
        <v>3911.0</v>
      </c>
      <c r="B3911" s="3" t="s">
        <v>51381</v>
      </c>
      <c r="C3911" s="6" t="s">
        <v>85</v>
      </c>
      <c r="D3911" s="6" t="s">
        <v>51382</v>
      </c>
      <c r="E3911" s="3" t="str">
        <f t="shared" si="1"/>
        <v>downstairs&lt;br&gt;&lt;div class="audio"&gt;[sound:downstairs.mp3]&lt;/div&gt;</v>
      </c>
      <c r="F3911" s="3" t="str">
        <f t="shared" si="2"/>
        <v>(adv): ở tầng dưới</v>
      </c>
      <c r="G3911" s="6" t="s">
        <v>51383</v>
      </c>
      <c r="H3911" s="6" t="s">
        <v>51384</v>
      </c>
      <c r="I3911" s="7">
        <f t="shared" si="3"/>
        <v>0.03501070853</v>
      </c>
    </row>
    <row r="3912">
      <c r="A3912" s="4">
        <v>3912.0</v>
      </c>
      <c r="B3912" s="3" t="s">
        <v>51385</v>
      </c>
      <c r="C3912" s="6" t="s">
        <v>24</v>
      </c>
      <c r="D3912" s="6" t="s">
        <v>10711</v>
      </c>
      <c r="E3912" s="3" t="str">
        <f t="shared" si="1"/>
        <v>detect&lt;br&gt;&lt;div class="audio"&gt;[sound:detect.mp3]&lt;/div&gt;</v>
      </c>
      <c r="F3912" s="3" t="str">
        <f t="shared" si="2"/>
        <v>(v): phát hiện</v>
      </c>
      <c r="G3912" s="6" t="s">
        <v>51386</v>
      </c>
      <c r="H3912" s="6" t="s">
        <v>51387</v>
      </c>
      <c r="I3912" s="7">
        <f t="shared" si="3"/>
        <v>0.690852921</v>
      </c>
    </row>
    <row r="3913">
      <c r="A3913" s="4">
        <v>3913.0</v>
      </c>
      <c r="B3913" s="3" t="s">
        <v>51388</v>
      </c>
      <c r="C3913" s="6" t="s">
        <v>74</v>
      </c>
      <c r="D3913" s="6" t="s">
        <v>28899</v>
      </c>
      <c r="E3913" s="3" t="str">
        <f t="shared" si="1"/>
        <v>cotton&lt;br&gt;&lt;div class="audio"&gt;[sound:cotton.mp3]&lt;/div&gt;</v>
      </c>
      <c r="F3913" s="3" t="str">
        <f t="shared" si="2"/>
        <v>(n): bông</v>
      </c>
      <c r="G3913" s="6" t="s">
        <v>51389</v>
      </c>
      <c r="H3913" s="6" t="s">
        <v>51390</v>
      </c>
      <c r="I3913" s="7">
        <f t="shared" si="3"/>
        <v>0.9856592175</v>
      </c>
    </row>
    <row r="3914">
      <c r="A3914" s="4">
        <v>3914.0</v>
      </c>
      <c r="B3914" s="3" t="s">
        <v>51391</v>
      </c>
      <c r="C3914" s="6" t="s">
        <v>74</v>
      </c>
      <c r="D3914" s="6" t="s">
        <v>51392</v>
      </c>
      <c r="E3914" s="3" t="str">
        <f t="shared" si="1"/>
        <v>disappointment&lt;br&gt;&lt;div class="audio"&gt;[sound:disappointment.mp3]&lt;/div&gt;</v>
      </c>
      <c r="F3914" s="3" t="str">
        <f t="shared" si="2"/>
        <v>(n): sự thất vọng</v>
      </c>
      <c r="G3914" s="6" t="s">
        <v>51393</v>
      </c>
      <c r="H3914" s="6" t="s">
        <v>51394</v>
      </c>
      <c r="I3914" s="7">
        <f t="shared" si="3"/>
        <v>0.291713638</v>
      </c>
    </row>
    <row r="3915">
      <c r="A3915" s="4">
        <v>3915.0</v>
      </c>
      <c r="B3915" s="3" t="s">
        <v>51395</v>
      </c>
      <c r="C3915" s="6" t="s">
        <v>74</v>
      </c>
      <c r="D3915" s="6" t="s">
        <v>51396</v>
      </c>
      <c r="E3915" s="3" t="str">
        <f t="shared" si="1"/>
        <v>dancer&lt;br&gt;&lt;div class="audio"&gt;[sound:dancer.mp3]&lt;/div&gt;</v>
      </c>
      <c r="F3915" s="3" t="str">
        <f t="shared" si="2"/>
        <v>(n): vũ công</v>
      </c>
      <c r="G3915" s="6" t="s">
        <v>51397</v>
      </c>
      <c r="H3915" s="6" t="s">
        <v>51398</v>
      </c>
      <c r="I3915" s="7">
        <f t="shared" si="3"/>
        <v>0.2416490817</v>
      </c>
    </row>
    <row r="3916">
      <c r="A3916" s="4">
        <v>3916.0</v>
      </c>
      <c r="B3916" s="3" t="s">
        <v>51399</v>
      </c>
      <c r="C3916" s="6" t="s">
        <v>85</v>
      </c>
      <c r="D3916" s="6" t="s">
        <v>51400</v>
      </c>
      <c r="E3916" s="3" t="str">
        <f t="shared" si="1"/>
        <v>formally&lt;br&gt;&lt;div class="audio"&gt;[sound:formally.mp3]&lt;/div&gt;</v>
      </c>
      <c r="F3916" s="3" t="str">
        <f t="shared" si="2"/>
        <v>(adv): một cách trang trọng</v>
      </c>
      <c r="G3916" s="6" t="s">
        <v>51401</v>
      </c>
      <c r="H3916" s="6" t="s">
        <v>51402</v>
      </c>
      <c r="I3916" s="7">
        <f t="shared" si="3"/>
        <v>0.5983689239</v>
      </c>
    </row>
    <row r="3917">
      <c r="A3917" s="4">
        <v>3917.0</v>
      </c>
      <c r="B3917" s="3" t="s">
        <v>51403</v>
      </c>
      <c r="C3917" s="6" t="s">
        <v>74</v>
      </c>
      <c r="D3917" s="6" t="s">
        <v>51404</v>
      </c>
      <c r="E3917" s="3" t="str">
        <f t="shared" si="1"/>
        <v>lighting&lt;br&gt;&lt;div class="audio"&gt;[sound:lighting.mp3]&lt;/div&gt;</v>
      </c>
      <c r="F3917" s="3" t="str">
        <f t="shared" si="2"/>
        <v>(n): hệ thống chiếu sáng</v>
      </c>
      <c r="G3917" s="6" t="s">
        <v>51405</v>
      </c>
      <c r="H3917" s="6" t="s">
        <v>51406</v>
      </c>
      <c r="I3917" s="7">
        <f t="shared" si="3"/>
        <v>0.3691954759</v>
      </c>
    </row>
    <row r="3918">
      <c r="A3918" s="4">
        <v>3918.0</v>
      </c>
      <c r="B3918" s="3" t="s">
        <v>51407</v>
      </c>
      <c r="C3918" s="6" t="s">
        <v>74</v>
      </c>
      <c r="D3918" s="6" t="s">
        <v>51408</v>
      </c>
      <c r="E3918" s="3" t="str">
        <f t="shared" si="1"/>
        <v>sculpture&lt;br&gt;&lt;div class="audio"&gt;[sound:sculpture.mp3]&lt;/div&gt;</v>
      </c>
      <c r="F3918" s="3" t="str">
        <f t="shared" si="2"/>
        <v>(n): tác phẩm điêu khắc</v>
      </c>
      <c r="G3918" s="6" t="s">
        <v>51409</v>
      </c>
      <c r="H3918" s="6" t="s">
        <v>51410</v>
      </c>
      <c r="I3918" s="7">
        <f t="shared" si="3"/>
        <v>0.4094575594</v>
      </c>
    </row>
    <row r="3919">
      <c r="A3919" s="4">
        <v>3919.0</v>
      </c>
      <c r="B3919" s="3" t="s">
        <v>51411</v>
      </c>
      <c r="C3919" s="6" t="s">
        <v>11</v>
      </c>
      <c r="D3919" s="6" t="s">
        <v>42552</v>
      </c>
      <c r="E3919" s="3" t="str">
        <f t="shared" si="1"/>
        <v>unbelievable&lt;br&gt;&lt;div class="audio"&gt;[sound:unbelievable.mp3]&lt;/div&gt;</v>
      </c>
      <c r="F3919" s="3" t="str">
        <f t="shared" si="2"/>
        <v>(adj): không thể tin được</v>
      </c>
      <c r="G3919" s="6" t="s">
        <v>51412</v>
      </c>
      <c r="H3919" s="6" t="s">
        <v>51413</v>
      </c>
      <c r="I3919" s="7">
        <f t="shared" si="3"/>
        <v>0.7045316702</v>
      </c>
    </row>
    <row r="3920">
      <c r="A3920" s="4">
        <v>3920.0</v>
      </c>
      <c r="B3920" s="3" t="s">
        <v>51414</v>
      </c>
      <c r="C3920" s="6" t="s">
        <v>74</v>
      </c>
      <c r="D3920" s="6" t="s">
        <v>51415</v>
      </c>
      <c r="E3920" s="3" t="str">
        <f t="shared" si="1"/>
        <v>workforce&lt;br&gt;&lt;div class="audio"&gt;[sound:workforce.mp3]&lt;/div&gt;</v>
      </c>
      <c r="F3920" s="3" t="str">
        <f t="shared" si="2"/>
        <v>(n): lực lượng lao động</v>
      </c>
      <c r="G3920" s="6" t="s">
        <v>51416</v>
      </c>
      <c r="H3920" s="6" t="s">
        <v>51417</v>
      </c>
      <c r="I3920" s="7">
        <f t="shared" si="3"/>
        <v>0.4725336929</v>
      </c>
    </row>
    <row r="3921">
      <c r="A3921" s="4">
        <v>3921.0</v>
      </c>
      <c r="B3921" s="3" t="s">
        <v>51418</v>
      </c>
      <c r="C3921" s="6" t="s">
        <v>85</v>
      </c>
      <c r="D3921" s="6" t="s">
        <v>51419</v>
      </c>
      <c r="E3921" s="3" t="str">
        <f t="shared" si="1"/>
        <v>openly&lt;br&gt;&lt;div class="audio"&gt;[sound:openly.mp3]&lt;/div&gt;</v>
      </c>
      <c r="F3921" s="3" t="str">
        <f t="shared" si="2"/>
        <v>(adv): một cách công khai</v>
      </c>
      <c r="G3921" s="6" t="s">
        <v>51420</v>
      </c>
      <c r="H3921" s="6" t="s">
        <v>51421</v>
      </c>
      <c r="I3921" s="7">
        <f t="shared" si="3"/>
        <v>0.9294244061</v>
      </c>
    </row>
    <row r="3922">
      <c r="A3922" s="4">
        <v>3922.0</v>
      </c>
      <c r="B3922" s="3" t="s">
        <v>51422</v>
      </c>
      <c r="C3922" s="6" t="s">
        <v>85</v>
      </c>
      <c r="D3922" s="6" t="s">
        <v>51423</v>
      </c>
      <c r="E3922" s="3" t="str">
        <f t="shared" si="1"/>
        <v>extensively&lt;br&gt;&lt;div class="audio"&gt;[sound:extensively.mp3]&lt;/div&gt;</v>
      </c>
      <c r="F3922" s="3" t="str">
        <f t="shared" si="2"/>
        <v>(adv): một cách rộng rãi</v>
      </c>
      <c r="G3922" s="6" t="s">
        <v>51424</v>
      </c>
      <c r="H3922" s="6" t="s">
        <v>51425</v>
      </c>
      <c r="I3922" s="7">
        <f t="shared" si="3"/>
        <v>0.1206483536</v>
      </c>
    </row>
    <row r="3923">
      <c r="A3923" s="4">
        <v>3923.0</v>
      </c>
      <c r="B3923" s="3" t="s">
        <v>51426</v>
      </c>
      <c r="C3923" s="6" t="s">
        <v>74</v>
      </c>
      <c r="D3923" s="6" t="s">
        <v>51427</v>
      </c>
      <c r="E3923" s="3" t="str">
        <f t="shared" si="1"/>
        <v>mining&lt;br&gt;&lt;div class="audio"&gt;[sound:mining.mp3]&lt;/div&gt;</v>
      </c>
      <c r="F3923" s="3" t="str">
        <f t="shared" si="2"/>
        <v>(n): việc khai thác mỏ</v>
      </c>
      <c r="G3923" s="6" t="s">
        <v>51428</v>
      </c>
      <c r="H3923" s="6" t="s">
        <v>51429</v>
      </c>
      <c r="I3923" s="7">
        <f t="shared" si="3"/>
        <v>0.8717359281</v>
      </c>
    </row>
    <row r="3924">
      <c r="A3924" s="4">
        <v>3924.0</v>
      </c>
      <c r="B3924" s="3" t="s">
        <v>51430</v>
      </c>
      <c r="C3924" s="6" t="s">
        <v>74</v>
      </c>
      <c r="D3924" s="8" t="s">
        <v>51431</v>
      </c>
      <c r="E3924" s="3" t="str">
        <f t="shared" si="1"/>
        <v>spokeswoman&lt;br&gt;&lt;div class="audio"&gt;[sound:spokeswoman.mp3]&lt;/div&gt;</v>
      </c>
      <c r="F3924" s="3" t="str">
        <f t="shared" si="2"/>
        <v>(n): nữ phát ngôn viên</v>
      </c>
      <c r="G3924" s="8" t="s">
        <v>51432</v>
      </c>
      <c r="H3924" s="8" t="s">
        <v>51433</v>
      </c>
      <c r="I3924" s="7">
        <f t="shared" si="3"/>
        <v>0.3781141691</v>
      </c>
    </row>
    <row r="3925">
      <c r="A3925" s="4">
        <v>3925.0</v>
      </c>
      <c r="B3925" s="3" t="s">
        <v>51434</v>
      </c>
      <c r="C3925" s="6" t="s">
        <v>11</v>
      </c>
      <c r="D3925" s="6" t="s">
        <v>51435</v>
      </c>
      <c r="E3925" s="3" t="str">
        <f t="shared" si="1"/>
        <v>tactical&lt;br&gt;&lt;div class="audio"&gt;[sound:tactical.mp3]&lt;/div&gt;</v>
      </c>
      <c r="F3925" s="3" t="str">
        <f t="shared" si="2"/>
        <v>(adj): thuộc chiến thuật</v>
      </c>
      <c r="G3925" s="6" t="s">
        <v>51436</v>
      </c>
      <c r="H3925" s="6" t="s">
        <v>51437</v>
      </c>
      <c r="I3925" s="7">
        <f t="shared" si="3"/>
        <v>0.1475448993</v>
      </c>
    </row>
    <row r="3926">
      <c r="A3926" s="4">
        <v>3926.0</v>
      </c>
      <c r="B3926" s="3" t="s">
        <v>51438</v>
      </c>
      <c r="C3926" s="6" t="s">
        <v>11</v>
      </c>
      <c r="D3926" s="6" t="s">
        <v>51439</v>
      </c>
      <c r="E3926" s="3" t="str">
        <f t="shared" si="1"/>
        <v>revolutionary&lt;br&gt;&lt;div class="audio"&gt;[sound:revolutionary.mp3]&lt;/div&gt;</v>
      </c>
      <c r="F3926" s="3" t="str">
        <f t="shared" si="2"/>
        <v>(adj): có tính cách mạng</v>
      </c>
      <c r="G3926" s="6" t="s">
        <v>51440</v>
      </c>
      <c r="H3926" s="6" t="s">
        <v>51441</v>
      </c>
      <c r="I3926" s="7">
        <f t="shared" si="3"/>
        <v>0.03882268671</v>
      </c>
    </row>
    <row r="3927">
      <c r="A3927" s="4">
        <v>3927.0</v>
      </c>
      <c r="B3927" s="3" t="s">
        <v>51442</v>
      </c>
      <c r="C3927" s="6" t="s">
        <v>11</v>
      </c>
      <c r="D3927" s="6" t="s">
        <v>51443</v>
      </c>
      <c r="E3927" s="3" t="str">
        <f t="shared" si="1"/>
        <v>organizational&lt;br&gt;&lt;div class="audio"&gt;[sound:organizational.mp3]&lt;/div&gt;</v>
      </c>
      <c r="F3927" s="3" t="str">
        <f t="shared" si="2"/>
        <v>(adj): thuộc về tổ chức</v>
      </c>
      <c r="G3927" s="6" t="s">
        <v>51444</v>
      </c>
      <c r="H3927" s="6" t="s">
        <v>51445</v>
      </c>
      <c r="I3927" s="7">
        <f t="shared" si="3"/>
        <v>0.6247294879</v>
      </c>
    </row>
    <row r="3928">
      <c r="A3928" s="4">
        <v>3928.0</v>
      </c>
      <c r="B3928" s="3" t="s">
        <v>51446</v>
      </c>
      <c r="C3928" s="6" t="s">
        <v>74</v>
      </c>
      <c r="D3928" s="6" t="s">
        <v>51447</v>
      </c>
      <c r="E3928" s="3" t="str">
        <f t="shared" si="1"/>
        <v>enthusiast&lt;br&gt;&lt;div class="audio"&gt;[sound:enthusiast.mp3]&lt;/div&gt;</v>
      </c>
      <c r="F3928" s="3" t="str">
        <f t="shared" si="2"/>
        <v>(n): người nhiệt tình</v>
      </c>
      <c r="G3928" s="6" t="s">
        <v>51448</v>
      </c>
      <c r="H3928" s="6" t="s">
        <v>51449</v>
      </c>
      <c r="I3928" s="7">
        <f t="shared" si="3"/>
        <v>0.6598338878</v>
      </c>
    </row>
    <row r="3929">
      <c r="A3929" s="4">
        <v>3929.0</v>
      </c>
      <c r="B3929" s="3" t="s">
        <v>51450</v>
      </c>
      <c r="C3929" s="6" t="s">
        <v>74</v>
      </c>
      <c r="D3929" s="6" t="s">
        <v>3156</v>
      </c>
      <c r="E3929" s="3" t="str">
        <f t="shared" si="1"/>
        <v>foreigner&lt;br&gt;&lt;div class="audio"&gt;[sound:foreigner.mp3]&lt;/div&gt;</v>
      </c>
      <c r="F3929" s="3" t="str">
        <f t="shared" si="2"/>
        <v>(n): người nước ngoài</v>
      </c>
      <c r="G3929" s="6" t="s">
        <v>51451</v>
      </c>
      <c r="H3929" s="6" t="s">
        <v>51452</v>
      </c>
      <c r="I3929" s="7">
        <f t="shared" si="3"/>
        <v>0.5560074509</v>
      </c>
    </row>
    <row r="3930">
      <c r="A3930" s="4">
        <v>3930.0</v>
      </c>
      <c r="B3930" s="3" t="s">
        <v>51453</v>
      </c>
      <c r="C3930" s="6" t="s">
        <v>85</v>
      </c>
      <c r="D3930" s="6" t="s">
        <v>51454</v>
      </c>
      <c r="E3930" s="3" t="str">
        <f t="shared" si="1"/>
        <v>nicely&lt;br&gt;&lt;div class="audio"&gt;[sound:nicely.mp3]&lt;/div&gt;</v>
      </c>
      <c r="F3930" s="3" t="str">
        <f t="shared" si="2"/>
        <v>(adv): một cách tốt đẹp</v>
      </c>
      <c r="G3930" s="6" t="s">
        <v>51455</v>
      </c>
      <c r="H3930" s="6" t="s">
        <v>51456</v>
      </c>
      <c r="I3930" s="7">
        <f t="shared" si="3"/>
        <v>0.8770271879</v>
      </c>
    </row>
    <row r="3931">
      <c r="A3931" s="4">
        <v>3931.0</v>
      </c>
      <c r="B3931" s="3" t="s">
        <v>51457</v>
      </c>
      <c r="C3931" s="6" t="s">
        <v>74</v>
      </c>
      <c r="D3931" s="6" t="s">
        <v>51458</v>
      </c>
      <c r="E3931" s="3" t="str">
        <f t="shared" si="1"/>
        <v>practitioner&lt;br&gt;&lt;div class="audio"&gt;[sound:practitioner.mp3]&lt;/div&gt;</v>
      </c>
      <c r="F3931" s="3" t="str">
        <f t="shared" si="2"/>
        <v>(n): người hành nghề</v>
      </c>
      <c r="G3931" s="6" t="s">
        <v>51459</v>
      </c>
      <c r="H3931" s="6" t="s">
        <v>51460</v>
      </c>
      <c r="I3931" s="7">
        <f t="shared" si="3"/>
        <v>0.9742900059</v>
      </c>
    </row>
    <row r="3932">
      <c r="A3932" s="4">
        <v>3932.0</v>
      </c>
      <c r="B3932" s="3" t="s">
        <v>51461</v>
      </c>
      <c r="C3932" s="6" t="s">
        <v>11</v>
      </c>
      <c r="D3932" s="6" t="s">
        <v>51462</v>
      </c>
      <c r="E3932" s="3" t="str">
        <f t="shared" si="1"/>
        <v>impatient&lt;br&gt;&lt;div class="audio"&gt;[sound:impatient.mp3]&lt;/div&gt;</v>
      </c>
      <c r="F3932" s="3" t="str">
        <f t="shared" si="2"/>
        <v>(adj): thiếu kiên nhẫn</v>
      </c>
      <c r="G3932" s="6" t="s">
        <v>51463</v>
      </c>
      <c r="H3932" s="6" t="s">
        <v>51464</v>
      </c>
      <c r="I3932" s="7">
        <f t="shared" si="3"/>
        <v>0.5057742133</v>
      </c>
    </row>
    <row r="3933">
      <c r="A3933" s="4">
        <v>3933.0</v>
      </c>
      <c r="B3933" s="3" t="s">
        <v>51465</v>
      </c>
      <c r="C3933" s="6" t="s">
        <v>74</v>
      </c>
      <c r="D3933" s="6" t="s">
        <v>51466</v>
      </c>
      <c r="E3933" s="3" t="str">
        <f t="shared" si="1"/>
        <v>narrative&lt;br&gt;&lt;div class="audio"&gt;[sound:narrative.mp3]&lt;/div&gt;</v>
      </c>
      <c r="F3933" s="3" t="str">
        <f t="shared" si="2"/>
        <v>(n): bài tường thuật</v>
      </c>
      <c r="G3933" s="6" t="s">
        <v>51467</v>
      </c>
      <c r="H3933" s="6" t="s">
        <v>51468</v>
      </c>
      <c r="I3933" s="7">
        <f t="shared" si="3"/>
        <v>0.6400332839</v>
      </c>
    </row>
    <row r="3934">
      <c r="A3934" s="4">
        <v>3934.0</v>
      </c>
      <c r="B3934" s="3" t="s">
        <v>51469</v>
      </c>
      <c r="C3934" s="6" t="s">
        <v>74</v>
      </c>
      <c r="D3934" s="6" t="s">
        <v>51470</v>
      </c>
      <c r="E3934" s="3" t="str">
        <f t="shared" si="1"/>
        <v>sanction&lt;br&gt;&lt;div class="audio"&gt;[sound:sanction.mp3]&lt;/div&gt;</v>
      </c>
      <c r="F3934" s="3" t="str">
        <f t="shared" si="2"/>
        <v>(n): lệnh trừng phạt</v>
      </c>
      <c r="G3934" s="6" t="s">
        <v>51471</v>
      </c>
      <c r="H3934" s="6" t="s">
        <v>51472</v>
      </c>
      <c r="I3934" s="7">
        <f t="shared" si="3"/>
        <v>0.9333752575</v>
      </c>
    </row>
    <row r="3935">
      <c r="A3935" s="4">
        <v>3935.0</v>
      </c>
      <c r="B3935" s="3" t="s">
        <v>51473</v>
      </c>
      <c r="C3935" s="6" t="s">
        <v>74</v>
      </c>
      <c r="D3935" s="6" t="s">
        <v>51474</v>
      </c>
      <c r="E3935" s="3" t="str">
        <f t="shared" si="1"/>
        <v>calculator&lt;br&gt;&lt;div class="audio"&gt;[sound:calculator.mp3]&lt;/div&gt;</v>
      </c>
      <c r="F3935" s="3" t="str">
        <f t="shared" si="2"/>
        <v>(n): máy tính bỏ túi</v>
      </c>
      <c r="G3935" s="6" t="s">
        <v>51475</v>
      </c>
      <c r="H3935" s="6" t="s">
        <v>51476</v>
      </c>
      <c r="I3935" s="7">
        <f t="shared" si="3"/>
        <v>0.5073830787</v>
      </c>
    </row>
    <row r="3936">
      <c r="A3936" s="4">
        <v>3936.0</v>
      </c>
      <c r="B3936" s="3" t="s">
        <v>51477</v>
      </c>
      <c r="C3936" s="6" t="s">
        <v>74</v>
      </c>
      <c r="D3936" s="6" t="s">
        <v>51478</v>
      </c>
      <c r="E3936" s="3" t="str">
        <f t="shared" si="1"/>
        <v>butcher&lt;br&gt;&lt;div class="audio"&gt;[sound:butcher.mp3]&lt;/div&gt;</v>
      </c>
      <c r="F3936" s="3" t="str">
        <f t="shared" si="2"/>
        <v>(n): người bán thịt</v>
      </c>
      <c r="G3936" s="6" t="s">
        <v>51479</v>
      </c>
      <c r="H3936" s="6" t="s">
        <v>51480</v>
      </c>
      <c r="I3936" s="7">
        <f t="shared" si="3"/>
        <v>0.8150251008</v>
      </c>
    </row>
    <row r="3937">
      <c r="A3937" s="4">
        <v>3937.0</v>
      </c>
      <c r="B3937" s="3" t="s">
        <v>51481</v>
      </c>
      <c r="C3937" s="6" t="s">
        <v>85</v>
      </c>
      <c r="D3937" s="6" t="s">
        <v>41577</v>
      </c>
      <c r="E3937" s="3" t="str">
        <f t="shared" si="1"/>
        <v>wherever&lt;br&gt;&lt;div class="audio"&gt;[sound:wherever.mp3]&lt;/div&gt;</v>
      </c>
      <c r="F3937" s="3" t="str">
        <f t="shared" si="2"/>
        <v>(adv): bất cứ nơi nào</v>
      </c>
      <c r="G3937" s="6" t="s">
        <v>51482</v>
      </c>
      <c r="H3937" s="6" t="s">
        <v>51483</v>
      </c>
      <c r="I3937" s="7">
        <f t="shared" si="3"/>
        <v>0.5647530245</v>
      </c>
    </row>
    <row r="3938">
      <c r="A3938" s="4">
        <v>3938.0</v>
      </c>
      <c r="B3938" s="3" t="s">
        <v>51484</v>
      </c>
      <c r="C3938" s="6" t="s">
        <v>74</v>
      </c>
      <c r="D3938" s="6" t="s">
        <v>47936</v>
      </c>
      <c r="E3938" s="3" t="str">
        <f t="shared" si="1"/>
        <v>animation&lt;br&gt;&lt;div class="audio"&gt;[sound:animation.mp3]&lt;/div&gt;</v>
      </c>
      <c r="F3938" s="3" t="str">
        <f t="shared" si="2"/>
        <v>(n): phim hoạt hình</v>
      </c>
      <c r="G3938" s="6" t="s">
        <v>51485</v>
      </c>
      <c r="H3938" s="6" t="s">
        <v>51486</v>
      </c>
      <c r="I3938" s="7">
        <f t="shared" si="3"/>
        <v>0.8530981965</v>
      </c>
    </row>
    <row r="3939">
      <c r="A3939" s="4">
        <v>3939.0</v>
      </c>
      <c r="B3939" s="3" t="s">
        <v>51487</v>
      </c>
      <c r="C3939" s="6" t="s">
        <v>74</v>
      </c>
      <c r="D3939" s="6" t="s">
        <v>25071</v>
      </c>
      <c r="E3939" s="3" t="str">
        <f t="shared" si="1"/>
        <v>prayer&lt;br&gt;&lt;div class="audio"&gt;[sound:prayer.mp3]&lt;/div&gt;</v>
      </c>
      <c r="F3939" s="3" t="str">
        <f t="shared" si="2"/>
        <v>(n): lời cầu nguyện</v>
      </c>
      <c r="G3939" s="6" t="s">
        <v>51488</v>
      </c>
      <c r="H3939" s="6" t="s">
        <v>51489</v>
      </c>
      <c r="I3939" s="7">
        <f t="shared" si="3"/>
        <v>0.6906202764</v>
      </c>
    </row>
    <row r="3940">
      <c r="A3940" s="4">
        <v>3940.0</v>
      </c>
      <c r="B3940" s="3" t="s">
        <v>51490</v>
      </c>
      <c r="C3940" s="6" t="s">
        <v>11</v>
      </c>
      <c r="D3940" s="6" t="s">
        <v>51491</v>
      </c>
      <c r="E3940" s="3" t="str">
        <f t="shared" si="1"/>
        <v>parliamentary&lt;br&gt;&lt;div class="audio"&gt;[sound:parliamentary.mp3]&lt;/div&gt;</v>
      </c>
      <c r="F3940" s="3" t="str">
        <f t="shared" si="2"/>
        <v>(adj): thuộc quốc hội</v>
      </c>
      <c r="G3940" s="6" t="s">
        <v>51492</v>
      </c>
      <c r="H3940" s="6" t="s">
        <v>51493</v>
      </c>
      <c r="I3940" s="7">
        <f t="shared" si="3"/>
        <v>0.8504513967</v>
      </c>
    </row>
    <row r="3941">
      <c r="A3941" s="4">
        <v>3941.0</v>
      </c>
      <c r="B3941" s="3" t="s">
        <v>51494</v>
      </c>
      <c r="C3941" s="6" t="s">
        <v>74</v>
      </c>
      <c r="D3941" s="6" t="s">
        <v>51495</v>
      </c>
      <c r="E3941" s="3" t="str">
        <f t="shared" si="1"/>
        <v>humanitarian&lt;br&gt;&lt;div class="audio"&gt;[sound:humanitarian.mp3]&lt;/div&gt;</v>
      </c>
      <c r="F3941" s="3" t="str">
        <f t="shared" si="2"/>
        <v>(n): người nhân đạo</v>
      </c>
      <c r="G3941" s="6" t="s">
        <v>51496</v>
      </c>
      <c r="H3941" s="6" t="s">
        <v>51497</v>
      </c>
      <c r="I3941" s="7">
        <f t="shared" si="3"/>
        <v>0.234465188</v>
      </c>
    </row>
    <row r="3942">
      <c r="A3942" s="4">
        <v>3942.0</v>
      </c>
      <c r="B3942" s="3" t="s">
        <v>51498</v>
      </c>
      <c r="C3942" s="6" t="s">
        <v>74</v>
      </c>
      <c r="D3942" s="6" t="s">
        <v>51499</v>
      </c>
      <c r="E3942" s="3" t="str">
        <f t="shared" si="1"/>
        <v>elite&lt;br&gt;&lt;div class="audio"&gt;[sound:elite.mp3]&lt;/div&gt;</v>
      </c>
      <c r="F3942" s="3" t="str">
        <f t="shared" si="2"/>
        <v>(n): tầng lớp ưu tú</v>
      </c>
      <c r="G3942" s="6" t="s">
        <v>51500</v>
      </c>
      <c r="H3942" s="6" t="s">
        <v>51501</v>
      </c>
      <c r="I3942" s="7">
        <f t="shared" si="3"/>
        <v>0.4902408136</v>
      </c>
    </row>
    <row r="3943">
      <c r="A3943" s="4">
        <v>3943.0</v>
      </c>
      <c r="B3943" s="3" t="s">
        <v>51502</v>
      </c>
      <c r="C3943" s="6" t="s">
        <v>74</v>
      </c>
      <c r="D3943" s="6" t="s">
        <v>51503</v>
      </c>
      <c r="E3943" s="3" t="str">
        <f t="shared" si="1"/>
        <v>adaptation&lt;br&gt;&lt;div class="audio"&gt;[sound:adaptation.mp3]&lt;/div&gt;</v>
      </c>
      <c r="F3943" s="3" t="str">
        <f t="shared" si="2"/>
        <v>(n): sự thích nghi</v>
      </c>
      <c r="G3943" s="6" t="s">
        <v>51504</v>
      </c>
      <c r="H3943" s="6" t="s">
        <v>51505</v>
      </c>
      <c r="I3943" s="7">
        <f t="shared" si="3"/>
        <v>0.7267383519</v>
      </c>
    </row>
    <row r="3944">
      <c r="A3944" s="4">
        <v>3944.0</v>
      </c>
      <c r="B3944" s="3" t="s">
        <v>51506</v>
      </c>
      <c r="C3944" s="6" t="s">
        <v>85</v>
      </c>
      <c r="D3944" s="6" t="s">
        <v>10400</v>
      </c>
      <c r="E3944" s="3" t="str">
        <f t="shared" si="1"/>
        <v>anyhow&lt;br&gt;&lt;div class="audio"&gt;[sound:anyhow.mp3]&lt;/div&gt;</v>
      </c>
      <c r="F3944" s="3" t="str">
        <f t="shared" si="2"/>
        <v>(adv): dù sao đi nữa</v>
      </c>
      <c r="G3944" s="6" t="s">
        <v>51507</v>
      </c>
      <c r="H3944" s="6" t="s">
        <v>51508</v>
      </c>
      <c r="I3944" s="7">
        <f t="shared" si="3"/>
        <v>0.693572399</v>
      </c>
    </row>
    <row r="3945">
      <c r="A3945" s="4">
        <v>3945.0</v>
      </c>
      <c r="B3945" s="3" t="s">
        <v>51509</v>
      </c>
      <c r="C3945" s="6" t="s">
        <v>74</v>
      </c>
      <c r="D3945" s="8" t="s">
        <v>51510</v>
      </c>
      <c r="E3945" s="3" t="str">
        <f t="shared" si="1"/>
        <v>sublist&lt;br&gt;&lt;div class="audio"&gt;[sound:sublist.mp3]&lt;/div&gt;</v>
      </c>
      <c r="F3945" s="3" t="str">
        <f t="shared" si="2"/>
        <v>(n): danh sách con</v>
      </c>
      <c r="G3945" s="8" t="s">
        <v>51511</v>
      </c>
      <c r="H3945" s="8" t="s">
        <v>51512</v>
      </c>
      <c r="I3945" s="7">
        <f t="shared" si="3"/>
        <v>0.9844604479</v>
      </c>
    </row>
    <row r="3946">
      <c r="A3946" s="4">
        <v>3946.0</v>
      </c>
      <c r="B3946" s="3" t="s">
        <v>51513</v>
      </c>
      <c r="C3946" s="6" t="s">
        <v>24</v>
      </c>
      <c r="D3946" s="6" t="s">
        <v>51514</v>
      </c>
      <c r="E3946" s="3" t="str">
        <f t="shared" si="1"/>
        <v>grin&lt;br&gt;&lt;div class="audio"&gt;[sound:grin.mp3]&lt;/div&gt;</v>
      </c>
      <c r="F3946" s="3" t="str">
        <f t="shared" si="2"/>
        <v>(v): cười toe toét</v>
      </c>
      <c r="G3946" s="6" t="s">
        <v>51515</v>
      </c>
      <c r="H3946" s="6" t="s">
        <v>51516</v>
      </c>
      <c r="I3946" s="7">
        <f t="shared" si="3"/>
        <v>0.5564102928</v>
      </c>
    </row>
    <row r="3947">
      <c r="A3947" s="4">
        <v>3947.0</v>
      </c>
      <c r="B3947" s="3" t="s">
        <v>51517</v>
      </c>
      <c r="C3947" s="6" t="s">
        <v>74</v>
      </c>
      <c r="D3947" s="6" t="s">
        <v>51518</v>
      </c>
      <c r="E3947" s="3" t="str">
        <f t="shared" si="1"/>
        <v>organizer&lt;br&gt;&lt;div class="audio"&gt;[sound:organizer.mp3]&lt;/div&gt;</v>
      </c>
      <c r="F3947" s="3" t="str">
        <f t="shared" si="2"/>
        <v>(n): người tổ chức</v>
      </c>
      <c r="G3947" s="6" t="s">
        <v>51519</v>
      </c>
      <c r="H3947" s="6" t="s">
        <v>51520</v>
      </c>
      <c r="I3947" s="7">
        <f t="shared" si="3"/>
        <v>0.9076120343</v>
      </c>
    </row>
    <row r="3948">
      <c r="A3948" s="4">
        <v>3948.0</v>
      </c>
      <c r="B3948" s="3" t="s">
        <v>51521</v>
      </c>
      <c r="C3948" s="6" t="s">
        <v>74</v>
      </c>
      <c r="D3948" s="6" t="s">
        <v>51522</v>
      </c>
      <c r="E3948" s="3" t="str">
        <f t="shared" si="1"/>
        <v>journalism&lt;br&gt;&lt;div class="audio"&gt;[sound:journalism.mp3]&lt;/div&gt;</v>
      </c>
      <c r="F3948" s="3" t="str">
        <f t="shared" si="2"/>
        <v>(n): ngành báo chí</v>
      </c>
      <c r="G3948" s="6" t="s">
        <v>51523</v>
      </c>
      <c r="H3948" s="6" t="s">
        <v>51524</v>
      </c>
      <c r="I3948" s="7">
        <f t="shared" si="3"/>
        <v>0.9609361877</v>
      </c>
    </row>
    <row r="3949">
      <c r="A3949" s="4">
        <v>3949.0</v>
      </c>
      <c r="B3949" s="3" t="s">
        <v>51525</v>
      </c>
      <c r="C3949" s="6" t="s">
        <v>85</v>
      </c>
      <c r="D3949" s="6" t="s">
        <v>40498</v>
      </c>
      <c r="E3949" s="3" t="str">
        <f t="shared" si="1"/>
        <v>forth&lt;br&gt;&lt;div class="audio"&gt;[sound:forth.mp3]&lt;/div&gt;</v>
      </c>
      <c r="F3949" s="3" t="str">
        <f t="shared" si="2"/>
        <v>(adv): về phía trước</v>
      </c>
      <c r="G3949" s="6" t="s">
        <v>51526</v>
      </c>
      <c r="H3949" s="6" t="s">
        <v>51527</v>
      </c>
      <c r="I3949" s="7">
        <f t="shared" si="3"/>
        <v>0.1560520085</v>
      </c>
    </row>
    <row r="3950">
      <c r="A3950" s="4">
        <v>3950.0</v>
      </c>
      <c r="B3950" s="3" t="s">
        <v>51528</v>
      </c>
      <c r="C3950" s="6" t="s">
        <v>74</v>
      </c>
      <c r="D3950" s="6" t="s">
        <v>51529</v>
      </c>
      <c r="E3950" s="3" t="str">
        <f t="shared" si="1"/>
        <v>rape&lt;br&gt;&lt;div class="audio"&gt;[sound:rape.mp3]&lt;/div&gt;</v>
      </c>
      <c r="F3950" s="3" t="str">
        <f t="shared" si="2"/>
        <v>(n): vụ cưỡng hiếp</v>
      </c>
      <c r="G3950" s="6" t="s">
        <v>51530</v>
      </c>
      <c r="H3950" s="6" t="s">
        <v>51531</v>
      </c>
      <c r="I3950" s="7">
        <f t="shared" si="3"/>
        <v>0.01449421722</v>
      </c>
    </row>
    <row r="3951">
      <c r="A3951" s="4">
        <v>3951.0</v>
      </c>
      <c r="B3951" s="3" t="s">
        <v>51532</v>
      </c>
      <c r="C3951" s="6" t="s">
        <v>74</v>
      </c>
      <c r="D3951" s="6" t="s">
        <v>51533</v>
      </c>
      <c r="E3951" s="3" t="str">
        <f t="shared" si="1"/>
        <v>proceeds&lt;br&gt;&lt;div class="audio"&gt;[sound:proceeds.mp3]&lt;/div&gt;</v>
      </c>
      <c r="F3951" s="3" t="str">
        <f t="shared" si="2"/>
        <v>(n): tiền thu được</v>
      </c>
      <c r="G3951" s="6" t="s">
        <v>51534</v>
      </c>
      <c r="H3951" s="6" t="s">
        <v>51535</v>
      </c>
      <c r="I3951" s="7">
        <f t="shared" si="3"/>
        <v>0.3106323209</v>
      </c>
    </row>
    <row r="3952">
      <c r="A3952" s="4">
        <v>3952.0</v>
      </c>
      <c r="B3952" s="3" t="s">
        <v>51536</v>
      </c>
      <c r="C3952" s="6" t="s">
        <v>11</v>
      </c>
      <c r="D3952" s="6" t="s">
        <v>51537</v>
      </c>
      <c r="E3952" s="3" t="str">
        <f t="shared" si="1"/>
        <v>literary&lt;br&gt;&lt;div class="audio"&gt;[sound:literary.mp3]&lt;/div&gt;</v>
      </c>
      <c r="F3952" s="3" t="str">
        <f t="shared" si="2"/>
        <v>(adj): thuộc văn học</v>
      </c>
      <c r="G3952" s="6" t="s">
        <v>51538</v>
      </c>
      <c r="H3952" s="6" t="s">
        <v>51539</v>
      </c>
      <c r="I3952" s="7">
        <f t="shared" si="3"/>
        <v>0.5900024795</v>
      </c>
    </row>
    <row r="3953">
      <c r="A3953" s="4">
        <v>3953.0</v>
      </c>
      <c r="B3953" s="3" t="s">
        <v>51540</v>
      </c>
      <c r="C3953" s="6" t="s">
        <v>74</v>
      </c>
      <c r="D3953" s="6" t="s">
        <v>51541</v>
      </c>
      <c r="E3953" s="3" t="str">
        <f t="shared" si="1"/>
        <v>make-up&lt;br&gt;&lt;div class="audio"&gt;[sound:make-up.mp3]&lt;/div&gt;</v>
      </c>
      <c r="F3953" s="3" t="str">
        <f t="shared" si="2"/>
        <v>(n): đồ trang điểm</v>
      </c>
      <c r="G3953" s="6" t="s">
        <v>51542</v>
      </c>
      <c r="H3953" s="6" t="s">
        <v>51543</v>
      </c>
      <c r="I3953" s="7">
        <f t="shared" si="3"/>
        <v>0.9118986204</v>
      </c>
    </row>
    <row r="3954">
      <c r="A3954" s="4">
        <v>3954.0</v>
      </c>
      <c r="B3954" s="3" t="s">
        <v>51544</v>
      </c>
      <c r="C3954" s="6" t="s">
        <v>74</v>
      </c>
      <c r="D3954" s="6" t="s">
        <v>8205</v>
      </c>
      <c r="E3954" s="3" t="str">
        <f t="shared" si="1"/>
        <v>athlete&lt;br&gt;&lt;div class="audio"&gt;[sound:athlete.mp3]&lt;/div&gt;</v>
      </c>
      <c r="F3954" s="3" t="str">
        <f t="shared" si="2"/>
        <v>(n): vận động viên</v>
      </c>
      <c r="G3954" s="6" t="s">
        <v>51545</v>
      </c>
      <c r="H3954" s="6" t="s">
        <v>51546</v>
      </c>
      <c r="I3954" s="7">
        <f t="shared" si="3"/>
        <v>0.8520222786</v>
      </c>
    </row>
    <row r="3955">
      <c r="A3955" s="4">
        <v>3955.0</v>
      </c>
      <c r="B3955" s="3" t="s">
        <v>51547</v>
      </c>
      <c r="C3955" s="6" t="s">
        <v>74</v>
      </c>
      <c r="D3955" s="6" t="s">
        <v>51548</v>
      </c>
      <c r="E3955" s="3" t="str">
        <f t="shared" si="1"/>
        <v>burial&lt;br&gt;&lt;div class="audio"&gt;[sound:burial.mp3]&lt;/div&gt;</v>
      </c>
      <c r="F3955" s="3" t="str">
        <f t="shared" si="2"/>
        <v>(n): việc chôn cất</v>
      </c>
      <c r="G3955" s="6" t="s">
        <v>51549</v>
      </c>
      <c r="H3955" s="6" t="s">
        <v>51550</v>
      </c>
      <c r="I3955" s="7">
        <f t="shared" si="3"/>
        <v>0.2448532179</v>
      </c>
    </row>
    <row r="3956">
      <c r="A3956" s="4">
        <v>3956.0</v>
      </c>
      <c r="B3956" s="3" t="s">
        <v>51551</v>
      </c>
      <c r="C3956" s="6" t="s">
        <v>74</v>
      </c>
      <c r="D3956" s="8" t="s">
        <v>51552</v>
      </c>
      <c r="E3956" s="3" t="str">
        <f t="shared" si="1"/>
        <v>settler&lt;br&gt;&lt;div class="audio"&gt;[sound:settler.mp3]&lt;/div&gt;</v>
      </c>
      <c r="F3956" s="3" t="str">
        <f t="shared" si="2"/>
        <v>(n): người định cư</v>
      </c>
      <c r="G3956" s="8" t="s">
        <v>51553</v>
      </c>
      <c r="H3956" s="8" t="s">
        <v>51554</v>
      </c>
      <c r="I3956" s="7">
        <f t="shared" si="3"/>
        <v>0.7574308399</v>
      </c>
    </row>
    <row r="3957">
      <c r="A3957" s="4">
        <v>3957.0</v>
      </c>
      <c r="B3957" s="3" t="s">
        <v>51555</v>
      </c>
      <c r="C3957" s="6" t="s">
        <v>74</v>
      </c>
      <c r="D3957" s="6" t="s">
        <v>15545</v>
      </c>
      <c r="E3957" s="3" t="str">
        <f t="shared" si="1"/>
        <v>transit&lt;br&gt;&lt;div class="audio"&gt;[sound:transit.mp3]&lt;/div&gt;</v>
      </c>
      <c r="F3957" s="3" t="str">
        <f t="shared" si="2"/>
        <v>(n): sự vận chuyển</v>
      </c>
      <c r="G3957" s="6" t="s">
        <v>51556</v>
      </c>
      <c r="H3957" s="6" t="s">
        <v>51557</v>
      </c>
      <c r="I3957" s="7">
        <f t="shared" si="3"/>
        <v>0.9114017242</v>
      </c>
    </row>
    <row r="3958">
      <c r="A3958" s="4">
        <v>3958.0</v>
      </c>
      <c r="B3958" s="3" t="s">
        <v>51558</v>
      </c>
      <c r="C3958" s="6" t="s">
        <v>74</v>
      </c>
      <c r="D3958" s="6" t="s">
        <v>51559</v>
      </c>
      <c r="E3958" s="3" t="str">
        <f t="shared" si="1"/>
        <v>orientation&lt;br&gt;&lt;div class="audio"&gt;[sound:orientation.mp3]&lt;/div&gt;</v>
      </c>
      <c r="F3958" s="3" t="str">
        <f t="shared" si="2"/>
        <v>(n): sự định hướng</v>
      </c>
      <c r="G3958" s="6" t="s">
        <v>51560</v>
      </c>
      <c r="H3958" s="6" t="s">
        <v>51561</v>
      </c>
      <c r="I3958" s="7">
        <f t="shared" si="3"/>
        <v>0.9518532064</v>
      </c>
    </row>
    <row r="3959">
      <c r="A3959" s="4">
        <v>3959.0</v>
      </c>
      <c r="B3959" s="3" t="s">
        <v>51562</v>
      </c>
      <c r="C3959" s="6" t="s">
        <v>74</v>
      </c>
      <c r="D3959" s="6" t="s">
        <v>51563</v>
      </c>
      <c r="E3959" s="3" t="str">
        <f t="shared" si="1"/>
        <v>raid&lt;br&gt;&lt;div class="audio"&gt;[sound:raid.mp3]&lt;/div&gt;</v>
      </c>
      <c r="F3959" s="3" t="str">
        <f t="shared" si="2"/>
        <v>(n): cuộc đột kích</v>
      </c>
      <c r="G3959" s="6" t="s">
        <v>51564</v>
      </c>
      <c r="H3959" s="6" t="s">
        <v>51565</v>
      </c>
      <c r="I3959" s="7">
        <f t="shared" si="3"/>
        <v>0.06912946119</v>
      </c>
    </row>
    <row r="3960">
      <c r="A3960" s="4">
        <v>3960.0</v>
      </c>
      <c r="B3960" s="3" t="s">
        <v>51566</v>
      </c>
      <c r="C3960" s="6" t="s">
        <v>74</v>
      </c>
      <c r="D3960" s="6" t="s">
        <v>51567</v>
      </c>
      <c r="E3960" s="3" t="str">
        <f t="shared" si="1"/>
        <v>riot&lt;br&gt;&lt;div class="audio"&gt;[sound:riot.mp3]&lt;/div&gt;</v>
      </c>
      <c r="F3960" s="3" t="str">
        <f t="shared" si="2"/>
        <v>(n): cuộc bạo loạn</v>
      </c>
      <c r="G3960" s="6" t="s">
        <v>51568</v>
      </c>
      <c r="H3960" s="6" t="s">
        <v>51569</v>
      </c>
      <c r="I3960" s="7">
        <f t="shared" si="3"/>
        <v>0.1538035461</v>
      </c>
    </row>
    <row r="3961">
      <c r="A3961" s="4">
        <v>3961.0</v>
      </c>
      <c r="B3961" s="3" t="s">
        <v>51570</v>
      </c>
      <c r="C3961" s="6" t="s">
        <v>74</v>
      </c>
      <c r="D3961" s="6" t="s">
        <v>51571</v>
      </c>
      <c r="E3961" s="3" t="str">
        <f t="shared" si="1"/>
        <v>quest&lt;br&gt;&lt;div class="audio"&gt;[sound:quest.mp3]&lt;/div&gt;</v>
      </c>
      <c r="F3961" s="3" t="str">
        <f t="shared" si="2"/>
        <v>(n): cuộc tìm kiếm</v>
      </c>
      <c r="G3961" s="6" t="s">
        <v>51572</v>
      </c>
      <c r="H3961" s="6" t="s">
        <v>51573</v>
      </c>
      <c r="I3961" s="7">
        <f t="shared" si="3"/>
        <v>0.8849032967</v>
      </c>
    </row>
    <row r="3962">
      <c r="A3962" s="4">
        <v>3962.0</v>
      </c>
      <c r="B3962" s="3" t="s">
        <v>51574</v>
      </c>
      <c r="C3962" s="6" t="s">
        <v>74</v>
      </c>
      <c r="D3962" s="6" t="s">
        <v>51575</v>
      </c>
      <c r="E3962" s="3" t="str">
        <f t="shared" si="1"/>
        <v>panic&lt;br&gt;&lt;div class="audio"&gt;[sound:panic.mp3]&lt;/div&gt;</v>
      </c>
      <c r="F3962" s="3" t="str">
        <f t="shared" si="2"/>
        <v>(n): sự hoảng loạn</v>
      </c>
      <c r="G3962" s="6" t="s">
        <v>51576</v>
      </c>
      <c r="H3962" s="6" t="s">
        <v>51577</v>
      </c>
      <c r="I3962" s="7">
        <f t="shared" si="3"/>
        <v>0.2671265704</v>
      </c>
    </row>
    <row r="3963">
      <c r="A3963" s="4">
        <v>3963.0</v>
      </c>
      <c r="B3963" s="3" t="s">
        <v>51578</v>
      </c>
      <c r="C3963" s="6" t="s">
        <v>24</v>
      </c>
      <c r="D3963" s="6" t="s">
        <v>51579</v>
      </c>
      <c r="E3963" s="3" t="str">
        <f t="shared" si="1"/>
        <v>indulge&lt;br&gt;&lt;div class="audio"&gt;[sound:indulge.mp3]&lt;/div&gt;</v>
      </c>
      <c r="F3963" s="3" t="str">
        <f t="shared" si="2"/>
        <v>(v): chiều chuộng</v>
      </c>
      <c r="G3963" s="6" t="s">
        <v>51580</v>
      </c>
      <c r="H3963" s="6" t="s">
        <v>51581</v>
      </c>
      <c r="I3963" s="7">
        <f t="shared" si="3"/>
        <v>0.8765386824</v>
      </c>
    </row>
    <row r="3964">
      <c r="A3964" s="4">
        <v>3964.0</v>
      </c>
      <c r="B3964" s="3" t="s">
        <v>51582</v>
      </c>
      <c r="C3964" s="6" t="s">
        <v>11</v>
      </c>
      <c r="D3964" s="6" t="s">
        <v>51583</v>
      </c>
      <c r="E3964" s="3" t="str">
        <f t="shared" si="1"/>
        <v>annoyed&lt;br&gt;&lt;div class="audio"&gt;[sound:annoyed.mp3]&lt;/div&gt;</v>
      </c>
      <c r="F3964" s="3" t="str">
        <f t="shared" si="2"/>
        <v>(adj): bị làm phiền</v>
      </c>
      <c r="G3964" s="6" t="s">
        <v>51584</v>
      </c>
      <c r="H3964" s="6" t="s">
        <v>51585</v>
      </c>
      <c r="I3964" s="7">
        <f t="shared" si="3"/>
        <v>0.9061957691</v>
      </c>
    </row>
    <row r="3965">
      <c r="A3965" s="4">
        <v>3965.0</v>
      </c>
      <c r="B3965" s="3" t="s">
        <v>51586</v>
      </c>
      <c r="C3965" s="6" t="s">
        <v>74</v>
      </c>
      <c r="D3965" s="6" t="s">
        <v>32550</v>
      </c>
      <c r="E3965" s="3" t="str">
        <f t="shared" si="1"/>
        <v>palm&lt;br&gt;&lt;div class="audio"&gt;[sound:palm.mp3]&lt;/div&gt;</v>
      </c>
      <c r="F3965" s="3" t="str">
        <f t="shared" si="2"/>
        <v>(n): lòng bàn tay</v>
      </c>
      <c r="G3965" s="6" t="s">
        <v>51587</v>
      </c>
      <c r="H3965" s="6" t="s">
        <v>51588</v>
      </c>
      <c r="I3965" s="7">
        <f t="shared" si="3"/>
        <v>0.7206067963</v>
      </c>
    </row>
    <row r="3966">
      <c r="A3966" s="4">
        <v>3966.0</v>
      </c>
      <c r="B3966" s="3" t="s">
        <v>51589</v>
      </c>
      <c r="C3966" s="6" t="s">
        <v>74</v>
      </c>
      <c r="D3966" s="6" t="s">
        <v>51590</v>
      </c>
      <c r="E3966" s="3" t="str">
        <f t="shared" si="1"/>
        <v>rage&lt;br&gt;&lt;div class="audio"&gt;[sound:rage.mp3]&lt;/div&gt;</v>
      </c>
      <c r="F3966" s="3" t="str">
        <f t="shared" si="2"/>
        <v>(n): cơn thịnh nộ</v>
      </c>
      <c r="G3966" s="6" t="s">
        <v>51591</v>
      </c>
      <c r="H3966" s="6" t="s">
        <v>51592</v>
      </c>
      <c r="I3966" s="7">
        <f t="shared" si="3"/>
        <v>0.4029273882</v>
      </c>
    </row>
    <row r="3967">
      <c r="A3967" s="4">
        <v>3967.0</v>
      </c>
      <c r="B3967" s="3" t="s">
        <v>51593</v>
      </c>
      <c r="C3967" s="6" t="s">
        <v>85</v>
      </c>
      <c r="D3967" s="6" t="s">
        <v>51594</v>
      </c>
      <c r="E3967" s="3" t="str">
        <f t="shared" si="1"/>
        <v>thereby&lt;br&gt;&lt;div class="audio"&gt;[sound:thereby.mp3]&lt;/div&gt;</v>
      </c>
      <c r="F3967" s="3" t="str">
        <f t="shared" si="2"/>
        <v>(adv): bằng cách đó</v>
      </c>
      <c r="G3967" s="6" t="s">
        <v>51595</v>
      </c>
      <c r="H3967" s="6" t="s">
        <v>51596</v>
      </c>
      <c r="I3967" s="7">
        <f t="shared" si="3"/>
        <v>0.06770154477</v>
      </c>
    </row>
    <row r="3968">
      <c r="A3968" s="4">
        <v>3968.0</v>
      </c>
      <c r="B3968" s="3" t="s">
        <v>51597</v>
      </c>
      <c r="C3968" s="6" t="s">
        <v>74</v>
      </c>
      <c r="D3968" s="6" t="s">
        <v>22744</v>
      </c>
      <c r="E3968" s="3" t="str">
        <f t="shared" si="1"/>
        <v>remainder&lt;br&gt;&lt;div class="audio"&gt;[sound:remainder.mp3]&lt;/div&gt;</v>
      </c>
      <c r="F3968" s="3" t="str">
        <f t="shared" si="2"/>
        <v>(n): phần còn lại</v>
      </c>
      <c r="G3968" s="6" t="s">
        <v>51598</v>
      </c>
      <c r="H3968" s="6" t="s">
        <v>51599</v>
      </c>
      <c r="I3968" s="7">
        <f t="shared" si="3"/>
        <v>0.4136380425</v>
      </c>
    </row>
    <row r="3969">
      <c r="A3969" s="4">
        <v>3969.0</v>
      </c>
      <c r="B3969" s="3" t="s">
        <v>51600</v>
      </c>
      <c r="C3969" s="6" t="s">
        <v>74</v>
      </c>
      <c r="D3969" s="6" t="s">
        <v>12315</v>
      </c>
      <c r="E3969" s="3" t="str">
        <f t="shared" si="1"/>
        <v>pregnancy&lt;br&gt;&lt;div class="audio"&gt;[sound:pregnancy.mp3]&lt;/div&gt;</v>
      </c>
      <c r="F3969" s="3" t="str">
        <f t="shared" si="2"/>
        <v>(n): sự mang thai</v>
      </c>
      <c r="G3969" s="6" t="s">
        <v>51601</v>
      </c>
      <c r="H3969" s="6" t="s">
        <v>51602</v>
      </c>
      <c r="I3969" s="7">
        <f t="shared" si="3"/>
        <v>0.4095883859</v>
      </c>
    </row>
    <row r="3970">
      <c r="A3970" s="4">
        <v>3970.0</v>
      </c>
      <c r="B3970" s="3" t="s">
        <v>51603</v>
      </c>
      <c r="C3970" s="6" t="s">
        <v>85</v>
      </c>
      <c r="D3970" s="6" t="s">
        <v>51604</v>
      </c>
      <c r="E3970" s="3" t="str">
        <f t="shared" si="1"/>
        <v>reportedly&lt;br&gt;&lt;div class="audio"&gt;[sound:reportedly.mp3]&lt;/div&gt;</v>
      </c>
      <c r="F3970" s="3" t="str">
        <f t="shared" si="2"/>
        <v>(adv): theo báo cáo</v>
      </c>
      <c r="G3970" s="6" t="s">
        <v>51605</v>
      </c>
      <c r="H3970" s="6" t="s">
        <v>51606</v>
      </c>
      <c r="I3970" s="7">
        <f t="shared" si="3"/>
        <v>0.008868423214</v>
      </c>
    </row>
    <row r="3971">
      <c r="A3971" s="4">
        <v>3971.0</v>
      </c>
      <c r="B3971" s="3" t="s">
        <v>51607</v>
      </c>
      <c r="C3971" s="6" t="s">
        <v>74</v>
      </c>
      <c r="D3971" s="6" t="s">
        <v>51608</v>
      </c>
      <c r="E3971" s="3" t="str">
        <f t="shared" si="1"/>
        <v>firefighter&lt;br&gt;&lt;div class="audio"&gt;[sound:firefighter.mp3]&lt;/div&gt;</v>
      </c>
      <c r="F3971" s="3" t="str">
        <f t="shared" si="2"/>
        <v>(n): lính cứu hỏa</v>
      </c>
      <c r="G3971" s="6" t="s">
        <v>51609</v>
      </c>
      <c r="H3971" s="6" t="s">
        <v>51610</v>
      </c>
      <c r="I3971" s="7">
        <f t="shared" si="3"/>
        <v>0.02018342598</v>
      </c>
    </row>
    <row r="3972">
      <c r="A3972" s="4">
        <v>3972.0</v>
      </c>
      <c r="B3972" s="3" t="s">
        <v>51611</v>
      </c>
      <c r="C3972" s="6" t="s">
        <v>74</v>
      </c>
      <c r="D3972" s="6" t="s">
        <v>51612</v>
      </c>
      <c r="E3972" s="3" t="str">
        <f t="shared" si="1"/>
        <v>premium&lt;br&gt;&lt;div class="audio"&gt;[sound:premium.mp3]&lt;/div&gt;</v>
      </c>
      <c r="F3972" s="3" t="str">
        <f t="shared" si="2"/>
        <v>(n): phí bảo hiểm</v>
      </c>
      <c r="G3972" s="6" t="s">
        <v>51613</v>
      </c>
      <c r="H3972" s="6" t="s">
        <v>51614</v>
      </c>
      <c r="I3972" s="7">
        <f t="shared" si="3"/>
        <v>0.2403991489</v>
      </c>
    </row>
    <row r="3973">
      <c r="A3973" s="4">
        <v>3973.0</v>
      </c>
      <c r="B3973" s="3" t="s">
        <v>51615</v>
      </c>
      <c r="C3973" s="6" t="s">
        <v>74</v>
      </c>
      <c r="D3973" s="6" t="s">
        <v>51616</v>
      </c>
      <c r="E3973" s="3" t="str">
        <f t="shared" si="1"/>
        <v>reconstruction&lt;br&gt;&lt;div class="audio"&gt;[sound:reconstruction.mp3]&lt;/div&gt;</v>
      </c>
      <c r="F3973" s="3" t="str">
        <f t="shared" si="2"/>
        <v>(n): sự tái thiết</v>
      </c>
      <c r="G3973" s="6" t="s">
        <v>51617</v>
      </c>
      <c r="H3973" s="6" t="s">
        <v>51618</v>
      </c>
      <c r="I3973" s="7">
        <f t="shared" si="3"/>
        <v>0.08196145932</v>
      </c>
    </row>
    <row r="3974">
      <c r="A3974" s="4">
        <v>3974.0</v>
      </c>
      <c r="B3974" s="3" t="s">
        <v>51619</v>
      </c>
      <c r="C3974" s="6" t="s">
        <v>74</v>
      </c>
      <c r="D3974" s="8" t="s">
        <v>51620</v>
      </c>
      <c r="E3974" s="3" t="str">
        <f t="shared" si="1"/>
        <v>spotlight&lt;br&gt;&lt;div class="audio"&gt;[sound:spotlight.mp3]&lt;/div&gt;</v>
      </c>
      <c r="F3974" s="3" t="str">
        <f t="shared" si="2"/>
        <v>(n): đèn sân khấu</v>
      </c>
      <c r="G3974" s="8" t="s">
        <v>51621</v>
      </c>
      <c r="H3974" s="8" t="s">
        <v>51622</v>
      </c>
      <c r="I3974" s="7">
        <f t="shared" si="3"/>
        <v>0.09480344661</v>
      </c>
    </row>
    <row r="3975">
      <c r="A3975" s="4">
        <v>3975.0</v>
      </c>
      <c r="B3975" s="3" t="s">
        <v>51623</v>
      </c>
      <c r="C3975" s="6" t="s">
        <v>11</v>
      </c>
      <c r="D3975" s="6" t="s">
        <v>51624</v>
      </c>
      <c r="E3975" s="3" t="str">
        <f t="shared" si="1"/>
        <v>functional&lt;br&gt;&lt;div class="audio"&gt;[sound:functional.mp3]&lt;/div&gt;</v>
      </c>
      <c r="F3975" s="3" t="str">
        <f t="shared" si="2"/>
        <v>(adj): có chức năng</v>
      </c>
      <c r="G3975" s="6" t="s">
        <v>51625</v>
      </c>
      <c r="H3975" s="6" t="s">
        <v>51626</v>
      </c>
      <c r="I3975" s="7">
        <f t="shared" si="3"/>
        <v>0.9019821681</v>
      </c>
    </row>
    <row r="3976">
      <c r="A3976" s="4">
        <v>3976.0</v>
      </c>
      <c r="B3976" s="3" t="s">
        <v>51627</v>
      </c>
      <c r="C3976" s="6" t="s">
        <v>74</v>
      </c>
      <c r="D3976" s="6" t="s">
        <v>51628</v>
      </c>
      <c r="E3976" s="3" t="str">
        <f t="shared" si="1"/>
        <v>franchise&lt;br&gt;&lt;div class="audio"&gt;[sound:franchise.mp3]&lt;/div&gt;</v>
      </c>
      <c r="F3976" s="3" t="str">
        <f t="shared" si="2"/>
        <v>(n): nhượng quyền</v>
      </c>
      <c r="G3976" s="6" t="s">
        <v>51629</v>
      </c>
      <c r="H3976" s="6" t="s">
        <v>51630</v>
      </c>
      <c r="I3976" s="7">
        <f t="shared" si="3"/>
        <v>0.9981498466</v>
      </c>
    </row>
    <row r="3977">
      <c r="A3977" s="4">
        <v>3977.0</v>
      </c>
      <c r="B3977" s="3" t="s">
        <v>51631</v>
      </c>
      <c r="C3977" s="6" t="s">
        <v>24</v>
      </c>
      <c r="D3977" s="6" t="s">
        <v>51632</v>
      </c>
      <c r="E3977" s="3" t="str">
        <f t="shared" si="1"/>
        <v>rebuild&lt;br&gt;&lt;div class="audio"&gt;[sound:rebuild.mp3]&lt;/div&gt;</v>
      </c>
      <c r="F3977" s="3" t="str">
        <f t="shared" si="2"/>
        <v>(v): xây dựng lại</v>
      </c>
      <c r="G3977" s="6" t="s">
        <v>51633</v>
      </c>
      <c r="H3977" s="6" t="s">
        <v>51634</v>
      </c>
      <c r="I3977" s="7">
        <f t="shared" si="3"/>
        <v>0.4112021507</v>
      </c>
    </row>
    <row r="3978">
      <c r="A3978" s="4">
        <v>3978.0</v>
      </c>
      <c r="B3978" s="3" t="s">
        <v>51635</v>
      </c>
      <c r="C3978" s="6" t="s">
        <v>74</v>
      </c>
      <c r="D3978" s="6" t="s">
        <v>48071</v>
      </c>
      <c r="E3978" s="3" t="str">
        <f t="shared" si="1"/>
        <v>probe&lt;br&gt;&lt;div class="audio"&gt;[sound:probe.mp3]&lt;/div&gt;</v>
      </c>
      <c r="F3978" s="3" t="str">
        <f t="shared" si="2"/>
        <v>(n): cuộc thăm dò</v>
      </c>
      <c r="G3978" s="6" t="s">
        <v>51636</v>
      </c>
      <c r="H3978" s="6" t="s">
        <v>51637</v>
      </c>
      <c r="I3978" s="7">
        <f t="shared" si="3"/>
        <v>0.4961425488</v>
      </c>
    </row>
    <row r="3979">
      <c r="A3979" s="4">
        <v>3979.0</v>
      </c>
      <c r="B3979" s="3" t="s">
        <v>51638</v>
      </c>
      <c r="C3979" s="6" t="s">
        <v>74</v>
      </c>
      <c r="D3979" s="6" t="s">
        <v>51639</v>
      </c>
      <c r="E3979" s="3" t="str">
        <f t="shared" si="1"/>
        <v>rugby&lt;br&gt;&lt;div class="audio"&gt;[sound:rugby.mp3]&lt;/div&gt;</v>
      </c>
      <c r="F3979" s="3" t="str">
        <f t="shared" si="2"/>
        <v>(n): bóng bầu dục</v>
      </c>
      <c r="G3979" s="6" t="s">
        <v>51640</v>
      </c>
      <c r="H3979" s="6" t="s">
        <v>51641</v>
      </c>
      <c r="I3979" s="7">
        <f t="shared" si="3"/>
        <v>0.1741761238</v>
      </c>
    </row>
    <row r="3980">
      <c r="A3980" s="4">
        <v>3980.0</v>
      </c>
      <c r="B3980" s="3" t="s">
        <v>51642</v>
      </c>
      <c r="C3980" s="6" t="s">
        <v>24</v>
      </c>
      <c r="D3980" s="6" t="s">
        <v>51643</v>
      </c>
      <c r="E3980" s="3" t="str">
        <f t="shared" si="1"/>
        <v>revive&lt;br&gt;&lt;div class="audio"&gt;[sound:revive.mp3]&lt;/div&gt;</v>
      </c>
      <c r="F3980" s="3" t="str">
        <f t="shared" si="2"/>
        <v>(v): làm sống lại</v>
      </c>
      <c r="G3980" s="6" t="s">
        <v>51644</v>
      </c>
      <c r="H3980" s="6" t="s">
        <v>51645</v>
      </c>
      <c r="I3980" s="7">
        <f t="shared" si="3"/>
        <v>0.8404517318</v>
      </c>
    </row>
    <row r="3981">
      <c r="A3981" s="4">
        <v>3981.0</v>
      </c>
      <c r="B3981" s="3" t="s">
        <v>51646</v>
      </c>
      <c r="C3981" s="6" t="s">
        <v>11</v>
      </c>
      <c r="D3981" s="6" t="s">
        <v>35304</v>
      </c>
      <c r="E3981" s="3" t="str">
        <f t="shared" si="1"/>
        <v>sacred&lt;br&gt;&lt;div class="audio"&gt;[sound:sacred.mp3]&lt;/div&gt;</v>
      </c>
      <c r="F3981" s="3" t="str">
        <f t="shared" si="2"/>
        <v>(adj): thiêng liêng</v>
      </c>
      <c r="G3981" s="6" t="s">
        <v>51647</v>
      </c>
      <c r="H3981" s="6" t="s">
        <v>51648</v>
      </c>
      <c r="I3981" s="7">
        <f t="shared" si="3"/>
        <v>0.8638396513</v>
      </c>
    </row>
    <row r="3982">
      <c r="A3982" s="4">
        <v>3982.0</v>
      </c>
      <c r="B3982" s="3" t="s">
        <v>51649</v>
      </c>
      <c r="C3982" s="6" t="s">
        <v>74</v>
      </c>
      <c r="D3982" s="6" t="s">
        <v>19016</v>
      </c>
      <c r="E3982" s="3" t="str">
        <f t="shared" si="1"/>
        <v>flexibility&lt;br&gt;&lt;div class="audio"&gt;[sound:flexibility.mp3]&lt;/div&gt;</v>
      </c>
      <c r="F3982" s="3" t="str">
        <f t="shared" si="2"/>
        <v>(n): sự linh hoạt</v>
      </c>
      <c r="G3982" s="6" t="s">
        <v>51650</v>
      </c>
      <c r="H3982" s="6" t="s">
        <v>51651</v>
      </c>
      <c r="I3982" s="7">
        <f t="shared" si="3"/>
        <v>0.2357480453</v>
      </c>
    </row>
    <row r="3983">
      <c r="A3983" s="4">
        <v>3983.0</v>
      </c>
      <c r="B3983" s="3" t="s">
        <v>51652</v>
      </c>
      <c r="C3983" s="6" t="s">
        <v>74</v>
      </c>
      <c r="D3983" s="6" t="s">
        <v>51653</v>
      </c>
      <c r="E3983" s="3" t="str">
        <f t="shared" si="1"/>
        <v>fairness&lt;br&gt;&lt;div class="audio"&gt;[sound:fairness.mp3]&lt;/div&gt;</v>
      </c>
      <c r="F3983" s="3" t="str">
        <f t="shared" si="2"/>
        <v>(n): sự công bằng</v>
      </c>
      <c r="G3983" s="6" t="s">
        <v>51654</v>
      </c>
      <c r="H3983" s="6" t="s">
        <v>51655</v>
      </c>
      <c r="I3983" s="7">
        <f t="shared" si="3"/>
        <v>0.4811272095</v>
      </c>
    </row>
    <row r="3984">
      <c r="A3984" s="4">
        <v>3984.0</v>
      </c>
      <c r="B3984" s="3" t="s">
        <v>51656</v>
      </c>
      <c r="C3984" s="6" t="s">
        <v>74</v>
      </c>
      <c r="D3984" s="6" t="s">
        <v>51657</v>
      </c>
      <c r="E3984" s="3" t="str">
        <f t="shared" si="1"/>
        <v>helmet&lt;br&gt;&lt;div class="audio"&gt;[sound:helmet.mp3]&lt;/div&gt;</v>
      </c>
      <c r="F3984" s="3" t="str">
        <f t="shared" si="2"/>
        <v>(n): mũ bảo hiểm</v>
      </c>
      <c r="G3984" s="6" t="s">
        <v>51658</v>
      </c>
      <c r="H3984" s="6" t="s">
        <v>51659</v>
      </c>
      <c r="I3984" s="7">
        <f t="shared" si="3"/>
        <v>0.7916467716</v>
      </c>
    </row>
    <row r="3985">
      <c r="A3985" s="4">
        <v>3985.0</v>
      </c>
      <c r="B3985" s="3" t="s">
        <v>51660</v>
      </c>
      <c r="C3985" s="6" t="s">
        <v>74</v>
      </c>
      <c r="D3985" s="6" t="s">
        <v>51661</v>
      </c>
      <c r="E3985" s="3" t="str">
        <f t="shared" si="1"/>
        <v>validity&lt;br&gt;&lt;div class="audio"&gt;[sound:validity.mp3]&lt;/div&gt;</v>
      </c>
      <c r="F3985" s="3" t="str">
        <f t="shared" si="2"/>
        <v>(n): tính hợp lệ</v>
      </c>
      <c r="G3985" s="6" t="s">
        <v>51662</v>
      </c>
      <c r="H3985" s="6" t="s">
        <v>51663</v>
      </c>
      <c r="I3985" s="7">
        <f t="shared" si="3"/>
        <v>0.6281596158</v>
      </c>
    </row>
    <row r="3986">
      <c r="A3986" s="4">
        <v>3986.0</v>
      </c>
      <c r="B3986" s="3" t="s">
        <v>51664</v>
      </c>
      <c r="C3986" s="6" t="s">
        <v>74</v>
      </c>
      <c r="D3986" s="6" t="s">
        <v>12423</v>
      </c>
      <c r="E3986" s="3" t="str">
        <f t="shared" si="1"/>
        <v>objection&lt;br&gt;&lt;div class="audio"&gt;[sound:objection.mp3]&lt;/div&gt;</v>
      </c>
      <c r="F3986" s="3" t="str">
        <f t="shared" si="2"/>
        <v>(n): sự phản đối</v>
      </c>
      <c r="G3986" s="6" t="s">
        <v>51665</v>
      </c>
      <c r="H3986" s="6" t="s">
        <v>51666</v>
      </c>
      <c r="I3986" s="7">
        <f t="shared" si="3"/>
        <v>0.4561477583</v>
      </c>
    </row>
    <row r="3987">
      <c r="A3987" s="4">
        <v>3987.0</v>
      </c>
      <c r="B3987" s="3" t="s">
        <v>51667</v>
      </c>
      <c r="C3987" s="6" t="s">
        <v>74</v>
      </c>
      <c r="D3987" s="6" t="s">
        <v>51668</v>
      </c>
      <c r="E3987" s="3" t="str">
        <f t="shared" si="1"/>
        <v>restraint&lt;br&gt;&lt;div class="audio"&gt;[sound:restraint.mp3]&lt;/div&gt;</v>
      </c>
      <c r="F3987" s="3" t="str">
        <f t="shared" si="2"/>
        <v>(n): sự kiềm chế</v>
      </c>
      <c r="G3987" s="6" t="s">
        <v>51669</v>
      </c>
      <c r="H3987" s="6" t="s">
        <v>51670</v>
      </c>
      <c r="I3987" s="7">
        <f t="shared" si="3"/>
        <v>0.4362043862</v>
      </c>
    </row>
    <row r="3988">
      <c r="A3988" s="4">
        <v>3988.0</v>
      </c>
      <c r="B3988" s="3" t="s">
        <v>51671</v>
      </c>
      <c r="C3988" s="6" t="s">
        <v>74</v>
      </c>
      <c r="D3988" s="6" t="s">
        <v>51672</v>
      </c>
      <c r="E3988" s="3" t="str">
        <f t="shared" si="1"/>
        <v>willingness&lt;br&gt;&lt;div class="audio"&gt;[sound:willingness.mp3]&lt;/div&gt;</v>
      </c>
      <c r="F3988" s="3" t="str">
        <f t="shared" si="2"/>
        <v>(n): sự sẵn lòng</v>
      </c>
      <c r="G3988" s="6" t="s">
        <v>51673</v>
      </c>
      <c r="H3988" s="6" t="s">
        <v>51674</v>
      </c>
      <c r="I3988" s="7">
        <f t="shared" si="3"/>
        <v>0.6371075825</v>
      </c>
    </row>
    <row r="3989">
      <c r="A3989" s="4">
        <v>3989.0</v>
      </c>
      <c r="B3989" s="3" t="s">
        <v>51675</v>
      </c>
      <c r="C3989" s="6" t="s">
        <v>85</v>
      </c>
      <c r="D3989" s="6" t="s">
        <v>51676</v>
      </c>
      <c r="E3989" s="3" t="str">
        <f t="shared" si="1"/>
        <v>backwards&lt;br&gt;&lt;div class="audio"&gt;[sound:backwards.mp3]&lt;/div&gt;</v>
      </c>
      <c r="F3989" s="3" t="str">
        <f t="shared" si="2"/>
        <v>(adv): về phía sau</v>
      </c>
      <c r="G3989" s="6" t="s">
        <v>51677</v>
      </c>
      <c r="H3989" s="6" t="s">
        <v>51678</v>
      </c>
      <c r="I3989" s="7">
        <f t="shared" si="3"/>
        <v>0.5682648828</v>
      </c>
    </row>
    <row r="3990">
      <c r="A3990" s="4">
        <v>3990.0</v>
      </c>
      <c r="B3990" s="3" t="s">
        <v>51679</v>
      </c>
      <c r="C3990" s="6" t="s">
        <v>11</v>
      </c>
      <c r="D3990" s="6" t="s">
        <v>51680</v>
      </c>
      <c r="E3990" s="3" t="str">
        <f t="shared" si="1"/>
        <v>fashionable&lt;br&gt;&lt;div class="audio"&gt;[sound:fashionable.mp3]&lt;/div&gt;</v>
      </c>
      <c r="F3990" s="3" t="str">
        <f t="shared" si="2"/>
        <v>(adj): thời thượng</v>
      </c>
      <c r="G3990" s="6" t="s">
        <v>51681</v>
      </c>
      <c r="H3990" s="6" t="s">
        <v>51682</v>
      </c>
      <c r="I3990" s="7">
        <f t="shared" si="3"/>
        <v>0.9288098024</v>
      </c>
    </row>
    <row r="3991">
      <c r="A3991" s="4">
        <v>3991.0</v>
      </c>
      <c r="B3991" s="3" t="s">
        <v>51683</v>
      </c>
      <c r="C3991" s="6" t="s">
        <v>11</v>
      </c>
      <c r="D3991" s="6" t="s">
        <v>42384</v>
      </c>
      <c r="E3991" s="3" t="str">
        <f t="shared" si="1"/>
        <v>inclined&lt;br&gt;&lt;div class="audio"&gt;[sound:inclined.mp3]&lt;/div&gt;</v>
      </c>
      <c r="F3991" s="3" t="str">
        <f t="shared" si="2"/>
        <v>(adj): có xu hướng</v>
      </c>
      <c r="G3991" s="6" t="s">
        <v>51684</v>
      </c>
      <c r="H3991" s="6" t="s">
        <v>51685</v>
      </c>
      <c r="I3991" s="7">
        <f t="shared" si="3"/>
        <v>0.2768125306</v>
      </c>
    </row>
    <row r="3992">
      <c r="A3992" s="4">
        <v>3992.0</v>
      </c>
      <c r="B3992" s="3" t="s">
        <v>51686</v>
      </c>
      <c r="C3992" s="6" t="s">
        <v>74</v>
      </c>
      <c r="D3992" s="6" t="s">
        <v>51687</v>
      </c>
      <c r="E3992" s="3" t="str">
        <f t="shared" si="1"/>
        <v>proposition&lt;br&gt;&lt;div class="audio"&gt;[sound:proposition.mp3]&lt;/div&gt;</v>
      </c>
      <c r="F3992" s="3" t="str">
        <f t="shared" si="2"/>
        <v>(n): lời đề nghị</v>
      </c>
      <c r="G3992" s="6" t="s">
        <v>51688</v>
      </c>
      <c r="H3992" s="6" t="s">
        <v>51689</v>
      </c>
      <c r="I3992" s="7">
        <f t="shared" si="3"/>
        <v>0.5129398664</v>
      </c>
    </row>
    <row r="3993">
      <c r="A3993" s="4">
        <v>3993.0</v>
      </c>
      <c r="B3993" s="3" t="s">
        <v>51690</v>
      </c>
      <c r="C3993" s="6" t="s">
        <v>74</v>
      </c>
      <c r="D3993" s="6" t="s">
        <v>21490</v>
      </c>
      <c r="E3993" s="3" t="str">
        <f t="shared" si="1"/>
        <v>apology&lt;br&gt;&lt;div class="audio"&gt;[sound:apology.mp3]&lt;/div&gt;</v>
      </c>
      <c r="F3993" s="3" t="str">
        <f t="shared" si="2"/>
        <v>(n): lời xin lỗi</v>
      </c>
      <c r="G3993" s="6" t="s">
        <v>51691</v>
      </c>
      <c r="H3993" s="6" t="s">
        <v>51692</v>
      </c>
      <c r="I3993" s="7">
        <f t="shared" si="3"/>
        <v>0.2187826809</v>
      </c>
    </row>
    <row r="3994">
      <c r="A3994" s="4">
        <v>3994.0</v>
      </c>
      <c r="B3994" s="3" t="s">
        <v>51693</v>
      </c>
      <c r="C3994" s="6" t="s">
        <v>74</v>
      </c>
      <c r="D3994" s="6" t="s">
        <v>51694</v>
      </c>
      <c r="E3994" s="3" t="str">
        <f t="shared" si="1"/>
        <v>questionnaire&lt;br&gt;&lt;div class="audio"&gt;[sound:questionnaire.mp3]&lt;/div&gt;</v>
      </c>
      <c r="F3994" s="3" t="str">
        <f t="shared" si="2"/>
        <v>(n): bản câu hỏi</v>
      </c>
      <c r="G3994" s="6" t="s">
        <v>51695</v>
      </c>
      <c r="H3994" s="6" t="s">
        <v>51696</v>
      </c>
      <c r="I3994" s="7">
        <f t="shared" si="3"/>
        <v>0.8864813698</v>
      </c>
    </row>
    <row r="3995">
      <c r="A3995" s="4">
        <v>3995.0</v>
      </c>
      <c r="B3995" s="3" t="s">
        <v>51697</v>
      </c>
      <c r="C3995" s="6" t="s">
        <v>74</v>
      </c>
      <c r="D3995" s="6" t="s">
        <v>19156</v>
      </c>
      <c r="E3995" s="3" t="str">
        <f t="shared" si="1"/>
        <v>encouragement&lt;br&gt;&lt;div class="audio"&gt;[sound:encouragement.mp3]&lt;/div&gt;</v>
      </c>
      <c r="F3995" s="3" t="str">
        <f t="shared" si="2"/>
        <v>(n): sự khích lệ</v>
      </c>
      <c r="G3995" s="6" t="s">
        <v>51698</v>
      </c>
      <c r="H3995" s="6" t="s">
        <v>51699</v>
      </c>
      <c r="I3995" s="7">
        <f t="shared" si="3"/>
        <v>0.4845827587</v>
      </c>
    </row>
    <row r="3996">
      <c r="A3996" s="4">
        <v>3996.0</v>
      </c>
      <c r="B3996" s="3" t="s">
        <v>51700</v>
      </c>
      <c r="C3996" s="6" t="s">
        <v>74</v>
      </c>
      <c r="D3996" s="6" t="s">
        <v>51701</v>
      </c>
      <c r="E3996" s="3" t="str">
        <f t="shared" si="1"/>
        <v>rebel&lt;br&gt;&lt;div class="audio"&gt;[sound:rebel.mp3]&lt;/div&gt;</v>
      </c>
      <c r="F3996" s="3" t="str">
        <f t="shared" si="2"/>
        <v>(n): kẻ nổi loạn</v>
      </c>
      <c r="G3996" s="6" t="s">
        <v>51702</v>
      </c>
      <c r="H3996" s="6" t="s">
        <v>51703</v>
      </c>
      <c r="I3996" s="7">
        <f t="shared" si="3"/>
        <v>0.6506122006</v>
      </c>
    </row>
    <row r="3997">
      <c r="A3997" s="4">
        <v>3997.0</v>
      </c>
      <c r="B3997" s="3" t="s">
        <v>51704</v>
      </c>
      <c r="C3997" s="6" t="s">
        <v>74</v>
      </c>
      <c r="D3997" s="6" t="s">
        <v>51705</v>
      </c>
      <c r="E3997" s="3" t="str">
        <f t="shared" si="1"/>
        <v>restoration&lt;br&gt;&lt;div class="audio"&gt;[sound:restoration.mp3]&lt;/div&gt;</v>
      </c>
      <c r="F3997" s="3" t="str">
        <f t="shared" si="2"/>
        <v>(n): sự phục hồi</v>
      </c>
      <c r="G3997" s="6" t="s">
        <v>51706</v>
      </c>
      <c r="H3997" s="6" t="s">
        <v>51707</v>
      </c>
      <c r="I3997" s="7">
        <f t="shared" si="3"/>
        <v>0.6607031521</v>
      </c>
    </row>
    <row r="3998">
      <c r="A3998" s="4">
        <v>3998.0</v>
      </c>
      <c r="B3998" s="3" t="s">
        <v>51708</v>
      </c>
      <c r="C3998" s="6" t="s">
        <v>74</v>
      </c>
      <c r="D3998" s="6" t="s">
        <v>51709</v>
      </c>
      <c r="E3998" s="3" t="str">
        <f t="shared" si="1"/>
        <v>rifle&lt;br&gt;&lt;div class="audio"&gt;[sound:rifle.mp3]&lt;/div&gt;</v>
      </c>
      <c r="F3998" s="3" t="str">
        <f t="shared" si="2"/>
        <v>(n): súng trường</v>
      </c>
      <c r="G3998" s="6" t="s">
        <v>51710</v>
      </c>
      <c r="H3998" s="6" t="s">
        <v>51711</v>
      </c>
      <c r="I3998" s="7">
        <f t="shared" si="3"/>
        <v>0.07010125999</v>
      </c>
    </row>
    <row r="3999">
      <c r="A3999" s="4">
        <v>3999.0</v>
      </c>
      <c r="B3999" s="3" t="s">
        <v>51712</v>
      </c>
      <c r="C3999" s="6" t="s">
        <v>11</v>
      </c>
      <c r="D3999" s="6" t="s">
        <v>51713</v>
      </c>
      <c r="E3999" s="3" t="str">
        <f t="shared" si="1"/>
        <v>overwhelming&lt;br&gt;&lt;div class="audio"&gt;[sound:overwhelming.mp3]&lt;/div&gt;</v>
      </c>
      <c r="F3999" s="3" t="str">
        <f t="shared" si="2"/>
        <v>(adj): choáng ngợp</v>
      </c>
      <c r="G3999" s="6" t="s">
        <v>51714</v>
      </c>
      <c r="H3999" s="6" t="s">
        <v>51715</v>
      </c>
      <c r="I3999" s="7">
        <f t="shared" si="3"/>
        <v>0.24490012</v>
      </c>
    </row>
    <row r="4000">
      <c r="A4000" s="4">
        <v>4000.0</v>
      </c>
      <c r="B4000" s="3" t="s">
        <v>51716</v>
      </c>
      <c r="C4000" s="6" t="s">
        <v>74</v>
      </c>
      <c r="D4000" s="6" t="s">
        <v>51717</v>
      </c>
      <c r="E4000" s="3" t="str">
        <f t="shared" si="1"/>
        <v>withdrawal&lt;br&gt;&lt;div class="audio"&gt;[sound:withdrawal.mp3]&lt;/div&gt;</v>
      </c>
      <c r="F4000" s="3" t="str">
        <f t="shared" si="2"/>
        <v>(n): sự rút tiền</v>
      </c>
      <c r="G4000" s="6" t="s">
        <v>51718</v>
      </c>
      <c r="H4000" s="6" t="s">
        <v>51719</v>
      </c>
      <c r="I4000" s="7">
        <f t="shared" si="3"/>
        <v>0.955620728</v>
      </c>
    </row>
    <row r="4001">
      <c r="A4001" s="4">
        <v>4001.0</v>
      </c>
      <c r="B4001" s="3" t="s">
        <v>51720</v>
      </c>
      <c r="C4001" s="6" t="s">
        <v>74</v>
      </c>
      <c r="D4001" s="6" t="s">
        <v>51721</v>
      </c>
      <c r="E4001" s="3" t="str">
        <f t="shared" si="1"/>
        <v>fraud&lt;br&gt;&lt;div class="audio"&gt;[sound:fraud.mp3]&lt;/div&gt;</v>
      </c>
      <c r="F4001" s="3" t="str">
        <f t="shared" si="2"/>
        <v>(n): sự gian lận</v>
      </c>
      <c r="G4001" s="6" t="s">
        <v>51722</v>
      </c>
      <c r="H4001" s="6" t="s">
        <v>51723</v>
      </c>
      <c r="I4001" s="7">
        <f t="shared" si="3"/>
        <v>0.1002787658</v>
      </c>
    </row>
    <row r="4002">
      <c r="A4002" s="4">
        <v>4002.0</v>
      </c>
      <c r="B4002" s="3" t="s">
        <v>51724</v>
      </c>
      <c r="C4002" s="6" t="s">
        <v>24</v>
      </c>
      <c r="D4002" s="8" t="s">
        <v>18161</v>
      </c>
      <c r="E4002" s="3" t="str">
        <f t="shared" si="1"/>
        <v>ski&lt;br&gt;&lt;div class="audio"&gt;[sound:ski.mp3]&lt;/div&gt;</v>
      </c>
      <c r="F4002" s="3" t="str">
        <f t="shared" si="2"/>
        <v>(v): trượt tuyết</v>
      </c>
      <c r="G4002" s="8" t="s">
        <v>51725</v>
      </c>
      <c r="H4002" s="8" t="s">
        <v>51726</v>
      </c>
      <c r="I4002" s="7">
        <f t="shared" si="3"/>
        <v>0.4335542131</v>
      </c>
    </row>
    <row r="4003">
      <c r="A4003" s="4">
        <v>4003.0</v>
      </c>
      <c r="B4003" s="3" t="s">
        <v>51727</v>
      </c>
      <c r="C4003" s="6" t="s">
        <v>74</v>
      </c>
      <c r="D4003" s="6" t="s">
        <v>51728</v>
      </c>
      <c r="E4003" s="3" t="str">
        <f t="shared" si="1"/>
        <v>hostility&lt;br&gt;&lt;div class="audio"&gt;[sound:hostility.mp3]&lt;/div&gt;</v>
      </c>
      <c r="F4003" s="3" t="str">
        <f t="shared" si="2"/>
        <v>(n): sự thù địch</v>
      </c>
      <c r="G4003" s="6" t="s">
        <v>51729</v>
      </c>
      <c r="H4003" s="6" t="s">
        <v>51730</v>
      </c>
      <c r="I4003" s="7">
        <f t="shared" si="3"/>
        <v>0.05451479952</v>
      </c>
    </row>
    <row r="4004">
      <c r="A4004" s="4">
        <v>4004.0</v>
      </c>
      <c r="B4004" s="3" t="s">
        <v>51731</v>
      </c>
      <c r="C4004" s="6" t="s">
        <v>74</v>
      </c>
      <c r="D4004" s="6" t="s">
        <v>51732</v>
      </c>
      <c r="E4004" s="3" t="str">
        <f t="shared" si="1"/>
        <v>excellence&lt;br&gt;&lt;div class="audio"&gt;[sound:excellence.mp3]&lt;/div&gt;</v>
      </c>
      <c r="F4004" s="3" t="str">
        <f t="shared" si="2"/>
        <v>(n): sự xuất sắc</v>
      </c>
      <c r="G4004" s="6" t="s">
        <v>51733</v>
      </c>
      <c r="H4004" s="6" t="s">
        <v>51734</v>
      </c>
      <c r="I4004" s="7">
        <f t="shared" si="3"/>
        <v>0.2291792626</v>
      </c>
    </row>
    <row r="4005">
      <c r="A4005" s="4">
        <v>4005.0</v>
      </c>
      <c r="B4005" s="3" t="s">
        <v>51735</v>
      </c>
      <c r="C4005" s="6" t="s">
        <v>11</v>
      </c>
      <c r="D4005" s="6" t="s">
        <v>12388</v>
      </c>
      <c r="E4005" s="3" t="str">
        <f t="shared" si="1"/>
        <v>prompt&lt;br&gt;&lt;div class="audio"&gt;[sound:prompt.mp3]&lt;/div&gt;</v>
      </c>
      <c r="F4005" s="3" t="str">
        <f t="shared" si="2"/>
        <v>(adj): nhanh chóng</v>
      </c>
      <c r="G4005" s="6" t="s">
        <v>51736</v>
      </c>
      <c r="H4005" s="6" t="s">
        <v>51737</v>
      </c>
      <c r="I4005" s="7">
        <f t="shared" si="3"/>
        <v>0.1106103623</v>
      </c>
    </row>
    <row r="4006">
      <c r="A4006" s="4">
        <v>4006.0</v>
      </c>
      <c r="B4006" s="3" t="s">
        <v>51738</v>
      </c>
      <c r="C4006" s="6" t="s">
        <v>74</v>
      </c>
      <c r="D4006" s="6" t="s">
        <v>51739</v>
      </c>
      <c r="E4006" s="3" t="str">
        <f t="shared" si="1"/>
        <v>listener&lt;br&gt;&lt;div class="audio"&gt;[sound:listener.mp3]&lt;/div&gt;</v>
      </c>
      <c r="F4006" s="3" t="str">
        <f t="shared" si="2"/>
        <v>(n): người nghe</v>
      </c>
      <c r="G4006" s="6" t="s">
        <v>51740</v>
      </c>
      <c r="H4006" s="6" t="s">
        <v>51741</v>
      </c>
      <c r="I4006" s="7">
        <f t="shared" si="3"/>
        <v>0.9075423978</v>
      </c>
    </row>
    <row r="4007">
      <c r="A4007" s="4">
        <v>4007.0</v>
      </c>
      <c r="B4007" s="3" t="s">
        <v>51742</v>
      </c>
      <c r="C4007" s="6" t="s">
        <v>74</v>
      </c>
      <c r="D4007" s="6" t="s">
        <v>51743</v>
      </c>
      <c r="E4007" s="3" t="str">
        <f t="shared" si="1"/>
        <v>backup&lt;br&gt;&lt;div class="audio"&gt;[sound:backup.mp3]&lt;/div&gt;</v>
      </c>
      <c r="F4007" s="3" t="str">
        <f t="shared" si="2"/>
        <v>(n): bản sao lưu</v>
      </c>
      <c r="G4007" s="6" t="s">
        <v>51744</v>
      </c>
      <c r="H4007" s="6" t="s">
        <v>51745</v>
      </c>
      <c r="I4007" s="7">
        <f t="shared" si="3"/>
        <v>0.8768039428</v>
      </c>
    </row>
    <row r="4008">
      <c r="A4008" s="4">
        <v>4008.0</v>
      </c>
      <c r="B4008" s="3" t="s">
        <v>51746</v>
      </c>
      <c r="C4008" s="6" t="s">
        <v>24</v>
      </c>
      <c r="D4008" s="6" t="s">
        <v>27713</v>
      </c>
      <c r="E4008" s="3" t="str">
        <f t="shared" si="1"/>
        <v>drain&lt;br&gt;&lt;div class="audio"&gt;[sound:drain.mp3]&lt;/div&gt;</v>
      </c>
      <c r="F4008" s="3" t="str">
        <f t="shared" si="2"/>
        <v>(v): thoát nước</v>
      </c>
      <c r="G4008" s="6" t="s">
        <v>51747</v>
      </c>
      <c r="H4008" s="6" t="s">
        <v>51748</v>
      </c>
      <c r="I4008" s="7">
        <f t="shared" si="3"/>
        <v>0.8780580267</v>
      </c>
    </row>
    <row r="4009">
      <c r="A4009" s="4">
        <v>4009.0</v>
      </c>
      <c r="B4009" s="3" t="s">
        <v>51749</v>
      </c>
      <c r="C4009" s="6" t="s">
        <v>74</v>
      </c>
      <c r="D4009" s="6" t="s">
        <v>17199</v>
      </c>
      <c r="E4009" s="3" t="str">
        <f t="shared" si="1"/>
        <v>wound&lt;br&gt;&lt;div class="audio"&gt;[sound:wound.mp3]&lt;/div&gt;</v>
      </c>
      <c r="F4009" s="3" t="str">
        <f t="shared" si="2"/>
        <v>(n): vết thương</v>
      </c>
      <c r="G4009" s="6" t="s">
        <v>51750</v>
      </c>
      <c r="H4009" s="6" t="s">
        <v>51751</v>
      </c>
      <c r="I4009" s="7">
        <f t="shared" si="3"/>
        <v>0.7894897115</v>
      </c>
    </row>
    <row r="4010">
      <c r="A4010" s="4">
        <v>4010.0</v>
      </c>
      <c r="B4010" s="3" t="s">
        <v>51752</v>
      </c>
      <c r="C4010" s="6" t="s">
        <v>74</v>
      </c>
      <c r="D4010" s="6" t="s">
        <v>51753</v>
      </c>
      <c r="E4010" s="3" t="str">
        <f t="shared" si="1"/>
        <v>revenge&lt;br&gt;&lt;div class="audio"&gt;[sound:revenge.mp3]&lt;/div&gt;</v>
      </c>
      <c r="F4010" s="3" t="str">
        <f t="shared" si="2"/>
        <v>(n): sự trả thù</v>
      </c>
      <c r="G4010" s="6" t="s">
        <v>51754</v>
      </c>
      <c r="H4010" s="6" t="s">
        <v>51755</v>
      </c>
      <c r="I4010" s="7">
        <f t="shared" si="3"/>
        <v>0.9881078578</v>
      </c>
    </row>
    <row r="4011">
      <c r="A4011" s="4">
        <v>4011.0</v>
      </c>
      <c r="B4011" s="3" t="s">
        <v>51756</v>
      </c>
      <c r="C4011" s="6" t="s">
        <v>74</v>
      </c>
      <c r="D4011" s="6" t="s">
        <v>51757</v>
      </c>
      <c r="E4011" s="3" t="str">
        <f t="shared" si="1"/>
        <v>resignation&lt;br&gt;&lt;div class="audio"&gt;[sound:resignation.mp3]&lt;/div&gt;</v>
      </c>
      <c r="F4011" s="3" t="str">
        <f t="shared" si="2"/>
        <v>(n): sự từ chức</v>
      </c>
      <c r="G4011" s="6" t="s">
        <v>51758</v>
      </c>
      <c r="H4011" s="6" t="s">
        <v>51759</v>
      </c>
      <c r="I4011" s="7">
        <f t="shared" si="3"/>
        <v>0.9913204829</v>
      </c>
    </row>
    <row r="4012">
      <c r="A4012" s="4">
        <v>4012.0</v>
      </c>
      <c r="B4012" s="3" t="s">
        <v>51760</v>
      </c>
      <c r="C4012" s="6" t="s">
        <v>11</v>
      </c>
      <c r="D4012" s="6" t="s">
        <v>17486</v>
      </c>
      <c r="E4012" s="3" t="str">
        <f t="shared" si="1"/>
        <v>outdoor&lt;br&gt;&lt;div class="audio"&gt;[sound:outdoor.mp3]&lt;/div&gt;</v>
      </c>
      <c r="F4012" s="3" t="str">
        <f t="shared" si="2"/>
        <v>(adj): ngoài trời</v>
      </c>
      <c r="G4012" s="6" t="s">
        <v>51761</v>
      </c>
      <c r="H4012" s="6" t="s">
        <v>51762</v>
      </c>
      <c r="I4012" s="7">
        <f t="shared" si="3"/>
        <v>0.9000772612</v>
      </c>
    </row>
    <row r="4013">
      <c r="A4013" s="4">
        <v>4013.0</v>
      </c>
      <c r="B4013" s="3" t="s">
        <v>51763</v>
      </c>
      <c r="C4013" s="6" t="s">
        <v>11</v>
      </c>
      <c r="D4013" s="6" t="s">
        <v>51764</v>
      </c>
      <c r="E4013" s="3" t="str">
        <f t="shared" si="1"/>
        <v>high-profile&lt;br&gt;&lt;div class="audio"&gt;[sound:high-profile.mp3]&lt;/div&gt;</v>
      </c>
      <c r="F4013" s="3" t="str">
        <f t="shared" si="2"/>
        <v>(adj): được chú ý</v>
      </c>
      <c r="G4013" s="6" t="s">
        <v>51765</v>
      </c>
      <c r="H4013" s="6" t="s">
        <v>51766</v>
      </c>
      <c r="I4013" s="7">
        <f t="shared" si="3"/>
        <v>0.5372652963</v>
      </c>
    </row>
    <row r="4014">
      <c r="A4014" s="4">
        <v>4014.0</v>
      </c>
      <c r="B4014" s="3" t="s">
        <v>51767</v>
      </c>
      <c r="C4014" s="6" t="s">
        <v>11</v>
      </c>
      <c r="D4014" s="6" t="s">
        <v>51768</v>
      </c>
      <c r="E4014" s="3" t="str">
        <f t="shared" si="1"/>
        <v>fatal&lt;br&gt;&lt;div class="audio"&gt;[sound:fatal.mp3]&lt;/div&gt;</v>
      </c>
      <c r="F4014" s="3" t="str">
        <f t="shared" si="2"/>
        <v>(adj): chết người</v>
      </c>
      <c r="G4014" s="6" t="s">
        <v>51769</v>
      </c>
      <c r="H4014" s="6" t="s">
        <v>51770</v>
      </c>
      <c r="I4014" s="7">
        <f t="shared" si="3"/>
        <v>0.6858467833</v>
      </c>
    </row>
    <row r="4015">
      <c r="A4015" s="4">
        <v>4015.0</v>
      </c>
      <c r="B4015" s="3" t="s">
        <v>51771</v>
      </c>
      <c r="C4015" s="6" t="s">
        <v>11</v>
      </c>
      <c r="D4015" s="6" t="s">
        <v>51772</v>
      </c>
      <c r="E4015" s="3" t="str">
        <f t="shared" si="1"/>
        <v>monthly&lt;br&gt;&lt;div class="audio"&gt;[sound:monthly.mp3]&lt;/div&gt;</v>
      </c>
      <c r="F4015" s="3" t="str">
        <f t="shared" si="2"/>
        <v>(adj): hằng tháng</v>
      </c>
      <c r="G4015" s="6" t="s">
        <v>51773</v>
      </c>
      <c r="H4015" s="6" t="s">
        <v>51774</v>
      </c>
      <c r="I4015" s="7">
        <f t="shared" si="3"/>
        <v>0.08758677464</v>
      </c>
    </row>
    <row r="4016">
      <c r="A4016" s="4">
        <v>4016.0</v>
      </c>
      <c r="B4016" s="3" t="s">
        <v>51775</v>
      </c>
      <c r="C4016" s="6" t="s">
        <v>74</v>
      </c>
      <c r="D4016" s="6" t="s">
        <v>23452</v>
      </c>
      <c r="E4016" s="3" t="str">
        <f t="shared" si="1"/>
        <v>nutrition&lt;br&gt;&lt;div class="audio"&gt;[sound:nutrition.mp3]&lt;/div&gt;</v>
      </c>
      <c r="F4016" s="3" t="str">
        <f t="shared" si="2"/>
        <v>(n): dinh dưỡng</v>
      </c>
      <c r="G4016" s="6" t="s">
        <v>51776</v>
      </c>
      <c r="H4016" s="6" t="s">
        <v>51777</v>
      </c>
      <c r="I4016" s="7">
        <f t="shared" si="3"/>
        <v>0.781394493</v>
      </c>
    </row>
    <row r="4017">
      <c r="A4017" s="4">
        <v>4017.0</v>
      </c>
      <c r="B4017" s="3" t="s">
        <v>51778</v>
      </c>
      <c r="C4017" s="6" t="s">
        <v>74</v>
      </c>
      <c r="D4017" s="6" t="s">
        <v>51779</v>
      </c>
      <c r="E4017" s="3" t="str">
        <f t="shared" si="1"/>
        <v>recipient&lt;br&gt;&lt;div class="audio"&gt;[sound:recipient.mp3]&lt;/div&gt;</v>
      </c>
      <c r="F4017" s="3" t="str">
        <f t="shared" si="2"/>
        <v>(n): người nhận</v>
      </c>
      <c r="G4017" s="6" t="s">
        <v>51780</v>
      </c>
      <c r="H4017" s="6" t="s">
        <v>51781</v>
      </c>
      <c r="I4017" s="7">
        <f t="shared" si="3"/>
        <v>0.7649416985</v>
      </c>
    </row>
    <row r="4018">
      <c r="A4018" s="4">
        <v>4018.0</v>
      </c>
      <c r="B4018" s="3" t="s">
        <v>51782</v>
      </c>
      <c r="C4018" s="6" t="s">
        <v>74</v>
      </c>
      <c r="D4018" s="6" t="s">
        <v>51783</v>
      </c>
      <c r="E4018" s="3" t="str">
        <f t="shared" si="1"/>
        <v>angel&lt;br&gt;&lt;div class="audio"&gt;[sound:angel.mp3]&lt;/div&gt;</v>
      </c>
      <c r="F4018" s="3" t="str">
        <f t="shared" si="2"/>
        <v>(n): thiên thần</v>
      </c>
      <c r="G4018" s="6" t="s">
        <v>51784</v>
      </c>
      <c r="H4018" s="6" t="s">
        <v>51785</v>
      </c>
      <c r="I4018" s="7">
        <f t="shared" si="3"/>
        <v>0.5486150417</v>
      </c>
    </row>
    <row r="4019">
      <c r="A4019" s="4">
        <v>4019.0</v>
      </c>
      <c r="B4019" s="3" t="s">
        <v>51786</v>
      </c>
      <c r="C4019" s="6" t="s">
        <v>11</v>
      </c>
      <c r="D4019" s="6" t="s">
        <v>30197</v>
      </c>
      <c r="E4019" s="3" t="str">
        <f t="shared" si="1"/>
        <v>reluctant&lt;br&gt;&lt;div class="audio"&gt;[sound:reluctant.mp3]&lt;/div&gt;</v>
      </c>
      <c r="F4019" s="3" t="str">
        <f t="shared" si="2"/>
        <v>(adj): miễn cưỡng</v>
      </c>
      <c r="G4019" s="6" t="s">
        <v>51787</v>
      </c>
      <c r="H4019" s="6" t="s">
        <v>51788</v>
      </c>
      <c r="I4019" s="7">
        <f t="shared" si="3"/>
        <v>0.2126602264</v>
      </c>
    </row>
    <row r="4020">
      <c r="A4020" s="4">
        <v>4020.0</v>
      </c>
      <c r="B4020" s="3" t="s">
        <v>51789</v>
      </c>
      <c r="C4020" s="6" t="s">
        <v>74</v>
      </c>
      <c r="D4020" s="6" t="s">
        <v>51790</v>
      </c>
      <c r="E4020" s="3" t="str">
        <f t="shared" si="1"/>
        <v>electronics&lt;br&gt;&lt;div class="audio"&gt;[sound:electronics.mp3]&lt;/div&gt;</v>
      </c>
      <c r="F4020" s="3" t="str">
        <f t="shared" si="2"/>
        <v>(n): đồ điện tử</v>
      </c>
      <c r="G4020" s="6" t="s">
        <v>51791</v>
      </c>
      <c r="H4020" s="6" t="s">
        <v>51792</v>
      </c>
      <c r="I4020" s="7">
        <f t="shared" si="3"/>
        <v>0.6966072325</v>
      </c>
    </row>
    <row r="4021">
      <c r="A4021" s="4">
        <v>4021.0</v>
      </c>
      <c r="B4021" s="3" t="s">
        <v>51793</v>
      </c>
      <c r="C4021" s="6" t="s">
        <v>11</v>
      </c>
      <c r="D4021" s="6" t="s">
        <v>51794</v>
      </c>
      <c r="E4021" s="3" t="str">
        <f t="shared" si="1"/>
        <v>embarrassing&lt;br&gt;&lt;div class="audio"&gt;[sound:embarrassing.mp3]&lt;/div&gt;</v>
      </c>
      <c r="F4021" s="3" t="str">
        <f t="shared" si="2"/>
        <v>(adj): gây xấu hổ</v>
      </c>
      <c r="G4021" s="6" t="s">
        <v>51795</v>
      </c>
      <c r="H4021" s="6" t="s">
        <v>51796</v>
      </c>
      <c r="I4021" s="7">
        <f t="shared" si="3"/>
        <v>0.6054195978</v>
      </c>
    </row>
    <row r="4022">
      <c r="A4022" s="4">
        <v>4022.0</v>
      </c>
      <c r="B4022" s="3" t="s">
        <v>51797</v>
      </c>
      <c r="C4022" s="6" t="s">
        <v>11</v>
      </c>
      <c r="D4022" s="6" t="s">
        <v>51798</v>
      </c>
      <c r="E4022" s="3" t="str">
        <f t="shared" si="1"/>
        <v>scattered&lt;br&gt;&lt;div class="audio"&gt;[sound:scattered.mp3]&lt;/div&gt;</v>
      </c>
      <c r="F4022" s="3" t="str">
        <f t="shared" si="2"/>
        <v>(adj): bị rải rác</v>
      </c>
      <c r="G4022" s="6" t="s">
        <v>51799</v>
      </c>
      <c r="H4022" s="6" t="s">
        <v>51800</v>
      </c>
      <c r="I4022" s="7">
        <f t="shared" si="3"/>
        <v>0.05353161856</v>
      </c>
    </row>
    <row r="4023">
      <c r="A4023" s="4">
        <v>4023.0</v>
      </c>
      <c r="B4023" s="3" t="s">
        <v>51801</v>
      </c>
      <c r="C4023" s="6" t="s">
        <v>74</v>
      </c>
      <c r="D4023" s="6" t="s">
        <v>51802</v>
      </c>
      <c r="E4023" s="3" t="str">
        <f t="shared" si="1"/>
        <v>reliability&lt;br&gt;&lt;div class="audio"&gt;[sound:reliability.mp3]&lt;/div&gt;</v>
      </c>
      <c r="F4023" s="3" t="str">
        <f t="shared" si="2"/>
        <v>(n): độ tin cậy</v>
      </c>
      <c r="G4023" s="6" t="s">
        <v>51803</v>
      </c>
      <c r="H4023" s="6" t="s">
        <v>51804</v>
      </c>
      <c r="I4023" s="7">
        <f t="shared" si="3"/>
        <v>0.8978191579</v>
      </c>
    </row>
    <row r="4024">
      <c r="A4024" s="4">
        <v>4024.0</v>
      </c>
      <c r="B4024" s="3" t="s">
        <v>51805</v>
      </c>
      <c r="C4024" s="6" t="s">
        <v>11</v>
      </c>
      <c r="D4024" s="6" t="s">
        <v>51806</v>
      </c>
      <c r="E4024" s="3" t="str">
        <f t="shared" si="1"/>
        <v>imminent&lt;br&gt;&lt;div class="audio"&gt;[sound:imminent.mp3]&lt;/div&gt;</v>
      </c>
      <c r="F4024" s="3" t="str">
        <f t="shared" si="2"/>
        <v>(adj): sắp xảy ra</v>
      </c>
      <c r="G4024" s="6" t="s">
        <v>51807</v>
      </c>
      <c r="H4024" s="6" t="s">
        <v>51808</v>
      </c>
      <c r="I4024" s="7">
        <f t="shared" si="3"/>
        <v>0.06382572524</v>
      </c>
    </row>
    <row r="4025">
      <c r="A4025" s="4">
        <v>4025.0</v>
      </c>
      <c r="B4025" s="3" t="s">
        <v>51809</v>
      </c>
      <c r="C4025" s="6" t="s">
        <v>74</v>
      </c>
      <c r="D4025" s="6" t="s">
        <v>51810</v>
      </c>
      <c r="E4025" s="3" t="str">
        <f t="shared" si="1"/>
        <v>helicopter&lt;br&gt;&lt;div class="audio"&gt;[sound:helicopter.mp3]&lt;/div&gt;</v>
      </c>
      <c r="F4025" s="3" t="str">
        <f t="shared" si="2"/>
        <v>(n): trực thăng</v>
      </c>
      <c r="G4025" s="6" t="s">
        <v>51811</v>
      </c>
      <c r="H4025" s="6" t="s">
        <v>51812</v>
      </c>
      <c r="I4025" s="7">
        <f t="shared" si="3"/>
        <v>0.6197279737</v>
      </c>
    </row>
    <row r="4026">
      <c r="A4026" s="4">
        <v>4026.0</v>
      </c>
      <c r="B4026" s="3" t="s">
        <v>51813</v>
      </c>
      <c r="C4026" s="6" t="s">
        <v>11</v>
      </c>
      <c r="D4026" s="6" t="s">
        <v>51814</v>
      </c>
      <c r="E4026" s="3" t="str">
        <f t="shared" si="1"/>
        <v>provincial&lt;br&gt;&lt;div class="audio"&gt;[sound:provincial.mp3]&lt;/div&gt;</v>
      </c>
      <c r="F4026" s="3" t="str">
        <f t="shared" si="2"/>
        <v>(adj): cấp tỉnh</v>
      </c>
      <c r="G4026" s="6" t="s">
        <v>51815</v>
      </c>
      <c r="H4026" s="6" t="s">
        <v>51816</v>
      </c>
      <c r="I4026" s="7">
        <f t="shared" si="3"/>
        <v>0.6533447076</v>
      </c>
    </row>
    <row r="4027">
      <c r="A4027" s="4">
        <v>4027.0</v>
      </c>
      <c r="B4027" s="3" t="s">
        <v>51817</v>
      </c>
      <c r="C4027" s="6" t="s">
        <v>74</v>
      </c>
      <c r="D4027" s="6" t="s">
        <v>51818</v>
      </c>
      <c r="E4027" s="3" t="str">
        <f t="shared" si="1"/>
        <v>reproduction&lt;br&gt;&lt;div class="audio"&gt;[sound:reproduction.mp3]&lt;/div&gt;</v>
      </c>
      <c r="F4027" s="3" t="str">
        <f t="shared" si="2"/>
        <v>(n): sự tái tạo</v>
      </c>
      <c r="G4027" s="6" t="s">
        <v>51819</v>
      </c>
      <c r="H4027" s="6" t="s">
        <v>51820</v>
      </c>
      <c r="I4027" s="7">
        <f t="shared" si="3"/>
        <v>0.1617867539</v>
      </c>
    </row>
    <row r="4028">
      <c r="A4028" s="4">
        <v>4028.0</v>
      </c>
      <c r="B4028" s="3" t="s">
        <v>51821</v>
      </c>
      <c r="C4028" s="6" t="s">
        <v>74</v>
      </c>
      <c r="D4028" s="8" t="s">
        <v>29327</v>
      </c>
      <c r="E4028" s="3" t="str">
        <f t="shared" si="1"/>
        <v>spectacle&lt;br&gt;&lt;div class="audio"&gt;[sound:spectacle.mp3]&lt;/div&gt;</v>
      </c>
      <c r="F4028" s="3" t="str">
        <f t="shared" si="2"/>
        <v>(n): cảnh tượng</v>
      </c>
      <c r="G4028" s="8" t="s">
        <v>51822</v>
      </c>
      <c r="H4028" s="8" t="s">
        <v>51823</v>
      </c>
      <c r="I4028" s="7">
        <f t="shared" si="3"/>
        <v>0.07425288627</v>
      </c>
    </row>
    <row r="4029">
      <c r="A4029" s="4">
        <v>4029.0</v>
      </c>
      <c r="B4029" s="3" t="s">
        <v>51824</v>
      </c>
      <c r="C4029" s="6" t="s">
        <v>24</v>
      </c>
      <c r="D4029" s="6" t="s">
        <v>23881</v>
      </c>
      <c r="E4029" s="3" t="str">
        <f t="shared" si="1"/>
        <v>weaken&lt;br&gt;&lt;div class="audio"&gt;[sound:weaken.mp3]&lt;/div&gt;</v>
      </c>
      <c r="F4029" s="3" t="str">
        <f t="shared" si="2"/>
        <v>(v): làm yếu đi</v>
      </c>
      <c r="G4029" s="6" t="s">
        <v>51825</v>
      </c>
      <c r="H4029" s="6" t="s">
        <v>51826</v>
      </c>
      <c r="I4029" s="7">
        <f t="shared" si="3"/>
        <v>0.5652957465</v>
      </c>
    </row>
    <row r="4030">
      <c r="A4030" s="4">
        <v>4030.0</v>
      </c>
      <c r="B4030" s="3" t="s">
        <v>51827</v>
      </c>
      <c r="C4030" s="6" t="s">
        <v>24</v>
      </c>
      <c r="D4030" s="6" t="s">
        <v>8216</v>
      </c>
      <c r="E4030" s="3" t="str">
        <f t="shared" si="1"/>
        <v>pray&lt;br&gt;&lt;div class="audio"&gt;[sound:pray.mp3]&lt;/div&gt;</v>
      </c>
      <c r="F4030" s="3" t="str">
        <f t="shared" si="2"/>
        <v>(v): cầu nguyện</v>
      </c>
      <c r="G4030" s="6" t="s">
        <v>51828</v>
      </c>
      <c r="H4030" s="6" t="s">
        <v>51829</v>
      </c>
      <c r="I4030" s="7">
        <f t="shared" si="3"/>
        <v>0.1577330807</v>
      </c>
    </row>
    <row r="4031">
      <c r="A4031" s="4">
        <v>4031.0</v>
      </c>
      <c r="B4031" s="3" t="s">
        <v>51830</v>
      </c>
      <c r="C4031" s="6" t="s">
        <v>24</v>
      </c>
      <c r="D4031" s="6" t="s">
        <v>51831</v>
      </c>
      <c r="E4031" s="3" t="str">
        <f t="shared" si="1"/>
        <v>transmit&lt;br&gt;&lt;div class="audio"&gt;[sound:transmit.mp3]&lt;/div&gt;</v>
      </c>
      <c r="F4031" s="3" t="str">
        <f t="shared" si="2"/>
        <v>(v): truyền tải</v>
      </c>
      <c r="G4031" s="6" t="s">
        <v>51832</v>
      </c>
      <c r="H4031" s="6" t="s">
        <v>51833</v>
      </c>
      <c r="I4031" s="7">
        <f t="shared" si="3"/>
        <v>0.1162319605</v>
      </c>
    </row>
    <row r="4032">
      <c r="A4032" s="4">
        <v>4032.0</v>
      </c>
      <c r="B4032" s="3" t="s">
        <v>51834</v>
      </c>
      <c r="C4032" s="6" t="s">
        <v>74</v>
      </c>
      <c r="D4032" s="6" t="s">
        <v>51835</v>
      </c>
      <c r="E4032" s="3" t="str">
        <f t="shared" si="1"/>
        <v>attribute&lt;br&gt;&lt;div class="audio"&gt;[sound:attribute.mp3]&lt;/div&gt;</v>
      </c>
      <c r="F4032" s="3" t="str">
        <f t="shared" si="2"/>
        <v>(n): thuộc tính</v>
      </c>
      <c r="G4032" s="6" t="s">
        <v>51836</v>
      </c>
      <c r="H4032" s="6" t="s">
        <v>51837</v>
      </c>
      <c r="I4032" s="7">
        <f t="shared" si="3"/>
        <v>0.289441895</v>
      </c>
    </row>
    <row r="4033">
      <c r="A4033" s="4">
        <v>4033.0</v>
      </c>
      <c r="B4033" s="3" t="s">
        <v>51838</v>
      </c>
      <c r="C4033" s="6" t="s">
        <v>24</v>
      </c>
      <c r="D4033" s="6" t="s">
        <v>5906</v>
      </c>
      <c r="E4033" s="3" t="str">
        <f t="shared" si="1"/>
        <v>heighten&lt;br&gt;&lt;div class="audio"&gt;[sound:heighten.mp3]&lt;/div&gt;</v>
      </c>
      <c r="F4033" s="3" t="str">
        <f t="shared" si="2"/>
        <v>(v): tăng cường</v>
      </c>
      <c r="G4033" s="6" t="s">
        <v>51839</v>
      </c>
      <c r="H4033" s="6" t="s">
        <v>51840</v>
      </c>
      <c r="I4033" s="7">
        <f t="shared" si="3"/>
        <v>0.5247551247</v>
      </c>
    </row>
    <row r="4034">
      <c r="A4034" s="4">
        <v>4034.0</v>
      </c>
      <c r="B4034" s="3" t="s">
        <v>51841</v>
      </c>
      <c r="C4034" s="6" t="s">
        <v>24</v>
      </c>
      <c r="D4034" s="6" t="s">
        <v>6802</v>
      </c>
      <c r="E4034" s="3" t="str">
        <f t="shared" si="1"/>
        <v>foster&lt;br&gt;&lt;div class="audio"&gt;[sound:foster.mp3]&lt;/div&gt;</v>
      </c>
      <c r="F4034" s="3" t="str">
        <f t="shared" si="2"/>
        <v>(v): nuôi dưỡng</v>
      </c>
      <c r="G4034" s="6" t="s">
        <v>51842</v>
      </c>
      <c r="H4034" s="6" t="s">
        <v>51843</v>
      </c>
      <c r="I4034" s="7">
        <f t="shared" si="3"/>
        <v>0.9318728121</v>
      </c>
    </row>
    <row r="4035">
      <c r="A4035" s="4">
        <v>4035.0</v>
      </c>
      <c r="B4035" s="3" t="s">
        <v>51844</v>
      </c>
      <c r="C4035" s="6" t="s">
        <v>74</v>
      </c>
      <c r="D4035" s="6" t="s">
        <v>24664</v>
      </c>
      <c r="E4035" s="3" t="str">
        <f t="shared" si="1"/>
        <v>pathway&lt;br&gt;&lt;div class="audio"&gt;[sound:pathway.mp3]&lt;/div&gt;</v>
      </c>
      <c r="F4035" s="3" t="str">
        <f t="shared" si="2"/>
        <v>(n): lối đi</v>
      </c>
      <c r="G4035" s="6" t="s">
        <v>51845</v>
      </c>
      <c r="H4035" s="6" t="s">
        <v>51846</v>
      </c>
      <c r="I4035" s="7">
        <f t="shared" si="3"/>
        <v>0.5838559648</v>
      </c>
    </row>
    <row r="4036">
      <c r="A4036" s="4">
        <v>4036.0</v>
      </c>
      <c r="B4036" s="3" t="s">
        <v>51847</v>
      </c>
      <c r="C4036" s="6" t="s">
        <v>74</v>
      </c>
      <c r="D4036" s="8" t="s">
        <v>50988</v>
      </c>
      <c r="E4036" s="3" t="str">
        <f t="shared" si="1"/>
        <v>stereotype&lt;br&gt;&lt;div class="audio"&gt;[sound:stereotype.mp3]&lt;/div&gt;</v>
      </c>
      <c r="F4036" s="3" t="str">
        <f t="shared" si="2"/>
        <v>(n): định kiến</v>
      </c>
      <c r="G4036" s="8" t="s">
        <v>51848</v>
      </c>
      <c r="H4036" s="8" t="s">
        <v>51849</v>
      </c>
      <c r="I4036" s="7">
        <f t="shared" si="3"/>
        <v>0.7792841912</v>
      </c>
    </row>
    <row r="4037">
      <c r="A4037" s="4">
        <v>4037.0</v>
      </c>
      <c r="B4037" s="3" t="s">
        <v>51850</v>
      </c>
      <c r="C4037" s="6" t="s">
        <v>74</v>
      </c>
      <c r="D4037" s="6" t="s">
        <v>51851</v>
      </c>
      <c r="E4037" s="3" t="str">
        <f t="shared" si="1"/>
        <v>availability&lt;br&gt;&lt;div class="audio"&gt;[sound:availability.mp3]&lt;/div&gt;</v>
      </c>
      <c r="F4037" s="3" t="str">
        <f t="shared" si="2"/>
        <v>(n): sự sẵn có</v>
      </c>
      <c r="G4037" s="6" t="s">
        <v>51852</v>
      </c>
      <c r="H4037" s="6" t="s">
        <v>51853</v>
      </c>
      <c r="I4037" s="7">
        <f t="shared" si="3"/>
        <v>0.08146457267</v>
      </c>
    </row>
    <row r="4038">
      <c r="A4038" s="4">
        <v>4038.0</v>
      </c>
      <c r="B4038" s="3" t="s">
        <v>51854</v>
      </c>
      <c r="C4038" s="6" t="s">
        <v>24</v>
      </c>
      <c r="D4038" s="6" t="s">
        <v>51855</v>
      </c>
      <c r="E4038" s="3" t="str">
        <f t="shared" si="1"/>
        <v>provoke&lt;br&gt;&lt;div class="audio"&gt;[sound:provoke.mp3]&lt;/div&gt;</v>
      </c>
      <c r="F4038" s="3" t="str">
        <f t="shared" si="2"/>
        <v>(v): kích động</v>
      </c>
      <c r="G4038" s="6" t="s">
        <v>51856</v>
      </c>
      <c r="H4038" s="6" t="s">
        <v>51857</v>
      </c>
      <c r="I4038" s="7">
        <f t="shared" si="3"/>
        <v>0.6026078668</v>
      </c>
    </row>
    <row r="4039">
      <c r="A4039" s="4">
        <v>4039.0</v>
      </c>
      <c r="B4039" s="3" t="s">
        <v>51858</v>
      </c>
      <c r="C4039" s="6" t="s">
        <v>74</v>
      </c>
      <c r="D4039" s="6" t="s">
        <v>33126</v>
      </c>
      <c r="E4039" s="3" t="str">
        <f t="shared" si="1"/>
        <v>fluid&lt;br&gt;&lt;div class="audio"&gt;[sound:fluid.mp3]&lt;/div&gt;</v>
      </c>
      <c r="F4039" s="3" t="str">
        <f t="shared" si="2"/>
        <v>(n): chất lỏng</v>
      </c>
      <c r="G4039" s="6" t="s">
        <v>51859</v>
      </c>
      <c r="H4039" s="6" t="s">
        <v>51860</v>
      </c>
      <c r="I4039" s="7">
        <f t="shared" si="3"/>
        <v>0.480193487</v>
      </c>
    </row>
    <row r="4040">
      <c r="A4040" s="4">
        <v>4040.0</v>
      </c>
      <c r="B4040" s="3" t="s">
        <v>51861</v>
      </c>
      <c r="C4040" s="6" t="s">
        <v>24</v>
      </c>
      <c r="D4040" s="6" t="s">
        <v>51862</v>
      </c>
      <c r="E4040" s="3" t="str">
        <f t="shared" si="1"/>
        <v>carve&lt;br&gt;&lt;div class="audio"&gt;[sound:carve.mp3]&lt;/div&gt;</v>
      </c>
      <c r="F4040" s="3" t="str">
        <f t="shared" si="2"/>
        <v>(v): chạm khắc</v>
      </c>
      <c r="G4040" s="6" t="s">
        <v>51863</v>
      </c>
      <c r="H4040" s="6" t="s">
        <v>51864</v>
      </c>
      <c r="I4040" s="7">
        <f t="shared" si="3"/>
        <v>0.559913716</v>
      </c>
    </row>
    <row r="4041">
      <c r="A4041" s="4">
        <v>4041.0</v>
      </c>
      <c r="B4041" s="3" t="s">
        <v>51865</v>
      </c>
      <c r="C4041" s="6" t="s">
        <v>74</v>
      </c>
      <c r="D4041" s="6" t="s">
        <v>51866</v>
      </c>
      <c r="E4041" s="3" t="str">
        <f t="shared" si="1"/>
        <v>obsession&lt;br&gt;&lt;div class="audio"&gt;[sound:obsession.mp3]&lt;/div&gt;</v>
      </c>
      <c r="F4041" s="3" t="str">
        <f t="shared" si="2"/>
        <v>(n): sự ám ảnh</v>
      </c>
      <c r="G4041" s="6" t="s">
        <v>51867</v>
      </c>
      <c r="H4041" s="6" t="s">
        <v>51868</v>
      </c>
      <c r="I4041" s="7">
        <f t="shared" si="3"/>
        <v>0.7718843864</v>
      </c>
    </row>
    <row r="4042">
      <c r="A4042" s="4">
        <v>4042.0</v>
      </c>
      <c r="B4042" s="3" t="s">
        <v>51869</v>
      </c>
      <c r="C4042" s="6" t="s">
        <v>11</v>
      </c>
      <c r="D4042" s="8" t="s">
        <v>51870</v>
      </c>
      <c r="E4042" s="3" t="str">
        <f t="shared" si="1"/>
        <v>shiny&lt;br&gt;&lt;div class="audio"&gt;[sound:shiny.mp3]&lt;/div&gt;</v>
      </c>
      <c r="F4042" s="3" t="str">
        <f t="shared" si="2"/>
        <v>(adj): sáng bóng</v>
      </c>
      <c r="G4042" s="8" t="s">
        <v>51871</v>
      </c>
      <c r="H4042" s="8" t="s">
        <v>51872</v>
      </c>
      <c r="I4042" s="7">
        <f t="shared" si="3"/>
        <v>0.5768201134</v>
      </c>
    </row>
    <row r="4043">
      <c r="A4043" s="4">
        <v>4043.0</v>
      </c>
      <c r="B4043" s="3" t="s">
        <v>51873</v>
      </c>
      <c r="C4043" s="6" t="s">
        <v>11</v>
      </c>
      <c r="D4043" s="6" t="s">
        <v>51874</v>
      </c>
      <c r="E4043" s="3" t="str">
        <f t="shared" si="1"/>
        <v>amazed&lt;br&gt;&lt;div class="audio"&gt;[sound:amazed.mp3]&lt;/div&gt;</v>
      </c>
      <c r="F4043" s="3" t="str">
        <f t="shared" si="2"/>
        <v>(adj): kinh ngạc</v>
      </c>
      <c r="G4043" s="6" t="s">
        <v>51875</v>
      </c>
      <c r="H4043" s="6" t="s">
        <v>51876</v>
      </c>
      <c r="I4043" s="7">
        <f t="shared" si="3"/>
        <v>0.7073282528</v>
      </c>
    </row>
    <row r="4044">
      <c r="A4044" s="4">
        <v>4044.0</v>
      </c>
      <c r="B4044" s="3" t="s">
        <v>51877</v>
      </c>
      <c r="C4044" s="6" t="s">
        <v>85</v>
      </c>
      <c r="D4044" s="6" t="s">
        <v>4743</v>
      </c>
      <c r="E4044" s="3" t="str">
        <f t="shared" si="1"/>
        <v>utterly&lt;br&gt;&lt;div class="audio"&gt;[sound:utterly.mp3]&lt;/div&gt;</v>
      </c>
      <c r="F4044" s="3" t="str">
        <f t="shared" si="2"/>
        <v>(adv): hoàn toàn</v>
      </c>
      <c r="G4044" s="6" t="s">
        <v>51878</v>
      </c>
      <c r="H4044" s="6" t="s">
        <v>51879</v>
      </c>
      <c r="I4044" s="7">
        <f t="shared" si="3"/>
        <v>0.2830960772</v>
      </c>
    </row>
    <row r="4045">
      <c r="A4045" s="4">
        <v>4045.0</v>
      </c>
      <c r="B4045" s="3" t="s">
        <v>51880</v>
      </c>
      <c r="C4045" s="6" t="s">
        <v>74</v>
      </c>
      <c r="D4045" s="6" t="s">
        <v>51881</v>
      </c>
      <c r="E4045" s="3" t="str">
        <f t="shared" si="1"/>
        <v>potato&lt;br&gt;&lt;div class="audio"&gt;[sound:potato.mp3]&lt;/div&gt;</v>
      </c>
      <c r="F4045" s="3" t="str">
        <f t="shared" si="2"/>
        <v>(n): khoai tây</v>
      </c>
      <c r="G4045" s="6" t="s">
        <v>51882</v>
      </c>
      <c r="H4045" s="6" t="s">
        <v>51883</v>
      </c>
      <c r="I4045" s="7">
        <f t="shared" si="3"/>
        <v>0.7451332781</v>
      </c>
    </row>
    <row r="4046">
      <c r="A4046" s="4">
        <v>4046.0</v>
      </c>
      <c r="B4046" s="3" t="s">
        <v>51884</v>
      </c>
      <c r="C4046" s="6" t="s">
        <v>74</v>
      </c>
      <c r="D4046" s="6" t="s">
        <v>5436</v>
      </c>
      <c r="E4046" s="3" t="str">
        <f t="shared" si="1"/>
        <v>advert&lt;br&gt;&lt;div class="audio"&gt;[sound:advert.mp3]&lt;/div&gt;</v>
      </c>
      <c r="F4046" s="3" t="str">
        <f t="shared" si="2"/>
        <v>(n): quảng cáo</v>
      </c>
      <c r="G4046" s="6" t="s">
        <v>51885</v>
      </c>
      <c r="H4046" s="6" t="s">
        <v>51886</v>
      </c>
      <c r="I4046" s="7">
        <f t="shared" si="3"/>
        <v>0.6971027044</v>
      </c>
    </row>
    <row r="4047">
      <c r="A4047" s="4">
        <v>4047.0</v>
      </c>
      <c r="B4047" s="3" t="s">
        <v>51887</v>
      </c>
      <c r="C4047" s="6" t="s">
        <v>85</v>
      </c>
      <c r="D4047" s="6" t="s">
        <v>42915</v>
      </c>
      <c r="E4047" s="3" t="str">
        <f t="shared" si="1"/>
        <v>fundamentally&lt;br&gt;&lt;div class="audio"&gt;[sound:fundamentally.mp3]&lt;/div&gt;</v>
      </c>
      <c r="F4047" s="3" t="str">
        <f t="shared" si="2"/>
        <v>(adv): về cơ bản</v>
      </c>
      <c r="G4047" s="6" t="s">
        <v>51888</v>
      </c>
      <c r="H4047" s="6" t="s">
        <v>51889</v>
      </c>
      <c r="I4047" s="7">
        <f t="shared" si="3"/>
        <v>0.9610426172</v>
      </c>
    </row>
    <row r="4048">
      <c r="A4048" s="4">
        <v>4048.0</v>
      </c>
      <c r="B4048" s="3" t="s">
        <v>51890</v>
      </c>
      <c r="C4048" s="6" t="s">
        <v>85</v>
      </c>
      <c r="D4048" s="6" t="s">
        <v>48369</v>
      </c>
      <c r="E4048" s="3" t="str">
        <f t="shared" si="1"/>
        <v>exclusively&lt;br&gt;&lt;div class="audio"&gt;[sound:exclusively.mp3]&lt;/div&gt;</v>
      </c>
      <c r="F4048" s="3" t="str">
        <f t="shared" si="2"/>
        <v>(adv): độc quyền</v>
      </c>
      <c r="G4048" s="6" t="s">
        <v>51891</v>
      </c>
      <c r="H4048" s="6" t="s">
        <v>51892</v>
      </c>
      <c r="I4048" s="7">
        <f t="shared" si="3"/>
        <v>0.2273039856</v>
      </c>
    </row>
    <row r="4049">
      <c r="A4049" s="4">
        <v>4049.0</v>
      </c>
      <c r="B4049" s="3" t="s">
        <v>51893</v>
      </c>
      <c r="C4049" s="6" t="s">
        <v>74</v>
      </c>
      <c r="D4049" s="6" t="s">
        <v>51894</v>
      </c>
      <c r="E4049" s="3" t="str">
        <f t="shared" si="1"/>
        <v>accomplishment&lt;br&gt;&lt;div class="audio"&gt;[sound:accomplishment.mp3]&lt;/div&gt;</v>
      </c>
      <c r="F4049" s="3" t="str">
        <f t="shared" si="2"/>
        <v>(n): thành tựu</v>
      </c>
      <c r="G4049" s="6" t="s">
        <v>51895</v>
      </c>
      <c r="H4049" s="6" t="s">
        <v>51896</v>
      </c>
      <c r="I4049" s="7">
        <f t="shared" si="3"/>
        <v>0.4164994126</v>
      </c>
    </row>
    <row r="4050">
      <c r="A4050" s="4">
        <v>4050.0</v>
      </c>
      <c r="B4050" s="3" t="s">
        <v>51897</v>
      </c>
      <c r="C4050" s="6" t="s">
        <v>11</v>
      </c>
      <c r="D4050" s="8" t="s">
        <v>49770</v>
      </c>
      <c r="E4050" s="3" t="str">
        <f t="shared" si="1"/>
        <v>serial&lt;br&gt;&lt;div class="audio"&gt;[sound:serial.mp3]&lt;/div&gt;</v>
      </c>
      <c r="F4050" s="3" t="str">
        <f t="shared" si="2"/>
        <v>(adj): liên tiếp</v>
      </c>
      <c r="G4050" s="8" t="s">
        <v>51898</v>
      </c>
      <c r="H4050" s="8" t="s">
        <v>51899</v>
      </c>
      <c r="I4050" s="7">
        <f t="shared" si="3"/>
        <v>0.7865984374</v>
      </c>
    </row>
    <row r="4051">
      <c r="A4051" s="4">
        <v>4051.0</v>
      </c>
      <c r="B4051" s="3" t="s">
        <v>51900</v>
      </c>
      <c r="C4051" s="6" t="s">
        <v>85</v>
      </c>
      <c r="D4051" s="6" t="s">
        <v>3449</v>
      </c>
      <c r="E4051" s="3" t="str">
        <f t="shared" si="1"/>
        <v>formerly&lt;br&gt;&lt;div class="audio"&gt;[sound:formerly.mp3]&lt;/div&gt;</v>
      </c>
      <c r="F4051" s="3" t="str">
        <f t="shared" si="2"/>
        <v>(adv): trước đây</v>
      </c>
      <c r="G4051" s="6" t="s">
        <v>51901</v>
      </c>
      <c r="H4051" s="6" t="s">
        <v>51902</v>
      </c>
      <c r="I4051" s="7">
        <f t="shared" si="3"/>
        <v>0.1624912586</v>
      </c>
    </row>
    <row r="4052">
      <c r="A4052" s="4">
        <v>4052.0</v>
      </c>
      <c r="B4052" s="3" t="s">
        <v>51903</v>
      </c>
      <c r="C4052" s="6" t="s">
        <v>85</v>
      </c>
      <c r="D4052" s="6" t="s">
        <v>438</v>
      </c>
      <c r="E4052" s="3" t="str">
        <f t="shared" si="1"/>
        <v>nonetheless&lt;br&gt;&lt;div class="audio"&gt;[sound:nonetheless.mp3]&lt;/div&gt;</v>
      </c>
      <c r="F4052" s="3" t="str">
        <f t="shared" si="2"/>
        <v>(adv): tuy nhiên</v>
      </c>
      <c r="G4052" s="6" t="s">
        <v>51904</v>
      </c>
      <c r="H4052" s="6" t="s">
        <v>51905</v>
      </c>
      <c r="I4052" s="7">
        <f t="shared" si="3"/>
        <v>0.6455631064</v>
      </c>
    </row>
    <row r="4053">
      <c r="A4053" s="4">
        <v>4053.0</v>
      </c>
      <c r="B4053" s="3" t="s">
        <v>51906</v>
      </c>
      <c r="C4053" s="6" t="s">
        <v>74</v>
      </c>
      <c r="D4053" s="6" t="s">
        <v>33126</v>
      </c>
      <c r="E4053" s="3" t="str">
        <f t="shared" si="1"/>
        <v>liquid&lt;br&gt;&lt;div class="audio"&gt;[sound:liquid.mp3]&lt;/div&gt;</v>
      </c>
      <c r="F4053" s="3" t="str">
        <f t="shared" si="2"/>
        <v>(n): chất lỏng</v>
      </c>
      <c r="G4053" s="6" t="s">
        <v>51907</v>
      </c>
      <c r="H4053" s="6" t="s">
        <v>51908</v>
      </c>
      <c r="I4053" s="7">
        <f t="shared" si="3"/>
        <v>0.9143754698</v>
      </c>
    </row>
    <row r="4054">
      <c r="A4054" s="4">
        <v>4054.0</v>
      </c>
      <c r="B4054" s="3" t="s">
        <v>51909</v>
      </c>
      <c r="C4054" s="6" t="s">
        <v>11</v>
      </c>
      <c r="D4054" s="6" t="s">
        <v>50927</v>
      </c>
      <c r="E4054" s="3" t="str">
        <f t="shared" si="1"/>
        <v>corresponding&lt;br&gt;&lt;div class="audio"&gt;[sound:corresponding.mp3]&lt;/div&gt;</v>
      </c>
      <c r="F4054" s="3" t="str">
        <f t="shared" si="2"/>
        <v>(adj): tương ứng</v>
      </c>
      <c r="G4054" s="6" t="s">
        <v>51910</v>
      </c>
      <c r="H4054" s="6" t="s">
        <v>51911</v>
      </c>
      <c r="I4054" s="7">
        <f t="shared" si="3"/>
        <v>0.6678724633</v>
      </c>
    </row>
    <row r="4055">
      <c r="A4055" s="4">
        <v>4055.0</v>
      </c>
      <c r="B4055" s="3" t="s">
        <v>51912</v>
      </c>
      <c r="C4055" s="6" t="s">
        <v>24</v>
      </c>
      <c r="D4055" s="6" t="s">
        <v>4493</v>
      </c>
      <c r="E4055" s="3" t="str">
        <f t="shared" si="1"/>
        <v>endure&lt;br&gt;&lt;div class="audio"&gt;[sound:endure.mp3]&lt;/div&gt;</v>
      </c>
      <c r="F4055" s="3" t="str">
        <f t="shared" si="2"/>
        <v>(v): chịu đựng</v>
      </c>
      <c r="G4055" s="6" t="s">
        <v>51913</v>
      </c>
      <c r="H4055" s="6" t="s">
        <v>51914</v>
      </c>
      <c r="I4055" s="7">
        <f t="shared" si="3"/>
        <v>0.1913092406</v>
      </c>
    </row>
    <row r="4056">
      <c r="A4056" s="4">
        <v>4056.0</v>
      </c>
      <c r="B4056" s="3" t="s">
        <v>51915</v>
      </c>
      <c r="C4056" s="6" t="s">
        <v>74</v>
      </c>
      <c r="D4056" s="6" t="s">
        <v>51916</v>
      </c>
      <c r="E4056" s="3" t="str">
        <f t="shared" si="1"/>
        <v>ambition&lt;br&gt;&lt;div class="audio"&gt;[sound:ambition.mp3]&lt;/div&gt;</v>
      </c>
      <c r="F4056" s="3" t="str">
        <f t="shared" si="2"/>
        <v>(n): tham vọng</v>
      </c>
      <c r="G4056" s="6" t="s">
        <v>51917</v>
      </c>
      <c r="H4056" s="6" t="s">
        <v>51918</v>
      </c>
      <c r="I4056" s="7">
        <f t="shared" si="3"/>
        <v>0.4362856983</v>
      </c>
    </row>
    <row r="4057">
      <c r="A4057" s="4">
        <v>4057.0</v>
      </c>
      <c r="B4057" s="3" t="s">
        <v>51919</v>
      </c>
      <c r="C4057" s="6" t="s">
        <v>11</v>
      </c>
      <c r="D4057" s="6" t="s">
        <v>51920</v>
      </c>
      <c r="E4057" s="3" t="str">
        <f t="shared" si="1"/>
        <v>sceptical&lt;br&gt;&lt;div class="audio"&gt;[sound:sceptical.mp3]&lt;/div&gt;</v>
      </c>
      <c r="F4057" s="3" t="str">
        <f t="shared" si="2"/>
        <v>(adj): hoài nghi</v>
      </c>
      <c r="G4057" s="6" t="s">
        <v>51921</v>
      </c>
      <c r="H4057" s="6" t="s">
        <v>51922</v>
      </c>
      <c r="I4057" s="7">
        <f t="shared" si="3"/>
        <v>0.289031305</v>
      </c>
    </row>
    <row r="4058">
      <c r="A4058" s="4">
        <v>4058.0</v>
      </c>
      <c r="B4058" s="3" t="s">
        <v>51923</v>
      </c>
      <c r="C4058" s="6" t="s">
        <v>74</v>
      </c>
      <c r="D4058" s="6" t="s">
        <v>6126</v>
      </c>
      <c r="E4058" s="3" t="str">
        <f t="shared" si="1"/>
        <v>piano&lt;br&gt;&lt;div class="audio"&gt;[sound:piano.mp3]&lt;/div&gt;</v>
      </c>
      <c r="F4058" s="3" t="str">
        <f t="shared" si="2"/>
        <v>(n): đàn piano</v>
      </c>
      <c r="G4058" s="6" t="s">
        <v>51924</v>
      </c>
      <c r="H4058" s="6" t="s">
        <v>51925</v>
      </c>
      <c r="I4058" s="7">
        <f t="shared" si="3"/>
        <v>0.4799463528</v>
      </c>
    </row>
    <row r="4059">
      <c r="A4059" s="4">
        <v>4059.0</v>
      </c>
      <c r="B4059" s="3" t="s">
        <v>51926</v>
      </c>
      <c r="C4059" s="6" t="s">
        <v>74</v>
      </c>
      <c r="D4059" s="6" t="s">
        <v>51927</v>
      </c>
      <c r="E4059" s="3" t="str">
        <f t="shared" si="1"/>
        <v>jewellery&lt;br&gt;&lt;div class="audio"&gt;[sound:jewellery.mp3]&lt;/div&gt;</v>
      </c>
      <c r="F4059" s="3" t="str">
        <f t="shared" si="2"/>
        <v>(n): trang sức</v>
      </c>
      <c r="G4059" s="6" t="s">
        <v>51928</v>
      </c>
      <c r="H4059" s="6" t="s">
        <v>51929</v>
      </c>
      <c r="I4059" s="7">
        <f t="shared" si="3"/>
        <v>0.2191355966</v>
      </c>
    </row>
    <row r="4060">
      <c r="A4060" s="4">
        <v>4060.0</v>
      </c>
      <c r="B4060" s="3" t="s">
        <v>51930</v>
      </c>
      <c r="C4060" s="6" t="s">
        <v>11</v>
      </c>
      <c r="D4060" s="6" t="s">
        <v>51931</v>
      </c>
      <c r="E4060" s="3" t="str">
        <f t="shared" si="1"/>
        <v>alert&lt;br&gt;&lt;div class="audio"&gt;[sound:alert.mp3]&lt;/div&gt;</v>
      </c>
      <c r="F4060" s="3" t="str">
        <f t="shared" si="2"/>
        <v>(adj): cảnh giác</v>
      </c>
      <c r="G4060" s="6" t="s">
        <v>51932</v>
      </c>
      <c r="H4060" s="6" t="s">
        <v>51933</v>
      </c>
      <c r="I4060" s="7">
        <f t="shared" si="3"/>
        <v>0.9206914114</v>
      </c>
    </row>
    <row r="4061">
      <c r="A4061" s="4">
        <v>4061.0</v>
      </c>
      <c r="B4061" s="3" t="s">
        <v>51934</v>
      </c>
      <c r="C4061" s="6" t="s">
        <v>74</v>
      </c>
      <c r="D4061" s="6" t="s">
        <v>6884</v>
      </c>
      <c r="E4061" s="3" t="str">
        <f t="shared" si="1"/>
        <v>viewpoint&lt;br&gt;&lt;div class="audio"&gt;[sound:viewpoint.mp3]&lt;/div&gt;</v>
      </c>
      <c r="F4061" s="3" t="str">
        <f t="shared" si="2"/>
        <v>(n): quan điểm</v>
      </c>
      <c r="G4061" s="6" t="s">
        <v>51935</v>
      </c>
      <c r="H4061" s="6" t="s">
        <v>51936</v>
      </c>
      <c r="I4061" s="7">
        <f t="shared" si="3"/>
        <v>0.7768343458</v>
      </c>
    </row>
    <row r="4062">
      <c r="A4062" s="4">
        <v>4062.0</v>
      </c>
      <c r="B4062" s="3" t="s">
        <v>51937</v>
      </c>
      <c r="C4062" s="6" t="s">
        <v>74</v>
      </c>
      <c r="D4062" s="6" t="s">
        <v>8363</v>
      </c>
      <c r="E4062" s="3" t="str">
        <f t="shared" si="1"/>
        <v>turnover&lt;br&gt;&lt;div class="audio"&gt;[sound:turnover.mp3]&lt;/div&gt;</v>
      </c>
      <c r="F4062" s="3" t="str">
        <f t="shared" si="2"/>
        <v>(n): doanh thu</v>
      </c>
      <c r="G4062" s="6" t="s">
        <v>51938</v>
      </c>
      <c r="H4062" s="6" t="s">
        <v>51939</v>
      </c>
      <c r="I4062" s="7">
        <f t="shared" si="3"/>
        <v>0.7631288166</v>
      </c>
    </row>
    <row r="4063">
      <c r="A4063" s="4">
        <v>4063.0</v>
      </c>
      <c r="B4063" s="3" t="s">
        <v>51940</v>
      </c>
      <c r="C4063" s="6" t="s">
        <v>74</v>
      </c>
      <c r="D4063" s="6" t="s">
        <v>49699</v>
      </c>
      <c r="E4063" s="3" t="str">
        <f t="shared" si="1"/>
        <v>rat&lt;br&gt;&lt;div class="audio"&gt;[sound:rat.mp3]&lt;/div&gt;</v>
      </c>
      <c r="F4063" s="3" t="str">
        <f t="shared" si="2"/>
        <v>(n): con chuột</v>
      </c>
      <c r="G4063" s="6" t="s">
        <v>51941</v>
      </c>
      <c r="H4063" s="6" t="s">
        <v>51942</v>
      </c>
      <c r="I4063" s="7">
        <f t="shared" si="3"/>
        <v>0.2208528882</v>
      </c>
    </row>
    <row r="4064">
      <c r="A4064" s="4">
        <v>4064.0</v>
      </c>
      <c r="B4064" s="3" t="s">
        <v>51943</v>
      </c>
      <c r="C4064" s="6" t="s">
        <v>11</v>
      </c>
      <c r="D4064" s="6" t="s">
        <v>807</v>
      </c>
      <c r="E4064" s="3" t="str">
        <f t="shared" si="1"/>
        <v>outer&lt;br&gt;&lt;div class="audio"&gt;[sound:outer.mp3]&lt;/div&gt;</v>
      </c>
      <c r="F4064" s="3" t="str">
        <f t="shared" si="2"/>
        <v>(adj): bên ngoài</v>
      </c>
      <c r="G4064" s="6" t="s">
        <v>51944</v>
      </c>
      <c r="H4064" s="6" t="s">
        <v>51945</v>
      </c>
      <c r="I4064" s="7">
        <f t="shared" si="3"/>
        <v>0.2340483172</v>
      </c>
    </row>
    <row r="4065">
      <c r="A4065" s="4">
        <v>4065.0</v>
      </c>
      <c r="B4065" s="3" t="s">
        <v>51946</v>
      </c>
      <c r="C4065" s="6" t="s">
        <v>44</v>
      </c>
      <c r="D4065" s="6" t="s">
        <v>51947</v>
      </c>
      <c r="E4065" s="3" t="str">
        <f t="shared" si="1"/>
        <v>hers&lt;br&gt;&lt;div class="audio"&gt;[sound:hers.mp3]&lt;/div&gt;</v>
      </c>
      <c r="F4065" s="3" t="str">
        <f t="shared" si="2"/>
        <v>(pron): của cô ấy</v>
      </c>
      <c r="G4065" s="6" t="s">
        <v>51948</v>
      </c>
      <c r="H4065" s="6" t="s">
        <v>51949</v>
      </c>
      <c r="I4065" s="7">
        <f t="shared" si="3"/>
        <v>0.8949725766</v>
      </c>
    </row>
    <row r="4066">
      <c r="A4066" s="4">
        <v>4066.0</v>
      </c>
      <c r="B4066" s="3" t="s">
        <v>51950</v>
      </c>
      <c r="C4066" s="6" t="s">
        <v>74</v>
      </c>
      <c r="D4066" s="6" t="s">
        <v>13858</v>
      </c>
      <c r="E4066" s="3" t="str">
        <f t="shared" si="1"/>
        <v>premier&lt;br&gt;&lt;div class="audio"&gt;[sound:premier.mp3]&lt;/div&gt;</v>
      </c>
      <c r="F4066" s="3" t="str">
        <f t="shared" si="2"/>
        <v>(n): thủ tướng</v>
      </c>
      <c r="G4066" s="6" t="s">
        <v>51951</v>
      </c>
      <c r="H4066" s="6" t="s">
        <v>51952</v>
      </c>
      <c r="I4066" s="7">
        <f t="shared" si="3"/>
        <v>0.8330356578</v>
      </c>
    </row>
    <row r="4067">
      <c r="A4067" s="4">
        <v>4067.0</v>
      </c>
      <c r="B4067" s="3" t="s">
        <v>51953</v>
      </c>
      <c r="C4067" s="6" t="s">
        <v>74</v>
      </c>
      <c r="D4067" s="6" t="s">
        <v>51954</v>
      </c>
      <c r="E4067" s="3" t="str">
        <f t="shared" si="1"/>
        <v>robot&lt;br&gt;&lt;div class="audio"&gt;[sound:robot.mp3]&lt;/div&gt;</v>
      </c>
      <c r="F4067" s="3" t="str">
        <f t="shared" si="2"/>
        <v>(n): người máy</v>
      </c>
      <c r="G4067" s="6" t="s">
        <v>51955</v>
      </c>
      <c r="H4067" s="6" t="s">
        <v>51956</v>
      </c>
      <c r="I4067" s="7">
        <f t="shared" si="3"/>
        <v>0.1754145913</v>
      </c>
    </row>
    <row r="4068">
      <c r="A4068" s="4">
        <v>4068.0</v>
      </c>
      <c r="B4068" s="3" t="s">
        <v>51957</v>
      </c>
      <c r="C4068" s="6" t="s">
        <v>74</v>
      </c>
      <c r="D4068" s="8" t="s">
        <v>35458</v>
      </c>
      <c r="E4068" s="3" t="str">
        <f t="shared" si="1"/>
        <v>slogan&lt;br&gt;&lt;div class="audio"&gt;[sound:slogan.mp3]&lt;/div&gt;</v>
      </c>
      <c r="F4068" s="3" t="str">
        <f t="shared" si="2"/>
        <v>(n): khẩu hiệu</v>
      </c>
      <c r="G4068" s="8" t="s">
        <v>51958</v>
      </c>
      <c r="H4068" s="8" t="s">
        <v>51959</v>
      </c>
      <c r="I4068" s="7">
        <f t="shared" si="3"/>
        <v>0.467849428</v>
      </c>
    </row>
    <row r="4069">
      <c r="A4069" s="4">
        <v>4069.0</v>
      </c>
      <c r="B4069" s="3" t="s">
        <v>51960</v>
      </c>
      <c r="C4069" s="6" t="s">
        <v>74</v>
      </c>
      <c r="D4069" s="6" t="s">
        <v>51961</v>
      </c>
      <c r="E4069" s="3" t="str">
        <f t="shared" si="1"/>
        <v>vein&lt;br&gt;&lt;div class="audio"&gt;[sound:vein.mp3]&lt;/div&gt;</v>
      </c>
      <c r="F4069" s="3" t="str">
        <f t="shared" si="2"/>
        <v>(n): tĩnh mạch</v>
      </c>
      <c r="G4069" s="6" t="s">
        <v>51962</v>
      </c>
      <c r="H4069" s="6" t="s">
        <v>51963</v>
      </c>
      <c r="I4069" s="7">
        <f t="shared" si="3"/>
        <v>0.7794300843</v>
      </c>
    </row>
    <row r="4070">
      <c r="A4070" s="4">
        <v>4070.0</v>
      </c>
      <c r="B4070" s="3" t="s">
        <v>51964</v>
      </c>
      <c r="C4070" s="6" t="s">
        <v>85</v>
      </c>
      <c r="D4070" s="6" t="s">
        <v>10904</v>
      </c>
      <c r="E4070" s="3" t="str">
        <f t="shared" si="1"/>
        <v>appropriately&lt;br&gt;&lt;div class="audio"&gt;[sound:appropriately.mp3]&lt;/div&gt;</v>
      </c>
      <c r="F4070" s="3" t="str">
        <f t="shared" si="2"/>
        <v>(adv): thích hợp</v>
      </c>
      <c r="G4070" s="6" t="s">
        <v>51965</v>
      </c>
      <c r="H4070" s="6" t="s">
        <v>51966</v>
      </c>
      <c r="I4070" s="7">
        <f t="shared" si="3"/>
        <v>0.4231998838</v>
      </c>
    </row>
    <row r="4071">
      <c r="A4071" s="4">
        <v>4071.0</v>
      </c>
      <c r="B4071" s="3" t="s">
        <v>51967</v>
      </c>
      <c r="C4071" s="6" t="s">
        <v>11</v>
      </c>
      <c r="D4071" s="6" t="s">
        <v>51968</v>
      </c>
      <c r="E4071" s="3" t="str">
        <f t="shared" si="1"/>
        <v>voluntary&lt;br&gt;&lt;div class="audio"&gt;[sound:voluntary.mp3]&lt;/div&gt;</v>
      </c>
      <c r="F4071" s="3" t="str">
        <f t="shared" si="2"/>
        <v>(adj): tự nguyện</v>
      </c>
      <c r="G4071" s="6" t="s">
        <v>51969</v>
      </c>
      <c r="H4071" s="6" t="s">
        <v>51970</v>
      </c>
      <c r="I4071" s="7">
        <f t="shared" si="3"/>
        <v>0.05895145065</v>
      </c>
    </row>
    <row r="4072">
      <c r="A4072" s="4">
        <v>4072.0</v>
      </c>
      <c r="B4072" s="3" t="s">
        <v>51971</v>
      </c>
      <c r="C4072" s="6" t="s">
        <v>24</v>
      </c>
      <c r="D4072" s="6" t="s">
        <v>51972</v>
      </c>
      <c r="E4072" s="3" t="str">
        <f t="shared" si="1"/>
        <v>incur&lt;br&gt;&lt;div class="audio"&gt;[sound:incur.mp3]&lt;/div&gt;</v>
      </c>
      <c r="F4072" s="3" t="str">
        <f t="shared" si="2"/>
        <v>(v): gánh chịu</v>
      </c>
      <c r="G4072" s="6" t="s">
        <v>51973</v>
      </c>
      <c r="H4072" s="6" t="s">
        <v>51974</v>
      </c>
      <c r="I4072" s="7">
        <f t="shared" si="3"/>
        <v>0.2361731504</v>
      </c>
    </row>
    <row r="4073">
      <c r="A4073" s="4">
        <v>4073.0</v>
      </c>
      <c r="B4073" s="3" t="s">
        <v>51975</v>
      </c>
      <c r="C4073" s="6" t="s">
        <v>11</v>
      </c>
      <c r="D4073" s="6" t="s">
        <v>19379</v>
      </c>
      <c r="E4073" s="3" t="str">
        <f t="shared" si="1"/>
        <v>neutral&lt;br&gt;&lt;div class="audio"&gt;[sound:neutral.mp3]&lt;/div&gt;</v>
      </c>
      <c r="F4073" s="3" t="str">
        <f t="shared" si="2"/>
        <v>(adj): trung lập</v>
      </c>
      <c r="G4073" s="6" t="s">
        <v>51976</v>
      </c>
      <c r="H4073" s="6" t="s">
        <v>51977</v>
      </c>
      <c r="I4073" s="7">
        <f t="shared" si="3"/>
        <v>0.9729111339</v>
      </c>
    </row>
    <row r="4074">
      <c r="A4074" s="4">
        <v>4074.0</v>
      </c>
      <c r="B4074" s="3" t="s">
        <v>51978</v>
      </c>
      <c r="C4074" s="6" t="s">
        <v>74</v>
      </c>
      <c r="D4074" s="6" t="s">
        <v>26352</v>
      </c>
      <c r="E4074" s="3" t="str">
        <f t="shared" si="1"/>
        <v>palace&lt;br&gt;&lt;div class="audio"&gt;[sound:palace.mp3]&lt;/div&gt;</v>
      </c>
      <c r="F4074" s="3" t="str">
        <f t="shared" si="2"/>
        <v>(n): cung điện</v>
      </c>
      <c r="G4074" s="6" t="s">
        <v>51979</v>
      </c>
      <c r="H4074" s="6" t="s">
        <v>51980</v>
      </c>
      <c r="I4074" s="7">
        <f t="shared" si="3"/>
        <v>0.4399299748</v>
      </c>
    </row>
    <row r="4075">
      <c r="A4075" s="4">
        <v>4075.0</v>
      </c>
      <c r="B4075" s="3" t="s">
        <v>51981</v>
      </c>
      <c r="C4075" s="6" t="s">
        <v>11</v>
      </c>
      <c r="D4075" s="6" t="s">
        <v>50927</v>
      </c>
      <c r="E4075" s="3" t="str">
        <f t="shared" si="1"/>
        <v>respective&lt;br&gt;&lt;div class="audio"&gt;[sound:respective.mp3]&lt;/div&gt;</v>
      </c>
      <c r="F4075" s="3" t="str">
        <f t="shared" si="2"/>
        <v>(adj): tương ứng</v>
      </c>
      <c r="G4075" s="6" t="s">
        <v>51982</v>
      </c>
      <c r="H4075" s="6" t="s">
        <v>51983</v>
      </c>
      <c r="I4075" s="7">
        <f t="shared" si="3"/>
        <v>0.9799193486</v>
      </c>
    </row>
    <row r="4076">
      <c r="A4076" s="4">
        <v>4076.0</v>
      </c>
      <c r="B4076" s="3" t="s">
        <v>51984</v>
      </c>
      <c r="C4076" s="6" t="s">
        <v>74</v>
      </c>
      <c r="D4076" s="6" t="s">
        <v>1985</v>
      </c>
      <c r="E4076" s="3" t="str">
        <f t="shared" si="1"/>
        <v>remedy&lt;br&gt;&lt;div class="audio"&gt;[sound:remedy.mp3]&lt;/div&gt;</v>
      </c>
      <c r="F4076" s="3" t="str">
        <f t="shared" si="2"/>
        <v>(n): biện pháp</v>
      </c>
      <c r="G4076" s="6" t="s">
        <v>51985</v>
      </c>
      <c r="H4076" s="6" t="s">
        <v>51986</v>
      </c>
      <c r="I4076" s="7">
        <f t="shared" si="3"/>
        <v>0.7818584628</v>
      </c>
    </row>
    <row r="4077">
      <c r="A4077" s="4">
        <v>4077.0</v>
      </c>
      <c r="B4077" s="3" t="s">
        <v>51987</v>
      </c>
      <c r="C4077" s="6" t="s">
        <v>74</v>
      </c>
      <c r="D4077" s="6" t="s">
        <v>51988</v>
      </c>
      <c r="E4077" s="3" t="str">
        <f t="shared" si="1"/>
        <v>scandal&lt;br&gt;&lt;div class="audio"&gt;[sound:scandal.mp3]&lt;/div&gt;</v>
      </c>
      <c r="F4077" s="3" t="str">
        <f t="shared" si="2"/>
        <v>(n): vụ bê bối</v>
      </c>
      <c r="G4077" s="6" t="s">
        <v>51989</v>
      </c>
      <c r="H4077" s="6" t="s">
        <v>51990</v>
      </c>
      <c r="I4077" s="7">
        <f t="shared" si="3"/>
        <v>0.8196031647</v>
      </c>
    </row>
    <row r="4078">
      <c r="A4078" s="4">
        <v>4078.0</v>
      </c>
      <c r="B4078" s="3" t="s">
        <v>51991</v>
      </c>
      <c r="C4078" s="6" t="s">
        <v>11</v>
      </c>
      <c r="D4078" s="6" t="s">
        <v>28226</v>
      </c>
      <c r="E4078" s="3" t="str">
        <f t="shared" si="1"/>
        <v>favourable&lt;br&gt;&lt;div class="audio"&gt;[sound:favourable.mp3]&lt;/div&gt;</v>
      </c>
      <c r="F4078" s="3" t="str">
        <f t="shared" si="2"/>
        <v>(adj): thuận lợi</v>
      </c>
      <c r="G4078" s="6" t="s">
        <v>51992</v>
      </c>
      <c r="H4078" s="6" t="s">
        <v>51993</v>
      </c>
      <c r="I4078" s="7">
        <f t="shared" si="3"/>
        <v>0.9435830215</v>
      </c>
    </row>
    <row r="4079">
      <c r="A4079" s="4">
        <v>4079.0</v>
      </c>
      <c r="B4079" s="3" t="s">
        <v>51994</v>
      </c>
      <c r="C4079" s="6" t="s">
        <v>11</v>
      </c>
      <c r="D4079" s="6" t="s">
        <v>42883</v>
      </c>
      <c r="E4079" s="3" t="str">
        <f t="shared" si="1"/>
        <v>prospective&lt;br&gt;&lt;div class="audio"&gt;[sound:prospective.mp3]&lt;/div&gt;</v>
      </c>
      <c r="F4079" s="3" t="str">
        <f t="shared" si="2"/>
        <v>(adj): tiềm năng</v>
      </c>
      <c r="G4079" s="6" t="s">
        <v>51995</v>
      </c>
      <c r="H4079" s="6" t="s">
        <v>51996</v>
      </c>
      <c r="I4079" s="7">
        <f t="shared" si="3"/>
        <v>0.7093704561</v>
      </c>
    </row>
    <row r="4080">
      <c r="A4080" s="4">
        <v>4080.0</v>
      </c>
      <c r="B4080" s="3" t="s">
        <v>51997</v>
      </c>
      <c r="C4080" s="6" t="s">
        <v>74</v>
      </c>
      <c r="D4080" s="6" t="s">
        <v>2337</v>
      </c>
      <c r="E4080" s="3" t="str">
        <f t="shared" si="1"/>
        <v>rear&lt;br&gt;&lt;div class="audio"&gt;[sound:rear.mp3]&lt;/div&gt;</v>
      </c>
      <c r="F4080" s="3" t="str">
        <f t="shared" si="2"/>
        <v>(n): phía sau</v>
      </c>
      <c r="G4080" s="6" t="s">
        <v>51998</v>
      </c>
      <c r="H4080" s="6" t="s">
        <v>51999</v>
      </c>
      <c r="I4080" s="7">
        <f t="shared" si="3"/>
        <v>0.08675932059</v>
      </c>
    </row>
    <row r="4081">
      <c r="A4081" s="4">
        <v>4081.0</v>
      </c>
      <c r="B4081" s="3" t="s">
        <v>52000</v>
      </c>
      <c r="C4081" s="6" t="s">
        <v>74</v>
      </c>
      <c r="D4081" s="6" t="s">
        <v>52001</v>
      </c>
      <c r="E4081" s="3" t="str">
        <f t="shared" si="1"/>
        <v>sausage&lt;br&gt;&lt;div class="audio"&gt;[sound:sausage.mp3]&lt;/div&gt;</v>
      </c>
      <c r="F4081" s="3" t="str">
        <f t="shared" si="2"/>
        <v>(n): xúc xích</v>
      </c>
      <c r="G4081" s="6" t="s">
        <v>52002</v>
      </c>
      <c r="H4081" s="6" t="s">
        <v>52003</v>
      </c>
      <c r="I4081" s="7">
        <f t="shared" si="3"/>
        <v>0.7301154549</v>
      </c>
    </row>
    <row r="4082">
      <c r="A4082" s="4">
        <v>4082.0</v>
      </c>
      <c r="B4082" s="3" t="s">
        <v>52004</v>
      </c>
      <c r="C4082" s="6" t="s">
        <v>74</v>
      </c>
      <c r="D4082" s="6" t="s">
        <v>52005</v>
      </c>
      <c r="E4082" s="3" t="str">
        <f t="shared" si="1"/>
        <v>allegation&lt;br&gt;&lt;div class="audio"&gt;[sound:allegation.mp3]&lt;/div&gt;</v>
      </c>
      <c r="F4082" s="3" t="str">
        <f t="shared" si="2"/>
        <v>(n): cáo buộc</v>
      </c>
      <c r="G4082" s="6" t="s">
        <v>52006</v>
      </c>
      <c r="H4082" s="6" t="s">
        <v>52007</v>
      </c>
      <c r="I4082" s="7">
        <f t="shared" si="3"/>
        <v>0.147176579</v>
      </c>
    </row>
    <row r="4083">
      <c r="A4083" s="4">
        <v>4083.0</v>
      </c>
      <c r="B4083" s="3" t="s">
        <v>52008</v>
      </c>
      <c r="C4083" s="6" t="s">
        <v>85</v>
      </c>
      <c r="D4083" s="6" t="s">
        <v>2611</v>
      </c>
      <c r="E4083" s="3" t="str">
        <f t="shared" si="1"/>
        <v>likewise&lt;br&gt;&lt;div class="audio"&gt;[sound:likewise.mp3]&lt;/div&gt;</v>
      </c>
      <c r="F4083" s="3" t="str">
        <f t="shared" si="2"/>
        <v>(adv): tương tự</v>
      </c>
      <c r="G4083" s="6" t="s">
        <v>52009</v>
      </c>
      <c r="H4083" s="6" t="s">
        <v>52010</v>
      </c>
      <c r="I4083" s="7">
        <f t="shared" si="3"/>
        <v>0.4190004583</v>
      </c>
    </row>
    <row r="4084">
      <c r="A4084" s="4">
        <v>4084.0</v>
      </c>
      <c r="B4084" s="3" t="s">
        <v>52011</v>
      </c>
      <c r="C4084" s="6" t="s">
        <v>74</v>
      </c>
      <c r="D4084" s="6" t="s">
        <v>52012</v>
      </c>
      <c r="E4084" s="3" t="str">
        <f t="shared" si="1"/>
        <v>visa&lt;br&gt;&lt;div class="audio"&gt;[sound:visa.mp3]&lt;/div&gt;</v>
      </c>
      <c r="F4084" s="3" t="str">
        <f t="shared" si="2"/>
        <v>(n): thị thực</v>
      </c>
      <c r="G4084" s="6" t="s">
        <v>52013</v>
      </c>
      <c r="H4084" s="6" t="s">
        <v>52014</v>
      </c>
      <c r="I4084" s="7">
        <f t="shared" si="3"/>
        <v>0.7052242699</v>
      </c>
    </row>
    <row r="4085">
      <c r="A4085" s="4">
        <v>4085.0</v>
      </c>
      <c r="B4085" s="3" t="s">
        <v>52015</v>
      </c>
      <c r="C4085" s="6" t="s">
        <v>74</v>
      </c>
      <c r="D4085" s="6" t="s">
        <v>52016</v>
      </c>
      <c r="E4085" s="3" t="str">
        <f t="shared" si="1"/>
        <v>gambling&lt;br&gt;&lt;div class="audio"&gt;[sound:gambling.mp3]&lt;/div&gt;</v>
      </c>
      <c r="F4085" s="3" t="str">
        <f t="shared" si="2"/>
        <v>(n): đánh bạc</v>
      </c>
      <c r="G4085" s="6" t="s">
        <v>52017</v>
      </c>
      <c r="H4085" s="6" t="s">
        <v>52018</v>
      </c>
      <c r="I4085" s="7">
        <f t="shared" si="3"/>
        <v>0.8426243363</v>
      </c>
    </row>
    <row r="4086">
      <c r="A4086" s="4">
        <v>4086.0</v>
      </c>
      <c r="B4086" s="3" t="s">
        <v>52019</v>
      </c>
      <c r="C4086" s="6" t="s">
        <v>11</v>
      </c>
      <c r="D4086" s="6" t="s">
        <v>9682</v>
      </c>
      <c r="E4086" s="3" t="str">
        <f t="shared" si="1"/>
        <v>junior&lt;br&gt;&lt;div class="audio"&gt;[sound:junior.mp3]&lt;/div&gt;</v>
      </c>
      <c r="F4086" s="3" t="str">
        <f t="shared" si="2"/>
        <v>(adj): cấp dưới</v>
      </c>
      <c r="G4086" s="6" t="s">
        <v>52020</v>
      </c>
      <c r="H4086" s="6" t="s">
        <v>52021</v>
      </c>
      <c r="I4086" s="7">
        <f t="shared" si="3"/>
        <v>0.3062711574</v>
      </c>
    </row>
    <row r="4087">
      <c r="A4087" s="4">
        <v>4087.0</v>
      </c>
      <c r="B4087" s="3" t="s">
        <v>52022</v>
      </c>
      <c r="C4087" s="6" t="s">
        <v>11</v>
      </c>
      <c r="D4087" s="6" t="s">
        <v>52023</v>
      </c>
      <c r="E4087" s="3" t="str">
        <f t="shared" si="1"/>
        <v>optimistic&lt;br&gt;&lt;div class="audio"&gt;[sound:optimistic.mp3]&lt;/div&gt;</v>
      </c>
      <c r="F4087" s="3" t="str">
        <f t="shared" si="2"/>
        <v>(adj): lạc quan</v>
      </c>
      <c r="G4087" s="6" t="s">
        <v>52024</v>
      </c>
      <c r="H4087" s="6" t="s">
        <v>52025</v>
      </c>
      <c r="I4087" s="7">
        <f t="shared" si="3"/>
        <v>0.6554448513</v>
      </c>
    </row>
    <row r="4088">
      <c r="A4088" s="4">
        <v>4088.0</v>
      </c>
      <c r="B4088" s="3" t="s">
        <v>52026</v>
      </c>
      <c r="C4088" s="6" t="s">
        <v>85</v>
      </c>
      <c r="D4088" s="6" t="s">
        <v>52027</v>
      </c>
      <c r="E4088" s="3" t="str">
        <f t="shared" si="1"/>
        <v>presently&lt;br&gt;&lt;div class="audio"&gt;[sound:presently.mp3]&lt;/div&gt;</v>
      </c>
      <c r="F4088" s="3" t="str">
        <f t="shared" si="2"/>
        <v>(adv): hiện nay</v>
      </c>
      <c r="G4088" s="6" t="s">
        <v>52028</v>
      </c>
      <c r="H4088" s="6" t="s">
        <v>52029</v>
      </c>
      <c r="I4088" s="7">
        <f t="shared" si="3"/>
        <v>0.201081432</v>
      </c>
    </row>
    <row r="4089">
      <c r="A4089" s="4">
        <v>4089.0</v>
      </c>
      <c r="B4089" s="3" t="s">
        <v>52030</v>
      </c>
      <c r="C4089" s="6" t="s">
        <v>74</v>
      </c>
      <c r="D4089" s="6" t="s">
        <v>15205</v>
      </c>
      <c r="E4089" s="3" t="str">
        <f t="shared" si="1"/>
        <v>poster&lt;br&gt;&lt;div class="audio"&gt;[sound:poster.mp3]&lt;/div&gt;</v>
      </c>
      <c r="F4089" s="3" t="str">
        <f t="shared" si="2"/>
        <v>(n): áp phích</v>
      </c>
      <c r="G4089" s="6" t="s">
        <v>52031</v>
      </c>
      <c r="H4089" s="6" t="s">
        <v>52032</v>
      </c>
      <c r="I4089" s="7">
        <f t="shared" si="3"/>
        <v>0.02520229404</v>
      </c>
    </row>
    <row r="4090">
      <c r="A4090" s="4">
        <v>4090.0</v>
      </c>
      <c r="B4090" s="3" t="s">
        <v>52033</v>
      </c>
      <c r="C4090" s="6" t="s">
        <v>11</v>
      </c>
      <c r="D4090" s="6" t="s">
        <v>24195</v>
      </c>
      <c r="E4090" s="3" t="str">
        <f t="shared" si="1"/>
        <v>humorous&lt;br&gt;&lt;div class="audio"&gt;[sound:humorous.mp3]&lt;/div&gt;</v>
      </c>
      <c r="F4090" s="3" t="str">
        <f t="shared" si="2"/>
        <v>(adj): hài hước</v>
      </c>
      <c r="G4090" s="6" t="s">
        <v>52034</v>
      </c>
      <c r="H4090" s="6" t="s">
        <v>52035</v>
      </c>
      <c r="I4090" s="7">
        <f t="shared" si="3"/>
        <v>0.8633129292</v>
      </c>
    </row>
    <row r="4091">
      <c r="A4091" s="4">
        <v>4091.0</v>
      </c>
      <c r="B4091" s="3" t="s">
        <v>52036</v>
      </c>
      <c r="C4091" s="6" t="s">
        <v>74</v>
      </c>
      <c r="D4091" s="6" t="s">
        <v>27005</v>
      </c>
      <c r="E4091" s="3" t="str">
        <f t="shared" si="1"/>
        <v>scholarship&lt;br&gt;&lt;div class="audio"&gt;[sound:scholarship.mp3]&lt;/div&gt;</v>
      </c>
      <c r="F4091" s="3" t="str">
        <f t="shared" si="2"/>
        <v>(n): học bổng</v>
      </c>
      <c r="G4091" s="6" t="s">
        <v>52037</v>
      </c>
      <c r="H4091" s="6" t="s">
        <v>52038</v>
      </c>
      <c r="I4091" s="7">
        <f t="shared" si="3"/>
        <v>0.4513673917</v>
      </c>
    </row>
    <row r="4092">
      <c r="A4092" s="4">
        <v>4092.0</v>
      </c>
      <c r="B4092" s="3" t="s">
        <v>52039</v>
      </c>
      <c r="C4092" s="6" t="s">
        <v>11</v>
      </c>
      <c r="D4092" s="6" t="s">
        <v>25324</v>
      </c>
      <c r="E4092" s="3" t="str">
        <f t="shared" si="1"/>
        <v>offensive&lt;br&gt;&lt;div class="audio"&gt;[sound:offensive.mp3]&lt;/div&gt;</v>
      </c>
      <c r="F4092" s="3" t="str">
        <f t="shared" si="2"/>
        <v>(adj): phản cảm</v>
      </c>
      <c r="G4092" s="6" t="s">
        <v>52040</v>
      </c>
      <c r="H4092" s="6" t="s">
        <v>52041</v>
      </c>
      <c r="I4092" s="7">
        <f t="shared" si="3"/>
        <v>0.1357909998</v>
      </c>
    </row>
    <row r="4093">
      <c r="A4093" s="4">
        <v>4093.0</v>
      </c>
      <c r="B4093" s="3" t="s">
        <v>52042</v>
      </c>
      <c r="C4093" s="6" t="s">
        <v>74</v>
      </c>
      <c r="D4093" s="6" t="s">
        <v>52043</v>
      </c>
      <c r="E4093" s="3" t="str">
        <f t="shared" si="1"/>
        <v>mortgage&lt;br&gt;&lt;div class="audio"&gt;[sound:mortgage.mp3]&lt;/div&gt;</v>
      </c>
      <c r="F4093" s="3" t="str">
        <f t="shared" si="2"/>
        <v>(n): thế chấp</v>
      </c>
      <c r="G4093" s="6" t="s">
        <v>52044</v>
      </c>
      <c r="H4093" s="6" t="s">
        <v>52045</v>
      </c>
      <c r="I4093" s="7">
        <f t="shared" si="3"/>
        <v>0.739502821</v>
      </c>
    </row>
    <row r="4094">
      <c r="A4094" s="4">
        <v>4094.0</v>
      </c>
      <c r="B4094" s="3" t="s">
        <v>9841</v>
      </c>
      <c r="C4094" s="6" t="s">
        <v>74</v>
      </c>
      <c r="D4094" s="6" t="s">
        <v>52046</v>
      </c>
      <c r="E4094" s="3" t="str">
        <f t="shared" si="1"/>
        <v>pin&lt;br&gt;&lt;div class="audio"&gt;[sound:pin.mp3]&lt;/div&gt;</v>
      </c>
      <c r="F4094" s="3" t="str">
        <f t="shared" si="2"/>
        <v>(n): cái ghim</v>
      </c>
      <c r="G4094" s="6" t="s">
        <v>52047</v>
      </c>
      <c r="H4094" s="6" t="s">
        <v>52048</v>
      </c>
      <c r="I4094" s="7">
        <f t="shared" si="3"/>
        <v>0.1051344964</v>
      </c>
    </row>
    <row r="4095">
      <c r="A4095" s="4">
        <v>4095.0</v>
      </c>
      <c r="B4095" s="3" t="s">
        <v>52049</v>
      </c>
      <c r="C4095" s="6" t="s">
        <v>11</v>
      </c>
      <c r="D4095" s="6" t="s">
        <v>47338</v>
      </c>
      <c r="E4095" s="3" t="str">
        <f t="shared" si="1"/>
        <v>relaxing&lt;br&gt;&lt;div class="audio"&gt;[sound:relaxing.mp3]&lt;/div&gt;</v>
      </c>
      <c r="F4095" s="3" t="str">
        <f t="shared" si="2"/>
        <v>(adj): thư giãn</v>
      </c>
      <c r="G4095" s="6" t="s">
        <v>52050</v>
      </c>
      <c r="H4095" s="6" t="s">
        <v>52051</v>
      </c>
      <c r="I4095" s="7">
        <f t="shared" si="3"/>
        <v>0.002204124575</v>
      </c>
    </row>
    <row r="4096">
      <c r="A4096" s="4">
        <v>4096.0</v>
      </c>
      <c r="B4096" s="3" t="s">
        <v>52052</v>
      </c>
      <c r="C4096" s="6" t="s">
        <v>74</v>
      </c>
      <c r="D4096" s="6" t="s">
        <v>8260</v>
      </c>
      <c r="E4096" s="3" t="str">
        <f t="shared" si="1"/>
        <v>passport&lt;br&gt;&lt;div class="audio"&gt;[sound:passport.mp3]&lt;/div&gt;</v>
      </c>
      <c r="F4096" s="3" t="str">
        <f t="shared" si="2"/>
        <v>(n): hộ chiếu</v>
      </c>
      <c r="G4096" s="6" t="s">
        <v>52053</v>
      </c>
      <c r="H4096" s="6" t="s">
        <v>52054</v>
      </c>
      <c r="I4096" s="7">
        <f t="shared" si="3"/>
        <v>0.5290601626</v>
      </c>
    </row>
    <row r="4097">
      <c r="A4097" s="4">
        <v>4097.0</v>
      </c>
      <c r="B4097" s="3" t="s">
        <v>52055</v>
      </c>
      <c r="C4097" s="6" t="s">
        <v>74</v>
      </c>
      <c r="D4097" s="6" t="s">
        <v>13868</v>
      </c>
      <c r="E4097" s="3" t="str">
        <f t="shared" si="1"/>
        <v>envelope&lt;br&gt;&lt;div class="audio"&gt;[sound:envelope.mp3]&lt;/div&gt;</v>
      </c>
      <c r="F4097" s="3" t="str">
        <f t="shared" si="2"/>
        <v>(n): phong bì</v>
      </c>
      <c r="G4097" s="6" t="s">
        <v>52056</v>
      </c>
      <c r="H4097" s="6" t="s">
        <v>52057</v>
      </c>
      <c r="I4097" s="7">
        <f t="shared" si="3"/>
        <v>0.01741827613</v>
      </c>
    </row>
    <row r="4098">
      <c r="A4098" s="4">
        <v>4098.0</v>
      </c>
      <c r="B4098" s="3" t="s">
        <v>52058</v>
      </c>
      <c r="C4098" s="6" t="s">
        <v>11</v>
      </c>
      <c r="D4098" s="6" t="s">
        <v>52059</v>
      </c>
      <c r="E4098" s="3" t="str">
        <f t="shared" si="1"/>
        <v>relieved&lt;br&gt;&lt;div class="audio"&gt;[sound:relieved.mp3]&lt;/div&gt;</v>
      </c>
      <c r="F4098" s="3" t="str">
        <f t="shared" si="2"/>
        <v>(adj): nhẹ nhõm</v>
      </c>
      <c r="G4098" s="6" t="s">
        <v>52060</v>
      </c>
      <c r="H4098" s="6" t="s">
        <v>52061</v>
      </c>
      <c r="I4098" s="7">
        <f t="shared" si="3"/>
        <v>0.8940686619</v>
      </c>
    </row>
    <row r="4099">
      <c r="A4099" s="4">
        <v>4099.0</v>
      </c>
      <c r="B4099" s="3" t="s">
        <v>52062</v>
      </c>
      <c r="C4099" s="6" t="s">
        <v>74</v>
      </c>
      <c r="D4099" s="6" t="s">
        <v>52063</v>
      </c>
      <c r="E4099" s="3" t="str">
        <f t="shared" si="1"/>
        <v>mathematics&lt;br&gt;&lt;div class="audio"&gt;[sound:mathematics.mp3]&lt;/div&gt;</v>
      </c>
      <c r="F4099" s="3" t="str">
        <f t="shared" si="2"/>
        <v>(n): môn toán</v>
      </c>
      <c r="G4099" s="6" t="s">
        <v>52064</v>
      </c>
      <c r="H4099" s="6" t="s">
        <v>52065</v>
      </c>
      <c r="I4099" s="7">
        <f t="shared" si="3"/>
        <v>0.5219971957</v>
      </c>
    </row>
    <row r="4100">
      <c r="A4100" s="4">
        <v>4100.0</v>
      </c>
      <c r="B4100" s="3" t="s">
        <v>52066</v>
      </c>
      <c r="C4100" s="6" t="s">
        <v>11</v>
      </c>
      <c r="D4100" s="6" t="s">
        <v>22196</v>
      </c>
      <c r="E4100" s="3" t="str">
        <f t="shared" si="1"/>
        <v>absent&lt;br&gt;&lt;div class="audio"&gt;[sound:absent.mp3]&lt;/div&gt;</v>
      </c>
      <c r="F4100" s="3" t="str">
        <f t="shared" si="2"/>
        <v>(adj): vắng mặt</v>
      </c>
      <c r="G4100" s="6" t="s">
        <v>52067</v>
      </c>
      <c r="H4100" s="6" t="s">
        <v>52068</v>
      </c>
      <c r="I4100" s="7">
        <f t="shared" si="3"/>
        <v>0.5930989247</v>
      </c>
    </row>
    <row r="4101">
      <c r="A4101" s="4">
        <v>4101.0</v>
      </c>
      <c r="B4101" s="3" t="s">
        <v>52069</v>
      </c>
      <c r="C4101" s="6" t="s">
        <v>11</v>
      </c>
      <c r="D4101" s="6" t="s">
        <v>11899</v>
      </c>
      <c r="E4101" s="3" t="str">
        <f t="shared" si="1"/>
        <v>pink&lt;br&gt;&lt;div class="audio"&gt;[sound:pink.mp3]&lt;/div&gt;</v>
      </c>
      <c r="F4101" s="3" t="str">
        <f t="shared" si="2"/>
        <v>(adj): màu hồng</v>
      </c>
      <c r="G4101" s="6" t="s">
        <v>52070</v>
      </c>
      <c r="H4101" s="6" t="s">
        <v>52071</v>
      </c>
      <c r="I4101" s="7">
        <f t="shared" si="3"/>
        <v>0.6900240109</v>
      </c>
    </row>
    <row r="4102">
      <c r="A4102" s="4">
        <v>4102.0</v>
      </c>
      <c r="B4102" s="3" t="s">
        <v>52072</v>
      </c>
      <c r="C4102" s="6" t="s">
        <v>24</v>
      </c>
      <c r="D4102" s="6" t="s">
        <v>8159</v>
      </c>
      <c r="E4102" s="3" t="str">
        <f t="shared" si="1"/>
        <v>enquire&lt;br&gt;&lt;div class="audio"&gt;[sound:enquire.mp3]&lt;/div&gt;</v>
      </c>
      <c r="F4102" s="3" t="str">
        <f t="shared" si="2"/>
        <v>(v): hỏi thăm</v>
      </c>
      <c r="G4102" s="6" t="s">
        <v>52073</v>
      </c>
      <c r="H4102" s="6" t="s">
        <v>52074</v>
      </c>
      <c r="I4102" s="7">
        <f t="shared" si="3"/>
        <v>0.7411385994</v>
      </c>
    </row>
    <row r="4103">
      <c r="A4103" s="4">
        <v>4103.0</v>
      </c>
      <c r="B4103" s="3" t="s">
        <v>52075</v>
      </c>
      <c r="C4103" s="6" t="s">
        <v>24</v>
      </c>
      <c r="D4103" s="6" t="s">
        <v>48506</v>
      </c>
      <c r="E4103" s="3" t="str">
        <f t="shared" si="1"/>
        <v>oversee&lt;br&gt;&lt;div class="audio"&gt;[sound:oversee.mp3]&lt;/div&gt;</v>
      </c>
      <c r="F4103" s="3" t="str">
        <f t="shared" si="2"/>
        <v>(v): giám sát</v>
      </c>
      <c r="G4103" s="6" t="s">
        <v>52076</v>
      </c>
      <c r="H4103" s="6" t="s">
        <v>52077</v>
      </c>
      <c r="I4103" s="7">
        <f t="shared" si="3"/>
        <v>0.7325720939</v>
      </c>
    </row>
    <row r="4104">
      <c r="A4104" s="4">
        <v>4104.0</v>
      </c>
      <c r="B4104" s="3" t="s">
        <v>52078</v>
      </c>
      <c r="C4104" s="6" t="s">
        <v>74</v>
      </c>
      <c r="D4104" s="6" t="s">
        <v>5032</v>
      </c>
      <c r="E4104" s="3" t="str">
        <f t="shared" si="1"/>
        <v>essence&lt;br&gt;&lt;div class="audio"&gt;[sound:essence.mp3]&lt;/div&gt;</v>
      </c>
      <c r="F4104" s="3" t="str">
        <f t="shared" si="2"/>
        <v>(n): bản chất</v>
      </c>
      <c r="G4104" s="6" t="s">
        <v>52079</v>
      </c>
      <c r="H4104" s="6" t="s">
        <v>52080</v>
      </c>
      <c r="I4104" s="7">
        <f t="shared" si="3"/>
        <v>0.3278271903</v>
      </c>
    </row>
    <row r="4105">
      <c r="A4105" s="4">
        <v>4105.0</v>
      </c>
      <c r="B4105" s="3" t="s">
        <v>52081</v>
      </c>
      <c r="C4105" s="6" t="s">
        <v>11</v>
      </c>
      <c r="D4105" s="6" t="s">
        <v>52082</v>
      </c>
      <c r="E4105" s="3" t="str">
        <f t="shared" si="1"/>
        <v>annoying&lt;br&gt;&lt;div class="audio"&gt;[sound:annoying.mp3]&lt;/div&gt;</v>
      </c>
      <c r="F4105" s="3" t="str">
        <f t="shared" si="2"/>
        <v>(adj): khó chịu</v>
      </c>
      <c r="G4105" s="6" t="s">
        <v>52083</v>
      </c>
      <c r="H4105" s="6" t="s">
        <v>52084</v>
      </c>
      <c r="I4105" s="7">
        <f t="shared" si="3"/>
        <v>0.05206628639</v>
      </c>
    </row>
    <row r="4106">
      <c r="A4106" s="4">
        <v>4106.0</v>
      </c>
      <c r="B4106" s="3" t="s">
        <v>52085</v>
      </c>
      <c r="C4106" s="6" t="s">
        <v>24</v>
      </c>
      <c r="D4106" s="6" t="s">
        <v>8430</v>
      </c>
      <c r="E4106" s="3" t="str">
        <f t="shared" si="1"/>
        <v>vanish&lt;br&gt;&lt;div class="audio"&gt;[sound:vanish.mp3]&lt;/div&gt;</v>
      </c>
      <c r="F4106" s="3" t="str">
        <f t="shared" si="2"/>
        <v>(v): biến mất</v>
      </c>
      <c r="G4106" s="6" t="s">
        <v>52086</v>
      </c>
      <c r="H4106" s="6" t="s">
        <v>52087</v>
      </c>
      <c r="I4106" s="7">
        <f t="shared" si="3"/>
        <v>0.6040451352</v>
      </c>
    </row>
    <row r="4107">
      <c r="A4107" s="4">
        <v>4107.0</v>
      </c>
      <c r="B4107" s="3" t="s">
        <v>52088</v>
      </c>
      <c r="C4107" s="6" t="s">
        <v>74</v>
      </c>
      <c r="D4107" s="6" t="s">
        <v>52089</v>
      </c>
      <c r="E4107" s="3" t="str">
        <f t="shared" si="1"/>
        <v>oven&lt;br&gt;&lt;div class="audio"&gt;[sound:oven.mp3]&lt;/div&gt;</v>
      </c>
      <c r="F4107" s="3" t="str">
        <f t="shared" si="2"/>
        <v>(n): lò nướng</v>
      </c>
      <c r="G4107" s="6" t="s">
        <v>52090</v>
      </c>
      <c r="H4107" s="6" t="s">
        <v>52091</v>
      </c>
      <c r="I4107" s="7">
        <f t="shared" si="3"/>
        <v>0.9373833172</v>
      </c>
    </row>
    <row r="4108">
      <c r="A4108" s="4">
        <v>4108.0</v>
      </c>
      <c r="B4108" s="3" t="s">
        <v>52092</v>
      </c>
      <c r="C4108" s="6" t="s">
        <v>74</v>
      </c>
      <c r="D4108" s="6" t="s">
        <v>18361</v>
      </c>
      <c r="E4108" s="3" t="str">
        <f t="shared" si="1"/>
        <v>lens&lt;br&gt;&lt;div class="audio"&gt;[sound:lens.mp3]&lt;/div&gt;</v>
      </c>
      <c r="F4108" s="3" t="str">
        <f t="shared" si="2"/>
        <v>(n): ống kính</v>
      </c>
      <c r="G4108" s="6" t="s">
        <v>52093</v>
      </c>
      <c r="H4108" s="6" t="s">
        <v>52094</v>
      </c>
      <c r="I4108" s="7">
        <f t="shared" si="3"/>
        <v>0.2567268933</v>
      </c>
    </row>
    <row r="4109">
      <c r="A4109" s="4">
        <v>4109.0</v>
      </c>
      <c r="B4109" s="3" t="s">
        <v>52095</v>
      </c>
      <c r="C4109" s="6" t="s">
        <v>11</v>
      </c>
      <c r="D4109" s="8" t="s">
        <v>52096</v>
      </c>
      <c r="E4109" s="3" t="str">
        <f t="shared" si="1"/>
        <v>stark&lt;br&gt;&lt;div class="audio"&gt;[sound:stark.mp3]&lt;/div&gt;</v>
      </c>
      <c r="F4109" s="3" t="str">
        <f t="shared" si="2"/>
        <v>(adj): trơ trọi</v>
      </c>
      <c r="G4109" s="8" t="s">
        <v>52097</v>
      </c>
      <c r="H4109" s="8" t="s">
        <v>52098</v>
      </c>
      <c r="I4109" s="7">
        <f t="shared" si="3"/>
        <v>0.3454476577</v>
      </c>
    </row>
    <row r="4110">
      <c r="A4110" s="4">
        <v>4110.0</v>
      </c>
      <c r="B4110" s="3" t="s">
        <v>52099</v>
      </c>
      <c r="C4110" s="6" t="s">
        <v>74</v>
      </c>
      <c r="D4110" s="6" t="s">
        <v>52100</v>
      </c>
      <c r="E4110" s="3" t="str">
        <f t="shared" si="1"/>
        <v>pulse&lt;br&gt;&lt;div class="audio"&gt;[sound:pulse.mp3]&lt;/div&gt;</v>
      </c>
      <c r="F4110" s="3" t="str">
        <f t="shared" si="2"/>
        <v>(n): nhịp tim</v>
      </c>
      <c r="G4110" s="6" t="s">
        <v>52101</v>
      </c>
      <c r="H4110" s="6" t="s">
        <v>52102</v>
      </c>
      <c r="I4110" s="7">
        <f t="shared" si="3"/>
        <v>0.3131801784</v>
      </c>
    </row>
    <row r="4111">
      <c r="A4111" s="4">
        <v>4111.0</v>
      </c>
      <c r="B4111" s="3" t="s">
        <v>52103</v>
      </c>
      <c r="C4111" s="6" t="s">
        <v>74</v>
      </c>
      <c r="D4111" s="6" t="s">
        <v>27069</v>
      </c>
      <c r="E4111" s="3" t="str">
        <f t="shared" si="1"/>
        <v>flame&lt;br&gt;&lt;div class="audio"&gt;[sound:flame.mp3]&lt;/div&gt;</v>
      </c>
      <c r="F4111" s="3" t="str">
        <f t="shared" si="2"/>
        <v>(n): ngọn lửa</v>
      </c>
      <c r="G4111" s="6" t="s">
        <v>52104</v>
      </c>
      <c r="H4111" s="6" t="s">
        <v>52105</v>
      </c>
      <c r="I4111" s="7">
        <f t="shared" si="3"/>
        <v>0.7846727295</v>
      </c>
    </row>
    <row r="4112">
      <c r="A4112" s="4">
        <v>4112.0</v>
      </c>
      <c r="B4112" s="3" t="s">
        <v>52106</v>
      </c>
      <c r="C4112" s="6" t="s">
        <v>11</v>
      </c>
      <c r="D4112" s="6" t="s">
        <v>52107</v>
      </c>
      <c r="E4112" s="3" t="str">
        <f t="shared" si="1"/>
        <v>appealing&lt;br&gt;&lt;div class="audio"&gt;[sound:appealing.mp3]&lt;/div&gt;</v>
      </c>
      <c r="F4112" s="3" t="str">
        <f t="shared" si="2"/>
        <v>(adj): lôi cuốn</v>
      </c>
      <c r="G4112" s="6" t="s">
        <v>52108</v>
      </c>
      <c r="H4112" s="6" t="s">
        <v>52109</v>
      </c>
      <c r="I4112" s="7">
        <f t="shared" si="3"/>
        <v>0.1816655994</v>
      </c>
    </row>
    <row r="4113">
      <c r="A4113" s="4">
        <v>4113.0</v>
      </c>
      <c r="B4113" s="3" t="s">
        <v>52110</v>
      </c>
      <c r="C4113" s="6" t="s">
        <v>11</v>
      </c>
      <c r="D4113" s="6" t="s">
        <v>24195</v>
      </c>
      <c r="E4113" s="3" t="str">
        <f t="shared" si="1"/>
        <v>hilarious&lt;br&gt;&lt;div class="audio"&gt;[sound:hilarious.mp3]&lt;/div&gt;</v>
      </c>
      <c r="F4113" s="3" t="str">
        <f t="shared" si="2"/>
        <v>(adj): hài hước</v>
      </c>
      <c r="G4113" s="6" t="s">
        <v>52111</v>
      </c>
      <c r="H4113" s="6" t="s">
        <v>52112</v>
      </c>
      <c r="I4113" s="7">
        <f t="shared" si="3"/>
        <v>0.8016083844</v>
      </c>
    </row>
    <row r="4114">
      <c r="A4114" s="4">
        <v>4114.0</v>
      </c>
      <c r="B4114" s="3" t="s">
        <v>52113</v>
      </c>
      <c r="C4114" s="6" t="s">
        <v>74</v>
      </c>
      <c r="D4114" s="6" t="s">
        <v>52114</v>
      </c>
      <c r="E4114" s="3" t="str">
        <f t="shared" si="1"/>
        <v>pan&lt;br&gt;&lt;div class="audio"&gt;[sound:pan.mp3]&lt;/div&gt;</v>
      </c>
      <c r="F4114" s="3" t="str">
        <f t="shared" si="2"/>
        <v>(n): cái chảo</v>
      </c>
      <c r="G4114" s="6" t="s">
        <v>52115</v>
      </c>
      <c r="H4114" s="6" t="s">
        <v>52116</v>
      </c>
      <c r="I4114" s="7">
        <f t="shared" si="3"/>
        <v>0.4556527537</v>
      </c>
    </row>
    <row r="4115">
      <c r="A4115" s="4">
        <v>4115.0</v>
      </c>
      <c r="B4115" s="3" t="s">
        <v>52117</v>
      </c>
      <c r="C4115" s="6" t="s">
        <v>11</v>
      </c>
      <c r="D4115" s="6" t="s">
        <v>8784</v>
      </c>
      <c r="E4115" s="3" t="str">
        <f t="shared" si="1"/>
        <v>elaborate&lt;br&gt;&lt;div class="audio"&gt;[sound:elaborate.mp3]&lt;/div&gt;</v>
      </c>
      <c r="F4115" s="3" t="str">
        <f t="shared" si="2"/>
        <v>(adj): phức tạp</v>
      </c>
      <c r="G4115" s="6" t="s">
        <v>52118</v>
      </c>
      <c r="H4115" s="6" t="s">
        <v>52119</v>
      </c>
      <c r="I4115" s="7">
        <f t="shared" si="3"/>
        <v>0.6341561378</v>
      </c>
    </row>
    <row r="4116">
      <c r="A4116" s="4">
        <v>4116.0</v>
      </c>
      <c r="B4116" s="3" t="s">
        <v>52120</v>
      </c>
      <c r="C4116" s="6" t="s">
        <v>74</v>
      </c>
      <c r="D4116" s="6" t="s">
        <v>4754</v>
      </c>
      <c r="E4116" s="3" t="str">
        <f t="shared" si="1"/>
        <v>cargo&lt;br&gt;&lt;div class="audio"&gt;[sound:cargo.mp3]&lt;/div&gt;</v>
      </c>
      <c r="F4116" s="3" t="str">
        <f t="shared" si="2"/>
        <v>(n): hàng hóa</v>
      </c>
      <c r="G4116" s="6" t="s">
        <v>52121</v>
      </c>
      <c r="H4116" s="6" t="s">
        <v>52122</v>
      </c>
      <c r="I4116" s="7">
        <f t="shared" si="3"/>
        <v>0.3399008083</v>
      </c>
    </row>
    <row r="4117">
      <c r="A4117" s="4">
        <v>4117.0</v>
      </c>
      <c r="B4117" s="3" t="s">
        <v>52123</v>
      </c>
      <c r="C4117" s="6" t="s">
        <v>24</v>
      </c>
      <c r="D4117" s="6" t="s">
        <v>52124</v>
      </c>
      <c r="E4117" s="3" t="str">
        <f t="shared" si="1"/>
        <v>render&lt;br&gt;&lt;div class="audio"&gt;[sound:render.mp3]&lt;/div&gt;</v>
      </c>
      <c r="F4117" s="3" t="str">
        <f t="shared" si="2"/>
        <v>(v): kết xuất</v>
      </c>
      <c r="G4117" s="6" t="s">
        <v>52125</v>
      </c>
      <c r="H4117" s="6" t="s">
        <v>52126</v>
      </c>
      <c r="I4117" s="7">
        <f t="shared" si="3"/>
        <v>0.4953979862</v>
      </c>
    </row>
    <row r="4118">
      <c r="A4118" s="4">
        <v>4118.0</v>
      </c>
      <c r="B4118" s="3" t="s">
        <v>52127</v>
      </c>
      <c r="C4118" s="6" t="s">
        <v>24</v>
      </c>
      <c r="D4118" s="6" t="s">
        <v>47234</v>
      </c>
      <c r="E4118" s="3" t="str">
        <f t="shared" si="1"/>
        <v>halt&lt;br&gt;&lt;div class="audio"&gt;[sound:halt.mp3]&lt;/div&gt;</v>
      </c>
      <c r="F4118" s="3" t="str">
        <f t="shared" si="2"/>
        <v>(v): tạm dừng</v>
      </c>
      <c r="G4118" s="6" t="s">
        <v>52128</v>
      </c>
      <c r="H4118" s="6" t="s">
        <v>52129</v>
      </c>
      <c r="I4118" s="7">
        <f t="shared" si="3"/>
        <v>0.8803217808</v>
      </c>
    </row>
    <row r="4119">
      <c r="A4119" s="4">
        <v>4119.0</v>
      </c>
      <c r="B4119" s="3" t="s">
        <v>52130</v>
      </c>
      <c r="C4119" s="6" t="s">
        <v>24</v>
      </c>
      <c r="D4119" s="6" t="s">
        <v>52131</v>
      </c>
      <c r="E4119" s="3" t="str">
        <f t="shared" si="1"/>
        <v>merge&lt;br&gt;&lt;div class="audio"&gt;[sound:merge.mp3]&lt;/div&gt;</v>
      </c>
      <c r="F4119" s="3" t="str">
        <f t="shared" si="2"/>
        <v>(v): sáp nhập</v>
      </c>
      <c r="G4119" s="6" t="s">
        <v>52132</v>
      </c>
      <c r="H4119" s="6" t="s">
        <v>52133</v>
      </c>
      <c r="I4119" s="7">
        <f t="shared" si="3"/>
        <v>0.9072731616</v>
      </c>
    </row>
    <row r="4120">
      <c r="A4120" s="4">
        <v>4120.0</v>
      </c>
      <c r="B4120" s="3" t="s">
        <v>52134</v>
      </c>
      <c r="C4120" s="6" t="s">
        <v>74</v>
      </c>
      <c r="D4120" s="6" t="s">
        <v>52135</v>
      </c>
      <c r="E4120" s="3" t="str">
        <f t="shared" si="1"/>
        <v>buffer&lt;br&gt;&lt;div class="audio"&gt;[sound:buffer.mp3]&lt;/div&gt;</v>
      </c>
      <c r="F4120" s="3" t="str">
        <f t="shared" si="2"/>
        <v>(n): vùng đệm</v>
      </c>
      <c r="G4120" s="6" t="s">
        <v>52136</v>
      </c>
      <c r="H4120" s="6" t="s">
        <v>52137</v>
      </c>
      <c r="I4120" s="7">
        <f t="shared" si="3"/>
        <v>0.7576069306</v>
      </c>
    </row>
    <row r="4121">
      <c r="A4121" s="4">
        <v>4121.0</v>
      </c>
      <c r="B4121" s="3" t="s">
        <v>52138</v>
      </c>
      <c r="C4121" s="6" t="s">
        <v>74</v>
      </c>
      <c r="D4121" s="6" t="s">
        <v>27135</v>
      </c>
      <c r="E4121" s="3" t="str">
        <f t="shared" si="1"/>
        <v>funeral&lt;br&gt;&lt;div class="audio"&gt;[sound:funeral.mp3]&lt;/div&gt;</v>
      </c>
      <c r="F4121" s="3" t="str">
        <f t="shared" si="2"/>
        <v>(n): đám tang</v>
      </c>
      <c r="G4121" s="6" t="s">
        <v>52139</v>
      </c>
      <c r="H4121" s="6" t="s">
        <v>52140</v>
      </c>
      <c r="I4121" s="7">
        <f t="shared" si="3"/>
        <v>0.9319760357</v>
      </c>
    </row>
    <row r="4122">
      <c r="A4122" s="4">
        <v>4122.0</v>
      </c>
      <c r="B4122" s="3" t="s">
        <v>52141</v>
      </c>
      <c r="C4122" s="6" t="s">
        <v>24</v>
      </c>
      <c r="D4122" s="6" t="s">
        <v>52142</v>
      </c>
      <c r="E4122" s="3" t="str">
        <f t="shared" si="1"/>
        <v>imprison&lt;br&gt;&lt;div class="audio"&gt;[sound:imprison.mp3]&lt;/div&gt;</v>
      </c>
      <c r="F4122" s="3" t="str">
        <f t="shared" si="2"/>
        <v>(v): giam giữ</v>
      </c>
      <c r="G4122" s="6" t="s">
        <v>52143</v>
      </c>
      <c r="H4122" s="6" t="s">
        <v>52144</v>
      </c>
      <c r="I4122" s="7">
        <f t="shared" si="3"/>
        <v>0.7260882598</v>
      </c>
    </row>
    <row r="4123">
      <c r="A4123" s="4">
        <v>4123.0</v>
      </c>
      <c r="B4123" s="3" t="s">
        <v>52145</v>
      </c>
      <c r="C4123" s="6" t="s">
        <v>24</v>
      </c>
      <c r="D4123" s="6" t="s">
        <v>52146</v>
      </c>
      <c r="E4123" s="3" t="str">
        <f t="shared" si="1"/>
        <v>invoke&lt;br&gt;&lt;div class="audio"&gt;[sound:invoke.mp3]&lt;/div&gt;</v>
      </c>
      <c r="F4123" s="3" t="str">
        <f t="shared" si="2"/>
        <v>(v): viện dẫn</v>
      </c>
      <c r="G4123" s="6" t="s">
        <v>52147</v>
      </c>
      <c r="H4123" s="6" t="s">
        <v>52148</v>
      </c>
      <c r="I4123" s="7">
        <f t="shared" si="3"/>
        <v>0.9231063103</v>
      </c>
    </row>
    <row r="4124">
      <c r="A4124" s="4">
        <v>4124.0</v>
      </c>
      <c r="B4124" s="3" t="s">
        <v>52149</v>
      </c>
      <c r="C4124" s="6" t="s">
        <v>74</v>
      </c>
      <c r="D4124" s="6" t="s">
        <v>52150</v>
      </c>
      <c r="E4124" s="3" t="str">
        <f t="shared" si="1"/>
        <v>saint&lt;br&gt;&lt;div class="audio"&gt;[sound:saint.mp3]&lt;/div&gt;</v>
      </c>
      <c r="F4124" s="3" t="str">
        <f t="shared" si="2"/>
        <v>(n): vị thánh</v>
      </c>
      <c r="G4124" s="6" t="s">
        <v>52151</v>
      </c>
      <c r="H4124" s="6" t="s">
        <v>52152</v>
      </c>
      <c r="I4124" s="7">
        <f t="shared" si="3"/>
        <v>0.9116497417</v>
      </c>
    </row>
    <row r="4125">
      <c r="A4125" s="4">
        <v>4125.0</v>
      </c>
      <c r="B4125" s="3" t="s">
        <v>52153</v>
      </c>
      <c r="C4125" s="6" t="s">
        <v>11</v>
      </c>
      <c r="D4125" s="6" t="s">
        <v>13721</v>
      </c>
      <c r="E4125" s="3" t="str">
        <f t="shared" si="1"/>
        <v>radical&lt;br&gt;&lt;div class="audio"&gt;[sound:radical.mp3]&lt;/div&gt;</v>
      </c>
      <c r="F4125" s="3" t="str">
        <f t="shared" si="2"/>
        <v>(adj): triệt để</v>
      </c>
      <c r="G4125" s="6" t="s">
        <v>52154</v>
      </c>
      <c r="H4125" s="6" t="s">
        <v>52155</v>
      </c>
      <c r="I4125" s="7">
        <f t="shared" si="3"/>
        <v>0.1134770639</v>
      </c>
    </row>
    <row r="4126">
      <c r="A4126" s="4">
        <v>4126.0</v>
      </c>
      <c r="B4126" s="3" t="s">
        <v>52156</v>
      </c>
      <c r="C4126" s="6" t="s">
        <v>11</v>
      </c>
      <c r="D4126" s="6" t="s">
        <v>11958</v>
      </c>
      <c r="E4126" s="3" t="str">
        <f t="shared" si="1"/>
        <v>artificial&lt;br&gt;&lt;div class="audio"&gt;[sound:artificial.mp3]&lt;/div&gt;</v>
      </c>
      <c r="F4126" s="3" t="str">
        <f t="shared" si="2"/>
        <v>(adj): nhân tạo</v>
      </c>
      <c r="G4126" s="6" t="s">
        <v>52157</v>
      </c>
      <c r="H4126" s="6" t="s">
        <v>52158</v>
      </c>
      <c r="I4126" s="7">
        <f t="shared" si="3"/>
        <v>0.02120653398</v>
      </c>
    </row>
    <row r="4127">
      <c r="A4127" s="4">
        <v>4127.0</v>
      </c>
      <c r="B4127" s="3" t="s">
        <v>52159</v>
      </c>
      <c r="C4127" s="6" t="s">
        <v>74</v>
      </c>
      <c r="D4127" s="6" t="s">
        <v>52160</v>
      </c>
      <c r="E4127" s="3" t="str">
        <f t="shared" si="1"/>
        <v>herb&lt;br&gt;&lt;div class="audio"&gt;[sound:herb.mp3]&lt;/div&gt;</v>
      </c>
      <c r="F4127" s="3" t="str">
        <f t="shared" si="2"/>
        <v>(n): thảo mộc</v>
      </c>
      <c r="G4127" s="6" t="s">
        <v>52161</v>
      </c>
      <c r="H4127" s="6" t="s">
        <v>52162</v>
      </c>
      <c r="I4127" s="7">
        <f t="shared" si="3"/>
        <v>0.5003951472</v>
      </c>
    </row>
    <row r="4128">
      <c r="A4128" s="4">
        <v>4128.0</v>
      </c>
      <c r="B4128" s="3" t="s">
        <v>52163</v>
      </c>
      <c r="C4128" s="6" t="s">
        <v>11</v>
      </c>
      <c r="D4128" s="6" t="s">
        <v>6132</v>
      </c>
      <c r="E4128" s="3" t="str">
        <f t="shared" si="1"/>
        <v>handy&lt;br&gt;&lt;div class="audio"&gt;[sound:handy.mp3]&lt;/div&gt;</v>
      </c>
      <c r="F4128" s="3" t="str">
        <f t="shared" si="2"/>
        <v>(adj): tiện lợi</v>
      </c>
      <c r="G4128" s="6" t="s">
        <v>52164</v>
      </c>
      <c r="H4128" s="6" t="s">
        <v>52165</v>
      </c>
      <c r="I4128" s="7">
        <f t="shared" si="3"/>
        <v>0.03496629566</v>
      </c>
    </row>
    <row r="4129">
      <c r="A4129" s="4">
        <v>4129.0</v>
      </c>
      <c r="B4129" s="3" t="s">
        <v>52166</v>
      </c>
      <c r="C4129" s="6" t="s">
        <v>11</v>
      </c>
      <c r="D4129" s="6" t="s">
        <v>1909</v>
      </c>
      <c r="E4129" s="3" t="str">
        <f t="shared" si="1"/>
        <v>mutual&lt;br&gt;&lt;div class="audio"&gt;[sound:mutual.mp3]&lt;/div&gt;</v>
      </c>
      <c r="F4129" s="3" t="str">
        <f t="shared" si="2"/>
        <v>(adj): lẫn nhau</v>
      </c>
      <c r="G4129" s="6" t="s">
        <v>52167</v>
      </c>
      <c r="H4129" s="6" t="s">
        <v>52168</v>
      </c>
      <c r="I4129" s="7">
        <f t="shared" si="3"/>
        <v>0.8136192343</v>
      </c>
    </row>
    <row r="4130">
      <c r="A4130" s="4">
        <v>4130.0</v>
      </c>
      <c r="B4130" s="3" t="s">
        <v>52169</v>
      </c>
      <c r="C4130" s="6" t="s">
        <v>24</v>
      </c>
      <c r="D4130" s="8" t="s">
        <v>52170</v>
      </c>
      <c r="E4130" s="3" t="str">
        <f t="shared" si="1"/>
        <v>simulate&lt;br&gt;&lt;div class="audio"&gt;[sound:simulate.mp3]&lt;/div&gt;</v>
      </c>
      <c r="F4130" s="3" t="str">
        <f t="shared" si="2"/>
        <v>(v): mô phỏng</v>
      </c>
      <c r="G4130" s="8" t="s">
        <v>52171</v>
      </c>
      <c r="H4130" s="8" t="s">
        <v>52172</v>
      </c>
      <c r="I4130" s="7">
        <f t="shared" si="3"/>
        <v>0.4531325405</v>
      </c>
    </row>
    <row r="4131">
      <c r="A4131" s="4">
        <v>4131.0</v>
      </c>
      <c r="B4131" s="3" t="s">
        <v>52173</v>
      </c>
      <c r="C4131" s="6" t="s">
        <v>74</v>
      </c>
      <c r="D4131" s="6" t="s">
        <v>52174</v>
      </c>
      <c r="E4131" s="3" t="str">
        <f t="shared" si="1"/>
        <v>bat&lt;br&gt;&lt;div class="audio"&gt;[sound:bat.mp3]&lt;/div&gt;</v>
      </c>
      <c r="F4131" s="3" t="str">
        <f t="shared" si="2"/>
        <v>(n): con dơi</v>
      </c>
      <c r="G4131" s="6" t="s">
        <v>52175</v>
      </c>
      <c r="H4131" s="6" t="s">
        <v>52176</v>
      </c>
      <c r="I4131" s="7">
        <f t="shared" si="3"/>
        <v>0.04064206981</v>
      </c>
    </row>
    <row r="4132">
      <c r="A4132" s="4">
        <v>4132.0</v>
      </c>
      <c r="B4132" s="3" t="s">
        <v>52177</v>
      </c>
      <c r="C4132" s="6" t="s">
        <v>74</v>
      </c>
      <c r="D4132" s="6" t="s">
        <v>52178</v>
      </c>
      <c r="E4132" s="3" t="str">
        <f t="shared" si="1"/>
        <v>fraction&lt;br&gt;&lt;div class="audio"&gt;[sound:fraction.mp3]&lt;/div&gt;</v>
      </c>
      <c r="F4132" s="3" t="str">
        <f t="shared" si="2"/>
        <v>(n): phân số</v>
      </c>
      <c r="G4132" s="6" t="s">
        <v>52179</v>
      </c>
      <c r="H4132" s="6" t="s">
        <v>52180</v>
      </c>
      <c r="I4132" s="7">
        <f t="shared" si="3"/>
        <v>0.5307903346</v>
      </c>
    </row>
    <row r="4133">
      <c r="A4133" s="4">
        <v>4133.0</v>
      </c>
      <c r="B4133" s="3" t="s">
        <v>52181</v>
      </c>
      <c r="C4133" s="6" t="s">
        <v>24</v>
      </c>
      <c r="D4133" s="6" t="s">
        <v>52182</v>
      </c>
      <c r="E4133" s="3" t="str">
        <f t="shared" si="1"/>
        <v>reproduce&lt;br&gt;&lt;div class="audio"&gt;[sound:reproduce.mp3]&lt;/div&gt;</v>
      </c>
      <c r="F4133" s="3" t="str">
        <f t="shared" si="2"/>
        <v>(v): tái tạo</v>
      </c>
      <c r="G4133" s="6" t="s">
        <v>52183</v>
      </c>
      <c r="H4133" s="6" t="s">
        <v>52184</v>
      </c>
      <c r="I4133" s="7">
        <f t="shared" si="3"/>
        <v>0.926132376</v>
      </c>
    </row>
    <row r="4134">
      <c r="A4134" s="4">
        <v>4134.0</v>
      </c>
      <c r="B4134" s="3" t="s">
        <v>52185</v>
      </c>
      <c r="C4134" s="6" t="s">
        <v>24</v>
      </c>
      <c r="D4134" s="6" t="s">
        <v>14774</v>
      </c>
      <c r="E4134" s="3" t="str">
        <f t="shared" si="1"/>
        <v>violate&lt;br&gt;&lt;div class="audio"&gt;[sound:violate.mp3]&lt;/div&gt;</v>
      </c>
      <c r="F4134" s="3" t="str">
        <f t="shared" si="2"/>
        <v>(v): vi phạm</v>
      </c>
      <c r="G4134" s="6" t="s">
        <v>52186</v>
      </c>
      <c r="H4134" s="6" t="s">
        <v>52187</v>
      </c>
      <c r="I4134" s="7">
        <f t="shared" si="3"/>
        <v>0.8664346529</v>
      </c>
    </row>
    <row r="4135">
      <c r="A4135" s="4">
        <v>4135.0</v>
      </c>
      <c r="B4135" s="3" t="s">
        <v>52188</v>
      </c>
      <c r="C4135" s="6" t="s">
        <v>74</v>
      </c>
      <c r="D4135" s="6" t="s">
        <v>9087</v>
      </c>
      <c r="E4135" s="3" t="str">
        <f t="shared" si="1"/>
        <v>workout&lt;br&gt;&lt;div class="audio"&gt;[sound:workout.mp3]&lt;/div&gt;</v>
      </c>
      <c r="F4135" s="3" t="str">
        <f t="shared" si="2"/>
        <v>(n): bài tập</v>
      </c>
      <c r="G4135" s="6" t="s">
        <v>52189</v>
      </c>
      <c r="H4135" s="6" t="s">
        <v>52190</v>
      </c>
      <c r="I4135" s="7">
        <f t="shared" si="3"/>
        <v>0.8981261677</v>
      </c>
    </row>
    <row r="4136">
      <c r="A4136" s="4">
        <v>4136.0</v>
      </c>
      <c r="B4136" s="3" t="s">
        <v>52191</v>
      </c>
      <c r="C4136" s="6" t="s">
        <v>74</v>
      </c>
      <c r="D4136" s="6" t="s">
        <v>52192</v>
      </c>
      <c r="E4136" s="3" t="str">
        <f t="shared" si="1"/>
        <v>fibre&lt;br&gt;&lt;div class="audio"&gt;[sound:fibre.mp3]&lt;/div&gt;</v>
      </c>
      <c r="F4136" s="3" t="str">
        <f t="shared" si="2"/>
        <v>(n): chất xơ</v>
      </c>
      <c r="G4136" s="6" t="s">
        <v>52193</v>
      </c>
      <c r="H4136" s="6" t="s">
        <v>52194</v>
      </c>
      <c r="I4136" s="7">
        <f t="shared" si="3"/>
        <v>0.9970968025</v>
      </c>
    </row>
    <row r="4137">
      <c r="A4137" s="4">
        <v>4137.0</v>
      </c>
      <c r="B4137" s="3" t="s">
        <v>52195</v>
      </c>
      <c r="C4137" s="6" t="s">
        <v>11</v>
      </c>
      <c r="D4137" s="6" t="s">
        <v>2848</v>
      </c>
      <c r="E4137" s="3" t="str">
        <f t="shared" si="1"/>
        <v>explicit&lt;br&gt;&lt;div class="audio"&gt;[sound:explicit.mp3]&lt;/div&gt;</v>
      </c>
      <c r="F4137" s="3" t="str">
        <f t="shared" si="2"/>
        <v>(adj): rõ ràng</v>
      </c>
      <c r="G4137" s="6" t="s">
        <v>52196</v>
      </c>
      <c r="H4137" s="6" t="s">
        <v>52197</v>
      </c>
      <c r="I4137" s="7">
        <f t="shared" si="3"/>
        <v>0.04682555364</v>
      </c>
    </row>
    <row r="4138">
      <c r="A4138" s="4">
        <v>4138.0</v>
      </c>
      <c r="B4138" s="3" t="s">
        <v>52198</v>
      </c>
      <c r="C4138" s="6" t="s">
        <v>24</v>
      </c>
      <c r="D4138" s="6" t="s">
        <v>52199</v>
      </c>
      <c r="E4138" s="3" t="str">
        <f t="shared" si="1"/>
        <v>beg&lt;br&gt;&lt;div class="audio"&gt;[sound:beg.mp3]&lt;/div&gt;</v>
      </c>
      <c r="F4138" s="3" t="str">
        <f t="shared" si="2"/>
        <v>(v): cầu xin</v>
      </c>
      <c r="G4138" s="6" t="s">
        <v>52200</v>
      </c>
      <c r="H4138" s="6" t="s">
        <v>52201</v>
      </c>
      <c r="I4138" s="7">
        <f t="shared" si="3"/>
        <v>0.4105506827</v>
      </c>
    </row>
    <row r="4139">
      <c r="A4139" s="4">
        <v>4139.0</v>
      </c>
      <c r="B4139" s="3" t="s">
        <v>52202</v>
      </c>
      <c r="C4139" s="6" t="s">
        <v>74</v>
      </c>
      <c r="D4139" s="6" t="s">
        <v>52203</v>
      </c>
      <c r="E4139" s="3" t="str">
        <f t="shared" si="1"/>
        <v>sack&lt;br&gt;&lt;div class="audio"&gt;[sound:sack.mp3]&lt;/div&gt;</v>
      </c>
      <c r="F4139" s="3" t="str">
        <f t="shared" si="2"/>
        <v>(n): cái bao</v>
      </c>
      <c r="G4139" s="6" t="s">
        <v>52204</v>
      </c>
      <c r="H4139" s="6" t="s">
        <v>52205</v>
      </c>
      <c r="I4139" s="7">
        <f t="shared" si="3"/>
        <v>0.5897121101</v>
      </c>
    </row>
    <row r="4140">
      <c r="A4140" s="4">
        <v>4140.0</v>
      </c>
      <c r="B4140" s="3" t="s">
        <v>52206</v>
      </c>
      <c r="C4140" s="6" t="s">
        <v>11</v>
      </c>
      <c r="D4140" s="6" t="s">
        <v>47465</v>
      </c>
      <c r="E4140" s="3" t="str">
        <f t="shared" si="1"/>
        <v>engaging&lt;br&gt;&lt;div class="audio"&gt;[sound:engaging.mp3]&lt;/div&gt;</v>
      </c>
      <c r="F4140" s="3" t="str">
        <f t="shared" si="2"/>
        <v>(adj): hấp dẫn</v>
      </c>
      <c r="G4140" s="6" t="s">
        <v>52207</v>
      </c>
      <c r="H4140" s="6" t="s">
        <v>52208</v>
      </c>
      <c r="I4140" s="7">
        <f t="shared" si="3"/>
        <v>0.3050214002</v>
      </c>
    </row>
    <row r="4141">
      <c r="A4141" s="4">
        <v>4141.0</v>
      </c>
      <c r="B4141" s="3" t="s">
        <v>52209</v>
      </c>
      <c r="C4141" s="6" t="s">
        <v>74</v>
      </c>
      <c r="D4141" s="6" t="s">
        <v>52210</v>
      </c>
      <c r="E4141" s="3" t="str">
        <f t="shared" si="1"/>
        <v>vice&lt;br&gt;&lt;div class="audio"&gt;[sound:vice.mp3]&lt;/div&gt;</v>
      </c>
      <c r="F4141" s="3" t="str">
        <f t="shared" si="2"/>
        <v>(n): thói hư</v>
      </c>
      <c r="G4141" s="6" t="s">
        <v>52211</v>
      </c>
      <c r="H4141" s="6" t="s">
        <v>52212</v>
      </c>
      <c r="I4141" s="7">
        <f t="shared" si="3"/>
        <v>0.8993102857</v>
      </c>
    </row>
    <row r="4142">
      <c r="A4142" s="4">
        <v>4142.0</v>
      </c>
      <c r="B4142" s="3" t="s">
        <v>52213</v>
      </c>
      <c r="C4142" s="6" t="s">
        <v>24</v>
      </c>
      <c r="D4142" s="6" t="s">
        <v>9739</v>
      </c>
      <c r="E4142" s="3" t="str">
        <f t="shared" si="1"/>
        <v>regain&lt;br&gt;&lt;div class="audio"&gt;[sound:regain.mp3]&lt;/div&gt;</v>
      </c>
      <c r="F4142" s="3" t="str">
        <f t="shared" si="2"/>
        <v>(v): lấy lại</v>
      </c>
      <c r="G4142" s="6" t="s">
        <v>52214</v>
      </c>
      <c r="H4142" s="6" t="s">
        <v>52215</v>
      </c>
      <c r="I4142" s="7">
        <f t="shared" si="3"/>
        <v>0.02968217436</v>
      </c>
    </row>
    <row r="4143">
      <c r="A4143" s="4">
        <v>4143.0</v>
      </c>
      <c r="B4143" s="3" t="s">
        <v>52216</v>
      </c>
      <c r="C4143" s="6" t="s">
        <v>11</v>
      </c>
      <c r="D4143" s="6" t="s">
        <v>52217</v>
      </c>
      <c r="E4143" s="3" t="str">
        <f t="shared" si="1"/>
        <v>thoughtful&lt;br&gt;&lt;div class="audio"&gt;[sound:thoughtful.mp3]&lt;/div&gt;</v>
      </c>
      <c r="F4143" s="3" t="str">
        <f t="shared" si="2"/>
        <v>(adj): chu đáo</v>
      </c>
      <c r="G4143" s="6" t="s">
        <v>52218</v>
      </c>
      <c r="H4143" s="6" t="s">
        <v>52219</v>
      </c>
      <c r="I4143" s="7">
        <f t="shared" si="3"/>
        <v>0.8006616323</v>
      </c>
    </row>
    <row r="4144">
      <c r="A4144" s="4">
        <v>4144.0</v>
      </c>
      <c r="B4144" s="3" t="s">
        <v>52220</v>
      </c>
      <c r="C4144" s="6" t="s">
        <v>11</v>
      </c>
      <c r="D4144" s="6" t="s">
        <v>6153</v>
      </c>
      <c r="E4144" s="3" t="str">
        <f t="shared" si="1"/>
        <v>polite&lt;br&gt;&lt;div class="audio"&gt;[sound:polite.mp3]&lt;/div&gt;</v>
      </c>
      <c r="F4144" s="3" t="str">
        <f t="shared" si="2"/>
        <v>(adj): lịch sự</v>
      </c>
      <c r="G4144" s="6" t="s">
        <v>52221</v>
      </c>
      <c r="H4144" s="6" t="s">
        <v>52222</v>
      </c>
      <c r="I4144" s="7">
        <f t="shared" si="3"/>
        <v>0.02364424281</v>
      </c>
    </row>
    <row r="4145">
      <c r="A4145" s="4">
        <v>4145.0</v>
      </c>
      <c r="B4145" s="3" t="s">
        <v>52223</v>
      </c>
      <c r="C4145" s="6" t="s">
        <v>85</v>
      </c>
      <c r="D4145" s="6" t="s">
        <v>10733</v>
      </c>
      <c r="E4145" s="3" t="str">
        <f t="shared" si="1"/>
        <v>overly&lt;br&gt;&lt;div class="audio"&gt;[sound:overly.mp3]&lt;/div&gt;</v>
      </c>
      <c r="F4145" s="3" t="str">
        <f t="shared" si="2"/>
        <v>(adv): quá mức</v>
      </c>
      <c r="G4145" s="6" t="s">
        <v>52224</v>
      </c>
      <c r="H4145" s="6" t="s">
        <v>52225</v>
      </c>
      <c r="I4145" s="7">
        <f t="shared" si="3"/>
        <v>0.8208405743</v>
      </c>
    </row>
    <row r="4146">
      <c r="A4146" s="4">
        <v>4146.0</v>
      </c>
      <c r="B4146" s="3" t="s">
        <v>52226</v>
      </c>
      <c r="C4146" s="6" t="s">
        <v>11</v>
      </c>
      <c r="D4146" s="6" t="s">
        <v>23194</v>
      </c>
      <c r="E4146" s="3" t="str">
        <f t="shared" si="1"/>
        <v>profound&lt;br&gt;&lt;div class="audio"&gt;[sound:profound.mp3]&lt;/div&gt;</v>
      </c>
      <c r="F4146" s="3" t="str">
        <f t="shared" si="2"/>
        <v>(adj): sâu sắc</v>
      </c>
      <c r="G4146" s="6" t="s">
        <v>52227</v>
      </c>
      <c r="H4146" s="6" t="s">
        <v>52228</v>
      </c>
      <c r="I4146" s="7">
        <f t="shared" si="3"/>
        <v>0.1638751753</v>
      </c>
    </row>
    <row r="4147">
      <c r="A4147" s="4">
        <v>4147.0</v>
      </c>
      <c r="B4147" s="3" t="s">
        <v>52229</v>
      </c>
      <c r="C4147" s="6" t="s">
        <v>74</v>
      </c>
      <c r="D4147" s="6" t="s">
        <v>6171</v>
      </c>
      <c r="E4147" s="3" t="str">
        <f t="shared" si="1"/>
        <v>query&lt;br&gt;&lt;div class="audio"&gt;[sound:query.mp3]&lt;/div&gt;</v>
      </c>
      <c r="F4147" s="3" t="str">
        <f t="shared" si="2"/>
        <v>(n): câu hỏi</v>
      </c>
      <c r="G4147" s="6" t="s">
        <v>52230</v>
      </c>
      <c r="H4147" s="6" t="s">
        <v>52231</v>
      </c>
      <c r="I4147" s="7">
        <f t="shared" si="3"/>
        <v>0.2022247864</v>
      </c>
    </row>
    <row r="4148">
      <c r="A4148" s="4">
        <v>4148.0</v>
      </c>
      <c r="B4148" s="3" t="s">
        <v>52232</v>
      </c>
      <c r="C4148" s="6" t="s">
        <v>24</v>
      </c>
      <c r="D4148" s="6" t="s">
        <v>10208</v>
      </c>
      <c r="E4148" s="3" t="str">
        <f t="shared" si="1"/>
        <v>plead&lt;br&gt;&lt;div class="audio"&gt;[sound:plead.mp3]&lt;/div&gt;</v>
      </c>
      <c r="F4148" s="3" t="str">
        <f t="shared" si="2"/>
        <v>(v): biện hộ</v>
      </c>
      <c r="G4148" s="6" t="s">
        <v>52233</v>
      </c>
      <c r="H4148" s="6" t="s">
        <v>52234</v>
      </c>
      <c r="I4148" s="7">
        <f t="shared" si="3"/>
        <v>0.2384092954</v>
      </c>
    </row>
    <row r="4149">
      <c r="A4149" s="4">
        <v>4149.0</v>
      </c>
      <c r="B4149" s="3" t="s">
        <v>52235</v>
      </c>
      <c r="C4149" s="6" t="s">
        <v>11</v>
      </c>
      <c r="D4149" s="6" t="s">
        <v>17367</v>
      </c>
      <c r="E4149" s="3" t="str">
        <f t="shared" si="1"/>
        <v>upcoming&lt;br&gt;&lt;div class="audio"&gt;[sound:upcoming.mp3]&lt;/div&gt;</v>
      </c>
      <c r="F4149" s="3" t="str">
        <f t="shared" si="2"/>
        <v>(adj): sắp tới</v>
      </c>
      <c r="G4149" s="6" t="s">
        <v>52236</v>
      </c>
      <c r="H4149" s="6" t="s">
        <v>52237</v>
      </c>
      <c r="I4149" s="7">
        <f t="shared" si="3"/>
        <v>0.2874261302</v>
      </c>
    </row>
    <row r="4150">
      <c r="A4150" s="4">
        <v>4150.0</v>
      </c>
      <c r="B4150" s="3" t="s">
        <v>52238</v>
      </c>
      <c r="C4150" s="6" t="s">
        <v>74</v>
      </c>
      <c r="D4150" s="8" t="s">
        <v>52239</v>
      </c>
      <c r="E4150" s="3" t="str">
        <f t="shared" si="1"/>
        <v>strawberry&lt;br&gt;&lt;div class="audio"&gt;[sound:strawberry.mp3]&lt;/div&gt;</v>
      </c>
      <c r="F4150" s="3" t="str">
        <f t="shared" si="2"/>
        <v>(n): dâu tây</v>
      </c>
      <c r="G4150" s="8" t="s">
        <v>52240</v>
      </c>
      <c r="H4150" s="8" t="s">
        <v>52241</v>
      </c>
      <c r="I4150" s="7">
        <f t="shared" si="3"/>
        <v>0.1133440731</v>
      </c>
    </row>
    <row r="4151">
      <c r="A4151" s="4">
        <v>4151.0</v>
      </c>
      <c r="B4151" s="3" t="s">
        <v>52242</v>
      </c>
      <c r="C4151" s="6" t="s">
        <v>74</v>
      </c>
      <c r="D4151" s="8" t="s">
        <v>24919</v>
      </c>
      <c r="E4151" s="3" t="str">
        <f t="shared" si="1"/>
        <v>steak&lt;br&gt;&lt;div class="audio"&gt;[sound:steak.mp3]&lt;/div&gt;</v>
      </c>
      <c r="F4151" s="3" t="str">
        <f t="shared" si="2"/>
        <v>(n): bít tết</v>
      </c>
      <c r="G4151" s="8" t="s">
        <v>52243</v>
      </c>
      <c r="H4151" s="8" t="s">
        <v>52244</v>
      </c>
      <c r="I4151" s="7">
        <f t="shared" si="3"/>
        <v>0.8126091892</v>
      </c>
    </row>
    <row r="4152">
      <c r="A4152" s="4">
        <v>4152.0</v>
      </c>
      <c r="B4152" s="3" t="s">
        <v>52245</v>
      </c>
      <c r="C4152" s="6" t="s">
        <v>24</v>
      </c>
      <c r="D4152" s="6" t="s">
        <v>11930</v>
      </c>
      <c r="E4152" s="3" t="str">
        <f t="shared" si="1"/>
        <v>renew&lt;br&gt;&lt;div class="audio"&gt;[sound:renew.mp3]&lt;/div&gt;</v>
      </c>
      <c r="F4152" s="3" t="str">
        <f t="shared" si="2"/>
        <v>(v): gia hạn</v>
      </c>
      <c r="G4152" s="6" t="s">
        <v>52246</v>
      </c>
      <c r="H4152" s="6" t="s">
        <v>52247</v>
      </c>
      <c r="I4152" s="7">
        <f t="shared" si="3"/>
        <v>0.4715838165</v>
      </c>
    </row>
    <row r="4153">
      <c r="A4153" s="4">
        <v>4153.0</v>
      </c>
      <c r="B4153" s="3" t="s">
        <v>52248</v>
      </c>
      <c r="C4153" s="6" t="s">
        <v>24</v>
      </c>
      <c r="D4153" s="6" t="s">
        <v>52249</v>
      </c>
      <c r="E4153" s="3" t="str">
        <f t="shared" si="1"/>
        <v>reassure&lt;br&gt;&lt;div class="audio"&gt;[sound:reassure.mp3]&lt;/div&gt;</v>
      </c>
      <c r="F4153" s="3" t="str">
        <f t="shared" si="2"/>
        <v>(v): trấn an</v>
      </c>
      <c r="G4153" s="6" t="s">
        <v>52250</v>
      </c>
      <c r="H4153" s="6" t="s">
        <v>52251</v>
      </c>
      <c r="I4153" s="7">
        <f t="shared" si="3"/>
        <v>0.3763207482</v>
      </c>
    </row>
    <row r="4154">
      <c r="A4154" s="4">
        <v>4154.0</v>
      </c>
      <c r="B4154" s="3" t="s">
        <v>52252</v>
      </c>
      <c r="C4154" s="6" t="s">
        <v>11</v>
      </c>
      <c r="D4154" s="6" t="s">
        <v>52253</v>
      </c>
      <c r="E4154" s="3" t="str">
        <f t="shared" si="1"/>
        <v>glorious&lt;br&gt;&lt;div class="audio"&gt;[sound:glorious.mp3]&lt;/div&gt;</v>
      </c>
      <c r="F4154" s="3" t="str">
        <f t="shared" si="2"/>
        <v>(adj): vẻ vang</v>
      </c>
      <c r="G4154" s="6" t="s">
        <v>52254</v>
      </c>
      <c r="H4154" s="6" t="s">
        <v>52255</v>
      </c>
      <c r="I4154" s="7">
        <f t="shared" si="3"/>
        <v>0.5073537596</v>
      </c>
    </row>
    <row r="4155">
      <c r="A4155" s="4">
        <v>4155.0</v>
      </c>
      <c r="B4155" s="3" t="s">
        <v>52256</v>
      </c>
      <c r="C4155" s="6" t="s">
        <v>24</v>
      </c>
      <c r="D4155" s="6" t="s">
        <v>20320</v>
      </c>
      <c r="E4155" s="3" t="str">
        <f t="shared" si="1"/>
        <v>modify&lt;br&gt;&lt;div class="audio"&gt;[sound:modify.mp3]&lt;/div&gt;</v>
      </c>
      <c r="F4155" s="3" t="str">
        <f t="shared" si="2"/>
        <v>(v): sửa đổi</v>
      </c>
      <c r="G4155" s="6" t="s">
        <v>52257</v>
      </c>
      <c r="H4155" s="6" t="s">
        <v>52258</v>
      </c>
      <c r="I4155" s="7">
        <f t="shared" si="3"/>
        <v>0.004995318976</v>
      </c>
    </row>
    <row r="4156">
      <c r="A4156" s="4">
        <v>4156.0</v>
      </c>
      <c r="B4156" s="3" t="s">
        <v>52259</v>
      </c>
      <c r="C4156" s="6" t="s">
        <v>24</v>
      </c>
      <c r="D4156" s="6" t="s">
        <v>9739</v>
      </c>
      <c r="E4156" s="3" t="str">
        <f t="shared" si="1"/>
        <v>retrieve&lt;br&gt;&lt;div class="audio"&gt;[sound:retrieve.mp3]&lt;/div&gt;</v>
      </c>
      <c r="F4156" s="3" t="str">
        <f t="shared" si="2"/>
        <v>(v): lấy lại</v>
      </c>
      <c r="G4156" s="6" t="s">
        <v>52260</v>
      </c>
      <c r="H4156" s="6" t="s">
        <v>52261</v>
      </c>
      <c r="I4156" s="7">
        <f t="shared" si="3"/>
        <v>0.9805459438</v>
      </c>
    </row>
    <row r="4157">
      <c r="A4157" s="4">
        <v>4157.0</v>
      </c>
      <c r="B4157" s="3" t="s">
        <v>52262</v>
      </c>
      <c r="C4157" s="6" t="s">
        <v>74</v>
      </c>
      <c r="D4157" s="6" t="s">
        <v>52263</v>
      </c>
      <c r="E4157" s="3" t="str">
        <f t="shared" si="1"/>
        <v>basket&lt;br&gt;&lt;div class="audio"&gt;[sound:basket.mp3]&lt;/div&gt;</v>
      </c>
      <c r="F4157" s="3" t="str">
        <f t="shared" si="2"/>
        <v>(n): cái giỏ</v>
      </c>
      <c r="G4157" s="6" t="s">
        <v>52264</v>
      </c>
      <c r="H4157" s="6" t="s">
        <v>52265</v>
      </c>
      <c r="I4157" s="7">
        <f t="shared" si="3"/>
        <v>0.1391827135</v>
      </c>
    </row>
    <row r="4158">
      <c r="A4158" s="4">
        <v>4158.0</v>
      </c>
      <c r="B4158" s="3" t="s">
        <v>52266</v>
      </c>
      <c r="C4158" s="6" t="s">
        <v>85</v>
      </c>
      <c r="D4158" s="6" t="s">
        <v>16050</v>
      </c>
      <c r="E4158" s="3" t="str">
        <f t="shared" si="1"/>
        <v>accordingly&lt;br&gt;&lt;div class="audio"&gt;[sound:accordingly.mp3]&lt;/div&gt;</v>
      </c>
      <c r="F4158" s="3" t="str">
        <f t="shared" si="2"/>
        <v>(adv): phù hợp</v>
      </c>
      <c r="G4158" s="6" t="s">
        <v>52267</v>
      </c>
      <c r="H4158" s="6" t="s">
        <v>52268</v>
      </c>
      <c r="I4158" s="7">
        <f t="shared" si="3"/>
        <v>0.7144820846</v>
      </c>
    </row>
    <row r="4159">
      <c r="A4159" s="4">
        <v>4159.0</v>
      </c>
      <c r="B4159" s="3" t="s">
        <v>52269</v>
      </c>
      <c r="C4159" s="6" t="s">
        <v>74</v>
      </c>
      <c r="D4159" s="6" t="s">
        <v>17394</v>
      </c>
      <c r="E4159" s="3" t="str">
        <f t="shared" si="1"/>
        <v>wisdom&lt;br&gt;&lt;div class="audio"&gt;[sound:wisdom.mp3]&lt;/div&gt;</v>
      </c>
      <c r="F4159" s="3" t="str">
        <f t="shared" si="2"/>
        <v>(n): trí tuệ</v>
      </c>
      <c r="G4159" s="6" t="s">
        <v>52270</v>
      </c>
      <c r="H4159" s="6" t="s">
        <v>52271</v>
      </c>
      <c r="I4159" s="7">
        <f t="shared" si="3"/>
        <v>0.2945864611</v>
      </c>
    </row>
    <row r="4160">
      <c r="A4160" s="4">
        <v>4160.0</v>
      </c>
      <c r="B4160" s="3" t="s">
        <v>52272</v>
      </c>
      <c r="C4160" s="6" t="s">
        <v>74</v>
      </c>
      <c r="D4160" s="6" t="s">
        <v>52273</v>
      </c>
      <c r="E4160" s="3" t="str">
        <f t="shared" si="1"/>
        <v>purse&lt;br&gt;&lt;div class="audio"&gt;[sound:purse.mp3]&lt;/div&gt;</v>
      </c>
      <c r="F4160" s="3" t="str">
        <f t="shared" si="2"/>
        <v>(n): ví tiền</v>
      </c>
      <c r="G4160" s="6" t="s">
        <v>52274</v>
      </c>
      <c r="H4160" s="6" t="s">
        <v>52275</v>
      </c>
      <c r="I4160" s="7">
        <f t="shared" si="3"/>
        <v>0.1833195391</v>
      </c>
    </row>
    <row r="4161">
      <c r="A4161" s="4">
        <v>4161.0</v>
      </c>
      <c r="B4161" s="3" t="s">
        <v>52276</v>
      </c>
      <c r="C4161" s="6" t="s">
        <v>74</v>
      </c>
      <c r="D4161" s="6" t="s">
        <v>29273</v>
      </c>
      <c r="E4161" s="3" t="str">
        <f t="shared" si="1"/>
        <v>needle&lt;br&gt;&lt;div class="audio"&gt;[sound:needle.mp3]&lt;/div&gt;</v>
      </c>
      <c r="F4161" s="3" t="str">
        <f t="shared" si="2"/>
        <v>(n): cây kim</v>
      </c>
      <c r="G4161" s="6" t="s">
        <v>52277</v>
      </c>
      <c r="H4161" s="6" t="s">
        <v>52278</v>
      </c>
      <c r="I4161" s="7">
        <f t="shared" si="3"/>
        <v>0.09065004899</v>
      </c>
    </row>
    <row r="4162">
      <c r="A4162" s="4">
        <v>4162.0</v>
      </c>
      <c r="B4162" s="3" t="s">
        <v>52279</v>
      </c>
      <c r="C4162" s="6" t="s">
        <v>11</v>
      </c>
      <c r="D4162" s="6" t="s">
        <v>29525</v>
      </c>
      <c r="E4162" s="3" t="str">
        <f t="shared" si="1"/>
        <v>purple&lt;br&gt;&lt;div class="audio"&gt;[sound:purple.mp3]&lt;/div&gt;</v>
      </c>
      <c r="F4162" s="3" t="str">
        <f t="shared" si="2"/>
        <v>(adj): màu tím</v>
      </c>
      <c r="G4162" s="6" t="s">
        <v>52280</v>
      </c>
      <c r="H4162" s="6" t="s">
        <v>52281</v>
      </c>
      <c r="I4162" s="7">
        <f t="shared" si="3"/>
        <v>0.8328431039</v>
      </c>
    </row>
    <row r="4163">
      <c r="A4163" s="4">
        <v>4163.0</v>
      </c>
      <c r="B4163" s="3" t="s">
        <v>52282</v>
      </c>
      <c r="C4163" s="6" t="s">
        <v>74</v>
      </c>
      <c r="D4163" s="6" t="s">
        <v>52283</v>
      </c>
      <c r="E4163" s="3" t="str">
        <f t="shared" si="1"/>
        <v>bargain&lt;br&gt;&lt;div class="audio"&gt;[sound:bargain.mp3]&lt;/div&gt;</v>
      </c>
      <c r="F4163" s="3" t="str">
        <f t="shared" si="2"/>
        <v>(n): món hời</v>
      </c>
      <c r="G4163" s="6" t="s">
        <v>52284</v>
      </c>
      <c r="H4163" s="6" t="s">
        <v>52285</v>
      </c>
      <c r="I4163" s="7">
        <f t="shared" si="3"/>
        <v>0.7212520485</v>
      </c>
    </row>
    <row r="4164">
      <c r="A4164" s="4">
        <v>4164.0</v>
      </c>
      <c r="B4164" s="3" t="s">
        <v>52286</v>
      </c>
      <c r="C4164" s="6" t="s">
        <v>74</v>
      </c>
      <c r="D4164" s="6" t="s">
        <v>7962</v>
      </c>
      <c r="E4164" s="3" t="str">
        <f t="shared" si="1"/>
        <v>accountant&lt;br&gt;&lt;div class="audio"&gt;[sound:accountant.mp3]&lt;/div&gt;</v>
      </c>
      <c r="F4164" s="3" t="str">
        <f t="shared" si="2"/>
        <v>(n): kế toán</v>
      </c>
      <c r="G4164" s="6" t="s">
        <v>52287</v>
      </c>
      <c r="H4164" s="6" t="s">
        <v>52288</v>
      </c>
      <c r="I4164" s="7">
        <f t="shared" si="3"/>
        <v>0.3406603192</v>
      </c>
    </row>
    <row r="4165">
      <c r="A4165" s="4">
        <v>4165.0</v>
      </c>
      <c r="B4165" s="3" t="s">
        <v>52289</v>
      </c>
      <c r="C4165" s="6" t="s">
        <v>24</v>
      </c>
      <c r="D4165" s="6" t="s">
        <v>23415</v>
      </c>
      <c r="E4165" s="3" t="str">
        <f t="shared" si="1"/>
        <v>retreat&lt;br&gt;&lt;div class="audio"&gt;[sound:retreat.mp3]&lt;/div&gt;</v>
      </c>
      <c r="F4165" s="3" t="str">
        <f t="shared" si="2"/>
        <v>(v): rút lui</v>
      </c>
      <c r="G4165" s="6" t="s">
        <v>52290</v>
      </c>
      <c r="H4165" s="6" t="s">
        <v>52291</v>
      </c>
      <c r="I4165" s="7">
        <f t="shared" si="3"/>
        <v>0.4047679224</v>
      </c>
    </row>
    <row r="4166">
      <c r="A4166" s="4">
        <v>4166.0</v>
      </c>
      <c r="B4166" s="3" t="s">
        <v>52292</v>
      </c>
      <c r="C4166" s="6" t="s">
        <v>74</v>
      </c>
      <c r="D4166" s="6" t="s">
        <v>52293</v>
      </c>
      <c r="E4166" s="3" t="str">
        <f t="shared" si="1"/>
        <v>rotation&lt;br&gt;&lt;div class="audio"&gt;[sound:rotation.mp3]&lt;/div&gt;</v>
      </c>
      <c r="F4166" s="3" t="str">
        <f t="shared" si="2"/>
        <v>(n): sự xoay</v>
      </c>
      <c r="G4166" s="6" t="s">
        <v>52294</v>
      </c>
      <c r="H4166" s="6" t="s">
        <v>52295</v>
      </c>
      <c r="I4166" s="7">
        <f t="shared" si="3"/>
        <v>0.1068594403</v>
      </c>
    </row>
    <row r="4167">
      <c r="A4167" s="4">
        <v>4167.0</v>
      </c>
      <c r="B4167" s="3" t="s">
        <v>52296</v>
      </c>
      <c r="C4167" s="6" t="s">
        <v>24</v>
      </c>
      <c r="D4167" s="6" t="s">
        <v>16655</v>
      </c>
      <c r="E4167" s="3" t="str">
        <f t="shared" si="1"/>
        <v>portray&lt;br&gt;&lt;div class="audio"&gt;[sound:portray.mp3]&lt;/div&gt;</v>
      </c>
      <c r="F4167" s="3" t="str">
        <f t="shared" si="2"/>
        <v>(v): miêu tả</v>
      </c>
      <c r="G4167" s="6" t="s">
        <v>52297</v>
      </c>
      <c r="H4167" s="6" t="s">
        <v>52298</v>
      </c>
      <c r="I4167" s="7">
        <f t="shared" si="3"/>
        <v>0.9851436184</v>
      </c>
    </row>
    <row r="4168">
      <c r="A4168" s="4">
        <v>4168.0</v>
      </c>
      <c r="B4168" s="3" t="s">
        <v>52299</v>
      </c>
      <c r="C4168" s="6" t="s">
        <v>74</v>
      </c>
      <c r="D4168" s="6" t="s">
        <v>52300</v>
      </c>
      <c r="E4168" s="3" t="str">
        <f t="shared" si="1"/>
        <v>fleet&lt;br&gt;&lt;div class="audio"&gt;[sound:fleet.mp3]&lt;/div&gt;</v>
      </c>
      <c r="F4168" s="3" t="str">
        <f t="shared" si="2"/>
        <v>(n): đội tàu</v>
      </c>
      <c r="G4168" s="6" t="s">
        <v>52301</v>
      </c>
      <c r="H4168" s="6" t="s">
        <v>52302</v>
      </c>
      <c r="I4168" s="7">
        <f t="shared" si="3"/>
        <v>0.9101281739</v>
      </c>
    </row>
    <row r="4169">
      <c r="A4169" s="4">
        <v>4169.0</v>
      </c>
      <c r="B4169" s="3" t="s">
        <v>52303</v>
      </c>
      <c r="C4169" s="6" t="s">
        <v>74</v>
      </c>
      <c r="D4169" s="6" t="s">
        <v>52304</v>
      </c>
      <c r="E4169" s="3" t="str">
        <f t="shared" si="1"/>
        <v>fundraising&lt;br&gt;&lt;div class="audio"&gt;[sound:fundraising.mp3]&lt;/div&gt;</v>
      </c>
      <c r="F4169" s="3" t="str">
        <f t="shared" si="2"/>
        <v>(n): gây quỹ</v>
      </c>
      <c r="G4169" s="6" t="s">
        <v>52305</v>
      </c>
      <c r="H4169" s="6" t="s">
        <v>52306</v>
      </c>
      <c r="I4169" s="7">
        <f t="shared" si="3"/>
        <v>0.9556516271</v>
      </c>
    </row>
    <row r="4170">
      <c r="A4170" s="4">
        <v>4170.0</v>
      </c>
      <c r="B4170" s="3" t="s">
        <v>52307</v>
      </c>
      <c r="C4170" s="6" t="s">
        <v>24</v>
      </c>
      <c r="D4170" s="8" t="s">
        <v>52308</v>
      </c>
      <c r="E4170" s="3" t="str">
        <f t="shared" si="1"/>
        <v>shatter&lt;br&gt;&lt;div class="audio"&gt;[sound:shatter.mp3]&lt;/div&gt;</v>
      </c>
      <c r="F4170" s="3" t="str">
        <f t="shared" si="2"/>
        <v>(v): đập tan</v>
      </c>
      <c r="G4170" s="8" t="s">
        <v>52309</v>
      </c>
      <c r="H4170" s="8" t="s">
        <v>52310</v>
      </c>
      <c r="I4170" s="7">
        <f t="shared" si="3"/>
        <v>0.2314293765</v>
      </c>
    </row>
    <row r="4171">
      <c r="A4171" s="4">
        <v>4171.0</v>
      </c>
      <c r="B4171" s="3" t="s">
        <v>52311</v>
      </c>
      <c r="C4171" s="6" t="s">
        <v>74</v>
      </c>
      <c r="D4171" s="6" t="s">
        <v>11364</v>
      </c>
      <c r="E4171" s="3" t="str">
        <f t="shared" si="1"/>
        <v>motor&lt;br&gt;&lt;div class="audio"&gt;[sound:motor.mp3]&lt;/div&gt;</v>
      </c>
      <c r="F4171" s="3" t="str">
        <f t="shared" si="2"/>
        <v>(n): động cơ</v>
      </c>
      <c r="G4171" s="6" t="s">
        <v>52312</v>
      </c>
      <c r="H4171" s="6" t="s">
        <v>52313</v>
      </c>
      <c r="I4171" s="7">
        <f t="shared" si="3"/>
        <v>0.4897329188</v>
      </c>
    </row>
    <row r="4172">
      <c r="A4172" s="4">
        <v>4172.0</v>
      </c>
      <c r="B4172" s="3" t="s">
        <v>52314</v>
      </c>
      <c r="C4172" s="6" t="s">
        <v>11</v>
      </c>
      <c r="D4172" s="6" t="s">
        <v>52315</v>
      </c>
      <c r="E4172" s="3" t="str">
        <f t="shared" si="1"/>
        <v>worrying&lt;br&gt;&lt;div class="audio"&gt;[sound:worrying.mp3]&lt;/div&gt;</v>
      </c>
      <c r="F4172" s="3" t="str">
        <f t="shared" si="2"/>
        <v>(adj): đáng lo</v>
      </c>
      <c r="G4172" s="6" t="s">
        <v>52316</v>
      </c>
      <c r="H4172" s="6" t="s">
        <v>52317</v>
      </c>
      <c r="I4172" s="7">
        <f t="shared" si="3"/>
        <v>0.1799648631</v>
      </c>
    </row>
    <row r="4173">
      <c r="A4173" s="4">
        <v>4173.0</v>
      </c>
      <c r="B4173" s="3" t="s">
        <v>52318</v>
      </c>
      <c r="C4173" s="6" t="s">
        <v>74</v>
      </c>
      <c r="D4173" s="6" t="s">
        <v>52319</v>
      </c>
      <c r="E4173" s="3" t="str">
        <f t="shared" si="1"/>
        <v>robbery&lt;br&gt;&lt;div class="audio"&gt;[sound:robbery.mp3]&lt;/div&gt;</v>
      </c>
      <c r="F4173" s="3" t="str">
        <f t="shared" si="2"/>
        <v>(n): vụ cướp</v>
      </c>
      <c r="G4173" s="6" t="s">
        <v>52320</v>
      </c>
      <c r="H4173" s="6" t="s">
        <v>52321</v>
      </c>
      <c r="I4173" s="7">
        <f t="shared" si="3"/>
        <v>0.03896326724</v>
      </c>
    </row>
    <row r="4174">
      <c r="A4174" s="4">
        <v>4174.0</v>
      </c>
      <c r="B4174" s="3" t="s">
        <v>52322</v>
      </c>
      <c r="C4174" s="6" t="s">
        <v>74</v>
      </c>
      <c r="D4174" s="6" t="s">
        <v>17883</v>
      </c>
      <c r="E4174" s="3" t="str">
        <f t="shared" si="1"/>
        <v>satellite&lt;br&gt;&lt;div class="audio"&gt;[sound:satellite.mp3]&lt;/div&gt;</v>
      </c>
      <c r="F4174" s="3" t="str">
        <f t="shared" si="2"/>
        <v>(n): vệ tinh</v>
      </c>
      <c r="G4174" s="6" t="s">
        <v>52323</v>
      </c>
      <c r="H4174" s="6" t="s">
        <v>52324</v>
      </c>
      <c r="I4174" s="7">
        <f t="shared" si="3"/>
        <v>0.02484283239</v>
      </c>
    </row>
    <row r="4175">
      <c r="A4175" s="4">
        <v>4175.0</v>
      </c>
      <c r="B4175" s="3" t="s">
        <v>52325</v>
      </c>
      <c r="C4175" s="6" t="s">
        <v>74</v>
      </c>
      <c r="D4175" s="6" t="s">
        <v>52326</v>
      </c>
      <c r="E4175" s="3" t="str">
        <f t="shared" si="1"/>
        <v>scholar&lt;br&gt;&lt;div class="audio"&gt;[sound:scholar.mp3]&lt;/div&gt;</v>
      </c>
      <c r="F4175" s="3" t="str">
        <f t="shared" si="2"/>
        <v>(n): học giả</v>
      </c>
      <c r="G4175" s="6" t="s">
        <v>52327</v>
      </c>
      <c r="H4175" s="6" t="s">
        <v>52328</v>
      </c>
      <c r="I4175" s="7">
        <f t="shared" si="3"/>
        <v>0.1000417404</v>
      </c>
    </row>
    <row r="4176">
      <c r="A4176" s="4">
        <v>4176.0</v>
      </c>
      <c r="B4176" s="3" t="s">
        <v>52329</v>
      </c>
      <c r="C4176" s="6" t="s">
        <v>74</v>
      </c>
      <c r="D4176" s="8" t="s">
        <v>52330</v>
      </c>
      <c r="E4176" s="3" t="str">
        <f t="shared" si="1"/>
        <v>specimen&lt;br&gt;&lt;div class="audio"&gt;[sound:specimen.mp3]&lt;/div&gt;</v>
      </c>
      <c r="F4176" s="3" t="str">
        <f t="shared" si="2"/>
        <v>(n): mẫu vật</v>
      </c>
      <c r="G4176" s="8" t="s">
        <v>52331</v>
      </c>
      <c r="H4176" s="8" t="s">
        <v>52332</v>
      </c>
      <c r="I4176" s="7">
        <f t="shared" si="3"/>
        <v>0.8892283585</v>
      </c>
    </row>
    <row r="4177">
      <c r="A4177" s="4">
        <v>4177.0</v>
      </c>
      <c r="B4177" s="3" t="s">
        <v>52333</v>
      </c>
      <c r="C4177" s="6" t="s">
        <v>74</v>
      </c>
      <c r="D4177" s="6" t="s">
        <v>52334</v>
      </c>
      <c r="E4177" s="3" t="str">
        <f t="shared" si="1"/>
        <v>canvas&lt;br&gt;&lt;div class="audio"&gt;[sound:canvas.mp3]&lt;/div&gt;</v>
      </c>
      <c r="F4177" s="3" t="str">
        <f t="shared" si="2"/>
        <v>(n): vải bạt</v>
      </c>
      <c r="G4177" s="6" t="s">
        <v>52335</v>
      </c>
      <c r="H4177" s="6" t="s">
        <v>52336</v>
      </c>
      <c r="I4177" s="7">
        <f t="shared" si="3"/>
        <v>0.4672258552</v>
      </c>
    </row>
    <row r="4178">
      <c r="A4178" s="4">
        <v>4178.0</v>
      </c>
      <c r="B4178" s="3" t="s">
        <v>52337</v>
      </c>
      <c r="C4178" s="6" t="s">
        <v>11</v>
      </c>
      <c r="D4178" s="6" t="s">
        <v>52338</v>
      </c>
      <c r="E4178" s="3" t="str">
        <f t="shared" si="1"/>
        <v>toxic&lt;br&gt;&lt;div class="audio"&gt;[sound:toxic.mp3]&lt;/div&gt;</v>
      </c>
      <c r="F4178" s="3" t="str">
        <f t="shared" si="2"/>
        <v>(adj): độc hại</v>
      </c>
      <c r="G4178" s="6" t="s">
        <v>52339</v>
      </c>
      <c r="H4178" s="6" t="s">
        <v>52340</v>
      </c>
      <c r="I4178" s="7">
        <f t="shared" si="3"/>
        <v>0.378557305</v>
      </c>
    </row>
    <row r="4179">
      <c r="A4179" s="4">
        <v>4179.0</v>
      </c>
      <c r="B4179" s="3" t="s">
        <v>52341</v>
      </c>
      <c r="C4179" s="6" t="s">
        <v>11</v>
      </c>
      <c r="D4179" s="6" t="s">
        <v>52342</v>
      </c>
      <c r="E4179" s="3" t="str">
        <f t="shared" si="1"/>
        <v>indigenous&lt;br&gt;&lt;div class="audio"&gt;[sound:indigenous.mp3]&lt;/div&gt;</v>
      </c>
      <c r="F4179" s="3" t="str">
        <f t="shared" si="2"/>
        <v>(adj): bản địa</v>
      </c>
      <c r="G4179" s="6" t="s">
        <v>52343</v>
      </c>
      <c r="H4179" s="6" t="s">
        <v>52344</v>
      </c>
      <c r="I4179" s="7">
        <f t="shared" si="3"/>
        <v>0.7334037364</v>
      </c>
    </row>
    <row r="4180">
      <c r="A4180" s="4">
        <v>4180.0</v>
      </c>
      <c r="B4180" s="3" t="s">
        <v>52345</v>
      </c>
      <c r="C4180" s="6" t="s">
        <v>74</v>
      </c>
      <c r="D4180" s="6" t="s">
        <v>32266</v>
      </c>
      <c r="E4180" s="3" t="str">
        <f t="shared" si="1"/>
        <v>hostage&lt;br&gt;&lt;div class="audio"&gt;[sound:hostage.mp3]&lt;/div&gt;</v>
      </c>
      <c r="F4180" s="3" t="str">
        <f t="shared" si="2"/>
        <v>(n): con tin</v>
      </c>
      <c r="G4180" s="6" t="s">
        <v>52346</v>
      </c>
      <c r="H4180" s="6" t="s">
        <v>52347</v>
      </c>
      <c r="I4180" s="7">
        <f t="shared" si="3"/>
        <v>0.545517849</v>
      </c>
    </row>
    <row r="4181">
      <c r="A4181" s="4">
        <v>4181.0</v>
      </c>
      <c r="B4181" s="3" t="s">
        <v>52348</v>
      </c>
      <c r="C4181" s="6" t="s">
        <v>74</v>
      </c>
      <c r="D4181" s="6" t="s">
        <v>21123</v>
      </c>
      <c r="E4181" s="3" t="str">
        <f t="shared" si="1"/>
        <v>occurrence&lt;br&gt;&lt;div class="audio"&gt;[sound:occurrence.mp3]&lt;/div&gt;</v>
      </c>
      <c r="F4181" s="3" t="str">
        <f t="shared" si="2"/>
        <v>(n): sự việc</v>
      </c>
      <c r="G4181" s="6" t="s">
        <v>52349</v>
      </c>
      <c r="H4181" s="6" t="s">
        <v>52350</v>
      </c>
      <c r="I4181" s="7">
        <f t="shared" si="3"/>
        <v>0.7446940783</v>
      </c>
    </row>
    <row r="4182">
      <c r="A4182" s="4">
        <v>4182.0</v>
      </c>
      <c r="B4182" s="3" t="s">
        <v>52351</v>
      </c>
      <c r="C4182" s="6" t="s">
        <v>11</v>
      </c>
      <c r="D4182" s="6" t="s">
        <v>52352</v>
      </c>
      <c r="E4182" s="3" t="str">
        <f t="shared" si="1"/>
        <v>viable&lt;br&gt;&lt;div class="audio"&gt;[sound:viable.mp3]&lt;/div&gt;</v>
      </c>
      <c r="F4182" s="3" t="str">
        <f t="shared" si="2"/>
        <v>(adj): khả thi</v>
      </c>
      <c r="G4182" s="6" t="s">
        <v>52353</v>
      </c>
      <c r="H4182" s="6" t="s">
        <v>52354</v>
      </c>
      <c r="I4182" s="7">
        <f t="shared" si="3"/>
        <v>0.224953673</v>
      </c>
    </row>
    <row r="4183">
      <c r="A4183" s="4">
        <v>4183.0</v>
      </c>
      <c r="B4183" s="3" t="s">
        <v>52355</v>
      </c>
      <c r="C4183" s="6" t="s">
        <v>74</v>
      </c>
      <c r="D4183" s="6" t="s">
        <v>19784</v>
      </c>
      <c r="E4183" s="3" t="str">
        <f t="shared" si="1"/>
        <v>ritual&lt;br&gt;&lt;div class="audio"&gt;[sound:ritual.mp3]&lt;/div&gt;</v>
      </c>
      <c r="F4183" s="3" t="str">
        <f t="shared" si="2"/>
        <v>(n): nghi lễ</v>
      </c>
      <c r="G4183" s="6" t="s">
        <v>52356</v>
      </c>
      <c r="H4183" s="6" t="s">
        <v>52357</v>
      </c>
      <c r="I4183" s="7">
        <f t="shared" si="3"/>
        <v>0.8659185497</v>
      </c>
    </row>
    <row r="4184">
      <c r="A4184" s="4">
        <v>4184.0</v>
      </c>
      <c r="B4184" s="3" t="s">
        <v>52358</v>
      </c>
      <c r="C4184" s="6" t="s">
        <v>11</v>
      </c>
      <c r="D4184" s="6" t="s">
        <v>21129</v>
      </c>
      <c r="E4184" s="3" t="str">
        <f t="shared" si="1"/>
        <v>precious&lt;br&gt;&lt;div class="audio"&gt;[sound:precious.mp3]&lt;/div&gt;</v>
      </c>
      <c r="F4184" s="3" t="str">
        <f t="shared" si="2"/>
        <v>(adj): quý giá</v>
      </c>
      <c r="G4184" s="6" t="s">
        <v>52359</v>
      </c>
      <c r="H4184" s="6" t="s">
        <v>52360</v>
      </c>
      <c r="I4184" s="7">
        <f t="shared" si="3"/>
        <v>0.06275677307</v>
      </c>
    </row>
    <row r="4185">
      <c r="A4185" s="4">
        <v>4185.0</v>
      </c>
      <c r="B4185" s="3" t="s">
        <v>52361</v>
      </c>
      <c r="C4185" s="6" t="s">
        <v>74</v>
      </c>
      <c r="D4185" s="6" t="s">
        <v>27034</v>
      </c>
      <c r="E4185" s="3" t="str">
        <f t="shared" si="1"/>
        <v>pencil&lt;br&gt;&lt;div class="audio"&gt;[sound:pencil.mp3]&lt;/div&gt;</v>
      </c>
      <c r="F4185" s="3" t="str">
        <f t="shared" si="2"/>
        <v>(n): bút chì</v>
      </c>
      <c r="G4185" s="6" t="s">
        <v>52362</v>
      </c>
      <c r="H4185" s="6" t="s">
        <v>52363</v>
      </c>
      <c r="I4185" s="7">
        <f t="shared" si="3"/>
        <v>0.1964456325</v>
      </c>
    </row>
    <row r="4186">
      <c r="A4186" s="4">
        <v>4186.0</v>
      </c>
      <c r="B4186" s="3" t="s">
        <v>52364</v>
      </c>
      <c r="C4186" s="6" t="s">
        <v>24</v>
      </c>
      <c r="D4186" s="6" t="s">
        <v>52365</v>
      </c>
      <c r="E4186" s="3" t="str">
        <f t="shared" si="1"/>
        <v>await&lt;br&gt;&lt;div class="audio"&gt;[sound:await.mp3]&lt;/div&gt;</v>
      </c>
      <c r="F4186" s="3" t="str">
        <f t="shared" si="2"/>
        <v>(v): chờ đợi</v>
      </c>
      <c r="G4186" s="6" t="s">
        <v>52366</v>
      </c>
      <c r="H4186" s="6" t="s">
        <v>52367</v>
      </c>
      <c r="I4186" s="7">
        <f t="shared" si="3"/>
        <v>0.5034486537</v>
      </c>
    </row>
    <row r="4187">
      <c r="A4187" s="4">
        <v>4187.0</v>
      </c>
      <c r="B4187" s="3" t="s">
        <v>52368</v>
      </c>
      <c r="C4187" s="6" t="s">
        <v>24</v>
      </c>
      <c r="D4187" s="6" t="s">
        <v>3928</v>
      </c>
      <c r="E4187" s="3" t="str">
        <f t="shared" si="1"/>
        <v>accommodate&lt;br&gt;&lt;div class="audio"&gt;[sound:accommodate.mp3]&lt;/div&gt;</v>
      </c>
      <c r="F4187" s="3" t="str">
        <f t="shared" si="2"/>
        <v>(v): đáp ứng</v>
      </c>
      <c r="G4187" s="6" t="s">
        <v>52369</v>
      </c>
      <c r="H4187" s="6" t="s">
        <v>52370</v>
      </c>
      <c r="I4187" s="7">
        <f t="shared" si="3"/>
        <v>0.6598290478</v>
      </c>
    </row>
    <row r="4188">
      <c r="A4188" s="4">
        <v>4188.0</v>
      </c>
      <c r="B4188" s="3" t="s">
        <v>52371</v>
      </c>
      <c r="C4188" s="6" t="s">
        <v>24</v>
      </c>
      <c r="D4188" s="6" t="s">
        <v>52372</v>
      </c>
      <c r="E4188" s="3" t="str">
        <f t="shared" si="1"/>
        <v>allocate&lt;br&gt;&lt;div class="audio"&gt;[sound:allocate.mp3]&lt;/div&gt;</v>
      </c>
      <c r="F4188" s="3" t="str">
        <f t="shared" si="2"/>
        <v>(v): phân bổ</v>
      </c>
      <c r="G4188" s="6" t="s">
        <v>52373</v>
      </c>
      <c r="H4188" s="6" t="s">
        <v>52374</v>
      </c>
      <c r="I4188" s="7">
        <f t="shared" si="3"/>
        <v>0.1588834092</v>
      </c>
    </row>
    <row r="4189">
      <c r="A4189" s="4">
        <v>4189.0</v>
      </c>
      <c r="B4189" s="3" t="s">
        <v>52375</v>
      </c>
      <c r="C4189" s="6" t="s">
        <v>11</v>
      </c>
      <c r="D4189" s="6" t="s">
        <v>10524</v>
      </c>
      <c r="E4189" s="3" t="str">
        <f t="shared" si="1"/>
        <v>fortunate&lt;br&gt;&lt;div class="audio"&gt;[sound:fortunate.mp3]&lt;/div&gt;</v>
      </c>
      <c r="F4189" s="3" t="str">
        <f t="shared" si="2"/>
        <v>(adj): may mắn</v>
      </c>
      <c r="G4189" s="6" t="s">
        <v>52376</v>
      </c>
      <c r="H4189" s="6" t="s">
        <v>47483</v>
      </c>
      <c r="I4189" s="7">
        <f t="shared" si="3"/>
        <v>0.2515530491</v>
      </c>
    </row>
    <row r="4190">
      <c r="A4190" s="4">
        <v>4190.0</v>
      </c>
      <c r="B4190" s="3" t="s">
        <v>52377</v>
      </c>
      <c r="C4190" s="6" t="s">
        <v>11</v>
      </c>
      <c r="D4190" s="6" t="s">
        <v>52378</v>
      </c>
      <c r="E4190" s="3" t="str">
        <f t="shared" si="1"/>
        <v>lonely&lt;br&gt;&lt;div class="audio"&gt;[sound:lonely.mp3]&lt;/div&gt;</v>
      </c>
      <c r="F4190" s="3" t="str">
        <f t="shared" si="2"/>
        <v>(adj): cô đơn</v>
      </c>
      <c r="G4190" s="6" t="s">
        <v>52379</v>
      </c>
      <c r="H4190" s="6" t="s">
        <v>52380</v>
      </c>
      <c r="I4190" s="7">
        <f t="shared" si="3"/>
        <v>0.7508492409</v>
      </c>
    </row>
    <row r="4191">
      <c r="A4191" s="4">
        <v>4191.0</v>
      </c>
      <c r="B4191" s="3" t="s">
        <v>52381</v>
      </c>
      <c r="C4191" s="6" t="s">
        <v>24</v>
      </c>
      <c r="D4191" s="6" t="s">
        <v>52382</v>
      </c>
      <c r="E4191" s="3" t="str">
        <f t="shared" si="1"/>
        <v>frighten&lt;br&gt;&lt;div class="audio"&gt;[sound:frighten.mp3]&lt;/div&gt;</v>
      </c>
      <c r="F4191" s="3" t="str">
        <f t="shared" si="2"/>
        <v>(v): làm sợ</v>
      </c>
      <c r="G4191" s="6" t="s">
        <v>52383</v>
      </c>
      <c r="H4191" s="6" t="s">
        <v>52384</v>
      </c>
      <c r="I4191" s="7">
        <f t="shared" si="3"/>
        <v>0.6953724778</v>
      </c>
    </row>
    <row r="4192">
      <c r="A4192" s="4">
        <v>4192.0</v>
      </c>
      <c r="B4192" s="3" t="s">
        <v>52385</v>
      </c>
      <c r="C4192" s="6" t="s">
        <v>24</v>
      </c>
      <c r="D4192" s="6" t="s">
        <v>48700</v>
      </c>
      <c r="E4192" s="3" t="str">
        <f t="shared" si="1"/>
        <v>overlook&lt;br&gt;&lt;div class="audio"&gt;[sound:overlook.mp3]&lt;/div&gt;</v>
      </c>
      <c r="F4192" s="3" t="str">
        <f t="shared" si="2"/>
        <v>(v): bỏ qua</v>
      </c>
      <c r="G4192" s="6" t="s">
        <v>52386</v>
      </c>
      <c r="H4192" s="6" t="s">
        <v>52387</v>
      </c>
      <c r="I4192" s="7">
        <f t="shared" si="3"/>
        <v>0.6769320726</v>
      </c>
    </row>
    <row r="4193">
      <c r="A4193" s="4">
        <v>4193.0</v>
      </c>
      <c r="B4193" s="3" t="s">
        <v>52388</v>
      </c>
      <c r="C4193" s="6" t="s">
        <v>24</v>
      </c>
      <c r="D4193" s="6" t="s">
        <v>52389</v>
      </c>
      <c r="E4193" s="3" t="str">
        <f t="shared" si="1"/>
        <v>inhibit&lt;br&gt;&lt;div class="audio"&gt;[sound:inhibit.mp3]&lt;/div&gt;</v>
      </c>
      <c r="F4193" s="3" t="str">
        <f t="shared" si="2"/>
        <v>(v): ức chế</v>
      </c>
      <c r="G4193" s="6" t="s">
        <v>52390</v>
      </c>
      <c r="H4193" s="6" t="s">
        <v>52391</v>
      </c>
      <c r="I4193" s="7">
        <f t="shared" si="3"/>
        <v>0.561640788</v>
      </c>
    </row>
    <row r="4194">
      <c r="A4194" s="4">
        <v>4194.0</v>
      </c>
      <c r="B4194" s="3" t="s">
        <v>52392</v>
      </c>
      <c r="C4194" s="6" t="s">
        <v>74</v>
      </c>
      <c r="D4194" s="6" t="s">
        <v>36135</v>
      </c>
      <c r="E4194" s="3" t="str">
        <f t="shared" si="1"/>
        <v>packet&lt;br&gt;&lt;div class="audio"&gt;[sound:packet.mp3]&lt;/div&gt;</v>
      </c>
      <c r="F4194" s="3" t="str">
        <f t="shared" si="2"/>
        <v>(n): bao bì</v>
      </c>
      <c r="G4194" s="6" t="s">
        <v>52393</v>
      </c>
      <c r="H4194" s="6" t="s">
        <v>52394</v>
      </c>
      <c r="I4194" s="7">
        <f t="shared" si="3"/>
        <v>0.9935915793</v>
      </c>
    </row>
    <row r="4195">
      <c r="A4195" s="4">
        <v>4195.0</v>
      </c>
      <c r="B4195" s="3" t="s">
        <v>52395</v>
      </c>
      <c r="C4195" s="6" t="s">
        <v>11</v>
      </c>
      <c r="D4195" s="6" t="s">
        <v>8957</v>
      </c>
      <c r="E4195" s="3" t="str">
        <f t="shared" si="1"/>
        <v>embarrassed&lt;br&gt;&lt;div class="audio"&gt;[sound:embarrassed.mp3]&lt;/div&gt;</v>
      </c>
      <c r="F4195" s="3" t="str">
        <f t="shared" si="2"/>
        <v>(adj): xấu hổ</v>
      </c>
      <c r="G4195" s="6" t="s">
        <v>52396</v>
      </c>
      <c r="H4195" s="6" t="s">
        <v>52397</v>
      </c>
      <c r="I4195" s="7">
        <f t="shared" si="3"/>
        <v>0.2252272514</v>
      </c>
    </row>
    <row r="4196">
      <c r="A4196" s="4">
        <v>4196.0</v>
      </c>
      <c r="B4196" s="3" t="s">
        <v>52398</v>
      </c>
      <c r="C4196" s="6" t="s">
        <v>24</v>
      </c>
      <c r="D4196" s="6" t="s">
        <v>4801</v>
      </c>
      <c r="E4196" s="3" t="str">
        <f t="shared" si="1"/>
        <v>endorse&lt;br&gt;&lt;div class="audio"&gt;[sound:endorse.mp3]&lt;/div&gt;</v>
      </c>
      <c r="F4196" s="3" t="str">
        <f t="shared" si="2"/>
        <v>(v): ủng hộ</v>
      </c>
      <c r="G4196" s="6" t="s">
        <v>52399</v>
      </c>
      <c r="H4196" s="6" t="s">
        <v>52400</v>
      </c>
      <c r="I4196" s="7">
        <f t="shared" si="3"/>
        <v>0.6228699328</v>
      </c>
    </row>
    <row r="4197">
      <c r="A4197" s="4">
        <v>4197.0</v>
      </c>
      <c r="B4197" s="3" t="s">
        <v>52401</v>
      </c>
      <c r="C4197" s="6" t="s">
        <v>24</v>
      </c>
      <c r="D4197" s="6" t="s">
        <v>52402</v>
      </c>
      <c r="E4197" s="3" t="str">
        <f t="shared" si="1"/>
        <v>haunt&lt;br&gt;&lt;div class="audio"&gt;[sound:haunt.mp3]&lt;/div&gt;</v>
      </c>
      <c r="F4197" s="3" t="str">
        <f t="shared" si="2"/>
        <v>(v): ám ảnh</v>
      </c>
      <c r="G4197" s="6" t="s">
        <v>52403</v>
      </c>
      <c r="H4197" s="6" t="s">
        <v>52404</v>
      </c>
      <c r="I4197" s="7">
        <f t="shared" si="3"/>
        <v>0.2738279994</v>
      </c>
    </row>
    <row r="4198">
      <c r="A4198" s="4">
        <v>4198.0</v>
      </c>
      <c r="B4198" s="3" t="s">
        <v>52405</v>
      </c>
      <c r="C4198" s="6" t="s">
        <v>11</v>
      </c>
      <c r="D4198" s="6" t="s">
        <v>13186</v>
      </c>
      <c r="E4198" s="3" t="str">
        <f t="shared" si="1"/>
        <v>rational&lt;br&gt;&lt;div class="audio"&gt;[sound:rational.mp3]&lt;/div&gt;</v>
      </c>
      <c r="F4198" s="3" t="str">
        <f t="shared" si="2"/>
        <v>(adj): hợp lý</v>
      </c>
      <c r="G4198" s="6" t="s">
        <v>52406</v>
      </c>
      <c r="H4198" s="6" t="s">
        <v>52407</v>
      </c>
      <c r="I4198" s="7">
        <f t="shared" si="3"/>
        <v>0.07751543007</v>
      </c>
    </row>
    <row r="4199">
      <c r="A4199" s="4">
        <v>4199.0</v>
      </c>
      <c r="B4199" s="3" t="s">
        <v>52408</v>
      </c>
      <c r="C4199" s="6" t="s">
        <v>74</v>
      </c>
      <c r="D4199" s="6" t="s">
        <v>52409</v>
      </c>
      <c r="E4199" s="3" t="str">
        <f t="shared" si="1"/>
        <v>poetry&lt;br&gt;&lt;div class="audio"&gt;[sound:poetry.mp3]&lt;/div&gt;</v>
      </c>
      <c r="F4199" s="3" t="str">
        <f t="shared" si="2"/>
        <v>(n): thơ ca</v>
      </c>
      <c r="G4199" s="6" t="s">
        <v>52410</v>
      </c>
      <c r="H4199" s="6" t="s">
        <v>52411</v>
      </c>
      <c r="I4199" s="7">
        <f t="shared" si="3"/>
        <v>0.4604965202</v>
      </c>
    </row>
    <row r="4200">
      <c r="A4200" s="4">
        <v>4200.0</v>
      </c>
      <c r="B4200" s="3" t="s">
        <v>52412</v>
      </c>
      <c r="C4200" s="6" t="s">
        <v>74</v>
      </c>
      <c r="D4200" s="6" t="s">
        <v>52413</v>
      </c>
      <c r="E4200" s="3" t="str">
        <f t="shared" si="1"/>
        <v>weed&lt;br&gt;&lt;div class="audio"&gt;[sound:weed.mp3]&lt;/div&gt;</v>
      </c>
      <c r="F4200" s="3" t="str">
        <f t="shared" si="2"/>
        <v>(n): cỏ dại</v>
      </c>
      <c r="G4200" s="6" t="s">
        <v>52414</v>
      </c>
      <c r="H4200" s="6" t="s">
        <v>52415</v>
      </c>
      <c r="I4200" s="7">
        <f t="shared" si="3"/>
        <v>0.249688186</v>
      </c>
    </row>
    <row r="4201">
      <c r="A4201" s="4">
        <v>4201.0</v>
      </c>
      <c r="B4201" s="3" t="s">
        <v>52416</v>
      </c>
      <c r="C4201" s="6" t="s">
        <v>74</v>
      </c>
      <c r="D4201" s="6" t="s">
        <v>4069</v>
      </c>
      <c r="E4201" s="3" t="str">
        <f t="shared" si="1"/>
        <v>bicycle&lt;br&gt;&lt;div class="audio"&gt;[sound:bicycle.mp3]&lt;/div&gt;</v>
      </c>
      <c r="F4201" s="3" t="str">
        <f t="shared" si="2"/>
        <v>(n): xe đạp</v>
      </c>
      <c r="G4201" s="6" t="s">
        <v>52417</v>
      </c>
      <c r="H4201" s="6" t="s">
        <v>52418</v>
      </c>
      <c r="I4201" s="7">
        <f t="shared" si="3"/>
        <v>0.5710022205</v>
      </c>
    </row>
    <row r="4202">
      <c r="A4202" s="4">
        <v>4202.0</v>
      </c>
      <c r="B4202" s="3" t="s">
        <v>52419</v>
      </c>
      <c r="C4202" s="6" t="s">
        <v>11</v>
      </c>
      <c r="D4202" s="6" t="s">
        <v>13186</v>
      </c>
      <c r="E4202" s="3" t="str">
        <f t="shared" si="1"/>
        <v>logical&lt;br&gt;&lt;div class="audio"&gt;[sound:logical.mp3]&lt;/div&gt;</v>
      </c>
      <c r="F4202" s="3" t="str">
        <f t="shared" si="2"/>
        <v>(adj): hợp lý</v>
      </c>
      <c r="G4202" s="6" t="s">
        <v>52420</v>
      </c>
      <c r="H4202" s="6" t="s">
        <v>52421</v>
      </c>
      <c r="I4202" s="7">
        <f t="shared" si="3"/>
        <v>0.4350820151</v>
      </c>
    </row>
    <row r="4203">
      <c r="A4203" s="4">
        <v>4203.0</v>
      </c>
      <c r="B4203" s="3" t="s">
        <v>52422</v>
      </c>
      <c r="C4203" s="6" t="s">
        <v>11</v>
      </c>
      <c r="D4203" s="6" t="s">
        <v>47515</v>
      </c>
      <c r="E4203" s="3" t="str">
        <f t="shared" si="1"/>
        <v>approximate&lt;br&gt;&lt;div class="audio"&gt;[sound:approximate.mp3]&lt;/div&gt;</v>
      </c>
      <c r="F4203" s="3" t="str">
        <f t="shared" si="2"/>
        <v>(adj): xấp xỉ</v>
      </c>
      <c r="G4203" s="6" t="s">
        <v>52423</v>
      </c>
      <c r="H4203" s="6" t="s">
        <v>52424</v>
      </c>
      <c r="I4203" s="7">
        <f t="shared" si="3"/>
        <v>0.6442409996</v>
      </c>
    </row>
    <row r="4204">
      <c r="A4204" s="4">
        <v>4204.0</v>
      </c>
      <c r="B4204" s="3" t="s">
        <v>52425</v>
      </c>
      <c r="C4204" s="6" t="s">
        <v>74</v>
      </c>
      <c r="D4204" s="6" t="s">
        <v>52426</v>
      </c>
      <c r="E4204" s="3" t="str">
        <f t="shared" si="1"/>
        <v>carriage&lt;br&gt;&lt;div class="audio"&gt;[sound:carriage.mp3]&lt;/div&gt;</v>
      </c>
      <c r="F4204" s="3" t="str">
        <f t="shared" si="2"/>
        <v>(n): toa xe</v>
      </c>
      <c r="G4204" s="6" t="s">
        <v>52427</v>
      </c>
      <c r="H4204" s="6" t="s">
        <v>52428</v>
      </c>
      <c r="I4204" s="7">
        <f t="shared" si="3"/>
        <v>0.9596283662</v>
      </c>
    </row>
    <row r="4205">
      <c r="A4205" s="4">
        <v>4205.0</v>
      </c>
      <c r="B4205" s="3" t="s">
        <v>52429</v>
      </c>
      <c r="C4205" s="6" t="s">
        <v>74</v>
      </c>
      <c r="D4205" s="6" t="s">
        <v>17065</v>
      </c>
      <c r="E4205" s="3" t="str">
        <f t="shared" si="1"/>
        <v>inhabitant&lt;br&gt;&lt;div class="audio"&gt;[sound:inhabitant.mp3]&lt;/div&gt;</v>
      </c>
      <c r="F4205" s="3" t="str">
        <f t="shared" si="2"/>
        <v>(n): cư dân</v>
      </c>
      <c r="G4205" s="6" t="s">
        <v>52430</v>
      </c>
      <c r="H4205" s="6" t="s">
        <v>52431</v>
      </c>
      <c r="I4205" s="7">
        <f t="shared" si="3"/>
        <v>0.5425653465</v>
      </c>
    </row>
    <row r="4206">
      <c r="A4206" s="4">
        <v>4206.0</v>
      </c>
      <c r="B4206" s="3" t="s">
        <v>52432</v>
      </c>
      <c r="C4206" s="6" t="s">
        <v>11</v>
      </c>
      <c r="D4206" s="6" t="s">
        <v>15129</v>
      </c>
      <c r="E4206" s="3" t="str">
        <f t="shared" si="1"/>
        <v>fierce&lt;br&gt;&lt;div class="audio"&gt;[sound:fierce.mp3]&lt;/div&gt;</v>
      </c>
      <c r="F4206" s="3" t="str">
        <f t="shared" si="2"/>
        <v>(adj): dữ dội</v>
      </c>
      <c r="G4206" s="6" t="s">
        <v>52433</v>
      </c>
      <c r="H4206" s="6" t="s">
        <v>52434</v>
      </c>
      <c r="I4206" s="7">
        <f t="shared" si="3"/>
        <v>0.5604521316</v>
      </c>
    </row>
    <row r="4207">
      <c r="A4207" s="4">
        <v>4207.0</v>
      </c>
      <c r="B4207" s="3" t="s">
        <v>52435</v>
      </c>
      <c r="C4207" s="6" t="s">
        <v>74</v>
      </c>
      <c r="D4207" s="6" t="s">
        <v>52436</v>
      </c>
      <c r="E4207" s="3" t="str">
        <f t="shared" si="1"/>
        <v>layout&lt;br&gt;&lt;div class="audio"&gt;[sound:layout.mp3]&lt;/div&gt;</v>
      </c>
      <c r="F4207" s="3" t="str">
        <f t="shared" si="2"/>
        <v>(n): bố cục</v>
      </c>
      <c r="G4207" s="6" t="s">
        <v>52437</v>
      </c>
      <c r="H4207" s="6" t="s">
        <v>52438</v>
      </c>
      <c r="I4207" s="7">
        <f t="shared" si="3"/>
        <v>0.5718929509</v>
      </c>
    </row>
    <row r="4208">
      <c r="A4208" s="4">
        <v>4208.0</v>
      </c>
      <c r="B4208" s="3" t="s">
        <v>52439</v>
      </c>
      <c r="C4208" s="6" t="s">
        <v>74</v>
      </c>
      <c r="D4208" s="6" t="s">
        <v>6274</v>
      </c>
      <c r="E4208" s="3" t="str">
        <f t="shared" si="1"/>
        <v>odds&lt;br&gt;&lt;div class="audio"&gt;[sound:odds.mp3]&lt;/div&gt;</v>
      </c>
      <c r="F4208" s="3" t="str">
        <f t="shared" si="2"/>
        <v>(n): cơ hội</v>
      </c>
      <c r="G4208" s="6" t="s">
        <v>52440</v>
      </c>
      <c r="H4208" s="6" t="s">
        <v>52441</v>
      </c>
      <c r="I4208" s="7">
        <f t="shared" si="3"/>
        <v>0.1450579337</v>
      </c>
    </row>
    <row r="4209">
      <c r="A4209" s="4">
        <v>4209.0</v>
      </c>
      <c r="B4209" s="3" t="s">
        <v>52442</v>
      </c>
      <c r="C4209" s="6" t="s">
        <v>74</v>
      </c>
      <c r="D4209" s="6" t="s">
        <v>23061</v>
      </c>
      <c r="E4209" s="3" t="str">
        <f t="shared" si="1"/>
        <v>radiation&lt;br&gt;&lt;div class="audio"&gt;[sound:radiation.mp3]&lt;/div&gt;</v>
      </c>
      <c r="F4209" s="3" t="str">
        <f t="shared" si="2"/>
        <v>(n): bức xạ</v>
      </c>
      <c r="G4209" s="6" t="s">
        <v>52443</v>
      </c>
      <c r="H4209" s="6" t="s">
        <v>52444</v>
      </c>
      <c r="I4209" s="7">
        <f t="shared" si="3"/>
        <v>0.5552374592</v>
      </c>
    </row>
    <row r="4210">
      <c r="A4210" s="4">
        <v>4210.0</v>
      </c>
      <c r="B4210" s="3" t="s">
        <v>52445</v>
      </c>
      <c r="C4210" s="6" t="s">
        <v>74</v>
      </c>
      <c r="D4210" s="8" t="s">
        <v>52446</v>
      </c>
      <c r="E4210" s="3" t="str">
        <f t="shared" si="1"/>
        <v>skull&lt;br&gt;&lt;div class="audio"&gt;[sound:skull.mp3]&lt;/div&gt;</v>
      </c>
      <c r="F4210" s="3" t="str">
        <f t="shared" si="2"/>
        <v>(n): hộp sọ</v>
      </c>
      <c r="G4210" s="8" t="s">
        <v>52447</v>
      </c>
      <c r="H4210" s="8" t="s">
        <v>52448</v>
      </c>
      <c r="I4210" s="7">
        <f t="shared" si="3"/>
        <v>0.1395982367</v>
      </c>
    </row>
    <row r="4211">
      <c r="A4211" s="4">
        <v>4211.0</v>
      </c>
      <c r="B4211" s="3" t="s">
        <v>52449</v>
      </c>
      <c r="C4211" s="6" t="s">
        <v>74</v>
      </c>
      <c r="D4211" s="6" t="s">
        <v>52450</v>
      </c>
      <c r="E4211" s="3" t="str">
        <f t="shared" si="1"/>
        <v>tribe&lt;br&gt;&lt;div class="audio"&gt;[sound:tribe.mp3]&lt;/div&gt;</v>
      </c>
      <c r="F4211" s="3" t="str">
        <f t="shared" si="2"/>
        <v>(n): bộ lạc</v>
      </c>
      <c r="G4211" s="6" t="s">
        <v>52451</v>
      </c>
      <c r="H4211" s="6" t="s">
        <v>52452</v>
      </c>
      <c r="I4211" s="7">
        <f t="shared" si="3"/>
        <v>0.7774541295</v>
      </c>
    </row>
    <row r="4212">
      <c r="A4212" s="4">
        <v>4212.0</v>
      </c>
      <c r="B4212" s="3" t="s">
        <v>52453</v>
      </c>
      <c r="C4212" s="6" t="s">
        <v>24</v>
      </c>
      <c r="D4212" s="6" t="s">
        <v>20426</v>
      </c>
      <c r="E4212" s="3" t="str">
        <f t="shared" si="1"/>
        <v>reside&lt;br&gt;&lt;div class="audio"&gt;[sound:reside.mp3]&lt;/div&gt;</v>
      </c>
      <c r="F4212" s="3" t="str">
        <f t="shared" si="2"/>
        <v>(v): cư trú</v>
      </c>
      <c r="G4212" s="6" t="s">
        <v>52454</v>
      </c>
      <c r="H4212" s="6" t="s">
        <v>52455</v>
      </c>
      <c r="I4212" s="7">
        <f t="shared" si="3"/>
        <v>0.3433917106</v>
      </c>
    </row>
    <row r="4213">
      <c r="A4213" s="4">
        <v>4213.0</v>
      </c>
      <c r="B4213" s="3" t="s">
        <v>52456</v>
      </c>
      <c r="C4213" s="6" t="s">
        <v>11</v>
      </c>
      <c r="D4213" s="6" t="s">
        <v>2617</v>
      </c>
      <c r="E4213" s="3" t="str">
        <f t="shared" si="1"/>
        <v>elementary&lt;br&gt;&lt;div class="audio"&gt;[sound:elementary.mp3]&lt;/div&gt;</v>
      </c>
      <c r="F4213" s="3" t="str">
        <f t="shared" si="2"/>
        <v>(adj): cơ bản</v>
      </c>
      <c r="G4213" s="6" t="s">
        <v>52457</v>
      </c>
      <c r="H4213" s="6" t="s">
        <v>52458</v>
      </c>
      <c r="I4213" s="7">
        <f t="shared" si="3"/>
        <v>0.5562005986</v>
      </c>
    </row>
    <row r="4214">
      <c r="A4214" s="4">
        <v>4214.0</v>
      </c>
      <c r="B4214" s="3" t="s">
        <v>52459</v>
      </c>
      <c r="C4214" s="6" t="s">
        <v>24</v>
      </c>
      <c r="D4214" s="6" t="s">
        <v>9957</v>
      </c>
      <c r="E4214" s="3" t="str">
        <f t="shared" si="1"/>
        <v>inflict&lt;br&gt;&lt;div class="audio"&gt;[sound:inflict.mp3]&lt;/div&gt;</v>
      </c>
      <c r="F4214" s="3" t="str">
        <f t="shared" si="2"/>
        <v>(v): gây ra</v>
      </c>
      <c r="G4214" s="6" t="s">
        <v>52460</v>
      </c>
      <c r="H4214" s="6" t="s">
        <v>52461</v>
      </c>
      <c r="I4214" s="7">
        <f t="shared" si="3"/>
        <v>0.8656324959</v>
      </c>
    </row>
    <row r="4215">
      <c r="A4215" s="4">
        <v>4215.0</v>
      </c>
      <c r="B4215" s="3" t="s">
        <v>52462</v>
      </c>
      <c r="C4215" s="6" t="s">
        <v>11</v>
      </c>
      <c r="D4215" s="6" t="s">
        <v>52463</v>
      </c>
      <c r="E4215" s="3" t="str">
        <f t="shared" si="1"/>
        <v>endless&lt;br&gt;&lt;div class="audio"&gt;[sound:endless.mp3]&lt;/div&gt;</v>
      </c>
      <c r="F4215" s="3" t="str">
        <f t="shared" si="2"/>
        <v>(adj): vô tận</v>
      </c>
      <c r="G4215" s="6" t="s">
        <v>52464</v>
      </c>
      <c r="H4215" s="6" t="s">
        <v>52465</v>
      </c>
      <c r="I4215" s="7">
        <f t="shared" si="3"/>
        <v>0.8202004203</v>
      </c>
    </row>
    <row r="4216">
      <c r="A4216" s="4">
        <v>4216.0</v>
      </c>
      <c r="B4216" s="3" t="s">
        <v>52466</v>
      </c>
      <c r="C4216" s="6" t="s">
        <v>24</v>
      </c>
      <c r="D4216" s="6" t="s">
        <v>26448</v>
      </c>
      <c r="E4216" s="3" t="str">
        <f t="shared" si="1"/>
        <v>fry&lt;br&gt;&lt;div class="audio"&gt;[sound:fry.mp3]&lt;/div&gt;</v>
      </c>
      <c r="F4216" s="3" t="str">
        <f t="shared" si="2"/>
        <v>(v): chiên</v>
      </c>
      <c r="G4216" s="6" t="s">
        <v>52467</v>
      </c>
      <c r="H4216" s="6" t="s">
        <v>52468</v>
      </c>
      <c r="I4216" s="7">
        <f t="shared" si="3"/>
        <v>0.2425886935</v>
      </c>
    </row>
    <row r="4217">
      <c r="A4217" s="4">
        <v>4217.0</v>
      </c>
      <c r="B4217" s="3" t="s">
        <v>52469</v>
      </c>
      <c r="C4217" s="6" t="s">
        <v>11</v>
      </c>
      <c r="D4217" s="6" t="s">
        <v>10396</v>
      </c>
      <c r="E4217" s="3" t="str">
        <f t="shared" si="1"/>
        <v>vague&lt;br&gt;&lt;div class="audio"&gt;[sound:vague.mp3]&lt;/div&gt;</v>
      </c>
      <c r="F4217" s="3" t="str">
        <f t="shared" si="2"/>
        <v>(adj): mơ hồ</v>
      </c>
      <c r="G4217" s="6" t="s">
        <v>52470</v>
      </c>
      <c r="H4217" s="6" t="s">
        <v>52471</v>
      </c>
      <c r="I4217" s="7">
        <f t="shared" si="3"/>
        <v>0.1598087659</v>
      </c>
    </row>
    <row r="4218">
      <c r="A4218" s="4">
        <v>4218.0</v>
      </c>
      <c r="B4218" s="3" t="s">
        <v>52472</v>
      </c>
      <c r="C4218" s="6" t="s">
        <v>74</v>
      </c>
      <c r="D4218" s="6" t="s">
        <v>52473</v>
      </c>
      <c r="E4218" s="3" t="str">
        <f t="shared" si="1"/>
        <v>umbrella&lt;br&gt;&lt;div class="audio"&gt;[sound:umbrella.mp3]&lt;/div&gt;</v>
      </c>
      <c r="F4218" s="3" t="str">
        <f t="shared" si="2"/>
        <v>(n): cái ô</v>
      </c>
      <c r="G4218" s="6" t="s">
        <v>52474</v>
      </c>
      <c r="H4218" s="6" t="s">
        <v>52475</v>
      </c>
      <c r="I4218" s="7">
        <f t="shared" si="3"/>
        <v>0.4587903327</v>
      </c>
    </row>
    <row r="4219">
      <c r="A4219" s="4">
        <v>4219.0</v>
      </c>
      <c r="B4219" s="3" t="s">
        <v>52476</v>
      </c>
      <c r="C4219" s="6" t="s">
        <v>24</v>
      </c>
      <c r="D4219" s="6" t="s">
        <v>18581</v>
      </c>
      <c r="E4219" s="3" t="str">
        <f t="shared" si="1"/>
        <v>bake&lt;br&gt;&lt;div class="audio"&gt;[sound:bake.mp3]&lt;/div&gt;</v>
      </c>
      <c r="F4219" s="3" t="str">
        <f t="shared" si="2"/>
        <v>(v): nướng</v>
      </c>
      <c r="G4219" s="6" t="s">
        <v>52477</v>
      </c>
      <c r="H4219" s="6" t="s">
        <v>52478</v>
      </c>
      <c r="I4219" s="7">
        <f t="shared" si="3"/>
        <v>0.9786865419</v>
      </c>
    </row>
    <row r="4220">
      <c r="A4220" s="4">
        <v>4220.0</v>
      </c>
      <c r="B4220" s="3" t="s">
        <v>52479</v>
      </c>
      <c r="C4220" s="6" t="s">
        <v>11</v>
      </c>
      <c r="D4220" s="6" t="s">
        <v>52480</v>
      </c>
      <c r="E4220" s="3" t="str">
        <f t="shared" si="1"/>
        <v>explosive&lt;br&gt;&lt;div class="audio"&gt;[sound:explosive.mp3]&lt;/div&gt;</v>
      </c>
      <c r="F4220" s="3" t="str">
        <f t="shared" si="2"/>
        <v>(adj): dễ nổ</v>
      </c>
      <c r="G4220" s="6" t="s">
        <v>52481</v>
      </c>
      <c r="H4220" s="6" t="s">
        <v>52482</v>
      </c>
      <c r="I4220" s="7">
        <f t="shared" si="3"/>
        <v>0.1411368392</v>
      </c>
    </row>
    <row r="4221">
      <c r="A4221" s="4">
        <v>4221.0</v>
      </c>
      <c r="B4221" s="3" t="s">
        <v>39276</v>
      </c>
      <c r="C4221" s="6" t="s">
        <v>74</v>
      </c>
      <c r="D4221" s="6" t="s">
        <v>52483</v>
      </c>
      <c r="E4221" s="3" t="str">
        <f t="shared" si="1"/>
        <v>tin&lt;br&gt;&lt;div class="audio"&gt;[sound:tin.mp3]&lt;/div&gt;</v>
      </c>
      <c r="F4221" s="3" t="str">
        <f t="shared" si="2"/>
        <v>(n): thiếc</v>
      </c>
      <c r="G4221" s="6" t="s">
        <v>52484</v>
      </c>
      <c r="H4221" s="6" t="s">
        <v>52485</v>
      </c>
      <c r="I4221" s="7">
        <f t="shared" si="3"/>
        <v>0.9442867396</v>
      </c>
    </row>
    <row r="4222">
      <c r="A4222" s="4">
        <v>4222.0</v>
      </c>
      <c r="B4222" s="3" t="s">
        <v>52486</v>
      </c>
      <c r="C4222" s="6" t="s">
        <v>74</v>
      </c>
      <c r="D4222" s="6" t="s">
        <v>52487</v>
      </c>
      <c r="E4222" s="3" t="str">
        <f t="shared" si="1"/>
        <v>lion&lt;br&gt;&lt;div class="audio"&gt;[sound:lion.mp3]&lt;/div&gt;</v>
      </c>
      <c r="F4222" s="3" t="str">
        <f t="shared" si="2"/>
        <v>(n): sư tử</v>
      </c>
      <c r="G4222" s="6" t="s">
        <v>52488</v>
      </c>
      <c r="H4222" s="6" t="s">
        <v>52489</v>
      </c>
      <c r="I4222" s="7">
        <f t="shared" si="3"/>
        <v>0.3060174412</v>
      </c>
    </row>
    <row r="4223">
      <c r="A4223" s="4">
        <v>4223.0</v>
      </c>
      <c r="B4223" s="3" t="s">
        <v>52490</v>
      </c>
      <c r="C4223" s="6" t="s">
        <v>11</v>
      </c>
      <c r="D4223" s="6" t="s">
        <v>4036</v>
      </c>
      <c r="E4223" s="3" t="str">
        <f t="shared" si="1"/>
        <v>noisy&lt;br&gt;&lt;div class="audio"&gt;[sound:noisy.mp3]&lt;/div&gt;</v>
      </c>
      <c r="F4223" s="3" t="str">
        <f t="shared" si="2"/>
        <v>(adj): ồn ào</v>
      </c>
      <c r="G4223" s="6" t="s">
        <v>52491</v>
      </c>
      <c r="H4223" s="6" t="s">
        <v>52492</v>
      </c>
      <c r="I4223" s="7">
        <f t="shared" si="3"/>
        <v>0.1871642787</v>
      </c>
    </row>
    <row r="4224">
      <c r="A4224" s="4">
        <v>4224.0</v>
      </c>
      <c r="B4224" s="3" t="s">
        <v>52493</v>
      </c>
      <c r="C4224" s="6" t="s">
        <v>24</v>
      </c>
      <c r="D4224" s="6" t="s">
        <v>234</v>
      </c>
      <c r="E4224" s="3" t="str">
        <f t="shared" si="1"/>
        <v>resemble&lt;br&gt;&lt;div class="audio"&gt;[sound:resemble.mp3]&lt;/div&gt;</v>
      </c>
      <c r="F4224" s="3" t="str">
        <f t="shared" si="2"/>
        <v>(v): giống</v>
      </c>
      <c r="G4224" s="6" t="s">
        <v>52494</v>
      </c>
      <c r="H4224" s="6" t="s">
        <v>52495</v>
      </c>
      <c r="I4224" s="7">
        <f t="shared" si="3"/>
        <v>0.4400706576</v>
      </c>
    </row>
    <row r="4225">
      <c r="A4225" s="4">
        <v>4225.0</v>
      </c>
      <c r="B4225" s="3" t="s">
        <v>52496</v>
      </c>
      <c r="C4225" s="6" t="s">
        <v>74</v>
      </c>
      <c r="D4225" s="6" t="s">
        <v>1603</v>
      </c>
      <c r="E4225" s="3" t="str">
        <f t="shared" si="1"/>
        <v>auto&lt;br&gt;&lt;div class="audio"&gt;[sound:auto.mp3]&lt;/div&gt;</v>
      </c>
      <c r="F4225" s="3" t="str">
        <f t="shared" si="2"/>
        <v>(n): ô tô</v>
      </c>
      <c r="G4225" s="6" t="s">
        <v>52497</v>
      </c>
      <c r="H4225" s="6" t="s">
        <v>52498</v>
      </c>
      <c r="I4225" s="7">
        <f t="shared" si="3"/>
        <v>0.1162848161</v>
      </c>
    </row>
    <row r="4226">
      <c r="A4226" s="4">
        <v>4226.0</v>
      </c>
      <c r="B4226" s="3" t="s">
        <v>52499</v>
      </c>
      <c r="C4226" s="6" t="s">
        <v>24</v>
      </c>
      <c r="D4226" s="6" t="s">
        <v>52500</v>
      </c>
      <c r="E4226" s="3" t="str">
        <f t="shared" si="1"/>
        <v>toss&lt;br&gt;&lt;div class="audio"&gt;[sound:toss.mp3]&lt;/div&gt;</v>
      </c>
      <c r="F4226" s="3" t="str">
        <f t="shared" si="2"/>
        <v>(v): tung</v>
      </c>
      <c r="G4226" s="6" t="s">
        <v>52501</v>
      </c>
      <c r="H4226" s="6" t="s">
        <v>52502</v>
      </c>
      <c r="I4226" s="7">
        <f t="shared" si="3"/>
        <v>0.436864968</v>
      </c>
    </row>
    <row r="4227">
      <c r="A4227" s="4">
        <v>4227.0</v>
      </c>
      <c r="B4227" s="3" t="s">
        <v>52503</v>
      </c>
      <c r="C4227" s="6" t="s">
        <v>74</v>
      </c>
      <c r="D4227" s="6" t="s">
        <v>12159</v>
      </c>
      <c r="E4227" s="3" t="str">
        <f t="shared" si="1"/>
        <v>gasoline&lt;br&gt;&lt;div class="audio"&gt;[sound:gasoline.mp3]&lt;/div&gt;</v>
      </c>
      <c r="F4227" s="3" t="str">
        <f t="shared" si="2"/>
        <v>(n): xăng</v>
      </c>
      <c r="G4227" s="6" t="s">
        <v>52504</v>
      </c>
      <c r="H4227" s="6" t="s">
        <v>52505</v>
      </c>
      <c r="I4227" s="7">
        <f t="shared" si="3"/>
        <v>0.234098007</v>
      </c>
    </row>
    <row r="4228">
      <c r="A4228" s="4">
        <v>4228.0</v>
      </c>
      <c r="B4228" s="3" t="s">
        <v>52506</v>
      </c>
      <c r="C4228" s="6" t="s">
        <v>11</v>
      </c>
      <c r="D4228" s="6" t="s">
        <v>28800</v>
      </c>
      <c r="E4228" s="3" t="str">
        <f t="shared" si="1"/>
        <v>pointed&lt;br&gt;&lt;div class="audio"&gt;[sound:pointed.mp3]&lt;/div&gt;</v>
      </c>
      <c r="F4228" s="3" t="str">
        <f t="shared" si="2"/>
        <v>(adj): nhọn</v>
      </c>
      <c r="G4228" s="6" t="s">
        <v>52507</v>
      </c>
      <c r="H4228" s="6" t="s">
        <v>52508</v>
      </c>
      <c r="I4228" s="7">
        <f t="shared" si="3"/>
        <v>0.6244498477</v>
      </c>
    </row>
    <row r="4229">
      <c r="A4229" s="4">
        <v>4229.0</v>
      </c>
      <c r="B4229" s="3" t="s">
        <v>52509</v>
      </c>
      <c r="C4229" s="6" t="s">
        <v>74</v>
      </c>
      <c r="D4229" s="6" t="s">
        <v>15367</v>
      </c>
      <c r="E4229" s="3" t="str">
        <f t="shared" si="1"/>
        <v>lobby&lt;br&gt;&lt;div class="audio"&gt;[sound:lobby.mp3]&lt;/div&gt;</v>
      </c>
      <c r="F4229" s="3" t="str">
        <f t="shared" si="2"/>
        <v>(n): sảnh</v>
      </c>
      <c r="G4229" s="6" t="s">
        <v>52510</v>
      </c>
      <c r="H4229" s="6" t="s">
        <v>52511</v>
      </c>
      <c r="I4229" s="7">
        <f t="shared" si="3"/>
        <v>0.5888522449</v>
      </c>
    </row>
    <row r="4230">
      <c r="A4230" s="4">
        <v>4230.0</v>
      </c>
      <c r="B4230" s="3" t="s">
        <v>52512</v>
      </c>
      <c r="C4230" s="6" t="s">
        <v>24</v>
      </c>
      <c r="D4230" s="6" t="s">
        <v>7487</v>
      </c>
      <c r="E4230" s="3" t="str">
        <f t="shared" si="1"/>
        <v>rotate&lt;br&gt;&lt;div class="audio"&gt;[sound:rotate.mp3]&lt;/div&gt;</v>
      </c>
      <c r="F4230" s="3" t="str">
        <f t="shared" si="2"/>
        <v>(v): xoay</v>
      </c>
      <c r="G4230" s="6" t="s">
        <v>52513</v>
      </c>
      <c r="H4230" s="6" t="s">
        <v>52514</v>
      </c>
      <c r="I4230" s="7">
        <f t="shared" si="3"/>
        <v>0.2604065277</v>
      </c>
    </row>
    <row r="4231">
      <c r="A4231" s="4">
        <v>4231.0</v>
      </c>
      <c r="B4231" s="3" t="s">
        <v>52515</v>
      </c>
      <c r="C4231" s="6" t="s">
        <v>24</v>
      </c>
      <c r="D4231" s="8" t="s">
        <v>23849</v>
      </c>
      <c r="E4231" s="3" t="str">
        <f t="shared" si="1"/>
        <v>sew&lt;br&gt;&lt;div class="audio"&gt;[sound:sew.mp3]&lt;/div&gt;</v>
      </c>
      <c r="F4231" s="3" t="str">
        <f t="shared" si="2"/>
        <v>(v): khâu</v>
      </c>
      <c r="G4231" s="8" t="s">
        <v>52516</v>
      </c>
      <c r="H4231" s="8" t="s">
        <v>52517</v>
      </c>
      <c r="I4231" s="7">
        <f t="shared" si="3"/>
        <v>0.08328178747</v>
      </c>
    </row>
    <row r="4232">
      <c r="A4232" s="4">
        <v>4232.0</v>
      </c>
      <c r="B4232" s="3" t="s">
        <v>52518</v>
      </c>
      <c r="C4232" s="6" t="s">
        <v>74</v>
      </c>
      <c r="D4232" s="6" t="s">
        <v>31952</v>
      </c>
      <c r="E4232" s="3" t="str">
        <f t="shared" si="1"/>
        <v>lung&lt;br&gt;&lt;div class="audio"&gt;[sound:lung.mp3]&lt;/div&gt;</v>
      </c>
      <c r="F4232" s="3" t="str">
        <f t="shared" si="2"/>
        <v>(n): phổi</v>
      </c>
      <c r="G4232" s="6" t="s">
        <v>52519</v>
      </c>
      <c r="H4232" s="6" t="s">
        <v>52520</v>
      </c>
      <c r="I4232" s="7">
        <f t="shared" si="3"/>
        <v>0.977859655</v>
      </c>
    </row>
    <row r="4233">
      <c r="A4233" s="4">
        <v>4233.0</v>
      </c>
      <c r="B4233" s="3" t="s">
        <v>52521</v>
      </c>
      <c r="C4233" s="6" t="s">
        <v>24</v>
      </c>
      <c r="D4233" s="8" t="s">
        <v>35674</v>
      </c>
      <c r="E4233" s="3" t="str">
        <f t="shared" si="1"/>
        <v>soak&lt;br&gt;&lt;div class="audio"&gt;[sound:soak.mp3]&lt;/div&gt;</v>
      </c>
      <c r="F4233" s="3" t="str">
        <f t="shared" si="2"/>
        <v>(v): ngâm</v>
      </c>
      <c r="G4233" s="8" t="s">
        <v>52522</v>
      </c>
      <c r="H4233" s="8" t="s">
        <v>52523</v>
      </c>
      <c r="I4233" s="7">
        <f t="shared" si="3"/>
        <v>0.562337667</v>
      </c>
    </row>
    <row r="4234">
      <c r="A4234" s="4">
        <v>4234.0</v>
      </c>
      <c r="B4234" s="3" t="s">
        <v>52524</v>
      </c>
      <c r="C4234" s="6" t="s">
        <v>74</v>
      </c>
      <c r="D4234" s="6" t="s">
        <v>16277</v>
      </c>
      <c r="E4234" s="3" t="str">
        <f t="shared" si="1"/>
        <v>acid&lt;br&gt;&lt;div class="audio"&gt;[sound:acid.mp3]&lt;/div&gt;</v>
      </c>
      <c r="F4234" s="3" t="str">
        <f t="shared" si="2"/>
        <v>(n): axit</v>
      </c>
      <c r="G4234" s="6" t="s">
        <v>52525</v>
      </c>
      <c r="H4234" s="6" t="s">
        <v>52526</v>
      </c>
      <c r="I4234" s="7">
        <f t="shared" si="3"/>
        <v>0.6021476303</v>
      </c>
    </row>
    <row r="4235">
      <c r="A4235" s="4">
        <v>4235.0</v>
      </c>
      <c r="B4235" s="3" t="s">
        <v>52527</v>
      </c>
      <c r="C4235" s="6" t="s">
        <v>11</v>
      </c>
      <c r="D4235" s="8" t="s">
        <v>18016</v>
      </c>
      <c r="E4235" s="3" t="str">
        <f t="shared" si="1"/>
        <v>sticky&lt;br&gt;&lt;div class="audio"&gt;[sound:sticky.mp3]&lt;/div&gt;</v>
      </c>
      <c r="F4235" s="3" t="str">
        <f t="shared" si="2"/>
        <v>(adj): dính</v>
      </c>
      <c r="G4235" s="8" t="s">
        <v>52528</v>
      </c>
      <c r="H4235" s="8" t="s">
        <v>52529</v>
      </c>
      <c r="I4235" s="7">
        <f t="shared" si="3"/>
        <v>0.6751324276</v>
      </c>
    </row>
    <row r="4236">
      <c r="A4236" s="4">
        <v>4236.0</v>
      </c>
      <c r="B4236" s="3" t="s">
        <v>52530</v>
      </c>
      <c r="C4236" s="6" t="s">
        <v>24</v>
      </c>
      <c r="D4236" s="6" t="s">
        <v>7056</v>
      </c>
      <c r="E4236" s="3" t="str">
        <f t="shared" si="1"/>
        <v>leap&lt;br&gt;&lt;div class="audio"&gt;[sound:leap.mp3]&lt;/div&gt;</v>
      </c>
      <c r="F4236" s="3" t="str">
        <f t="shared" si="2"/>
        <v>(v): nhảy</v>
      </c>
      <c r="G4236" s="6" t="s">
        <v>52531</v>
      </c>
      <c r="H4236" s="6" t="s">
        <v>52532</v>
      </c>
      <c r="I4236" s="7">
        <f t="shared" si="3"/>
        <v>0.9658764832</v>
      </c>
    </row>
    <row r="4237">
      <c r="A4237" s="4">
        <v>4237.0</v>
      </c>
      <c r="B4237" s="3" t="s">
        <v>52533</v>
      </c>
      <c r="C4237" s="6" t="s">
        <v>74</v>
      </c>
      <c r="D4237" s="6" t="s">
        <v>43497</v>
      </c>
      <c r="E4237" s="3" t="str">
        <f t="shared" si="1"/>
        <v>warrant&lt;br&gt;&lt;div class="audio"&gt;[sound:warrant.mp3]&lt;/div&gt;</v>
      </c>
      <c r="F4237" s="3" t="str">
        <f t="shared" si="2"/>
        <v>(n): lệnh</v>
      </c>
      <c r="G4237" s="6" t="s">
        <v>52534</v>
      </c>
      <c r="H4237" s="6" t="s">
        <v>52535</v>
      </c>
      <c r="I4237" s="7">
        <f t="shared" si="3"/>
        <v>0.8979195885</v>
      </c>
    </row>
    <row r="4238">
      <c r="A4238" s="4">
        <v>4238.0</v>
      </c>
      <c r="B4238" s="3" t="s">
        <v>52536</v>
      </c>
      <c r="C4238" s="6" t="s">
        <v>11</v>
      </c>
      <c r="D4238" s="6" t="s">
        <v>27242</v>
      </c>
      <c r="E4238" s="3" t="str">
        <f t="shared" si="1"/>
        <v>bitter&lt;br&gt;&lt;div class="audio"&gt;[sound:bitter.mp3]&lt;/div&gt;</v>
      </c>
      <c r="F4238" s="3" t="str">
        <f t="shared" si="2"/>
        <v>(adj): đắng</v>
      </c>
      <c r="G4238" s="6" t="s">
        <v>52537</v>
      </c>
      <c r="H4238" s="6" t="s">
        <v>52538</v>
      </c>
      <c r="I4238" s="7">
        <f t="shared" si="3"/>
        <v>0.1004065277</v>
      </c>
    </row>
    <row r="4239">
      <c r="A4239" s="4">
        <v>4239.0</v>
      </c>
      <c r="B4239" s="3" t="s">
        <v>52539</v>
      </c>
      <c r="C4239" s="6" t="s">
        <v>74</v>
      </c>
      <c r="D4239" s="8" t="s">
        <v>52540</v>
      </c>
      <c r="E4239" s="3" t="str">
        <f t="shared" si="1"/>
        <v>spider&lt;br&gt;&lt;div class="audio"&gt;[sound:spider.mp3]&lt;/div&gt;</v>
      </c>
      <c r="F4239" s="3" t="str">
        <f t="shared" si="2"/>
        <v>(n): nhện</v>
      </c>
      <c r="G4239" s="8" t="s">
        <v>52541</v>
      </c>
      <c r="H4239" s="8" t="s">
        <v>52542</v>
      </c>
      <c r="I4239" s="7">
        <f t="shared" si="3"/>
        <v>0.7190532475</v>
      </c>
    </row>
    <row r="4240">
      <c r="A4240" s="4">
        <v>4240.0</v>
      </c>
      <c r="B4240" s="3" t="s">
        <v>52543</v>
      </c>
      <c r="C4240" s="6" t="s">
        <v>24</v>
      </c>
      <c r="D4240" s="8" t="s">
        <v>52544</v>
      </c>
      <c r="E4240" s="3" t="str">
        <f t="shared" si="1"/>
        <v>slash&lt;br&gt;&lt;div class="audio"&gt;[sound:slash.mp3]&lt;/div&gt;</v>
      </c>
      <c r="F4240" s="3" t="str">
        <f t="shared" si="2"/>
        <v>(v): cắt giảm</v>
      </c>
      <c r="G4240" s="8" t="s">
        <v>52545</v>
      </c>
      <c r="H4240" s="8" t="s">
        <v>52546</v>
      </c>
      <c r="I4240" s="7">
        <f t="shared" si="3"/>
        <v>0.8230753591</v>
      </c>
    </row>
    <row r="4241">
      <c r="A4241" s="4">
        <v>4241.0</v>
      </c>
      <c r="B4241" s="3" t="s">
        <v>52547</v>
      </c>
      <c r="C4241" s="6" t="s">
        <v>24</v>
      </c>
      <c r="D4241" s="6" t="s">
        <v>11418</v>
      </c>
      <c r="E4241" s="3" t="str">
        <f t="shared" si="1"/>
        <v>rob&lt;br&gt;&lt;div class="audio"&gt;[sound:rob.mp3]&lt;/div&gt;</v>
      </c>
      <c r="F4241" s="3" t="str">
        <f t="shared" si="2"/>
        <v>(v): cướp</v>
      </c>
      <c r="G4241" s="6" t="s">
        <v>52548</v>
      </c>
      <c r="H4241" s="6" t="s">
        <v>52549</v>
      </c>
      <c r="I4241" s="7">
        <f t="shared" si="3"/>
        <v>0.9299158042</v>
      </c>
    </row>
    <row r="4242">
      <c r="A4242" s="4">
        <v>4242.0</v>
      </c>
      <c r="B4242" s="3" t="s">
        <v>52550</v>
      </c>
      <c r="C4242" s="6" t="s">
        <v>74</v>
      </c>
      <c r="D4242" s="6" t="s">
        <v>52551</v>
      </c>
      <c r="E4242" s="3" t="str">
        <f t="shared" si="1"/>
        <v>array&lt;br&gt;&lt;div class="audio"&gt;[sound:array.mp3]&lt;/div&gt;</v>
      </c>
      <c r="F4242" s="3" t="str">
        <f t="shared" si="2"/>
        <v>(n): mảng</v>
      </c>
      <c r="G4242" s="6" t="s">
        <v>52552</v>
      </c>
      <c r="H4242" s="6" t="s">
        <v>52553</v>
      </c>
      <c r="I4242" s="7">
        <f t="shared" si="3"/>
        <v>0.9484029504</v>
      </c>
    </row>
    <row r="4243">
      <c r="A4243" s="4">
        <v>4243.0</v>
      </c>
      <c r="B4243" s="3" t="s">
        <v>52554</v>
      </c>
      <c r="C4243" s="6" t="s">
        <v>74</v>
      </c>
      <c r="D4243" s="6" t="s">
        <v>52555</v>
      </c>
      <c r="E4243" s="3" t="str">
        <f t="shared" si="1"/>
        <v>ray&lt;br&gt;&lt;div class="audio"&gt;[sound:ray.mp3]&lt;/div&gt;</v>
      </c>
      <c r="F4243" s="3" t="str">
        <f t="shared" si="2"/>
        <v>(n): tia</v>
      </c>
      <c r="G4243" s="6" t="s">
        <v>52556</v>
      </c>
      <c r="H4243" s="6" t="s">
        <v>52557</v>
      </c>
      <c r="I4243" s="7">
        <f t="shared" si="3"/>
        <v>0.7973336795</v>
      </c>
    </row>
    <row r="4244">
      <c r="A4244" s="4">
        <v>4244.0</v>
      </c>
      <c r="B4244" s="3" t="s">
        <v>52558</v>
      </c>
      <c r="C4244" s="6" t="s">
        <v>24</v>
      </c>
      <c r="D4244" s="6" t="s">
        <v>29322</v>
      </c>
      <c r="E4244" s="3" t="str">
        <f t="shared" si="1"/>
        <v>delete&lt;br&gt;&lt;div class="audio"&gt;[sound:delete.mp3]&lt;/div&gt;</v>
      </c>
      <c r="F4244" s="3" t="str">
        <f t="shared" si="2"/>
        <v>(v): xóa</v>
      </c>
      <c r="G4244" s="6" t="s">
        <v>52559</v>
      </c>
      <c r="H4244" s="6" t="s">
        <v>52560</v>
      </c>
      <c r="I4244" s="7">
        <f t="shared" si="3"/>
        <v>0.383038383</v>
      </c>
    </row>
    <row r="4245">
      <c r="A4245" s="4">
        <v>4245.0</v>
      </c>
      <c r="B4245" s="3" t="s">
        <v>52561</v>
      </c>
      <c r="C4245" s="6" t="s">
        <v>74</v>
      </c>
      <c r="D4245" s="6" t="s">
        <v>3860</v>
      </c>
      <c r="E4245" s="3" t="str">
        <f t="shared" si="1"/>
        <v>grandpa&lt;br&gt;&lt;div class="audio"&gt;[sound:grandpa.mp3]&lt;/div&gt;</v>
      </c>
      <c r="F4245" s="3" t="str">
        <f t="shared" si="2"/>
        <v>(n): ông</v>
      </c>
      <c r="G4245" s="6" t="s">
        <v>52562</v>
      </c>
      <c r="H4245" s="6" t="s">
        <v>52563</v>
      </c>
      <c r="I4245" s="7">
        <f t="shared" si="3"/>
        <v>0.8757157209</v>
      </c>
    </row>
    <row r="4246">
      <c r="A4246" s="4">
        <v>4246.0</v>
      </c>
      <c r="B4246" s="3" t="s">
        <v>52564</v>
      </c>
      <c r="C4246" s="6" t="s">
        <v>24</v>
      </c>
      <c r="D4246" s="8" t="s">
        <v>7984</v>
      </c>
      <c r="E4246" s="3" t="str">
        <f t="shared" si="1"/>
        <v>stab&lt;br&gt;&lt;div class="audio"&gt;[sound:stab.mp3]&lt;/div&gt;</v>
      </c>
      <c r="F4246" s="3" t="str">
        <f t="shared" si="2"/>
        <v>(v): đâm</v>
      </c>
      <c r="G4246" s="8" t="s">
        <v>52565</v>
      </c>
      <c r="H4246" s="8" t="s">
        <v>52566</v>
      </c>
      <c r="I4246" s="7">
        <f t="shared" si="3"/>
        <v>0.3012989812</v>
      </c>
    </row>
    <row r="4247">
      <c r="A4247" s="4">
        <v>4247.0</v>
      </c>
      <c r="B4247" s="3" t="s">
        <v>52567</v>
      </c>
      <c r="C4247" s="6" t="s">
        <v>74</v>
      </c>
      <c r="D4247" s="6" t="s">
        <v>8345</v>
      </c>
      <c r="E4247" s="3" t="str">
        <f t="shared" si="1"/>
        <v>rod&lt;br&gt;&lt;div class="audio"&gt;[sound:rod.mp3]&lt;/div&gt;</v>
      </c>
      <c r="F4247" s="3" t="str">
        <f t="shared" si="2"/>
        <v>(n): cần</v>
      </c>
      <c r="G4247" s="6" t="s">
        <v>52568</v>
      </c>
      <c r="H4247" s="6" t="s">
        <v>52569</v>
      </c>
      <c r="I4247" s="7">
        <f t="shared" si="3"/>
        <v>0.5668702247</v>
      </c>
    </row>
    <row r="4248">
      <c r="A4248" s="4">
        <v>4248.0</v>
      </c>
      <c r="B4248" s="3" t="s">
        <v>52570</v>
      </c>
      <c r="C4248" s="6" t="s">
        <v>24</v>
      </c>
      <c r="D4248" s="8" t="s">
        <v>34433</v>
      </c>
      <c r="E4248" s="3" t="str">
        <f t="shared" si="1"/>
        <v>starve&lt;br&gt;&lt;div class="audio"&gt;[sound:starve.mp3]&lt;/div&gt;</v>
      </c>
      <c r="F4248" s="3" t="str">
        <f t="shared" si="2"/>
        <v>(v): đói</v>
      </c>
      <c r="G4248" s="8" t="s">
        <v>52571</v>
      </c>
      <c r="H4248" s="8" t="s">
        <v>52572</v>
      </c>
      <c r="I4248" s="7">
        <f t="shared" si="3"/>
        <v>0.6019561166</v>
      </c>
    </row>
    <row r="4249">
      <c r="A4249" s="4">
        <v>4249.0</v>
      </c>
      <c r="B4249" s="3" t="s">
        <v>52573</v>
      </c>
      <c r="C4249" s="6" t="s">
        <v>74</v>
      </c>
      <c r="D4249" s="8" t="s">
        <v>7041</v>
      </c>
      <c r="E4249" s="3" t="str">
        <f t="shared" si="1"/>
        <v>strand&lt;br&gt;&lt;div class="audio"&gt;[sound:strand.mp3]&lt;/div&gt;</v>
      </c>
      <c r="F4249" s="3" t="str">
        <f t="shared" si="2"/>
        <v>(n): sợi</v>
      </c>
      <c r="G4249" s="8" t="s">
        <v>52574</v>
      </c>
      <c r="H4249" s="8" t="s">
        <v>52575</v>
      </c>
      <c r="I4249" s="7">
        <f t="shared" si="3"/>
        <v>0.6711247606</v>
      </c>
    </row>
    <row r="4250">
      <c r="A4250" s="4">
        <v>4250.0</v>
      </c>
      <c r="B4250" s="3" t="s">
        <v>52576</v>
      </c>
      <c r="C4250" s="6" t="s">
        <v>24</v>
      </c>
      <c r="D4250" s="6" t="s">
        <v>31203</v>
      </c>
      <c r="E4250" s="3" t="str">
        <f t="shared" si="1"/>
        <v>screw&lt;br&gt;&lt;div class="audio"&gt;[sound:screw.mp3]&lt;/div&gt;</v>
      </c>
      <c r="F4250" s="3" t="str">
        <f t="shared" si="2"/>
        <v>(v): vặn</v>
      </c>
      <c r="G4250" s="6" t="s">
        <v>52577</v>
      </c>
      <c r="H4250" s="6" t="s">
        <v>52578</v>
      </c>
      <c r="I4250" s="7">
        <f t="shared" si="3"/>
        <v>0.4066946381</v>
      </c>
    </row>
    <row r="4251">
      <c r="A4251" s="4">
        <v>4251.0</v>
      </c>
      <c r="B4251" s="3" t="s">
        <v>52579</v>
      </c>
      <c r="C4251" s="6" t="s">
        <v>74</v>
      </c>
      <c r="D4251" s="8" t="s">
        <v>36444</v>
      </c>
      <c r="E4251" s="3" t="str">
        <f t="shared" si="1"/>
        <v>silk&lt;br&gt;&lt;div class="audio"&gt;[sound:silk.mp3]&lt;/div&gt;</v>
      </c>
      <c r="F4251" s="3" t="str">
        <f t="shared" si="2"/>
        <v>(n): lụa</v>
      </c>
      <c r="G4251" s="8" t="s">
        <v>52580</v>
      </c>
      <c r="H4251" s="8" t="s">
        <v>52581</v>
      </c>
      <c r="I4251" s="7">
        <f t="shared" si="3"/>
        <v>0.9670641663</v>
      </c>
    </row>
    <row r="4252">
      <c r="A4252" s="4">
        <v>4252.0</v>
      </c>
      <c r="B4252" s="3" t="s">
        <v>52582</v>
      </c>
      <c r="C4252" s="6" t="s">
        <v>74</v>
      </c>
      <c r="D4252" s="6" t="s">
        <v>6616</v>
      </c>
      <c r="E4252" s="3" t="str">
        <f t="shared" si="1"/>
        <v>garbage&lt;br&gt;&lt;div class="audio"&gt;[sound:garbage.mp3]&lt;/div&gt;</v>
      </c>
      <c r="F4252" s="3" t="str">
        <f t="shared" si="2"/>
        <v>(n): rác</v>
      </c>
      <c r="G4252" s="6" t="s">
        <v>52583</v>
      </c>
      <c r="H4252" s="6" t="s">
        <v>52584</v>
      </c>
      <c r="I4252" s="7">
        <f t="shared" si="3"/>
        <v>0.5437969573</v>
      </c>
    </row>
    <row r="4253">
      <c r="A4253" s="4">
        <v>4253.0</v>
      </c>
      <c r="B4253" s="3" t="s">
        <v>52585</v>
      </c>
      <c r="C4253" s="6" t="s">
        <v>74</v>
      </c>
      <c r="D4253" s="6" t="s">
        <v>25024</v>
      </c>
      <c r="E4253" s="3" t="str">
        <f t="shared" si="1"/>
        <v>elephant&lt;br&gt;&lt;div class="audio"&gt;[sound:elephant.mp3]&lt;/div&gt;</v>
      </c>
      <c r="F4253" s="3" t="str">
        <f t="shared" si="2"/>
        <v>(n): voi</v>
      </c>
      <c r="G4253" s="6" t="s">
        <v>52586</v>
      </c>
      <c r="H4253" s="6" t="s">
        <v>52587</v>
      </c>
      <c r="I4253" s="7">
        <f t="shared" si="3"/>
        <v>0.8841056846</v>
      </c>
    </row>
    <row r="4254">
      <c r="A4254" s="4">
        <v>4254.0</v>
      </c>
      <c r="B4254" s="3" t="s">
        <v>52588</v>
      </c>
      <c r="C4254" s="6" t="s">
        <v>11</v>
      </c>
      <c r="D4254" s="8" t="s">
        <v>10306</v>
      </c>
      <c r="E4254" s="3" t="str">
        <f t="shared" si="1"/>
        <v>spicy&lt;br&gt;&lt;div class="audio"&gt;[sound:spicy.mp3]&lt;/div&gt;</v>
      </c>
      <c r="F4254" s="3" t="str">
        <f t="shared" si="2"/>
        <v>(adj): cay</v>
      </c>
      <c r="G4254" s="8" t="s">
        <v>52589</v>
      </c>
      <c r="H4254" s="8" t="s">
        <v>52590</v>
      </c>
      <c r="I4254" s="7">
        <f t="shared" si="3"/>
        <v>0.6625877621</v>
      </c>
    </row>
    <row r="4255">
      <c r="A4255" s="4">
        <v>4255.0</v>
      </c>
      <c r="B4255" s="3" t="s">
        <v>52591</v>
      </c>
      <c r="C4255" s="6" t="s">
        <v>11</v>
      </c>
      <c r="D4255" s="6" t="s">
        <v>35159</v>
      </c>
      <c r="E4255" s="3" t="str">
        <f t="shared" si="1"/>
        <v>boiling&lt;br&gt;&lt;div class="audio"&gt;[sound:boiling.mp3]&lt;/div&gt;</v>
      </c>
      <c r="F4255" s="3" t="str">
        <f t="shared" si="2"/>
        <v>(adj): sôi</v>
      </c>
      <c r="G4255" s="6" t="s">
        <v>52592</v>
      </c>
      <c r="H4255" s="6" t="s">
        <v>52593</v>
      </c>
      <c r="I4255" s="7">
        <f t="shared" si="3"/>
        <v>0.1205724127</v>
      </c>
    </row>
    <row r="4256">
      <c r="A4256" s="4">
        <v>4256.0</v>
      </c>
      <c r="B4256" s="3" t="s">
        <v>52594</v>
      </c>
      <c r="C4256" s="6" t="s">
        <v>74</v>
      </c>
      <c r="D4256" s="6" t="s">
        <v>40334</v>
      </c>
      <c r="E4256" s="3" t="str">
        <f t="shared" si="1"/>
        <v>vessel&lt;br&gt;&lt;div class="audio"&gt;[sound:vessel.mp3]&lt;/div&gt;</v>
      </c>
      <c r="F4256" s="3" t="str">
        <f t="shared" si="2"/>
        <v>(n): tàu</v>
      </c>
      <c r="G4256" s="6" t="s">
        <v>52595</v>
      </c>
      <c r="H4256" s="6" t="s">
        <v>52596</v>
      </c>
      <c r="I4256" s="7">
        <f t="shared" si="3"/>
        <v>0.8186519539</v>
      </c>
    </row>
    <row r="4257">
      <c r="A4257" s="4">
        <v>4257.0</v>
      </c>
      <c r="B4257" s="3" t="s">
        <v>52597</v>
      </c>
      <c r="C4257" s="6" t="s">
        <v>74</v>
      </c>
      <c r="D4257" s="6" t="s">
        <v>21854</v>
      </c>
      <c r="E4257" s="3" t="str">
        <f t="shared" si="1"/>
        <v>oxygen&lt;br&gt;&lt;div class="audio"&gt;[sound:oxygen.mp3]&lt;/div&gt;</v>
      </c>
      <c r="F4257" s="3" t="str">
        <f t="shared" si="2"/>
        <v>(n): oxy</v>
      </c>
      <c r="G4257" s="6" t="s">
        <v>52598</v>
      </c>
      <c r="H4257" s="6" t="s">
        <v>52599</v>
      </c>
      <c r="I4257" s="7">
        <f t="shared" si="3"/>
        <v>0.3413465219</v>
      </c>
    </row>
    <row r="4258">
      <c r="A4258" s="4">
        <v>4258.0</v>
      </c>
      <c r="B4258" s="3" t="s">
        <v>52600</v>
      </c>
      <c r="C4258" s="6" t="s">
        <v>33</v>
      </c>
      <c r="D4258" s="6" t="s">
        <v>52600</v>
      </c>
      <c r="E4258" s="3" t="str">
        <f t="shared" si="1"/>
        <v>wow&lt;br&gt;&lt;div class="audio"&gt;[sound:wow.mp3]&lt;/div&gt;</v>
      </c>
      <c r="F4258" s="3" t="str">
        <f t="shared" si="2"/>
        <v>(int): wow</v>
      </c>
      <c r="G4258" s="6" t="s">
        <v>52601</v>
      </c>
      <c r="H4258" s="6" t="s">
        <v>52602</v>
      </c>
      <c r="I4258" s="7">
        <f t="shared" si="3"/>
        <v>0.3585662563</v>
      </c>
    </row>
    <row r="4259">
      <c r="A4259" s="4">
        <v>4259.0</v>
      </c>
      <c r="B4259" s="3" t="s">
        <v>52603</v>
      </c>
      <c r="C4259" s="6" t="s">
        <v>24</v>
      </c>
      <c r="D4259" s="6" t="s">
        <v>29583</v>
      </c>
      <c r="E4259" s="3" t="str">
        <f t="shared" si="1"/>
        <v>rip&lt;br&gt;&lt;div class="audio"&gt;[sound:rip.mp3]&lt;/div&gt;</v>
      </c>
      <c r="F4259" s="3" t="str">
        <f t="shared" si="2"/>
        <v>(v): xé</v>
      </c>
      <c r="G4259" s="6" t="s">
        <v>52604</v>
      </c>
      <c r="H4259" s="6" t="s">
        <v>52605</v>
      </c>
      <c r="I4259" s="7">
        <f t="shared" si="3"/>
        <v>0.04815760212</v>
      </c>
    </row>
    <row r="4260">
      <c r="A4260" s="4">
        <v>4260.0</v>
      </c>
      <c r="B4260" s="3" t="s">
        <v>52606</v>
      </c>
      <c r="C4260" s="6" t="s">
        <v>11</v>
      </c>
      <c r="D4260" s="6" t="s">
        <v>52607</v>
      </c>
      <c r="E4260" s="3" t="str">
        <f t="shared" si="1"/>
        <v>blind&lt;br&gt;&lt;div class="audio"&gt;[sound:blind.mp3]&lt;/div&gt;</v>
      </c>
      <c r="F4260" s="3" t="str">
        <f t="shared" si="2"/>
        <v>(adj): mù</v>
      </c>
      <c r="G4260" s="6" t="s">
        <v>52608</v>
      </c>
      <c r="H4260" s="6" t="s">
        <v>52609</v>
      </c>
      <c r="I4260" s="7">
        <f t="shared" si="3"/>
        <v>0.5957457308</v>
      </c>
    </row>
    <row r="4261">
      <c r="A4261" s="4">
        <v>4261.0</v>
      </c>
      <c r="B4261" s="3" t="s">
        <v>52610</v>
      </c>
      <c r="C4261" s="6" t="s">
        <v>24</v>
      </c>
      <c r="D4261" s="8" t="s">
        <v>52611</v>
      </c>
      <c r="E4261" s="3" t="str">
        <f t="shared" si="1"/>
        <v>shove&lt;br&gt;&lt;div class="audio"&gt;[sound:shove.mp3]&lt;/div&gt;</v>
      </c>
      <c r="F4261" s="3" t="str">
        <f t="shared" si="2"/>
        <v>(v): xô</v>
      </c>
      <c r="G4261" s="8" t="s">
        <v>52612</v>
      </c>
      <c r="H4261" s="8" t="s">
        <v>52613</v>
      </c>
      <c r="I4261" s="7">
        <f t="shared" si="3"/>
        <v>0.2397805696</v>
      </c>
    </row>
    <row r="4262">
      <c r="A4262" s="4">
        <v>4262.0</v>
      </c>
      <c r="B4262" s="3" t="s">
        <v>52614</v>
      </c>
      <c r="C4262" s="6" t="s">
        <v>74</v>
      </c>
      <c r="D4262" s="6" t="s">
        <v>848</v>
      </c>
      <c r="E4262" s="3" t="str">
        <f t="shared" si="1"/>
        <v>mommy&lt;br&gt;&lt;div class="audio"&gt;[sound:mommy.mp3]&lt;/div&gt;</v>
      </c>
      <c r="F4262" s="3" t="str">
        <f t="shared" si="2"/>
        <v>(n): mẹ</v>
      </c>
      <c r="G4262" s="6" t="s">
        <v>52615</v>
      </c>
      <c r="H4262" s="6" t="s">
        <v>52616</v>
      </c>
      <c r="I4262" s="7">
        <f t="shared" si="3"/>
        <v>0.814008325</v>
      </c>
    </row>
    <row r="4263">
      <c r="A4263" s="4">
        <v>4263.0</v>
      </c>
      <c r="B4263" s="3" t="s">
        <v>52617</v>
      </c>
      <c r="C4263" s="6" t="s">
        <v>74</v>
      </c>
      <c r="D4263" s="6" t="s">
        <v>12122</v>
      </c>
      <c r="E4263" s="3" t="str">
        <f t="shared" si="1"/>
        <v>leather&lt;br&gt;&lt;div class="audio"&gt;[sound:leather.mp3]&lt;/div&gt;</v>
      </c>
      <c r="F4263" s="3" t="str">
        <f t="shared" si="2"/>
        <v>(n): da</v>
      </c>
      <c r="G4263" s="6" t="s">
        <v>52618</v>
      </c>
      <c r="H4263" s="6" t="s">
        <v>52619</v>
      </c>
      <c r="I4263" s="7">
        <f t="shared" si="3"/>
        <v>0.4097040844</v>
      </c>
    </row>
    <row r="4264">
      <c r="A4264" s="4">
        <v>4264.0</v>
      </c>
      <c r="B4264" s="3" t="s">
        <v>52620</v>
      </c>
      <c r="C4264" s="6" t="s">
        <v>74</v>
      </c>
      <c r="D4264" s="6" t="s">
        <v>52621</v>
      </c>
      <c r="E4264" s="3" t="str">
        <f t="shared" si="1"/>
        <v>creativity&lt;br&gt;&lt;div class="audio"&gt;[sound:creativity.mp3]&lt;/div&gt;</v>
      </c>
      <c r="F4264" s="3" t="str">
        <f t="shared" si="2"/>
        <v>(n): sự sáng tạo</v>
      </c>
      <c r="G4264" s="6" t="s">
        <v>52622</v>
      </c>
      <c r="H4264" s="6" t="s">
        <v>52623</v>
      </c>
      <c r="I4264" s="7">
        <f t="shared" si="3"/>
        <v>0.3487366646</v>
      </c>
    </row>
    <row r="4265">
      <c r="A4265" s="4">
        <v>4265.0</v>
      </c>
      <c r="B4265" s="3" t="s">
        <v>52624</v>
      </c>
      <c r="C4265" s="6" t="s">
        <v>74</v>
      </c>
      <c r="D4265" s="6" t="s">
        <v>52625</v>
      </c>
      <c r="E4265" s="3" t="str">
        <f t="shared" si="1"/>
        <v>directory&lt;br&gt;&lt;div class="audio"&gt;[sound:directory.mp3]&lt;/div&gt;</v>
      </c>
      <c r="F4265" s="3" t="str">
        <f t="shared" si="2"/>
        <v>(n): thư mục</v>
      </c>
      <c r="G4265" s="6" t="s">
        <v>52626</v>
      </c>
      <c r="H4265" s="6" t="s">
        <v>52627</v>
      </c>
      <c r="I4265" s="7">
        <f t="shared" si="3"/>
        <v>0.8091288925</v>
      </c>
    </row>
    <row r="4266">
      <c r="A4266" s="4">
        <v>4266.0</v>
      </c>
      <c r="B4266" s="3" t="s">
        <v>52628</v>
      </c>
      <c r="C4266" s="6" t="s">
        <v>74</v>
      </c>
      <c r="D4266" s="6" t="s">
        <v>52629</v>
      </c>
      <c r="E4266" s="3" t="str">
        <f t="shared" si="1"/>
        <v>desktop&lt;br&gt;&lt;div class="audio"&gt;[sound:desktop.mp3]&lt;/div&gt;</v>
      </c>
      <c r="F4266" s="3" t="str">
        <f t="shared" si="2"/>
        <v>(n): máy tính để bàn</v>
      </c>
      <c r="G4266" s="6" t="s">
        <v>52630</v>
      </c>
      <c r="H4266" s="6" t="s">
        <v>52631</v>
      </c>
      <c r="I4266" s="7">
        <f t="shared" si="3"/>
        <v>0.9913239525</v>
      </c>
    </row>
    <row r="4267">
      <c r="A4267" s="4">
        <v>4267.0</v>
      </c>
      <c r="B4267" s="3" t="s">
        <v>52632</v>
      </c>
      <c r="C4267" s="6" t="s">
        <v>74</v>
      </c>
      <c r="D4267" s="6" t="s">
        <v>52633</v>
      </c>
      <c r="E4267" s="3" t="str">
        <f t="shared" si="1"/>
        <v>documentary&lt;br&gt;&lt;div class="audio"&gt;[sound:documentary.mp3]&lt;/div&gt;</v>
      </c>
      <c r="F4267" s="3" t="str">
        <f t="shared" si="2"/>
        <v>(n): phim tài liệu</v>
      </c>
      <c r="G4267" s="6" t="s">
        <v>52634</v>
      </c>
      <c r="H4267" s="6" t="s">
        <v>52635</v>
      </c>
      <c r="I4267" s="7">
        <f t="shared" si="3"/>
        <v>0.2305370179</v>
      </c>
    </row>
    <row r="4268">
      <c r="A4268" s="4">
        <v>4268.0</v>
      </c>
      <c r="B4268" s="3" t="s">
        <v>52636</v>
      </c>
      <c r="C4268" s="6" t="s">
        <v>74</v>
      </c>
      <c r="D4268" s="6" t="s">
        <v>52637</v>
      </c>
      <c r="E4268" s="3" t="str">
        <f t="shared" si="1"/>
        <v>conviction&lt;br&gt;&lt;div class="audio"&gt;[sound:conviction.mp3]&lt;/div&gt;</v>
      </c>
      <c r="F4268" s="3" t="str">
        <f t="shared" si="2"/>
        <v>(n): tiền án</v>
      </c>
      <c r="G4268" s="6" t="s">
        <v>52638</v>
      </c>
      <c r="H4268" s="6" t="s">
        <v>52639</v>
      </c>
      <c r="I4268" s="7">
        <f t="shared" si="3"/>
        <v>0.4333125514</v>
      </c>
    </row>
    <row r="4269">
      <c r="A4269" s="4">
        <v>4269.0</v>
      </c>
      <c r="B4269" s="3" t="s">
        <v>52640</v>
      </c>
      <c r="C4269" s="6" t="s">
        <v>74</v>
      </c>
      <c r="D4269" s="6" t="s">
        <v>52641</v>
      </c>
      <c r="E4269" s="3" t="str">
        <f t="shared" si="1"/>
        <v>curtain&lt;br&gt;&lt;div class="audio"&gt;[sound:curtain.mp3]&lt;/div&gt;</v>
      </c>
      <c r="F4269" s="3" t="str">
        <f t="shared" si="2"/>
        <v>(n): rèm cửa</v>
      </c>
      <c r="G4269" s="6" t="s">
        <v>52642</v>
      </c>
      <c r="H4269" s="6" t="s">
        <v>52643</v>
      </c>
      <c r="I4269" s="7">
        <f t="shared" si="3"/>
        <v>0.04173119243</v>
      </c>
    </row>
    <row r="4270">
      <c r="A4270" s="4">
        <v>4270.0</v>
      </c>
      <c r="B4270" s="3" t="s">
        <v>52644</v>
      </c>
      <c r="C4270" s="6" t="s">
        <v>11</v>
      </c>
      <c r="D4270" s="6" t="s">
        <v>10348</v>
      </c>
      <c r="E4270" s="3" t="str">
        <f t="shared" si="1"/>
        <v>convincing&lt;br&gt;&lt;div class="audio"&gt;[sound:convincing.mp3]&lt;/div&gt;</v>
      </c>
      <c r="F4270" s="3" t="str">
        <f t="shared" si="2"/>
        <v>(adj): thuyết phục</v>
      </c>
      <c r="G4270" s="6" t="s">
        <v>52645</v>
      </c>
      <c r="H4270" s="6" t="s">
        <v>52646</v>
      </c>
      <c r="I4270" s="7">
        <f t="shared" si="3"/>
        <v>0.4327793076</v>
      </c>
    </row>
    <row r="4271">
      <c r="A4271" s="4">
        <v>4271.0</v>
      </c>
      <c r="B4271" s="3" t="s">
        <v>52647</v>
      </c>
      <c r="C4271" s="6" t="s">
        <v>24</v>
      </c>
      <c r="D4271" s="6" t="s">
        <v>52648</v>
      </c>
      <c r="E4271" s="3" t="str">
        <f t="shared" si="1"/>
        <v>dislike&lt;br&gt;&lt;div class="audio"&gt;[sound:dislike.mp3]&lt;/div&gt;</v>
      </c>
      <c r="F4271" s="3" t="str">
        <f t="shared" si="2"/>
        <v>(v): không thích</v>
      </c>
      <c r="G4271" s="6" t="s">
        <v>52649</v>
      </c>
      <c r="H4271" s="6" t="s">
        <v>52650</v>
      </c>
      <c r="I4271" s="7">
        <f t="shared" si="3"/>
        <v>0.9755014703</v>
      </c>
    </row>
    <row r="4272">
      <c r="A4272" s="4">
        <v>4272.0</v>
      </c>
      <c r="B4272" s="3" t="s">
        <v>52651</v>
      </c>
      <c r="C4272" s="6" t="s">
        <v>11</v>
      </c>
      <c r="D4272" s="6" t="s">
        <v>5920</v>
      </c>
      <c r="E4272" s="3" t="str">
        <f t="shared" si="1"/>
        <v>dull&lt;br&gt;&lt;div class="audio"&gt;[sound:dull.mp3]&lt;/div&gt;</v>
      </c>
      <c r="F4272" s="3" t="str">
        <f t="shared" si="2"/>
        <v>(adj): nhàm chán</v>
      </c>
      <c r="G4272" s="6" t="s">
        <v>52652</v>
      </c>
      <c r="H4272" s="6" t="s">
        <v>52653</v>
      </c>
      <c r="I4272" s="7">
        <f t="shared" si="3"/>
        <v>0.4457204948</v>
      </c>
    </row>
    <row r="4273">
      <c r="A4273" s="4">
        <v>4273.0</v>
      </c>
      <c r="B4273" s="3" t="s">
        <v>52654</v>
      </c>
      <c r="C4273" s="6" t="s">
        <v>24</v>
      </c>
      <c r="D4273" s="6" t="s">
        <v>4493</v>
      </c>
      <c r="E4273" s="3" t="str">
        <f t="shared" si="1"/>
        <v>tolerate&lt;br&gt;&lt;div class="audio"&gt;[sound:tolerate.mp3]&lt;/div&gt;</v>
      </c>
      <c r="F4273" s="3" t="str">
        <f t="shared" si="2"/>
        <v>(v): chịu đựng</v>
      </c>
      <c r="G4273" s="6" t="s">
        <v>52655</v>
      </c>
      <c r="H4273" s="6" t="s">
        <v>52656</v>
      </c>
      <c r="I4273" s="7">
        <f t="shared" si="3"/>
        <v>0.6123762675</v>
      </c>
    </row>
    <row r="4274">
      <c r="A4274" s="4">
        <v>4274.0</v>
      </c>
      <c r="B4274" s="3" t="s">
        <v>52657</v>
      </c>
      <c r="C4274" s="6" t="s">
        <v>11</v>
      </c>
      <c r="D4274" s="6" t="s">
        <v>50610</v>
      </c>
      <c r="E4274" s="3" t="str">
        <f t="shared" si="1"/>
        <v>thrilled&lt;br&gt;&lt;div class="audio"&gt;[sound:thrilled.mp3]&lt;/div&gt;</v>
      </c>
      <c r="F4274" s="3" t="str">
        <f t="shared" si="2"/>
        <v>(adj): vui sướng</v>
      </c>
      <c r="G4274" s="6" t="s">
        <v>52658</v>
      </c>
      <c r="H4274" s="6" t="s">
        <v>52659</v>
      </c>
      <c r="I4274" s="7">
        <f t="shared" si="3"/>
        <v>0.546202541</v>
      </c>
    </row>
    <row r="4275">
      <c r="A4275" s="4">
        <v>4275.0</v>
      </c>
      <c r="B4275" s="3" t="s">
        <v>52660</v>
      </c>
      <c r="C4275" s="6" t="s">
        <v>74</v>
      </c>
      <c r="D4275" s="6" t="s">
        <v>52661</v>
      </c>
      <c r="E4275" s="3" t="str">
        <f t="shared" si="1"/>
        <v>tile&lt;br&gt;&lt;div class="audio"&gt;[sound:tile.mp3]&lt;/div&gt;</v>
      </c>
      <c r="F4275" s="3" t="str">
        <f t="shared" si="2"/>
        <v>(n): gạch lát</v>
      </c>
      <c r="G4275" s="6" t="s">
        <v>52662</v>
      </c>
      <c r="H4275" s="6" t="s">
        <v>52663</v>
      </c>
      <c r="I4275" s="7">
        <f t="shared" si="3"/>
        <v>0.3928294381</v>
      </c>
    </row>
    <row r="4276">
      <c r="A4276" s="4">
        <v>4276.0</v>
      </c>
      <c r="B4276" s="3" t="s">
        <v>52664</v>
      </c>
      <c r="C4276" s="6" t="s">
        <v>11</v>
      </c>
      <c r="D4276" s="6" t="s">
        <v>14035</v>
      </c>
      <c r="E4276" s="3" t="str">
        <f t="shared" si="1"/>
        <v>delicate&lt;br&gt;&lt;div class="audio"&gt;[sound:delicate.mp3]&lt;/div&gt;</v>
      </c>
      <c r="F4276" s="3" t="str">
        <f t="shared" si="2"/>
        <v>(adj): tinh tế</v>
      </c>
      <c r="G4276" s="6" t="s">
        <v>52665</v>
      </c>
      <c r="H4276" s="6" t="s">
        <v>52666</v>
      </c>
      <c r="I4276" s="7">
        <f t="shared" si="3"/>
        <v>0.06575300921</v>
      </c>
    </row>
    <row r="4277">
      <c r="A4277" s="4">
        <v>4277.0</v>
      </c>
      <c r="B4277" s="3" t="s">
        <v>52667</v>
      </c>
      <c r="C4277" s="6" t="s">
        <v>11</v>
      </c>
      <c r="D4277" s="6" t="s">
        <v>24072</v>
      </c>
      <c r="E4277" s="3" t="str">
        <f t="shared" si="1"/>
        <v>tender&lt;br&gt;&lt;div class="audio"&gt;[sound:tender.mp3]&lt;/div&gt;</v>
      </c>
      <c r="F4277" s="3" t="str">
        <f t="shared" si="2"/>
        <v>(adj): mềm mại</v>
      </c>
      <c r="G4277" s="6" t="s">
        <v>52668</v>
      </c>
      <c r="H4277" s="6" t="s">
        <v>52669</v>
      </c>
      <c r="I4277" s="7">
        <f t="shared" si="3"/>
        <v>0.8735386034</v>
      </c>
    </row>
    <row r="4278">
      <c r="A4278" s="4">
        <v>4278.0</v>
      </c>
      <c r="B4278" s="3" t="s">
        <v>52670</v>
      </c>
      <c r="C4278" s="6" t="s">
        <v>11</v>
      </c>
      <c r="D4278" s="6" t="s">
        <v>14724</v>
      </c>
      <c r="E4278" s="3" t="str">
        <f t="shared" si="1"/>
        <v>crowded&lt;br&gt;&lt;div class="audio"&gt;[sound:crowded.mp3]&lt;/div&gt;</v>
      </c>
      <c r="F4278" s="3" t="str">
        <f t="shared" si="2"/>
        <v>(adj): đông đúc</v>
      </c>
      <c r="G4278" s="6" t="s">
        <v>52671</v>
      </c>
      <c r="H4278" s="6" t="s">
        <v>52672</v>
      </c>
      <c r="I4278" s="7">
        <f t="shared" si="3"/>
        <v>0.8478784327</v>
      </c>
    </row>
    <row r="4279">
      <c r="A4279" s="4">
        <v>4279.0</v>
      </c>
      <c r="B4279" s="3" t="s">
        <v>52673</v>
      </c>
      <c r="C4279" s="6" t="s">
        <v>74</v>
      </c>
      <c r="D4279" s="6" t="s">
        <v>21777</v>
      </c>
      <c r="E4279" s="3" t="str">
        <f t="shared" si="1"/>
        <v>dictionary&lt;br&gt;&lt;div class="audio"&gt;[sound:dictionary.mp3]&lt;/div&gt;</v>
      </c>
      <c r="F4279" s="3" t="str">
        <f t="shared" si="2"/>
        <v>(n): từ điển</v>
      </c>
      <c r="G4279" s="6" t="s">
        <v>52674</v>
      </c>
      <c r="H4279" s="6" t="s">
        <v>52675</v>
      </c>
      <c r="I4279" s="7">
        <f t="shared" si="3"/>
        <v>0.2656424844</v>
      </c>
    </row>
    <row r="4280">
      <c r="A4280" s="4">
        <v>4280.0</v>
      </c>
      <c r="B4280" s="3" t="s">
        <v>52676</v>
      </c>
      <c r="C4280" s="6" t="s">
        <v>74</v>
      </c>
      <c r="D4280" s="6" t="s">
        <v>12456</v>
      </c>
      <c r="E4280" s="3" t="str">
        <f t="shared" si="1"/>
        <v>correction&lt;br&gt;&lt;div class="audio"&gt;[sound:correction.mp3]&lt;/div&gt;</v>
      </c>
      <c r="F4280" s="3" t="str">
        <f t="shared" si="2"/>
        <v>(n): sự sửa chữa</v>
      </c>
      <c r="G4280" s="6" t="s">
        <v>52677</v>
      </c>
      <c r="H4280" s="6" t="s">
        <v>52678</v>
      </c>
      <c r="I4280" s="7">
        <f t="shared" si="3"/>
        <v>0.7488445166</v>
      </c>
    </row>
    <row r="4281">
      <c r="A4281" s="4">
        <v>4281.0</v>
      </c>
      <c r="B4281" s="3" t="s">
        <v>52679</v>
      </c>
      <c r="C4281" s="6" t="s">
        <v>24</v>
      </c>
      <c r="D4281" s="6" t="s">
        <v>31337</v>
      </c>
      <c r="E4281" s="3" t="str">
        <f t="shared" si="1"/>
        <v>depart&lt;br&gt;&lt;div class="audio"&gt;[sound:depart.mp3]&lt;/div&gt;</v>
      </c>
      <c r="F4281" s="3" t="str">
        <f t="shared" si="2"/>
        <v>(v): khởi hành</v>
      </c>
      <c r="G4281" s="6" t="s">
        <v>52680</v>
      </c>
      <c r="H4281" s="6" t="s">
        <v>52681</v>
      </c>
      <c r="I4281" s="7">
        <f t="shared" si="3"/>
        <v>0.7303727686</v>
      </c>
    </row>
    <row r="4282">
      <c r="A4282" s="4">
        <v>4282.0</v>
      </c>
      <c r="B4282" s="3" t="s">
        <v>52682</v>
      </c>
      <c r="C4282" s="6" t="s">
        <v>24</v>
      </c>
      <c r="D4282" s="6" t="s">
        <v>34938</v>
      </c>
      <c r="E4282" s="3" t="str">
        <f t="shared" si="1"/>
        <v>dive&lt;br&gt;&lt;div class="audio"&gt;[sound:dive.mp3]&lt;/div&gt;</v>
      </c>
      <c r="F4282" s="3" t="str">
        <f t="shared" si="2"/>
        <v>(v): lặn</v>
      </c>
      <c r="G4282" s="6" t="s">
        <v>52683</v>
      </c>
      <c r="H4282" s="6" t="s">
        <v>52684</v>
      </c>
      <c r="I4282" s="7">
        <f t="shared" si="3"/>
        <v>0.7601961951</v>
      </c>
    </row>
    <row r="4283">
      <c r="A4283" s="4">
        <v>4283.0</v>
      </c>
      <c r="B4283" s="3" t="s">
        <v>52685</v>
      </c>
      <c r="C4283" s="6" t="s">
        <v>74</v>
      </c>
      <c r="D4283" s="6" t="s">
        <v>17707</v>
      </c>
      <c r="E4283" s="3" t="str">
        <f t="shared" si="1"/>
        <v>disadvantage&lt;br&gt;&lt;div class="audio"&gt;[sound:disadvantage.mp3]&lt;/div&gt;</v>
      </c>
      <c r="F4283" s="3" t="str">
        <f t="shared" si="2"/>
        <v>(n): bất lợi</v>
      </c>
      <c r="G4283" s="6" t="s">
        <v>52686</v>
      </c>
      <c r="H4283" s="6" t="s">
        <v>52687</v>
      </c>
      <c r="I4283" s="7">
        <f t="shared" si="3"/>
        <v>0.5810083207</v>
      </c>
    </row>
    <row r="4284">
      <c r="A4284" s="4">
        <v>4284.0</v>
      </c>
      <c r="B4284" s="3" t="s">
        <v>52688</v>
      </c>
      <c r="C4284" s="6" t="s">
        <v>11</v>
      </c>
      <c r="D4284" s="6" t="s">
        <v>21848</v>
      </c>
      <c r="E4284" s="3" t="str">
        <f t="shared" si="1"/>
        <v>drunk&lt;br&gt;&lt;div class="audio"&gt;[sound:drunk.mp3]&lt;/div&gt;</v>
      </c>
      <c r="F4284" s="3" t="str">
        <f t="shared" si="2"/>
        <v>(adj): say</v>
      </c>
      <c r="G4284" s="6" t="s">
        <v>52689</v>
      </c>
      <c r="H4284" s="6" t="s">
        <v>52690</v>
      </c>
      <c r="I4284" s="7">
        <f t="shared" si="3"/>
        <v>0.1993160825</v>
      </c>
    </row>
    <row r="4285">
      <c r="A4285" s="4">
        <v>4285.0</v>
      </c>
      <c r="B4285" s="3" t="s">
        <v>52691</v>
      </c>
      <c r="C4285" s="6" t="s">
        <v>24</v>
      </c>
      <c r="D4285" s="6" t="s">
        <v>52692</v>
      </c>
      <c r="E4285" s="3" t="str">
        <f t="shared" si="1"/>
        <v>dare&lt;br&gt;&lt;div class="audio"&gt;[sound:dare.mp3]&lt;/div&gt;</v>
      </c>
      <c r="F4285" s="3" t="str">
        <f t="shared" si="2"/>
        <v>(v): dám</v>
      </c>
      <c r="G4285" s="6" t="s">
        <v>52693</v>
      </c>
      <c r="H4285" s="6" t="s">
        <v>52694</v>
      </c>
      <c r="I4285" s="7">
        <f t="shared" si="3"/>
        <v>0.2750128151</v>
      </c>
    </row>
    <row r="4286">
      <c r="A4286" s="4">
        <v>4286.0</v>
      </c>
      <c r="B4286" s="3" t="s">
        <v>52695</v>
      </c>
      <c r="C4286" s="6" t="s">
        <v>11</v>
      </c>
      <c r="D4286" s="6" t="s">
        <v>52696</v>
      </c>
      <c r="E4286" s="3" t="str">
        <f t="shared" si="1"/>
        <v>defensive&lt;br&gt;&lt;div class="audio"&gt;[sound:defensive.mp3]&lt;/div&gt;</v>
      </c>
      <c r="F4286" s="3" t="str">
        <f t="shared" si="2"/>
        <v>(adj): mang tính phòng thủ</v>
      </c>
      <c r="G4286" s="6" t="s">
        <v>52697</v>
      </c>
      <c r="H4286" s="6" t="s">
        <v>52698</v>
      </c>
      <c r="I4286" s="7">
        <f t="shared" si="3"/>
        <v>0.9571232304</v>
      </c>
    </row>
    <row r="4287">
      <c r="A4287" s="4">
        <v>4287.0</v>
      </c>
      <c r="B4287" s="3" t="s">
        <v>52699</v>
      </c>
      <c r="C4287" s="6" t="s">
        <v>24</v>
      </c>
      <c r="D4287" s="6" t="s">
        <v>27730</v>
      </c>
      <c r="E4287" s="3" t="str">
        <f t="shared" si="1"/>
        <v>disturb&lt;br&gt;&lt;div class="audio"&gt;[sound:disturb.mp3]&lt;/div&gt;</v>
      </c>
      <c r="F4287" s="3" t="str">
        <f t="shared" si="2"/>
        <v>(v): làm phiền</v>
      </c>
      <c r="G4287" s="6" t="s">
        <v>52700</v>
      </c>
      <c r="H4287" s="6" t="s">
        <v>52701</v>
      </c>
      <c r="I4287" s="7">
        <f t="shared" si="3"/>
        <v>0.654789771</v>
      </c>
    </row>
    <row r="4288">
      <c r="A4288" s="4">
        <v>4288.0</v>
      </c>
      <c r="B4288" s="3" t="s">
        <v>52702</v>
      </c>
      <c r="C4288" s="6" t="s">
        <v>74</v>
      </c>
      <c r="D4288" s="6" t="s">
        <v>39477</v>
      </c>
      <c r="E4288" s="3" t="str">
        <f t="shared" si="1"/>
        <v>texture&lt;br&gt;&lt;div class="audio"&gt;[sound:texture.mp3]&lt;/div&gt;</v>
      </c>
      <c r="F4288" s="3" t="str">
        <f t="shared" si="2"/>
        <v>(n): kết cấu</v>
      </c>
      <c r="G4288" s="6" t="s">
        <v>52703</v>
      </c>
      <c r="H4288" s="6" t="s">
        <v>52704</v>
      </c>
      <c r="I4288" s="7">
        <f t="shared" si="3"/>
        <v>0.03043797536</v>
      </c>
    </row>
    <row r="4289">
      <c r="A4289" s="4">
        <v>4289.0</v>
      </c>
      <c r="B4289" s="3" t="s">
        <v>52705</v>
      </c>
      <c r="C4289" s="6" t="s">
        <v>74</v>
      </c>
      <c r="D4289" s="6" t="s">
        <v>31447</v>
      </c>
      <c r="E4289" s="3" t="str">
        <f t="shared" si="1"/>
        <v>copper&lt;br&gt;&lt;div class="audio"&gt;[sound:copper.mp3]&lt;/div&gt;</v>
      </c>
      <c r="F4289" s="3" t="str">
        <f t="shared" si="2"/>
        <v>(n): đồng</v>
      </c>
      <c r="G4289" s="6" t="s">
        <v>52706</v>
      </c>
      <c r="H4289" s="6" t="s">
        <v>52707</v>
      </c>
      <c r="I4289" s="7">
        <f t="shared" si="3"/>
        <v>0.2911691969</v>
      </c>
    </row>
    <row r="4290">
      <c r="A4290" s="4">
        <v>4290.0</v>
      </c>
      <c r="B4290" s="3" t="s">
        <v>52708</v>
      </c>
      <c r="C4290" s="6" t="s">
        <v>74</v>
      </c>
      <c r="D4290" s="6" t="s">
        <v>52709</v>
      </c>
      <c r="E4290" s="3" t="str">
        <f t="shared" si="1"/>
        <v>dealer&lt;br&gt;&lt;div class="audio"&gt;[sound:dealer.mp3]&lt;/div&gt;</v>
      </c>
      <c r="F4290" s="3" t="str">
        <f t="shared" si="2"/>
        <v>(n): người kinh doanh</v>
      </c>
      <c r="G4290" s="6" t="s">
        <v>52710</v>
      </c>
      <c r="H4290" s="6" t="s">
        <v>52711</v>
      </c>
      <c r="I4290" s="7">
        <f t="shared" si="3"/>
        <v>0.05233485439</v>
      </c>
    </row>
    <row r="4291">
      <c r="A4291" s="4">
        <v>4291.0</v>
      </c>
      <c r="B4291" s="3" t="s">
        <v>52712</v>
      </c>
      <c r="C4291" s="6" t="s">
        <v>24</v>
      </c>
      <c r="D4291" s="6" t="s">
        <v>9864</v>
      </c>
      <c r="E4291" s="3" t="str">
        <f t="shared" si="1"/>
        <v>devote&lt;br&gt;&lt;div class="audio"&gt;[sound:devote.mp3]&lt;/div&gt;</v>
      </c>
      <c r="F4291" s="3" t="str">
        <f t="shared" si="2"/>
        <v>(v): cống hiến</v>
      </c>
      <c r="G4291" s="6" t="s">
        <v>52713</v>
      </c>
      <c r="H4291" s="6" t="s">
        <v>52714</v>
      </c>
      <c r="I4291" s="7">
        <f t="shared" si="3"/>
        <v>0.4350950792</v>
      </c>
    </row>
    <row r="4292">
      <c r="A4292" s="4">
        <v>4292.0</v>
      </c>
      <c r="B4292" s="3" t="s">
        <v>52715</v>
      </c>
      <c r="C4292" s="6" t="s">
        <v>11</v>
      </c>
      <c r="D4292" s="6" t="s">
        <v>23298</v>
      </c>
      <c r="E4292" s="3" t="str">
        <f t="shared" si="1"/>
        <v>dumb&lt;br&gt;&lt;div class="audio"&gt;[sound:dumb.mp3]&lt;/div&gt;</v>
      </c>
      <c r="F4292" s="3" t="str">
        <f t="shared" si="2"/>
        <v>(adj): ngớ ngẩn</v>
      </c>
      <c r="G4292" s="6" t="s">
        <v>52716</v>
      </c>
      <c r="H4292" s="6" t="s">
        <v>52717</v>
      </c>
      <c r="I4292" s="7">
        <f t="shared" si="3"/>
        <v>0.3968635211</v>
      </c>
    </row>
    <row r="4293">
      <c r="A4293" s="4">
        <v>4293.0</v>
      </c>
      <c r="B4293" s="3" t="s">
        <v>52718</v>
      </c>
      <c r="C4293" s="6" t="s">
        <v>11</v>
      </c>
      <c r="D4293" s="6" t="s">
        <v>52719</v>
      </c>
      <c r="E4293" s="3" t="str">
        <f t="shared" si="1"/>
        <v>magical&lt;br&gt;&lt;div class="audio"&gt;[sound:magical.mp3]&lt;/div&gt;</v>
      </c>
      <c r="F4293" s="3" t="str">
        <f t="shared" si="2"/>
        <v>(adj): mang tính phép thuật</v>
      </c>
      <c r="G4293" s="6" t="s">
        <v>52720</v>
      </c>
      <c r="H4293" s="6" t="s">
        <v>52721</v>
      </c>
      <c r="I4293" s="7">
        <f t="shared" si="3"/>
        <v>0.1277108023</v>
      </c>
    </row>
    <row r="4294">
      <c r="A4294" s="4">
        <v>4294.0</v>
      </c>
      <c r="B4294" s="3" t="s">
        <v>52722</v>
      </c>
      <c r="C4294" s="6" t="s">
        <v>74</v>
      </c>
      <c r="D4294" s="6" t="s">
        <v>52723</v>
      </c>
      <c r="E4294" s="3" t="str">
        <f t="shared" si="1"/>
        <v>vulnerability&lt;br&gt;&lt;div class="audio"&gt;[sound:vulnerability.mp3]&lt;/div&gt;</v>
      </c>
      <c r="F4294" s="3" t="str">
        <f t="shared" si="2"/>
        <v>(n): sự dễ bị tổn thương</v>
      </c>
      <c r="G4294" s="6" t="s">
        <v>52724</v>
      </c>
      <c r="H4294" s="6" t="s">
        <v>52725</v>
      </c>
      <c r="I4294" s="7">
        <f t="shared" si="3"/>
        <v>0.6328384125</v>
      </c>
    </row>
    <row r="4295">
      <c r="A4295" s="4">
        <v>4295.0</v>
      </c>
      <c r="B4295" s="3" t="s">
        <v>52726</v>
      </c>
      <c r="C4295" s="6" t="s">
        <v>24</v>
      </c>
      <c r="D4295" s="6" t="s">
        <v>52727</v>
      </c>
      <c r="E4295" s="3" t="str">
        <f t="shared" si="1"/>
        <v>align&lt;br&gt;&lt;div class="audio"&gt;[sound:align.mp3]&lt;/div&gt;</v>
      </c>
      <c r="F4295" s="3" t="str">
        <f t="shared" si="2"/>
        <v>(v): sắp xếp thẳng hàng</v>
      </c>
      <c r="G4295" s="6" t="s">
        <v>52728</v>
      </c>
      <c r="H4295" s="6" t="s">
        <v>52729</v>
      </c>
      <c r="I4295" s="7">
        <f t="shared" si="3"/>
        <v>0.5479585152</v>
      </c>
    </row>
    <row r="4296">
      <c r="A4296" s="4">
        <v>4296.0</v>
      </c>
      <c r="B4296" s="3" t="s">
        <v>52730</v>
      </c>
      <c r="C4296" s="6" t="s">
        <v>74</v>
      </c>
      <c r="D4296" s="6" t="s">
        <v>52731</v>
      </c>
      <c r="E4296" s="3" t="str">
        <f t="shared" si="1"/>
        <v>allowance&lt;br&gt;&lt;div class="audio"&gt;[sound:allowance.mp3]&lt;/div&gt;</v>
      </c>
      <c r="F4296" s="3" t="str">
        <f t="shared" si="2"/>
        <v>(n): khoản tiền trợ cấp</v>
      </c>
      <c r="G4296" s="6" t="s">
        <v>52732</v>
      </c>
      <c r="H4296" s="6" t="s">
        <v>52733</v>
      </c>
      <c r="I4296" s="7">
        <f t="shared" si="3"/>
        <v>0.6711198734</v>
      </c>
    </row>
    <row r="4297">
      <c r="A4297" s="4">
        <v>4297.0</v>
      </c>
      <c r="B4297" s="3" t="s">
        <v>52734</v>
      </c>
      <c r="C4297" s="6" t="s">
        <v>74</v>
      </c>
      <c r="D4297" s="6" t="s">
        <v>52735</v>
      </c>
      <c r="E4297" s="3" t="str">
        <f t="shared" si="1"/>
        <v>undergraduate&lt;br&gt;&lt;div class="audio"&gt;[sound:undergraduate.mp3]&lt;/div&gt;</v>
      </c>
      <c r="F4297" s="3" t="str">
        <f t="shared" si="2"/>
        <v>(n): sinh viên đại học</v>
      </c>
      <c r="G4297" s="6" t="s">
        <v>52736</v>
      </c>
      <c r="H4297" s="6" t="s">
        <v>52737</v>
      </c>
      <c r="I4297" s="7">
        <f t="shared" si="3"/>
        <v>0.9838651247</v>
      </c>
    </row>
    <row r="4298">
      <c r="A4298" s="4">
        <v>4298.0</v>
      </c>
      <c r="B4298" s="3" t="s">
        <v>52738</v>
      </c>
      <c r="C4298" s="6" t="s">
        <v>74</v>
      </c>
      <c r="D4298" s="6" t="s">
        <v>52739</v>
      </c>
      <c r="E4298" s="3" t="str">
        <f t="shared" si="1"/>
        <v>mall&lt;br&gt;&lt;div class="audio"&gt;[sound:mall.mp3]&lt;/div&gt;</v>
      </c>
      <c r="F4298" s="3" t="str">
        <f t="shared" si="2"/>
        <v>(n): trung tâm mua sắm</v>
      </c>
      <c r="G4298" s="6" t="s">
        <v>52740</v>
      </c>
      <c r="H4298" s="6" t="s">
        <v>52741</v>
      </c>
      <c r="I4298" s="7">
        <f t="shared" si="3"/>
        <v>0.2551876272</v>
      </c>
    </row>
    <row r="4299">
      <c r="A4299" s="4">
        <v>4299.0</v>
      </c>
      <c r="B4299" s="3" t="s">
        <v>52742</v>
      </c>
      <c r="C4299" s="6" t="s">
        <v>74</v>
      </c>
      <c r="D4299" s="6" t="s">
        <v>52743</v>
      </c>
      <c r="E4299" s="3" t="str">
        <f t="shared" si="1"/>
        <v>wildlife&lt;br&gt;&lt;div class="audio"&gt;[sound:wildlife.mp3]&lt;/div&gt;</v>
      </c>
      <c r="F4299" s="3" t="str">
        <f t="shared" si="2"/>
        <v>(n): động vật hoang dã</v>
      </c>
      <c r="G4299" s="6" t="s">
        <v>52744</v>
      </c>
      <c r="H4299" s="6" t="s">
        <v>52745</v>
      </c>
      <c r="I4299" s="7">
        <f t="shared" si="3"/>
        <v>0.6459509975</v>
      </c>
    </row>
    <row r="4300">
      <c r="A4300" s="4">
        <v>4300.0</v>
      </c>
      <c r="B4300" s="3" t="s">
        <v>52746</v>
      </c>
      <c r="C4300" s="6" t="s">
        <v>85</v>
      </c>
      <c r="D4300" s="6" t="s">
        <v>39303</v>
      </c>
      <c r="E4300" s="3" t="str">
        <f t="shared" si="1"/>
        <v>explicitly&lt;br&gt;&lt;div class="audio"&gt;[sound:explicitly.mp3]&lt;/div&gt;</v>
      </c>
      <c r="F4300" s="3" t="str">
        <f t="shared" si="2"/>
        <v>(adv): một cách rõ ràng</v>
      </c>
      <c r="G4300" s="6" t="s">
        <v>52747</v>
      </c>
      <c r="H4300" s="6" t="s">
        <v>52748</v>
      </c>
      <c r="I4300" s="7">
        <f t="shared" si="3"/>
        <v>0.4282240683</v>
      </c>
    </row>
    <row r="4301">
      <c r="A4301" s="4">
        <v>4301.0</v>
      </c>
      <c r="B4301" s="3" t="s">
        <v>52749</v>
      </c>
      <c r="C4301" s="6" t="s">
        <v>11</v>
      </c>
      <c r="D4301" s="6" t="s">
        <v>52750</v>
      </c>
      <c r="E4301" s="3" t="str">
        <f t="shared" si="1"/>
        <v>artistic&lt;br&gt;&lt;div class="audio"&gt;[sound:artistic.mp3]&lt;/div&gt;</v>
      </c>
      <c r="F4301" s="3" t="str">
        <f t="shared" si="2"/>
        <v>(adj): thuộc nghệ thuật</v>
      </c>
      <c r="G4301" s="6" t="s">
        <v>52751</v>
      </c>
      <c r="H4301" s="6" t="s">
        <v>52752</v>
      </c>
      <c r="I4301" s="7">
        <f t="shared" si="3"/>
        <v>0.3488652499</v>
      </c>
    </row>
    <row r="4302">
      <c r="A4302" s="4">
        <v>4302.0</v>
      </c>
      <c r="B4302" s="3" t="s">
        <v>52753</v>
      </c>
      <c r="C4302" s="6" t="s">
        <v>74</v>
      </c>
      <c r="D4302" s="6" t="s">
        <v>52754</v>
      </c>
      <c r="E4302" s="3" t="str">
        <f t="shared" si="1"/>
        <v>machinery&lt;br&gt;&lt;div class="audio"&gt;[sound:machinery.mp3]&lt;/div&gt;</v>
      </c>
      <c r="F4302" s="3" t="str">
        <f t="shared" si="2"/>
        <v>(n): hệ thống máy móc</v>
      </c>
      <c r="G4302" s="6" t="s">
        <v>52755</v>
      </c>
      <c r="H4302" s="6" t="s">
        <v>52756</v>
      </c>
      <c r="I4302" s="7">
        <f t="shared" si="3"/>
        <v>0.04189082777</v>
      </c>
    </row>
    <row r="4303">
      <c r="A4303" s="4">
        <v>4303.0</v>
      </c>
      <c r="B4303" s="3" t="s">
        <v>52757</v>
      </c>
      <c r="C4303" s="6" t="s">
        <v>74</v>
      </c>
      <c r="D4303" s="6" t="s">
        <v>52758</v>
      </c>
      <c r="E4303" s="3" t="str">
        <f t="shared" si="1"/>
        <v>methodology&lt;br&gt;&lt;div class="audio"&gt;[sound:methodology.mp3]&lt;/div&gt;</v>
      </c>
      <c r="F4303" s="3" t="str">
        <f t="shared" si="2"/>
        <v>(n): phương pháp luận</v>
      </c>
      <c r="G4303" s="6" t="s">
        <v>52759</v>
      </c>
      <c r="H4303" s="6" t="s">
        <v>52760</v>
      </c>
      <c r="I4303" s="7">
        <f t="shared" si="3"/>
        <v>0.2737402221</v>
      </c>
    </row>
    <row r="4304">
      <c r="A4304" s="4">
        <v>4304.0</v>
      </c>
      <c r="B4304" s="3" t="s">
        <v>52761</v>
      </c>
      <c r="C4304" s="6" t="s">
        <v>11</v>
      </c>
      <c r="D4304" s="6" t="s">
        <v>41557</v>
      </c>
      <c r="E4304" s="3" t="str">
        <f t="shared" si="1"/>
        <v>accountable&lt;br&gt;&lt;div class="audio"&gt;[sound:accountable.mp3]&lt;/div&gt;</v>
      </c>
      <c r="F4304" s="3" t="str">
        <f t="shared" si="2"/>
        <v>(adj): chịu trách nhiệm</v>
      </c>
      <c r="G4304" s="6" t="s">
        <v>52762</v>
      </c>
      <c r="H4304" s="6" t="s">
        <v>52763</v>
      </c>
      <c r="I4304" s="7">
        <f t="shared" si="3"/>
        <v>0.1011261868</v>
      </c>
    </row>
    <row r="4305">
      <c r="A4305" s="4">
        <v>4305.0</v>
      </c>
      <c r="B4305" s="3" t="s">
        <v>52764</v>
      </c>
      <c r="C4305" s="6" t="s">
        <v>11</v>
      </c>
      <c r="D4305" s="6" t="s">
        <v>52765</v>
      </c>
      <c r="E4305" s="3" t="str">
        <f t="shared" si="1"/>
        <v>parental&lt;br&gt;&lt;div class="audio"&gt;[sound:parental.mp3]&lt;/div&gt;</v>
      </c>
      <c r="F4305" s="3" t="str">
        <f t="shared" si="2"/>
        <v>(adj): thuộc về cha mẹ</v>
      </c>
      <c r="G4305" s="6" t="s">
        <v>52766</v>
      </c>
      <c r="H4305" s="6" t="s">
        <v>52767</v>
      </c>
      <c r="I4305" s="7">
        <f t="shared" si="3"/>
        <v>0.1953169921</v>
      </c>
    </row>
    <row r="4306">
      <c r="A4306" s="4">
        <v>4306.0</v>
      </c>
      <c r="B4306" s="3" t="s">
        <v>52768</v>
      </c>
      <c r="C4306" s="6" t="s">
        <v>11</v>
      </c>
      <c r="D4306" s="6" t="s">
        <v>52769</v>
      </c>
      <c r="E4306" s="3" t="str">
        <f t="shared" si="1"/>
        <v>vocal&lt;br&gt;&lt;div class="audio"&gt;[sound:vocal.mp3]&lt;/div&gt;</v>
      </c>
      <c r="F4306" s="3" t="str">
        <f t="shared" si="2"/>
        <v>(adj): thuộc giọng nói</v>
      </c>
      <c r="G4306" s="6" t="s">
        <v>52770</v>
      </c>
      <c r="H4306" s="6" t="s">
        <v>52771</v>
      </c>
      <c r="I4306" s="7">
        <f t="shared" si="3"/>
        <v>0.9423747475</v>
      </c>
    </row>
    <row r="4307">
      <c r="A4307" s="4">
        <v>4307.0</v>
      </c>
      <c r="B4307" s="3" t="s">
        <v>52772</v>
      </c>
      <c r="C4307" s="6" t="s">
        <v>11</v>
      </c>
      <c r="D4307" s="6" t="s">
        <v>52773</v>
      </c>
      <c r="E4307" s="3" t="str">
        <f t="shared" si="1"/>
        <v>tropical&lt;br&gt;&lt;div class="audio"&gt;[sound:tropical.mp3]&lt;/div&gt;</v>
      </c>
      <c r="F4307" s="3" t="str">
        <f t="shared" si="2"/>
        <v>(adj): thuộc nhiệt đới</v>
      </c>
      <c r="G4307" s="6" t="s">
        <v>52774</v>
      </c>
      <c r="H4307" s="6" t="s">
        <v>52775</v>
      </c>
      <c r="I4307" s="7">
        <f t="shared" si="3"/>
        <v>0.7741906688</v>
      </c>
    </row>
    <row r="4308">
      <c r="A4308" s="4">
        <v>4308.0</v>
      </c>
      <c r="B4308" s="3" t="s">
        <v>52776</v>
      </c>
      <c r="C4308" s="6" t="s">
        <v>11</v>
      </c>
      <c r="D4308" s="6" t="s">
        <v>52777</v>
      </c>
      <c r="E4308" s="3" t="str">
        <f t="shared" si="1"/>
        <v>vertical&lt;br&gt;&lt;div class="audio"&gt;[sound:vertical.mp3]&lt;/div&gt;</v>
      </c>
      <c r="F4308" s="3" t="str">
        <f t="shared" si="2"/>
        <v>(adj): theo chiều dọc</v>
      </c>
      <c r="G4308" s="6" t="s">
        <v>52778</v>
      </c>
      <c r="H4308" s="6" t="s">
        <v>52779</v>
      </c>
      <c r="I4308" s="7">
        <f t="shared" si="3"/>
        <v>0.6745636515</v>
      </c>
    </row>
    <row r="4309">
      <c r="A4309" s="4">
        <v>4309.0</v>
      </c>
      <c r="B4309" s="3" t="s">
        <v>52780</v>
      </c>
      <c r="C4309" s="6" t="s">
        <v>74</v>
      </c>
      <c r="D4309" s="6" t="s">
        <v>52781</v>
      </c>
      <c r="E4309" s="3" t="str">
        <f t="shared" si="1"/>
        <v>loyalty&lt;br&gt;&lt;div class="audio"&gt;[sound:loyalty.mp3]&lt;/div&gt;</v>
      </c>
      <c r="F4309" s="3" t="str">
        <f t="shared" si="2"/>
        <v>(n): sự trung thành</v>
      </c>
      <c r="G4309" s="6" t="s">
        <v>52782</v>
      </c>
      <c r="H4309" s="6" t="s">
        <v>52783</v>
      </c>
      <c r="I4309" s="7">
        <f t="shared" si="3"/>
        <v>0.5382552545</v>
      </c>
    </row>
    <row r="4310">
      <c r="A4310" s="4">
        <v>4310.0</v>
      </c>
      <c r="B4310" s="3" t="s">
        <v>52784</v>
      </c>
      <c r="C4310" s="6" t="s">
        <v>74</v>
      </c>
      <c r="D4310" s="6" t="s">
        <v>52785</v>
      </c>
      <c r="E4310" s="3" t="str">
        <f t="shared" si="1"/>
        <v>portfolio&lt;br&gt;&lt;div class="audio"&gt;[sound:portfolio.mp3]&lt;/div&gt;</v>
      </c>
      <c r="F4310" s="3" t="str">
        <f t="shared" si="2"/>
        <v>(n): hồ sơ năng lực</v>
      </c>
      <c r="G4310" s="6" t="s">
        <v>52786</v>
      </c>
      <c r="H4310" s="6" t="s">
        <v>52787</v>
      </c>
      <c r="I4310" s="7">
        <f t="shared" si="3"/>
        <v>0.5558733772</v>
      </c>
    </row>
    <row r="4311">
      <c r="A4311" s="4">
        <v>4311.0</v>
      </c>
      <c r="B4311" s="3" t="s">
        <v>52788</v>
      </c>
      <c r="C4311" s="6" t="s">
        <v>74</v>
      </c>
      <c r="D4311" s="6" t="s">
        <v>52789</v>
      </c>
      <c r="E4311" s="3" t="str">
        <f t="shared" si="1"/>
        <v>offender&lt;br&gt;&lt;div class="audio"&gt;[sound:offender.mp3]&lt;/div&gt;</v>
      </c>
      <c r="F4311" s="3" t="str">
        <f t="shared" si="2"/>
        <v>(n): người phạm tội</v>
      </c>
      <c r="G4311" s="6" t="s">
        <v>52790</v>
      </c>
      <c r="H4311" s="6" t="s">
        <v>52791</v>
      </c>
      <c r="I4311" s="7">
        <f t="shared" si="3"/>
        <v>0.7244136752</v>
      </c>
    </row>
    <row r="4312">
      <c r="A4312" s="4">
        <v>4312.0</v>
      </c>
      <c r="B4312" s="3" t="s">
        <v>52792</v>
      </c>
      <c r="C4312" s="6" t="s">
        <v>11</v>
      </c>
      <c r="D4312" s="6" t="s">
        <v>52793</v>
      </c>
      <c r="E4312" s="3" t="str">
        <f t="shared" si="1"/>
        <v>predictable&lt;br&gt;&lt;div class="audio"&gt;[sound:predictable.mp3]&lt;/div&gt;</v>
      </c>
      <c r="F4312" s="3" t="str">
        <f t="shared" si="2"/>
        <v>(adj): có thể dự đoán</v>
      </c>
      <c r="G4312" s="6" t="s">
        <v>52794</v>
      </c>
      <c r="H4312" s="6" t="s">
        <v>52795</v>
      </c>
      <c r="I4312" s="7">
        <f t="shared" si="3"/>
        <v>0.6960435529</v>
      </c>
    </row>
    <row r="4313">
      <c r="A4313" s="4">
        <v>4313.0</v>
      </c>
      <c r="B4313" s="3" t="s">
        <v>52796</v>
      </c>
      <c r="C4313" s="6" t="s">
        <v>85</v>
      </c>
      <c r="D4313" s="6" t="s">
        <v>52797</v>
      </c>
      <c r="E4313" s="3" t="str">
        <f t="shared" si="1"/>
        <v>loudly&lt;br&gt;&lt;div class="audio"&gt;[sound:loudly.mp3]&lt;/div&gt;</v>
      </c>
      <c r="F4313" s="3" t="str">
        <f t="shared" si="2"/>
        <v>(adv): một cách ồn ào</v>
      </c>
      <c r="G4313" s="6" t="s">
        <v>52798</v>
      </c>
      <c r="H4313" s="6" t="s">
        <v>52799</v>
      </c>
      <c r="I4313" s="7">
        <f t="shared" si="3"/>
        <v>0.1408040735</v>
      </c>
    </row>
    <row r="4314">
      <c r="A4314" s="4">
        <v>4314.0</v>
      </c>
      <c r="B4314" s="3" t="s">
        <v>52800</v>
      </c>
      <c r="C4314" s="6" t="s">
        <v>85</v>
      </c>
      <c r="D4314" s="6" t="s">
        <v>52801</v>
      </c>
      <c r="E4314" s="3" t="str">
        <f t="shared" si="1"/>
        <v>deliberately&lt;br&gt;&lt;div class="audio"&gt;[sound:deliberately.mp3]&lt;/div&gt;</v>
      </c>
      <c r="F4314" s="3" t="str">
        <f t="shared" si="2"/>
        <v>(adv): một cách cố ý</v>
      </c>
      <c r="G4314" s="6" t="s">
        <v>52802</v>
      </c>
      <c r="H4314" s="6" t="s">
        <v>52803</v>
      </c>
      <c r="I4314" s="7">
        <f t="shared" si="3"/>
        <v>0.6528687649</v>
      </c>
    </row>
    <row r="4315">
      <c r="A4315" s="4">
        <v>4315.0</v>
      </c>
      <c r="B4315" s="3" t="s">
        <v>52804</v>
      </c>
      <c r="C4315" s="6" t="s">
        <v>11</v>
      </c>
      <c r="D4315" s="6" t="s">
        <v>52805</v>
      </c>
      <c r="E4315" s="3" t="str">
        <f t="shared" si="1"/>
        <v>unpleasant&lt;br&gt;&lt;div class="audio"&gt;[sound:unpleasant.mp3]&lt;/div&gt;</v>
      </c>
      <c r="F4315" s="3" t="str">
        <f t="shared" si="2"/>
        <v>(adj): không dễ chịu</v>
      </c>
      <c r="G4315" s="6" t="s">
        <v>52806</v>
      </c>
      <c r="H4315" s="6" t="s">
        <v>52807</v>
      </c>
      <c r="I4315" s="7">
        <f t="shared" si="3"/>
        <v>0.01324832158</v>
      </c>
    </row>
    <row r="4316">
      <c r="A4316" s="4">
        <v>4316.0</v>
      </c>
      <c r="B4316" s="3" t="s">
        <v>52808</v>
      </c>
      <c r="C4316" s="6" t="s">
        <v>74</v>
      </c>
      <c r="D4316" s="6" t="s">
        <v>52809</v>
      </c>
      <c r="E4316" s="3" t="str">
        <f t="shared" si="1"/>
        <v>toast&lt;br&gt;&lt;div class="audio"&gt;[sound:toast.mp3]&lt;/div&gt;</v>
      </c>
      <c r="F4316" s="3" t="str">
        <f t="shared" si="2"/>
        <v>(n): bánh mì nướng</v>
      </c>
      <c r="G4316" s="6" t="s">
        <v>52810</v>
      </c>
      <c r="H4316" s="6" t="s">
        <v>52811</v>
      </c>
      <c r="I4316" s="7">
        <f t="shared" si="3"/>
        <v>0.7000531852</v>
      </c>
    </row>
    <row r="4317">
      <c r="A4317" s="4">
        <v>4317.0</v>
      </c>
      <c r="B4317" s="3" t="s">
        <v>52812</v>
      </c>
      <c r="C4317" s="6" t="s">
        <v>11</v>
      </c>
      <c r="D4317" s="6" t="s">
        <v>52813</v>
      </c>
      <c r="E4317" s="3" t="str">
        <f t="shared" si="1"/>
        <v>part-time&lt;br&gt;&lt;div class="audio"&gt;[sound:part-time.mp3]&lt;/div&gt;</v>
      </c>
      <c r="F4317" s="3" t="str">
        <f t="shared" si="2"/>
        <v>(adj): bán thời gian</v>
      </c>
      <c r="G4317" s="6" t="s">
        <v>52814</v>
      </c>
      <c r="H4317" s="6" t="s">
        <v>52815</v>
      </c>
      <c r="I4317" s="7">
        <f t="shared" si="3"/>
        <v>0.4725498979</v>
      </c>
    </row>
    <row r="4318">
      <c r="A4318" s="4">
        <v>4318.0</v>
      </c>
      <c r="B4318" s="3" t="s">
        <v>52816</v>
      </c>
      <c r="C4318" s="6" t="s">
        <v>74</v>
      </c>
      <c r="D4318" s="6" t="s">
        <v>52817</v>
      </c>
      <c r="E4318" s="3" t="str">
        <f t="shared" si="1"/>
        <v>portrait&lt;br&gt;&lt;div class="audio"&gt;[sound:portrait.mp3]&lt;/div&gt;</v>
      </c>
      <c r="F4318" s="3" t="str">
        <f t="shared" si="2"/>
        <v>(n): bức chân dung</v>
      </c>
      <c r="G4318" s="6" t="s">
        <v>52818</v>
      </c>
      <c r="H4318" s="6" t="s">
        <v>52819</v>
      </c>
      <c r="I4318" s="7">
        <f t="shared" si="3"/>
        <v>0.1772191081</v>
      </c>
    </row>
    <row r="4319">
      <c r="A4319" s="4">
        <v>4319.0</v>
      </c>
      <c r="B4319" s="3" t="s">
        <v>52820</v>
      </c>
      <c r="C4319" s="6" t="s">
        <v>74</v>
      </c>
      <c r="D4319" s="6" t="s">
        <v>52821</v>
      </c>
      <c r="E4319" s="3" t="str">
        <f t="shared" si="1"/>
        <v>outfit&lt;br&gt;&lt;div class="audio"&gt;[sound:outfit.mp3]&lt;/div&gt;</v>
      </c>
      <c r="F4319" s="3" t="str">
        <f t="shared" si="2"/>
        <v>(n): bộ trang phục</v>
      </c>
      <c r="G4319" s="6" t="s">
        <v>52822</v>
      </c>
      <c r="H4319" s="6" t="s">
        <v>52823</v>
      </c>
      <c r="I4319" s="7">
        <f t="shared" si="3"/>
        <v>0.9499743325</v>
      </c>
    </row>
    <row r="4320">
      <c r="A4320" s="4">
        <v>4320.0</v>
      </c>
      <c r="B4320" s="3" t="s">
        <v>52824</v>
      </c>
      <c r="C4320" s="6" t="s">
        <v>74</v>
      </c>
      <c r="D4320" s="6" t="s">
        <v>52825</v>
      </c>
      <c r="E4320" s="3" t="str">
        <f t="shared" si="1"/>
        <v>applicant&lt;br&gt;&lt;div class="audio"&gt;[sound:applicant.mp3]&lt;/div&gt;</v>
      </c>
      <c r="F4320" s="3" t="str">
        <f t="shared" si="2"/>
        <v>(n): người nộp đơn</v>
      </c>
      <c r="G4320" s="6" t="s">
        <v>52826</v>
      </c>
      <c r="H4320" s="6" t="s">
        <v>52827</v>
      </c>
      <c r="I4320" s="7">
        <f t="shared" si="3"/>
        <v>0.8652311611</v>
      </c>
    </row>
    <row r="4321">
      <c r="A4321" s="4">
        <v>4321.0</v>
      </c>
      <c r="B4321" s="3" t="s">
        <v>52828</v>
      </c>
      <c r="C4321" s="6" t="s">
        <v>74</v>
      </c>
      <c r="D4321" s="6" t="s">
        <v>15529</v>
      </c>
      <c r="E4321" s="3" t="str">
        <f t="shared" si="1"/>
        <v>patent&lt;br&gt;&lt;div class="audio"&gt;[sound:patent.mp3]&lt;/div&gt;</v>
      </c>
      <c r="F4321" s="3" t="str">
        <f t="shared" si="2"/>
        <v>(n): bằng sáng chế</v>
      </c>
      <c r="G4321" s="6" t="s">
        <v>52829</v>
      </c>
      <c r="H4321" s="6" t="s">
        <v>52830</v>
      </c>
      <c r="I4321" s="7">
        <f t="shared" si="3"/>
        <v>0.5081828589</v>
      </c>
    </row>
    <row r="4322">
      <c r="A4322" s="4">
        <v>4322.0</v>
      </c>
      <c r="B4322" s="3" t="s">
        <v>52831</v>
      </c>
      <c r="C4322" s="6" t="s">
        <v>74</v>
      </c>
      <c r="D4322" s="6" t="s">
        <v>50988</v>
      </c>
      <c r="E4322" s="3" t="str">
        <f t="shared" si="1"/>
        <v>prejudice&lt;br&gt;&lt;div class="audio"&gt;[sound:prejudice.mp3]&lt;/div&gt;</v>
      </c>
      <c r="F4322" s="3" t="str">
        <f t="shared" si="2"/>
        <v>(n): định kiến</v>
      </c>
      <c r="G4322" s="6" t="s">
        <v>52832</v>
      </c>
      <c r="H4322" s="6" t="s">
        <v>52833</v>
      </c>
      <c r="I4322" s="7">
        <f t="shared" si="3"/>
        <v>0.5628667703</v>
      </c>
    </row>
    <row r="4323">
      <c r="A4323" s="4">
        <v>4323.0</v>
      </c>
      <c r="B4323" s="3" t="s">
        <v>52834</v>
      </c>
      <c r="C4323" s="6" t="s">
        <v>74</v>
      </c>
      <c r="D4323" s="6" t="s">
        <v>52835</v>
      </c>
      <c r="E4323" s="3" t="str">
        <f t="shared" si="1"/>
        <v>aggression&lt;br&gt;&lt;div class="audio"&gt;[sound:aggression.mp3]&lt;/div&gt;</v>
      </c>
      <c r="F4323" s="3" t="str">
        <f t="shared" si="2"/>
        <v>(n): sự hung hăng</v>
      </c>
      <c r="G4323" s="6" t="s">
        <v>52836</v>
      </c>
      <c r="H4323" s="6" t="s">
        <v>52837</v>
      </c>
      <c r="I4323" s="7">
        <f t="shared" si="3"/>
        <v>0.7286281274</v>
      </c>
    </row>
    <row r="4324">
      <c r="A4324" s="4">
        <v>4324.0</v>
      </c>
      <c r="B4324" s="3" t="s">
        <v>52838</v>
      </c>
      <c r="C4324" s="6" t="s">
        <v>24</v>
      </c>
      <c r="D4324" s="6" t="s">
        <v>52839</v>
      </c>
      <c r="E4324" s="3" t="str">
        <f t="shared" si="1"/>
        <v>offend&lt;br&gt;&lt;div class="audio"&gt;[sound:offend.mp3]&lt;/div&gt;</v>
      </c>
      <c r="F4324" s="3" t="str">
        <f t="shared" si="2"/>
        <v>(v): gây xúc phạm</v>
      </c>
      <c r="G4324" s="6" t="s">
        <v>52840</v>
      </c>
      <c r="H4324" s="6" t="s">
        <v>52841</v>
      </c>
      <c r="I4324" s="7">
        <f t="shared" si="3"/>
        <v>0.354114784</v>
      </c>
    </row>
    <row r="4325">
      <c r="A4325" s="4">
        <v>4325.0</v>
      </c>
      <c r="B4325" s="3" t="s">
        <v>52842</v>
      </c>
      <c r="C4325" s="6" t="s">
        <v>74</v>
      </c>
      <c r="D4325" s="6" t="s">
        <v>52843</v>
      </c>
      <c r="E4325" s="3" t="str">
        <f t="shared" si="1"/>
        <v>pity&lt;br&gt;&lt;div class="audio"&gt;[sound:pity.mp3]&lt;/div&gt;</v>
      </c>
      <c r="F4325" s="3" t="str">
        <f t="shared" si="2"/>
        <v>(n): sự đáng tiếc</v>
      </c>
      <c r="G4325" s="6" t="s">
        <v>52844</v>
      </c>
      <c r="H4325" s="6" t="s">
        <v>52845</v>
      </c>
      <c r="I4325" s="7">
        <f t="shared" si="3"/>
        <v>0.5916565769</v>
      </c>
    </row>
    <row r="4326">
      <c r="A4326" s="4">
        <v>4326.0</v>
      </c>
      <c r="B4326" s="3" t="s">
        <v>52846</v>
      </c>
      <c r="C4326" s="6" t="s">
        <v>74</v>
      </c>
      <c r="D4326" s="6" t="s">
        <v>52847</v>
      </c>
      <c r="E4326" s="3" t="str">
        <f t="shared" si="1"/>
        <v>obesity&lt;br&gt;&lt;div class="audio"&gt;[sound:obesity.mp3]&lt;/div&gt;</v>
      </c>
      <c r="F4326" s="3" t="str">
        <f t="shared" si="2"/>
        <v>(n): bệnh béo phì</v>
      </c>
      <c r="G4326" s="6" t="s">
        <v>52848</v>
      </c>
      <c r="H4326" s="6" t="s">
        <v>52849</v>
      </c>
      <c r="I4326" s="7">
        <f t="shared" si="3"/>
        <v>0.6570267548</v>
      </c>
    </row>
    <row r="4327">
      <c r="A4327" s="4">
        <v>4327.0</v>
      </c>
      <c r="B4327" s="3" t="s">
        <v>52850</v>
      </c>
      <c r="C4327" s="6" t="s">
        <v>74</v>
      </c>
      <c r="D4327" s="6" t="s">
        <v>52851</v>
      </c>
      <c r="E4327" s="3" t="str">
        <f t="shared" si="1"/>
        <v>audit&lt;br&gt;&lt;div class="audio"&gt;[sound:audit.mp3]&lt;/div&gt;</v>
      </c>
      <c r="F4327" s="3" t="str">
        <f t="shared" si="2"/>
        <v>(n): sự kiểm toán</v>
      </c>
      <c r="G4327" s="6" t="s">
        <v>52852</v>
      </c>
      <c r="H4327" s="6" t="s">
        <v>52853</v>
      </c>
      <c r="I4327" s="7">
        <f t="shared" si="3"/>
        <v>0.1631135713</v>
      </c>
    </row>
    <row r="4328">
      <c r="A4328" s="4">
        <v>4328.0</v>
      </c>
      <c r="B4328" s="3" t="s">
        <v>52854</v>
      </c>
      <c r="C4328" s="6" t="s">
        <v>74</v>
      </c>
      <c r="D4328" s="6" t="s">
        <v>52855</v>
      </c>
      <c r="E4328" s="3" t="str">
        <f t="shared" si="1"/>
        <v>architect&lt;br&gt;&lt;div class="audio"&gt;[sound:architect.mp3]&lt;/div&gt;</v>
      </c>
      <c r="F4328" s="3" t="str">
        <f t="shared" si="2"/>
        <v>(n): kiến trúc sư</v>
      </c>
      <c r="G4328" s="6" t="s">
        <v>52856</v>
      </c>
      <c r="H4328" s="6" t="s">
        <v>52857</v>
      </c>
      <c r="I4328" s="7">
        <f t="shared" si="3"/>
        <v>0.3212118255</v>
      </c>
    </row>
    <row r="4329">
      <c r="A4329" s="4">
        <v>4329.0</v>
      </c>
      <c r="B4329" s="3" t="s">
        <v>52858</v>
      </c>
      <c r="C4329" s="6" t="s">
        <v>11</v>
      </c>
      <c r="D4329" s="6" t="s">
        <v>52859</v>
      </c>
      <c r="E4329" s="3" t="str">
        <f t="shared" si="1"/>
        <v>electoral&lt;br&gt;&lt;div class="audio"&gt;[sound:electoral.mp3]&lt;/div&gt;</v>
      </c>
      <c r="F4329" s="3" t="str">
        <f t="shared" si="2"/>
        <v>(adj): thuộc bầu cử</v>
      </c>
      <c r="G4329" s="6" t="s">
        <v>52860</v>
      </c>
      <c r="H4329" s="6" t="s">
        <v>52861</v>
      </c>
      <c r="I4329" s="7">
        <f t="shared" si="3"/>
        <v>0.3850617397</v>
      </c>
    </row>
    <row r="4330">
      <c r="A4330" s="4">
        <v>4330.0</v>
      </c>
      <c r="B4330" s="3" t="s">
        <v>52862</v>
      </c>
      <c r="C4330" s="6" t="s">
        <v>11</v>
      </c>
      <c r="D4330" s="6" t="s">
        <v>52863</v>
      </c>
      <c r="E4330" s="3" t="str">
        <f t="shared" si="1"/>
        <v>mechanical&lt;br&gt;&lt;div class="audio"&gt;[sound:mechanical.mp3]&lt;/div&gt;</v>
      </c>
      <c r="F4330" s="3" t="str">
        <f t="shared" si="2"/>
        <v>(adj): thuộc cơ khí</v>
      </c>
      <c r="G4330" s="6" t="s">
        <v>52864</v>
      </c>
      <c r="H4330" s="6" t="s">
        <v>52865</v>
      </c>
      <c r="I4330" s="7">
        <f t="shared" si="3"/>
        <v>0.4060145235</v>
      </c>
    </row>
    <row r="4331">
      <c r="A4331" s="4">
        <v>4331.0</v>
      </c>
      <c r="B4331" s="3" t="s">
        <v>52866</v>
      </c>
      <c r="C4331" s="6" t="s">
        <v>74</v>
      </c>
      <c r="D4331" s="6" t="s">
        <v>34560</v>
      </c>
      <c r="E4331" s="3" t="str">
        <f t="shared" si="1"/>
        <v>flaw&lt;br&gt;&lt;div class="audio"&gt;[sound:flaw.mp3]&lt;/div&gt;</v>
      </c>
      <c r="F4331" s="3" t="str">
        <f t="shared" si="2"/>
        <v>(n): khiếm khuyết</v>
      </c>
      <c r="G4331" s="6" t="s">
        <v>52867</v>
      </c>
      <c r="H4331" s="6" t="s">
        <v>52868</v>
      </c>
      <c r="I4331" s="7">
        <f t="shared" si="3"/>
        <v>0.8553699346</v>
      </c>
    </row>
    <row r="4332">
      <c r="A4332" s="4">
        <v>4332.0</v>
      </c>
      <c r="B4332" s="3" t="s">
        <v>52869</v>
      </c>
      <c r="C4332" s="6" t="s">
        <v>74</v>
      </c>
      <c r="D4332" s="6" t="s">
        <v>52870</v>
      </c>
      <c r="E4332" s="3" t="str">
        <f t="shared" si="1"/>
        <v>precision&lt;br&gt;&lt;div class="audio"&gt;[sound:precision.mp3]&lt;/div&gt;</v>
      </c>
      <c r="F4332" s="3" t="str">
        <f t="shared" si="2"/>
        <v>(n): sự chính xác</v>
      </c>
      <c r="G4332" s="6" t="s">
        <v>52871</v>
      </c>
      <c r="H4332" s="6" t="s">
        <v>52872</v>
      </c>
      <c r="I4332" s="7">
        <f t="shared" si="3"/>
        <v>0.01752791392</v>
      </c>
    </row>
    <row r="4333">
      <c r="A4333" s="4">
        <v>4333.0</v>
      </c>
      <c r="B4333" s="3" t="s">
        <v>52873</v>
      </c>
      <c r="C4333" s="6" t="s">
        <v>74</v>
      </c>
      <c r="D4333" s="6" t="s">
        <v>52874</v>
      </c>
      <c r="E4333" s="3" t="str">
        <f t="shared" si="1"/>
        <v>marker&lt;br&gt;&lt;div class="audio"&gt;[sound:marker.mp3]&lt;/div&gt;</v>
      </c>
      <c r="F4333" s="3" t="str">
        <f t="shared" si="2"/>
        <v>(n): bút đánh dấu</v>
      </c>
      <c r="G4333" s="6" t="s">
        <v>52875</v>
      </c>
      <c r="H4333" s="6" t="s">
        <v>52876</v>
      </c>
      <c r="I4333" s="7">
        <f t="shared" si="3"/>
        <v>0.8716046849</v>
      </c>
    </row>
    <row r="4334">
      <c r="A4334" s="4">
        <v>4334.0</v>
      </c>
      <c r="B4334" s="3" t="s">
        <v>52877</v>
      </c>
      <c r="C4334" s="6" t="s">
        <v>74</v>
      </c>
      <c r="D4334" s="6" t="s">
        <v>9309</v>
      </c>
      <c r="E4334" s="3" t="str">
        <f t="shared" si="1"/>
        <v>judgement&lt;br&gt;&lt;div class="audio"&gt;[sound:judgement.mp3]&lt;/div&gt;</v>
      </c>
      <c r="F4334" s="3" t="str">
        <f t="shared" si="2"/>
        <v>(n): sự phán đoán</v>
      </c>
      <c r="G4334" s="6" t="s">
        <v>52878</v>
      </c>
      <c r="H4334" s="6" t="s">
        <v>52879</v>
      </c>
      <c r="I4334" s="7">
        <f t="shared" si="3"/>
        <v>0.7303788169</v>
      </c>
    </row>
    <row r="4335">
      <c r="A4335" s="4">
        <v>4335.0</v>
      </c>
      <c r="B4335" s="3" t="s">
        <v>52880</v>
      </c>
      <c r="C4335" s="6" t="s">
        <v>74</v>
      </c>
      <c r="D4335" s="6" t="s">
        <v>19046</v>
      </c>
      <c r="E4335" s="3" t="str">
        <f t="shared" si="1"/>
        <v>exploitation&lt;br&gt;&lt;div class="audio"&gt;[sound:exploitation.mp3]&lt;/div&gt;</v>
      </c>
      <c r="F4335" s="3" t="str">
        <f t="shared" si="2"/>
        <v>(n): sự khai thác</v>
      </c>
      <c r="G4335" s="6" t="s">
        <v>52881</v>
      </c>
      <c r="H4335" s="6" t="s">
        <v>52882</v>
      </c>
      <c r="I4335" s="7">
        <f t="shared" si="3"/>
        <v>0.8621786008</v>
      </c>
    </row>
    <row r="4336">
      <c r="A4336" s="4">
        <v>4336.0</v>
      </c>
      <c r="B4336" s="3" t="s">
        <v>52883</v>
      </c>
      <c r="C4336" s="6" t="s">
        <v>74</v>
      </c>
      <c r="D4336" s="6" t="s">
        <v>52884</v>
      </c>
      <c r="E4336" s="3" t="str">
        <f t="shared" si="1"/>
        <v>transparency&lt;br&gt;&lt;div class="audio"&gt;[sound:transparency.mp3]&lt;/div&gt;</v>
      </c>
      <c r="F4336" s="3" t="str">
        <f t="shared" si="2"/>
        <v>(n): sự minh bạch</v>
      </c>
      <c r="G4336" s="6" t="s">
        <v>52885</v>
      </c>
      <c r="H4336" s="6" t="s">
        <v>52886</v>
      </c>
      <c r="I4336" s="7">
        <f t="shared" si="3"/>
        <v>0.7683134594</v>
      </c>
    </row>
    <row r="4337">
      <c r="A4337" s="4">
        <v>4337.0</v>
      </c>
      <c r="B4337" s="3" t="s">
        <v>52887</v>
      </c>
      <c r="C4337" s="6" t="s">
        <v>74</v>
      </c>
      <c r="D4337" s="6" t="s">
        <v>50835</v>
      </c>
      <c r="E4337" s="3" t="str">
        <f t="shared" si="1"/>
        <v>myth&lt;br&gt;&lt;div class="audio"&gt;[sound:myth.mp3]&lt;/div&gt;</v>
      </c>
      <c r="F4337" s="3" t="str">
        <f t="shared" si="2"/>
        <v>(n): huyền thoại</v>
      </c>
      <c r="G4337" s="6" t="s">
        <v>52888</v>
      </c>
      <c r="H4337" s="6" t="s">
        <v>52889</v>
      </c>
      <c r="I4337" s="7">
        <f t="shared" si="3"/>
        <v>0.4885267869</v>
      </c>
    </row>
    <row r="4338">
      <c r="A4338" s="4">
        <v>4338.0</v>
      </c>
      <c r="B4338" s="3" t="s">
        <v>52890</v>
      </c>
      <c r="C4338" s="6" t="s">
        <v>74</v>
      </c>
      <c r="D4338" s="6" t="s">
        <v>6722</v>
      </c>
      <c r="E4338" s="3" t="str">
        <f t="shared" si="1"/>
        <v>triumph&lt;br&gt;&lt;div class="audio"&gt;[sound:triumph.mp3]&lt;/div&gt;</v>
      </c>
      <c r="F4338" s="3" t="str">
        <f t="shared" si="2"/>
        <v>(n): chiến thắng</v>
      </c>
      <c r="G4338" s="6" t="s">
        <v>52891</v>
      </c>
      <c r="H4338" s="6" t="s">
        <v>52892</v>
      </c>
      <c r="I4338" s="7">
        <f t="shared" si="3"/>
        <v>0.6927640255</v>
      </c>
    </row>
    <row r="4339">
      <c r="A4339" s="4">
        <v>4339.0</v>
      </c>
      <c r="B4339" s="3" t="s">
        <v>52893</v>
      </c>
      <c r="C4339" s="6" t="s">
        <v>74</v>
      </c>
      <c r="D4339" s="6" t="s">
        <v>52894</v>
      </c>
      <c r="E4339" s="3" t="str">
        <f t="shared" si="1"/>
        <v>vacuum&lt;br&gt;&lt;div class="audio"&gt;[sound:vacuum.mp3]&lt;/div&gt;</v>
      </c>
      <c r="F4339" s="3" t="str">
        <f t="shared" si="2"/>
        <v>(n): máy hút bụi</v>
      </c>
      <c r="G4339" s="6" t="s">
        <v>52895</v>
      </c>
      <c r="H4339" s="6" t="s">
        <v>52896</v>
      </c>
      <c r="I4339" s="7">
        <f t="shared" si="3"/>
        <v>0.4857616503</v>
      </c>
    </row>
    <row r="4340">
      <c r="A4340" s="4">
        <v>4340.0</v>
      </c>
      <c r="B4340" s="3" t="s">
        <v>52897</v>
      </c>
      <c r="C4340" s="6" t="s">
        <v>11</v>
      </c>
      <c r="D4340" s="6" t="s">
        <v>52898</v>
      </c>
      <c r="E4340" s="3" t="str">
        <f t="shared" si="1"/>
        <v>frustrating&lt;br&gt;&lt;div class="audio"&gt;[sound:frustrating.mp3]&lt;/div&gt;</v>
      </c>
      <c r="F4340" s="3" t="str">
        <f t="shared" si="2"/>
        <v>(adj): gây bực bội</v>
      </c>
      <c r="G4340" s="6" t="s">
        <v>52899</v>
      </c>
      <c r="H4340" s="6" t="s">
        <v>52900</v>
      </c>
      <c r="I4340" s="7">
        <f t="shared" si="3"/>
        <v>0.8556766774</v>
      </c>
    </row>
    <row r="4341">
      <c r="A4341" s="4">
        <v>4341.0</v>
      </c>
      <c r="B4341" s="3" t="s">
        <v>52901</v>
      </c>
      <c r="C4341" s="6" t="s">
        <v>74</v>
      </c>
      <c r="D4341" s="6" t="s">
        <v>52902</v>
      </c>
      <c r="E4341" s="3" t="str">
        <f t="shared" si="1"/>
        <v>assault&lt;br&gt;&lt;div class="audio"&gt;[sound:assault.mp3]&lt;/div&gt;</v>
      </c>
      <c r="F4341" s="3" t="str">
        <f t="shared" si="2"/>
        <v>(n): sự tấn công</v>
      </c>
      <c r="G4341" s="6" t="s">
        <v>52903</v>
      </c>
      <c r="H4341" s="6" t="s">
        <v>52904</v>
      </c>
      <c r="I4341" s="7">
        <f t="shared" si="3"/>
        <v>0.7284963767</v>
      </c>
    </row>
    <row r="4342">
      <c r="A4342" s="4">
        <v>4342.0</v>
      </c>
      <c r="B4342" s="3" t="s">
        <v>52905</v>
      </c>
      <c r="C4342" s="6" t="s">
        <v>74</v>
      </c>
      <c r="D4342" s="6" t="s">
        <v>52906</v>
      </c>
      <c r="E4342" s="3" t="str">
        <f t="shared" si="1"/>
        <v>judgment&lt;br&gt;&lt;div class="audio"&gt;[sound:judgment.mp3]&lt;/div&gt;</v>
      </c>
      <c r="F4342" s="3" t="str">
        <f t="shared" si="2"/>
        <v>(n): sự phán xét</v>
      </c>
      <c r="G4342" s="6" t="s">
        <v>52907</v>
      </c>
      <c r="H4342" s="6" t="s">
        <v>52908</v>
      </c>
      <c r="I4342" s="7">
        <f t="shared" si="3"/>
        <v>0.1449337488</v>
      </c>
    </row>
    <row r="4343">
      <c r="A4343" s="4">
        <v>4343.0</v>
      </c>
      <c r="B4343" s="3" t="s">
        <v>52909</v>
      </c>
      <c r="C4343" s="6" t="s">
        <v>74</v>
      </c>
      <c r="D4343" s="6" t="s">
        <v>15647</v>
      </c>
      <c r="E4343" s="3" t="str">
        <f t="shared" si="1"/>
        <v>merger&lt;br&gt;&lt;div class="audio"&gt;[sound:merger.mp3]&lt;/div&gt;</v>
      </c>
      <c r="F4343" s="3" t="str">
        <f t="shared" si="2"/>
        <v>(n): sự sáp nhập</v>
      </c>
      <c r="G4343" s="6" t="s">
        <v>52910</v>
      </c>
      <c r="H4343" s="6" t="s">
        <v>52911</v>
      </c>
      <c r="I4343" s="7">
        <f t="shared" si="3"/>
        <v>0.02914495239</v>
      </c>
    </row>
    <row r="4344">
      <c r="A4344" s="4">
        <v>4344.0</v>
      </c>
      <c r="B4344" s="3" t="s">
        <v>52912</v>
      </c>
      <c r="C4344" s="6" t="s">
        <v>74</v>
      </c>
      <c r="D4344" s="6" t="s">
        <v>52913</v>
      </c>
      <c r="E4344" s="3" t="str">
        <f t="shared" si="1"/>
        <v>mineral&lt;br&gt;&lt;div class="audio"&gt;[sound:mineral.mp3]&lt;/div&gt;</v>
      </c>
      <c r="F4344" s="3" t="str">
        <f t="shared" si="2"/>
        <v>(n): khoáng chất</v>
      </c>
      <c r="G4344" s="6" t="s">
        <v>52914</v>
      </c>
      <c r="H4344" s="6" t="s">
        <v>52915</v>
      </c>
      <c r="I4344" s="7">
        <f t="shared" si="3"/>
        <v>0.4988424719</v>
      </c>
    </row>
    <row r="4345">
      <c r="A4345" s="4">
        <v>4345.0</v>
      </c>
      <c r="B4345" s="3" t="s">
        <v>52916</v>
      </c>
      <c r="C4345" s="6" t="s">
        <v>74</v>
      </c>
      <c r="D4345" s="6" t="s">
        <v>15695</v>
      </c>
      <c r="E4345" s="3" t="str">
        <f t="shared" si="1"/>
        <v>exclusion&lt;br&gt;&lt;div class="audio"&gt;[sound:exclusion.mp3]&lt;/div&gt;</v>
      </c>
      <c r="F4345" s="3" t="str">
        <f t="shared" si="2"/>
        <v>(n): sự loại trừ</v>
      </c>
      <c r="G4345" s="6" t="s">
        <v>52917</v>
      </c>
      <c r="H4345" s="6" t="s">
        <v>52918</v>
      </c>
      <c r="I4345" s="7">
        <f t="shared" si="3"/>
        <v>0.9669501028</v>
      </c>
    </row>
    <row r="4346">
      <c r="A4346" s="4">
        <v>4346.0</v>
      </c>
      <c r="B4346" s="3" t="s">
        <v>52919</v>
      </c>
      <c r="C4346" s="6" t="s">
        <v>74</v>
      </c>
      <c r="D4346" s="6" t="s">
        <v>5795</v>
      </c>
      <c r="E4346" s="3" t="str">
        <f t="shared" si="1"/>
        <v>warfare&lt;br&gt;&lt;div class="audio"&gt;[sound:warfare.mp3]&lt;/div&gt;</v>
      </c>
      <c r="F4346" s="3" t="str">
        <f t="shared" si="2"/>
        <v>(n): chiến tranh</v>
      </c>
      <c r="G4346" s="6" t="s">
        <v>52920</v>
      </c>
      <c r="H4346" s="6" t="s">
        <v>52921</v>
      </c>
      <c r="I4346" s="7">
        <f t="shared" si="3"/>
        <v>0.5296454366</v>
      </c>
    </row>
    <row r="4347">
      <c r="A4347" s="4">
        <v>4347.0</v>
      </c>
      <c r="B4347" s="3" t="s">
        <v>52922</v>
      </c>
      <c r="C4347" s="6" t="s">
        <v>24</v>
      </c>
      <c r="D4347" s="6" t="s">
        <v>52923</v>
      </c>
      <c r="E4347" s="3" t="str">
        <f t="shared" si="1"/>
        <v>undermine&lt;br&gt;&lt;div class="audio"&gt;[sound:undermine.mp3]&lt;/div&gt;</v>
      </c>
      <c r="F4347" s="3" t="str">
        <f t="shared" si="2"/>
        <v>(v): làm suy yếu</v>
      </c>
      <c r="G4347" s="6" t="s">
        <v>52924</v>
      </c>
      <c r="H4347" s="6" t="s">
        <v>52925</v>
      </c>
      <c r="I4347" s="7">
        <f t="shared" si="3"/>
        <v>0.2293291696</v>
      </c>
    </row>
    <row r="4348">
      <c r="A4348" s="4">
        <v>4348.0</v>
      </c>
      <c r="B4348" s="3" t="s">
        <v>52926</v>
      </c>
      <c r="C4348" s="6" t="s">
        <v>74</v>
      </c>
      <c r="D4348" s="6" t="s">
        <v>52927</v>
      </c>
      <c r="E4348" s="3" t="str">
        <f t="shared" si="1"/>
        <v>blend&lt;br&gt;&lt;div class="audio"&gt;[sound:blend.mp3]&lt;/div&gt;</v>
      </c>
      <c r="F4348" s="3" t="str">
        <f t="shared" si="2"/>
        <v>(n): sự pha trộn</v>
      </c>
      <c r="G4348" s="6" t="s">
        <v>52928</v>
      </c>
      <c r="H4348" s="6" t="s">
        <v>52929</v>
      </c>
      <c r="I4348" s="7">
        <f t="shared" si="3"/>
        <v>0.1922194097</v>
      </c>
    </row>
    <row r="4349">
      <c r="A4349" s="4">
        <v>4349.0</v>
      </c>
      <c r="B4349" s="3" t="s">
        <v>52930</v>
      </c>
      <c r="C4349" s="6" t="s">
        <v>11</v>
      </c>
      <c r="D4349" s="6" t="s">
        <v>46906</v>
      </c>
      <c r="E4349" s="3" t="str">
        <f t="shared" si="1"/>
        <v>notable&lt;br&gt;&lt;div class="audio"&gt;[sound:notable.mp3]&lt;/div&gt;</v>
      </c>
      <c r="F4349" s="3" t="str">
        <f t="shared" si="2"/>
        <v>(adj): đáng chú ý</v>
      </c>
      <c r="G4349" s="6" t="s">
        <v>52931</v>
      </c>
      <c r="H4349" s="6" t="s">
        <v>52932</v>
      </c>
      <c r="I4349" s="7">
        <f t="shared" si="3"/>
        <v>0.8480553888</v>
      </c>
    </row>
    <row r="4350">
      <c r="A4350" s="4">
        <v>4350.0</v>
      </c>
      <c r="B4350" s="3" t="s">
        <v>52933</v>
      </c>
      <c r="C4350" s="6" t="s">
        <v>24</v>
      </c>
      <c r="D4350" s="6" t="s">
        <v>5900</v>
      </c>
      <c r="E4350" s="3" t="str">
        <f t="shared" si="1"/>
        <v>assert&lt;br&gt;&lt;div class="audio"&gt;[sound:assert.mp3]&lt;/div&gt;</v>
      </c>
      <c r="F4350" s="3" t="str">
        <f t="shared" si="2"/>
        <v>(v): khẳng định</v>
      </c>
      <c r="G4350" s="6" t="s">
        <v>52934</v>
      </c>
      <c r="H4350" s="6" t="s">
        <v>52935</v>
      </c>
      <c r="I4350" s="7">
        <f t="shared" si="3"/>
        <v>0.4085732563</v>
      </c>
    </row>
    <row r="4351">
      <c r="A4351" s="4">
        <v>4351.0</v>
      </c>
      <c r="B4351" s="3" t="s">
        <v>52936</v>
      </c>
      <c r="C4351" s="6" t="s">
        <v>74</v>
      </c>
      <c r="D4351" s="6" t="s">
        <v>9442</v>
      </c>
      <c r="E4351" s="3" t="str">
        <f t="shared" si="1"/>
        <v>assurance&lt;br&gt;&lt;div class="audio"&gt;[sound:assurance.mp3]&lt;/div&gt;</v>
      </c>
      <c r="F4351" s="3" t="str">
        <f t="shared" si="2"/>
        <v>(n): sự đảm bảo</v>
      </c>
      <c r="G4351" s="6" t="s">
        <v>52937</v>
      </c>
      <c r="H4351" s="6" t="s">
        <v>52938</v>
      </c>
      <c r="I4351" s="7">
        <f t="shared" si="3"/>
        <v>0.6096320465</v>
      </c>
    </row>
    <row r="4352">
      <c r="A4352" s="4">
        <v>4352.0</v>
      </c>
      <c r="B4352" s="3" t="s">
        <v>52939</v>
      </c>
      <c r="C4352" s="6" t="s">
        <v>74</v>
      </c>
      <c r="D4352" s="6" t="s">
        <v>24909</v>
      </c>
      <c r="E4352" s="3" t="str">
        <f t="shared" si="1"/>
        <v>wardrobe&lt;br&gt;&lt;div class="audio"&gt;[sound:wardrobe.mp3]&lt;/div&gt;</v>
      </c>
      <c r="F4352" s="3" t="str">
        <f t="shared" si="2"/>
        <v>(n): tủ quần áo</v>
      </c>
      <c r="G4352" s="6" t="s">
        <v>52940</v>
      </c>
      <c r="H4352" s="6" t="s">
        <v>52941</v>
      </c>
      <c r="I4352" s="7">
        <f t="shared" si="3"/>
        <v>0.6350699421</v>
      </c>
    </row>
    <row r="4353">
      <c r="A4353" s="4">
        <v>4353.0</v>
      </c>
      <c r="B4353" s="3" t="s">
        <v>52942</v>
      </c>
      <c r="C4353" s="6" t="s">
        <v>11</v>
      </c>
      <c r="D4353" s="6" t="s">
        <v>52943</v>
      </c>
      <c r="E4353" s="3" t="str">
        <f t="shared" si="1"/>
        <v>meaningful&lt;br&gt;&lt;div class="audio"&gt;[sound:meaningful.mp3]&lt;/div&gt;</v>
      </c>
      <c r="F4353" s="3" t="str">
        <f t="shared" si="2"/>
        <v>(adj): có ý nghĩa</v>
      </c>
      <c r="G4353" s="6" t="s">
        <v>52944</v>
      </c>
      <c r="H4353" s="6" t="s">
        <v>52945</v>
      </c>
      <c r="I4353" s="7">
        <f t="shared" si="3"/>
        <v>0.2934120052</v>
      </c>
    </row>
    <row r="4354">
      <c r="A4354" s="4">
        <v>4354.0</v>
      </c>
      <c r="B4354" s="3" t="s">
        <v>52946</v>
      </c>
      <c r="C4354" s="6" t="s">
        <v>74</v>
      </c>
      <c r="D4354" s="6" t="s">
        <v>52947</v>
      </c>
      <c r="E4354" s="3" t="str">
        <f t="shared" si="1"/>
        <v>pill&lt;br&gt;&lt;div class="audio"&gt;[sound:pill.mp3]&lt;/div&gt;</v>
      </c>
      <c r="F4354" s="3" t="str">
        <f t="shared" si="2"/>
        <v>(n): viên thuốc</v>
      </c>
      <c r="G4354" s="6" t="s">
        <v>52948</v>
      </c>
      <c r="H4354" s="6" t="s">
        <v>52949</v>
      </c>
      <c r="I4354" s="7">
        <f t="shared" si="3"/>
        <v>0.5892350558</v>
      </c>
    </row>
    <row r="4355">
      <c r="A4355" s="4">
        <v>4355.0</v>
      </c>
      <c r="B4355" s="3" t="s">
        <v>52950</v>
      </c>
      <c r="C4355" s="6" t="s">
        <v>74</v>
      </c>
      <c r="D4355" s="6" t="s">
        <v>52951</v>
      </c>
      <c r="E4355" s="3" t="str">
        <f t="shared" si="1"/>
        <v>warrior&lt;br&gt;&lt;div class="audio"&gt;[sound:warrior.mp3]&lt;/div&gt;</v>
      </c>
      <c r="F4355" s="3" t="str">
        <f t="shared" si="2"/>
        <v>(n): chiến binh</v>
      </c>
      <c r="G4355" s="6" t="s">
        <v>52952</v>
      </c>
      <c r="H4355" s="6" t="s">
        <v>52953</v>
      </c>
      <c r="I4355" s="7">
        <f t="shared" si="3"/>
        <v>0.1771357681</v>
      </c>
    </row>
    <row r="4356">
      <c r="A4356" s="4">
        <v>4356.0</v>
      </c>
      <c r="B4356" s="3" t="s">
        <v>52954</v>
      </c>
      <c r="C4356" s="6" t="s">
        <v>74</v>
      </c>
      <c r="D4356" s="6" t="s">
        <v>52955</v>
      </c>
      <c r="E4356" s="3" t="str">
        <f t="shared" si="1"/>
        <v>genocide&lt;br&gt;&lt;div class="audio"&gt;[sound:genocide.mp3]&lt;/div&gt;</v>
      </c>
      <c r="F4356" s="3" t="str">
        <f t="shared" si="2"/>
        <v>(n): diệt chủng</v>
      </c>
      <c r="G4356" s="6" t="s">
        <v>52956</v>
      </c>
      <c r="H4356" s="6" t="s">
        <v>52957</v>
      </c>
      <c r="I4356" s="7">
        <f t="shared" si="3"/>
        <v>0.3664619514</v>
      </c>
    </row>
    <row r="4357">
      <c r="A4357" s="4">
        <v>4357.0</v>
      </c>
      <c r="B4357" s="3" t="s">
        <v>52958</v>
      </c>
      <c r="C4357" s="6" t="s">
        <v>11</v>
      </c>
      <c r="D4357" s="6" t="s">
        <v>23541</v>
      </c>
      <c r="E4357" s="3" t="str">
        <f t="shared" si="1"/>
        <v>abstract&lt;br&gt;&lt;div class="audio"&gt;[sound:abstract.mp3]&lt;/div&gt;</v>
      </c>
      <c r="F4357" s="3" t="str">
        <f t="shared" si="2"/>
        <v>(adj): trừu tượng</v>
      </c>
      <c r="G4357" s="6" t="s">
        <v>52959</v>
      </c>
      <c r="H4357" s="6" t="s">
        <v>52960</v>
      </c>
      <c r="I4357" s="7">
        <f t="shared" si="3"/>
        <v>0.08530516386</v>
      </c>
    </row>
    <row r="4358">
      <c r="A4358" s="4">
        <v>4358.0</v>
      </c>
      <c r="B4358" s="3" t="s">
        <v>52961</v>
      </c>
      <c r="C4358" s="6" t="s">
        <v>74</v>
      </c>
      <c r="D4358" s="6" t="s">
        <v>49579</v>
      </c>
      <c r="E4358" s="3" t="str">
        <f t="shared" si="1"/>
        <v>amendment&lt;br&gt;&lt;div class="audio"&gt;[sound:amendment.mp3]&lt;/div&gt;</v>
      </c>
      <c r="F4358" s="3" t="str">
        <f t="shared" si="2"/>
        <v>(n): sự sửa đổi</v>
      </c>
      <c r="G4358" s="6" t="s">
        <v>52962</v>
      </c>
      <c r="H4358" s="6" t="s">
        <v>52963</v>
      </c>
      <c r="I4358" s="7">
        <f t="shared" si="3"/>
        <v>0.4318859663</v>
      </c>
    </row>
    <row r="4359">
      <c r="A4359" s="4">
        <v>4359.0</v>
      </c>
      <c r="B4359" s="3" t="s">
        <v>52964</v>
      </c>
      <c r="C4359" s="6" t="s">
        <v>74</v>
      </c>
      <c r="D4359" s="6" t="s">
        <v>45464</v>
      </c>
      <c r="E4359" s="3" t="str">
        <f t="shared" si="1"/>
        <v>preservation&lt;br&gt;&lt;div class="audio"&gt;[sound:preservation.mp3]&lt;/div&gt;</v>
      </c>
      <c r="F4359" s="3" t="str">
        <f t="shared" si="2"/>
        <v>(n): sự bảo tồn</v>
      </c>
      <c r="G4359" s="6" t="s">
        <v>52965</v>
      </c>
      <c r="H4359" s="6" t="s">
        <v>52966</v>
      </c>
      <c r="I4359" s="7">
        <f t="shared" si="3"/>
        <v>0.7319938287</v>
      </c>
    </row>
    <row r="4360">
      <c r="A4360" s="4">
        <v>4360.0</v>
      </c>
      <c r="B4360" s="3" t="s">
        <v>52967</v>
      </c>
      <c r="C4360" s="6" t="s">
        <v>24</v>
      </c>
      <c r="D4360" s="6" t="s">
        <v>48365</v>
      </c>
      <c r="E4360" s="3" t="str">
        <f t="shared" si="1"/>
        <v>activate&lt;br&gt;&lt;div class="audio"&gt;[sound:activate.mp3]&lt;/div&gt;</v>
      </c>
      <c r="F4360" s="3" t="str">
        <f t="shared" si="2"/>
        <v>(v): kích hoạt</v>
      </c>
      <c r="G4360" s="6" t="s">
        <v>52968</v>
      </c>
      <c r="H4360" s="6" t="s">
        <v>52969</v>
      </c>
      <c r="I4360" s="7">
        <f t="shared" si="3"/>
        <v>0.00531222045</v>
      </c>
    </row>
    <row r="4361">
      <c r="A4361" s="4">
        <v>4361.0</v>
      </c>
      <c r="B4361" s="3" t="s">
        <v>52970</v>
      </c>
      <c r="C4361" s="6" t="s">
        <v>24</v>
      </c>
      <c r="D4361" s="6" t="s">
        <v>27730</v>
      </c>
      <c r="E4361" s="3" t="str">
        <f t="shared" si="1"/>
        <v>annoy&lt;br&gt;&lt;div class="audio"&gt;[sound:annoy.mp3]&lt;/div&gt;</v>
      </c>
      <c r="F4361" s="3" t="str">
        <f t="shared" si="2"/>
        <v>(v): làm phiền</v>
      </c>
      <c r="G4361" s="6" t="s">
        <v>52971</v>
      </c>
      <c r="H4361" s="6" t="s">
        <v>52972</v>
      </c>
      <c r="I4361" s="7">
        <f t="shared" si="3"/>
        <v>0.02026811255</v>
      </c>
    </row>
    <row r="4362">
      <c r="A4362" s="4">
        <v>4362.0</v>
      </c>
      <c r="B4362" s="3" t="s">
        <v>52973</v>
      </c>
      <c r="C4362" s="6" t="s">
        <v>74</v>
      </c>
      <c r="D4362" s="6" t="s">
        <v>52974</v>
      </c>
      <c r="E4362" s="3" t="str">
        <f t="shared" si="1"/>
        <v>prescription&lt;br&gt;&lt;div class="audio"&gt;[sound:prescription.mp3]&lt;/div&gt;</v>
      </c>
      <c r="F4362" s="3" t="str">
        <f t="shared" si="2"/>
        <v>(n): đơn thuốc</v>
      </c>
      <c r="G4362" s="6" t="s">
        <v>52975</v>
      </c>
      <c r="H4362" s="6" t="s">
        <v>52976</v>
      </c>
      <c r="I4362" s="7">
        <f t="shared" si="3"/>
        <v>0.03160012198</v>
      </c>
    </row>
    <row r="4363">
      <c r="A4363" s="4">
        <v>4363.0</v>
      </c>
      <c r="B4363" s="3" t="s">
        <v>52977</v>
      </c>
      <c r="C4363" s="6" t="s">
        <v>24</v>
      </c>
      <c r="D4363" s="6" t="s">
        <v>52978</v>
      </c>
      <c r="E4363" s="3" t="str">
        <f t="shared" si="1"/>
        <v>testify&lt;br&gt;&lt;div class="audio"&gt;[sound:testify.mp3]&lt;/div&gt;</v>
      </c>
      <c r="F4363" s="3" t="str">
        <f t="shared" si="2"/>
        <v>(v): làm chứng</v>
      </c>
      <c r="G4363" s="6" t="s">
        <v>52979</v>
      </c>
      <c r="H4363" s="6" t="s">
        <v>52980</v>
      </c>
      <c r="I4363" s="7">
        <f t="shared" si="3"/>
        <v>0.5524215218</v>
      </c>
    </row>
    <row r="4364">
      <c r="A4364" s="4">
        <v>4364.0</v>
      </c>
      <c r="B4364" s="3" t="s">
        <v>52981</v>
      </c>
      <c r="C4364" s="6" t="s">
        <v>74</v>
      </c>
      <c r="D4364" s="6" t="s">
        <v>52982</v>
      </c>
      <c r="E4364" s="3" t="str">
        <f t="shared" si="1"/>
        <v>addiction&lt;br&gt;&lt;div class="audio"&gt;[sound:addiction.mp3]&lt;/div&gt;</v>
      </c>
      <c r="F4364" s="3" t="str">
        <f t="shared" si="2"/>
        <v>(n): sự nghiện</v>
      </c>
      <c r="G4364" s="6" t="s">
        <v>52983</v>
      </c>
      <c r="H4364" s="6" t="s">
        <v>52984</v>
      </c>
      <c r="I4364" s="7">
        <f t="shared" si="3"/>
        <v>0.687715725</v>
      </c>
    </row>
    <row r="4365">
      <c r="A4365" s="4">
        <v>4365.0</v>
      </c>
      <c r="B4365" s="3" t="s">
        <v>52985</v>
      </c>
      <c r="C4365" s="6" t="s">
        <v>74</v>
      </c>
      <c r="D4365" s="6" t="s">
        <v>6873</v>
      </c>
      <c r="E4365" s="3" t="str">
        <f t="shared" si="1"/>
        <v>backing&lt;br&gt;&lt;div class="audio"&gt;[sound:backing.mp3]&lt;/div&gt;</v>
      </c>
      <c r="F4365" s="3" t="str">
        <f t="shared" si="2"/>
        <v>(n): sự hỗ trợ</v>
      </c>
      <c r="G4365" s="6" t="s">
        <v>52986</v>
      </c>
      <c r="H4365" s="6" t="s">
        <v>52987</v>
      </c>
      <c r="I4365" s="7">
        <f t="shared" si="3"/>
        <v>0.8289079301</v>
      </c>
    </row>
    <row r="4366">
      <c r="A4366" s="4">
        <v>4366.0</v>
      </c>
      <c r="B4366" s="3" t="s">
        <v>52988</v>
      </c>
      <c r="C4366" s="6" t="s">
        <v>74</v>
      </c>
      <c r="D4366" s="6" t="s">
        <v>10459</v>
      </c>
      <c r="E4366" s="3" t="str">
        <f t="shared" si="1"/>
        <v>ally&lt;br&gt;&lt;div class="audio"&gt;[sound:ally.mp3]&lt;/div&gt;</v>
      </c>
      <c r="F4366" s="3" t="str">
        <f t="shared" si="2"/>
        <v>(n): đồng minh</v>
      </c>
      <c r="G4366" s="6" t="s">
        <v>52989</v>
      </c>
      <c r="H4366" s="6" t="s">
        <v>52990</v>
      </c>
      <c r="I4366" s="7">
        <f t="shared" si="3"/>
        <v>0.4912688155</v>
      </c>
    </row>
    <row r="4367">
      <c r="A4367" s="4">
        <v>4367.0</v>
      </c>
      <c r="B4367" s="3" t="s">
        <v>52991</v>
      </c>
      <c r="C4367" s="6" t="s">
        <v>11</v>
      </c>
      <c r="D4367" s="6" t="s">
        <v>15839</v>
      </c>
      <c r="E4367" s="3" t="str">
        <f t="shared" si="1"/>
        <v>worthy&lt;br&gt;&lt;div class="audio"&gt;[sound:worthy.mp3]&lt;/div&gt;</v>
      </c>
      <c r="F4367" s="3" t="str">
        <f t="shared" si="2"/>
        <v>(adj): xứng đáng</v>
      </c>
      <c r="G4367" s="6" t="s">
        <v>52992</v>
      </c>
      <c r="H4367" s="6" t="s">
        <v>52993</v>
      </c>
      <c r="I4367" s="7">
        <f t="shared" si="3"/>
        <v>0.3725150693</v>
      </c>
    </row>
    <row r="4368">
      <c r="A4368" s="4">
        <v>4368.0</v>
      </c>
      <c r="B4368" s="3" t="s">
        <v>52994</v>
      </c>
      <c r="C4368" s="6" t="s">
        <v>74</v>
      </c>
      <c r="D4368" s="6" t="s">
        <v>52995</v>
      </c>
      <c r="E4368" s="3" t="str">
        <f t="shared" si="1"/>
        <v>banana&lt;br&gt;&lt;div class="audio"&gt;[sound:banana.mp3]&lt;/div&gt;</v>
      </c>
      <c r="F4368" s="3" t="str">
        <f t="shared" si="2"/>
        <v>(n): quả chuối</v>
      </c>
      <c r="G4368" s="6" t="s">
        <v>52996</v>
      </c>
      <c r="H4368" s="6" t="s">
        <v>52997</v>
      </c>
      <c r="I4368" s="7">
        <f t="shared" si="3"/>
        <v>0.8923868459</v>
      </c>
    </row>
    <row r="4369">
      <c r="A4369" s="4">
        <v>4369.0</v>
      </c>
      <c r="B4369" s="3" t="s">
        <v>52998</v>
      </c>
      <c r="C4369" s="6" t="s">
        <v>74</v>
      </c>
      <c r="D4369" s="6" t="s">
        <v>52999</v>
      </c>
      <c r="E4369" s="3" t="str">
        <f t="shared" si="1"/>
        <v>plug&lt;br&gt;&lt;div class="audio"&gt;[sound:plug.mp3]&lt;/div&gt;</v>
      </c>
      <c r="F4369" s="3" t="str">
        <f t="shared" si="2"/>
        <v>(n): phích cắm</v>
      </c>
      <c r="G4369" s="6" t="s">
        <v>53000</v>
      </c>
      <c r="H4369" s="6" t="s">
        <v>53001</v>
      </c>
      <c r="I4369" s="7">
        <f t="shared" si="3"/>
        <v>0.4143928209</v>
      </c>
    </row>
    <row r="4370">
      <c r="A4370" s="4">
        <v>4370.0</v>
      </c>
      <c r="B4370" s="3" t="s">
        <v>53002</v>
      </c>
      <c r="C4370" s="6" t="s">
        <v>85</v>
      </c>
      <c r="D4370" s="6" t="s">
        <v>874</v>
      </c>
      <c r="E4370" s="3" t="str">
        <f t="shared" si="1"/>
        <v>undoubtedly&lt;br&gt;&lt;div class="audio"&gt;[sound:undoubtedly.mp3]&lt;/div&gt;</v>
      </c>
      <c r="F4370" s="3" t="str">
        <f t="shared" si="2"/>
        <v>(adv): chắc chắn</v>
      </c>
      <c r="G4370" s="6" t="s">
        <v>53003</v>
      </c>
      <c r="H4370" s="6" t="s">
        <v>53004</v>
      </c>
      <c r="I4370" s="7">
        <f t="shared" si="3"/>
        <v>0.428002024</v>
      </c>
    </row>
    <row r="4371">
      <c r="A4371" s="4">
        <v>4371.0</v>
      </c>
      <c r="B4371" s="3" t="s">
        <v>53005</v>
      </c>
      <c r="C4371" s="6" t="s">
        <v>85</v>
      </c>
      <c r="D4371" s="6" t="s">
        <v>4743</v>
      </c>
      <c r="E4371" s="3" t="str">
        <f t="shared" si="1"/>
        <v>wholly&lt;br&gt;&lt;div class="audio"&gt;[sound:wholly.mp3]&lt;/div&gt;</v>
      </c>
      <c r="F4371" s="3" t="str">
        <f t="shared" si="2"/>
        <v>(adv): hoàn toàn</v>
      </c>
      <c r="G4371" s="6" t="s">
        <v>53006</v>
      </c>
      <c r="H4371" s="6" t="s">
        <v>53007</v>
      </c>
      <c r="I4371" s="7">
        <f t="shared" si="3"/>
        <v>0.3796144385</v>
      </c>
    </row>
    <row r="4372">
      <c r="A4372" s="4">
        <v>4372.0</v>
      </c>
      <c r="B4372" s="3" t="s">
        <v>53008</v>
      </c>
      <c r="C4372" s="6" t="s">
        <v>74</v>
      </c>
      <c r="D4372" s="6" t="s">
        <v>53009</v>
      </c>
      <c r="E4372" s="3" t="str">
        <f t="shared" si="1"/>
        <v>bin&lt;br&gt;&lt;div class="audio"&gt;[sound:bin.mp3]&lt;/div&gt;</v>
      </c>
      <c r="F4372" s="3" t="str">
        <f t="shared" si="2"/>
        <v>(n): thùng rác</v>
      </c>
      <c r="G4372" s="6" t="s">
        <v>53010</v>
      </c>
      <c r="H4372" s="6" t="s">
        <v>53011</v>
      </c>
      <c r="I4372" s="7">
        <f t="shared" si="3"/>
        <v>0.3499219423</v>
      </c>
    </row>
    <row r="4373">
      <c r="A4373" s="4">
        <v>4373.0</v>
      </c>
      <c r="B4373" s="3" t="s">
        <v>53012</v>
      </c>
      <c r="C4373" s="6" t="s">
        <v>74</v>
      </c>
      <c r="D4373" s="6" t="s">
        <v>40654</v>
      </c>
      <c r="E4373" s="3" t="str">
        <f t="shared" si="1"/>
        <v>listing&lt;br&gt;&lt;div class="audio"&gt;[sound:listing.mp3]&lt;/div&gt;</v>
      </c>
      <c r="F4373" s="3" t="str">
        <f t="shared" si="2"/>
        <v>(n): danh sách</v>
      </c>
      <c r="G4373" s="6" t="s">
        <v>53013</v>
      </c>
      <c r="H4373" s="6" t="s">
        <v>53014</v>
      </c>
      <c r="I4373" s="7">
        <f t="shared" si="3"/>
        <v>0.4746952746</v>
      </c>
    </row>
    <row r="4374">
      <c r="A4374" s="4">
        <v>4374.0</v>
      </c>
      <c r="B4374" s="3" t="s">
        <v>53015</v>
      </c>
      <c r="C4374" s="6" t="s">
        <v>24</v>
      </c>
      <c r="D4374" s="6" t="s">
        <v>42998</v>
      </c>
      <c r="E4374" s="3" t="str">
        <f t="shared" si="1"/>
        <v>hail&lt;br&gt;&lt;div class="audio"&gt;[sound:hail.mp3]&lt;/div&gt;</v>
      </c>
      <c r="F4374" s="3" t="str">
        <f t="shared" si="2"/>
        <v>(v): chào mừng</v>
      </c>
      <c r="G4374" s="6" t="s">
        <v>53016</v>
      </c>
      <c r="H4374" s="6" t="s">
        <v>53017</v>
      </c>
      <c r="I4374" s="7">
        <f t="shared" si="3"/>
        <v>0.1884273893</v>
      </c>
    </row>
    <row r="4375">
      <c r="A4375" s="4">
        <v>4375.0</v>
      </c>
      <c r="B4375" s="3" t="s">
        <v>53018</v>
      </c>
      <c r="C4375" s="6" t="s">
        <v>24</v>
      </c>
      <c r="D4375" s="6" t="s">
        <v>51351</v>
      </c>
      <c r="E4375" s="3" t="str">
        <f t="shared" si="1"/>
        <v>originate&lt;br&gt;&lt;div class="audio"&gt;[sound:originate.mp3]&lt;/div&gt;</v>
      </c>
      <c r="F4375" s="3" t="str">
        <f t="shared" si="2"/>
        <v>(v): bắt nguồn</v>
      </c>
      <c r="G4375" s="6" t="s">
        <v>53019</v>
      </c>
      <c r="H4375" s="6" t="s">
        <v>53020</v>
      </c>
      <c r="I4375" s="7">
        <f t="shared" si="3"/>
        <v>0.4237450289</v>
      </c>
    </row>
    <row r="4376">
      <c r="A4376" s="4">
        <v>4376.0</v>
      </c>
      <c r="B4376" s="3" t="s">
        <v>53021</v>
      </c>
      <c r="C4376" s="6" t="s">
        <v>24</v>
      </c>
      <c r="D4376" s="6" t="s">
        <v>11221</v>
      </c>
      <c r="E4376" s="3" t="str">
        <f t="shared" si="1"/>
        <v>flee&lt;br&gt;&lt;div class="audio"&gt;[sound:flee.mp3]&lt;/div&gt;</v>
      </c>
      <c r="F4376" s="3" t="str">
        <f t="shared" si="2"/>
        <v>(v): chạy trốn</v>
      </c>
      <c r="G4376" s="6" t="s">
        <v>53022</v>
      </c>
      <c r="H4376" s="6" t="s">
        <v>53023</v>
      </c>
      <c r="I4376" s="7">
        <f t="shared" si="3"/>
        <v>0.1427253189</v>
      </c>
    </row>
    <row r="4377">
      <c r="A4377" s="4">
        <v>4377.0</v>
      </c>
      <c r="B4377" s="3" t="s">
        <v>53024</v>
      </c>
      <c r="C4377" s="6" t="s">
        <v>74</v>
      </c>
      <c r="D4377" s="6" t="s">
        <v>53025</v>
      </c>
      <c r="E4377" s="3" t="str">
        <f t="shared" si="1"/>
        <v>nail&lt;br&gt;&lt;div class="audio"&gt;[sound:nail.mp3]&lt;/div&gt;</v>
      </c>
      <c r="F4377" s="3" t="str">
        <f t="shared" si="2"/>
        <v>(n): móng tay</v>
      </c>
      <c r="G4377" s="6" t="s">
        <v>53026</v>
      </c>
      <c r="H4377" s="6" t="s">
        <v>53027</v>
      </c>
      <c r="I4377" s="7">
        <f t="shared" si="3"/>
        <v>0.2426301314</v>
      </c>
    </row>
    <row r="4378">
      <c r="A4378" s="4">
        <v>4378.0</v>
      </c>
      <c r="B4378" s="3" t="s">
        <v>53028</v>
      </c>
      <c r="C4378" s="6" t="s">
        <v>11</v>
      </c>
      <c r="D4378" s="6" t="s">
        <v>53029</v>
      </c>
      <c r="E4378" s="3" t="str">
        <f t="shared" si="1"/>
        <v>partial&lt;br&gt;&lt;div class="audio"&gt;[sound:partial.mp3]&lt;/div&gt;</v>
      </c>
      <c r="F4378" s="3" t="str">
        <f t="shared" si="2"/>
        <v>(adj): thiên vị</v>
      </c>
      <c r="G4378" s="6" t="s">
        <v>53030</v>
      </c>
      <c r="H4378" s="6" t="s">
        <v>53031</v>
      </c>
      <c r="I4378" s="7">
        <f t="shared" si="3"/>
        <v>0.9876390756</v>
      </c>
    </row>
    <row r="4379">
      <c r="A4379" s="4">
        <v>4379.0</v>
      </c>
      <c r="B4379" s="3" t="s">
        <v>53032</v>
      </c>
      <c r="C4379" s="6" t="s">
        <v>11</v>
      </c>
      <c r="D4379" s="6" t="s">
        <v>53033</v>
      </c>
      <c r="E4379" s="3" t="str">
        <f t="shared" si="1"/>
        <v>passive&lt;br&gt;&lt;div class="audio"&gt;[sound:passive.mp3]&lt;/div&gt;</v>
      </c>
      <c r="F4379" s="3" t="str">
        <f t="shared" si="2"/>
        <v>(adj): thụ động</v>
      </c>
      <c r="G4379" s="6" t="s">
        <v>53034</v>
      </c>
      <c r="H4379" s="6" t="s">
        <v>53035</v>
      </c>
      <c r="I4379" s="7">
        <f t="shared" si="3"/>
        <v>0.7537444091</v>
      </c>
    </row>
    <row r="4380">
      <c r="A4380" s="4">
        <v>4380.0</v>
      </c>
      <c r="B4380" s="3" t="s">
        <v>53036</v>
      </c>
      <c r="C4380" s="6" t="s">
        <v>11</v>
      </c>
      <c r="D4380" s="6" t="s">
        <v>24068</v>
      </c>
      <c r="E4380" s="3" t="str">
        <f t="shared" si="1"/>
        <v>moderate&lt;br&gt;&lt;div class="audio"&gt;[sound:moderate.mp3]&lt;/div&gt;</v>
      </c>
      <c r="F4380" s="3" t="str">
        <f t="shared" si="2"/>
        <v>(adj): vừa phải</v>
      </c>
      <c r="G4380" s="6" t="s">
        <v>53037</v>
      </c>
      <c r="H4380" s="6" t="s">
        <v>53038</v>
      </c>
      <c r="I4380" s="7">
        <f t="shared" si="3"/>
        <v>0.4198232262</v>
      </c>
    </row>
    <row r="4381">
      <c r="A4381" s="4">
        <v>4381.0</v>
      </c>
      <c r="B4381" s="3" t="s">
        <v>53039</v>
      </c>
      <c r="C4381" s="6" t="s">
        <v>11</v>
      </c>
      <c r="D4381" s="6" t="s">
        <v>53040</v>
      </c>
      <c r="E4381" s="3" t="str">
        <f t="shared" si="1"/>
        <v>verbal&lt;br&gt;&lt;div class="audio"&gt;[sound:verbal.mp3]&lt;/div&gt;</v>
      </c>
      <c r="F4381" s="3" t="str">
        <f t="shared" si="2"/>
        <v>(adj): bằng lời</v>
      </c>
      <c r="G4381" s="6" t="s">
        <v>53041</v>
      </c>
      <c r="H4381" s="6" t="s">
        <v>53042</v>
      </c>
      <c r="I4381" s="7">
        <f t="shared" si="3"/>
        <v>0.902922184</v>
      </c>
    </row>
    <row r="4382">
      <c r="A4382" s="4">
        <v>4382.0</v>
      </c>
      <c r="B4382" s="3" t="s">
        <v>53043</v>
      </c>
      <c r="C4382" s="6" t="s">
        <v>11</v>
      </c>
      <c r="D4382" s="6" t="s">
        <v>53044</v>
      </c>
      <c r="E4382" s="3" t="str">
        <f t="shared" si="1"/>
        <v>old-fashioned&lt;br&gt;&lt;div class="audio"&gt;[sound:old-fashioned.mp3]&lt;/div&gt;</v>
      </c>
      <c r="F4382" s="3" t="str">
        <f t="shared" si="2"/>
        <v>(adj): lỗi thời</v>
      </c>
      <c r="G4382" s="6" t="s">
        <v>53045</v>
      </c>
      <c r="H4382" s="6" t="s">
        <v>53046</v>
      </c>
      <c r="I4382" s="7">
        <f t="shared" si="3"/>
        <v>0.3320563981</v>
      </c>
    </row>
    <row r="4383">
      <c r="A4383" s="4">
        <v>4383.0</v>
      </c>
      <c r="B4383" s="3" t="s">
        <v>53047</v>
      </c>
      <c r="C4383" s="6" t="s">
        <v>11</v>
      </c>
      <c r="D4383" s="6" t="s">
        <v>53048</v>
      </c>
      <c r="E4383" s="3" t="str">
        <f t="shared" si="1"/>
        <v>unconscious&lt;br&gt;&lt;div class="audio"&gt;[sound:unconscious.mp3]&lt;/div&gt;</v>
      </c>
      <c r="F4383" s="3" t="str">
        <f t="shared" si="2"/>
        <v>(adj): bất tỉnh</v>
      </c>
      <c r="G4383" s="6" t="s">
        <v>53049</v>
      </c>
      <c r="H4383" s="6" t="s">
        <v>53050</v>
      </c>
      <c r="I4383" s="7">
        <f t="shared" si="3"/>
        <v>0.3729995555</v>
      </c>
    </row>
    <row r="4384">
      <c r="A4384" s="4">
        <v>4384.0</v>
      </c>
      <c r="B4384" s="3" t="s">
        <v>53051</v>
      </c>
      <c r="C4384" s="6" t="s">
        <v>74</v>
      </c>
      <c r="D4384" s="6" t="s">
        <v>53052</v>
      </c>
      <c r="E4384" s="3" t="str">
        <f t="shared" si="1"/>
        <v>basement&lt;br&gt;&lt;div class="audio"&gt;[sound:basement.mp3]&lt;/div&gt;</v>
      </c>
      <c r="F4384" s="3" t="str">
        <f t="shared" si="2"/>
        <v>(n): tầng hầm</v>
      </c>
      <c r="G4384" s="6" t="s">
        <v>53053</v>
      </c>
      <c r="H4384" s="6" t="s">
        <v>53054</v>
      </c>
      <c r="I4384" s="7">
        <f t="shared" si="3"/>
        <v>0.3744238655</v>
      </c>
    </row>
    <row r="4385">
      <c r="A4385" s="4">
        <v>4385.0</v>
      </c>
      <c r="B4385" s="3" t="s">
        <v>53055</v>
      </c>
      <c r="C4385" s="6" t="s">
        <v>11</v>
      </c>
      <c r="D4385" s="6" t="s">
        <v>53056</v>
      </c>
      <c r="E4385" s="3" t="str">
        <f t="shared" si="1"/>
        <v>tidy&lt;br&gt;&lt;div class="audio"&gt;[sound:tidy.mp3]&lt;/div&gt;</v>
      </c>
      <c r="F4385" s="3" t="str">
        <f t="shared" si="2"/>
        <v>(adj): gọn gàng</v>
      </c>
      <c r="G4385" s="6" t="s">
        <v>53057</v>
      </c>
      <c r="H4385" s="6" t="s">
        <v>53058</v>
      </c>
      <c r="I4385" s="7">
        <f t="shared" si="3"/>
        <v>0.2269834727</v>
      </c>
    </row>
    <row r="4386">
      <c r="A4386" s="4">
        <v>4386.0</v>
      </c>
      <c r="B4386" s="3" t="s">
        <v>53059</v>
      </c>
      <c r="C4386" s="6" t="s">
        <v>24</v>
      </c>
      <c r="D4386" s="6" t="s">
        <v>53060</v>
      </c>
      <c r="E4386" s="3" t="str">
        <f t="shared" si="1"/>
        <v>bleed&lt;br&gt;&lt;div class="audio"&gt;[sound:bleed.mp3]&lt;/div&gt;</v>
      </c>
      <c r="F4386" s="3" t="str">
        <f t="shared" si="2"/>
        <v>(v): chảy máu</v>
      </c>
      <c r="G4386" s="6" t="s">
        <v>53061</v>
      </c>
      <c r="H4386" s="6" t="s">
        <v>53062</v>
      </c>
      <c r="I4386" s="7">
        <f t="shared" si="3"/>
        <v>0.6382100478</v>
      </c>
    </row>
    <row r="4387">
      <c r="A4387" s="4">
        <v>4387.0</v>
      </c>
      <c r="B4387" s="3" t="s">
        <v>53063</v>
      </c>
      <c r="C4387" s="6" t="s">
        <v>24</v>
      </c>
      <c r="D4387" s="6" t="s">
        <v>20810</v>
      </c>
      <c r="E4387" s="3" t="str">
        <f t="shared" si="1"/>
        <v>accumulate&lt;br&gt;&lt;div class="audio"&gt;[sound:accumulate.mp3]&lt;/div&gt;</v>
      </c>
      <c r="F4387" s="3" t="str">
        <f t="shared" si="2"/>
        <v>(v): tích lũy</v>
      </c>
      <c r="G4387" s="6" t="s">
        <v>53064</v>
      </c>
      <c r="H4387" s="6" t="s">
        <v>53065</v>
      </c>
      <c r="I4387" s="7">
        <f t="shared" si="3"/>
        <v>0.5422913429</v>
      </c>
    </row>
    <row r="4388">
      <c r="A4388" s="4">
        <v>4388.0</v>
      </c>
      <c r="B4388" s="3" t="s">
        <v>53066</v>
      </c>
      <c r="C4388" s="6" t="s">
        <v>24</v>
      </c>
      <c r="D4388" s="6" t="s">
        <v>53067</v>
      </c>
      <c r="E4388" s="3" t="str">
        <f t="shared" si="1"/>
        <v>authorize&lt;br&gt;&lt;div class="audio"&gt;[sound:authorize.mp3]&lt;/div&gt;</v>
      </c>
      <c r="F4388" s="3" t="str">
        <f t="shared" si="2"/>
        <v>(v): ủy quyền</v>
      </c>
      <c r="G4388" s="6" t="s">
        <v>53068</v>
      </c>
      <c r="H4388" s="6" t="s">
        <v>53069</v>
      </c>
      <c r="I4388" s="7">
        <f t="shared" si="3"/>
        <v>0.2619636987</v>
      </c>
    </row>
    <row r="4389">
      <c r="A4389" s="4">
        <v>4389.0</v>
      </c>
      <c r="B4389" s="3" t="s">
        <v>53070</v>
      </c>
      <c r="C4389" s="6" t="s">
        <v>63</v>
      </c>
      <c r="D4389" s="6" t="s">
        <v>53071</v>
      </c>
      <c r="E4389" s="3" t="str">
        <f t="shared" si="1"/>
        <v>underneath&lt;br&gt;&lt;div class="audio"&gt;[sound:underneath.mp3]&lt;/div&gt;</v>
      </c>
      <c r="F4389" s="3" t="str">
        <f t="shared" si="2"/>
        <v>(prep): bên dưới</v>
      </c>
      <c r="G4389" s="6" t="s">
        <v>53072</v>
      </c>
      <c r="H4389" s="6" t="s">
        <v>53073</v>
      </c>
      <c r="I4389" s="7">
        <f t="shared" si="3"/>
        <v>0.1037752905</v>
      </c>
    </row>
    <row r="4390">
      <c r="A4390" s="4">
        <v>4390.0</v>
      </c>
      <c r="B4390" s="3" t="s">
        <v>53074</v>
      </c>
      <c r="C4390" s="6" t="s">
        <v>74</v>
      </c>
      <c r="D4390" s="6" t="s">
        <v>53075</v>
      </c>
      <c r="E4390" s="3" t="str">
        <f t="shared" si="1"/>
        <v>pie&lt;br&gt;&lt;div class="audio"&gt;[sound:pie.mp3]&lt;/div&gt;</v>
      </c>
      <c r="F4390" s="3" t="str">
        <f t="shared" si="2"/>
        <v>(n): bánh pie</v>
      </c>
      <c r="G4390" s="6" t="s">
        <v>53076</v>
      </c>
      <c r="H4390" s="6" t="s">
        <v>53077</v>
      </c>
      <c r="I4390" s="7">
        <f t="shared" si="3"/>
        <v>0.9174815894</v>
      </c>
    </row>
    <row r="4391">
      <c r="A4391" s="4">
        <v>4391.0</v>
      </c>
      <c r="B4391" s="3" t="s">
        <v>53078</v>
      </c>
      <c r="C4391" s="6" t="s">
        <v>74</v>
      </c>
      <c r="D4391" s="6" t="s">
        <v>53079</v>
      </c>
      <c r="E4391" s="3" t="str">
        <f t="shared" si="1"/>
        <v>patch&lt;br&gt;&lt;div class="audio"&gt;[sound:patch.mp3]&lt;/div&gt;</v>
      </c>
      <c r="F4391" s="3" t="str">
        <f t="shared" si="2"/>
        <v>(n): miếng vá</v>
      </c>
      <c r="G4391" s="6" t="s">
        <v>53080</v>
      </c>
      <c r="H4391" s="6" t="s">
        <v>53081</v>
      </c>
      <c r="I4391" s="7">
        <f t="shared" si="3"/>
        <v>0.04806285786</v>
      </c>
    </row>
    <row r="4392">
      <c r="A4392" s="4">
        <v>4392.0</v>
      </c>
      <c r="B4392" s="3" t="s">
        <v>53082</v>
      </c>
      <c r="C4392" s="6" t="s">
        <v>24</v>
      </c>
      <c r="D4392" s="6" t="s">
        <v>41910</v>
      </c>
      <c r="E4392" s="3" t="str">
        <f t="shared" si="1"/>
        <v>presume&lt;br&gt;&lt;div class="audio"&gt;[sound:presume.mp3]&lt;/div&gt;</v>
      </c>
      <c r="F4392" s="3" t="str">
        <f t="shared" si="2"/>
        <v>(v): cho rằng</v>
      </c>
      <c r="G4392" s="6" t="s">
        <v>53083</v>
      </c>
      <c r="H4392" s="6" t="s">
        <v>53084</v>
      </c>
      <c r="I4392" s="7">
        <f t="shared" si="3"/>
        <v>0.2725133504</v>
      </c>
    </row>
    <row r="4393">
      <c r="A4393" s="4">
        <v>4393.0</v>
      </c>
      <c r="B4393" s="3" t="s">
        <v>53085</v>
      </c>
      <c r="C4393" s="6" t="s">
        <v>74</v>
      </c>
      <c r="D4393" s="6" t="s">
        <v>53086</v>
      </c>
      <c r="E4393" s="3" t="str">
        <f t="shared" si="1"/>
        <v>blanket&lt;br&gt;&lt;div class="audio"&gt;[sound:blanket.mp3]&lt;/div&gt;</v>
      </c>
      <c r="F4393" s="3" t="str">
        <f t="shared" si="2"/>
        <v>(n): cái chăn</v>
      </c>
      <c r="G4393" s="6" t="s">
        <v>53087</v>
      </c>
      <c r="H4393" s="6" t="s">
        <v>53088</v>
      </c>
      <c r="I4393" s="7">
        <f t="shared" si="3"/>
        <v>0.9390754117</v>
      </c>
    </row>
    <row r="4394">
      <c r="A4394" s="4">
        <v>4394.0</v>
      </c>
      <c r="B4394" s="3" t="s">
        <v>53089</v>
      </c>
      <c r="C4394" s="6" t="s">
        <v>85</v>
      </c>
      <c r="D4394" s="6" t="s">
        <v>16846</v>
      </c>
      <c r="E4394" s="3" t="str">
        <f t="shared" si="1"/>
        <v>predominantly&lt;br&gt;&lt;div class="audio"&gt;[sound:predominantly.mp3]&lt;/div&gt;</v>
      </c>
      <c r="F4394" s="3" t="str">
        <f t="shared" si="2"/>
        <v>(adv): phần lớn</v>
      </c>
      <c r="G4394" s="6" t="s">
        <v>53090</v>
      </c>
      <c r="H4394" s="6" t="s">
        <v>53091</v>
      </c>
      <c r="I4394" s="7">
        <f t="shared" si="3"/>
        <v>0.7610797267</v>
      </c>
    </row>
    <row r="4395">
      <c r="A4395" s="4">
        <v>4395.0</v>
      </c>
      <c r="B4395" s="3" t="s">
        <v>53092</v>
      </c>
      <c r="C4395" s="6" t="s">
        <v>11</v>
      </c>
      <c r="D4395" s="6" t="s">
        <v>53056</v>
      </c>
      <c r="E4395" s="3" t="str">
        <f t="shared" si="1"/>
        <v>neat&lt;br&gt;&lt;div class="audio"&gt;[sound:neat.mp3]&lt;/div&gt;</v>
      </c>
      <c r="F4395" s="3" t="str">
        <f t="shared" si="2"/>
        <v>(adj): gọn gàng</v>
      </c>
      <c r="G4395" s="6" t="s">
        <v>53093</v>
      </c>
      <c r="H4395" s="6" t="s">
        <v>53094</v>
      </c>
      <c r="I4395" s="7">
        <f t="shared" si="3"/>
        <v>0.6014983339</v>
      </c>
    </row>
    <row r="4396">
      <c r="A4396" s="4">
        <v>4396.0</v>
      </c>
      <c r="B4396" s="3" t="s">
        <v>53095</v>
      </c>
      <c r="C4396" s="6" t="s">
        <v>24</v>
      </c>
      <c r="D4396" s="6" t="s">
        <v>5956</v>
      </c>
      <c r="E4396" s="3" t="str">
        <f t="shared" si="1"/>
        <v>motivate&lt;br&gt;&lt;div class="audio"&gt;[sound:motivate.mp3]&lt;/div&gt;</v>
      </c>
      <c r="F4396" s="3" t="str">
        <f t="shared" si="2"/>
        <v>(v): thúc đẩy</v>
      </c>
      <c r="G4396" s="6" t="s">
        <v>53096</v>
      </c>
      <c r="H4396" s="6" t="s">
        <v>53097</v>
      </c>
      <c r="I4396" s="7">
        <f t="shared" si="3"/>
        <v>0.01379919894</v>
      </c>
    </row>
    <row r="4397">
      <c r="A4397" s="4">
        <v>4397.0</v>
      </c>
      <c r="B4397" s="3" t="s">
        <v>53098</v>
      </c>
      <c r="C4397" s="6" t="s">
        <v>74</v>
      </c>
      <c r="D4397" s="6" t="s">
        <v>53099</v>
      </c>
      <c r="E4397" s="3" t="str">
        <f t="shared" si="1"/>
        <v>nomination&lt;br&gt;&lt;div class="audio"&gt;[sound:nomination.mp3]&lt;/div&gt;</v>
      </c>
      <c r="F4397" s="3" t="str">
        <f t="shared" si="2"/>
        <v>(n): sự đề cử</v>
      </c>
      <c r="G4397" s="6" t="s">
        <v>53100</v>
      </c>
      <c r="H4397" s="6" t="s">
        <v>53101</v>
      </c>
      <c r="I4397" s="7">
        <f t="shared" si="3"/>
        <v>0.3456668144</v>
      </c>
    </row>
    <row r="4398">
      <c r="A4398" s="4">
        <v>4398.0</v>
      </c>
      <c r="B4398" s="3" t="s">
        <v>53102</v>
      </c>
      <c r="C4398" s="6" t="s">
        <v>74</v>
      </c>
      <c r="D4398" s="6" t="s">
        <v>3836</v>
      </c>
      <c r="E4398" s="3" t="str">
        <f t="shared" si="1"/>
        <v>handbag&lt;br&gt;&lt;div class="audio"&gt;[sound:handbag.mp3]&lt;/div&gt;</v>
      </c>
      <c r="F4398" s="3" t="str">
        <f t="shared" si="2"/>
        <v>(n): túi xách</v>
      </c>
      <c r="G4398" s="6" t="s">
        <v>53103</v>
      </c>
      <c r="H4398" s="6" t="s">
        <v>53104</v>
      </c>
      <c r="I4398" s="7">
        <f t="shared" si="3"/>
        <v>0.6300443518</v>
      </c>
    </row>
    <row r="4399">
      <c r="A4399" s="4">
        <v>4399.0</v>
      </c>
      <c r="B4399" s="3" t="s">
        <v>53105</v>
      </c>
      <c r="C4399" s="6" t="s">
        <v>74</v>
      </c>
      <c r="D4399" s="6" t="s">
        <v>53106</v>
      </c>
      <c r="E4399" s="3" t="str">
        <f t="shared" si="1"/>
        <v>virtue&lt;br&gt;&lt;div class="audio"&gt;[sound:virtue.mp3]&lt;/div&gt;</v>
      </c>
      <c r="F4399" s="3" t="str">
        <f t="shared" si="2"/>
        <v>(n): đức hạnh</v>
      </c>
      <c r="G4399" s="6" t="s">
        <v>53107</v>
      </c>
      <c r="H4399" s="6" t="s">
        <v>53108</v>
      </c>
      <c r="I4399" s="7">
        <f t="shared" si="3"/>
        <v>0.1371202092</v>
      </c>
    </row>
    <row r="4400">
      <c r="A4400" s="4">
        <v>4400.0</v>
      </c>
      <c r="B4400" s="3" t="s">
        <v>53109</v>
      </c>
      <c r="C4400" s="6" t="s">
        <v>74</v>
      </c>
      <c r="D4400" s="6" t="s">
        <v>53110</v>
      </c>
      <c r="E4400" s="3" t="str">
        <f t="shared" si="1"/>
        <v>tray&lt;br&gt;&lt;div class="audio"&gt;[sound:tray.mp3]&lt;/div&gt;</v>
      </c>
      <c r="F4400" s="3" t="str">
        <f t="shared" si="2"/>
        <v>(n): cái khay</v>
      </c>
      <c r="G4400" s="6" t="s">
        <v>53111</v>
      </c>
      <c r="H4400" s="6" t="s">
        <v>53112</v>
      </c>
      <c r="I4400" s="7">
        <f t="shared" si="3"/>
        <v>0.2097297519</v>
      </c>
    </row>
    <row r="4401">
      <c r="A4401" s="4">
        <v>4401.0</v>
      </c>
      <c r="B4401" s="3" t="s">
        <v>53113</v>
      </c>
      <c r="C4401" s="6" t="s">
        <v>74</v>
      </c>
      <c r="D4401" s="6" t="s">
        <v>17534</v>
      </c>
      <c r="E4401" s="3" t="str">
        <f t="shared" si="1"/>
        <v>affection&lt;br&gt;&lt;div class="audio"&gt;[sound:affection.mp3]&lt;/div&gt;</v>
      </c>
      <c r="F4401" s="3" t="str">
        <f t="shared" si="2"/>
        <v>(n): tình cảm</v>
      </c>
      <c r="G4401" s="6" t="s">
        <v>53114</v>
      </c>
      <c r="H4401" s="6" t="s">
        <v>53115</v>
      </c>
      <c r="I4401" s="7">
        <f t="shared" si="3"/>
        <v>0.1534085316</v>
      </c>
    </row>
    <row r="4402">
      <c r="A4402" s="4">
        <v>4402.0</v>
      </c>
      <c r="B4402" s="3" t="s">
        <v>53116</v>
      </c>
      <c r="C4402" s="6" t="s">
        <v>74</v>
      </c>
      <c r="D4402" s="6" t="s">
        <v>53117</v>
      </c>
      <c r="E4402" s="3" t="str">
        <f t="shared" si="1"/>
        <v>biology&lt;br&gt;&lt;div class="audio"&gt;[sound:biology.mp3]&lt;/div&gt;</v>
      </c>
      <c r="F4402" s="3" t="str">
        <f t="shared" si="2"/>
        <v>(n): sinh học</v>
      </c>
      <c r="G4402" s="6" t="s">
        <v>53118</v>
      </c>
      <c r="H4402" s="6" t="s">
        <v>53119</v>
      </c>
      <c r="I4402" s="7">
        <f t="shared" si="3"/>
        <v>0.6318278587</v>
      </c>
    </row>
    <row r="4403">
      <c r="A4403" s="4">
        <v>4403.0</v>
      </c>
      <c r="B4403" s="3" t="s">
        <v>53120</v>
      </c>
      <c r="C4403" s="6" t="s">
        <v>74</v>
      </c>
      <c r="D4403" s="6" t="s">
        <v>11338</v>
      </c>
      <c r="E4403" s="3" t="str">
        <f t="shared" si="1"/>
        <v>towel&lt;br&gt;&lt;div class="audio"&gt;[sound:towel.mp3]&lt;/div&gt;</v>
      </c>
      <c r="F4403" s="3" t="str">
        <f t="shared" si="2"/>
        <v>(n): khăn tắm</v>
      </c>
      <c r="G4403" s="6" t="s">
        <v>53121</v>
      </c>
      <c r="H4403" s="6" t="s">
        <v>53122</v>
      </c>
      <c r="I4403" s="7">
        <f t="shared" si="3"/>
        <v>0.8391817219</v>
      </c>
    </row>
    <row r="4404">
      <c r="A4404" s="4">
        <v>4404.0</v>
      </c>
      <c r="B4404" s="3" t="s">
        <v>53123</v>
      </c>
      <c r="C4404" s="6" t="s">
        <v>74</v>
      </c>
      <c r="D4404" s="6" t="s">
        <v>32227</v>
      </c>
      <c r="E4404" s="3" t="str">
        <f t="shared" si="1"/>
        <v>migration&lt;br&gt;&lt;div class="audio"&gt;[sound:migration.mp3]&lt;/div&gt;</v>
      </c>
      <c r="F4404" s="3" t="str">
        <f t="shared" si="2"/>
        <v>(n): sự di cư</v>
      </c>
      <c r="G4404" s="6" t="s">
        <v>53124</v>
      </c>
      <c r="H4404" s="6" t="s">
        <v>53125</v>
      </c>
      <c r="I4404" s="7">
        <f t="shared" si="3"/>
        <v>0.9741982722</v>
      </c>
    </row>
    <row r="4405">
      <c r="A4405" s="4">
        <v>4405.0</v>
      </c>
      <c r="B4405" s="3" t="s">
        <v>53126</v>
      </c>
      <c r="C4405" s="6" t="s">
        <v>24</v>
      </c>
      <c r="D4405" s="6" t="s">
        <v>53127</v>
      </c>
      <c r="E4405" s="3" t="str">
        <f t="shared" si="1"/>
        <v>accelerate&lt;br&gt;&lt;div class="audio"&gt;[sound:accelerate.mp3]&lt;/div&gt;</v>
      </c>
      <c r="F4405" s="3" t="str">
        <f t="shared" si="2"/>
        <v>(v): tăng tốc</v>
      </c>
      <c r="G4405" s="6" t="s">
        <v>53128</v>
      </c>
      <c r="H4405" s="6" t="s">
        <v>53129</v>
      </c>
      <c r="I4405" s="7">
        <f t="shared" si="3"/>
        <v>0.5308455133</v>
      </c>
    </row>
    <row r="4406">
      <c r="A4406" s="4">
        <v>4406.0</v>
      </c>
      <c r="B4406" s="3" t="s">
        <v>53130</v>
      </c>
      <c r="C4406" s="6" t="s">
        <v>11</v>
      </c>
      <c r="D4406" s="6" t="s">
        <v>53131</v>
      </c>
      <c r="E4406" s="3" t="str">
        <f t="shared" si="1"/>
        <v>vibrant&lt;br&gt;&lt;div class="audio"&gt;[sound:vibrant.mp3]&lt;/div&gt;</v>
      </c>
      <c r="F4406" s="3" t="str">
        <f t="shared" si="2"/>
        <v>(adj): sôi động</v>
      </c>
      <c r="G4406" s="6" t="s">
        <v>53132</v>
      </c>
      <c r="H4406" s="6" t="s">
        <v>53133</v>
      </c>
      <c r="I4406" s="7">
        <f t="shared" si="3"/>
        <v>0.5480101799</v>
      </c>
    </row>
    <row r="4407">
      <c r="A4407" s="4">
        <v>4407.0</v>
      </c>
      <c r="B4407" s="3" t="s">
        <v>53134</v>
      </c>
      <c r="C4407" s="6" t="s">
        <v>24</v>
      </c>
      <c r="D4407" s="6" t="s">
        <v>53135</v>
      </c>
      <c r="E4407" s="3" t="str">
        <f t="shared" si="1"/>
        <v>yield&lt;br&gt;&lt;div class="audio"&gt;[sound:yield.mp3]&lt;/div&gt;</v>
      </c>
      <c r="F4407" s="3" t="str">
        <f t="shared" si="2"/>
        <v>(v): mang lại</v>
      </c>
      <c r="G4407" s="6" t="s">
        <v>53136</v>
      </c>
      <c r="H4407" s="6" t="s">
        <v>53137</v>
      </c>
      <c r="I4407" s="7">
        <f t="shared" si="3"/>
        <v>0.4399530127</v>
      </c>
    </row>
    <row r="4408">
      <c r="A4408" s="4">
        <v>4408.0</v>
      </c>
      <c r="B4408" s="3" t="s">
        <v>53138</v>
      </c>
      <c r="C4408" s="6" t="s">
        <v>24</v>
      </c>
      <c r="D4408" s="6" t="s">
        <v>34145</v>
      </c>
      <c r="E4408" s="3" t="str">
        <f t="shared" si="1"/>
        <v>melt&lt;br&gt;&lt;div class="audio"&gt;[sound:melt.mp3]&lt;/div&gt;</v>
      </c>
      <c r="F4408" s="3" t="str">
        <f t="shared" si="2"/>
        <v>(v): tan chảy</v>
      </c>
      <c r="G4408" s="6" t="s">
        <v>53139</v>
      </c>
      <c r="H4408" s="6" t="s">
        <v>53140</v>
      </c>
      <c r="I4408" s="7">
        <f t="shared" si="3"/>
        <v>0.6810663778</v>
      </c>
    </row>
    <row r="4409">
      <c r="A4409" s="4">
        <v>4409.0</v>
      </c>
      <c r="B4409" s="3" t="s">
        <v>53141</v>
      </c>
      <c r="C4409" s="6" t="s">
        <v>85</v>
      </c>
      <c r="D4409" s="6" t="s">
        <v>3585</v>
      </c>
      <c r="E4409" s="3" t="str">
        <f t="shared" si="1"/>
        <v>temporarily&lt;br&gt;&lt;div class="audio"&gt;[sound:temporarily.mp3]&lt;/div&gt;</v>
      </c>
      <c r="F4409" s="3" t="str">
        <f t="shared" si="2"/>
        <v>(adv): tạm thời</v>
      </c>
      <c r="G4409" s="6" t="s">
        <v>53142</v>
      </c>
      <c r="H4409" s="6" t="s">
        <v>53143</v>
      </c>
      <c r="I4409" s="7">
        <f t="shared" si="3"/>
        <v>0.9289591077</v>
      </c>
    </row>
    <row r="4410">
      <c r="A4410" s="4">
        <v>4410.0</v>
      </c>
      <c r="B4410" s="3" t="s">
        <v>53144</v>
      </c>
      <c r="C4410" s="6" t="s">
        <v>11</v>
      </c>
      <c r="D4410" s="6" t="s">
        <v>53145</v>
      </c>
      <c r="E4410" s="3" t="str">
        <f t="shared" si="1"/>
        <v>magnificent&lt;br&gt;&lt;div class="audio"&gt;[sound:magnificent.mp3]&lt;/div&gt;</v>
      </c>
      <c r="F4410" s="3" t="str">
        <f t="shared" si="2"/>
        <v>(adj): tráng lệ</v>
      </c>
      <c r="G4410" s="6" t="s">
        <v>53146</v>
      </c>
      <c r="H4410" s="6" t="s">
        <v>53147</v>
      </c>
      <c r="I4410" s="7">
        <f t="shared" si="3"/>
        <v>0.866962568</v>
      </c>
    </row>
    <row r="4411">
      <c r="A4411" s="4">
        <v>4411.0</v>
      </c>
      <c r="B4411" s="3" t="s">
        <v>53148</v>
      </c>
      <c r="C4411" s="6" t="s">
        <v>74</v>
      </c>
      <c r="D4411" s="6" t="s">
        <v>1851</v>
      </c>
      <c r="E4411" s="3" t="str">
        <f t="shared" si="1"/>
        <v>likelihood&lt;br&gt;&lt;div class="audio"&gt;[sound:likelihood.mp3]&lt;/div&gt;</v>
      </c>
      <c r="F4411" s="3" t="str">
        <f t="shared" si="2"/>
        <v>(n): khả năng</v>
      </c>
      <c r="G4411" s="6" t="s">
        <v>53149</v>
      </c>
      <c r="H4411" s="6" t="s">
        <v>53150</v>
      </c>
      <c r="I4411" s="7">
        <f t="shared" si="3"/>
        <v>0.7060689175</v>
      </c>
    </row>
    <row r="4412">
      <c r="A4412" s="4">
        <v>4412.0</v>
      </c>
      <c r="B4412" s="3" t="s">
        <v>53151</v>
      </c>
      <c r="C4412" s="6" t="s">
        <v>24</v>
      </c>
      <c r="D4412" s="6" t="s">
        <v>41910</v>
      </c>
      <c r="E4412" s="3" t="str">
        <f t="shared" si="1"/>
        <v>allege&lt;br&gt;&lt;div class="audio"&gt;[sound:allege.mp3]&lt;/div&gt;</v>
      </c>
      <c r="F4412" s="3" t="str">
        <f t="shared" si="2"/>
        <v>(v): cho rằng</v>
      </c>
      <c r="G4412" s="6" t="s">
        <v>53152</v>
      </c>
      <c r="H4412" s="6" t="s">
        <v>53153</v>
      </c>
      <c r="I4412" s="7">
        <f t="shared" si="3"/>
        <v>0.01861585628</v>
      </c>
    </row>
    <row r="4413">
      <c r="A4413" s="4">
        <v>4413.0</v>
      </c>
      <c r="B4413" s="3" t="s">
        <v>53154</v>
      </c>
      <c r="C4413" s="6" t="s">
        <v>11</v>
      </c>
      <c r="D4413" s="6" t="s">
        <v>41420</v>
      </c>
      <c r="E4413" s="3" t="str">
        <f t="shared" si="1"/>
        <v>legitimate&lt;br&gt;&lt;div class="audio"&gt;[sound:legitimate.mp3]&lt;/div&gt;</v>
      </c>
      <c r="F4413" s="3" t="str">
        <f t="shared" si="2"/>
        <v>(adj): hợp pháp</v>
      </c>
      <c r="G4413" s="6" t="s">
        <v>53155</v>
      </c>
      <c r="H4413" s="6" t="s">
        <v>53156</v>
      </c>
      <c r="I4413" s="7">
        <f t="shared" si="3"/>
        <v>0.6328555108</v>
      </c>
    </row>
    <row r="4414">
      <c r="A4414" s="4">
        <v>4414.0</v>
      </c>
      <c r="B4414" s="3" t="s">
        <v>53157</v>
      </c>
      <c r="C4414" s="6" t="s">
        <v>74</v>
      </c>
      <c r="D4414" s="6" t="s">
        <v>53158</v>
      </c>
      <c r="E4414" s="3" t="str">
        <f t="shared" si="1"/>
        <v>banner&lt;br&gt;&lt;div class="audio"&gt;[sound:banner.mp3]&lt;/div&gt;</v>
      </c>
      <c r="F4414" s="3" t="str">
        <f t="shared" si="2"/>
        <v>(n): băng rôn</v>
      </c>
      <c r="G4414" s="6" t="s">
        <v>53159</v>
      </c>
      <c r="H4414" s="6" t="s">
        <v>53160</v>
      </c>
      <c r="I4414" s="7">
        <f t="shared" si="3"/>
        <v>0.9707824448</v>
      </c>
    </row>
    <row r="4415">
      <c r="A4415" s="4">
        <v>4415.0</v>
      </c>
      <c r="B4415" s="3" t="s">
        <v>53161</v>
      </c>
      <c r="C4415" s="6" t="s">
        <v>63</v>
      </c>
      <c r="D4415" s="6" t="s">
        <v>53071</v>
      </c>
      <c r="E4415" s="3" t="str">
        <f t="shared" si="1"/>
        <v>beneath&lt;br&gt;&lt;div class="audio"&gt;[sound:beneath.mp3]&lt;/div&gt;</v>
      </c>
      <c r="F4415" s="3" t="str">
        <f t="shared" si="2"/>
        <v>(prep): bên dưới</v>
      </c>
      <c r="G4415" s="6" t="s">
        <v>53162</v>
      </c>
      <c r="H4415" s="6" t="s">
        <v>53163</v>
      </c>
      <c r="I4415" s="7">
        <f t="shared" si="3"/>
        <v>0.05742709998</v>
      </c>
    </row>
    <row r="4416">
      <c r="A4416" s="4">
        <v>4416.0</v>
      </c>
      <c r="B4416" s="3" t="s">
        <v>53164</v>
      </c>
      <c r="C4416" s="6" t="s">
        <v>74</v>
      </c>
      <c r="D4416" s="6" t="s">
        <v>1162</v>
      </c>
      <c r="E4416" s="3" t="str">
        <f t="shared" si="1"/>
        <v>outlet&lt;br&gt;&lt;div class="audio"&gt;[sound:outlet.mp3]&lt;/div&gt;</v>
      </c>
      <c r="F4416" s="3" t="str">
        <f t="shared" si="2"/>
        <v>(n): cửa hàng</v>
      </c>
      <c r="G4416" s="6" t="s">
        <v>53165</v>
      </c>
      <c r="H4416" s="6" t="s">
        <v>53166</v>
      </c>
      <c r="I4416" s="7">
        <f t="shared" si="3"/>
        <v>0.2903889743</v>
      </c>
    </row>
    <row r="4417">
      <c r="A4417" s="4">
        <v>4417.0</v>
      </c>
      <c r="B4417" s="3" t="s">
        <v>53167</v>
      </c>
      <c r="C4417" s="6" t="s">
        <v>74</v>
      </c>
      <c r="D4417" s="6" t="s">
        <v>53168</v>
      </c>
      <c r="E4417" s="3" t="str">
        <f t="shared" si="1"/>
        <v>loop&lt;br&gt;&lt;div class="audio"&gt;[sound:loop.mp3]&lt;/div&gt;</v>
      </c>
      <c r="F4417" s="3" t="str">
        <f t="shared" si="2"/>
        <v>(n): vòng lặp</v>
      </c>
      <c r="G4417" s="6" t="s">
        <v>53169</v>
      </c>
      <c r="H4417" s="6" t="s">
        <v>53170</v>
      </c>
      <c r="I4417" s="7">
        <f t="shared" si="3"/>
        <v>0.938634258</v>
      </c>
    </row>
    <row r="4418">
      <c r="A4418" s="4">
        <v>4418.0</v>
      </c>
      <c r="B4418" s="3" t="s">
        <v>53171</v>
      </c>
      <c r="C4418" s="6" t="s">
        <v>11</v>
      </c>
      <c r="D4418" s="6" t="s">
        <v>53172</v>
      </c>
      <c r="E4418" s="3" t="str">
        <f t="shared" si="1"/>
        <v>eager&lt;br&gt;&lt;div class="audio"&gt;[sound:eager.mp3]&lt;/div&gt;</v>
      </c>
      <c r="F4418" s="3" t="str">
        <f t="shared" si="2"/>
        <v>(adj): háo hức</v>
      </c>
      <c r="G4418" s="6" t="s">
        <v>53173</v>
      </c>
      <c r="H4418" s="6" t="s">
        <v>53174</v>
      </c>
      <c r="I4418" s="7">
        <f t="shared" si="3"/>
        <v>0.4275796581</v>
      </c>
    </row>
    <row r="4419">
      <c r="A4419" s="4">
        <v>4419.0</v>
      </c>
      <c r="B4419" s="3" t="s">
        <v>53175</v>
      </c>
      <c r="C4419" s="6" t="s">
        <v>24</v>
      </c>
      <c r="D4419" s="6" t="s">
        <v>10035</v>
      </c>
      <c r="E4419" s="3" t="str">
        <f t="shared" si="1"/>
        <v>cooperate&lt;br&gt;&lt;div class="audio"&gt;[sound:cooperate.mp3]&lt;/div&gt;</v>
      </c>
      <c r="F4419" s="3" t="str">
        <f t="shared" si="2"/>
        <v>(v): hợp tác</v>
      </c>
      <c r="G4419" s="6" t="s">
        <v>53176</v>
      </c>
      <c r="H4419" s="6" t="s">
        <v>53177</v>
      </c>
      <c r="I4419" s="7">
        <f t="shared" si="3"/>
        <v>0.9476951468</v>
      </c>
    </row>
    <row r="4420">
      <c r="A4420" s="4">
        <v>4420.0</v>
      </c>
      <c r="B4420" s="3" t="s">
        <v>53178</v>
      </c>
      <c r="C4420" s="6" t="s">
        <v>24</v>
      </c>
      <c r="D4420" s="6" t="s">
        <v>20543</v>
      </c>
      <c r="E4420" s="3" t="str">
        <f t="shared" si="1"/>
        <v>neglect&lt;br&gt;&lt;div class="audio"&gt;[sound:neglect.mp3]&lt;/div&gt;</v>
      </c>
      <c r="F4420" s="3" t="str">
        <f t="shared" si="2"/>
        <v>(v): phớt lờ</v>
      </c>
      <c r="G4420" s="6" t="s">
        <v>53179</v>
      </c>
      <c r="H4420" s="6" t="s">
        <v>53180</v>
      </c>
      <c r="I4420" s="7">
        <f t="shared" si="3"/>
        <v>0.4042202667</v>
      </c>
    </row>
    <row r="4421">
      <c r="A4421" s="4">
        <v>4421.0</v>
      </c>
      <c r="B4421" s="3" t="s">
        <v>53181</v>
      </c>
      <c r="C4421" s="6" t="s">
        <v>74</v>
      </c>
      <c r="D4421" s="6" t="s">
        <v>53182</v>
      </c>
      <c r="E4421" s="3" t="str">
        <f t="shared" si="1"/>
        <v>fork&lt;br&gt;&lt;div class="audio"&gt;[sound:fork.mp3]&lt;/div&gt;</v>
      </c>
      <c r="F4421" s="3" t="str">
        <f t="shared" si="2"/>
        <v>(n): cái nĩa</v>
      </c>
      <c r="G4421" s="6" t="s">
        <v>53183</v>
      </c>
      <c r="H4421" s="6" t="s">
        <v>53184</v>
      </c>
      <c r="I4421" s="7">
        <f t="shared" si="3"/>
        <v>0.3603748457</v>
      </c>
    </row>
    <row r="4422">
      <c r="A4422" s="4">
        <v>4422.0</v>
      </c>
      <c r="B4422" s="3" t="s">
        <v>53185</v>
      </c>
      <c r="C4422" s="6" t="s">
        <v>74</v>
      </c>
      <c r="D4422" s="6" t="s">
        <v>53186</v>
      </c>
      <c r="E4422" s="3" t="str">
        <f t="shared" si="1"/>
        <v>bean&lt;br&gt;&lt;div class="audio"&gt;[sound:bean.mp3]&lt;/div&gt;</v>
      </c>
      <c r="F4422" s="3" t="str">
        <f t="shared" si="2"/>
        <v>(n): hạt đậu</v>
      </c>
      <c r="G4422" s="6" t="s">
        <v>53187</v>
      </c>
      <c r="H4422" s="6" t="s">
        <v>53188</v>
      </c>
      <c r="I4422" s="7">
        <f t="shared" si="3"/>
        <v>0.5482024672</v>
      </c>
    </row>
    <row r="4423">
      <c r="A4423" s="4">
        <v>4423.0</v>
      </c>
      <c r="B4423" s="3" t="s">
        <v>53189</v>
      </c>
      <c r="C4423" s="6" t="s">
        <v>74</v>
      </c>
      <c r="D4423" s="6" t="s">
        <v>33701</v>
      </c>
      <c r="E4423" s="3" t="str">
        <f t="shared" si="1"/>
        <v>fragment&lt;br&gt;&lt;div class="audio"&gt;[sound:fragment.mp3]&lt;/div&gt;</v>
      </c>
      <c r="F4423" s="3" t="str">
        <f t="shared" si="2"/>
        <v>(n): mảnh vỡ</v>
      </c>
      <c r="G4423" s="6" t="s">
        <v>53190</v>
      </c>
      <c r="H4423" s="6" t="s">
        <v>53191</v>
      </c>
      <c r="I4423" s="7">
        <f t="shared" si="3"/>
        <v>0.9763059285</v>
      </c>
    </row>
    <row r="4424">
      <c r="A4424" s="4">
        <v>4424.0</v>
      </c>
      <c r="B4424" s="3" t="s">
        <v>53192</v>
      </c>
      <c r="C4424" s="6" t="s">
        <v>74</v>
      </c>
      <c r="D4424" s="6" t="s">
        <v>53193</v>
      </c>
      <c r="E4424" s="3" t="str">
        <f t="shared" si="1"/>
        <v>pad&lt;br&gt;&lt;div class="audio"&gt;[sound:pad.mp3]&lt;/div&gt;</v>
      </c>
      <c r="F4424" s="3" t="str">
        <f t="shared" si="2"/>
        <v>(n): tấm đệm</v>
      </c>
      <c r="G4424" s="6" t="s">
        <v>53194</v>
      </c>
      <c r="H4424" s="6" t="s">
        <v>53195</v>
      </c>
      <c r="I4424" s="7">
        <f t="shared" si="3"/>
        <v>0.2773952732</v>
      </c>
    </row>
    <row r="4425">
      <c r="A4425" s="4">
        <v>4425.0</v>
      </c>
      <c r="B4425" s="3" t="s">
        <v>53196</v>
      </c>
      <c r="C4425" s="6" t="s">
        <v>11</v>
      </c>
      <c r="D4425" s="6" t="s">
        <v>53197</v>
      </c>
      <c r="E4425" s="3" t="str">
        <f t="shared" si="1"/>
        <v>furious&lt;br&gt;&lt;div class="audio"&gt;[sound:furious.mp3]&lt;/div&gt;</v>
      </c>
      <c r="F4425" s="3" t="str">
        <f t="shared" si="2"/>
        <v>(adj): giận dữ</v>
      </c>
      <c r="G4425" s="6" t="s">
        <v>53198</v>
      </c>
      <c r="H4425" s="6" t="s">
        <v>53199</v>
      </c>
      <c r="I4425" s="7">
        <f t="shared" si="3"/>
        <v>0.816124323</v>
      </c>
    </row>
    <row r="4426">
      <c r="A4426" s="4">
        <v>4426.0</v>
      </c>
      <c r="B4426" s="3" t="s">
        <v>53200</v>
      </c>
      <c r="C4426" s="6" t="s">
        <v>74</v>
      </c>
      <c r="D4426" s="6" t="s">
        <v>53201</v>
      </c>
      <c r="E4426" s="3" t="str">
        <f t="shared" si="1"/>
        <v>poem&lt;br&gt;&lt;div class="audio"&gt;[sound:poem.mp3]&lt;/div&gt;</v>
      </c>
      <c r="F4426" s="3" t="str">
        <f t="shared" si="2"/>
        <v>(n): bài thơ</v>
      </c>
      <c r="G4426" s="6" t="s">
        <v>53202</v>
      </c>
      <c r="H4426" s="6" t="s">
        <v>53203</v>
      </c>
      <c r="I4426" s="7">
        <f t="shared" si="3"/>
        <v>0.9807488452</v>
      </c>
    </row>
    <row r="4427">
      <c r="A4427" s="4">
        <v>4427.0</v>
      </c>
      <c r="B4427" s="3" t="s">
        <v>53204</v>
      </c>
      <c r="C4427" s="6" t="s">
        <v>74</v>
      </c>
      <c r="D4427" s="6" t="s">
        <v>23931</v>
      </c>
      <c r="E4427" s="3" t="str">
        <f t="shared" si="1"/>
        <v>arrow&lt;br&gt;&lt;div class="audio"&gt;[sound:arrow.mp3]&lt;/div&gt;</v>
      </c>
      <c r="F4427" s="3" t="str">
        <f t="shared" si="2"/>
        <v>(n): mũi tên</v>
      </c>
      <c r="G4427" s="6" t="s">
        <v>53205</v>
      </c>
      <c r="H4427" s="6" t="s">
        <v>53206</v>
      </c>
      <c r="I4427" s="7">
        <f t="shared" si="3"/>
        <v>0.6988906785</v>
      </c>
    </row>
    <row r="4428">
      <c r="A4428" s="4">
        <v>4428.0</v>
      </c>
      <c r="B4428" s="3" t="s">
        <v>53207</v>
      </c>
      <c r="C4428" s="6" t="s">
        <v>74</v>
      </c>
      <c r="D4428" s="6" t="s">
        <v>53208</v>
      </c>
      <c r="E4428" s="3" t="str">
        <f t="shared" si="1"/>
        <v>bass&lt;br&gt;&lt;div class="audio"&gt;[sound:bass.mp3]&lt;/div&gt;</v>
      </c>
      <c r="F4428" s="3" t="str">
        <f t="shared" si="2"/>
        <v>(n): âm trầm</v>
      </c>
      <c r="G4428" s="6" t="s">
        <v>53209</v>
      </c>
      <c r="H4428" s="6" t="s">
        <v>53210</v>
      </c>
      <c r="I4428" s="7">
        <f t="shared" si="3"/>
        <v>0.5782553714</v>
      </c>
    </row>
    <row r="4429">
      <c r="A4429" s="4">
        <v>4429.0</v>
      </c>
      <c r="B4429" s="3" t="s">
        <v>53211</v>
      </c>
      <c r="C4429" s="6" t="s">
        <v>74</v>
      </c>
      <c r="D4429" s="6" t="s">
        <v>53212</v>
      </c>
      <c r="E4429" s="3" t="str">
        <f t="shared" si="1"/>
        <v>pig&lt;br&gt;&lt;div class="audio"&gt;[sound:pig.mp3]&lt;/div&gt;</v>
      </c>
      <c r="F4429" s="3" t="str">
        <f t="shared" si="2"/>
        <v>(n): con lợn</v>
      </c>
      <c r="G4429" s="6" t="s">
        <v>53213</v>
      </c>
      <c r="H4429" s="6" t="s">
        <v>53214</v>
      </c>
      <c r="I4429" s="7">
        <f t="shared" si="3"/>
        <v>0.4419643809</v>
      </c>
    </row>
    <row r="4430">
      <c r="A4430" s="4">
        <v>4430.0</v>
      </c>
      <c r="B4430" s="3" t="s">
        <v>53215</v>
      </c>
      <c r="C4430" s="6" t="s">
        <v>85</v>
      </c>
      <c r="D4430" s="6" t="s">
        <v>53216</v>
      </c>
      <c r="E4430" s="3" t="str">
        <f t="shared" si="1"/>
        <v>overnight&lt;br&gt;&lt;div class="audio"&gt;[sound:overnight.mp3]&lt;/div&gt;</v>
      </c>
      <c r="F4430" s="3" t="str">
        <f t="shared" si="2"/>
        <v>(adv): qua đêm</v>
      </c>
      <c r="G4430" s="6" t="s">
        <v>53217</v>
      </c>
      <c r="H4430" s="6" t="s">
        <v>53218</v>
      </c>
      <c r="I4430" s="7">
        <f t="shared" si="3"/>
        <v>0.1367172992</v>
      </c>
    </row>
    <row r="4431">
      <c r="A4431" s="4">
        <v>4431.0</v>
      </c>
      <c r="B4431" s="3" t="s">
        <v>53219</v>
      </c>
      <c r="C4431" s="6" t="s">
        <v>74</v>
      </c>
      <c r="D4431" s="6" t="s">
        <v>3216</v>
      </c>
      <c r="E4431" s="3" t="str">
        <f t="shared" si="1"/>
        <v>mill&lt;br&gt;&lt;div class="audio"&gt;[sound:mill.mp3]&lt;/div&gt;</v>
      </c>
      <c r="F4431" s="3" t="str">
        <f t="shared" si="2"/>
        <v>(n): nhà máy</v>
      </c>
      <c r="G4431" s="6" t="s">
        <v>53220</v>
      </c>
      <c r="H4431" s="6" t="s">
        <v>53221</v>
      </c>
      <c r="I4431" s="7">
        <f t="shared" si="3"/>
        <v>0.7564195691</v>
      </c>
    </row>
    <row r="4432">
      <c r="A4432" s="4">
        <v>4432.0</v>
      </c>
      <c r="B4432" s="3" t="s">
        <v>53222</v>
      </c>
      <c r="C4432" s="6" t="s">
        <v>24</v>
      </c>
      <c r="D4432" s="6" t="s">
        <v>14463</v>
      </c>
      <c r="E4432" s="3" t="str">
        <f t="shared" si="1"/>
        <v>assemble&lt;br&gt;&lt;div class="audio"&gt;[sound:assemble.mp3]&lt;/div&gt;</v>
      </c>
      <c r="F4432" s="3" t="str">
        <f t="shared" si="2"/>
        <v>(v): lắp ráp</v>
      </c>
      <c r="G4432" s="6" t="s">
        <v>53223</v>
      </c>
      <c r="H4432" s="6" t="s">
        <v>53224</v>
      </c>
      <c r="I4432" s="7">
        <f t="shared" si="3"/>
        <v>0.8231997341</v>
      </c>
    </row>
    <row r="4433">
      <c r="A4433" s="4">
        <v>4433.0</v>
      </c>
      <c r="B4433" s="3" t="s">
        <v>53225</v>
      </c>
      <c r="C4433" s="6" t="s">
        <v>74</v>
      </c>
      <c r="D4433" s="6" t="s">
        <v>11364</v>
      </c>
      <c r="E4433" s="3" t="str">
        <f t="shared" si="1"/>
        <v>motive&lt;br&gt;&lt;div class="audio"&gt;[sound:motive.mp3]&lt;/div&gt;</v>
      </c>
      <c r="F4433" s="3" t="str">
        <f t="shared" si="2"/>
        <v>(n): động cơ</v>
      </c>
      <c r="G4433" s="6" t="s">
        <v>53226</v>
      </c>
      <c r="H4433" s="6" t="s">
        <v>53227</v>
      </c>
      <c r="I4433" s="7">
        <f t="shared" si="3"/>
        <v>0.5396814157</v>
      </c>
    </row>
    <row r="4434">
      <c r="A4434" s="4">
        <v>4434.0</v>
      </c>
      <c r="B4434" s="3" t="s">
        <v>53228</v>
      </c>
      <c r="C4434" s="6" t="s">
        <v>24</v>
      </c>
      <c r="D4434" s="6" t="s">
        <v>7283</v>
      </c>
      <c r="E4434" s="3" t="str">
        <f t="shared" si="1"/>
        <v>dispose&lt;br&gt;&lt;div class="audio"&gt;[sound:dispose.mp3]&lt;/div&gt;</v>
      </c>
      <c r="F4434" s="3" t="str">
        <f t="shared" si="2"/>
        <v>(v): vứt bỏ</v>
      </c>
      <c r="G4434" s="6" t="s">
        <v>53229</v>
      </c>
      <c r="H4434" s="6" t="s">
        <v>53230</v>
      </c>
      <c r="I4434" s="7">
        <f t="shared" si="3"/>
        <v>0.6694083588</v>
      </c>
    </row>
    <row r="4435">
      <c r="A4435" s="4">
        <v>4435.0</v>
      </c>
      <c r="B4435" s="3" t="s">
        <v>53231</v>
      </c>
      <c r="C4435" s="6" t="s">
        <v>74</v>
      </c>
      <c r="D4435" s="6" t="s">
        <v>24877</v>
      </c>
      <c r="E4435" s="3" t="str">
        <f t="shared" si="1"/>
        <v>wrist&lt;br&gt;&lt;div class="audio"&gt;[sound:wrist.mp3]&lt;/div&gt;</v>
      </c>
      <c r="F4435" s="3" t="str">
        <f t="shared" si="2"/>
        <v>(n): cổ tay</v>
      </c>
      <c r="G4435" s="6" t="s">
        <v>53232</v>
      </c>
      <c r="H4435" s="6" t="s">
        <v>53233</v>
      </c>
      <c r="I4435" s="7">
        <f t="shared" si="3"/>
        <v>0.252889666</v>
      </c>
    </row>
    <row r="4436">
      <c r="A4436" s="4">
        <v>4436.0</v>
      </c>
      <c r="B4436" s="3" t="s">
        <v>53234</v>
      </c>
      <c r="C4436" s="6" t="s">
        <v>11</v>
      </c>
      <c r="D4436" s="6" t="s">
        <v>53235</v>
      </c>
      <c r="E4436" s="3" t="str">
        <f t="shared" si="1"/>
        <v>persistent&lt;br&gt;&lt;div class="audio"&gt;[sound:persistent.mp3]&lt;/div&gt;</v>
      </c>
      <c r="F4436" s="3" t="str">
        <f t="shared" si="2"/>
        <v>(adj): bền bỉ</v>
      </c>
      <c r="G4436" s="6" t="s">
        <v>53236</v>
      </c>
      <c r="H4436" s="6" t="s">
        <v>53237</v>
      </c>
      <c r="I4436" s="7">
        <f t="shared" si="3"/>
        <v>0.8529186238</v>
      </c>
    </row>
    <row r="4437">
      <c r="A4437" s="4">
        <v>4437.0</v>
      </c>
      <c r="B4437" s="3" t="s">
        <v>53238</v>
      </c>
      <c r="C4437" s="6" t="s">
        <v>11</v>
      </c>
      <c r="D4437" s="6" t="s">
        <v>48690</v>
      </c>
      <c r="E4437" s="3" t="str">
        <f t="shared" si="1"/>
        <v>mere&lt;br&gt;&lt;div class="audio"&gt;[sound:mere.mp3]&lt;/div&gt;</v>
      </c>
      <c r="F4437" s="3" t="str">
        <f t="shared" si="2"/>
        <v>(adj): chỉ là</v>
      </c>
      <c r="G4437" s="6" t="s">
        <v>53239</v>
      </c>
      <c r="H4437" s="6" t="s">
        <v>53240</v>
      </c>
      <c r="I4437" s="7">
        <f t="shared" si="3"/>
        <v>0.1762588031</v>
      </c>
    </row>
    <row r="4438">
      <c r="A4438" s="4">
        <v>4438.0</v>
      </c>
      <c r="B4438" s="3" t="s">
        <v>53241</v>
      </c>
      <c r="C4438" s="6" t="s">
        <v>11</v>
      </c>
      <c r="D4438" s="6" t="s">
        <v>3473</v>
      </c>
      <c r="E4438" s="3" t="str">
        <f t="shared" si="1"/>
        <v>amusing&lt;br&gt;&lt;div class="audio"&gt;[sound:amusing.mp3]&lt;/div&gt;</v>
      </c>
      <c r="F4438" s="3" t="str">
        <f t="shared" si="2"/>
        <v>(adj): thú vị</v>
      </c>
      <c r="G4438" s="6" t="s">
        <v>53242</v>
      </c>
      <c r="H4438" s="6" t="s">
        <v>53243</v>
      </c>
      <c r="I4438" s="7">
        <f t="shared" si="3"/>
        <v>0.05819644459</v>
      </c>
    </row>
    <row r="4439">
      <c r="A4439" s="4">
        <v>4439.0</v>
      </c>
      <c r="B4439" s="3" t="s">
        <v>53244</v>
      </c>
      <c r="C4439" s="6" t="s">
        <v>74</v>
      </c>
      <c r="D4439" s="6" t="s">
        <v>34593</v>
      </c>
      <c r="E4439" s="3" t="str">
        <f t="shared" si="1"/>
        <v>aide&lt;br&gt;&lt;div class="audio"&gt;[sound:aide.mp3]&lt;/div&gt;</v>
      </c>
      <c r="F4439" s="3" t="str">
        <f t="shared" si="2"/>
        <v>(n): trợ lý</v>
      </c>
      <c r="G4439" s="6" t="s">
        <v>53245</v>
      </c>
      <c r="H4439" s="6" t="s">
        <v>53246</v>
      </c>
      <c r="I4439" s="7">
        <f t="shared" si="3"/>
        <v>0.2772211131</v>
      </c>
    </row>
    <row r="4440">
      <c r="A4440" s="4">
        <v>4440.0</v>
      </c>
      <c r="B4440" s="3" t="s">
        <v>53247</v>
      </c>
      <c r="C4440" s="6" t="s">
        <v>74</v>
      </c>
      <c r="D4440" s="6" t="s">
        <v>23832</v>
      </c>
      <c r="E4440" s="3" t="str">
        <f t="shared" si="1"/>
        <v>ambassador&lt;br&gt;&lt;div class="audio"&gt;[sound:ambassador.mp3]&lt;/div&gt;</v>
      </c>
      <c r="F4440" s="3" t="str">
        <f t="shared" si="2"/>
        <v>(n): đại sứ</v>
      </c>
      <c r="G4440" s="6" t="s">
        <v>53248</v>
      </c>
      <c r="H4440" s="6" t="s">
        <v>53249</v>
      </c>
      <c r="I4440" s="7">
        <f t="shared" si="3"/>
        <v>0.6228253306</v>
      </c>
    </row>
    <row r="4441">
      <c r="A4441" s="4">
        <v>4441.0</v>
      </c>
      <c r="B4441" s="3" t="s">
        <v>53250</v>
      </c>
      <c r="C4441" s="6" t="s">
        <v>85</v>
      </c>
      <c r="D4441" s="6" t="s">
        <v>3963</v>
      </c>
      <c r="E4441" s="3" t="str">
        <f t="shared" si="1"/>
        <v>adequately&lt;br&gt;&lt;div class="audio"&gt;[sound:adequately.mp3]&lt;/div&gt;</v>
      </c>
      <c r="F4441" s="3" t="str">
        <f t="shared" si="2"/>
        <v>(adv): đầy đủ</v>
      </c>
      <c r="G4441" s="6" t="s">
        <v>53251</v>
      </c>
      <c r="H4441" s="6" t="s">
        <v>53252</v>
      </c>
      <c r="I4441" s="7">
        <f t="shared" si="3"/>
        <v>0.1223554987</v>
      </c>
    </row>
    <row r="4442">
      <c r="A4442" s="4">
        <v>4442.0</v>
      </c>
      <c r="B4442" s="3" t="s">
        <v>53253</v>
      </c>
      <c r="C4442" s="6" t="s">
        <v>74</v>
      </c>
      <c r="D4442" s="6" t="s">
        <v>17272</v>
      </c>
      <c r="E4442" s="3" t="str">
        <f t="shared" si="1"/>
        <v>wheat&lt;br&gt;&lt;div class="audio"&gt;[sound:wheat.mp3]&lt;/div&gt;</v>
      </c>
      <c r="F4442" s="3" t="str">
        <f t="shared" si="2"/>
        <v>(n): lúa mì</v>
      </c>
      <c r="G4442" s="6" t="s">
        <v>53254</v>
      </c>
      <c r="H4442" s="6" t="s">
        <v>53255</v>
      </c>
      <c r="I4442" s="7">
        <f t="shared" si="3"/>
        <v>0.5915491425</v>
      </c>
    </row>
    <row r="4443">
      <c r="A4443" s="4">
        <v>4443.0</v>
      </c>
      <c r="B4443" s="3" t="s">
        <v>53256</v>
      </c>
      <c r="C4443" s="6" t="s">
        <v>11</v>
      </c>
      <c r="D4443" s="6" t="s">
        <v>35975</v>
      </c>
      <c r="E4443" s="3" t="str">
        <f t="shared" si="1"/>
        <v>organic&lt;br&gt;&lt;div class="audio"&gt;[sound:organic.mp3]&lt;/div&gt;</v>
      </c>
      <c r="F4443" s="3" t="str">
        <f t="shared" si="2"/>
        <v>(adj): hữu cơ</v>
      </c>
      <c r="G4443" s="6" t="s">
        <v>53257</v>
      </c>
      <c r="H4443" s="6" t="s">
        <v>53258</v>
      </c>
      <c r="I4443" s="7">
        <f t="shared" si="3"/>
        <v>0.08709166865</v>
      </c>
    </row>
    <row r="4444">
      <c r="A4444" s="4">
        <v>4444.0</v>
      </c>
      <c r="B4444" s="3" t="s">
        <v>53259</v>
      </c>
      <c r="C4444" s="6" t="s">
        <v>11</v>
      </c>
      <c r="D4444" s="6" t="s">
        <v>852</v>
      </c>
      <c r="E4444" s="3" t="str">
        <f t="shared" si="1"/>
        <v>peculiar&lt;br&gt;&lt;div class="audio"&gt;[sound:peculiar.mp3]&lt;/div&gt;</v>
      </c>
      <c r="F4444" s="3" t="str">
        <f t="shared" si="2"/>
        <v>(adj): kỳ lạ</v>
      </c>
      <c r="G4444" s="6" t="s">
        <v>53260</v>
      </c>
      <c r="H4444" s="6" t="s">
        <v>53261</v>
      </c>
      <c r="I4444" s="7">
        <f t="shared" si="3"/>
        <v>0.06003649247</v>
      </c>
    </row>
    <row r="4445">
      <c r="A4445" s="4">
        <v>4445.0</v>
      </c>
      <c r="B4445" s="3" t="s">
        <v>53262</v>
      </c>
      <c r="C4445" s="6" t="s">
        <v>11</v>
      </c>
      <c r="D4445" s="6" t="s">
        <v>852</v>
      </c>
      <c r="E4445" s="3" t="str">
        <f t="shared" si="1"/>
        <v>bizarre&lt;br&gt;&lt;div class="audio"&gt;[sound:bizarre.mp3]&lt;/div&gt;</v>
      </c>
      <c r="F4445" s="3" t="str">
        <f t="shared" si="2"/>
        <v>(adj): kỳ lạ</v>
      </c>
      <c r="G4445" s="6" t="s">
        <v>53263</v>
      </c>
      <c r="H4445" s="6" t="s">
        <v>53264</v>
      </c>
      <c r="I4445" s="7">
        <f t="shared" si="3"/>
        <v>0.1421306721</v>
      </c>
    </row>
    <row r="4446">
      <c r="A4446" s="4">
        <v>4446.0</v>
      </c>
      <c r="B4446" s="3" t="s">
        <v>53265</v>
      </c>
      <c r="C4446" s="6" t="s">
        <v>85</v>
      </c>
      <c r="D4446" s="6" t="s">
        <v>7212</v>
      </c>
      <c r="E4446" s="3" t="str">
        <f t="shared" si="1"/>
        <v>presumably&lt;br&gt;&lt;div class="audio"&gt;[sound:presumably.mp3]&lt;/div&gt;</v>
      </c>
      <c r="F4446" s="3" t="str">
        <f t="shared" si="2"/>
        <v>(adv): có lẽ</v>
      </c>
      <c r="G4446" s="6" t="s">
        <v>53266</v>
      </c>
      <c r="H4446" s="6" t="s">
        <v>53267</v>
      </c>
      <c r="I4446" s="7">
        <f t="shared" si="3"/>
        <v>0.6871788263</v>
      </c>
    </row>
    <row r="4447">
      <c r="A4447" s="4">
        <v>4447.0</v>
      </c>
      <c r="B4447" s="3" t="s">
        <v>53268</v>
      </c>
      <c r="C4447" s="6" t="s">
        <v>74</v>
      </c>
      <c r="D4447" s="6" t="s">
        <v>53269</v>
      </c>
      <c r="E4447" s="3" t="str">
        <f t="shared" si="1"/>
        <v>accent&lt;br&gt;&lt;div class="audio"&gt;[sound:accent.mp3]&lt;/div&gt;</v>
      </c>
      <c r="F4447" s="3" t="str">
        <f t="shared" si="2"/>
        <v>(n): giọng</v>
      </c>
      <c r="G4447" s="6" t="s">
        <v>53270</v>
      </c>
      <c r="H4447" s="6" t="s">
        <v>53271</v>
      </c>
      <c r="I4447" s="7">
        <f t="shared" si="3"/>
        <v>0.7507612638</v>
      </c>
    </row>
    <row r="4448">
      <c r="A4448" s="4">
        <v>4448.0</v>
      </c>
      <c r="B4448" s="3" t="s">
        <v>53272</v>
      </c>
      <c r="C4448" s="6" t="s">
        <v>11</v>
      </c>
      <c r="D4448" s="6" t="s">
        <v>628</v>
      </c>
      <c r="E4448" s="3" t="str">
        <f t="shared" si="1"/>
        <v>fond&lt;br&gt;&lt;div class="audio"&gt;[sound:fond.mp3]&lt;/div&gt;</v>
      </c>
      <c r="F4448" s="3" t="str">
        <f t="shared" si="2"/>
        <v>(adj): thích</v>
      </c>
      <c r="G4448" s="6" t="s">
        <v>53273</v>
      </c>
      <c r="H4448" s="6" t="s">
        <v>53274</v>
      </c>
      <c r="I4448" s="7">
        <f t="shared" si="3"/>
        <v>0.4628831477</v>
      </c>
    </row>
    <row r="4449">
      <c r="A4449" s="4">
        <v>4449.0</v>
      </c>
      <c r="B4449" s="3" t="s">
        <v>53275</v>
      </c>
      <c r="C4449" s="6" t="s">
        <v>74</v>
      </c>
      <c r="D4449" s="6" t="s">
        <v>2906</v>
      </c>
      <c r="E4449" s="3" t="str">
        <f t="shared" si="1"/>
        <v>medication&lt;br&gt;&lt;div class="audio"&gt;[sound:medication.mp3]&lt;/div&gt;</v>
      </c>
      <c r="F4449" s="3" t="str">
        <f t="shared" si="2"/>
        <v>(n): thuốc</v>
      </c>
      <c r="G4449" s="6" t="s">
        <v>53276</v>
      </c>
      <c r="H4449" s="6" t="s">
        <v>53277</v>
      </c>
      <c r="I4449" s="7">
        <f t="shared" si="3"/>
        <v>0.128219266</v>
      </c>
    </row>
    <row r="4450">
      <c r="A4450" s="4">
        <v>4450.0</v>
      </c>
      <c r="B4450" s="3" t="s">
        <v>53278</v>
      </c>
      <c r="C4450" s="6" t="s">
        <v>11</v>
      </c>
      <c r="D4450" s="6" t="s">
        <v>8199</v>
      </c>
      <c r="E4450" s="3" t="str">
        <f t="shared" si="1"/>
        <v>absurd&lt;br&gt;&lt;div class="audio"&gt;[sound:absurd.mp3]&lt;/div&gt;</v>
      </c>
      <c r="F4450" s="3" t="str">
        <f t="shared" si="2"/>
        <v>(adj): vô lý</v>
      </c>
      <c r="G4450" s="6" t="s">
        <v>53279</v>
      </c>
      <c r="H4450" s="6" t="s">
        <v>53280</v>
      </c>
      <c r="I4450" s="7">
        <f t="shared" si="3"/>
        <v>0.5394697852</v>
      </c>
    </row>
    <row r="4451">
      <c r="A4451" s="4">
        <v>4451.0</v>
      </c>
      <c r="B4451" s="3" t="s">
        <v>53281</v>
      </c>
      <c r="C4451" s="6" t="s">
        <v>11</v>
      </c>
      <c r="D4451" s="6" t="s">
        <v>15403</v>
      </c>
      <c r="E4451" s="3" t="str">
        <f t="shared" si="1"/>
        <v>blank&lt;br&gt;&lt;div class="audio"&gt;[sound:blank.mp3]&lt;/div&gt;</v>
      </c>
      <c r="F4451" s="3" t="str">
        <f t="shared" si="2"/>
        <v>(adj): trống</v>
      </c>
      <c r="G4451" s="6" t="s">
        <v>53282</v>
      </c>
      <c r="H4451" s="6" t="s">
        <v>53283</v>
      </c>
      <c r="I4451" s="7">
        <f t="shared" si="3"/>
        <v>0.9775073345</v>
      </c>
    </row>
    <row r="4452">
      <c r="A4452" s="4">
        <v>4452.0</v>
      </c>
      <c r="B4452" s="3" t="s">
        <v>53284</v>
      </c>
      <c r="C4452" s="6" t="s">
        <v>11</v>
      </c>
      <c r="D4452" s="6" t="s">
        <v>53285</v>
      </c>
      <c r="E4452" s="3" t="str">
        <f t="shared" si="1"/>
        <v>preliminary&lt;br&gt;&lt;div class="audio"&gt;[sound:preliminary.mp3]&lt;/div&gt;</v>
      </c>
      <c r="F4452" s="3" t="str">
        <f t="shared" si="2"/>
        <v>(adj): sơ bộ</v>
      </c>
      <c r="G4452" s="6" t="s">
        <v>53286</v>
      </c>
      <c r="H4452" s="6" t="s">
        <v>53287</v>
      </c>
      <c r="I4452" s="7">
        <f t="shared" si="3"/>
        <v>0.5488186669</v>
      </c>
    </row>
    <row r="4453">
      <c r="A4453" s="4">
        <v>4453.0</v>
      </c>
      <c r="B4453" s="3" t="s">
        <v>53288</v>
      </c>
      <c r="C4453" s="6" t="s">
        <v>74</v>
      </c>
      <c r="D4453" s="6" t="s">
        <v>53289</v>
      </c>
      <c r="E4453" s="3" t="str">
        <f t="shared" si="1"/>
        <v>pepper&lt;br&gt;&lt;div class="audio"&gt;[sound:pepper.mp3]&lt;/div&gt;</v>
      </c>
      <c r="F4453" s="3" t="str">
        <f t="shared" si="2"/>
        <v>(n): tiêu</v>
      </c>
      <c r="G4453" s="6" t="s">
        <v>53290</v>
      </c>
      <c r="H4453" s="6" t="s">
        <v>53291</v>
      </c>
      <c r="I4453" s="7">
        <f t="shared" si="3"/>
        <v>0.2133588414</v>
      </c>
    </row>
    <row r="4454">
      <c r="A4454" s="4">
        <v>4454.0</v>
      </c>
      <c r="B4454" s="3" t="s">
        <v>53292</v>
      </c>
      <c r="C4454" s="6" t="s">
        <v>63</v>
      </c>
      <c r="D4454" s="6" t="s">
        <v>26585</v>
      </c>
      <c r="E4454" s="3" t="str">
        <f t="shared" si="1"/>
        <v>amid&lt;br&gt;&lt;div class="audio"&gt;[sound:amid.mp3]&lt;/div&gt;</v>
      </c>
      <c r="F4454" s="3" t="str">
        <f t="shared" si="2"/>
        <v>(prep): giữa</v>
      </c>
      <c r="G4454" s="6" t="s">
        <v>53293</v>
      </c>
      <c r="H4454" s="6" t="s">
        <v>53294</v>
      </c>
      <c r="I4454" s="7">
        <f t="shared" si="3"/>
        <v>0.5423309994</v>
      </c>
    </row>
    <row r="4455">
      <c r="A4455" s="4">
        <v>4455.0</v>
      </c>
      <c r="B4455" s="3" t="s">
        <v>53295</v>
      </c>
      <c r="C4455" s="6" t="s">
        <v>24</v>
      </c>
      <c r="D4455" s="6" t="s">
        <v>4264</v>
      </c>
      <c r="E4455" s="3" t="str">
        <f t="shared" si="1"/>
        <v>whip&lt;br&gt;&lt;div class="audio"&gt;[sound:whip.mp3]&lt;/div&gt;</v>
      </c>
      <c r="F4455" s="3" t="str">
        <f t="shared" si="2"/>
        <v>(v): đánh</v>
      </c>
      <c r="G4455" s="6" t="s">
        <v>53296</v>
      </c>
      <c r="H4455" s="6" t="s">
        <v>53297</v>
      </c>
      <c r="I4455" s="7">
        <f t="shared" si="3"/>
        <v>0.4581129121</v>
      </c>
    </row>
    <row r="4456">
      <c r="A4456" s="4">
        <v>4456.0</v>
      </c>
      <c r="B4456" s="3" t="s">
        <v>53298</v>
      </c>
      <c r="C4456" s="6" t="s">
        <v>11</v>
      </c>
      <c r="D4456" s="6" t="s">
        <v>53299</v>
      </c>
      <c r="E4456" s="3" t="str">
        <f t="shared" si="1"/>
        <v>thirsty&lt;br&gt;&lt;div class="audio"&gt;[sound:thirsty.mp3]&lt;/div&gt;</v>
      </c>
      <c r="F4456" s="3" t="str">
        <f t="shared" si="2"/>
        <v>(adj): khát</v>
      </c>
      <c r="G4456" s="6" t="s">
        <v>53300</v>
      </c>
      <c r="H4456" s="6" t="s">
        <v>53301</v>
      </c>
      <c r="I4456" s="7">
        <f t="shared" si="3"/>
        <v>0.792721168</v>
      </c>
    </row>
    <row r="4457">
      <c r="A4457" s="4">
        <v>4457.0</v>
      </c>
      <c r="B4457" s="3" t="s">
        <v>53302</v>
      </c>
      <c r="C4457" s="6" t="s">
        <v>74</v>
      </c>
      <c r="D4457" s="6" t="s">
        <v>12159</v>
      </c>
      <c r="E4457" s="3" t="str">
        <f t="shared" si="1"/>
        <v>petrol&lt;br&gt;&lt;div class="audio"&gt;[sound:petrol.mp3]&lt;/div&gt;</v>
      </c>
      <c r="F4457" s="3" t="str">
        <f t="shared" si="2"/>
        <v>(n): xăng</v>
      </c>
      <c r="G4457" s="6" t="s">
        <v>53303</v>
      </c>
      <c r="H4457" s="6" t="s">
        <v>53304</v>
      </c>
      <c r="I4457" s="7">
        <f t="shared" si="3"/>
        <v>0.7841130156</v>
      </c>
    </row>
    <row r="4458">
      <c r="A4458" s="4">
        <v>4458.0</v>
      </c>
      <c r="B4458" s="3" t="s">
        <v>53305</v>
      </c>
      <c r="C4458" s="6" t="s">
        <v>11</v>
      </c>
      <c r="D4458" s="6" t="s">
        <v>53306</v>
      </c>
      <c r="E4458" s="3" t="str">
        <f t="shared" si="1"/>
        <v>bare&lt;br&gt;&lt;div class="audio"&gt;[sound:bare.mp3]&lt;/div&gt;</v>
      </c>
      <c r="F4458" s="3" t="str">
        <f t="shared" si="2"/>
        <v>(adj): trần</v>
      </c>
      <c r="G4458" s="6" t="s">
        <v>53307</v>
      </c>
      <c r="H4458" s="6" t="s">
        <v>53308</v>
      </c>
      <c r="I4458" s="7">
        <f t="shared" si="3"/>
        <v>0.7998835126</v>
      </c>
    </row>
    <row r="4459">
      <c r="A4459" s="4">
        <v>4459.0</v>
      </c>
      <c r="B4459" s="3" t="s">
        <v>53309</v>
      </c>
      <c r="C4459" s="6" t="s">
        <v>74</v>
      </c>
      <c r="D4459" s="6" t="s">
        <v>9132</v>
      </c>
      <c r="E4459" s="3" t="str">
        <f t="shared" si="1"/>
        <v>flesh&lt;br&gt;&lt;div class="audio"&gt;[sound:flesh.mp3]&lt;/div&gt;</v>
      </c>
      <c r="F4459" s="3" t="str">
        <f t="shared" si="2"/>
        <v>(n): thịt</v>
      </c>
      <c r="G4459" s="6" t="s">
        <v>53310</v>
      </c>
      <c r="H4459" s="6" t="s">
        <v>53311</v>
      </c>
      <c r="I4459" s="7">
        <f t="shared" si="3"/>
        <v>0.2839194804</v>
      </c>
    </row>
    <row r="4460">
      <c r="A4460" s="4">
        <v>4460.0</v>
      </c>
      <c r="B4460" s="3" t="s">
        <v>53312</v>
      </c>
      <c r="C4460" s="6" t="s">
        <v>74</v>
      </c>
      <c r="D4460" s="6" t="s">
        <v>53312</v>
      </c>
      <c r="E4460" s="3" t="str">
        <f t="shared" si="1"/>
        <v>logo&lt;br&gt;&lt;div class="audio"&gt;[sound:logo.mp3]&lt;/div&gt;</v>
      </c>
      <c r="F4460" s="3" t="str">
        <f t="shared" si="2"/>
        <v>(n): logo</v>
      </c>
      <c r="G4460" s="6" t="s">
        <v>53313</v>
      </c>
      <c r="H4460" s="6" t="s">
        <v>53314</v>
      </c>
      <c r="I4460" s="7">
        <f t="shared" si="3"/>
        <v>0.1399719724</v>
      </c>
    </row>
    <row r="4461">
      <c r="A4461" s="4">
        <v>4461.0</v>
      </c>
      <c r="B4461" s="3" t="s">
        <v>53315</v>
      </c>
      <c r="C4461" s="6" t="s">
        <v>24</v>
      </c>
      <c r="D4461" s="6" t="s">
        <v>4157</v>
      </c>
      <c r="E4461" s="3" t="str">
        <f t="shared" si="1"/>
        <v>bind&lt;br&gt;&lt;div class="audio"&gt;[sound:bind.mp3]&lt;/div&gt;</v>
      </c>
      <c r="F4461" s="3" t="str">
        <f t="shared" si="2"/>
        <v>(v): buộc</v>
      </c>
      <c r="G4461" s="6" t="s">
        <v>53316</v>
      </c>
      <c r="H4461" s="6" t="s">
        <v>53317</v>
      </c>
      <c r="I4461" s="7">
        <f t="shared" si="3"/>
        <v>0.2723326482</v>
      </c>
    </row>
    <row r="4462">
      <c r="A4462" s="4">
        <v>4462.0</v>
      </c>
      <c r="B4462" s="3" t="s">
        <v>7990</v>
      </c>
      <c r="C4462" s="6" t="s">
        <v>74</v>
      </c>
      <c r="D4462" s="6" t="s">
        <v>33447</v>
      </c>
      <c r="E4462" s="3" t="str">
        <f t="shared" si="1"/>
        <v>bay&lt;br&gt;&lt;div class="audio"&gt;[sound:bay.mp3]&lt;/div&gt;</v>
      </c>
      <c r="F4462" s="3" t="str">
        <f t="shared" si="2"/>
        <v>(n): vịnh</v>
      </c>
      <c r="G4462" s="6" t="s">
        <v>53318</v>
      </c>
      <c r="H4462" s="6" t="s">
        <v>53319</v>
      </c>
      <c r="I4462" s="7">
        <f t="shared" si="3"/>
        <v>0.3078981939</v>
      </c>
    </row>
    <row r="4463">
      <c r="A4463" s="4">
        <v>4463.0</v>
      </c>
      <c r="B4463" s="3" t="s">
        <v>53320</v>
      </c>
      <c r="C4463" s="6" t="s">
        <v>74</v>
      </c>
      <c r="D4463" s="6" t="s">
        <v>18260</v>
      </c>
      <c r="E4463" s="3" t="str">
        <f t="shared" si="1"/>
        <v>powder&lt;br&gt;&lt;div class="audio"&gt;[sound:powder.mp3]&lt;/div&gt;</v>
      </c>
      <c r="F4463" s="3" t="str">
        <f t="shared" si="2"/>
        <v>(n): bột</v>
      </c>
      <c r="G4463" s="6" t="s">
        <v>53321</v>
      </c>
      <c r="H4463" s="6" t="s">
        <v>53322</v>
      </c>
      <c r="I4463" s="7">
        <f t="shared" si="3"/>
        <v>0.9162764851</v>
      </c>
    </row>
    <row r="4464">
      <c r="A4464" s="4">
        <v>4464.0</v>
      </c>
      <c r="B4464" s="3" t="s">
        <v>53323</v>
      </c>
      <c r="C4464" s="6" t="s">
        <v>74</v>
      </c>
      <c r="D4464" s="6" t="s">
        <v>53324</v>
      </c>
      <c r="E4464" s="3" t="str">
        <f t="shared" si="1"/>
        <v>flu&lt;br&gt;&lt;div class="audio"&gt;[sound:flu.mp3]&lt;/div&gt;</v>
      </c>
      <c r="F4464" s="3" t="str">
        <f t="shared" si="2"/>
        <v>(n): cúm</v>
      </c>
      <c r="G4464" s="6" t="s">
        <v>53325</v>
      </c>
      <c r="H4464" s="6" t="s">
        <v>53326</v>
      </c>
      <c r="I4464" s="7">
        <f t="shared" si="3"/>
        <v>0.5273237815</v>
      </c>
    </row>
    <row r="4465">
      <c r="A4465" s="4">
        <v>4465.0</v>
      </c>
      <c r="B4465" s="3" t="s">
        <v>53327</v>
      </c>
      <c r="C4465" s="6" t="s">
        <v>74</v>
      </c>
      <c r="D4465" s="6" t="s">
        <v>6113</v>
      </c>
      <c r="E4465" s="3" t="str">
        <f t="shared" si="1"/>
        <v>nut&lt;br&gt;&lt;div class="audio"&gt;[sound:nut.mp3]&lt;/div&gt;</v>
      </c>
      <c r="F4465" s="3" t="str">
        <f t="shared" si="2"/>
        <v>(n): hạt</v>
      </c>
      <c r="G4465" s="6" t="s">
        <v>53328</v>
      </c>
      <c r="H4465" s="6" t="s">
        <v>53329</v>
      </c>
      <c r="I4465" s="7">
        <f t="shared" si="3"/>
        <v>0.7064407805</v>
      </c>
    </row>
    <row r="4466">
      <c r="A4466" s="4">
        <v>4466.0</v>
      </c>
      <c r="B4466" s="3" t="s">
        <v>53330</v>
      </c>
      <c r="C4466" s="6" t="s">
        <v>74</v>
      </c>
      <c r="D4466" s="6" t="s">
        <v>18436</v>
      </c>
      <c r="E4466" s="3" t="str">
        <f t="shared" si="1"/>
        <v>litre&lt;br&gt;&lt;div class="audio"&gt;[sound:litre.mp3]&lt;/div&gt;</v>
      </c>
      <c r="F4466" s="3" t="str">
        <f t="shared" si="2"/>
        <v>(n): lít</v>
      </c>
      <c r="G4466" s="6" t="s">
        <v>53331</v>
      </c>
      <c r="H4466" s="6" t="s">
        <v>53332</v>
      </c>
      <c r="I4466" s="7">
        <f t="shared" si="3"/>
        <v>0.06565846635</v>
      </c>
    </row>
    <row r="4467">
      <c r="A4467" s="4">
        <v>4467.0</v>
      </c>
      <c r="B4467" s="3" t="s">
        <v>53333</v>
      </c>
      <c r="C4467" s="6" t="s">
        <v>24</v>
      </c>
      <c r="D4467" s="6" t="s">
        <v>31930</v>
      </c>
      <c r="E4467" s="3" t="str">
        <f t="shared" si="1"/>
        <v>weave&lt;br&gt;&lt;div class="audio"&gt;[sound:weave.mp3]&lt;/div&gt;</v>
      </c>
      <c r="F4467" s="3" t="str">
        <f t="shared" si="2"/>
        <v>(v): dệt</v>
      </c>
      <c r="G4467" s="6" t="s">
        <v>53334</v>
      </c>
      <c r="H4467" s="6" t="s">
        <v>53335</v>
      </c>
      <c r="I4467" s="7">
        <f t="shared" si="3"/>
        <v>0.7377906716</v>
      </c>
    </row>
    <row r="4468">
      <c r="A4468" s="4">
        <v>4468.0</v>
      </c>
      <c r="B4468" s="3" t="s">
        <v>53336</v>
      </c>
      <c r="C4468" s="6" t="s">
        <v>74</v>
      </c>
      <c r="D4468" s="6" t="s">
        <v>11434</v>
      </c>
      <c r="E4468" s="3" t="str">
        <f t="shared" si="1"/>
        <v>tonne&lt;br&gt;&lt;div class="audio"&gt;[sound:tonne.mp3]&lt;/div&gt;</v>
      </c>
      <c r="F4468" s="3" t="str">
        <f t="shared" si="2"/>
        <v>(n): tấn</v>
      </c>
      <c r="G4468" s="6" t="s">
        <v>53337</v>
      </c>
      <c r="H4468" s="6" t="s">
        <v>53338</v>
      </c>
      <c r="I4468" s="7">
        <f t="shared" si="3"/>
        <v>0.8994554407</v>
      </c>
    </row>
    <row r="4469">
      <c r="A4469" s="4">
        <v>4469.0</v>
      </c>
      <c r="B4469" s="3" t="s">
        <v>53339</v>
      </c>
      <c r="C4469" s="6" t="s">
        <v>11</v>
      </c>
      <c r="D4469" s="6" t="s">
        <v>16791</v>
      </c>
      <c r="E4469" s="3" t="str">
        <f t="shared" si="1"/>
        <v>mild&lt;br&gt;&lt;div class="audio"&gt;[sound:mild.mp3]&lt;/div&gt;</v>
      </c>
      <c r="F4469" s="3" t="str">
        <f t="shared" si="2"/>
        <v>(adj): ôn hòa</v>
      </c>
      <c r="G4469" s="6" t="s">
        <v>53340</v>
      </c>
      <c r="H4469" s="6" t="s">
        <v>53341</v>
      </c>
      <c r="I4469" s="7">
        <f t="shared" si="3"/>
        <v>0.2673228597</v>
      </c>
    </row>
    <row r="4470">
      <c r="A4470" s="4">
        <v>4470.0</v>
      </c>
      <c r="B4470" s="3" t="s">
        <v>53342</v>
      </c>
      <c r="C4470" s="6" t="s">
        <v>74</v>
      </c>
      <c r="D4470" s="6" t="s">
        <v>53343</v>
      </c>
      <c r="E4470" s="3" t="str">
        <f t="shared" si="1"/>
        <v>bloke&lt;br&gt;&lt;div class="audio"&gt;[sound:bloke.mp3]&lt;/div&gt;</v>
      </c>
      <c r="F4470" s="3" t="str">
        <f t="shared" si="2"/>
        <v>(n): gã</v>
      </c>
      <c r="G4470" s="6" t="s">
        <v>53344</v>
      </c>
      <c r="H4470" s="6" t="s">
        <v>53345</v>
      </c>
      <c r="I4470" s="7">
        <f t="shared" si="3"/>
        <v>0.4609292836</v>
      </c>
    </row>
    <row r="4471">
      <c r="A4471" s="4">
        <v>4471.0</v>
      </c>
      <c r="B4471" s="3" t="s">
        <v>53346</v>
      </c>
      <c r="C4471" s="6" t="s">
        <v>74</v>
      </c>
      <c r="D4471" s="6" t="s">
        <v>42360</v>
      </c>
      <c r="E4471" s="3" t="str">
        <f t="shared" si="1"/>
        <v>penny&lt;br&gt;&lt;div class="audio"&gt;[sound:penny.mp3]&lt;/div&gt;</v>
      </c>
      <c r="F4471" s="3" t="str">
        <f t="shared" si="2"/>
        <v>(n): xu</v>
      </c>
      <c r="G4471" s="6" t="s">
        <v>53347</v>
      </c>
      <c r="H4471" s="6" t="s">
        <v>53348</v>
      </c>
      <c r="I4471" s="7">
        <f t="shared" si="3"/>
        <v>0.4325975308</v>
      </c>
    </row>
    <row r="4472">
      <c r="A4472" s="4">
        <v>4472.0</v>
      </c>
      <c r="B4472" s="3" t="s">
        <v>53349</v>
      </c>
      <c r="C4472" s="6" t="s">
        <v>74</v>
      </c>
      <c r="D4472" s="6" t="s">
        <v>53350</v>
      </c>
      <c r="E4472" s="3" t="str">
        <f t="shared" si="1"/>
        <v>discrimination&lt;br&gt;&lt;div class="audio"&gt;[sound:discrimination.mp3]&lt;/div&gt;</v>
      </c>
      <c r="F4472" s="3" t="str">
        <f t="shared" si="2"/>
        <v>(n): sự phân biệt đối xử</v>
      </c>
      <c r="G4472" s="6" t="s">
        <v>53351</v>
      </c>
      <c r="H4472" s="6" t="s">
        <v>53352</v>
      </c>
      <c r="I4472" s="7">
        <f t="shared" si="3"/>
        <v>0.5702427342</v>
      </c>
    </row>
    <row r="4473">
      <c r="A4473" s="4">
        <v>4473.0</v>
      </c>
      <c r="B4473" s="3" t="s">
        <v>53353</v>
      </c>
      <c r="C4473" s="6" t="s">
        <v>74</v>
      </c>
      <c r="D4473" s="6" t="s">
        <v>53354</v>
      </c>
      <c r="E4473" s="3" t="str">
        <f t="shared" si="1"/>
        <v>deck&lt;br&gt;&lt;div class="audio"&gt;[sound:deck.mp3]&lt;/div&gt;</v>
      </c>
      <c r="F4473" s="3" t="str">
        <f t="shared" si="2"/>
        <v>(n): sàn tàu</v>
      </c>
      <c r="G4473" s="6" t="s">
        <v>53355</v>
      </c>
      <c r="H4473" s="6" t="s">
        <v>53356</v>
      </c>
      <c r="I4473" s="7">
        <f t="shared" si="3"/>
        <v>0.5125490636</v>
      </c>
    </row>
    <row r="4474">
      <c r="A4474" s="4">
        <v>4474.0</v>
      </c>
      <c r="B4474" s="3" t="s">
        <v>53357</v>
      </c>
      <c r="C4474" s="6" t="s">
        <v>24</v>
      </c>
      <c r="D4474" s="6" t="s">
        <v>7283</v>
      </c>
      <c r="E4474" s="3" t="str">
        <f t="shared" si="1"/>
        <v>dump&lt;br&gt;&lt;div class="audio"&gt;[sound:dump.mp3]&lt;/div&gt;</v>
      </c>
      <c r="F4474" s="3" t="str">
        <f t="shared" si="2"/>
        <v>(v): vứt bỏ</v>
      </c>
      <c r="G4474" s="6" t="s">
        <v>53358</v>
      </c>
      <c r="H4474" s="6" t="s">
        <v>53359</v>
      </c>
      <c r="I4474" s="7">
        <f t="shared" si="3"/>
        <v>0.7599726518</v>
      </c>
    </row>
    <row r="4475">
      <c r="A4475" s="4">
        <v>4475.0</v>
      </c>
      <c r="B4475" s="3" t="s">
        <v>53360</v>
      </c>
      <c r="C4475" s="6" t="s">
        <v>24</v>
      </c>
      <c r="D4475" s="6" t="s">
        <v>53361</v>
      </c>
      <c r="E4475" s="3" t="str">
        <f t="shared" si="1"/>
        <v>disagree&lt;br&gt;&lt;div class="audio"&gt;[sound:disagree.mp3]&lt;/div&gt;</v>
      </c>
      <c r="F4475" s="3" t="str">
        <f t="shared" si="2"/>
        <v>(v): không đồng ý</v>
      </c>
      <c r="G4475" s="6" t="s">
        <v>53362</v>
      </c>
      <c r="H4475" s="6" t="s">
        <v>53363</v>
      </c>
      <c r="I4475" s="7">
        <f t="shared" si="3"/>
        <v>0.3149486037</v>
      </c>
    </row>
    <row r="4476">
      <c r="A4476" s="4">
        <v>4476.0</v>
      </c>
      <c r="B4476" s="3" t="s">
        <v>53364</v>
      </c>
      <c r="C4476" s="6" t="s">
        <v>74</v>
      </c>
      <c r="D4476" s="6" t="s">
        <v>53365</v>
      </c>
      <c r="E4476" s="3" t="str">
        <f t="shared" si="1"/>
        <v>editorial&lt;br&gt;&lt;div class="audio"&gt;[sound:editorial.mp3]&lt;/div&gt;</v>
      </c>
      <c r="F4476" s="3" t="str">
        <f t="shared" si="2"/>
        <v>(n): bài xã luận</v>
      </c>
      <c r="G4476" s="6" t="s">
        <v>53366</v>
      </c>
      <c r="H4476" s="6" t="s">
        <v>53367</v>
      </c>
      <c r="I4476" s="7">
        <f t="shared" si="3"/>
        <v>0.8451577011</v>
      </c>
    </row>
    <row r="4477">
      <c r="A4477" s="4">
        <v>4477.0</v>
      </c>
      <c r="B4477" s="3" t="s">
        <v>53368</v>
      </c>
      <c r="C4477" s="6" t="s">
        <v>74</v>
      </c>
      <c r="D4477" s="6" t="s">
        <v>33304</v>
      </c>
      <c r="E4477" s="3" t="str">
        <f t="shared" si="1"/>
        <v>dose&lt;br&gt;&lt;div class="audio"&gt;[sound:dose.mp3]&lt;/div&gt;</v>
      </c>
      <c r="F4477" s="3" t="str">
        <f t="shared" si="2"/>
        <v>(n): liều lượng</v>
      </c>
      <c r="G4477" s="6" t="s">
        <v>53369</v>
      </c>
      <c r="H4477" s="6" t="s">
        <v>53370</v>
      </c>
      <c r="I4477" s="7">
        <f t="shared" si="3"/>
        <v>0.5078508547</v>
      </c>
    </row>
    <row r="4478">
      <c r="A4478" s="4">
        <v>4478.0</v>
      </c>
      <c r="B4478" s="3" t="s">
        <v>53371</v>
      </c>
      <c r="C4478" s="6" t="s">
        <v>24</v>
      </c>
      <c r="D4478" s="6" t="s">
        <v>53372</v>
      </c>
      <c r="E4478" s="3" t="str">
        <f t="shared" si="1"/>
        <v>coordinate&lt;br&gt;&lt;div class="audio"&gt;[sound:coordinate.mp3]&lt;/div&gt;</v>
      </c>
      <c r="F4478" s="3" t="str">
        <f t="shared" si="2"/>
        <v>(v): phối hợp</v>
      </c>
      <c r="G4478" s="6" t="s">
        <v>53373</v>
      </c>
      <c r="H4478" s="6" t="s">
        <v>53374</v>
      </c>
      <c r="I4478" s="7">
        <f t="shared" si="3"/>
        <v>0.43005681</v>
      </c>
    </row>
    <row r="4479">
      <c r="A4479" s="4">
        <v>4479.0</v>
      </c>
      <c r="B4479" s="3" t="s">
        <v>53375</v>
      </c>
      <c r="C4479" s="6" t="s">
        <v>11</v>
      </c>
      <c r="D4479" s="6" t="s">
        <v>53376</v>
      </c>
      <c r="E4479" s="3" t="str">
        <f t="shared" si="1"/>
        <v>dedicated&lt;br&gt;&lt;div class="audio"&gt;[sound:dedicated.mp3]&lt;/div&gt;</v>
      </c>
      <c r="F4479" s="3" t="str">
        <f t="shared" si="2"/>
        <v>(adj): tận tâm</v>
      </c>
      <c r="G4479" s="6" t="s">
        <v>53377</v>
      </c>
      <c r="H4479" s="6" t="s">
        <v>53378</v>
      </c>
      <c r="I4479" s="7">
        <f t="shared" si="3"/>
        <v>0.2537278122</v>
      </c>
    </row>
    <row r="4480">
      <c r="A4480" s="4">
        <v>4480.0</v>
      </c>
      <c r="B4480" s="3" t="s">
        <v>53379</v>
      </c>
      <c r="C4480" s="6" t="s">
        <v>11</v>
      </c>
      <c r="D4480" s="6" t="s">
        <v>53380</v>
      </c>
      <c r="E4480" s="3" t="str">
        <f t="shared" si="1"/>
        <v>disturbing&lt;br&gt;&lt;div class="audio"&gt;[sound:disturbing.mp3]&lt;/div&gt;</v>
      </c>
      <c r="F4480" s="3" t="str">
        <f t="shared" si="2"/>
        <v>(adj): gây lo ngại</v>
      </c>
      <c r="G4480" s="6" t="s">
        <v>53381</v>
      </c>
      <c r="H4480" s="6" t="s">
        <v>53382</v>
      </c>
      <c r="I4480" s="7">
        <f t="shared" si="3"/>
        <v>0.7948413548</v>
      </c>
    </row>
    <row r="4481">
      <c r="A4481" s="4">
        <v>4481.0</v>
      </c>
      <c r="B4481" s="3" t="s">
        <v>53383</v>
      </c>
      <c r="C4481" s="6" t="s">
        <v>11</v>
      </c>
      <c r="D4481" s="6" t="s">
        <v>10836</v>
      </c>
      <c r="E4481" s="3" t="str">
        <f t="shared" si="1"/>
        <v>decent&lt;br&gt;&lt;div class="audio"&gt;[sound:decent.mp3]&lt;/div&gt;</v>
      </c>
      <c r="F4481" s="3" t="str">
        <f t="shared" si="2"/>
        <v>(adj): tử tế</v>
      </c>
      <c r="G4481" s="6" t="s">
        <v>53384</v>
      </c>
      <c r="H4481" s="6" t="s">
        <v>53385</v>
      </c>
      <c r="I4481" s="7">
        <f t="shared" si="3"/>
        <v>0.8362191824</v>
      </c>
    </row>
    <row r="4482">
      <c r="A4482" s="4">
        <v>4482.0</v>
      </c>
      <c r="B4482" s="3" t="s">
        <v>53386</v>
      </c>
      <c r="C4482" s="6" t="s">
        <v>74</v>
      </c>
      <c r="D4482" s="6" t="s">
        <v>53387</v>
      </c>
      <c r="E4482" s="3" t="str">
        <f t="shared" si="1"/>
        <v>disagreement&lt;br&gt;&lt;div class="audio"&gt;[sound:disagreement.mp3]&lt;/div&gt;</v>
      </c>
      <c r="F4482" s="3" t="str">
        <f t="shared" si="2"/>
        <v>(n): sự bất đồng</v>
      </c>
      <c r="G4482" s="6" t="s">
        <v>53388</v>
      </c>
      <c r="H4482" s="6" t="s">
        <v>53389</v>
      </c>
      <c r="I4482" s="7">
        <f t="shared" si="3"/>
        <v>0.323664478</v>
      </c>
    </row>
    <row r="4483">
      <c r="A4483" s="4">
        <v>4483.0</v>
      </c>
      <c r="B4483" s="3" t="s">
        <v>53390</v>
      </c>
      <c r="C4483" s="6" t="s">
        <v>74</v>
      </c>
      <c r="D4483" s="6" t="s">
        <v>17215</v>
      </c>
      <c r="E4483" s="3" t="str">
        <f t="shared" si="1"/>
        <v>corridor&lt;br&gt;&lt;div class="audio"&gt;[sound:corridor.mp3]&lt;/div&gt;</v>
      </c>
      <c r="F4483" s="3" t="str">
        <f t="shared" si="2"/>
        <v>(n): hành lang</v>
      </c>
      <c r="G4483" s="6" t="s">
        <v>53391</v>
      </c>
      <c r="H4483" s="6" t="s">
        <v>53392</v>
      </c>
      <c r="I4483" s="7">
        <f t="shared" si="3"/>
        <v>0.02508072486</v>
      </c>
    </row>
    <row r="4484">
      <c r="A4484" s="4">
        <v>4484.0</v>
      </c>
      <c r="B4484" s="3" t="s">
        <v>53393</v>
      </c>
      <c r="C4484" s="6" t="s">
        <v>11</v>
      </c>
      <c r="D4484" s="6" t="s">
        <v>4596</v>
      </c>
      <c r="E4484" s="3" t="str">
        <f t="shared" si="1"/>
        <v>depressed&lt;br&gt;&lt;div class="audio"&gt;[sound:depressed.mp3]&lt;/div&gt;</v>
      </c>
      <c r="F4484" s="3" t="str">
        <f t="shared" si="2"/>
        <v>(adj): buồn bã</v>
      </c>
      <c r="G4484" s="6" t="s">
        <v>53394</v>
      </c>
      <c r="H4484" s="6" t="s">
        <v>53395</v>
      </c>
      <c r="I4484" s="7">
        <f t="shared" si="3"/>
        <v>0.9497781452</v>
      </c>
    </row>
    <row r="4485">
      <c r="A4485" s="4">
        <v>4485.0</v>
      </c>
      <c r="B4485" s="3" t="s">
        <v>53396</v>
      </c>
      <c r="C4485" s="6" t="s">
        <v>74</v>
      </c>
      <c r="D4485" s="6" t="s">
        <v>22817</v>
      </c>
      <c r="E4485" s="3" t="str">
        <f t="shared" si="1"/>
        <v>diary&lt;br&gt;&lt;div class="audio"&gt;[sound:diary.mp3]&lt;/div&gt;</v>
      </c>
      <c r="F4485" s="3" t="str">
        <f t="shared" si="2"/>
        <v>(n): nhật ký</v>
      </c>
      <c r="G4485" s="6" t="s">
        <v>53397</v>
      </c>
      <c r="H4485" s="6" t="s">
        <v>53398</v>
      </c>
      <c r="I4485" s="7">
        <f t="shared" si="3"/>
        <v>0.3426871101</v>
      </c>
    </row>
    <row r="4486">
      <c r="A4486" s="4">
        <v>4486.0</v>
      </c>
      <c r="B4486" s="3" t="s">
        <v>53399</v>
      </c>
      <c r="C4486" s="6" t="s">
        <v>74</v>
      </c>
      <c r="D4486" s="6" t="s">
        <v>15403</v>
      </c>
      <c r="E4486" s="3" t="str">
        <f t="shared" si="1"/>
        <v>drum&lt;br&gt;&lt;div class="audio"&gt;[sound:drum.mp3]&lt;/div&gt;</v>
      </c>
      <c r="F4486" s="3" t="str">
        <f t="shared" si="2"/>
        <v>(n): trống</v>
      </c>
      <c r="G4486" s="6" t="s">
        <v>53400</v>
      </c>
      <c r="H4486" s="6" t="s">
        <v>53401</v>
      </c>
      <c r="I4486" s="7">
        <f t="shared" si="3"/>
        <v>0.4616134924</v>
      </c>
    </row>
    <row r="4487">
      <c r="A4487" s="4">
        <v>4487.0</v>
      </c>
      <c r="B4487" s="3" t="s">
        <v>53402</v>
      </c>
      <c r="C4487" s="6" t="s">
        <v>74</v>
      </c>
      <c r="D4487" s="6" t="s">
        <v>842</v>
      </c>
      <c r="E4487" s="3" t="str">
        <f t="shared" si="1"/>
        <v>daddy&lt;br&gt;&lt;div class="audio"&gt;[sound:daddy.mp3]&lt;/div&gt;</v>
      </c>
      <c r="F4487" s="3" t="str">
        <f t="shared" si="2"/>
        <v>(n): bố</v>
      </c>
      <c r="G4487" s="6" t="s">
        <v>53403</v>
      </c>
      <c r="H4487" s="6" t="s">
        <v>53404</v>
      </c>
      <c r="I4487" s="7">
        <f t="shared" si="3"/>
        <v>0.7661611138</v>
      </c>
    </row>
    <row r="4488">
      <c r="A4488" s="4">
        <v>4488.0</v>
      </c>
      <c r="B4488" s="3" t="s">
        <v>53405</v>
      </c>
      <c r="C4488" s="6" t="s">
        <v>74</v>
      </c>
      <c r="D4488" s="6" t="s">
        <v>53406</v>
      </c>
      <c r="E4488" s="3" t="str">
        <f t="shared" si="1"/>
        <v>documentation&lt;br&gt;&lt;div class="audio"&gt;[sound:documentation.mp3]&lt;/div&gt;</v>
      </c>
      <c r="F4488" s="3" t="str">
        <f t="shared" si="2"/>
        <v>(n): tài liệu hướng dẫn</v>
      </c>
      <c r="G4488" s="6" t="s">
        <v>53407</v>
      </c>
      <c r="H4488" s="6" t="s">
        <v>53408</v>
      </c>
      <c r="I4488" s="7">
        <f t="shared" si="3"/>
        <v>0.4721327389</v>
      </c>
    </row>
    <row r="4489">
      <c r="A4489" s="4">
        <v>4489.0</v>
      </c>
      <c r="B4489" s="3" t="s">
        <v>53409</v>
      </c>
      <c r="C4489" s="6" t="s">
        <v>11</v>
      </c>
      <c r="D4489" s="6" t="s">
        <v>53410</v>
      </c>
      <c r="E4489" s="3" t="str">
        <f t="shared" si="1"/>
        <v>cooperative&lt;br&gt;&lt;div class="audio"&gt;[sound:cooperative.mp3]&lt;/div&gt;</v>
      </c>
      <c r="F4489" s="3" t="str">
        <f t="shared" si="2"/>
        <v>(adj): có tính hợp tác</v>
      </c>
      <c r="G4489" s="6" t="s">
        <v>53411</v>
      </c>
      <c r="H4489" s="6" t="s">
        <v>53412</v>
      </c>
      <c r="I4489" s="7">
        <f t="shared" si="3"/>
        <v>0.5168048135</v>
      </c>
    </row>
    <row r="4490">
      <c r="A4490" s="4">
        <v>4490.0</v>
      </c>
      <c r="B4490" s="3" t="s">
        <v>53413</v>
      </c>
      <c r="C4490" s="6" t="s">
        <v>74</v>
      </c>
      <c r="D4490" s="6" t="s">
        <v>53414</v>
      </c>
      <c r="E4490" s="3" t="str">
        <f t="shared" si="1"/>
        <v>toll&lt;br&gt;&lt;div class="audio"&gt;[sound:toll.mp3]&lt;/div&gt;</v>
      </c>
      <c r="F4490" s="3" t="str">
        <f t="shared" si="2"/>
        <v>(n): phí cầu đường</v>
      </c>
      <c r="G4490" s="6" t="s">
        <v>53415</v>
      </c>
      <c r="H4490" s="6" t="s">
        <v>53416</v>
      </c>
      <c r="I4490" s="7">
        <f t="shared" si="3"/>
        <v>0.2665605151</v>
      </c>
    </row>
    <row r="4491">
      <c r="A4491" s="4">
        <v>4491.0</v>
      </c>
      <c r="B4491" s="3" t="s">
        <v>53417</v>
      </c>
      <c r="C4491" s="6" t="s">
        <v>85</v>
      </c>
      <c r="D4491" s="6" t="s">
        <v>49224</v>
      </c>
      <c r="E4491" s="3" t="str">
        <f t="shared" si="1"/>
        <v>thankfully&lt;br&gt;&lt;div class="audio"&gt;[sound:thankfully.mp3]&lt;/div&gt;</v>
      </c>
      <c r="F4491" s="3" t="str">
        <f t="shared" si="2"/>
        <v>(adv): may mắn thay</v>
      </c>
      <c r="G4491" s="6" t="s">
        <v>53418</v>
      </c>
      <c r="H4491" s="6" t="s">
        <v>53419</v>
      </c>
      <c r="I4491" s="7">
        <f t="shared" si="3"/>
        <v>0.7000689458</v>
      </c>
    </row>
    <row r="4492">
      <c r="A4492" s="4">
        <v>4492.0</v>
      </c>
      <c r="B4492" s="3" t="s">
        <v>53420</v>
      </c>
      <c r="C4492" s="6" t="s">
        <v>74</v>
      </c>
      <c r="D4492" s="6" t="s">
        <v>53421</v>
      </c>
      <c r="E4492" s="3" t="str">
        <f t="shared" si="1"/>
        <v>torture&lt;br&gt;&lt;div class="audio"&gt;[sound:torture.mp3]&lt;/div&gt;</v>
      </c>
      <c r="F4492" s="3" t="str">
        <f t="shared" si="2"/>
        <v>(n): sự tra tấn</v>
      </c>
      <c r="G4492" s="6" t="s">
        <v>53422</v>
      </c>
      <c r="H4492" s="6" t="s">
        <v>53423</v>
      </c>
      <c r="I4492" s="7">
        <f t="shared" si="3"/>
        <v>0.05319271133</v>
      </c>
    </row>
    <row r="4493">
      <c r="A4493" s="4">
        <v>4493.0</v>
      </c>
      <c r="B4493" s="3" t="s">
        <v>53424</v>
      </c>
      <c r="C4493" s="6" t="s">
        <v>74</v>
      </c>
      <c r="D4493" s="6" t="s">
        <v>3303</v>
      </c>
      <c r="E4493" s="3" t="str">
        <f t="shared" si="1"/>
        <v>deed&lt;br&gt;&lt;div class="audio"&gt;[sound:deed.mp3]&lt;/div&gt;</v>
      </c>
      <c r="F4493" s="3" t="str">
        <f t="shared" si="2"/>
        <v>(n): hành động</v>
      </c>
      <c r="G4493" s="6" t="s">
        <v>53425</v>
      </c>
      <c r="H4493" s="6" t="s">
        <v>53426</v>
      </c>
      <c r="I4493" s="7">
        <f t="shared" si="3"/>
        <v>0.615010465</v>
      </c>
    </row>
    <row r="4494">
      <c r="A4494" s="4">
        <v>4494.0</v>
      </c>
      <c r="B4494" s="3" t="s">
        <v>53427</v>
      </c>
      <c r="C4494" s="6" t="s">
        <v>74</v>
      </c>
      <c r="D4494" s="6" t="s">
        <v>53428</v>
      </c>
      <c r="E4494" s="3" t="str">
        <f t="shared" si="1"/>
        <v>tenure&lt;br&gt;&lt;div class="audio"&gt;[sound:tenure.mp3]&lt;/div&gt;</v>
      </c>
      <c r="F4494" s="3" t="str">
        <f t="shared" si="2"/>
        <v>(n): nhiệm kỳ</v>
      </c>
      <c r="G4494" s="6" t="s">
        <v>53429</v>
      </c>
      <c r="H4494" s="6" t="s">
        <v>53430</v>
      </c>
      <c r="I4494" s="7">
        <f t="shared" si="3"/>
        <v>0.6188666001</v>
      </c>
    </row>
    <row r="4495">
      <c r="A4495" s="4">
        <v>4495.0</v>
      </c>
      <c r="B4495" s="3" t="s">
        <v>53431</v>
      </c>
      <c r="C4495" s="6" t="s">
        <v>74</v>
      </c>
      <c r="D4495" s="6" t="s">
        <v>18270</v>
      </c>
      <c r="E4495" s="3" t="str">
        <f t="shared" si="1"/>
        <v>curve&lt;br&gt;&lt;div class="audio"&gt;[sound:curve.mp3]&lt;/div&gt;</v>
      </c>
      <c r="F4495" s="3" t="str">
        <f t="shared" si="2"/>
        <v>(n): đường cong</v>
      </c>
      <c r="G4495" s="6" t="s">
        <v>53432</v>
      </c>
      <c r="H4495" s="6" t="s">
        <v>53433</v>
      </c>
      <c r="I4495" s="7">
        <f t="shared" si="3"/>
        <v>0.4553748917</v>
      </c>
    </row>
    <row r="4496">
      <c r="A4496" s="4">
        <v>4496.0</v>
      </c>
      <c r="B4496" s="3" t="s">
        <v>53434</v>
      </c>
      <c r="C4496" s="6" t="s">
        <v>24</v>
      </c>
      <c r="D4496" s="6" t="s">
        <v>53435</v>
      </c>
      <c r="E4496" s="3" t="str">
        <f t="shared" si="1"/>
        <v>drift&lt;br&gt;&lt;div class="audio"&gt;[sound:drift.mp3]&lt;/div&gt;</v>
      </c>
      <c r="F4496" s="3" t="str">
        <f t="shared" si="2"/>
        <v>(v): trôi dạt</v>
      </c>
      <c r="G4496" s="6" t="s">
        <v>53436</v>
      </c>
      <c r="H4496" s="6" t="s">
        <v>53437</v>
      </c>
      <c r="I4496" s="7">
        <f t="shared" si="3"/>
        <v>0.3834936911</v>
      </c>
    </row>
    <row r="4497">
      <c r="A4497" s="4">
        <v>4497.0</v>
      </c>
      <c r="B4497" s="3" t="s">
        <v>53438</v>
      </c>
      <c r="C4497" s="6" t="s">
        <v>74</v>
      </c>
      <c r="D4497" s="6" t="s">
        <v>13060</v>
      </c>
      <c r="E4497" s="3" t="str">
        <f t="shared" si="1"/>
        <v>deputy&lt;br&gt;&lt;div class="audio"&gt;[sound:deputy.mp3]&lt;/div&gt;</v>
      </c>
      <c r="F4497" s="3" t="str">
        <f t="shared" si="2"/>
        <v>(n): phó</v>
      </c>
      <c r="G4497" s="6" t="s">
        <v>53439</v>
      </c>
      <c r="H4497" s="6" t="s">
        <v>53440</v>
      </c>
      <c r="I4497" s="7">
        <f t="shared" si="3"/>
        <v>0.9815456325</v>
      </c>
    </row>
    <row r="4498">
      <c r="A4498" s="4">
        <v>4498.0</v>
      </c>
      <c r="B4498" s="3" t="s">
        <v>53441</v>
      </c>
      <c r="C4498" s="6" t="s">
        <v>24</v>
      </c>
      <c r="D4498" s="6" t="s">
        <v>53442</v>
      </c>
      <c r="E4498" s="3" t="str">
        <f t="shared" si="1"/>
        <v>disappoint&lt;br&gt;&lt;div class="audio"&gt;[sound:disappoint.mp3]&lt;/div&gt;</v>
      </c>
      <c r="F4498" s="3" t="str">
        <f t="shared" si="2"/>
        <v>(v): làm thất vọng</v>
      </c>
      <c r="G4498" s="6" t="s">
        <v>53443</v>
      </c>
      <c r="H4498" s="6" t="s">
        <v>53444</v>
      </c>
      <c r="I4498" s="7">
        <f t="shared" si="3"/>
        <v>0.03356152008</v>
      </c>
    </row>
    <row r="4499">
      <c r="A4499" s="4">
        <v>4499.0</v>
      </c>
      <c r="B4499" s="3" t="s">
        <v>53445</v>
      </c>
      <c r="C4499" s="6" t="s">
        <v>74</v>
      </c>
      <c r="D4499" s="6" t="s">
        <v>53446</v>
      </c>
      <c r="E4499" s="3" t="str">
        <f t="shared" si="1"/>
        <v>defender&lt;br&gt;&lt;div class="audio"&gt;[sound:defender.mp3]&lt;/div&gt;</v>
      </c>
      <c r="F4499" s="3" t="str">
        <f t="shared" si="2"/>
        <v>(n): người bảo vệ</v>
      </c>
      <c r="G4499" s="6" t="s">
        <v>53447</v>
      </c>
      <c r="H4499" s="6" t="s">
        <v>53448</v>
      </c>
      <c r="I4499" s="7">
        <f t="shared" si="3"/>
        <v>0.1131961518</v>
      </c>
    </row>
    <row r="4500">
      <c r="A4500" s="4">
        <v>4500.0</v>
      </c>
      <c r="B4500" s="3" t="s">
        <v>53449</v>
      </c>
      <c r="C4500" s="6" t="s">
        <v>74</v>
      </c>
      <c r="D4500" s="6" t="s">
        <v>53450</v>
      </c>
      <c r="E4500" s="3" t="str">
        <f t="shared" si="1"/>
        <v>cottage&lt;br&gt;&lt;div class="audio"&gt;[sound:cottage.mp3]&lt;/div&gt;</v>
      </c>
      <c r="F4500" s="3" t="str">
        <f t="shared" si="2"/>
        <v>(n): nhà tranh</v>
      </c>
      <c r="G4500" s="6" t="s">
        <v>53451</v>
      </c>
      <c r="H4500" s="6" t="s">
        <v>53452</v>
      </c>
      <c r="I4500" s="7">
        <f t="shared" si="3"/>
        <v>0.5475860296</v>
      </c>
    </row>
    <row r="4501">
      <c r="A4501" s="4">
        <v>4501.0</v>
      </c>
      <c r="B4501" s="3" t="s">
        <v>53453</v>
      </c>
      <c r="C4501" s="6" t="s">
        <v>74</v>
      </c>
      <c r="D4501" s="6" t="s">
        <v>53454</v>
      </c>
      <c r="E4501" s="3" t="str">
        <f t="shared" si="1"/>
        <v>duck&lt;br&gt;&lt;div class="audio"&gt;[sound:duck.mp3]&lt;/div&gt;</v>
      </c>
      <c r="F4501" s="3" t="str">
        <f t="shared" si="2"/>
        <v>(n): vịt</v>
      </c>
      <c r="G4501" s="6" t="s">
        <v>53455</v>
      </c>
      <c r="H4501" s="6" t="s">
        <v>53456</v>
      </c>
      <c r="I4501" s="7">
        <f t="shared" si="3"/>
        <v>0.5392591324</v>
      </c>
    </row>
    <row r="4502">
      <c r="A4502" s="4">
        <v>4502.0</v>
      </c>
      <c r="B4502" s="3" t="s">
        <v>53457</v>
      </c>
      <c r="C4502" s="6" t="s">
        <v>74</v>
      </c>
      <c r="D4502" s="6" t="s">
        <v>53458</v>
      </c>
      <c r="E4502" s="3" t="str">
        <f t="shared" si="1"/>
        <v>donor&lt;br&gt;&lt;div class="audio"&gt;[sound:donor.mp3]&lt;/div&gt;</v>
      </c>
      <c r="F4502" s="3" t="str">
        <f t="shared" si="2"/>
        <v>(n): người quyên góp</v>
      </c>
      <c r="G4502" s="6" t="s">
        <v>53459</v>
      </c>
      <c r="H4502" s="6" t="s">
        <v>53460</v>
      </c>
      <c r="I4502" s="7">
        <f t="shared" si="3"/>
        <v>0.5901508053</v>
      </c>
    </row>
    <row r="4503">
      <c r="A4503" s="4">
        <v>4503.0</v>
      </c>
      <c r="B4503" s="3" t="s">
        <v>53461</v>
      </c>
      <c r="C4503" s="6" t="s">
        <v>74</v>
      </c>
      <c r="D4503" s="6" t="s">
        <v>53462</v>
      </c>
      <c r="E4503" s="3" t="str">
        <f t="shared" si="1"/>
        <v>cure&lt;br&gt;&lt;div class="audio"&gt;[sound:cure.mp3]&lt;/div&gt;</v>
      </c>
      <c r="F4503" s="3" t="str">
        <f t="shared" si="2"/>
        <v>(n): cách chữa trị</v>
      </c>
      <c r="G4503" s="6" t="s">
        <v>53463</v>
      </c>
      <c r="H4503" s="6" t="s">
        <v>53464</v>
      </c>
      <c r="I4503" s="7">
        <f t="shared" si="3"/>
        <v>0.5806093057</v>
      </c>
    </row>
    <row r="4504">
      <c r="A4504" s="4">
        <v>4504.0</v>
      </c>
      <c r="B4504" s="3" t="s">
        <v>53465</v>
      </c>
      <c r="C4504" s="6" t="s">
        <v>74</v>
      </c>
      <c r="D4504" s="6" t="s">
        <v>53466</v>
      </c>
      <c r="E4504" s="3" t="str">
        <f t="shared" si="1"/>
        <v>detection&lt;br&gt;&lt;div class="audio"&gt;[sound:detection.mp3]&lt;/div&gt;</v>
      </c>
      <c r="F4504" s="3" t="str">
        <f t="shared" si="2"/>
        <v>(n): sự phát hiện</v>
      </c>
      <c r="G4504" s="6" t="s">
        <v>53467</v>
      </c>
      <c r="H4504" s="6" t="s">
        <v>53468</v>
      </c>
      <c r="I4504" s="7">
        <f t="shared" si="3"/>
        <v>0.1065352024</v>
      </c>
    </row>
    <row r="4505">
      <c r="A4505" s="4">
        <v>4505.0</v>
      </c>
      <c r="B4505" s="3" t="s">
        <v>53469</v>
      </c>
      <c r="C4505" s="6" t="s">
        <v>74</v>
      </c>
      <c r="D4505" s="6" t="s">
        <v>53470</v>
      </c>
      <c r="E4505" s="3" t="str">
        <f t="shared" si="1"/>
        <v>referendum&lt;br&gt;&lt;div class="audio"&gt;[sound:referendum.mp3]&lt;/div&gt;</v>
      </c>
      <c r="F4505" s="3" t="str">
        <f t="shared" si="2"/>
        <v>(n): cuộc trưng cầu dân ý</v>
      </c>
      <c r="G4505" s="6" t="s">
        <v>53471</v>
      </c>
      <c r="H4505" s="6" t="s">
        <v>53472</v>
      </c>
      <c r="I4505" s="7">
        <f t="shared" si="3"/>
        <v>0.09058867705</v>
      </c>
    </row>
    <row r="4506">
      <c r="A4506" s="4">
        <v>4506.0</v>
      </c>
      <c r="B4506" s="3" t="s">
        <v>53473</v>
      </c>
      <c r="C4506" s="6" t="s">
        <v>74</v>
      </c>
      <c r="D4506" s="6" t="s">
        <v>53474</v>
      </c>
      <c r="E4506" s="3" t="str">
        <f t="shared" si="1"/>
        <v>pioneer&lt;br&gt;&lt;div class="audio"&gt;[sound:pioneer.mp3]&lt;/div&gt;</v>
      </c>
      <c r="F4506" s="3" t="str">
        <f t="shared" si="2"/>
        <v>(n): người tiên phong</v>
      </c>
      <c r="G4506" s="6" t="s">
        <v>53475</v>
      </c>
      <c r="H4506" s="6" t="s">
        <v>53476</v>
      </c>
      <c r="I4506" s="7">
        <f t="shared" si="3"/>
        <v>0.9862679617</v>
      </c>
    </row>
    <row r="4507">
      <c r="A4507" s="4">
        <v>4507.0</v>
      </c>
      <c r="B4507" s="3" t="s">
        <v>53477</v>
      </c>
      <c r="C4507" s="6" t="s">
        <v>74</v>
      </c>
      <c r="D4507" s="6" t="s">
        <v>53478</v>
      </c>
      <c r="E4507" s="3" t="str">
        <f t="shared" si="1"/>
        <v>mainstream&lt;br&gt;&lt;div class="audio"&gt;[sound:mainstream.mp3]&lt;/div&gt;</v>
      </c>
      <c r="F4507" s="3" t="str">
        <f t="shared" si="2"/>
        <v>(n): xu hướng chủ đạo</v>
      </c>
      <c r="G4507" s="6" t="s">
        <v>53479</v>
      </c>
      <c r="H4507" s="6" t="s">
        <v>53480</v>
      </c>
      <c r="I4507" s="7">
        <f t="shared" si="3"/>
        <v>0.01125549134</v>
      </c>
    </row>
    <row r="4508">
      <c r="A4508" s="4">
        <v>4508.0</v>
      </c>
      <c r="B4508" s="3" t="s">
        <v>53481</v>
      </c>
      <c r="C4508" s="6" t="s">
        <v>74</v>
      </c>
      <c r="D4508" s="6" t="s">
        <v>36002</v>
      </c>
      <c r="E4508" s="3" t="str">
        <f t="shared" si="1"/>
        <v>adolescent&lt;br&gt;&lt;div class="audio"&gt;[sound:adolescent.mp3]&lt;/div&gt;</v>
      </c>
      <c r="F4508" s="3" t="str">
        <f t="shared" si="2"/>
        <v>(n): thanh thiếu niên</v>
      </c>
      <c r="G4508" s="6" t="s">
        <v>53482</v>
      </c>
      <c r="H4508" s="6" t="s">
        <v>53483</v>
      </c>
      <c r="I4508" s="7">
        <f t="shared" si="3"/>
        <v>0.948630694</v>
      </c>
    </row>
    <row r="4509">
      <c r="A4509" s="4">
        <v>4509.0</v>
      </c>
      <c r="B4509" s="3" t="s">
        <v>53484</v>
      </c>
      <c r="C4509" s="6" t="s">
        <v>74</v>
      </c>
      <c r="D4509" s="6" t="s">
        <v>53485</v>
      </c>
      <c r="E4509" s="3" t="str">
        <f t="shared" si="1"/>
        <v>turnout&lt;br&gt;&lt;div class="audio"&gt;[sound:turnout.mp3]&lt;/div&gt;</v>
      </c>
      <c r="F4509" s="3" t="str">
        <f t="shared" si="2"/>
        <v>(n): số người tham dự</v>
      </c>
      <c r="G4509" s="6" t="s">
        <v>53486</v>
      </c>
      <c r="H4509" s="6" t="s">
        <v>53487</v>
      </c>
      <c r="I4509" s="7">
        <f t="shared" si="3"/>
        <v>0.8942050003</v>
      </c>
    </row>
    <row r="4510">
      <c r="A4510" s="4">
        <v>4510.0</v>
      </c>
      <c r="B4510" s="3" t="s">
        <v>53488</v>
      </c>
      <c r="C4510" s="6" t="s">
        <v>74</v>
      </c>
      <c r="D4510" s="6" t="s">
        <v>53489</v>
      </c>
      <c r="E4510" s="3" t="str">
        <f t="shared" si="1"/>
        <v>niche&lt;br&gt;&lt;div class="audio"&gt;[sound:niche.mp3]&lt;/div&gt;</v>
      </c>
      <c r="F4510" s="3" t="str">
        <f t="shared" si="2"/>
        <v>(n): thị trường ngách</v>
      </c>
      <c r="G4510" s="6" t="s">
        <v>53490</v>
      </c>
      <c r="H4510" s="6" t="s">
        <v>53491</v>
      </c>
      <c r="I4510" s="7">
        <f t="shared" si="3"/>
        <v>0.2316817337</v>
      </c>
    </row>
    <row r="4511">
      <c r="A4511" s="4">
        <v>4511.0</v>
      </c>
      <c r="B4511" s="3" t="s">
        <v>53492</v>
      </c>
      <c r="C4511" s="6" t="s">
        <v>74</v>
      </c>
      <c r="D4511" s="6" t="s">
        <v>53493</v>
      </c>
      <c r="E4511" s="3" t="str">
        <f t="shared" si="1"/>
        <v>patron&lt;br&gt;&lt;div class="audio"&gt;[sound:patron.mp3]&lt;/div&gt;</v>
      </c>
      <c r="F4511" s="3" t="str">
        <f t="shared" si="2"/>
        <v>(n): khách hàng quen</v>
      </c>
      <c r="G4511" s="6" t="s">
        <v>53494</v>
      </c>
      <c r="H4511" s="6" t="s">
        <v>53495</v>
      </c>
      <c r="I4511" s="7">
        <f t="shared" si="3"/>
        <v>0.7723145335</v>
      </c>
    </row>
    <row r="4512">
      <c r="A4512" s="4">
        <v>4512.0</v>
      </c>
      <c r="B4512" s="3" t="s">
        <v>53496</v>
      </c>
      <c r="C4512" s="6" t="s">
        <v>11</v>
      </c>
      <c r="D4512" s="6" t="s">
        <v>53497</v>
      </c>
      <c r="E4512" s="3" t="str">
        <f t="shared" si="1"/>
        <v>philosophical&lt;br&gt;&lt;div class="audio"&gt;[sound:philosophical.mp3]&lt;/div&gt;</v>
      </c>
      <c r="F4512" s="3" t="str">
        <f t="shared" si="2"/>
        <v>(adj): thuộc triết học</v>
      </c>
      <c r="G4512" s="6" t="s">
        <v>53498</v>
      </c>
      <c r="H4512" s="6" t="s">
        <v>53499</v>
      </c>
      <c r="I4512" s="7">
        <f t="shared" si="3"/>
        <v>0.2124110016</v>
      </c>
    </row>
    <row r="4513">
      <c r="A4513" s="4">
        <v>4513.0</v>
      </c>
      <c r="B4513" s="3" t="s">
        <v>53500</v>
      </c>
      <c r="C4513" s="6" t="s">
        <v>74</v>
      </c>
      <c r="D4513" s="6" t="s">
        <v>53501</v>
      </c>
      <c r="E4513" s="3" t="str">
        <f t="shared" si="1"/>
        <v>rhetoric&lt;br&gt;&lt;div class="audio"&gt;[sound:rhetoric.mp3]&lt;/div&gt;</v>
      </c>
      <c r="F4513" s="3" t="str">
        <f t="shared" si="2"/>
        <v>(n): thuật hùng biện</v>
      </c>
      <c r="G4513" s="6" t="s">
        <v>53502</v>
      </c>
      <c r="H4513" s="6" t="s">
        <v>53503</v>
      </c>
      <c r="I4513" s="7">
        <f t="shared" si="3"/>
        <v>0.9642482741</v>
      </c>
    </row>
    <row r="4514">
      <c r="A4514" s="4">
        <v>4514.0</v>
      </c>
      <c r="B4514" s="3" t="s">
        <v>53504</v>
      </c>
      <c r="C4514" s="6" t="s">
        <v>74</v>
      </c>
      <c r="D4514" s="6" t="s">
        <v>53505</v>
      </c>
      <c r="E4514" s="3" t="str">
        <f t="shared" si="1"/>
        <v>presidency&lt;br&gt;&lt;div class="audio"&gt;[sound:presidency.mp3]&lt;/div&gt;</v>
      </c>
      <c r="F4514" s="3" t="str">
        <f t="shared" si="2"/>
        <v>(n): chức tổng thống</v>
      </c>
      <c r="G4514" s="6" t="s">
        <v>53506</v>
      </c>
      <c r="H4514" s="6" t="s">
        <v>53507</v>
      </c>
      <c r="I4514" s="7">
        <f t="shared" si="3"/>
        <v>0.05092640004</v>
      </c>
    </row>
    <row r="4515">
      <c r="A4515" s="4">
        <v>4515.0</v>
      </c>
      <c r="B4515" s="3" t="s">
        <v>53508</v>
      </c>
      <c r="C4515" s="6" t="s">
        <v>85</v>
      </c>
      <c r="D4515" s="6" t="s">
        <v>53509</v>
      </c>
      <c r="E4515" s="3" t="str">
        <f t="shared" si="1"/>
        <v>whatsoever&lt;br&gt;&lt;div class="audio"&gt;[sound:whatsoever.mp3]&lt;/div&gt;</v>
      </c>
      <c r="F4515" s="3" t="str">
        <f t="shared" si="2"/>
        <v>(adv): bất cứ chút nào</v>
      </c>
      <c r="G4515" s="6" t="s">
        <v>53510</v>
      </c>
      <c r="H4515" s="6" t="s">
        <v>53511</v>
      </c>
      <c r="I4515" s="7">
        <f t="shared" si="3"/>
        <v>0.8915936249</v>
      </c>
    </row>
    <row r="4516">
      <c r="A4516" s="4">
        <v>4516.0</v>
      </c>
      <c r="B4516" s="3" t="s">
        <v>53512</v>
      </c>
      <c r="C4516" s="6" t="s">
        <v>74</v>
      </c>
      <c r="D4516" s="6" t="s">
        <v>53513</v>
      </c>
      <c r="E4516" s="3" t="str">
        <f t="shared" si="1"/>
        <v>mobility&lt;br&gt;&lt;div class="audio"&gt;[sound:mobility.mp3]&lt;/div&gt;</v>
      </c>
      <c r="F4516" s="3" t="str">
        <f t="shared" si="2"/>
        <v>(n): tính linh động</v>
      </c>
      <c r="G4516" s="6" t="s">
        <v>53514</v>
      </c>
      <c r="H4516" s="6" t="s">
        <v>53515</v>
      </c>
      <c r="I4516" s="7">
        <f t="shared" si="3"/>
        <v>0.7159953802</v>
      </c>
    </row>
    <row r="4517">
      <c r="A4517" s="4">
        <v>4517.0</v>
      </c>
      <c r="B4517" s="3" t="s">
        <v>53516</v>
      </c>
      <c r="C4517" s="6" t="s">
        <v>11</v>
      </c>
      <c r="D4517" s="6" t="s">
        <v>53517</v>
      </c>
      <c r="E4517" s="3" t="str">
        <f t="shared" si="1"/>
        <v>legislative&lt;br&gt;&lt;div class="audio"&gt;[sound:legislative.mp3]&lt;/div&gt;</v>
      </c>
      <c r="F4517" s="3" t="str">
        <f t="shared" si="2"/>
        <v>(adj): thuộc lập pháp</v>
      </c>
      <c r="G4517" s="6" t="s">
        <v>53518</v>
      </c>
      <c r="H4517" s="6" t="s">
        <v>53519</v>
      </c>
      <c r="I4517" s="7">
        <f t="shared" si="3"/>
        <v>0.6767821849</v>
      </c>
    </row>
    <row r="4518">
      <c r="A4518" s="4">
        <v>4518.0</v>
      </c>
      <c r="B4518" s="3" t="s">
        <v>53520</v>
      </c>
      <c r="C4518" s="6" t="s">
        <v>74</v>
      </c>
      <c r="D4518" s="6" t="s">
        <v>29821</v>
      </c>
      <c r="E4518" s="3" t="str">
        <f t="shared" si="1"/>
        <v>prosperity&lt;br&gt;&lt;div class="audio"&gt;[sound:prosperity.mp3]&lt;/div&gt;</v>
      </c>
      <c r="F4518" s="3" t="str">
        <f t="shared" si="2"/>
        <v>(n): sự thịnh vượng</v>
      </c>
      <c r="G4518" s="6" t="s">
        <v>53521</v>
      </c>
      <c r="H4518" s="6" t="s">
        <v>53522</v>
      </c>
      <c r="I4518" s="7">
        <f t="shared" si="3"/>
        <v>0.0208305124</v>
      </c>
    </row>
    <row r="4519">
      <c r="A4519" s="4">
        <v>4519.0</v>
      </c>
      <c r="B4519" s="3" t="s">
        <v>53523</v>
      </c>
      <c r="C4519" s="6" t="s">
        <v>74</v>
      </c>
      <c r="D4519" s="6" t="s">
        <v>53524</v>
      </c>
      <c r="E4519" s="3" t="str">
        <f t="shared" si="1"/>
        <v>extremist&lt;br&gt;&lt;div class="audio"&gt;[sound:extremist.mp3]&lt;/div&gt;</v>
      </c>
      <c r="F4519" s="3" t="str">
        <f t="shared" si="2"/>
        <v>(n): người cực đoan</v>
      </c>
      <c r="G4519" s="6" t="s">
        <v>53525</v>
      </c>
      <c r="H4519" s="6" t="s">
        <v>53526</v>
      </c>
      <c r="I4519" s="7">
        <f t="shared" si="3"/>
        <v>0.00929792832</v>
      </c>
    </row>
    <row r="4520">
      <c r="A4520" s="4">
        <v>4520.0</v>
      </c>
      <c r="B4520" s="3" t="s">
        <v>53527</v>
      </c>
      <c r="C4520" s="6" t="s">
        <v>74</v>
      </c>
      <c r="D4520" s="6" t="s">
        <v>53528</v>
      </c>
      <c r="E4520" s="3" t="str">
        <f t="shared" si="1"/>
        <v>fixture&lt;br&gt;&lt;div class="audio"&gt;[sound:fixture.mp3]&lt;/div&gt;</v>
      </c>
      <c r="F4520" s="3" t="str">
        <f t="shared" si="2"/>
        <v>(n): đồ đạc cố định</v>
      </c>
      <c r="G4520" s="6" t="s">
        <v>53529</v>
      </c>
      <c r="H4520" s="6" t="s">
        <v>53530</v>
      </c>
      <c r="I4520" s="7">
        <f t="shared" si="3"/>
        <v>0.3628453693</v>
      </c>
    </row>
    <row r="4521">
      <c r="A4521" s="4">
        <v>4521.0</v>
      </c>
      <c r="B4521" s="3" t="s">
        <v>53531</v>
      </c>
      <c r="C4521" s="6" t="s">
        <v>11</v>
      </c>
      <c r="D4521" s="6" t="s">
        <v>53532</v>
      </c>
      <c r="E4521" s="3" t="str">
        <f t="shared" si="1"/>
        <v>nationwide&lt;br&gt;&lt;div class="audio"&gt;[sound:nationwide.mp3]&lt;/div&gt;</v>
      </c>
      <c r="F4521" s="3" t="str">
        <f t="shared" si="2"/>
        <v>(adj): trên toàn quốc</v>
      </c>
      <c r="G4521" s="6" t="s">
        <v>53533</v>
      </c>
      <c r="H4521" s="6" t="s">
        <v>53534</v>
      </c>
      <c r="I4521" s="7">
        <f t="shared" si="3"/>
        <v>0.5620360944</v>
      </c>
    </row>
    <row r="4522">
      <c r="A4522" s="4">
        <v>4522.0</v>
      </c>
      <c r="B4522" s="3" t="s">
        <v>53535</v>
      </c>
      <c r="C4522" s="6" t="s">
        <v>11</v>
      </c>
      <c r="D4522" s="6" t="s">
        <v>53536</v>
      </c>
      <c r="E4522" s="3" t="str">
        <f t="shared" si="1"/>
        <v>applicable&lt;br&gt;&lt;div class="audio"&gt;[sound:applicable.mp3]&lt;/div&gt;</v>
      </c>
      <c r="F4522" s="3" t="str">
        <f t="shared" si="2"/>
        <v>(adj): có thể áp dụng</v>
      </c>
      <c r="G4522" s="6" t="s">
        <v>53537</v>
      </c>
      <c r="H4522" s="6" t="s">
        <v>53538</v>
      </c>
      <c r="I4522" s="7">
        <f t="shared" si="3"/>
        <v>0.8334778255</v>
      </c>
    </row>
    <row r="4523">
      <c r="A4523" s="4">
        <v>4523.0</v>
      </c>
      <c r="B4523" s="3" t="s">
        <v>53539</v>
      </c>
      <c r="C4523" s="6" t="s">
        <v>74</v>
      </c>
      <c r="D4523" s="6" t="s">
        <v>53540</v>
      </c>
      <c r="E4523" s="3" t="str">
        <f t="shared" si="1"/>
        <v>expedition&lt;br&gt;&lt;div class="audio"&gt;[sound:expedition.mp3]&lt;/div&gt;</v>
      </c>
      <c r="F4523" s="3" t="str">
        <f t="shared" si="2"/>
        <v>(n): cuộc thám hiểm</v>
      </c>
      <c r="G4523" s="6" t="s">
        <v>53541</v>
      </c>
      <c r="H4523" s="6" t="s">
        <v>53542</v>
      </c>
      <c r="I4523" s="7">
        <f t="shared" si="3"/>
        <v>0.6061194838</v>
      </c>
    </row>
    <row r="4524">
      <c r="A4524" s="4">
        <v>4524.0</v>
      </c>
      <c r="B4524" s="3" t="s">
        <v>53543</v>
      </c>
      <c r="C4524" s="6" t="s">
        <v>11</v>
      </c>
      <c r="D4524" s="6" t="s">
        <v>53544</v>
      </c>
      <c r="E4524" s="3" t="str">
        <f t="shared" si="1"/>
        <v>evolutionary&lt;br&gt;&lt;div class="audio"&gt;[sound:evolutionary.mp3]&lt;/div&gt;</v>
      </c>
      <c r="F4524" s="3" t="str">
        <f t="shared" si="2"/>
        <v>(adj): thuộc tiến hóa</v>
      </c>
      <c r="G4524" s="6" t="s">
        <v>53545</v>
      </c>
      <c r="H4524" s="6" t="s">
        <v>53546</v>
      </c>
      <c r="I4524" s="7">
        <f t="shared" si="3"/>
        <v>0.9364626105</v>
      </c>
    </row>
    <row r="4525">
      <c r="A4525" s="4">
        <v>4525.0</v>
      </c>
      <c r="B4525" s="3" t="s">
        <v>53547</v>
      </c>
      <c r="C4525" s="6" t="s">
        <v>74</v>
      </c>
      <c r="D4525" s="6" t="s">
        <v>29833</v>
      </c>
      <c r="E4525" s="3" t="str">
        <f t="shared" si="1"/>
        <v>parade&lt;br&gt;&lt;div class="audio"&gt;[sound:parade.mp3]&lt;/div&gt;</v>
      </c>
      <c r="F4525" s="3" t="str">
        <f t="shared" si="2"/>
        <v>(n): cuộc diễu hành</v>
      </c>
      <c r="G4525" s="6" t="s">
        <v>53548</v>
      </c>
      <c r="H4525" s="6" t="s">
        <v>53549</v>
      </c>
      <c r="I4525" s="7">
        <f t="shared" si="3"/>
        <v>0.6112012941</v>
      </c>
    </row>
    <row r="4526">
      <c r="A4526" s="4">
        <v>4526.0</v>
      </c>
      <c r="B4526" s="3" t="s">
        <v>53550</v>
      </c>
      <c r="C4526" s="6" t="s">
        <v>74</v>
      </c>
      <c r="D4526" s="6" t="s">
        <v>53551</v>
      </c>
      <c r="E4526" s="3" t="str">
        <f t="shared" si="1"/>
        <v>freeway&lt;br&gt;&lt;div class="audio"&gt;[sound:freeway.mp3]&lt;/div&gt;</v>
      </c>
      <c r="F4526" s="3" t="str">
        <f t="shared" si="2"/>
        <v>(n): đường cao tốc</v>
      </c>
      <c r="G4526" s="6" t="s">
        <v>53552</v>
      </c>
      <c r="H4526" s="6" t="s">
        <v>53553</v>
      </c>
      <c r="I4526" s="7">
        <f t="shared" si="3"/>
        <v>0.8456413005</v>
      </c>
    </row>
    <row r="4527">
      <c r="A4527" s="4">
        <v>4527.0</v>
      </c>
      <c r="B4527" s="3" t="s">
        <v>53554</v>
      </c>
      <c r="C4527" s="6" t="s">
        <v>74</v>
      </c>
      <c r="D4527" s="6" t="s">
        <v>53555</v>
      </c>
      <c r="E4527" s="3" t="str">
        <f t="shared" si="1"/>
        <v>philosopher&lt;br&gt;&lt;div class="audio"&gt;[sound:philosopher.mp3]&lt;/div&gt;</v>
      </c>
      <c r="F4527" s="3" t="str">
        <f t="shared" si="2"/>
        <v>(n): nhà triết học</v>
      </c>
      <c r="G4527" s="6" t="s">
        <v>53556</v>
      </c>
      <c r="H4527" s="6" t="s">
        <v>53557</v>
      </c>
      <c r="I4527" s="7">
        <f t="shared" si="3"/>
        <v>0.6826020756</v>
      </c>
    </row>
    <row r="4528">
      <c r="A4528" s="4">
        <v>4528.0</v>
      </c>
      <c r="B4528" s="3" t="s">
        <v>53558</v>
      </c>
      <c r="C4528" s="6" t="s">
        <v>11</v>
      </c>
      <c r="D4528" s="6" t="s">
        <v>53559</v>
      </c>
      <c r="E4528" s="3" t="str">
        <f t="shared" si="1"/>
        <v>non-profit&lt;br&gt;&lt;div class="audio"&gt;[sound:non-profit.mp3]&lt;/div&gt;</v>
      </c>
      <c r="F4528" s="3" t="str">
        <f t="shared" si="2"/>
        <v>(adj): phi lợi nhuận</v>
      </c>
      <c r="G4528" s="6" t="s">
        <v>53560</v>
      </c>
      <c r="H4528" s="6" t="s">
        <v>53561</v>
      </c>
      <c r="I4528" s="7">
        <f t="shared" si="3"/>
        <v>0.545161342</v>
      </c>
    </row>
    <row r="4529">
      <c r="A4529" s="4">
        <v>4529.0</v>
      </c>
      <c r="B4529" s="3" t="s">
        <v>53562</v>
      </c>
      <c r="C4529" s="6" t="s">
        <v>74</v>
      </c>
      <c r="D4529" s="6" t="s">
        <v>53563</v>
      </c>
      <c r="E4529" s="3" t="str">
        <f t="shared" si="1"/>
        <v>appetite&lt;br&gt;&lt;div class="audio"&gt;[sound:appetite.mp3]&lt;/div&gt;</v>
      </c>
      <c r="F4529" s="3" t="str">
        <f t="shared" si="2"/>
        <v>(n): sự ngon miệng</v>
      </c>
      <c r="G4529" s="6" t="s">
        <v>53564</v>
      </c>
      <c r="H4529" s="6" t="s">
        <v>53565</v>
      </c>
      <c r="I4529" s="7">
        <f t="shared" si="3"/>
        <v>0.03299245061</v>
      </c>
    </row>
    <row r="4530">
      <c r="A4530" s="4">
        <v>4530.0</v>
      </c>
      <c r="B4530" s="3" t="s">
        <v>53566</v>
      </c>
      <c r="C4530" s="6" t="s">
        <v>74</v>
      </c>
      <c r="D4530" s="6" t="s">
        <v>53567</v>
      </c>
      <c r="E4530" s="3" t="str">
        <f t="shared" si="1"/>
        <v>patrol&lt;br&gt;&lt;div class="audio"&gt;[sound:patrol.mp3]&lt;/div&gt;</v>
      </c>
      <c r="F4530" s="3" t="str">
        <f t="shared" si="2"/>
        <v>(n): cuộc tuần tra</v>
      </c>
      <c r="G4530" s="6" t="s">
        <v>53568</v>
      </c>
      <c r="H4530" s="6" t="s">
        <v>53569</v>
      </c>
      <c r="I4530" s="7">
        <f t="shared" si="3"/>
        <v>0.2524895434</v>
      </c>
    </row>
    <row r="4531">
      <c r="A4531" s="4">
        <v>4531.0</v>
      </c>
      <c r="B4531" s="3" t="s">
        <v>53570</v>
      </c>
      <c r="C4531" s="6" t="s">
        <v>74</v>
      </c>
      <c r="D4531" s="6" t="s">
        <v>53571</v>
      </c>
      <c r="E4531" s="3" t="str">
        <f t="shared" si="1"/>
        <v>rebellion&lt;br&gt;&lt;div class="audio"&gt;[sound:rebellion.mp3]&lt;/div&gt;</v>
      </c>
      <c r="F4531" s="3" t="str">
        <f t="shared" si="2"/>
        <v>(n): cuộc nổi loạn</v>
      </c>
      <c r="G4531" s="6" t="s">
        <v>53572</v>
      </c>
      <c r="H4531" s="6" t="s">
        <v>53573</v>
      </c>
      <c r="I4531" s="7">
        <f t="shared" si="3"/>
        <v>0.1243094772</v>
      </c>
    </row>
    <row r="4532">
      <c r="A4532" s="4">
        <v>4532.0</v>
      </c>
      <c r="B4532" s="3" t="s">
        <v>53574</v>
      </c>
      <c r="C4532" s="6" t="s">
        <v>74</v>
      </c>
      <c r="D4532" s="6" t="s">
        <v>53575</v>
      </c>
      <c r="E4532" s="3" t="str">
        <f t="shared" si="1"/>
        <v>indictment&lt;br&gt;&lt;div class="audio"&gt;[sound:indictment.mp3]&lt;/div&gt;</v>
      </c>
      <c r="F4532" s="3" t="str">
        <f t="shared" si="2"/>
        <v>(n): bản cáo trạng</v>
      </c>
      <c r="G4532" s="6" t="s">
        <v>53576</v>
      </c>
      <c r="H4532" s="6" t="s">
        <v>53577</v>
      </c>
      <c r="I4532" s="7">
        <f t="shared" si="3"/>
        <v>0.7329378049</v>
      </c>
    </row>
    <row r="4533">
      <c r="A4533" s="4">
        <v>4533.0</v>
      </c>
      <c r="B4533" s="3" t="s">
        <v>53578</v>
      </c>
      <c r="C4533" s="6" t="s">
        <v>74</v>
      </c>
      <c r="D4533" s="6" t="s">
        <v>53579</v>
      </c>
      <c r="E4533" s="3" t="str">
        <f t="shared" si="1"/>
        <v>petition&lt;br&gt;&lt;div class="audio"&gt;[sound:petition.mp3]&lt;/div&gt;</v>
      </c>
      <c r="F4533" s="3" t="str">
        <f t="shared" si="2"/>
        <v>(n): đơn kiến nghị</v>
      </c>
      <c r="G4533" s="6" t="s">
        <v>53580</v>
      </c>
      <c r="H4533" s="6" t="s">
        <v>53581</v>
      </c>
      <c r="I4533" s="7">
        <f t="shared" si="3"/>
        <v>0.1578806713</v>
      </c>
    </row>
    <row r="4534">
      <c r="A4534" s="4">
        <v>4534.0</v>
      </c>
      <c r="B4534" s="3" t="s">
        <v>53582</v>
      </c>
      <c r="C4534" s="6" t="s">
        <v>74</v>
      </c>
      <c r="D4534" s="6" t="s">
        <v>53583</v>
      </c>
      <c r="E4534" s="3" t="str">
        <f t="shared" si="1"/>
        <v>auction&lt;br&gt;&lt;div class="audio"&gt;[sound:auction.mp3]&lt;/div&gt;</v>
      </c>
      <c r="F4534" s="3" t="str">
        <f t="shared" si="2"/>
        <v>(n): phiên đấu giá</v>
      </c>
      <c r="G4534" s="6" t="s">
        <v>53584</v>
      </c>
      <c r="H4534" s="6" t="s">
        <v>53585</v>
      </c>
      <c r="I4534" s="7">
        <f t="shared" si="3"/>
        <v>0.8063725262</v>
      </c>
    </row>
    <row r="4535">
      <c r="A4535" s="4">
        <v>4535.0</v>
      </c>
      <c r="B4535" s="3" t="s">
        <v>53586</v>
      </c>
      <c r="C4535" s="6" t="s">
        <v>11</v>
      </c>
      <c r="D4535" s="6" t="s">
        <v>46601</v>
      </c>
      <c r="E4535" s="3" t="str">
        <f t="shared" si="1"/>
        <v>eligible&lt;br&gt;&lt;div class="audio"&gt;[sound:eligible.mp3]&lt;/div&gt;</v>
      </c>
      <c r="F4535" s="3" t="str">
        <f t="shared" si="2"/>
        <v>(adj): đủ điều kiện</v>
      </c>
      <c r="G4535" s="6" t="s">
        <v>53587</v>
      </c>
      <c r="H4535" s="6" t="s">
        <v>53588</v>
      </c>
      <c r="I4535" s="7">
        <f t="shared" si="3"/>
        <v>0.7031450053</v>
      </c>
    </row>
    <row r="4536">
      <c r="A4536" s="4">
        <v>4536.0</v>
      </c>
      <c r="B4536" s="3" t="s">
        <v>53589</v>
      </c>
      <c r="C4536" s="6" t="s">
        <v>74</v>
      </c>
      <c r="D4536" s="6" t="s">
        <v>53590</v>
      </c>
      <c r="E4536" s="3" t="str">
        <f t="shared" si="1"/>
        <v>accusation&lt;br&gt;&lt;div class="audio"&gt;[sound:accusation.mp3]&lt;/div&gt;</v>
      </c>
      <c r="F4536" s="3" t="str">
        <f t="shared" si="2"/>
        <v>(n): lời buộc tội</v>
      </c>
      <c r="G4536" s="6" t="s">
        <v>53591</v>
      </c>
      <c r="H4536" s="6" t="s">
        <v>53592</v>
      </c>
      <c r="I4536" s="7">
        <f t="shared" si="3"/>
        <v>0.9335907561</v>
      </c>
    </row>
    <row r="4537">
      <c r="A4537" s="4">
        <v>4537.0</v>
      </c>
      <c r="B4537" s="3" t="s">
        <v>53593</v>
      </c>
      <c r="C4537" s="6" t="s">
        <v>74</v>
      </c>
      <c r="D4537" s="6" t="s">
        <v>53594</v>
      </c>
      <c r="E4537" s="3" t="str">
        <f t="shared" si="1"/>
        <v>film-maker&lt;br&gt;&lt;div class="audio"&gt;[sound:film-maker.mp3]&lt;/div&gt;</v>
      </c>
      <c r="F4537" s="3" t="str">
        <f t="shared" si="2"/>
        <v>(n): nhà làm phim</v>
      </c>
      <c r="G4537" s="6" t="s">
        <v>53595</v>
      </c>
      <c r="H4537" s="6" t="s">
        <v>53596</v>
      </c>
      <c r="I4537" s="7">
        <f t="shared" si="3"/>
        <v>0.1068501846</v>
      </c>
    </row>
    <row r="4538">
      <c r="A4538" s="4">
        <v>4538.0</v>
      </c>
      <c r="B4538" s="3" t="s">
        <v>53597</v>
      </c>
      <c r="C4538" s="6" t="s">
        <v>74</v>
      </c>
      <c r="D4538" s="6" t="s">
        <v>53598</v>
      </c>
      <c r="E4538" s="3" t="str">
        <f t="shared" si="1"/>
        <v>plea&lt;br&gt;&lt;div class="audio"&gt;[sound:plea.mp3]&lt;/div&gt;</v>
      </c>
      <c r="F4538" s="3" t="str">
        <f t="shared" si="2"/>
        <v>(n): lời khẩn cầu</v>
      </c>
      <c r="G4538" s="6" t="s">
        <v>53599</v>
      </c>
      <c r="H4538" s="6" t="s">
        <v>53600</v>
      </c>
      <c r="I4538" s="7">
        <f t="shared" si="3"/>
        <v>0.9907511949</v>
      </c>
    </row>
    <row r="4539">
      <c r="A4539" s="4">
        <v>4539.0</v>
      </c>
      <c r="B4539" s="3" t="s">
        <v>53601</v>
      </c>
      <c r="C4539" s="6" t="s">
        <v>74</v>
      </c>
      <c r="D4539" s="6" t="s">
        <v>53602</v>
      </c>
      <c r="E4539" s="3" t="str">
        <f t="shared" si="1"/>
        <v>overtime&lt;br&gt;&lt;div class="audio"&gt;[sound:overtime.mp3]&lt;/div&gt;</v>
      </c>
      <c r="F4539" s="3" t="str">
        <f t="shared" si="2"/>
        <v>(n): giờ làm thêm</v>
      </c>
      <c r="G4539" s="6" t="s">
        <v>53603</v>
      </c>
      <c r="H4539" s="6" t="s">
        <v>53604</v>
      </c>
      <c r="I4539" s="7">
        <f t="shared" si="3"/>
        <v>0.03724059771</v>
      </c>
    </row>
    <row r="4540">
      <c r="A4540" s="4">
        <v>4540.0</v>
      </c>
      <c r="B4540" s="3" t="s">
        <v>53605</v>
      </c>
      <c r="C4540" s="6" t="s">
        <v>74</v>
      </c>
      <c r="D4540" s="6" t="s">
        <v>53606</v>
      </c>
      <c r="E4540" s="3" t="str">
        <f t="shared" si="1"/>
        <v>blessing&lt;br&gt;&lt;div class="audio"&gt;[sound:blessing.mp3]&lt;/div&gt;</v>
      </c>
      <c r="F4540" s="3" t="str">
        <f t="shared" si="2"/>
        <v>(n): sự ban phước</v>
      </c>
      <c r="G4540" s="6" t="s">
        <v>53607</v>
      </c>
      <c r="H4540" s="6" t="s">
        <v>53608</v>
      </c>
      <c r="I4540" s="7">
        <f t="shared" si="3"/>
        <v>0.512630605</v>
      </c>
    </row>
    <row r="4541">
      <c r="A4541" s="4">
        <v>4541.0</v>
      </c>
      <c r="B4541" s="3" t="s">
        <v>53609</v>
      </c>
      <c r="C4541" s="6" t="s">
        <v>74</v>
      </c>
      <c r="D4541" s="6" t="s">
        <v>53610</v>
      </c>
      <c r="E4541" s="3" t="str">
        <f t="shared" si="1"/>
        <v>transcript&lt;br&gt;&lt;div class="audio"&gt;[sound:transcript.mp3]&lt;/div&gt;</v>
      </c>
      <c r="F4541" s="3" t="str">
        <f t="shared" si="2"/>
        <v>(n): bản sao chép</v>
      </c>
      <c r="G4541" s="6" t="s">
        <v>53611</v>
      </c>
      <c r="H4541" s="6" t="s">
        <v>53612</v>
      </c>
      <c r="I4541" s="7">
        <f t="shared" si="3"/>
        <v>0.9167255918</v>
      </c>
    </row>
    <row r="4542">
      <c r="A4542" s="4">
        <v>4542.0</v>
      </c>
      <c r="B4542" s="3" t="s">
        <v>53613</v>
      </c>
      <c r="C4542" s="6" t="s">
        <v>11</v>
      </c>
      <c r="D4542" s="6" t="s">
        <v>20270</v>
      </c>
      <c r="E4542" s="3" t="str">
        <f t="shared" si="1"/>
        <v>mature&lt;br&gt;&lt;div class="audio"&gt;[sound:mature.mp3]&lt;/div&gt;</v>
      </c>
      <c r="F4542" s="3" t="str">
        <f t="shared" si="2"/>
        <v>(adj): trưởng thành</v>
      </c>
      <c r="G4542" s="6" t="s">
        <v>53614</v>
      </c>
      <c r="H4542" s="6" t="s">
        <v>53615</v>
      </c>
      <c r="I4542" s="7">
        <f t="shared" si="3"/>
        <v>0.9548434516</v>
      </c>
    </row>
    <row r="4543">
      <c r="A4543" s="4">
        <v>4543.0</v>
      </c>
      <c r="B4543" s="3" t="s">
        <v>53616</v>
      </c>
      <c r="C4543" s="6" t="s">
        <v>74</v>
      </c>
      <c r="D4543" s="6" t="s">
        <v>53617</v>
      </c>
      <c r="E4543" s="3" t="str">
        <f t="shared" si="1"/>
        <v>balloon&lt;br&gt;&lt;div class="audio"&gt;[sound:balloon.mp3]&lt;/div&gt;</v>
      </c>
      <c r="F4543" s="3" t="str">
        <f t="shared" si="2"/>
        <v>(n): quả bóng bay</v>
      </c>
      <c r="G4543" s="6" t="s">
        <v>53618</v>
      </c>
      <c r="H4543" s="6" t="s">
        <v>53619</v>
      </c>
      <c r="I4543" s="7">
        <f t="shared" si="3"/>
        <v>0.8601539658</v>
      </c>
    </row>
    <row r="4544">
      <c r="A4544" s="4">
        <v>4544.0</v>
      </c>
      <c r="B4544" s="3" t="s">
        <v>53620</v>
      </c>
      <c r="C4544" s="6" t="s">
        <v>74</v>
      </c>
      <c r="D4544" s="6" t="s">
        <v>53621</v>
      </c>
      <c r="E4544" s="3" t="str">
        <f t="shared" si="1"/>
        <v>creator&lt;br&gt;&lt;div class="audio"&gt;[sound:creator.mp3]&lt;/div&gt;</v>
      </c>
      <c r="F4544" s="3" t="str">
        <f t="shared" si="2"/>
        <v>(n): người tạo ra</v>
      </c>
      <c r="G4544" s="6" t="s">
        <v>53622</v>
      </c>
      <c r="H4544" s="6" t="s">
        <v>53623</v>
      </c>
      <c r="I4544" s="7">
        <f t="shared" si="3"/>
        <v>0.1151472821</v>
      </c>
    </row>
    <row r="4545">
      <c r="A4545" s="4">
        <v>4545.0</v>
      </c>
      <c r="B4545" s="3" t="s">
        <v>53624</v>
      </c>
      <c r="C4545" s="6" t="s">
        <v>74</v>
      </c>
      <c r="D4545" s="6" t="s">
        <v>12285</v>
      </c>
      <c r="E4545" s="3" t="str">
        <f t="shared" si="1"/>
        <v>emergence&lt;br&gt;&lt;div class="audio"&gt;[sound:emergence.mp3]&lt;/div&gt;</v>
      </c>
      <c r="F4545" s="3" t="str">
        <f t="shared" si="2"/>
        <v>(n): sự xuất hiện</v>
      </c>
      <c r="G4545" s="6" t="s">
        <v>53625</v>
      </c>
      <c r="H4545" s="6" t="s">
        <v>53626</v>
      </c>
      <c r="I4545" s="7">
        <f t="shared" si="3"/>
        <v>0.04556219448</v>
      </c>
    </row>
    <row r="4546">
      <c r="A4546" s="4">
        <v>4546.0</v>
      </c>
      <c r="B4546" s="3" t="s">
        <v>53627</v>
      </c>
      <c r="C4546" s="6" t="s">
        <v>85</v>
      </c>
      <c r="D4546" s="6" t="s">
        <v>53628</v>
      </c>
      <c r="E4546" s="3" t="str">
        <f t="shared" si="1"/>
        <v>outdoors&lt;br&gt;&lt;div class="audio"&gt;[sound:outdoors.mp3]&lt;/div&gt;</v>
      </c>
      <c r="F4546" s="3" t="str">
        <f t="shared" si="2"/>
        <v>(adv): ở ngoài trời</v>
      </c>
      <c r="G4546" s="6" t="s">
        <v>53629</v>
      </c>
      <c r="H4546" s="6" t="s">
        <v>53630</v>
      </c>
      <c r="I4546" s="7">
        <f t="shared" si="3"/>
        <v>0.3163170148</v>
      </c>
    </row>
    <row r="4547">
      <c r="A4547" s="4">
        <v>4547.0</v>
      </c>
      <c r="B4547" s="3" t="s">
        <v>53631</v>
      </c>
      <c r="C4547" s="6" t="s">
        <v>74</v>
      </c>
      <c r="D4547" s="6" t="s">
        <v>53632</v>
      </c>
      <c r="E4547" s="3" t="str">
        <f t="shared" si="1"/>
        <v>outbreak&lt;br&gt;&lt;div class="audio"&gt;[sound:outbreak.mp3]&lt;/div&gt;</v>
      </c>
      <c r="F4547" s="3" t="str">
        <f t="shared" si="2"/>
        <v>(n): sự bùng phát</v>
      </c>
      <c r="G4547" s="6" t="s">
        <v>53633</v>
      </c>
      <c r="H4547" s="6" t="s">
        <v>53634</v>
      </c>
      <c r="I4547" s="7">
        <f t="shared" si="3"/>
        <v>0.6346825975</v>
      </c>
    </row>
    <row r="4548">
      <c r="A4548" s="4">
        <v>4548.0</v>
      </c>
      <c r="B4548" s="3" t="s">
        <v>53635</v>
      </c>
      <c r="C4548" s="6" t="s">
        <v>74</v>
      </c>
      <c r="D4548" s="6" t="s">
        <v>53636</v>
      </c>
      <c r="E4548" s="3" t="str">
        <f t="shared" si="1"/>
        <v>vet&lt;br&gt;&lt;div class="audio"&gt;[sound:vet.mp3]&lt;/div&gt;</v>
      </c>
      <c r="F4548" s="3" t="str">
        <f t="shared" si="2"/>
        <v>(n): bác sĩ thú y</v>
      </c>
      <c r="G4548" s="6" t="s">
        <v>53637</v>
      </c>
      <c r="H4548" s="6" t="s">
        <v>53638</v>
      </c>
      <c r="I4548" s="7">
        <f t="shared" si="3"/>
        <v>0.4176898344</v>
      </c>
    </row>
    <row r="4549">
      <c r="A4549" s="4">
        <v>4549.0</v>
      </c>
      <c r="B4549" s="3" t="s">
        <v>53639</v>
      </c>
      <c r="C4549" s="6" t="s">
        <v>74</v>
      </c>
      <c r="D4549" s="6" t="s">
        <v>53640</v>
      </c>
      <c r="E4549" s="3" t="str">
        <f t="shared" si="1"/>
        <v>abundance&lt;br&gt;&lt;div class="audio"&gt;[sound:abundance.mp3]&lt;/div&gt;</v>
      </c>
      <c r="F4549" s="3" t="str">
        <f t="shared" si="2"/>
        <v>(n): sự phong phú</v>
      </c>
      <c r="G4549" s="6" t="s">
        <v>53641</v>
      </c>
      <c r="H4549" s="6" t="s">
        <v>53642</v>
      </c>
      <c r="I4549" s="7">
        <f t="shared" si="3"/>
        <v>0.5692870631</v>
      </c>
    </row>
    <row r="4550">
      <c r="A4550" s="4">
        <v>4550.0</v>
      </c>
      <c r="B4550" s="3" t="s">
        <v>53643</v>
      </c>
      <c r="C4550" s="6" t="s">
        <v>74</v>
      </c>
      <c r="D4550" s="6" t="s">
        <v>53644</v>
      </c>
      <c r="E4550" s="3" t="str">
        <f t="shared" si="1"/>
        <v>worship&lt;br&gt;&lt;div class="audio"&gt;[sound:worship.mp3]&lt;/div&gt;</v>
      </c>
      <c r="F4550" s="3" t="str">
        <f t="shared" si="2"/>
        <v>(n): sự thờ phụng</v>
      </c>
      <c r="G4550" s="6" t="s">
        <v>53645</v>
      </c>
      <c r="H4550" s="6" t="s">
        <v>53646</v>
      </c>
      <c r="I4550" s="7">
        <f t="shared" si="3"/>
        <v>0.1473670638</v>
      </c>
    </row>
    <row r="4551">
      <c r="A4551" s="4">
        <v>4551.0</v>
      </c>
      <c r="B4551" s="3" t="s">
        <v>53647</v>
      </c>
      <c r="C4551" s="6" t="s">
        <v>11</v>
      </c>
      <c r="D4551" s="6" t="s">
        <v>53648</v>
      </c>
      <c r="E4551" s="3" t="str">
        <f t="shared" si="1"/>
        <v>tribal&lt;br&gt;&lt;div class="audio"&gt;[sound:tribal.mp3]&lt;/div&gt;</v>
      </c>
      <c r="F4551" s="3" t="str">
        <f t="shared" si="2"/>
        <v>(adj): thuộc bộ lạc</v>
      </c>
      <c r="G4551" s="6" t="s">
        <v>53649</v>
      </c>
      <c r="H4551" s="6" t="s">
        <v>53650</v>
      </c>
      <c r="I4551" s="7">
        <f t="shared" si="3"/>
        <v>0.8874238583</v>
      </c>
    </row>
    <row r="4552">
      <c r="A4552" s="4">
        <v>4552.0</v>
      </c>
      <c r="B4552" s="3" t="s">
        <v>53651</v>
      </c>
      <c r="C4552" s="6" t="s">
        <v>74</v>
      </c>
      <c r="D4552" s="6" t="s">
        <v>53652</v>
      </c>
      <c r="E4552" s="3" t="str">
        <f t="shared" si="1"/>
        <v>propaganda&lt;br&gt;&lt;div class="audio"&gt;[sound:propaganda.mp3]&lt;/div&gt;</v>
      </c>
      <c r="F4552" s="3" t="str">
        <f t="shared" si="2"/>
        <v>(n): tuyên truyền</v>
      </c>
      <c r="G4552" s="6" t="s">
        <v>53653</v>
      </c>
      <c r="H4552" s="6" t="s">
        <v>53654</v>
      </c>
      <c r="I4552" s="7">
        <f t="shared" si="3"/>
        <v>0.6683435632</v>
      </c>
    </row>
    <row r="4553">
      <c r="A4553" s="4">
        <v>4553.0</v>
      </c>
      <c r="B4553" s="3" t="s">
        <v>53655</v>
      </c>
      <c r="C4553" s="6" t="s">
        <v>74</v>
      </c>
      <c r="D4553" s="6" t="s">
        <v>53656</v>
      </c>
      <c r="E4553" s="3" t="str">
        <f t="shared" si="1"/>
        <v>pudding&lt;br&gt;&lt;div class="audio"&gt;[sound:pudding.mp3]&lt;/div&gt;</v>
      </c>
      <c r="F4553" s="3" t="str">
        <f t="shared" si="2"/>
        <v>(n): bánh pudding</v>
      </c>
      <c r="G4553" s="6" t="s">
        <v>53657</v>
      </c>
      <c r="H4553" s="6" t="s">
        <v>53658</v>
      </c>
      <c r="I4553" s="7">
        <f t="shared" si="3"/>
        <v>0.9247240734</v>
      </c>
    </row>
    <row r="4554">
      <c r="A4554" s="4">
        <v>4554.0</v>
      </c>
      <c r="B4554" s="3" t="s">
        <v>53659</v>
      </c>
      <c r="C4554" s="6" t="s">
        <v>11</v>
      </c>
      <c r="D4554" s="6" t="s">
        <v>53660</v>
      </c>
      <c r="E4554" s="3" t="str">
        <f t="shared" si="1"/>
        <v>loyal&lt;br&gt;&lt;div class="audio"&gt;[sound:loyal.mp3]&lt;/div&gt;</v>
      </c>
      <c r="F4554" s="3" t="str">
        <f t="shared" si="2"/>
        <v>(adj): trung thành</v>
      </c>
      <c r="G4554" s="6" t="s">
        <v>53661</v>
      </c>
      <c r="H4554" s="6" t="s">
        <v>53662</v>
      </c>
      <c r="I4554" s="7">
        <f t="shared" si="3"/>
        <v>0.07377484931</v>
      </c>
    </row>
    <row r="4555">
      <c r="A4555" s="4">
        <v>4555.0</v>
      </c>
      <c r="B4555" s="3" t="s">
        <v>53663</v>
      </c>
      <c r="C4555" s="6" t="s">
        <v>74</v>
      </c>
      <c r="D4555" s="6" t="s">
        <v>53664</v>
      </c>
      <c r="E4555" s="3" t="str">
        <f t="shared" si="1"/>
        <v>pledge&lt;br&gt;&lt;div class="audio"&gt;[sound:pledge.mp3]&lt;/div&gt;</v>
      </c>
      <c r="F4555" s="3" t="str">
        <f t="shared" si="2"/>
        <v>(n): lời cam kết</v>
      </c>
      <c r="G4555" s="6" t="s">
        <v>53665</v>
      </c>
      <c r="H4555" s="6" t="s">
        <v>53666</v>
      </c>
      <c r="I4555" s="7">
        <f t="shared" si="3"/>
        <v>0.6372804978</v>
      </c>
    </row>
    <row r="4556">
      <c r="A4556" s="4">
        <v>4556.0</v>
      </c>
      <c r="B4556" s="3" t="s">
        <v>53667</v>
      </c>
      <c r="C4556" s="6" t="s">
        <v>74</v>
      </c>
      <c r="D4556" s="6" t="s">
        <v>17096</v>
      </c>
      <c r="E4556" s="3" t="str">
        <f t="shared" si="1"/>
        <v>embassy&lt;br&gt;&lt;div class="audio"&gt;[sound:embassy.mp3]&lt;/div&gt;</v>
      </c>
      <c r="F4556" s="3" t="str">
        <f t="shared" si="2"/>
        <v>(n): đại sứ quán</v>
      </c>
      <c r="G4556" s="6" t="s">
        <v>53668</v>
      </c>
      <c r="H4556" s="6" t="s">
        <v>53669</v>
      </c>
      <c r="I4556" s="7">
        <f t="shared" si="3"/>
        <v>0.5915732533</v>
      </c>
    </row>
    <row r="4557">
      <c r="A4557" s="4">
        <v>4557.0</v>
      </c>
      <c r="B4557" s="3" t="s">
        <v>53670</v>
      </c>
      <c r="C4557" s="6" t="s">
        <v>74</v>
      </c>
      <c r="D4557" s="6" t="s">
        <v>53671</v>
      </c>
      <c r="E4557" s="3" t="str">
        <f t="shared" si="1"/>
        <v>nightmare&lt;br&gt;&lt;div class="audio"&gt;[sound:nightmare.mp3]&lt;/div&gt;</v>
      </c>
      <c r="F4557" s="3" t="str">
        <f t="shared" si="2"/>
        <v>(n): cơn ác mộng</v>
      </c>
      <c r="G4557" s="6" t="s">
        <v>53672</v>
      </c>
      <c r="H4557" s="6" t="s">
        <v>53673</v>
      </c>
      <c r="I4557" s="7">
        <f t="shared" si="3"/>
        <v>0.7543310893</v>
      </c>
    </row>
    <row r="4558">
      <c r="A4558" s="4">
        <v>4558.0</v>
      </c>
      <c r="B4558" s="3" t="s">
        <v>53674</v>
      </c>
      <c r="C4558" s="6" t="s">
        <v>74</v>
      </c>
      <c r="D4558" s="6" t="s">
        <v>42742</v>
      </c>
      <c r="E4558" s="3" t="str">
        <f t="shared" si="1"/>
        <v>archive&lt;br&gt;&lt;div class="audio"&gt;[sound:archive.mp3]&lt;/div&gt;</v>
      </c>
      <c r="F4558" s="3" t="str">
        <f t="shared" si="2"/>
        <v>(n): kho lưu trữ</v>
      </c>
      <c r="G4558" s="6" t="s">
        <v>53675</v>
      </c>
      <c r="H4558" s="6" t="s">
        <v>53676</v>
      </c>
      <c r="I4558" s="7">
        <f t="shared" si="3"/>
        <v>0.4370507286</v>
      </c>
    </row>
    <row r="4559">
      <c r="A4559" s="4">
        <v>4559.0</v>
      </c>
      <c r="B4559" s="3" t="s">
        <v>53677</v>
      </c>
      <c r="C4559" s="6" t="s">
        <v>74</v>
      </c>
      <c r="D4559" s="6" t="s">
        <v>53678</v>
      </c>
      <c r="E4559" s="3" t="str">
        <f t="shared" si="1"/>
        <v>ankle&lt;br&gt;&lt;div class="audio"&gt;[sound:ankle.mp3]&lt;/div&gt;</v>
      </c>
      <c r="F4559" s="3" t="str">
        <f t="shared" si="2"/>
        <v>(n): mắt cá chân</v>
      </c>
      <c r="G4559" s="6" t="s">
        <v>53679</v>
      </c>
      <c r="H4559" s="6" t="s">
        <v>53680</v>
      </c>
      <c r="I4559" s="7">
        <f t="shared" si="3"/>
        <v>0.9444315979</v>
      </c>
    </row>
    <row r="4560">
      <c r="A4560" s="4">
        <v>4560.0</v>
      </c>
      <c r="B4560" s="3" t="s">
        <v>53681</v>
      </c>
      <c r="C4560" s="6" t="s">
        <v>74</v>
      </c>
      <c r="D4560" s="6" t="s">
        <v>35316</v>
      </c>
      <c r="E4560" s="3" t="str">
        <f t="shared" si="1"/>
        <v>optimism&lt;br&gt;&lt;div class="audio"&gt;[sound:optimism.mp3]&lt;/div&gt;</v>
      </c>
      <c r="F4560" s="3" t="str">
        <f t="shared" si="2"/>
        <v>(n): sự lạc quan</v>
      </c>
      <c r="G4560" s="6" t="s">
        <v>53682</v>
      </c>
      <c r="H4560" s="6" t="s">
        <v>53683</v>
      </c>
      <c r="I4560" s="7">
        <f t="shared" si="3"/>
        <v>0.3330339884</v>
      </c>
    </row>
    <row r="4561">
      <c r="A4561" s="4">
        <v>4561.0</v>
      </c>
      <c r="B4561" s="3" t="s">
        <v>53684</v>
      </c>
      <c r="C4561" s="6" t="s">
        <v>74</v>
      </c>
      <c r="D4561" s="6" t="s">
        <v>21973</v>
      </c>
      <c r="E4561" s="3" t="str">
        <f t="shared" si="1"/>
        <v>scrutiny&lt;br&gt;&lt;div class="audio"&gt;[sound:scrutiny.mp3]&lt;/div&gt;</v>
      </c>
      <c r="F4561" s="3" t="str">
        <f t="shared" si="2"/>
        <v>(n): sự giám sát</v>
      </c>
      <c r="G4561" s="6" t="s">
        <v>53685</v>
      </c>
      <c r="H4561" s="6" t="s">
        <v>53686</v>
      </c>
      <c r="I4561" s="7">
        <f t="shared" si="3"/>
        <v>0.2644230074</v>
      </c>
    </row>
    <row r="4562">
      <c r="A4562" s="4">
        <v>4562.0</v>
      </c>
      <c r="B4562" s="3" t="s">
        <v>53687</v>
      </c>
      <c r="C4562" s="6" t="s">
        <v>74</v>
      </c>
      <c r="D4562" s="6" t="s">
        <v>53688</v>
      </c>
      <c r="E4562" s="3" t="str">
        <f t="shared" si="1"/>
        <v>lyric&lt;br&gt;&lt;div class="audio"&gt;[sound:lyric.mp3]&lt;/div&gt;</v>
      </c>
      <c r="F4562" s="3" t="str">
        <f t="shared" si="2"/>
        <v>(n): lời bài hát</v>
      </c>
      <c r="G4562" s="6" t="s">
        <v>53689</v>
      </c>
      <c r="H4562" s="6" t="s">
        <v>53690</v>
      </c>
      <c r="I4562" s="7">
        <f t="shared" si="3"/>
        <v>0.8965235655</v>
      </c>
    </row>
    <row r="4563">
      <c r="A4563" s="4">
        <v>4563.0</v>
      </c>
      <c r="B4563" s="3" t="s">
        <v>53691</v>
      </c>
      <c r="C4563" s="6" t="s">
        <v>74</v>
      </c>
      <c r="D4563" s="6" t="s">
        <v>51705</v>
      </c>
      <c r="E4563" s="3" t="str">
        <f t="shared" si="1"/>
        <v>revival&lt;br&gt;&lt;div class="audio"&gt;[sound:revival.mp3]&lt;/div&gt;</v>
      </c>
      <c r="F4563" s="3" t="str">
        <f t="shared" si="2"/>
        <v>(n): sự phục hồi</v>
      </c>
      <c r="G4563" s="6" t="s">
        <v>53692</v>
      </c>
      <c r="H4563" s="6" t="s">
        <v>53693</v>
      </c>
      <c r="I4563" s="7">
        <f t="shared" si="3"/>
        <v>0.9158586556</v>
      </c>
    </row>
    <row r="4564">
      <c r="A4564" s="4">
        <v>4564.0</v>
      </c>
      <c r="B4564" s="3" t="s">
        <v>53694</v>
      </c>
      <c r="C4564" s="6" t="s">
        <v>11</v>
      </c>
      <c r="D4564" s="6" t="s">
        <v>11604</v>
      </c>
      <c r="E4564" s="3" t="str">
        <f t="shared" si="1"/>
        <v>agricultural&lt;br&gt;&lt;div class="audio"&gt;[sound:agricultural.mp3]&lt;/div&gt;</v>
      </c>
      <c r="F4564" s="3" t="str">
        <f t="shared" si="2"/>
        <v>(adj): nông nghiệp</v>
      </c>
      <c r="G4564" s="6" t="s">
        <v>53695</v>
      </c>
      <c r="H4564" s="6" t="s">
        <v>53696</v>
      </c>
      <c r="I4564" s="7">
        <f t="shared" si="3"/>
        <v>0.124433627</v>
      </c>
    </row>
    <row r="4565">
      <c r="A4565" s="4">
        <v>4565.0</v>
      </c>
      <c r="B4565" s="3" t="s">
        <v>53697</v>
      </c>
      <c r="C4565" s="6" t="s">
        <v>74</v>
      </c>
      <c r="D4565" s="6" t="s">
        <v>53698</v>
      </c>
      <c r="E4565" s="3" t="str">
        <f t="shared" si="1"/>
        <v>tribute&lt;br&gt;&lt;div class="audio"&gt;[sound:tribute.mp3]&lt;/div&gt;</v>
      </c>
      <c r="F4565" s="3" t="str">
        <f t="shared" si="2"/>
        <v>(n): sự tôn vinh</v>
      </c>
      <c r="G4565" s="6" t="s">
        <v>53699</v>
      </c>
      <c r="H4565" s="6" t="s">
        <v>53700</v>
      </c>
      <c r="I4565" s="7">
        <f t="shared" si="3"/>
        <v>0.521349908</v>
      </c>
    </row>
    <row r="4566">
      <c r="A4566" s="4">
        <v>4566.0</v>
      </c>
      <c r="B4566" s="3" t="s">
        <v>53701</v>
      </c>
      <c r="C4566" s="6" t="s">
        <v>74</v>
      </c>
      <c r="D4566" s="6" t="s">
        <v>44218</v>
      </c>
      <c r="E4566" s="3" t="str">
        <f t="shared" si="1"/>
        <v>alignment&lt;br&gt;&lt;div class="audio"&gt;[sound:alignment.mp3]&lt;/div&gt;</v>
      </c>
      <c r="F4566" s="3" t="str">
        <f t="shared" si="2"/>
        <v>(n): sự sắp xếp</v>
      </c>
      <c r="G4566" s="6" t="s">
        <v>53702</v>
      </c>
      <c r="H4566" s="6" t="s">
        <v>53703</v>
      </c>
      <c r="I4566" s="7">
        <f t="shared" si="3"/>
        <v>0.6812456108</v>
      </c>
    </row>
    <row r="4567">
      <c r="A4567" s="4">
        <v>4567.0</v>
      </c>
      <c r="B4567" s="3" t="s">
        <v>53704</v>
      </c>
      <c r="C4567" s="6" t="s">
        <v>74</v>
      </c>
      <c r="D4567" s="6" t="s">
        <v>53705</v>
      </c>
      <c r="E4567" s="3" t="str">
        <f t="shared" si="1"/>
        <v>accordance&lt;br&gt;&lt;div class="audio"&gt;[sound:accordance.mp3]&lt;/div&gt;</v>
      </c>
      <c r="F4567" s="3" t="str">
        <f t="shared" si="2"/>
        <v>(n): sự phù hợp</v>
      </c>
      <c r="G4567" s="6" t="s">
        <v>53706</v>
      </c>
      <c r="H4567" s="6" t="s">
        <v>53707</v>
      </c>
      <c r="I4567" s="7">
        <f t="shared" si="3"/>
        <v>0.4693376849</v>
      </c>
    </row>
    <row r="4568">
      <c r="A4568" s="4">
        <v>4568.0</v>
      </c>
      <c r="B4568" s="3" t="s">
        <v>53708</v>
      </c>
      <c r="C4568" s="6" t="s">
        <v>11</v>
      </c>
      <c r="D4568" s="6" t="s">
        <v>23250</v>
      </c>
      <c r="E4568" s="3" t="str">
        <f t="shared" si="1"/>
        <v>lazy&lt;br&gt;&lt;div class="audio"&gt;[sound:lazy.mp3]&lt;/div&gt;</v>
      </c>
      <c r="F4568" s="3" t="str">
        <f t="shared" si="2"/>
        <v>(adj): lười biếng</v>
      </c>
      <c r="G4568" s="6" t="s">
        <v>53709</v>
      </c>
      <c r="H4568" s="6" t="s">
        <v>53710</v>
      </c>
      <c r="I4568" s="7">
        <f t="shared" si="3"/>
        <v>0.2596641914</v>
      </c>
    </row>
    <row r="4569">
      <c r="A4569" s="4">
        <v>4569.0</v>
      </c>
      <c r="B4569" s="3" t="s">
        <v>53711</v>
      </c>
      <c r="C4569" s="6" t="s">
        <v>74</v>
      </c>
      <c r="D4569" s="6" t="s">
        <v>53712</v>
      </c>
      <c r="E4569" s="3" t="str">
        <f t="shared" si="1"/>
        <v>merchant&lt;br&gt;&lt;div class="audio"&gt;[sound:merchant.mp3]&lt;/div&gt;</v>
      </c>
      <c r="F4569" s="3" t="str">
        <f t="shared" si="2"/>
        <v>(n): thương gia</v>
      </c>
      <c r="G4569" s="6" t="s">
        <v>53713</v>
      </c>
      <c r="H4569" s="6" t="s">
        <v>53714</v>
      </c>
      <c r="I4569" s="7">
        <f t="shared" si="3"/>
        <v>0.2790441436</v>
      </c>
    </row>
    <row r="4570">
      <c r="A4570" s="4">
        <v>4570.0</v>
      </c>
      <c r="B4570" s="3" t="s">
        <v>53715</v>
      </c>
      <c r="C4570" s="6" t="s">
        <v>11</v>
      </c>
      <c r="D4570" s="6" t="s">
        <v>53716</v>
      </c>
      <c r="E4570" s="3" t="str">
        <f t="shared" si="1"/>
        <v>infamous&lt;br&gt;&lt;div class="audio"&gt;[sound:infamous.mp3]&lt;/div&gt;</v>
      </c>
      <c r="F4570" s="3" t="str">
        <f t="shared" si="2"/>
        <v>(adj): khét tiếng</v>
      </c>
      <c r="G4570" s="6" t="s">
        <v>53717</v>
      </c>
      <c r="H4570" s="6" t="s">
        <v>53718</v>
      </c>
      <c r="I4570" s="7">
        <f t="shared" si="3"/>
        <v>0.9408400685</v>
      </c>
    </row>
    <row r="4571">
      <c r="A4571" s="4">
        <v>4571.0</v>
      </c>
      <c r="B4571" s="3" t="s">
        <v>53719</v>
      </c>
      <c r="C4571" s="6" t="s">
        <v>74</v>
      </c>
      <c r="D4571" s="6" t="s">
        <v>53720</v>
      </c>
      <c r="E4571" s="3" t="str">
        <f t="shared" si="1"/>
        <v>medal&lt;br&gt;&lt;div class="audio"&gt;[sound:medal.mp3]&lt;/div&gt;</v>
      </c>
      <c r="F4571" s="3" t="str">
        <f t="shared" si="2"/>
        <v>(n): huy chương</v>
      </c>
      <c r="G4571" s="6" t="s">
        <v>53721</v>
      </c>
      <c r="H4571" s="6" t="s">
        <v>53722</v>
      </c>
      <c r="I4571" s="7">
        <f t="shared" si="3"/>
        <v>0.7798776433</v>
      </c>
    </row>
    <row r="4572">
      <c r="A4572" s="4">
        <v>4572.0</v>
      </c>
      <c r="B4572" s="3" t="s">
        <v>53723</v>
      </c>
      <c r="C4572" s="6" t="s">
        <v>11</v>
      </c>
      <c r="D4572" s="6" t="s">
        <v>53724</v>
      </c>
      <c r="E4572" s="3" t="str">
        <f t="shared" si="1"/>
        <v>folding&lt;br&gt;&lt;div class="audio"&gt;[sound:folding.mp3]&lt;/div&gt;</v>
      </c>
      <c r="F4572" s="3" t="str">
        <f t="shared" si="2"/>
        <v>(adj): có thể gấp</v>
      </c>
      <c r="G4572" s="6" t="s">
        <v>53725</v>
      </c>
      <c r="H4572" s="6" t="s">
        <v>53726</v>
      </c>
      <c r="I4572" s="7">
        <f t="shared" si="3"/>
        <v>0.7908018729</v>
      </c>
    </row>
    <row r="4573">
      <c r="A4573" s="4">
        <v>4573.0</v>
      </c>
      <c r="B4573" s="3" t="s">
        <v>53727</v>
      </c>
      <c r="C4573" s="6" t="s">
        <v>11</v>
      </c>
      <c r="D4573" s="6" t="s">
        <v>19266</v>
      </c>
      <c r="E4573" s="3" t="str">
        <f t="shared" si="1"/>
        <v>oral&lt;br&gt;&lt;div class="audio"&gt;[sound:oral.mp3]&lt;/div&gt;</v>
      </c>
      <c r="F4573" s="3" t="str">
        <f t="shared" si="2"/>
        <v>(adj): bằng miệng</v>
      </c>
      <c r="G4573" s="6" t="s">
        <v>53728</v>
      </c>
      <c r="H4573" s="6" t="s">
        <v>53729</v>
      </c>
      <c r="I4573" s="7">
        <f t="shared" si="3"/>
        <v>0.2565464571</v>
      </c>
    </row>
    <row r="4574">
      <c r="A4574" s="4">
        <v>4574.0</v>
      </c>
      <c r="B4574" s="3" t="s">
        <v>53730</v>
      </c>
      <c r="C4574" s="6" t="s">
        <v>74</v>
      </c>
      <c r="D4574" s="6" t="s">
        <v>53731</v>
      </c>
      <c r="E4574" s="3" t="str">
        <f t="shared" si="1"/>
        <v>revelation&lt;br&gt;&lt;div class="audio"&gt;[sound:revelation.mp3]&lt;/div&gt;</v>
      </c>
      <c r="F4574" s="3" t="str">
        <f t="shared" si="2"/>
        <v>(n): sự tiết lộ</v>
      </c>
      <c r="G4574" s="6" t="s">
        <v>53732</v>
      </c>
      <c r="H4574" s="6" t="s">
        <v>53733</v>
      </c>
      <c r="I4574" s="7">
        <f t="shared" si="3"/>
        <v>0.2899265447</v>
      </c>
    </row>
    <row r="4575">
      <c r="A4575" s="4">
        <v>4575.0</v>
      </c>
      <c r="B4575" s="3" t="s">
        <v>53734</v>
      </c>
      <c r="C4575" s="6" t="s">
        <v>74</v>
      </c>
      <c r="D4575" s="6" t="s">
        <v>49579</v>
      </c>
      <c r="E4575" s="3" t="str">
        <f t="shared" si="1"/>
        <v>modification&lt;br&gt;&lt;div class="audio"&gt;[sound:modification.mp3]&lt;/div&gt;</v>
      </c>
      <c r="F4575" s="3" t="str">
        <f t="shared" si="2"/>
        <v>(n): sự sửa đổi</v>
      </c>
      <c r="G4575" s="6" t="s">
        <v>53735</v>
      </c>
      <c r="H4575" s="6" t="s">
        <v>53736</v>
      </c>
      <c r="I4575" s="7">
        <f t="shared" si="3"/>
        <v>0.6109063352</v>
      </c>
    </row>
    <row r="4576">
      <c r="A4576" s="4">
        <v>4576.0</v>
      </c>
      <c r="B4576" s="3" t="s">
        <v>53737</v>
      </c>
      <c r="C4576" s="6" t="s">
        <v>24</v>
      </c>
      <c r="D4576" s="6" t="s">
        <v>53738</v>
      </c>
      <c r="E4576" s="3" t="str">
        <f t="shared" si="1"/>
        <v>maximize&lt;br&gt;&lt;div class="audio"&gt;[sound:maximize.mp3]&lt;/div&gt;</v>
      </c>
      <c r="F4576" s="3" t="str">
        <f t="shared" si="2"/>
        <v>(v): tối đa hóa</v>
      </c>
      <c r="G4576" s="6" t="s">
        <v>53739</v>
      </c>
      <c r="H4576" s="6" t="s">
        <v>53740</v>
      </c>
      <c r="I4576" s="7">
        <f t="shared" si="3"/>
        <v>0.07620838358</v>
      </c>
    </row>
    <row r="4577">
      <c r="A4577" s="4">
        <v>4577.0</v>
      </c>
      <c r="B4577" s="3" t="s">
        <v>53741</v>
      </c>
      <c r="C4577" s="6" t="s">
        <v>24</v>
      </c>
      <c r="D4577" s="6" t="s">
        <v>53742</v>
      </c>
      <c r="E4577" s="3" t="str">
        <f t="shared" si="1"/>
        <v>minimize&lt;br&gt;&lt;div class="audio"&gt;[sound:minimize.mp3]&lt;/div&gt;</v>
      </c>
      <c r="F4577" s="3" t="str">
        <f t="shared" si="2"/>
        <v>(v): giảm thiểu</v>
      </c>
      <c r="G4577" s="6" t="s">
        <v>53743</v>
      </c>
      <c r="H4577" s="6" t="s">
        <v>53744</v>
      </c>
      <c r="I4577" s="7">
        <f t="shared" si="3"/>
        <v>0.2655658068</v>
      </c>
    </row>
    <row r="4578">
      <c r="A4578" s="4">
        <v>4578.0</v>
      </c>
      <c r="B4578" s="3" t="s">
        <v>53745</v>
      </c>
      <c r="C4578" s="6" t="s">
        <v>74</v>
      </c>
      <c r="D4578" s="6" t="s">
        <v>19243</v>
      </c>
      <c r="E4578" s="3" t="str">
        <f t="shared" si="1"/>
        <v>allocation&lt;br&gt;&lt;div class="audio"&gt;[sound:allocation.mp3]&lt;/div&gt;</v>
      </c>
      <c r="F4578" s="3" t="str">
        <f t="shared" si="2"/>
        <v>(n): sự phân bổ</v>
      </c>
      <c r="G4578" s="6" t="s">
        <v>53746</v>
      </c>
      <c r="H4578" s="6" t="s">
        <v>53747</v>
      </c>
      <c r="I4578" s="7">
        <f t="shared" si="3"/>
        <v>0.6925170282</v>
      </c>
    </row>
    <row r="4579">
      <c r="A4579" s="4">
        <v>4579.0</v>
      </c>
      <c r="B4579" s="3" t="s">
        <v>53748</v>
      </c>
      <c r="C4579" s="6" t="s">
        <v>74</v>
      </c>
      <c r="D4579" s="6" t="s">
        <v>49549</v>
      </c>
      <c r="E4579" s="3" t="str">
        <f t="shared" si="1"/>
        <v>verdict&lt;br&gt;&lt;div class="audio"&gt;[sound:verdict.mp3]&lt;/div&gt;</v>
      </c>
      <c r="F4579" s="3" t="str">
        <f t="shared" si="2"/>
        <v>(n): phán quyết</v>
      </c>
      <c r="G4579" s="6" t="s">
        <v>53749</v>
      </c>
      <c r="H4579" s="6" t="s">
        <v>49195</v>
      </c>
      <c r="I4579" s="7">
        <f t="shared" si="3"/>
        <v>0.6670753375</v>
      </c>
    </row>
    <row r="4580">
      <c r="A4580" s="4">
        <v>4580.0</v>
      </c>
      <c r="B4580" s="3" t="s">
        <v>53750</v>
      </c>
      <c r="C4580" s="6" t="s">
        <v>74</v>
      </c>
      <c r="D4580" s="6" t="s">
        <v>53751</v>
      </c>
      <c r="E4580" s="3" t="str">
        <f t="shared" si="1"/>
        <v>arena&lt;br&gt;&lt;div class="audio"&gt;[sound:arena.mp3]&lt;/div&gt;</v>
      </c>
      <c r="F4580" s="3" t="str">
        <f t="shared" si="2"/>
        <v>(n): đấu trường</v>
      </c>
      <c r="G4580" s="6" t="s">
        <v>53752</v>
      </c>
      <c r="H4580" s="6" t="s">
        <v>53753</v>
      </c>
      <c r="I4580" s="7">
        <f t="shared" si="3"/>
        <v>0.9428490944</v>
      </c>
    </row>
    <row r="4581">
      <c r="A4581" s="4">
        <v>4581.0</v>
      </c>
      <c r="B4581" s="3" t="s">
        <v>53754</v>
      </c>
      <c r="C4581" s="6" t="s">
        <v>74</v>
      </c>
      <c r="D4581" s="6" t="s">
        <v>39239</v>
      </c>
      <c r="E4581" s="3" t="str">
        <f t="shared" si="1"/>
        <v>lad&lt;br&gt;&lt;div class="audio"&gt;[sound:lad.mp3]&lt;/div&gt;</v>
      </c>
      <c r="F4581" s="3" t="str">
        <f t="shared" si="2"/>
        <v>(n): chàng trai</v>
      </c>
      <c r="G4581" s="6" t="s">
        <v>53755</v>
      </c>
      <c r="H4581" s="6" t="s">
        <v>53756</v>
      </c>
      <c r="I4581" s="7">
        <f t="shared" si="3"/>
        <v>0.2258230943</v>
      </c>
    </row>
    <row r="4582">
      <c r="A4582" s="4">
        <v>4582.0</v>
      </c>
      <c r="B4582" s="3" t="s">
        <v>53757</v>
      </c>
      <c r="C4582" s="6" t="s">
        <v>74</v>
      </c>
      <c r="D4582" s="6" t="s">
        <v>45505</v>
      </c>
      <c r="E4582" s="3" t="str">
        <f t="shared" si="1"/>
        <v>refuge&lt;br&gt;&lt;div class="audio"&gt;[sound:refuge.mp3]&lt;/div&gt;</v>
      </c>
      <c r="F4582" s="3" t="str">
        <f t="shared" si="2"/>
        <v>(n): nơi trú ẩn</v>
      </c>
      <c r="G4582" s="6" t="s">
        <v>53758</v>
      </c>
      <c r="H4582" s="6" t="s">
        <v>53759</v>
      </c>
      <c r="I4582" s="7">
        <f t="shared" si="3"/>
        <v>0.2907830545</v>
      </c>
    </row>
    <row r="4583">
      <c r="A4583" s="4">
        <v>4583.0</v>
      </c>
      <c r="B4583" s="3" t="s">
        <v>53760</v>
      </c>
      <c r="C4583" s="6" t="s">
        <v>11</v>
      </c>
      <c r="D4583" s="6" t="s">
        <v>53761</v>
      </c>
      <c r="E4583" s="3" t="str">
        <f t="shared" si="1"/>
        <v>marine&lt;br&gt;&lt;div class="audio"&gt;[sound:marine.mp3]&lt;/div&gt;</v>
      </c>
      <c r="F4583" s="3" t="str">
        <f t="shared" si="2"/>
        <v>(adj): thuộc biển</v>
      </c>
      <c r="G4583" s="6" t="s">
        <v>53762</v>
      </c>
      <c r="H4583" s="6" t="s">
        <v>53763</v>
      </c>
      <c r="I4583" s="7">
        <f t="shared" si="3"/>
        <v>0.6963751781</v>
      </c>
    </row>
    <row r="4584">
      <c r="A4584" s="4">
        <v>4584.0</v>
      </c>
      <c r="B4584" s="3" t="s">
        <v>53764</v>
      </c>
      <c r="C4584" s="6" t="s">
        <v>24</v>
      </c>
      <c r="D4584" s="6" t="s">
        <v>53765</v>
      </c>
      <c r="E4584" s="3" t="str">
        <f t="shared" si="1"/>
        <v>empower&lt;br&gt;&lt;div class="audio"&gt;[sound:empower.mp3]&lt;/div&gt;</v>
      </c>
      <c r="F4584" s="3" t="str">
        <f t="shared" si="2"/>
        <v>(v): trao quyền</v>
      </c>
      <c r="G4584" s="6" t="s">
        <v>53766</v>
      </c>
      <c r="H4584" s="6" t="s">
        <v>53767</v>
      </c>
      <c r="I4584" s="7">
        <f t="shared" si="3"/>
        <v>0.7610761964</v>
      </c>
    </row>
    <row r="4585">
      <c r="A4585" s="4">
        <v>4585.0</v>
      </c>
      <c r="B4585" s="3" t="s">
        <v>53768</v>
      </c>
      <c r="C4585" s="6" t="s">
        <v>24</v>
      </c>
      <c r="D4585" s="6" t="s">
        <v>1211</v>
      </c>
      <c r="E4585" s="3" t="str">
        <f t="shared" si="1"/>
        <v>unfold&lt;br&gt;&lt;div class="audio"&gt;[sound:unfold.mp3]&lt;/div&gt;</v>
      </c>
      <c r="F4585" s="3" t="str">
        <f t="shared" si="2"/>
        <v>(v): phát triển</v>
      </c>
      <c r="G4585" s="6" t="s">
        <v>53769</v>
      </c>
      <c r="H4585" s="6" t="s">
        <v>53770</v>
      </c>
      <c r="I4585" s="7">
        <f t="shared" si="3"/>
        <v>0.8998746643</v>
      </c>
    </row>
    <row r="4586">
      <c r="A4586" s="4">
        <v>4586.0</v>
      </c>
      <c r="B4586" s="3" t="s">
        <v>53771</v>
      </c>
      <c r="C4586" s="6" t="s">
        <v>24</v>
      </c>
      <c r="D4586" s="6" t="s">
        <v>22051</v>
      </c>
      <c r="E4586" s="3" t="str">
        <f t="shared" si="1"/>
        <v>exaggerate&lt;br&gt;&lt;div class="audio"&gt;[sound:exaggerate.mp3]&lt;/div&gt;</v>
      </c>
      <c r="F4586" s="3" t="str">
        <f t="shared" si="2"/>
        <v>(v): phóng đại</v>
      </c>
      <c r="G4586" s="6" t="s">
        <v>53772</v>
      </c>
      <c r="H4586" s="6" t="s">
        <v>53773</v>
      </c>
      <c r="I4586" s="7">
        <f t="shared" si="3"/>
        <v>0.6468526741</v>
      </c>
    </row>
    <row r="4587">
      <c r="A4587" s="4">
        <v>4587.0</v>
      </c>
      <c r="B4587" s="3" t="s">
        <v>53774</v>
      </c>
      <c r="C4587" s="6" t="s">
        <v>11</v>
      </c>
      <c r="D4587" s="6" t="s">
        <v>3887</v>
      </c>
      <c r="E4587" s="3" t="str">
        <f t="shared" si="1"/>
        <v>renowned&lt;br&gt;&lt;div class="audio"&gt;[sound:renowned.mp3]&lt;/div&gt;</v>
      </c>
      <c r="F4587" s="3" t="str">
        <f t="shared" si="2"/>
        <v>(adj): nổi tiếng</v>
      </c>
      <c r="G4587" s="6" t="s">
        <v>53775</v>
      </c>
      <c r="H4587" s="6" t="s">
        <v>53776</v>
      </c>
      <c r="I4587" s="7">
        <f t="shared" si="3"/>
        <v>0.3163231949</v>
      </c>
    </row>
    <row r="4588">
      <c r="A4588" s="4">
        <v>4588.0</v>
      </c>
      <c r="B4588" s="3" t="s">
        <v>53777</v>
      </c>
      <c r="C4588" s="6" t="s">
        <v>11</v>
      </c>
      <c r="D4588" s="6" t="s">
        <v>53778</v>
      </c>
      <c r="E4588" s="3" t="str">
        <f t="shared" si="1"/>
        <v>prestigious&lt;br&gt;&lt;div class="audio"&gt;[sound:prestigious.mp3]&lt;/div&gt;</v>
      </c>
      <c r="F4588" s="3" t="str">
        <f t="shared" si="2"/>
        <v>(adj): có uy tín</v>
      </c>
      <c r="G4588" s="6" t="s">
        <v>53779</v>
      </c>
      <c r="H4588" s="6" t="s">
        <v>53780</v>
      </c>
      <c r="I4588" s="7">
        <f t="shared" si="3"/>
        <v>0.1725082292</v>
      </c>
    </row>
    <row r="4589">
      <c r="A4589" s="4">
        <v>4589.0</v>
      </c>
      <c r="B4589" s="3" t="s">
        <v>53781</v>
      </c>
      <c r="C4589" s="6" t="s">
        <v>11</v>
      </c>
      <c r="D4589" s="6" t="s">
        <v>53782</v>
      </c>
      <c r="E4589" s="3" t="str">
        <f t="shared" si="1"/>
        <v>post-war&lt;br&gt;&lt;div class="audio"&gt;[sound:post-war.mp3]&lt;/div&gt;</v>
      </c>
      <c r="F4589" s="3" t="str">
        <f t="shared" si="2"/>
        <v>(adj): hậu chiến</v>
      </c>
      <c r="G4589" s="6" t="s">
        <v>53783</v>
      </c>
      <c r="H4589" s="6" t="s">
        <v>53784</v>
      </c>
      <c r="I4589" s="7">
        <f t="shared" si="3"/>
        <v>0.1293059974</v>
      </c>
    </row>
    <row r="4590">
      <c r="A4590" s="4">
        <v>4590.0</v>
      </c>
      <c r="B4590" s="3" t="s">
        <v>53785</v>
      </c>
      <c r="C4590" s="6" t="s">
        <v>74</v>
      </c>
      <c r="D4590" s="6" t="s">
        <v>53786</v>
      </c>
      <c r="E4590" s="3" t="str">
        <f t="shared" si="1"/>
        <v>poison&lt;br&gt;&lt;div class="audio"&gt;[sound:poison.mp3]&lt;/div&gt;</v>
      </c>
      <c r="F4590" s="3" t="str">
        <f t="shared" si="2"/>
        <v>(n): thuốc độc</v>
      </c>
      <c r="G4590" s="6" t="s">
        <v>53787</v>
      </c>
      <c r="H4590" s="6" t="s">
        <v>53788</v>
      </c>
      <c r="I4590" s="7">
        <f t="shared" si="3"/>
        <v>0.1368031818</v>
      </c>
    </row>
    <row r="4591">
      <c r="A4591" s="4">
        <v>4591.0</v>
      </c>
      <c r="B4591" s="3" t="s">
        <v>53789</v>
      </c>
      <c r="C4591" s="6" t="s">
        <v>24</v>
      </c>
      <c r="D4591" s="6" t="s">
        <v>50945</v>
      </c>
      <c r="E4591" s="3" t="str">
        <f t="shared" si="1"/>
        <v>fasten&lt;br&gt;&lt;div class="audio"&gt;[sound:fasten.mp3]&lt;/div&gt;</v>
      </c>
      <c r="F4591" s="3" t="str">
        <f t="shared" si="2"/>
        <v>(v): thắt chặt</v>
      </c>
      <c r="G4591" s="6" t="s">
        <v>53790</v>
      </c>
      <c r="H4591" s="6" t="s">
        <v>53791</v>
      </c>
      <c r="I4591" s="7">
        <f t="shared" si="3"/>
        <v>0.4423059962</v>
      </c>
    </row>
    <row r="4592">
      <c r="A4592" s="4">
        <v>4592.0</v>
      </c>
      <c r="B4592" s="3" t="s">
        <v>53792</v>
      </c>
      <c r="C4592" s="6" t="s">
        <v>24</v>
      </c>
      <c r="D4592" s="6" t="s">
        <v>4949</v>
      </c>
      <c r="E4592" s="3" t="str">
        <f t="shared" si="1"/>
        <v>notify&lt;br&gt;&lt;div class="audio"&gt;[sound:notify.mp3]&lt;/div&gt;</v>
      </c>
      <c r="F4592" s="3" t="str">
        <f t="shared" si="2"/>
        <v>(v): thông báo</v>
      </c>
      <c r="G4592" s="6" t="s">
        <v>53793</v>
      </c>
      <c r="H4592" s="6" t="s">
        <v>53794</v>
      </c>
      <c r="I4592" s="7">
        <f t="shared" si="3"/>
        <v>0.5602696459</v>
      </c>
    </row>
    <row r="4593">
      <c r="A4593" s="4">
        <v>4593.0</v>
      </c>
      <c r="B4593" s="3" t="s">
        <v>53795</v>
      </c>
      <c r="C4593" s="6" t="s">
        <v>74</v>
      </c>
      <c r="D4593" s="6" t="s">
        <v>45558</v>
      </c>
      <c r="E4593" s="3" t="str">
        <f t="shared" si="1"/>
        <v>embarrassment&lt;br&gt;&lt;div class="audio"&gt;[sound:embarrassment.mp3]&lt;/div&gt;</v>
      </c>
      <c r="F4593" s="3" t="str">
        <f t="shared" si="2"/>
        <v>(n): sự xấu hổ</v>
      </c>
      <c r="G4593" s="6" t="s">
        <v>53796</v>
      </c>
      <c r="H4593" s="6" t="s">
        <v>53797</v>
      </c>
      <c r="I4593" s="7">
        <f t="shared" si="3"/>
        <v>0.4606321947</v>
      </c>
    </row>
    <row r="4594">
      <c r="A4594" s="4">
        <v>4594.0</v>
      </c>
      <c r="B4594" s="3" t="s">
        <v>53798</v>
      </c>
      <c r="C4594" s="6" t="s">
        <v>11</v>
      </c>
      <c r="D4594" s="6" t="s">
        <v>28948</v>
      </c>
      <c r="E4594" s="3" t="str">
        <f t="shared" si="1"/>
        <v>modest&lt;br&gt;&lt;div class="audio"&gt;[sound:modest.mp3]&lt;/div&gt;</v>
      </c>
      <c r="F4594" s="3" t="str">
        <f t="shared" si="2"/>
        <v>(adj): khiêm tốn</v>
      </c>
      <c r="G4594" s="6" t="s">
        <v>53799</v>
      </c>
      <c r="H4594" s="6" t="s">
        <v>53800</v>
      </c>
      <c r="I4594" s="7">
        <f t="shared" si="3"/>
        <v>0.9127739762</v>
      </c>
    </row>
    <row r="4595">
      <c r="A4595" s="4">
        <v>4595.0</v>
      </c>
      <c r="B4595" s="3" t="s">
        <v>53801</v>
      </c>
      <c r="C4595" s="6" t="s">
        <v>24</v>
      </c>
      <c r="D4595" s="6" t="s">
        <v>53802</v>
      </c>
      <c r="E4595" s="3" t="str">
        <f t="shared" si="1"/>
        <v>obey&lt;br&gt;&lt;div class="audio"&gt;[sound:obey.mp3]&lt;/div&gt;</v>
      </c>
      <c r="F4595" s="3" t="str">
        <f t="shared" si="2"/>
        <v>(v): tuân lệnh</v>
      </c>
      <c r="G4595" s="6" t="s">
        <v>53803</v>
      </c>
      <c r="H4595" s="6" t="s">
        <v>53804</v>
      </c>
      <c r="I4595" s="7">
        <f t="shared" si="3"/>
        <v>0.7557291952</v>
      </c>
    </row>
    <row r="4596">
      <c r="A4596" s="4">
        <v>4596.0</v>
      </c>
      <c r="B4596" s="3" t="s">
        <v>53805</v>
      </c>
      <c r="C4596" s="6" t="s">
        <v>74</v>
      </c>
      <c r="D4596" s="6" t="s">
        <v>53806</v>
      </c>
      <c r="E4596" s="3" t="str">
        <f t="shared" si="1"/>
        <v>epidemic&lt;br&gt;&lt;div class="audio"&gt;[sound:epidemic.mp3]&lt;/div&gt;</v>
      </c>
      <c r="F4596" s="3" t="str">
        <f t="shared" si="2"/>
        <v>(n): dịch bệnh</v>
      </c>
      <c r="G4596" s="6" t="s">
        <v>53807</v>
      </c>
      <c r="H4596" s="6" t="s">
        <v>53808</v>
      </c>
      <c r="I4596" s="7">
        <f t="shared" si="3"/>
        <v>0.6057371</v>
      </c>
    </row>
    <row r="4597">
      <c r="A4597" s="4">
        <v>4597.0</v>
      </c>
      <c r="B4597" s="3" t="s">
        <v>53809</v>
      </c>
      <c r="C4597" s="6" t="s">
        <v>74</v>
      </c>
      <c r="D4597" s="6" t="s">
        <v>53810</v>
      </c>
      <c r="E4597" s="3" t="str">
        <f t="shared" si="1"/>
        <v>reign&lt;br&gt;&lt;div class="audio"&gt;[sound:reign.mp3]&lt;/div&gt;</v>
      </c>
      <c r="F4597" s="3" t="str">
        <f t="shared" si="2"/>
        <v>(n): triều đại</v>
      </c>
      <c r="G4597" s="6" t="s">
        <v>53811</v>
      </c>
      <c r="H4597" s="6" t="s">
        <v>53812</v>
      </c>
      <c r="I4597" s="7">
        <f t="shared" si="3"/>
        <v>0.3119364855</v>
      </c>
    </row>
    <row r="4598">
      <c r="A4598" s="4">
        <v>4598.0</v>
      </c>
      <c r="B4598" s="3" t="s">
        <v>53813</v>
      </c>
      <c r="C4598" s="6" t="s">
        <v>24</v>
      </c>
      <c r="D4598" s="6" t="s">
        <v>53814</v>
      </c>
      <c r="E4598" s="3" t="str">
        <f t="shared" si="1"/>
        <v>escalate&lt;br&gt;&lt;div class="audio"&gt;[sound:escalate.mp3]&lt;/div&gt;</v>
      </c>
      <c r="F4598" s="3" t="str">
        <f t="shared" si="2"/>
        <v>(v): leo thang</v>
      </c>
      <c r="G4598" s="6" t="s">
        <v>53815</v>
      </c>
      <c r="H4598" s="6" t="s">
        <v>53816</v>
      </c>
      <c r="I4598" s="7">
        <f t="shared" si="3"/>
        <v>0.9321312192</v>
      </c>
    </row>
    <row r="4599">
      <c r="A4599" s="4">
        <v>4599.0</v>
      </c>
      <c r="B4599" s="3" t="s">
        <v>53817</v>
      </c>
      <c r="C4599" s="6" t="s">
        <v>11</v>
      </c>
      <c r="D4599" s="6" t="s">
        <v>53818</v>
      </c>
      <c r="E4599" s="3" t="str">
        <f t="shared" si="1"/>
        <v>naked&lt;br&gt;&lt;div class="audio"&gt;[sound:naked.mp3]&lt;/div&gt;</v>
      </c>
      <c r="F4599" s="3" t="str">
        <f t="shared" si="2"/>
        <v>(adj): trần trụi</v>
      </c>
      <c r="G4599" s="6" t="s">
        <v>53819</v>
      </c>
      <c r="H4599" s="6" t="s">
        <v>53820</v>
      </c>
      <c r="I4599" s="7">
        <f t="shared" si="3"/>
        <v>0.8654475681</v>
      </c>
    </row>
    <row r="4600">
      <c r="A4600" s="4">
        <v>4600.0</v>
      </c>
      <c r="B4600" s="3" t="s">
        <v>53821</v>
      </c>
      <c r="C4600" s="6" t="s">
        <v>74</v>
      </c>
      <c r="D4600" s="6" t="s">
        <v>53822</v>
      </c>
      <c r="E4600" s="3" t="str">
        <f t="shared" si="1"/>
        <v>pipeline&lt;br&gt;&lt;div class="audio"&gt;[sound:pipeline.mp3]&lt;/div&gt;</v>
      </c>
      <c r="F4600" s="3" t="str">
        <f t="shared" si="2"/>
        <v>(n): đường ống</v>
      </c>
      <c r="G4600" s="6" t="s">
        <v>53823</v>
      </c>
      <c r="H4600" s="6" t="s">
        <v>53824</v>
      </c>
      <c r="I4600" s="7">
        <f t="shared" si="3"/>
        <v>0.4370723035</v>
      </c>
    </row>
    <row r="4601">
      <c r="A4601" s="4">
        <v>4601.0</v>
      </c>
      <c r="B4601" s="3" t="s">
        <v>53825</v>
      </c>
      <c r="C4601" s="6" t="s">
        <v>74</v>
      </c>
      <c r="D4601" s="6" t="s">
        <v>25595</v>
      </c>
      <c r="E4601" s="3" t="str">
        <f t="shared" si="1"/>
        <v>fossil&lt;br&gt;&lt;div class="audio"&gt;[sound:fossil.mp3]&lt;/div&gt;</v>
      </c>
      <c r="F4601" s="3" t="str">
        <f t="shared" si="2"/>
        <v>(n): hóa thạch</v>
      </c>
      <c r="G4601" s="6" t="s">
        <v>53826</v>
      </c>
      <c r="H4601" s="6" t="s">
        <v>53827</v>
      </c>
      <c r="I4601" s="7">
        <f t="shared" si="3"/>
        <v>0.2502236864</v>
      </c>
    </row>
    <row r="4602">
      <c r="A4602" s="4">
        <v>4602.0</v>
      </c>
      <c r="B4602" s="3" t="s">
        <v>53828</v>
      </c>
      <c r="C4602" s="6" t="s">
        <v>85</v>
      </c>
      <c r="D4602" s="6" t="s">
        <v>53829</v>
      </c>
      <c r="E4602" s="3" t="str">
        <f t="shared" si="1"/>
        <v>namely&lt;br&gt;&lt;div class="audio"&gt;[sound:namely.mp3]&lt;/div&gt;</v>
      </c>
      <c r="F4602" s="3" t="str">
        <f t="shared" si="2"/>
        <v>(adv): cụ thể là</v>
      </c>
      <c r="G4602" s="6" t="s">
        <v>53830</v>
      </c>
      <c r="H4602" s="6" t="s">
        <v>53831</v>
      </c>
      <c r="I4602" s="7">
        <f t="shared" si="3"/>
        <v>0.04187421952</v>
      </c>
    </row>
    <row r="4603">
      <c r="A4603" s="4">
        <v>4603.0</v>
      </c>
      <c r="B4603" s="3" t="s">
        <v>53832</v>
      </c>
      <c r="C4603" s="6" t="s">
        <v>74</v>
      </c>
      <c r="D4603" s="6" t="s">
        <v>53833</v>
      </c>
      <c r="E4603" s="3" t="str">
        <f t="shared" si="1"/>
        <v>quota&lt;br&gt;&lt;div class="audio"&gt;[sound:quota.mp3]&lt;/div&gt;</v>
      </c>
      <c r="F4603" s="3" t="str">
        <f t="shared" si="2"/>
        <v>(n): hạn ngạch</v>
      </c>
      <c r="G4603" s="6" t="s">
        <v>53834</v>
      </c>
      <c r="H4603" s="6" t="s">
        <v>53835</v>
      </c>
      <c r="I4603" s="7">
        <f t="shared" si="3"/>
        <v>0.6880184954</v>
      </c>
    </row>
    <row r="4604">
      <c r="A4604" s="4">
        <v>4604.0</v>
      </c>
      <c r="B4604" s="3" t="s">
        <v>53836</v>
      </c>
      <c r="C4604" s="6" t="s">
        <v>74</v>
      </c>
      <c r="D4604" s="6" t="s">
        <v>1957</v>
      </c>
      <c r="E4604" s="3" t="str">
        <f t="shared" si="1"/>
        <v>noon&lt;br&gt;&lt;div class="audio"&gt;[sound:noon.mp3]&lt;/div&gt;</v>
      </c>
      <c r="F4604" s="3" t="str">
        <f t="shared" si="2"/>
        <v>(n): buổi trưa</v>
      </c>
      <c r="G4604" s="6" t="s">
        <v>53837</v>
      </c>
      <c r="H4604" s="6" t="s">
        <v>53838</v>
      </c>
      <c r="I4604" s="7">
        <f t="shared" si="3"/>
        <v>0.942203481</v>
      </c>
    </row>
    <row r="4605">
      <c r="A4605" s="4">
        <v>4605.0</v>
      </c>
      <c r="B4605" s="3" t="s">
        <v>53839</v>
      </c>
      <c r="C4605" s="6" t="s">
        <v>74</v>
      </c>
      <c r="D4605" s="6" t="s">
        <v>53840</v>
      </c>
      <c r="E4605" s="3" t="str">
        <f t="shared" si="1"/>
        <v>opera&lt;br&gt;&lt;div class="audio"&gt;[sound:opera.mp3]&lt;/div&gt;</v>
      </c>
      <c r="F4605" s="3" t="str">
        <f t="shared" si="2"/>
        <v>(n): nhạc kịch</v>
      </c>
      <c r="G4605" s="6" t="s">
        <v>53841</v>
      </c>
      <c r="H4605" s="6" t="s">
        <v>53842</v>
      </c>
      <c r="I4605" s="7">
        <f t="shared" si="3"/>
        <v>0.5246605776</v>
      </c>
    </row>
    <row r="4606">
      <c r="A4606" s="4">
        <v>4606.0</v>
      </c>
      <c r="B4606" s="3" t="s">
        <v>53843</v>
      </c>
      <c r="C4606" s="6" t="s">
        <v>74</v>
      </c>
      <c r="D4606" s="6" t="s">
        <v>36343</v>
      </c>
      <c r="E4606" s="3" t="str">
        <f t="shared" si="1"/>
        <v>beam&lt;br&gt;&lt;div class="audio"&gt;[sound:beam.mp3]&lt;/div&gt;</v>
      </c>
      <c r="F4606" s="3" t="str">
        <f t="shared" si="2"/>
        <v>(n): tia sáng</v>
      </c>
      <c r="G4606" s="6" t="s">
        <v>53844</v>
      </c>
      <c r="H4606" s="6" t="s">
        <v>53845</v>
      </c>
      <c r="I4606" s="7">
        <f t="shared" si="3"/>
        <v>0.001980670284</v>
      </c>
    </row>
    <row r="4607">
      <c r="A4607" s="4">
        <v>4607.0</v>
      </c>
      <c r="B4607" s="3" t="s">
        <v>53846</v>
      </c>
      <c r="C4607" s="6" t="s">
        <v>74</v>
      </c>
      <c r="D4607" s="6" t="s">
        <v>53847</v>
      </c>
      <c r="E4607" s="3" t="str">
        <f t="shared" si="1"/>
        <v>villager&lt;br&gt;&lt;div class="audio"&gt;[sound:villager.mp3]&lt;/div&gt;</v>
      </c>
      <c r="F4607" s="3" t="str">
        <f t="shared" si="2"/>
        <v>(n): dân làng</v>
      </c>
      <c r="G4607" s="6" t="s">
        <v>53848</v>
      </c>
      <c r="H4607" s="6" t="s">
        <v>53849</v>
      </c>
      <c r="I4607" s="7">
        <f t="shared" si="3"/>
        <v>0.1006422603</v>
      </c>
    </row>
    <row r="4608">
      <c r="A4608" s="4">
        <v>4608.0</v>
      </c>
      <c r="B4608" s="3" t="s">
        <v>53850</v>
      </c>
      <c r="C4608" s="6" t="s">
        <v>74</v>
      </c>
      <c r="D4608" s="6" t="s">
        <v>30448</v>
      </c>
      <c r="E4608" s="3" t="str">
        <f t="shared" si="1"/>
        <v>badge&lt;br&gt;&lt;div class="audio"&gt;[sound:badge.mp3]&lt;/div&gt;</v>
      </c>
      <c r="F4608" s="3" t="str">
        <f t="shared" si="2"/>
        <v>(n): huy hiệu</v>
      </c>
      <c r="G4608" s="6" t="s">
        <v>53851</v>
      </c>
      <c r="H4608" s="6" t="s">
        <v>53852</v>
      </c>
      <c r="I4608" s="7">
        <f t="shared" si="3"/>
        <v>0.7925509342</v>
      </c>
    </row>
    <row r="4609">
      <c r="A4609" s="4">
        <v>4609.0</v>
      </c>
      <c r="B4609" s="3" t="s">
        <v>53853</v>
      </c>
      <c r="C4609" s="6" t="s">
        <v>24</v>
      </c>
      <c r="D4609" s="6" t="s">
        <v>17962</v>
      </c>
      <c r="E4609" s="3" t="str">
        <f t="shared" si="1"/>
        <v>betray&lt;br&gt;&lt;div class="audio"&gt;[sound:betray.mp3]&lt;/div&gt;</v>
      </c>
      <c r="F4609" s="3" t="str">
        <f t="shared" si="2"/>
        <v>(v): phản bội</v>
      </c>
      <c r="G4609" s="6" t="s">
        <v>53854</v>
      </c>
      <c r="H4609" s="6" t="s">
        <v>53855</v>
      </c>
      <c r="I4609" s="7">
        <f t="shared" si="3"/>
        <v>0.7323209516</v>
      </c>
    </row>
    <row r="4610">
      <c r="A4610" s="4">
        <v>4610.0</v>
      </c>
      <c r="B4610" s="3" t="s">
        <v>53856</v>
      </c>
      <c r="C4610" s="6" t="s">
        <v>74</v>
      </c>
      <c r="D4610" s="6" t="s">
        <v>53857</v>
      </c>
      <c r="E4610" s="3" t="str">
        <f t="shared" si="1"/>
        <v>monster&lt;br&gt;&lt;div class="audio"&gt;[sound:monster.mp3]&lt;/div&gt;</v>
      </c>
      <c r="F4610" s="3" t="str">
        <f t="shared" si="2"/>
        <v>(n): quái vật</v>
      </c>
      <c r="G4610" s="6" t="s">
        <v>53858</v>
      </c>
      <c r="H4610" s="6" t="s">
        <v>53859</v>
      </c>
      <c r="I4610" s="7">
        <f t="shared" si="3"/>
        <v>0.6331465811</v>
      </c>
    </row>
    <row r="4611">
      <c r="A4611" s="4">
        <v>4611.0</v>
      </c>
      <c r="B4611" s="3" t="s">
        <v>53860</v>
      </c>
      <c r="C4611" s="6" t="s">
        <v>11</v>
      </c>
      <c r="D4611" s="6" t="s">
        <v>44447</v>
      </c>
      <c r="E4611" s="3" t="str">
        <f t="shared" si="1"/>
        <v>worthwhile&lt;br&gt;&lt;div class="audio"&gt;[sound:worthwhile.mp3]&lt;/div&gt;</v>
      </c>
      <c r="F4611" s="3" t="str">
        <f t="shared" si="2"/>
        <v>(adj): đáng giá</v>
      </c>
      <c r="G4611" s="6" t="s">
        <v>53861</v>
      </c>
      <c r="H4611" s="6" t="s">
        <v>53862</v>
      </c>
      <c r="I4611" s="7">
        <f t="shared" si="3"/>
        <v>0.1052234017</v>
      </c>
    </row>
    <row r="4612">
      <c r="A4612" s="4">
        <v>4612.0</v>
      </c>
      <c r="B4612" s="3" t="s">
        <v>53863</v>
      </c>
      <c r="C4612" s="6" t="s">
        <v>74</v>
      </c>
      <c r="D4612" s="6" t="s">
        <v>53864</v>
      </c>
      <c r="E4612" s="3" t="str">
        <f t="shared" si="1"/>
        <v>miracle&lt;br&gt;&lt;div class="audio"&gt;[sound:miracle.mp3]&lt;/div&gt;</v>
      </c>
      <c r="F4612" s="3" t="str">
        <f t="shared" si="2"/>
        <v>(n): phép màu</v>
      </c>
      <c r="G4612" s="6" t="s">
        <v>53865</v>
      </c>
      <c r="H4612" s="6" t="s">
        <v>53866</v>
      </c>
      <c r="I4612" s="7">
        <f t="shared" si="3"/>
        <v>0.6036741252</v>
      </c>
    </row>
    <row r="4613">
      <c r="A4613" s="4">
        <v>4613.0</v>
      </c>
      <c r="B4613" s="3" t="s">
        <v>53867</v>
      </c>
      <c r="C4613" s="6" t="s">
        <v>74</v>
      </c>
      <c r="D4613" s="6" t="s">
        <v>53868</v>
      </c>
      <c r="E4613" s="3" t="str">
        <f t="shared" si="1"/>
        <v>dignity&lt;br&gt;&lt;div class="audio"&gt;[sound:dignity.mp3]&lt;/div&gt;</v>
      </c>
      <c r="F4613" s="3" t="str">
        <f t="shared" si="2"/>
        <v>(n): phẩm giá</v>
      </c>
      <c r="G4613" s="6" t="s">
        <v>53869</v>
      </c>
      <c r="H4613" s="6" t="s">
        <v>53870</v>
      </c>
      <c r="I4613" s="7">
        <f t="shared" si="3"/>
        <v>0.3807476918</v>
      </c>
    </row>
    <row r="4614">
      <c r="A4614" s="4">
        <v>4614.0</v>
      </c>
      <c r="B4614" s="3" t="s">
        <v>53871</v>
      </c>
      <c r="C4614" s="6" t="s">
        <v>24</v>
      </c>
      <c r="D4614" s="6" t="s">
        <v>32239</v>
      </c>
      <c r="E4614" s="3" t="str">
        <f t="shared" si="1"/>
        <v>persist&lt;br&gt;&lt;div class="audio"&gt;[sound:persist.mp3]&lt;/div&gt;</v>
      </c>
      <c r="F4614" s="3" t="str">
        <f t="shared" si="2"/>
        <v>(v): kiên trì</v>
      </c>
      <c r="G4614" s="6" t="s">
        <v>53872</v>
      </c>
      <c r="H4614" s="6" t="s">
        <v>53873</v>
      </c>
      <c r="I4614" s="7">
        <f t="shared" si="3"/>
        <v>0.9823835109</v>
      </c>
    </row>
    <row r="4615">
      <c r="A4615" s="4">
        <v>4615.0</v>
      </c>
      <c r="B4615" s="3" t="s">
        <v>53874</v>
      </c>
      <c r="C4615" s="6" t="s">
        <v>24</v>
      </c>
      <c r="D4615" s="6" t="s">
        <v>5164</v>
      </c>
      <c r="E4615" s="3" t="str">
        <f t="shared" si="1"/>
        <v>precede&lt;br&gt;&lt;div class="audio"&gt;[sound:precede.mp3]&lt;/div&gt;</v>
      </c>
      <c r="F4615" s="3" t="str">
        <f t="shared" si="2"/>
        <v>(v): đi trước</v>
      </c>
      <c r="G4615" s="6" t="s">
        <v>53875</v>
      </c>
      <c r="H4615" s="6" t="s">
        <v>53876</v>
      </c>
      <c r="I4615" s="7">
        <f t="shared" si="3"/>
        <v>0.5828068101</v>
      </c>
    </row>
    <row r="4616">
      <c r="A4616" s="4">
        <v>4616.0</v>
      </c>
      <c r="B4616" s="3" t="s">
        <v>53877</v>
      </c>
      <c r="C4616" s="6" t="s">
        <v>11</v>
      </c>
      <c r="D4616" s="6" t="s">
        <v>30438</v>
      </c>
      <c r="E4616" s="3" t="str">
        <f t="shared" si="1"/>
        <v>timely&lt;br&gt;&lt;div class="audio"&gt;[sound:timely.mp3]&lt;/div&gt;</v>
      </c>
      <c r="F4616" s="3" t="str">
        <f t="shared" si="2"/>
        <v>(adj): kịp thời</v>
      </c>
      <c r="G4616" s="6" t="s">
        <v>53878</v>
      </c>
      <c r="H4616" s="6" t="s">
        <v>53879</v>
      </c>
      <c r="I4616" s="7">
        <f t="shared" si="3"/>
        <v>0.4451518308</v>
      </c>
    </row>
    <row r="4617">
      <c r="A4617" s="4">
        <v>4617.0</v>
      </c>
      <c r="B4617" s="3" t="s">
        <v>53880</v>
      </c>
      <c r="C4617" s="6" t="s">
        <v>11</v>
      </c>
      <c r="D4617" s="6" t="s">
        <v>33335</v>
      </c>
      <c r="E4617" s="3" t="str">
        <f t="shared" si="1"/>
        <v>filthy&lt;br&gt;&lt;div class="audio"&gt;[sound:filthy.mp3]&lt;/div&gt;</v>
      </c>
      <c r="F4617" s="3" t="str">
        <f t="shared" si="2"/>
        <v>(adj): bẩn thỉu</v>
      </c>
      <c r="G4617" s="6" t="s">
        <v>53881</v>
      </c>
      <c r="H4617" s="6" t="s">
        <v>53882</v>
      </c>
      <c r="I4617" s="7">
        <f t="shared" si="3"/>
        <v>0.1555901666</v>
      </c>
    </row>
    <row r="4618">
      <c r="A4618" s="4">
        <v>4618.0</v>
      </c>
      <c r="B4618" s="3" t="s">
        <v>53883</v>
      </c>
      <c r="C4618" s="6" t="s">
        <v>11</v>
      </c>
      <c r="D4618" s="6" t="s">
        <v>28432</v>
      </c>
      <c r="E4618" s="3" t="str">
        <f t="shared" si="1"/>
        <v>lengthy&lt;br&gt;&lt;div class="audio"&gt;[sound:lengthy.mp3]&lt;/div&gt;</v>
      </c>
      <c r="F4618" s="3" t="str">
        <f t="shared" si="2"/>
        <v>(adj): dài dòng</v>
      </c>
      <c r="G4618" s="6" t="s">
        <v>53884</v>
      </c>
      <c r="H4618" s="6" t="s">
        <v>53885</v>
      </c>
      <c r="I4618" s="7">
        <f t="shared" si="3"/>
        <v>0.5141945315</v>
      </c>
    </row>
    <row r="4619">
      <c r="A4619" s="4">
        <v>4619.0</v>
      </c>
      <c r="B4619" s="3" t="s">
        <v>53886</v>
      </c>
      <c r="C4619" s="6" t="s">
        <v>11</v>
      </c>
      <c r="D4619" s="6" t="s">
        <v>33262</v>
      </c>
      <c r="E4619" s="3" t="str">
        <f t="shared" si="1"/>
        <v>eternal&lt;br&gt;&lt;div class="audio"&gt;[sound:eternal.mp3]&lt;/div&gt;</v>
      </c>
      <c r="F4619" s="3" t="str">
        <f t="shared" si="2"/>
        <v>(adj): vĩnh cửu</v>
      </c>
      <c r="G4619" s="6" t="s">
        <v>53887</v>
      </c>
      <c r="H4619" s="6" t="s">
        <v>53888</v>
      </c>
      <c r="I4619" s="7">
        <f t="shared" si="3"/>
        <v>0.2147133696</v>
      </c>
    </row>
    <row r="4620">
      <c r="A4620" s="4">
        <v>4620.0</v>
      </c>
      <c r="B4620" s="3" t="s">
        <v>53889</v>
      </c>
      <c r="C4620" s="6" t="s">
        <v>11</v>
      </c>
      <c r="D4620" s="6" t="s">
        <v>53117</v>
      </c>
      <c r="E4620" s="3" t="str">
        <f t="shared" si="1"/>
        <v>biological&lt;br&gt;&lt;div class="audio"&gt;[sound:biological.mp3]&lt;/div&gt;</v>
      </c>
      <c r="F4620" s="3" t="str">
        <f t="shared" si="2"/>
        <v>(adj): sinh học</v>
      </c>
      <c r="G4620" s="6" t="s">
        <v>53890</v>
      </c>
      <c r="H4620" s="6" t="s">
        <v>53891</v>
      </c>
      <c r="I4620" s="7">
        <f t="shared" si="3"/>
        <v>0.6043883148</v>
      </c>
    </row>
    <row r="4621">
      <c r="A4621" s="4">
        <v>4621.0</v>
      </c>
      <c r="B4621" s="3" t="s">
        <v>53892</v>
      </c>
      <c r="C4621" s="6" t="s">
        <v>11</v>
      </c>
      <c r="D4621" s="6" t="s">
        <v>53893</v>
      </c>
      <c r="E4621" s="3" t="str">
        <f t="shared" si="1"/>
        <v>authentic&lt;br&gt;&lt;div class="audio"&gt;[sound:authentic.mp3]&lt;/div&gt;</v>
      </c>
      <c r="F4621" s="3" t="str">
        <f t="shared" si="2"/>
        <v>(adj): xác thực</v>
      </c>
      <c r="G4621" s="6" t="s">
        <v>53894</v>
      </c>
      <c r="H4621" s="6" t="s">
        <v>53895</v>
      </c>
      <c r="I4621" s="7">
        <f t="shared" si="3"/>
        <v>0.9017702723</v>
      </c>
    </row>
    <row r="4622">
      <c r="A4622" s="4">
        <v>4622.0</v>
      </c>
      <c r="B4622" s="3" t="s">
        <v>53896</v>
      </c>
      <c r="C4622" s="6" t="s">
        <v>74</v>
      </c>
      <c r="D4622" s="6" t="s">
        <v>6946</v>
      </c>
      <c r="E4622" s="3" t="str">
        <f t="shared" si="1"/>
        <v>realm&lt;br&gt;&lt;div class="audio"&gt;[sound:realm.mp3]&lt;/div&gt;</v>
      </c>
      <c r="F4622" s="3" t="str">
        <f t="shared" si="2"/>
        <v>(n): lĩnh vực</v>
      </c>
      <c r="G4622" s="6" t="s">
        <v>53897</v>
      </c>
      <c r="H4622" s="6" t="s">
        <v>53898</v>
      </c>
      <c r="I4622" s="7">
        <f t="shared" si="3"/>
        <v>0.8555572462</v>
      </c>
    </row>
    <row r="4623">
      <c r="A4623" s="4">
        <v>4623.0</v>
      </c>
      <c r="B4623" s="3" t="s">
        <v>53899</v>
      </c>
      <c r="C4623" s="6" t="s">
        <v>74</v>
      </c>
      <c r="D4623" s="6" t="s">
        <v>28513</v>
      </c>
      <c r="E4623" s="3" t="str">
        <f t="shared" si="1"/>
        <v>bacteria&lt;br&gt;&lt;div class="audio"&gt;[sound:bacteria.mp3]&lt;/div&gt;</v>
      </c>
      <c r="F4623" s="3" t="str">
        <f t="shared" si="2"/>
        <v>(n): vi khuẩn</v>
      </c>
      <c r="G4623" s="6" t="s">
        <v>53900</v>
      </c>
      <c r="H4623" s="6" t="s">
        <v>53901</v>
      </c>
      <c r="I4623" s="7">
        <f t="shared" si="3"/>
        <v>0.3000196395</v>
      </c>
    </row>
    <row r="4624">
      <c r="A4624" s="4">
        <v>4624.0</v>
      </c>
      <c r="B4624" s="3" t="s">
        <v>53902</v>
      </c>
      <c r="C4624" s="6" t="s">
        <v>24</v>
      </c>
      <c r="D4624" s="6" t="s">
        <v>2939</v>
      </c>
      <c r="E4624" s="3" t="str">
        <f t="shared" si="1"/>
        <v>formulate&lt;br&gt;&lt;div class="audio"&gt;[sound:formulate.mp3]&lt;/div&gt;</v>
      </c>
      <c r="F4624" s="3" t="str">
        <f t="shared" si="2"/>
        <v>(v): xây dựng</v>
      </c>
      <c r="G4624" s="6" t="s">
        <v>53903</v>
      </c>
      <c r="H4624" s="6" t="s">
        <v>53904</v>
      </c>
      <c r="I4624" s="7">
        <f t="shared" si="3"/>
        <v>0.1076723327</v>
      </c>
    </row>
    <row r="4625">
      <c r="A4625" s="4">
        <v>4625.0</v>
      </c>
      <c r="B4625" s="3" t="s">
        <v>53905</v>
      </c>
      <c r="C4625" s="6" t="s">
        <v>11</v>
      </c>
      <c r="D4625" s="6" t="s">
        <v>34357</v>
      </c>
      <c r="E4625" s="3" t="str">
        <f t="shared" si="1"/>
        <v>noble&lt;br&gt;&lt;div class="audio"&gt;[sound:noble.mp3]&lt;/div&gt;</v>
      </c>
      <c r="F4625" s="3" t="str">
        <f t="shared" si="2"/>
        <v>(adj): cao quý</v>
      </c>
      <c r="G4625" s="6" t="s">
        <v>53906</v>
      </c>
      <c r="H4625" s="6" t="s">
        <v>53907</v>
      </c>
      <c r="I4625" s="7">
        <f t="shared" si="3"/>
        <v>0.6830758081</v>
      </c>
    </row>
    <row r="4626">
      <c r="A4626" s="4">
        <v>4626.0</v>
      </c>
      <c r="B4626" s="3" t="s">
        <v>53908</v>
      </c>
      <c r="C4626" s="6" t="s">
        <v>74</v>
      </c>
      <c r="D4626" s="6" t="s">
        <v>19903</v>
      </c>
      <c r="E4626" s="3" t="str">
        <f t="shared" si="1"/>
        <v>ego&lt;br&gt;&lt;div class="audio"&gt;[sound:ego.mp3]&lt;/div&gt;</v>
      </c>
      <c r="F4626" s="3" t="str">
        <f t="shared" si="2"/>
        <v>(n): cái tôi</v>
      </c>
      <c r="G4626" s="6" t="s">
        <v>53909</v>
      </c>
      <c r="H4626" s="6" t="s">
        <v>53910</v>
      </c>
      <c r="I4626" s="7">
        <f t="shared" si="3"/>
        <v>0.549700765</v>
      </c>
    </row>
    <row r="4627">
      <c r="A4627" s="4">
        <v>4627.0</v>
      </c>
      <c r="B4627" s="3" t="s">
        <v>53911</v>
      </c>
      <c r="C4627" s="6" t="s">
        <v>74</v>
      </c>
      <c r="D4627" s="6" t="s">
        <v>33051</v>
      </c>
      <c r="E4627" s="3" t="str">
        <f t="shared" si="1"/>
        <v>poet&lt;br&gt;&lt;div class="audio"&gt;[sound:poet.mp3]&lt;/div&gt;</v>
      </c>
      <c r="F4627" s="3" t="str">
        <f t="shared" si="2"/>
        <v>(n): nhà thơ</v>
      </c>
      <c r="G4627" s="6" t="s">
        <v>53912</v>
      </c>
      <c r="H4627" s="6" t="s">
        <v>53913</v>
      </c>
      <c r="I4627" s="7">
        <f t="shared" si="3"/>
        <v>0.008596941324</v>
      </c>
    </row>
    <row r="4628">
      <c r="A4628" s="4">
        <v>4628.0</v>
      </c>
      <c r="B4628" s="3" t="s">
        <v>53914</v>
      </c>
      <c r="C4628" s="6" t="s">
        <v>74</v>
      </c>
      <c r="D4628" s="6" t="s">
        <v>53915</v>
      </c>
      <c r="E4628" s="3" t="str">
        <f t="shared" si="1"/>
        <v>verse&lt;br&gt;&lt;div class="audio"&gt;[sound:verse.mp3]&lt;/div&gt;</v>
      </c>
      <c r="F4628" s="3" t="str">
        <f t="shared" si="2"/>
        <v>(n): câu thơ</v>
      </c>
      <c r="G4628" s="6" t="s">
        <v>53916</v>
      </c>
      <c r="H4628" s="6" t="s">
        <v>53917</v>
      </c>
      <c r="I4628" s="7">
        <f t="shared" si="3"/>
        <v>0.006697901893</v>
      </c>
    </row>
    <row r="4629">
      <c r="A4629" s="4">
        <v>4629.0</v>
      </c>
      <c r="B4629" s="3" t="s">
        <v>53918</v>
      </c>
      <c r="C4629" s="6" t="s">
        <v>74</v>
      </c>
      <c r="D4629" s="6" t="s">
        <v>13927</v>
      </c>
      <c r="E4629" s="3" t="str">
        <f t="shared" si="1"/>
        <v>midnight&lt;br&gt;&lt;div class="audio"&gt;[sound:midnight.mp3]&lt;/div&gt;</v>
      </c>
      <c r="F4629" s="3" t="str">
        <f t="shared" si="2"/>
        <v>(n): nửa đêm</v>
      </c>
      <c r="G4629" s="6" t="s">
        <v>53919</v>
      </c>
      <c r="H4629" s="6" t="s">
        <v>53920</v>
      </c>
      <c r="I4629" s="7">
        <f t="shared" si="3"/>
        <v>0.7977750914</v>
      </c>
    </row>
    <row r="4630">
      <c r="A4630" s="4">
        <v>4630.0</v>
      </c>
      <c r="B4630" s="3" t="s">
        <v>53921</v>
      </c>
      <c r="C4630" s="6" t="s">
        <v>74</v>
      </c>
      <c r="D4630" s="6" t="s">
        <v>53922</v>
      </c>
      <c r="E4630" s="3" t="str">
        <f t="shared" si="1"/>
        <v>feat&lt;br&gt;&lt;div class="audio"&gt;[sound:feat.mp3]&lt;/div&gt;</v>
      </c>
      <c r="F4630" s="3" t="str">
        <f t="shared" si="2"/>
        <v>(n): kỳ công</v>
      </c>
      <c r="G4630" s="6" t="s">
        <v>53923</v>
      </c>
      <c r="H4630" s="6" t="s">
        <v>53924</v>
      </c>
      <c r="I4630" s="7">
        <f t="shared" si="3"/>
        <v>0.606670844</v>
      </c>
    </row>
    <row r="4631">
      <c r="A4631" s="4">
        <v>4631.0</v>
      </c>
      <c r="B4631" s="3" t="s">
        <v>53925</v>
      </c>
      <c r="C4631" s="6" t="s">
        <v>11</v>
      </c>
      <c r="D4631" s="6" t="s">
        <v>50228</v>
      </c>
      <c r="E4631" s="3" t="str">
        <f t="shared" si="1"/>
        <v>vicious&lt;br&gt;&lt;div class="audio"&gt;[sound:vicious.mp3]&lt;/div&gt;</v>
      </c>
      <c r="F4631" s="3" t="str">
        <f t="shared" si="2"/>
        <v>(adj): tàn bạo</v>
      </c>
      <c r="G4631" s="6" t="s">
        <v>53926</v>
      </c>
      <c r="H4631" s="6" t="s">
        <v>53927</v>
      </c>
      <c r="I4631" s="7">
        <f t="shared" si="3"/>
        <v>0.07474498502</v>
      </c>
    </row>
    <row r="4632">
      <c r="A4632" s="4">
        <v>4632.0</v>
      </c>
      <c r="B4632" s="3" t="s">
        <v>53928</v>
      </c>
      <c r="C4632" s="6" t="s">
        <v>24</v>
      </c>
      <c r="D4632" s="6" t="s">
        <v>18484</v>
      </c>
      <c r="E4632" s="3" t="str">
        <f t="shared" si="1"/>
        <v>enrol&lt;br&gt;&lt;div class="audio"&gt;[sound:enrol.mp3]&lt;/div&gt;</v>
      </c>
      <c r="F4632" s="3" t="str">
        <f t="shared" si="2"/>
        <v>(v): đăng ký</v>
      </c>
      <c r="G4632" s="6" t="s">
        <v>53929</v>
      </c>
      <c r="H4632" s="6" t="s">
        <v>53930</v>
      </c>
      <c r="I4632" s="7">
        <f t="shared" si="3"/>
        <v>0.8498892468</v>
      </c>
    </row>
    <row r="4633">
      <c r="A4633" s="4">
        <v>4633.0</v>
      </c>
      <c r="B4633" s="3" t="s">
        <v>53931</v>
      </c>
      <c r="C4633" s="6" t="s">
        <v>74</v>
      </c>
      <c r="D4633" s="6" t="s">
        <v>26636</v>
      </c>
      <c r="E4633" s="3" t="str">
        <f t="shared" si="1"/>
        <v>refrigerator&lt;br&gt;&lt;div class="audio"&gt;[sound:refrigerator.mp3]&lt;/div&gt;</v>
      </c>
      <c r="F4633" s="3" t="str">
        <f t="shared" si="2"/>
        <v>(n): tủ lạnh</v>
      </c>
      <c r="G4633" s="6" t="s">
        <v>53932</v>
      </c>
      <c r="H4633" s="6" t="s">
        <v>53933</v>
      </c>
      <c r="I4633" s="7">
        <f t="shared" si="3"/>
        <v>0.2967922987</v>
      </c>
    </row>
    <row r="4634">
      <c r="A4634" s="4">
        <v>4634.0</v>
      </c>
      <c r="B4634" s="3" t="s">
        <v>53934</v>
      </c>
      <c r="C4634" s="6" t="s">
        <v>74</v>
      </c>
      <c r="D4634" s="6" t="s">
        <v>53935</v>
      </c>
      <c r="E4634" s="3" t="str">
        <f t="shared" si="1"/>
        <v>widow&lt;br&gt;&lt;div class="audio"&gt;[sound:widow.mp3]&lt;/div&gt;</v>
      </c>
      <c r="F4634" s="3" t="str">
        <f t="shared" si="2"/>
        <v>(n): góa phụ</v>
      </c>
      <c r="G4634" s="6" t="s">
        <v>53936</v>
      </c>
      <c r="H4634" s="6" t="s">
        <v>53937</v>
      </c>
      <c r="I4634" s="7">
        <f t="shared" si="3"/>
        <v>0.377935475</v>
      </c>
    </row>
    <row r="4635">
      <c r="A4635" s="4">
        <v>4635.0</v>
      </c>
      <c r="B4635" s="3" t="s">
        <v>53938</v>
      </c>
      <c r="C4635" s="6" t="s">
        <v>11</v>
      </c>
      <c r="D4635" s="6" t="s">
        <v>37293</v>
      </c>
      <c r="E4635" s="3" t="str">
        <f t="shared" si="1"/>
        <v>lively&lt;br&gt;&lt;div class="audio"&gt;[sound:lively.mp3]&lt;/div&gt;</v>
      </c>
      <c r="F4635" s="3" t="str">
        <f t="shared" si="2"/>
        <v>(adj): sôi nổi</v>
      </c>
      <c r="G4635" s="6" t="s">
        <v>53939</v>
      </c>
      <c r="H4635" s="6" t="s">
        <v>53940</v>
      </c>
      <c r="I4635" s="7">
        <f t="shared" si="3"/>
        <v>0.05852608753</v>
      </c>
    </row>
    <row r="4636">
      <c r="A4636" s="4">
        <v>4636.0</v>
      </c>
      <c r="B4636" s="3" t="s">
        <v>53941</v>
      </c>
      <c r="C4636" s="6" t="s">
        <v>74</v>
      </c>
      <c r="D4636" s="6" t="s">
        <v>53942</v>
      </c>
      <c r="E4636" s="3" t="str">
        <f t="shared" si="1"/>
        <v>onion&lt;br&gt;&lt;div class="audio"&gt;[sound:onion.mp3]&lt;/div&gt;</v>
      </c>
      <c r="F4636" s="3" t="str">
        <f t="shared" si="2"/>
        <v>(n): củ hành</v>
      </c>
      <c r="G4636" s="6" t="s">
        <v>53943</v>
      </c>
      <c r="H4636" s="6" t="s">
        <v>53944</v>
      </c>
      <c r="I4636" s="7">
        <f t="shared" si="3"/>
        <v>0.07525436261</v>
      </c>
    </row>
    <row r="4637">
      <c r="A4637" s="4">
        <v>4637.0</v>
      </c>
      <c r="B4637" s="3" t="s">
        <v>53945</v>
      </c>
      <c r="C4637" s="6" t="s">
        <v>74</v>
      </c>
      <c r="D4637" s="6" t="s">
        <v>24850</v>
      </c>
      <c r="E4637" s="3" t="str">
        <f t="shared" si="1"/>
        <v>morality&lt;br&gt;&lt;div class="audio"&gt;[sound:morality.mp3]&lt;/div&gt;</v>
      </c>
      <c r="F4637" s="3" t="str">
        <f t="shared" si="2"/>
        <v>(n): đạo đức</v>
      </c>
      <c r="G4637" s="6" t="s">
        <v>53946</v>
      </c>
      <c r="H4637" s="6" t="s">
        <v>53947</v>
      </c>
      <c r="I4637" s="7">
        <f t="shared" si="3"/>
        <v>0.3761779</v>
      </c>
    </row>
    <row r="4638">
      <c r="A4638" s="4">
        <v>4638.0</v>
      </c>
      <c r="B4638" s="3" t="s">
        <v>53948</v>
      </c>
      <c r="C4638" s="6" t="s">
        <v>74</v>
      </c>
      <c r="D4638" s="6" t="s">
        <v>29258</v>
      </c>
      <c r="E4638" s="3" t="str">
        <f t="shared" si="1"/>
        <v>feather&lt;br&gt;&lt;div class="audio"&gt;[sound:feather.mp3]&lt;/div&gt;</v>
      </c>
      <c r="F4638" s="3" t="str">
        <f t="shared" si="2"/>
        <v>(n): lông vũ</v>
      </c>
      <c r="G4638" s="6" t="s">
        <v>53949</v>
      </c>
      <c r="H4638" s="6" t="s">
        <v>53950</v>
      </c>
      <c r="I4638" s="7">
        <f t="shared" si="3"/>
        <v>0.4277908538</v>
      </c>
    </row>
    <row r="4639">
      <c r="A4639" s="4">
        <v>4639.0</v>
      </c>
      <c r="B4639" s="3" t="s">
        <v>53951</v>
      </c>
      <c r="C4639" s="6" t="s">
        <v>74</v>
      </c>
      <c r="D4639" s="6" t="s">
        <v>53952</v>
      </c>
      <c r="E4639" s="3" t="str">
        <f t="shared" si="1"/>
        <v>nursery&lt;br&gt;&lt;div class="audio"&gt;[sound:nursery.mp3]&lt;/div&gt;</v>
      </c>
      <c r="F4639" s="3" t="str">
        <f t="shared" si="2"/>
        <v>(n): nhà trẻ</v>
      </c>
      <c r="G4639" s="6" t="s">
        <v>53953</v>
      </c>
      <c r="H4639" s="6" t="s">
        <v>53954</v>
      </c>
      <c r="I4639" s="7">
        <f t="shared" si="3"/>
        <v>0.08022557893</v>
      </c>
    </row>
    <row r="4640">
      <c r="A4640" s="4">
        <v>4640.0</v>
      </c>
      <c r="B4640" s="3" t="s">
        <v>53955</v>
      </c>
      <c r="C4640" s="6" t="s">
        <v>74</v>
      </c>
      <c r="D4640" s="6" t="s">
        <v>53956</v>
      </c>
      <c r="E4640" s="3" t="str">
        <f t="shared" si="1"/>
        <v>guerrilla&lt;br&gt;&lt;div class="audio"&gt;[sound:guerrilla.mp3]&lt;/div&gt;</v>
      </c>
      <c r="F4640" s="3" t="str">
        <f t="shared" si="2"/>
        <v>(n): du kích</v>
      </c>
      <c r="G4640" s="6" t="s">
        <v>53957</v>
      </c>
      <c r="H4640" s="6" t="s">
        <v>53958</v>
      </c>
      <c r="I4640" s="7">
        <f t="shared" si="3"/>
        <v>0.2851251567</v>
      </c>
    </row>
    <row r="4641">
      <c r="A4641" s="4">
        <v>4641.0</v>
      </c>
      <c r="B4641" s="3" t="s">
        <v>53959</v>
      </c>
      <c r="C4641" s="6" t="s">
        <v>11</v>
      </c>
      <c r="D4641" s="6" t="s">
        <v>53960</v>
      </c>
      <c r="E4641" s="3" t="str">
        <f t="shared" si="1"/>
        <v>bent&lt;br&gt;&lt;div class="audio"&gt;[sound:bent.mp3]&lt;/div&gt;</v>
      </c>
      <c r="F4641" s="3" t="str">
        <f t="shared" si="2"/>
        <v>(adj): bị cong</v>
      </c>
      <c r="G4641" s="6" t="s">
        <v>53961</v>
      </c>
      <c r="H4641" s="6" t="s">
        <v>53962</v>
      </c>
      <c r="I4641" s="7">
        <f t="shared" si="3"/>
        <v>0.9970543523</v>
      </c>
    </row>
    <row r="4642">
      <c r="A4642" s="4">
        <v>4642.0</v>
      </c>
      <c r="B4642" s="3" t="s">
        <v>53963</v>
      </c>
      <c r="C4642" s="6" t="s">
        <v>74</v>
      </c>
      <c r="D4642" s="6" t="s">
        <v>53964</v>
      </c>
      <c r="E4642" s="3" t="str">
        <f t="shared" si="1"/>
        <v>mechanic&lt;br&gt;&lt;div class="audio"&gt;[sound:mechanic.mp3]&lt;/div&gt;</v>
      </c>
      <c r="F4642" s="3" t="str">
        <f t="shared" si="2"/>
        <v>(n): thợ máy</v>
      </c>
      <c r="G4642" s="6" t="s">
        <v>53965</v>
      </c>
      <c r="H4642" s="6" t="s">
        <v>53966</v>
      </c>
      <c r="I4642" s="7">
        <f t="shared" si="3"/>
        <v>0.6260855951</v>
      </c>
    </row>
    <row r="4643">
      <c r="A4643" s="4">
        <v>4643.0</v>
      </c>
      <c r="B4643" s="3" t="s">
        <v>53967</v>
      </c>
      <c r="C4643" s="6" t="s">
        <v>74</v>
      </c>
      <c r="D4643" s="6" t="s">
        <v>6983</v>
      </c>
      <c r="E4643" s="3" t="str">
        <f t="shared" si="1"/>
        <v>premise&lt;br&gt;&lt;div class="audio"&gt;[sound:premise.mp3]&lt;/div&gt;</v>
      </c>
      <c r="F4643" s="3" t="str">
        <f t="shared" si="2"/>
        <v>(n): tiền đề</v>
      </c>
      <c r="G4643" s="6" t="s">
        <v>53968</v>
      </c>
      <c r="H4643" s="6" t="s">
        <v>53969</v>
      </c>
      <c r="I4643" s="7">
        <f t="shared" si="3"/>
        <v>0.3679350482</v>
      </c>
    </row>
    <row r="4644">
      <c r="A4644" s="4">
        <v>4644.0</v>
      </c>
      <c r="B4644" s="3" t="s">
        <v>53970</v>
      </c>
      <c r="C4644" s="6" t="s">
        <v>11</v>
      </c>
      <c r="D4644" s="6" t="s">
        <v>53971</v>
      </c>
      <c r="E4644" s="3" t="str">
        <f t="shared" si="1"/>
        <v>neighbouring&lt;br&gt;&lt;div class="audio"&gt;[sound:neighbouring.mp3]&lt;/div&gt;</v>
      </c>
      <c r="F4644" s="3" t="str">
        <f t="shared" si="2"/>
        <v>(adj): lân cận</v>
      </c>
      <c r="G4644" s="6" t="s">
        <v>53972</v>
      </c>
      <c r="H4644" s="6" t="s">
        <v>53973</v>
      </c>
      <c r="I4644" s="7">
        <f t="shared" si="3"/>
        <v>0.493024618</v>
      </c>
    </row>
    <row r="4645">
      <c r="A4645" s="4">
        <v>4645.0</v>
      </c>
      <c r="B4645" s="3" t="s">
        <v>53974</v>
      </c>
      <c r="C4645" s="6" t="s">
        <v>11</v>
      </c>
      <c r="D4645" s="6" t="s">
        <v>53975</v>
      </c>
      <c r="E4645" s="3" t="str">
        <f t="shared" si="1"/>
        <v>anonymous&lt;br&gt;&lt;div class="audio"&gt;[sound:anonymous.mp3]&lt;/div&gt;</v>
      </c>
      <c r="F4645" s="3" t="str">
        <f t="shared" si="2"/>
        <v>(adj): ẩn danh</v>
      </c>
      <c r="G4645" s="6" t="s">
        <v>53976</v>
      </c>
      <c r="H4645" s="6" t="s">
        <v>53977</v>
      </c>
      <c r="I4645" s="7">
        <f t="shared" si="3"/>
        <v>0.2239122131</v>
      </c>
    </row>
    <row r="4646">
      <c r="A4646" s="4">
        <v>4646.0</v>
      </c>
      <c r="B4646" s="3" t="s">
        <v>53978</v>
      </c>
      <c r="C4646" s="6" t="s">
        <v>24</v>
      </c>
      <c r="D4646" s="6" t="s">
        <v>53979</v>
      </c>
      <c r="E4646" s="3" t="str">
        <f t="shared" si="1"/>
        <v>prosecute&lt;br&gt;&lt;div class="audio"&gt;[sound:prosecute.mp3]&lt;/div&gt;</v>
      </c>
      <c r="F4646" s="3" t="str">
        <f t="shared" si="2"/>
        <v>(v): truy tố</v>
      </c>
      <c r="G4646" s="6" t="s">
        <v>53980</v>
      </c>
      <c r="H4646" s="6" t="s">
        <v>53981</v>
      </c>
      <c r="I4646" s="7">
        <f t="shared" si="3"/>
        <v>0.6447889171</v>
      </c>
    </row>
    <row r="4647">
      <c r="A4647" s="4">
        <v>4647.0</v>
      </c>
      <c r="B4647" s="3" t="s">
        <v>53982</v>
      </c>
      <c r="C4647" s="6" t="s">
        <v>74</v>
      </c>
      <c r="D4647" s="6" t="s">
        <v>24925</v>
      </c>
      <c r="E4647" s="3" t="str">
        <f t="shared" si="1"/>
        <v>beef&lt;br&gt;&lt;div class="audio"&gt;[sound:beef.mp3]&lt;/div&gt;</v>
      </c>
      <c r="F4647" s="3" t="str">
        <f t="shared" si="2"/>
        <v>(n): thịt bò</v>
      </c>
      <c r="G4647" s="6" t="s">
        <v>53983</v>
      </c>
      <c r="H4647" s="6" t="s">
        <v>53984</v>
      </c>
      <c r="I4647" s="7">
        <f t="shared" si="3"/>
        <v>0.04907510048</v>
      </c>
    </row>
    <row r="4648">
      <c r="A4648" s="4">
        <v>4648.0</v>
      </c>
      <c r="B4648" s="3" t="s">
        <v>53985</v>
      </c>
      <c r="C4648" s="6" t="s">
        <v>24</v>
      </c>
      <c r="D4648" s="6" t="s">
        <v>53986</v>
      </c>
      <c r="E4648" s="3" t="str">
        <f t="shared" si="1"/>
        <v>recycle&lt;br&gt;&lt;div class="audio"&gt;[sound:recycle.mp3]&lt;/div&gt;</v>
      </c>
      <c r="F4648" s="3" t="str">
        <f t="shared" si="2"/>
        <v>(v): tái chế</v>
      </c>
      <c r="G4648" s="6" t="s">
        <v>53987</v>
      </c>
      <c r="H4648" s="6" t="s">
        <v>53988</v>
      </c>
      <c r="I4648" s="7">
        <f t="shared" si="3"/>
        <v>0.4690340473</v>
      </c>
    </row>
    <row r="4649">
      <c r="A4649" s="4">
        <v>4649.0</v>
      </c>
      <c r="B4649" s="3" t="s">
        <v>53989</v>
      </c>
      <c r="C4649" s="6" t="s">
        <v>11</v>
      </c>
      <c r="D4649" s="6" t="s">
        <v>33429</v>
      </c>
      <c r="E4649" s="3" t="str">
        <f t="shared" si="1"/>
        <v>robust&lt;br&gt;&lt;div class="audio"&gt;[sound:robust.mp3]&lt;/div&gt;</v>
      </c>
      <c r="F4649" s="3" t="str">
        <f t="shared" si="2"/>
        <v>(adj): mạnh mẽ</v>
      </c>
      <c r="G4649" s="6" t="s">
        <v>53990</v>
      </c>
      <c r="H4649" s="6" t="s">
        <v>53991</v>
      </c>
      <c r="I4649" s="7">
        <f t="shared" si="3"/>
        <v>0.06607720837</v>
      </c>
    </row>
    <row r="4650">
      <c r="A4650" s="4">
        <v>4650.0</v>
      </c>
      <c r="B4650" s="3" t="s">
        <v>53992</v>
      </c>
      <c r="C4650" s="6" t="s">
        <v>74</v>
      </c>
      <c r="D4650" s="6" t="s">
        <v>53992</v>
      </c>
      <c r="E4650" s="3" t="str">
        <f t="shared" si="1"/>
        <v>gallon&lt;br&gt;&lt;div class="audio"&gt;[sound:gallon.mp3]&lt;/div&gt;</v>
      </c>
      <c r="F4650" s="3" t="str">
        <f t="shared" si="2"/>
        <v>(n): gallon</v>
      </c>
      <c r="G4650" s="6" t="s">
        <v>53993</v>
      </c>
      <c r="H4650" s="6" t="s">
        <v>53994</v>
      </c>
      <c r="I4650" s="7">
        <f t="shared" si="3"/>
        <v>0.4051859796</v>
      </c>
    </row>
    <row r="4651">
      <c r="A4651" s="4">
        <v>4651.0</v>
      </c>
      <c r="B4651" s="3" t="s">
        <v>53995</v>
      </c>
      <c r="C4651" s="6" t="s">
        <v>74</v>
      </c>
      <c r="D4651" s="6" t="s">
        <v>24936</v>
      </c>
      <c r="E4651" s="3" t="str">
        <f t="shared" si="1"/>
        <v>underwear&lt;br&gt;&lt;div class="audio"&gt;[sound:underwear.mp3]&lt;/div&gt;</v>
      </c>
      <c r="F4651" s="3" t="str">
        <f t="shared" si="2"/>
        <v>(n): đồ lót</v>
      </c>
      <c r="G4651" s="6" t="s">
        <v>53996</v>
      </c>
      <c r="H4651" s="6" t="s">
        <v>53997</v>
      </c>
      <c r="I4651" s="7">
        <f t="shared" si="3"/>
        <v>0.3637442509</v>
      </c>
    </row>
    <row r="4652">
      <c r="A4652" s="4">
        <v>4652.0</v>
      </c>
      <c r="B4652" s="3" t="s">
        <v>53998</v>
      </c>
      <c r="C4652" s="6" t="s">
        <v>24</v>
      </c>
      <c r="D4652" s="6" t="s">
        <v>31841</v>
      </c>
      <c r="E4652" s="3" t="str">
        <f t="shared" si="1"/>
        <v>recount&lt;br&gt;&lt;div class="audio"&gt;[sound:recount.mp3]&lt;/div&gt;</v>
      </c>
      <c r="F4652" s="3" t="str">
        <f t="shared" si="2"/>
        <v>(v): kể lại</v>
      </c>
      <c r="G4652" s="6" t="s">
        <v>53999</v>
      </c>
      <c r="H4652" s="6" t="s">
        <v>54000</v>
      </c>
      <c r="I4652" s="7">
        <f t="shared" si="3"/>
        <v>0.2524168374</v>
      </c>
    </row>
    <row r="4653">
      <c r="A4653" s="4">
        <v>4653.0</v>
      </c>
      <c r="B4653" s="3" t="s">
        <v>54001</v>
      </c>
      <c r="C4653" s="6" t="s">
        <v>74</v>
      </c>
      <c r="D4653" s="6" t="s">
        <v>17723</v>
      </c>
      <c r="E4653" s="3" t="str">
        <f t="shared" si="1"/>
        <v>motorcycle&lt;br&gt;&lt;div class="audio"&gt;[sound:motorcycle.mp3]&lt;/div&gt;</v>
      </c>
      <c r="F4653" s="3" t="str">
        <f t="shared" si="2"/>
        <v>(n): xe máy</v>
      </c>
      <c r="G4653" s="6" t="s">
        <v>54002</v>
      </c>
      <c r="H4653" s="6" t="s">
        <v>54003</v>
      </c>
      <c r="I4653" s="7">
        <f t="shared" si="3"/>
        <v>0.05736404445</v>
      </c>
    </row>
    <row r="4654">
      <c r="A4654" s="4">
        <v>4654.0</v>
      </c>
      <c r="B4654" s="3" t="s">
        <v>54004</v>
      </c>
      <c r="C4654" s="6" t="s">
        <v>11</v>
      </c>
      <c r="D4654" s="6" t="s">
        <v>8957</v>
      </c>
      <c r="E4654" s="3" t="str">
        <f t="shared" si="1"/>
        <v>ashamed&lt;br&gt;&lt;div class="audio"&gt;[sound:ashamed.mp3]&lt;/div&gt;</v>
      </c>
      <c r="F4654" s="3" t="str">
        <f t="shared" si="2"/>
        <v>(adj): xấu hổ</v>
      </c>
      <c r="G4654" s="6" t="s">
        <v>54005</v>
      </c>
      <c r="H4654" s="6" t="s">
        <v>54006</v>
      </c>
      <c r="I4654" s="7">
        <f t="shared" si="3"/>
        <v>0.792992002</v>
      </c>
    </row>
    <row r="4655">
      <c r="A4655" s="4">
        <v>4655.0</v>
      </c>
      <c r="B4655" s="3" t="s">
        <v>54007</v>
      </c>
      <c r="C4655" s="6" t="s">
        <v>74</v>
      </c>
      <c r="D4655" s="6" t="s">
        <v>54008</v>
      </c>
      <c r="E4655" s="3" t="str">
        <f t="shared" si="1"/>
        <v>flour&lt;br&gt;&lt;div class="audio"&gt;[sound:flour.mp3]&lt;/div&gt;</v>
      </c>
      <c r="F4655" s="3" t="str">
        <f t="shared" si="2"/>
        <v>(n): bột mì</v>
      </c>
      <c r="G4655" s="6" t="s">
        <v>54009</v>
      </c>
      <c r="H4655" s="6" t="s">
        <v>54010</v>
      </c>
      <c r="I4655" s="7">
        <f t="shared" si="3"/>
        <v>0.8811016316</v>
      </c>
    </row>
    <row r="4656">
      <c r="A4656" s="4">
        <v>4656.0</v>
      </c>
      <c r="B4656" s="3" t="s">
        <v>54011</v>
      </c>
      <c r="C4656" s="6" t="s">
        <v>74</v>
      </c>
      <c r="D4656" s="6" t="s">
        <v>21552</v>
      </c>
      <c r="E4656" s="3" t="str">
        <f t="shared" si="1"/>
        <v>notebook&lt;br&gt;&lt;div class="audio"&gt;[sound:notebook.mp3]&lt;/div&gt;</v>
      </c>
      <c r="F4656" s="3" t="str">
        <f t="shared" si="2"/>
        <v>(n): sổ tay</v>
      </c>
      <c r="G4656" s="6" t="s">
        <v>54012</v>
      </c>
      <c r="H4656" s="6" t="s">
        <v>54013</v>
      </c>
      <c r="I4656" s="7">
        <f t="shared" si="3"/>
        <v>0.7488873882</v>
      </c>
    </row>
    <row r="4657">
      <c r="A4657" s="4">
        <v>4657.0</v>
      </c>
      <c r="B4657" s="3" t="s">
        <v>54014</v>
      </c>
      <c r="C4657" s="6" t="s">
        <v>85</v>
      </c>
      <c r="D4657" s="6" t="s">
        <v>54015</v>
      </c>
      <c r="E4657" s="3" t="str">
        <f t="shared" si="1"/>
        <v>whereby&lt;br&gt;&lt;div class="audio"&gt;[sound:whereby.mp3]&lt;/div&gt;</v>
      </c>
      <c r="F4657" s="3" t="str">
        <f t="shared" si="2"/>
        <v>(adv): nhờ đó</v>
      </c>
      <c r="G4657" s="6" t="s">
        <v>54016</v>
      </c>
      <c r="H4657" s="6" t="s">
        <v>54017</v>
      </c>
      <c r="I4657" s="7">
        <f t="shared" si="3"/>
        <v>0.4153783643</v>
      </c>
    </row>
    <row r="4658">
      <c r="A4658" s="4">
        <v>4658.0</v>
      </c>
      <c r="B4658" s="3" t="s">
        <v>54018</v>
      </c>
      <c r="C4658" s="6" t="s">
        <v>74</v>
      </c>
      <c r="D4658" s="6" t="s">
        <v>7035</v>
      </c>
      <c r="E4658" s="3" t="str">
        <f t="shared" si="1"/>
        <v>endeavour&lt;br&gt;&lt;div class="audio"&gt;[sound:endeavour.mp3]&lt;/div&gt;</v>
      </c>
      <c r="F4658" s="3" t="str">
        <f t="shared" si="2"/>
        <v>(n): nỗ lực</v>
      </c>
      <c r="G4658" s="6" t="s">
        <v>54019</v>
      </c>
      <c r="H4658" s="6" t="s">
        <v>54020</v>
      </c>
      <c r="I4658" s="7">
        <f t="shared" si="3"/>
        <v>0.1354338987</v>
      </c>
    </row>
    <row r="4659">
      <c r="A4659" s="4">
        <v>4659.0</v>
      </c>
      <c r="B4659" s="3" t="s">
        <v>54021</v>
      </c>
      <c r="C4659" s="6" t="s">
        <v>24</v>
      </c>
      <c r="D4659" s="6" t="s">
        <v>54022</v>
      </c>
      <c r="E4659" s="3" t="str">
        <f t="shared" si="1"/>
        <v>prescribe&lt;br&gt;&lt;div class="audio"&gt;[sound:prescribe.mp3]&lt;/div&gt;</v>
      </c>
      <c r="F4659" s="3" t="str">
        <f t="shared" si="2"/>
        <v>(v): kê đơn</v>
      </c>
      <c r="G4659" s="6" t="s">
        <v>54023</v>
      </c>
      <c r="H4659" s="6" t="s">
        <v>54024</v>
      </c>
      <c r="I4659" s="7">
        <f t="shared" si="3"/>
        <v>0.3595608571</v>
      </c>
    </row>
    <row r="4660">
      <c r="A4660" s="4">
        <v>4660.0</v>
      </c>
      <c r="B4660" s="3" t="s">
        <v>54025</v>
      </c>
      <c r="C4660" s="6" t="s">
        <v>24</v>
      </c>
      <c r="D4660" s="6" t="s">
        <v>54026</v>
      </c>
      <c r="E4660" s="3" t="str">
        <f t="shared" si="1"/>
        <v>overwhelm&lt;br&gt;&lt;div class="audio"&gt;[sound:overwhelm.mp3]&lt;/div&gt;</v>
      </c>
      <c r="F4660" s="3" t="str">
        <f t="shared" si="2"/>
        <v>(v): áp đảo</v>
      </c>
      <c r="G4660" s="6" t="s">
        <v>54027</v>
      </c>
      <c r="H4660" s="6" t="s">
        <v>54028</v>
      </c>
      <c r="I4660" s="7">
        <f t="shared" si="3"/>
        <v>0.0847970896</v>
      </c>
    </row>
    <row r="4661">
      <c r="A4661" s="4">
        <v>4661.0</v>
      </c>
      <c r="B4661" s="3" t="s">
        <v>54029</v>
      </c>
      <c r="C4661" s="6" t="s">
        <v>11</v>
      </c>
      <c r="D4661" s="6" t="s">
        <v>28369</v>
      </c>
      <c r="E4661" s="3" t="str">
        <f t="shared" si="1"/>
        <v>pronounced&lt;br&gt;&lt;div class="audio"&gt;[sound:pronounced.mp3]&lt;/div&gt;</v>
      </c>
      <c r="F4661" s="3" t="str">
        <f t="shared" si="2"/>
        <v>(adj): rõ rệt</v>
      </c>
      <c r="G4661" s="6" t="s">
        <v>54030</v>
      </c>
      <c r="H4661" s="6" t="s">
        <v>54031</v>
      </c>
      <c r="I4661" s="7">
        <f t="shared" si="3"/>
        <v>0.3846232198</v>
      </c>
    </row>
    <row r="4662">
      <c r="A4662" s="4">
        <v>4662.0</v>
      </c>
      <c r="B4662" s="3" t="s">
        <v>54032</v>
      </c>
      <c r="C4662" s="6" t="s">
        <v>74</v>
      </c>
      <c r="D4662" s="6" t="s">
        <v>54033</v>
      </c>
      <c r="E4662" s="3" t="str">
        <f t="shared" si="1"/>
        <v>anchor&lt;br&gt;&lt;div class="audio"&gt;[sound:anchor.mp3]&lt;/div&gt;</v>
      </c>
      <c r="F4662" s="3" t="str">
        <f t="shared" si="2"/>
        <v>(n): mỏ neo</v>
      </c>
      <c r="G4662" s="6" t="s">
        <v>54034</v>
      </c>
      <c r="H4662" s="6" t="s">
        <v>54035</v>
      </c>
      <c r="I4662" s="7">
        <f t="shared" si="3"/>
        <v>0.5173565462</v>
      </c>
    </row>
    <row r="4663">
      <c r="A4663" s="4">
        <v>4663.0</v>
      </c>
      <c r="B4663" s="3" t="s">
        <v>54036</v>
      </c>
      <c r="C4663" s="6" t="s">
        <v>11</v>
      </c>
      <c r="D4663" s="6" t="s">
        <v>54037</v>
      </c>
      <c r="E4663" s="3" t="str">
        <f t="shared" si="1"/>
        <v>alcoholic&lt;br&gt;&lt;div class="audio"&gt;[sound:alcoholic.mp3]&lt;/div&gt;</v>
      </c>
      <c r="F4663" s="3" t="str">
        <f t="shared" si="2"/>
        <v>(adj): có cồn</v>
      </c>
      <c r="G4663" s="6" t="s">
        <v>54038</v>
      </c>
      <c r="H4663" s="6" t="s">
        <v>54039</v>
      </c>
      <c r="I4663" s="7">
        <f t="shared" si="3"/>
        <v>0.6073930449</v>
      </c>
    </row>
    <row r="4664">
      <c r="A4664" s="4">
        <v>4664.0</v>
      </c>
      <c r="B4664" s="3" t="s">
        <v>54040</v>
      </c>
      <c r="C4664" s="6" t="s">
        <v>74</v>
      </c>
      <c r="D4664" s="6" t="s">
        <v>24930</v>
      </c>
      <c r="E4664" s="3" t="str">
        <f t="shared" si="1"/>
        <v>jumper&lt;br&gt;&lt;div class="audio"&gt;[sound:jumper.mp3]&lt;/div&gt;</v>
      </c>
      <c r="F4664" s="3" t="str">
        <f t="shared" si="2"/>
        <v>(n): áo len</v>
      </c>
      <c r="G4664" s="6" t="s">
        <v>54041</v>
      </c>
      <c r="H4664" s="6" t="s">
        <v>54042</v>
      </c>
      <c r="I4664" s="7">
        <f t="shared" si="3"/>
        <v>0.05164187068</v>
      </c>
    </row>
    <row r="4665">
      <c r="A4665" s="4">
        <v>4665.0</v>
      </c>
      <c r="B4665" s="3" t="s">
        <v>54043</v>
      </c>
      <c r="C4665" s="6" t="s">
        <v>24</v>
      </c>
      <c r="D4665" s="6" t="s">
        <v>51320</v>
      </c>
      <c r="E4665" s="3" t="str">
        <f t="shared" si="1"/>
        <v>embed&lt;br&gt;&lt;div class="audio"&gt;[sound:embed.mp3]&lt;/div&gt;</v>
      </c>
      <c r="F4665" s="3" t="str">
        <f t="shared" si="2"/>
        <v>(v): nhúng</v>
      </c>
      <c r="G4665" s="6" t="s">
        <v>54044</v>
      </c>
      <c r="H4665" s="6" t="s">
        <v>54045</v>
      </c>
      <c r="I4665" s="7">
        <f t="shared" si="3"/>
        <v>0.2865116899</v>
      </c>
    </row>
    <row r="4666">
      <c r="A4666" s="4">
        <v>4666.0</v>
      </c>
      <c r="B4666" s="3" t="s">
        <v>54046</v>
      </c>
      <c r="C4666" s="6" t="s">
        <v>11</v>
      </c>
      <c r="D4666" s="6" t="s">
        <v>26244</v>
      </c>
      <c r="E4666" s="3" t="str">
        <f t="shared" si="1"/>
        <v>fragile&lt;br&gt;&lt;div class="audio"&gt;[sound:fragile.mp3]&lt;/div&gt;</v>
      </c>
      <c r="F4666" s="3" t="str">
        <f t="shared" si="2"/>
        <v>(adj): dễ vỡ</v>
      </c>
      <c r="G4666" s="6" t="s">
        <v>54047</v>
      </c>
      <c r="H4666" s="6" t="s">
        <v>54048</v>
      </c>
      <c r="I4666" s="7">
        <f t="shared" si="3"/>
        <v>0.002668230183</v>
      </c>
    </row>
    <row r="4667">
      <c r="A4667" s="4">
        <v>4667.0</v>
      </c>
      <c r="B4667" s="3" t="s">
        <v>54049</v>
      </c>
      <c r="C4667" s="6" t="s">
        <v>11</v>
      </c>
      <c r="D4667" s="6" t="s">
        <v>24688</v>
      </c>
      <c r="E4667" s="3" t="str">
        <f t="shared" si="1"/>
        <v>mysterious&lt;br&gt;&lt;div class="audio"&gt;[sound:mysterious.mp3]&lt;/div&gt;</v>
      </c>
      <c r="F4667" s="3" t="str">
        <f t="shared" si="2"/>
        <v>(adj): bí ẩn</v>
      </c>
      <c r="G4667" s="6" t="s">
        <v>54050</v>
      </c>
      <c r="H4667" s="6" t="s">
        <v>54051</v>
      </c>
      <c r="I4667" s="7">
        <f t="shared" si="3"/>
        <v>0.07240716417</v>
      </c>
    </row>
    <row r="4668">
      <c r="A4668" s="4">
        <v>4668.0</v>
      </c>
      <c r="B4668" s="3" t="s">
        <v>54052</v>
      </c>
      <c r="C4668" s="6" t="s">
        <v>11</v>
      </c>
      <c r="D4668" s="6" t="s">
        <v>852</v>
      </c>
      <c r="E4668" s="3" t="str">
        <f t="shared" si="1"/>
        <v>exotic&lt;br&gt;&lt;div class="audio"&gt;[sound:exotic.mp3]&lt;/div&gt;</v>
      </c>
      <c r="F4668" s="3" t="str">
        <f t="shared" si="2"/>
        <v>(adj): kỳ lạ</v>
      </c>
      <c r="G4668" s="6" t="s">
        <v>54053</v>
      </c>
      <c r="H4668" s="6" t="s">
        <v>54054</v>
      </c>
      <c r="I4668" s="7">
        <f t="shared" si="3"/>
        <v>0.5416785729</v>
      </c>
    </row>
    <row r="4669">
      <c r="A4669" s="4">
        <v>4669.0</v>
      </c>
      <c r="B4669" s="3" t="s">
        <v>54055</v>
      </c>
      <c r="C4669" s="6" t="s">
        <v>74</v>
      </c>
      <c r="D4669" s="6" t="s">
        <v>48780</v>
      </c>
      <c r="E4669" s="3" t="str">
        <f t="shared" si="1"/>
        <v>blast&lt;br&gt;&lt;div class="audio"&gt;[sound:blast.mp3]&lt;/div&gt;</v>
      </c>
      <c r="F4669" s="3" t="str">
        <f t="shared" si="2"/>
        <v>(n): vụ nổ</v>
      </c>
      <c r="G4669" s="6" t="s">
        <v>54056</v>
      </c>
      <c r="H4669" s="6" t="s">
        <v>54057</v>
      </c>
      <c r="I4669" s="7">
        <f t="shared" si="3"/>
        <v>0.8745831662</v>
      </c>
    </row>
    <row r="4670">
      <c r="A4670" s="4">
        <v>4670.0</v>
      </c>
      <c r="B4670" s="3" t="s">
        <v>54058</v>
      </c>
      <c r="C4670" s="6" t="s">
        <v>74</v>
      </c>
      <c r="D4670" s="6" t="s">
        <v>35035</v>
      </c>
      <c r="E4670" s="3" t="str">
        <f t="shared" si="1"/>
        <v>hydrogen&lt;br&gt;&lt;div class="audio"&gt;[sound:hydrogen.mp3]&lt;/div&gt;</v>
      </c>
      <c r="F4670" s="3" t="str">
        <f t="shared" si="2"/>
        <v>(n): hydro</v>
      </c>
      <c r="G4670" s="6" t="s">
        <v>54059</v>
      </c>
      <c r="H4670" s="6" t="s">
        <v>54060</v>
      </c>
      <c r="I4670" s="7">
        <f t="shared" si="3"/>
        <v>0.222947816</v>
      </c>
    </row>
    <row r="4671">
      <c r="A4671" s="4">
        <v>4671.0</v>
      </c>
      <c r="B4671" s="3" t="s">
        <v>54061</v>
      </c>
      <c r="C4671" s="6" t="s">
        <v>24</v>
      </c>
      <c r="D4671" s="6" t="s">
        <v>54062</v>
      </c>
      <c r="E4671" s="3" t="str">
        <f t="shared" si="1"/>
        <v>multiply&lt;br&gt;&lt;div class="audio"&gt;[sound:multiply.mp3]&lt;/div&gt;</v>
      </c>
      <c r="F4671" s="3" t="str">
        <f t="shared" si="2"/>
        <v>(v): nhân</v>
      </c>
      <c r="G4671" s="6" t="s">
        <v>54063</v>
      </c>
      <c r="H4671" s="6" t="s">
        <v>54064</v>
      </c>
      <c r="I4671" s="7">
        <f t="shared" si="3"/>
        <v>0.9176962235</v>
      </c>
    </row>
    <row r="4672">
      <c r="A4672" s="4">
        <v>4672.0</v>
      </c>
      <c r="B4672" s="3" t="s">
        <v>54065</v>
      </c>
      <c r="C4672" s="6" t="s">
        <v>74</v>
      </c>
      <c r="D4672" s="6" t="s">
        <v>54066</v>
      </c>
      <c r="E4672" s="3" t="str">
        <f t="shared" si="1"/>
        <v>kidney&lt;br&gt;&lt;div class="audio"&gt;[sound:kidney.mp3]&lt;/div&gt;</v>
      </c>
      <c r="F4672" s="3" t="str">
        <f t="shared" si="2"/>
        <v>(n): thận</v>
      </c>
      <c r="G4672" s="6" t="s">
        <v>54067</v>
      </c>
      <c r="H4672" s="6" t="s">
        <v>54068</v>
      </c>
      <c r="I4672" s="7">
        <f t="shared" si="3"/>
        <v>0.349070368</v>
      </c>
    </row>
    <row r="4673">
      <c r="A4673" s="4">
        <v>4673.0</v>
      </c>
      <c r="B4673" s="3" t="s">
        <v>54069</v>
      </c>
      <c r="C4673" s="6" t="s">
        <v>74</v>
      </c>
      <c r="D4673" s="6" t="s">
        <v>26346</v>
      </c>
      <c r="E4673" s="3" t="str">
        <f t="shared" si="1"/>
        <v>fur&lt;br&gt;&lt;div class="audio"&gt;[sound:fur.mp3]&lt;/div&gt;</v>
      </c>
      <c r="F4673" s="3" t="str">
        <f t="shared" si="2"/>
        <v>(n): lông</v>
      </c>
      <c r="G4673" s="6" t="s">
        <v>54070</v>
      </c>
      <c r="H4673" s="6" t="s">
        <v>54071</v>
      </c>
      <c r="I4673" s="7">
        <f t="shared" si="3"/>
        <v>0.8246653008</v>
      </c>
    </row>
    <row r="4674">
      <c r="A4674" s="4">
        <v>4674.0</v>
      </c>
      <c r="B4674" s="3" t="s">
        <v>54072</v>
      </c>
      <c r="C4674" s="6" t="s">
        <v>74</v>
      </c>
      <c r="D4674" s="6" t="s">
        <v>29503</v>
      </c>
      <c r="E4674" s="3" t="str">
        <f t="shared" si="1"/>
        <v>blade&lt;br&gt;&lt;div class="audio"&gt;[sound:blade.mp3]&lt;/div&gt;</v>
      </c>
      <c r="F4674" s="3" t="str">
        <f t="shared" si="2"/>
        <v>(n): lưỡi</v>
      </c>
      <c r="G4674" s="6" t="s">
        <v>54073</v>
      </c>
      <c r="H4674" s="6" t="s">
        <v>54074</v>
      </c>
      <c r="I4674" s="7">
        <f t="shared" si="3"/>
        <v>0.5967941659</v>
      </c>
    </row>
    <row r="4675">
      <c r="A4675" s="4">
        <v>4675.0</v>
      </c>
      <c r="B4675" s="3" t="s">
        <v>54075</v>
      </c>
      <c r="C4675" s="6" t="s">
        <v>24</v>
      </c>
      <c r="D4675" s="6" t="s">
        <v>17587</v>
      </c>
      <c r="E4675" s="3" t="str">
        <f t="shared" si="1"/>
        <v>postpone&lt;br&gt;&lt;div class="audio"&gt;[sound:postpone.mp3]&lt;/div&gt;</v>
      </c>
      <c r="F4675" s="3" t="str">
        <f t="shared" si="2"/>
        <v>(v): hoãn</v>
      </c>
      <c r="G4675" s="6" t="s">
        <v>54076</v>
      </c>
      <c r="H4675" s="6" t="s">
        <v>54077</v>
      </c>
      <c r="I4675" s="7">
        <f t="shared" si="3"/>
        <v>0.02500818242</v>
      </c>
    </row>
    <row r="4676">
      <c r="A4676" s="4">
        <v>4676.0</v>
      </c>
      <c r="B4676" s="3" t="s">
        <v>54078</v>
      </c>
      <c r="C4676" s="6" t="s">
        <v>74</v>
      </c>
      <c r="D4676" s="6" t="s">
        <v>54079</v>
      </c>
      <c r="E4676" s="3" t="str">
        <f t="shared" si="1"/>
        <v>garlic&lt;br&gt;&lt;div class="audio"&gt;[sound:garlic.mp3]&lt;/div&gt;</v>
      </c>
      <c r="F4676" s="3" t="str">
        <f t="shared" si="2"/>
        <v>(n): tỏi</v>
      </c>
      <c r="G4676" s="6" t="s">
        <v>54080</v>
      </c>
      <c r="H4676" s="6" t="s">
        <v>54081</v>
      </c>
      <c r="I4676" s="7">
        <f t="shared" si="3"/>
        <v>0.09086434131</v>
      </c>
    </row>
    <row r="4677">
      <c r="A4677" s="4">
        <v>4677.0</v>
      </c>
      <c r="B4677" s="3" t="s">
        <v>54082</v>
      </c>
      <c r="C4677" s="6" t="s">
        <v>24</v>
      </c>
      <c r="D4677" s="6" t="s">
        <v>7463</v>
      </c>
      <c r="E4677" s="3" t="str">
        <f t="shared" si="1"/>
        <v>yell&lt;br&gt;&lt;div class="audio"&gt;[sound:yell.mp3]&lt;/div&gt;</v>
      </c>
      <c r="F4677" s="3" t="str">
        <f t="shared" si="2"/>
        <v>(v): hét</v>
      </c>
      <c r="G4677" s="6" t="s">
        <v>54083</v>
      </c>
      <c r="H4677" s="6" t="s">
        <v>54084</v>
      </c>
      <c r="I4677" s="7">
        <f t="shared" si="3"/>
        <v>0.5774197682</v>
      </c>
    </row>
    <row r="4678">
      <c r="A4678" s="4">
        <v>4678.0</v>
      </c>
      <c r="B4678" s="3" t="s">
        <v>54085</v>
      </c>
      <c r="C4678" s="6" t="s">
        <v>74</v>
      </c>
      <c r="D4678" s="6" t="s">
        <v>54086</v>
      </c>
      <c r="E4678" s="3" t="str">
        <f t="shared" si="1"/>
        <v>liver&lt;br&gt;&lt;div class="audio"&gt;[sound:liver.mp3]&lt;/div&gt;</v>
      </c>
      <c r="F4678" s="3" t="str">
        <f t="shared" si="2"/>
        <v>(n): gan</v>
      </c>
      <c r="G4678" s="6" t="s">
        <v>54087</v>
      </c>
      <c r="H4678" s="6" t="s">
        <v>54088</v>
      </c>
      <c r="I4678" s="7">
        <f t="shared" si="3"/>
        <v>0.6515055267</v>
      </c>
    </row>
    <row r="4679">
      <c r="A4679" s="4">
        <v>4679.0</v>
      </c>
      <c r="B4679" s="3" t="s">
        <v>54089</v>
      </c>
      <c r="C4679" s="6" t="s">
        <v>74</v>
      </c>
      <c r="D4679" s="6" t="s">
        <v>54090</v>
      </c>
      <c r="E4679" s="3" t="str">
        <f t="shared" si="1"/>
        <v>trophy&lt;br&gt;&lt;div class="audio"&gt;[sound:trophy.mp3]&lt;/div&gt;</v>
      </c>
      <c r="F4679" s="3" t="str">
        <f t="shared" si="2"/>
        <v>(n): cúp</v>
      </c>
      <c r="G4679" s="6" t="s">
        <v>54091</v>
      </c>
      <c r="H4679" s="6" t="s">
        <v>54092</v>
      </c>
      <c r="I4679" s="7">
        <f t="shared" si="3"/>
        <v>0.7081207178</v>
      </c>
    </row>
    <row r="4680">
      <c r="A4680" s="4">
        <v>4680.0</v>
      </c>
      <c r="B4680" s="3" t="s">
        <v>54093</v>
      </c>
      <c r="C4680" s="6" t="s">
        <v>74</v>
      </c>
      <c r="D4680" s="6" t="s">
        <v>3860</v>
      </c>
      <c r="E4680" s="3" t="str">
        <f t="shared" si="1"/>
        <v>grandad&lt;br&gt;&lt;div class="audio"&gt;[sound:grandad.mp3]&lt;/div&gt;</v>
      </c>
      <c r="F4680" s="3" t="str">
        <f t="shared" si="2"/>
        <v>(n): ông</v>
      </c>
      <c r="G4680" s="6" t="s">
        <v>54094</v>
      </c>
      <c r="H4680" s="6" t="s">
        <v>54095</v>
      </c>
      <c r="I4680" s="7">
        <f t="shared" si="3"/>
        <v>0.2882367984</v>
      </c>
    </row>
    <row r="4681">
      <c r="A4681" s="4">
        <v>4681.0</v>
      </c>
      <c r="B4681" s="3" t="s">
        <v>54096</v>
      </c>
      <c r="C4681" s="6" t="s">
        <v>74</v>
      </c>
      <c r="D4681" s="6" t="s">
        <v>54097</v>
      </c>
      <c r="E4681" s="3" t="str">
        <f t="shared" si="1"/>
        <v>frog&lt;br&gt;&lt;div class="audio"&gt;[sound:frog.mp3]&lt;/div&gt;</v>
      </c>
      <c r="F4681" s="3" t="str">
        <f t="shared" si="2"/>
        <v>(n): ếch</v>
      </c>
      <c r="G4681" s="6" t="s">
        <v>54098</v>
      </c>
      <c r="H4681" s="6" t="s">
        <v>54099</v>
      </c>
      <c r="I4681" s="7">
        <f t="shared" si="3"/>
        <v>0.2946545006</v>
      </c>
    </row>
    <row r="4682">
      <c r="A4682" s="4">
        <v>4682.0</v>
      </c>
      <c r="B4682" s="3" t="s">
        <v>54100</v>
      </c>
      <c r="C4682" s="6" t="s">
        <v>74</v>
      </c>
      <c r="D4682" s="6" t="s">
        <v>5101</v>
      </c>
      <c r="E4682" s="3" t="str">
        <f t="shared" si="1"/>
        <v>hurricane&lt;br&gt;&lt;div class="audio"&gt;[sound:hurricane.mp3]&lt;/div&gt;</v>
      </c>
      <c r="F4682" s="3" t="str">
        <f t="shared" si="2"/>
        <v>(n): bão</v>
      </c>
      <c r="G4682" s="6" t="s">
        <v>54101</v>
      </c>
      <c r="H4682" s="6" t="s">
        <v>54102</v>
      </c>
      <c r="I4682" s="7">
        <f t="shared" si="3"/>
        <v>0.5329352531</v>
      </c>
    </row>
    <row r="4683">
      <c r="A4683" s="4">
        <v>4683.0</v>
      </c>
      <c r="B4683" s="3" t="s">
        <v>54103</v>
      </c>
      <c r="C4683" s="6" t="s">
        <v>74</v>
      </c>
      <c r="D4683" s="6" t="s">
        <v>33753</v>
      </c>
      <c r="E4683" s="3" t="str">
        <f t="shared" si="1"/>
        <v>wool&lt;br&gt;&lt;div class="audio"&gt;[sound:wool.mp3]&lt;/div&gt;</v>
      </c>
      <c r="F4683" s="3" t="str">
        <f t="shared" si="2"/>
        <v>(n): len</v>
      </c>
      <c r="G4683" s="6" t="s">
        <v>54104</v>
      </c>
      <c r="H4683" s="6" t="s">
        <v>54105</v>
      </c>
      <c r="I4683" s="7">
        <f t="shared" si="3"/>
        <v>0.9156692932</v>
      </c>
    </row>
    <row r="4684">
      <c r="A4684" s="4">
        <v>4684.0</v>
      </c>
      <c r="B4684" s="3" t="s">
        <v>54106</v>
      </c>
      <c r="C4684" s="6" t="s">
        <v>74</v>
      </c>
      <c r="D4684" s="6" t="s">
        <v>8891</v>
      </c>
      <c r="E4684" s="3" t="str">
        <f t="shared" si="1"/>
        <v>lump&lt;br&gt;&lt;div class="audio"&gt;[sound:lump.mp3]&lt;/div&gt;</v>
      </c>
      <c r="F4684" s="3" t="str">
        <f t="shared" si="2"/>
        <v>(n): cục</v>
      </c>
      <c r="G4684" s="6" t="s">
        <v>54107</v>
      </c>
      <c r="H4684" s="6" t="s">
        <v>54108</v>
      </c>
      <c r="I4684" s="7">
        <f t="shared" si="3"/>
        <v>0.8408249969</v>
      </c>
    </row>
    <row r="4685">
      <c r="A4685" s="4">
        <v>4685.0</v>
      </c>
      <c r="B4685" s="3" t="s">
        <v>54109</v>
      </c>
      <c r="C4685" s="6" t="s">
        <v>24</v>
      </c>
      <c r="D4685" s="6" t="s">
        <v>23960</v>
      </c>
      <c r="E4685" s="3" t="str">
        <f t="shared" si="1"/>
        <v>vow&lt;br&gt;&lt;div class="audio"&gt;[sound:vow.mp3]&lt;/div&gt;</v>
      </c>
      <c r="F4685" s="3" t="str">
        <f t="shared" si="2"/>
        <v>(v): thề</v>
      </c>
      <c r="G4685" s="6" t="s">
        <v>54110</v>
      </c>
      <c r="H4685" s="6" t="s">
        <v>54111</v>
      </c>
      <c r="I4685" s="7">
        <f t="shared" si="3"/>
        <v>0.3909811226</v>
      </c>
    </row>
    <row r="4686">
      <c r="A4686" s="4">
        <v>4686.0</v>
      </c>
      <c r="B4686" s="3" t="s">
        <v>54112</v>
      </c>
      <c r="C4686" s="6" t="s">
        <v>74</v>
      </c>
      <c r="D4686" s="6" t="s">
        <v>54113</v>
      </c>
      <c r="E4686" s="3" t="str">
        <f t="shared" si="1"/>
        <v>momentum&lt;br&gt;&lt;div class="audio"&gt;[sound:momentum.mp3]&lt;/div&gt;</v>
      </c>
      <c r="F4686" s="3" t="str">
        <f t="shared" si="2"/>
        <v>(n): đà</v>
      </c>
      <c r="G4686" s="6" t="s">
        <v>54114</v>
      </c>
      <c r="H4686" s="6" t="s">
        <v>54115</v>
      </c>
      <c r="I4686" s="7">
        <f t="shared" si="3"/>
        <v>0.8098773669</v>
      </c>
    </row>
    <row r="4687">
      <c r="A4687" s="4">
        <v>4687.0</v>
      </c>
      <c r="B4687" s="3" t="s">
        <v>54116</v>
      </c>
      <c r="C4687" s="6" t="s">
        <v>11</v>
      </c>
      <c r="D4687" s="6" t="s">
        <v>54117</v>
      </c>
      <c r="E4687" s="3" t="str">
        <f t="shared" si="1"/>
        <v>disappointing&lt;br&gt;&lt;div class="audio"&gt;[sound:disappointing.mp3]&lt;/div&gt;</v>
      </c>
      <c r="F4687" s="3" t="str">
        <f t="shared" si="2"/>
        <v>(adj): gây thất vọng</v>
      </c>
      <c r="G4687" s="6" t="s">
        <v>54118</v>
      </c>
      <c r="H4687" s="6" t="s">
        <v>54119</v>
      </c>
      <c r="I4687" s="7">
        <f t="shared" si="3"/>
        <v>0.3561984197</v>
      </c>
    </row>
    <row r="4688">
      <c r="A4688" s="4">
        <v>4688.0</v>
      </c>
      <c r="B4688" s="3" t="s">
        <v>54120</v>
      </c>
      <c r="C4688" s="6" t="s">
        <v>74</v>
      </c>
      <c r="D4688" s="6" t="s">
        <v>54121</v>
      </c>
      <c r="E4688" s="3" t="str">
        <f t="shared" si="1"/>
        <v>declaration&lt;br&gt;&lt;div class="audio"&gt;[sound:declaration.mp3]&lt;/div&gt;</v>
      </c>
      <c r="F4688" s="3" t="str">
        <f t="shared" si="2"/>
        <v>(n): sự tuyên bố</v>
      </c>
      <c r="G4688" s="6" t="s">
        <v>54122</v>
      </c>
      <c r="H4688" s="6" t="s">
        <v>54123</v>
      </c>
      <c r="I4688" s="7">
        <f t="shared" si="3"/>
        <v>0.2255968262</v>
      </c>
    </row>
    <row r="4689">
      <c r="A4689" s="4">
        <v>4689.0</v>
      </c>
      <c r="B4689" s="3" t="s">
        <v>54124</v>
      </c>
      <c r="C4689" s="6" t="s">
        <v>74</v>
      </c>
      <c r="D4689" s="6" t="s">
        <v>54125</v>
      </c>
      <c r="E4689" s="3" t="str">
        <f t="shared" si="1"/>
        <v>correlation&lt;br&gt;&lt;div class="audio"&gt;[sound:correlation.mp3]&lt;/div&gt;</v>
      </c>
      <c r="F4689" s="3" t="str">
        <f t="shared" si="2"/>
        <v>(n): sự tương quan</v>
      </c>
      <c r="G4689" s="6" t="s">
        <v>54126</v>
      </c>
      <c r="H4689" s="6" t="s">
        <v>54127</v>
      </c>
      <c r="I4689" s="7">
        <f t="shared" si="3"/>
        <v>0.9588409681</v>
      </c>
    </row>
    <row r="4690">
      <c r="A4690" s="4">
        <v>4690.0</v>
      </c>
      <c r="B4690" s="3" t="s">
        <v>54128</v>
      </c>
      <c r="C4690" s="6" t="s">
        <v>74</v>
      </c>
      <c r="D4690" s="6" t="s">
        <v>54129</v>
      </c>
      <c r="E4690" s="3" t="str">
        <f t="shared" si="1"/>
        <v>deficit&lt;br&gt;&lt;div class="audio"&gt;[sound:deficit.mp3]&lt;/div&gt;</v>
      </c>
      <c r="F4690" s="3" t="str">
        <f t="shared" si="2"/>
        <v>(n): sự thâm hụt</v>
      </c>
      <c r="G4690" s="6" t="s">
        <v>54130</v>
      </c>
      <c r="H4690" s="6" t="s">
        <v>54131</v>
      </c>
      <c r="I4690" s="7">
        <f t="shared" si="3"/>
        <v>0.1060936271</v>
      </c>
    </row>
    <row r="4691">
      <c r="A4691" s="4">
        <v>4691.0</v>
      </c>
      <c r="B4691" s="3" t="s">
        <v>54132</v>
      </c>
      <c r="C4691" s="6" t="s">
        <v>74</v>
      </c>
      <c r="D4691" s="6" t="s">
        <v>54133</v>
      </c>
      <c r="E4691" s="3" t="str">
        <f t="shared" si="1"/>
        <v>duration&lt;br&gt;&lt;div class="audio"&gt;[sound:duration.mp3]&lt;/div&gt;</v>
      </c>
      <c r="F4691" s="3" t="str">
        <f t="shared" si="2"/>
        <v>(n): thời lượng</v>
      </c>
      <c r="G4691" s="6" t="s">
        <v>54134</v>
      </c>
      <c r="H4691" s="6" t="s">
        <v>54135</v>
      </c>
      <c r="I4691" s="7">
        <f t="shared" si="3"/>
        <v>0.2877758378</v>
      </c>
    </row>
    <row r="4692">
      <c r="A4692" s="4">
        <v>4692.0</v>
      </c>
      <c r="B4692" s="3" t="s">
        <v>54136</v>
      </c>
      <c r="C4692" s="6" t="s">
        <v>24</v>
      </c>
      <c r="D4692" s="6" t="s">
        <v>42126</v>
      </c>
      <c r="E4692" s="3" t="str">
        <f t="shared" si="1"/>
        <v>disclose&lt;br&gt;&lt;div class="audio"&gt;[sound:disclose.mp3]&lt;/div&gt;</v>
      </c>
      <c r="F4692" s="3" t="str">
        <f t="shared" si="2"/>
        <v>(v): tiết lộ</v>
      </c>
      <c r="G4692" s="6" t="s">
        <v>54137</v>
      </c>
      <c r="H4692" s="6" t="s">
        <v>54138</v>
      </c>
      <c r="I4692" s="7">
        <f t="shared" si="3"/>
        <v>0.7565924074</v>
      </c>
    </row>
    <row r="4693">
      <c r="A4693" s="4">
        <v>4693.0</v>
      </c>
      <c r="B4693" s="3" t="s">
        <v>54139</v>
      </c>
      <c r="C4693" s="6" t="s">
        <v>11</v>
      </c>
      <c r="D4693" s="6" t="s">
        <v>54140</v>
      </c>
      <c r="E4693" s="3" t="str">
        <f t="shared" si="1"/>
        <v>disgusting&lt;br&gt;&lt;div class="audio"&gt;[sound:disgusting.mp3]&lt;/div&gt;</v>
      </c>
      <c r="F4693" s="3" t="str">
        <f t="shared" si="2"/>
        <v>(adj): ghê tởm</v>
      </c>
      <c r="G4693" s="6" t="s">
        <v>54141</v>
      </c>
      <c r="H4693" s="6" t="s">
        <v>54142</v>
      </c>
      <c r="I4693" s="7">
        <f t="shared" si="3"/>
        <v>0.417619013</v>
      </c>
    </row>
    <row r="4694">
      <c r="A4694" s="4">
        <v>4694.0</v>
      </c>
      <c r="B4694" s="3" t="s">
        <v>54143</v>
      </c>
      <c r="C4694" s="6" t="s">
        <v>24</v>
      </c>
      <c r="D4694" s="6" t="s">
        <v>39964</v>
      </c>
      <c r="E4694" s="3" t="str">
        <f t="shared" si="1"/>
        <v>depict&lt;br&gt;&lt;div class="audio"&gt;[sound:depict.mp3]&lt;/div&gt;</v>
      </c>
      <c r="F4694" s="3" t="str">
        <f t="shared" si="2"/>
        <v>(v): mô tả</v>
      </c>
      <c r="G4694" s="6" t="s">
        <v>54144</v>
      </c>
      <c r="H4694" s="6" t="s">
        <v>54145</v>
      </c>
      <c r="I4694" s="7">
        <f t="shared" si="3"/>
        <v>0.9261013736</v>
      </c>
    </row>
    <row r="4695">
      <c r="A4695" s="4">
        <v>4695.0</v>
      </c>
      <c r="B4695" s="3" t="s">
        <v>54146</v>
      </c>
      <c r="C4695" s="6" t="s">
        <v>74</v>
      </c>
      <c r="D4695" s="6" t="s">
        <v>54147</v>
      </c>
      <c r="E4695" s="3" t="str">
        <f t="shared" si="1"/>
        <v>discourse&lt;br&gt;&lt;div class="audio"&gt;[sound:discourse.mp3]&lt;/div&gt;</v>
      </c>
      <c r="F4695" s="3" t="str">
        <f t="shared" si="2"/>
        <v>(n): bài diễn thuyết</v>
      </c>
      <c r="G4695" s="6" t="s">
        <v>54148</v>
      </c>
      <c r="H4695" s="6" t="s">
        <v>54149</v>
      </c>
      <c r="I4695" s="7">
        <f t="shared" si="3"/>
        <v>0.6803305671</v>
      </c>
    </row>
    <row r="4696">
      <c r="A4696" s="4">
        <v>4696.0</v>
      </c>
      <c r="B4696" s="3" t="s">
        <v>54150</v>
      </c>
      <c r="C4696" s="6" t="s">
        <v>74</v>
      </c>
      <c r="D4696" s="6" t="s">
        <v>54151</v>
      </c>
      <c r="E4696" s="3" t="str">
        <f t="shared" si="1"/>
        <v>coordinator&lt;br&gt;&lt;div class="audio"&gt;[sound:coordinator.mp3]&lt;/div&gt;</v>
      </c>
      <c r="F4696" s="3" t="str">
        <f t="shared" si="2"/>
        <v>(n): điều phối viên</v>
      </c>
      <c r="G4696" s="6" t="s">
        <v>54152</v>
      </c>
      <c r="H4696" s="6" t="s">
        <v>54153</v>
      </c>
      <c r="I4696" s="7">
        <f t="shared" si="3"/>
        <v>0.1530049984</v>
      </c>
    </row>
    <row r="4697">
      <c r="A4697" s="4">
        <v>4697.0</v>
      </c>
      <c r="B4697" s="3" t="s">
        <v>54154</v>
      </c>
      <c r="C4697" s="6" t="s">
        <v>11</v>
      </c>
      <c r="D4697" s="6" t="s">
        <v>54155</v>
      </c>
      <c r="E4697" s="3" t="str">
        <f t="shared" si="1"/>
        <v>theatrical&lt;br&gt;&lt;div class="audio"&gt;[sound:theatrical.mp3]&lt;/div&gt;</v>
      </c>
      <c r="F4697" s="3" t="str">
        <f t="shared" si="2"/>
        <v>(adj): thuộc sân khấu</v>
      </c>
      <c r="G4697" s="6" t="s">
        <v>54156</v>
      </c>
      <c r="H4697" s="6" t="s">
        <v>54157</v>
      </c>
      <c r="I4697" s="7">
        <f t="shared" si="3"/>
        <v>0.8865095489</v>
      </c>
    </row>
    <row r="4698">
      <c r="A4698" s="4">
        <v>4698.0</v>
      </c>
      <c r="B4698" s="3" t="s">
        <v>54158</v>
      </c>
      <c r="C4698" s="6" t="s">
        <v>24</v>
      </c>
      <c r="D4698" s="6" t="s">
        <v>14545</v>
      </c>
      <c r="E4698" s="3" t="str">
        <f t="shared" si="1"/>
        <v>donate&lt;br&gt;&lt;div class="audio"&gt;[sound:donate.mp3]&lt;/div&gt;</v>
      </c>
      <c r="F4698" s="3" t="str">
        <f t="shared" si="2"/>
        <v>(v): quyên góp</v>
      </c>
      <c r="G4698" s="6" t="s">
        <v>54159</v>
      </c>
      <c r="H4698" s="6" t="s">
        <v>54160</v>
      </c>
      <c r="I4698" s="7">
        <f t="shared" si="3"/>
        <v>0.2800996663</v>
      </c>
    </row>
    <row r="4699">
      <c r="A4699" s="4">
        <v>4699.0</v>
      </c>
      <c r="B4699" s="3" t="s">
        <v>54161</v>
      </c>
      <c r="C4699" s="6" t="s">
        <v>24</v>
      </c>
      <c r="D4699" s="6" t="s">
        <v>17814</v>
      </c>
      <c r="E4699" s="3" t="str">
        <f t="shared" si="1"/>
        <v>decorate&lt;br&gt;&lt;div class="audio"&gt;[sound:decorate.mp3]&lt;/div&gt;</v>
      </c>
      <c r="F4699" s="3" t="str">
        <f t="shared" si="2"/>
        <v>(v): trang trí</v>
      </c>
      <c r="G4699" s="6" t="s">
        <v>54162</v>
      </c>
      <c r="H4699" s="6" t="s">
        <v>54163</v>
      </c>
      <c r="I4699" s="7">
        <f t="shared" si="3"/>
        <v>0.08094511832</v>
      </c>
    </row>
    <row r="4700">
      <c r="A4700" s="4">
        <v>4700.0</v>
      </c>
      <c r="B4700" s="3" t="s">
        <v>54164</v>
      </c>
      <c r="C4700" s="6" t="s">
        <v>24</v>
      </c>
      <c r="D4700" s="6" t="s">
        <v>54165</v>
      </c>
      <c r="E4700" s="3" t="str">
        <f t="shared" si="1"/>
        <v>terminate&lt;br&gt;&lt;div class="audio"&gt;[sound:terminate.mp3]&lt;/div&gt;</v>
      </c>
      <c r="F4700" s="3" t="str">
        <f t="shared" si="2"/>
        <v>(v): chấm dứt</v>
      </c>
      <c r="G4700" s="6" t="s">
        <v>54166</v>
      </c>
      <c r="H4700" s="6" t="s">
        <v>54167</v>
      </c>
      <c r="I4700" s="7">
        <f t="shared" si="3"/>
        <v>0.4804507623</v>
      </c>
    </row>
    <row r="4701">
      <c r="A4701" s="4">
        <v>4701.0</v>
      </c>
      <c r="B4701" s="3" t="s">
        <v>54168</v>
      </c>
      <c r="C4701" s="6" t="s">
        <v>11</v>
      </c>
      <c r="D4701" s="6" t="s">
        <v>54169</v>
      </c>
      <c r="E4701" s="3" t="str">
        <f t="shared" si="1"/>
        <v>diplomatic&lt;br&gt;&lt;div class="audio"&gt;[sound:diplomatic.mp3]&lt;/div&gt;</v>
      </c>
      <c r="F4701" s="3" t="str">
        <f t="shared" si="2"/>
        <v>(adj): thuộc ngoại giao</v>
      </c>
      <c r="G4701" s="6" t="s">
        <v>54170</v>
      </c>
      <c r="H4701" s="6" t="s">
        <v>54171</v>
      </c>
      <c r="I4701" s="7">
        <f t="shared" si="3"/>
        <v>0.1059937186</v>
      </c>
    </row>
    <row r="4702">
      <c r="A4702" s="4">
        <v>4702.0</v>
      </c>
      <c r="B4702" s="3" t="s">
        <v>54172</v>
      </c>
      <c r="C4702" s="6" t="s">
        <v>24</v>
      </c>
      <c r="D4702" s="6" t="s">
        <v>5226</v>
      </c>
      <c r="E4702" s="3" t="str">
        <f t="shared" si="1"/>
        <v>deploy&lt;br&gt;&lt;div class="audio"&gt;[sound:deploy.mp3]&lt;/div&gt;</v>
      </c>
      <c r="F4702" s="3" t="str">
        <f t="shared" si="2"/>
        <v>(v): triển khai</v>
      </c>
      <c r="G4702" s="6" t="s">
        <v>54173</v>
      </c>
      <c r="H4702" s="6" t="s">
        <v>54174</v>
      </c>
      <c r="I4702" s="7">
        <f t="shared" si="3"/>
        <v>0.3589183026</v>
      </c>
    </row>
    <row r="4703">
      <c r="A4703" s="4">
        <v>4703.0</v>
      </c>
      <c r="B4703" s="3" t="s">
        <v>54175</v>
      </c>
      <c r="C4703" s="6" t="s">
        <v>74</v>
      </c>
      <c r="D4703" s="6" t="s">
        <v>54176</v>
      </c>
      <c r="E4703" s="3" t="str">
        <f t="shared" si="1"/>
        <v>curiosity&lt;br&gt;&lt;div class="audio"&gt;[sound:curiosity.mp3]&lt;/div&gt;</v>
      </c>
      <c r="F4703" s="3" t="str">
        <f t="shared" si="2"/>
        <v>(n): sự tò mò</v>
      </c>
      <c r="G4703" s="6" t="s">
        <v>54177</v>
      </c>
      <c r="H4703" s="6" t="s">
        <v>54178</v>
      </c>
      <c r="I4703" s="7">
        <f t="shared" si="3"/>
        <v>0.7906529959</v>
      </c>
    </row>
    <row r="4704">
      <c r="A4704" s="4">
        <v>4704.0</v>
      </c>
      <c r="B4704" s="3" t="s">
        <v>54179</v>
      </c>
      <c r="C4704" s="6" t="s">
        <v>24</v>
      </c>
      <c r="D4704" s="6" t="s">
        <v>54180</v>
      </c>
      <c r="E4704" s="3" t="str">
        <f t="shared" si="1"/>
        <v>discourage&lt;br&gt;&lt;div class="audio"&gt;[sound:discourage.mp3]&lt;/div&gt;</v>
      </c>
      <c r="F4704" s="3" t="str">
        <f t="shared" si="2"/>
        <v>(v): làm nản lòng</v>
      </c>
      <c r="G4704" s="6" t="s">
        <v>54181</v>
      </c>
      <c r="H4704" s="6" t="s">
        <v>54182</v>
      </c>
      <c r="I4704" s="7">
        <f t="shared" si="3"/>
        <v>0.2539100953</v>
      </c>
    </row>
    <row r="4705">
      <c r="A4705" s="4">
        <v>4705.0</v>
      </c>
      <c r="B4705" s="3" t="s">
        <v>54183</v>
      </c>
      <c r="C4705" s="6" t="s">
        <v>74</v>
      </c>
      <c r="D4705" s="6" t="s">
        <v>18953</v>
      </c>
      <c r="E4705" s="3" t="str">
        <f t="shared" si="1"/>
        <v>donation&lt;br&gt;&lt;div class="audio"&gt;[sound:donation.mp3]&lt;/div&gt;</v>
      </c>
      <c r="F4705" s="3" t="str">
        <f t="shared" si="2"/>
        <v>(n): sự quyên góp</v>
      </c>
      <c r="G4705" s="6" t="s">
        <v>54184</v>
      </c>
      <c r="H4705" s="6" t="s">
        <v>54185</v>
      </c>
      <c r="I4705" s="7">
        <f t="shared" si="3"/>
        <v>0.2142335999</v>
      </c>
    </row>
    <row r="4706">
      <c r="A4706" s="4">
        <v>4706.0</v>
      </c>
      <c r="B4706" s="3" t="s">
        <v>54186</v>
      </c>
      <c r="C4706" s="6" t="s">
        <v>24</v>
      </c>
      <c r="D4706" s="6" t="s">
        <v>53067</v>
      </c>
      <c r="E4706" s="3" t="str">
        <f t="shared" si="1"/>
        <v>delegate&lt;br&gt;&lt;div class="audio"&gt;[sound:delegate.mp3]&lt;/div&gt;</v>
      </c>
      <c r="F4706" s="3" t="str">
        <f t="shared" si="2"/>
        <v>(v): ủy quyền</v>
      </c>
      <c r="G4706" s="6" t="s">
        <v>54187</v>
      </c>
      <c r="H4706" s="6" t="s">
        <v>54188</v>
      </c>
      <c r="I4706" s="7">
        <f t="shared" si="3"/>
        <v>0.5616327229</v>
      </c>
    </row>
    <row r="4707">
      <c r="A4707" s="4">
        <v>4707.0</v>
      </c>
      <c r="B4707" s="3" t="s">
        <v>54189</v>
      </c>
      <c r="C4707" s="6" t="s">
        <v>74</v>
      </c>
      <c r="D4707" s="6" t="s">
        <v>31830</v>
      </c>
      <c r="E4707" s="3" t="str">
        <f t="shared" si="1"/>
        <v>correspondence&lt;br&gt;&lt;div class="audio"&gt;[sound:correspondence.mp3]&lt;/div&gt;</v>
      </c>
      <c r="F4707" s="3" t="str">
        <f t="shared" si="2"/>
        <v>(n): thư từ</v>
      </c>
      <c r="G4707" s="6" t="s">
        <v>54190</v>
      </c>
      <c r="H4707" s="6" t="s">
        <v>54191</v>
      </c>
      <c r="I4707" s="7">
        <f t="shared" si="3"/>
        <v>0.8958629202</v>
      </c>
    </row>
    <row r="4708">
      <c r="A4708" s="4">
        <v>4708.0</v>
      </c>
      <c r="B4708" s="3" t="s">
        <v>54192</v>
      </c>
      <c r="C4708" s="6" t="s">
        <v>74</v>
      </c>
      <c r="D4708" s="6" t="s">
        <v>43893</v>
      </c>
      <c r="E4708" s="3" t="str">
        <f t="shared" si="1"/>
        <v>deployment&lt;br&gt;&lt;div class="audio"&gt;[sound:deployment.mp3]&lt;/div&gt;</v>
      </c>
      <c r="F4708" s="3" t="str">
        <f t="shared" si="2"/>
        <v>(n): sự triển khai</v>
      </c>
      <c r="G4708" s="6" t="s">
        <v>54193</v>
      </c>
      <c r="H4708" s="6" t="s">
        <v>54194</v>
      </c>
      <c r="I4708" s="7">
        <f t="shared" si="3"/>
        <v>0.1207063619</v>
      </c>
    </row>
    <row r="4709">
      <c r="A4709" s="4">
        <v>4709.0</v>
      </c>
      <c r="B4709" s="3" t="s">
        <v>54195</v>
      </c>
      <c r="C4709" s="6" t="s">
        <v>74</v>
      </c>
      <c r="D4709" s="6" t="s">
        <v>54196</v>
      </c>
      <c r="E4709" s="3" t="str">
        <f t="shared" si="1"/>
        <v>cutting&lt;br&gt;&lt;div class="audio"&gt;[sound:cutting.mp3]&lt;/div&gt;</v>
      </c>
      <c r="F4709" s="3" t="str">
        <f t="shared" si="2"/>
        <v>(n): sự cắt bỏ</v>
      </c>
      <c r="G4709" s="6" t="s">
        <v>54197</v>
      </c>
      <c r="H4709" s="6" t="s">
        <v>54198</v>
      </c>
      <c r="I4709" s="7">
        <f t="shared" si="3"/>
        <v>0.3223829884</v>
      </c>
    </row>
    <row r="4710">
      <c r="A4710" s="4">
        <v>4710.0</v>
      </c>
      <c r="B4710" s="3" t="s">
        <v>54199</v>
      </c>
      <c r="C4710" s="6" t="s">
        <v>11</v>
      </c>
      <c r="D4710" s="6" t="s">
        <v>3315</v>
      </c>
      <c r="E4710" s="3" t="str">
        <f t="shared" si="1"/>
        <v>distinctive&lt;br&gt;&lt;div class="audio"&gt;[sound:distinctive.mp3]&lt;/div&gt;</v>
      </c>
      <c r="F4710" s="3" t="str">
        <f t="shared" si="2"/>
        <v>(adj): đặc biệt</v>
      </c>
      <c r="G4710" s="6" t="s">
        <v>54200</v>
      </c>
      <c r="H4710" s="6" t="s">
        <v>54201</v>
      </c>
      <c r="I4710" s="7">
        <f t="shared" si="3"/>
        <v>0.6364957091</v>
      </c>
    </row>
    <row r="4711">
      <c r="A4711" s="4">
        <v>4711.0</v>
      </c>
      <c r="B4711" s="3" t="s">
        <v>54202</v>
      </c>
      <c r="C4711" s="6" t="s">
        <v>74</v>
      </c>
      <c r="D4711" s="6" t="s">
        <v>54203</v>
      </c>
      <c r="E4711" s="3" t="str">
        <f t="shared" si="1"/>
        <v>countryside&lt;br&gt;&lt;div class="audio"&gt;[sound:countryside.mp3]&lt;/div&gt;</v>
      </c>
      <c r="F4711" s="3" t="str">
        <f t="shared" si="2"/>
        <v>(n): vùng nông thôn</v>
      </c>
      <c r="G4711" s="6" t="s">
        <v>54204</v>
      </c>
      <c r="H4711" s="6" t="s">
        <v>54205</v>
      </c>
      <c r="I4711" s="7">
        <f t="shared" si="3"/>
        <v>0.2883513023</v>
      </c>
    </row>
    <row r="4712">
      <c r="A4712" s="4">
        <v>4712.0</v>
      </c>
      <c r="B4712" s="3" t="s">
        <v>54206</v>
      </c>
      <c r="C4712" s="6" t="s">
        <v>74</v>
      </c>
      <c r="D4712" s="6" t="s">
        <v>3138</v>
      </c>
      <c r="E4712" s="3" t="str">
        <f t="shared" si="1"/>
        <v>dependence&lt;br&gt;&lt;div class="audio"&gt;[sound:dependence.mp3]&lt;/div&gt;</v>
      </c>
      <c r="F4712" s="3" t="str">
        <f t="shared" si="2"/>
        <v>(n): sự phụ thuộc</v>
      </c>
      <c r="G4712" s="6" t="s">
        <v>54207</v>
      </c>
      <c r="H4712" s="6" t="s">
        <v>54208</v>
      </c>
      <c r="I4712" s="7">
        <f t="shared" si="3"/>
        <v>0.07801959869</v>
      </c>
    </row>
    <row r="4713">
      <c r="A4713" s="4">
        <v>4713.0</v>
      </c>
      <c r="B4713" s="3" t="s">
        <v>54209</v>
      </c>
      <c r="C4713" s="6" t="s">
        <v>74</v>
      </c>
      <c r="D4713" s="6" t="s">
        <v>53731</v>
      </c>
      <c r="E4713" s="3" t="str">
        <f t="shared" si="1"/>
        <v>disclosure&lt;br&gt;&lt;div class="audio"&gt;[sound:disclosure.mp3]&lt;/div&gt;</v>
      </c>
      <c r="F4713" s="3" t="str">
        <f t="shared" si="2"/>
        <v>(n): sự tiết lộ</v>
      </c>
      <c r="G4713" s="6" t="s">
        <v>54210</v>
      </c>
      <c r="H4713" s="6" t="s">
        <v>54211</v>
      </c>
      <c r="I4713" s="7">
        <f t="shared" si="3"/>
        <v>0.6267606539</v>
      </c>
    </row>
    <row r="4714">
      <c r="A4714" s="4">
        <v>4714.0</v>
      </c>
      <c r="B4714" s="3" t="s">
        <v>54212</v>
      </c>
      <c r="C4714" s="6" t="s">
        <v>74</v>
      </c>
      <c r="D4714" s="6" t="s">
        <v>26620</v>
      </c>
      <c r="E4714" s="3" t="str">
        <f t="shared" si="1"/>
        <v>echo&lt;br&gt;&lt;div class="audio"&gt;[sound:echo.mp3]&lt;/div&gt;</v>
      </c>
      <c r="F4714" s="3" t="str">
        <f t="shared" si="2"/>
        <v>(n): tiếng vang</v>
      </c>
      <c r="G4714" s="6" t="s">
        <v>54213</v>
      </c>
      <c r="H4714" s="6" t="s">
        <v>54214</v>
      </c>
      <c r="I4714" s="7">
        <f t="shared" si="3"/>
        <v>0.5600936469</v>
      </c>
    </row>
    <row r="4715">
      <c r="A4715" s="4">
        <v>4715.0</v>
      </c>
      <c r="B4715" s="3" t="s">
        <v>54215</v>
      </c>
      <c r="C4715" s="6" t="s">
        <v>74</v>
      </c>
      <c r="D4715" s="6" t="s">
        <v>54216</v>
      </c>
      <c r="E4715" s="3" t="str">
        <f t="shared" si="1"/>
        <v>diagnosis&lt;br&gt;&lt;div class="audio"&gt;[sound:diagnosis.mp3]&lt;/div&gt;</v>
      </c>
      <c r="F4715" s="3" t="str">
        <f t="shared" si="2"/>
        <v>(n): sự chẩn đoán</v>
      </c>
      <c r="G4715" s="6" t="s">
        <v>54217</v>
      </c>
      <c r="H4715" s="6" t="s">
        <v>54218</v>
      </c>
      <c r="I4715" s="7">
        <f t="shared" si="3"/>
        <v>0.05483503093</v>
      </c>
    </row>
    <row r="4716">
      <c r="A4716" s="4">
        <v>4716.0</v>
      </c>
      <c r="B4716" s="3" t="s">
        <v>54219</v>
      </c>
      <c r="C4716" s="6" t="s">
        <v>74</v>
      </c>
      <c r="D4716" s="6" t="s">
        <v>28181</v>
      </c>
      <c r="E4716" s="3" t="str">
        <f t="shared" si="1"/>
        <v>dawn&lt;br&gt;&lt;div class="audio"&gt;[sound:dawn.mp3]&lt;/div&gt;</v>
      </c>
      <c r="F4716" s="3" t="str">
        <f t="shared" si="2"/>
        <v>(n): bình minh</v>
      </c>
      <c r="G4716" s="6" t="s">
        <v>54220</v>
      </c>
      <c r="H4716" s="6" t="s">
        <v>54221</v>
      </c>
      <c r="I4716" s="7">
        <f t="shared" si="3"/>
        <v>0.6218171776</v>
      </c>
    </row>
    <row r="4717">
      <c r="A4717" s="4">
        <v>4717.0</v>
      </c>
      <c r="B4717" s="3" t="s">
        <v>54222</v>
      </c>
      <c r="C4717" s="6" t="s">
        <v>74</v>
      </c>
      <c r="D4717" s="6" t="s">
        <v>54223</v>
      </c>
      <c r="E4717" s="3" t="str">
        <f t="shared" si="1"/>
        <v>artwork&lt;br&gt;&lt;div class="audio"&gt;[sound:artwork.mp3]&lt;/div&gt;</v>
      </c>
      <c r="F4717" s="3" t="str">
        <f t="shared" si="2"/>
        <v>(n): tác phẩm nghệ thuật</v>
      </c>
      <c r="G4717" s="6" t="s">
        <v>54224</v>
      </c>
      <c r="H4717" s="6" t="s">
        <v>54225</v>
      </c>
      <c r="I4717" s="7">
        <f t="shared" si="3"/>
        <v>0.7460268008</v>
      </c>
    </row>
    <row r="4718">
      <c r="A4718" s="4">
        <v>4718.0</v>
      </c>
      <c r="B4718" s="3" t="s">
        <v>54226</v>
      </c>
      <c r="C4718" s="6" t="s">
        <v>74</v>
      </c>
      <c r="D4718" s="6" t="s">
        <v>54227</v>
      </c>
      <c r="E4718" s="3" t="str">
        <f t="shared" si="1"/>
        <v>literacy&lt;br&gt;&lt;div class="audio"&gt;[sound:literacy.mp3]&lt;/div&gt;</v>
      </c>
      <c r="F4718" s="3" t="str">
        <f t="shared" si="2"/>
        <v>(n): trình độ biết chữ</v>
      </c>
      <c r="G4718" s="6" t="s">
        <v>54228</v>
      </c>
      <c r="H4718" s="6" t="s">
        <v>54229</v>
      </c>
      <c r="I4718" s="7">
        <f t="shared" si="3"/>
        <v>0.05014450202</v>
      </c>
    </row>
    <row r="4719">
      <c r="A4719" s="4">
        <v>4719.0</v>
      </c>
      <c r="B4719" s="3" t="s">
        <v>54230</v>
      </c>
      <c r="C4719" s="6" t="s">
        <v>85</v>
      </c>
      <c r="D4719" s="6" t="s">
        <v>54231</v>
      </c>
      <c r="E4719" s="3" t="str">
        <f t="shared" si="1"/>
        <v>arguably&lt;br&gt;&lt;div class="audio"&gt;[sound:arguably.mp3]&lt;/div&gt;</v>
      </c>
      <c r="F4719" s="3" t="str">
        <f t="shared" si="2"/>
        <v>(adv): có thể tranh luận</v>
      </c>
      <c r="G4719" s="6" t="s">
        <v>54232</v>
      </c>
      <c r="H4719" s="6" t="s">
        <v>54233</v>
      </c>
      <c r="I4719" s="7">
        <f t="shared" si="3"/>
        <v>0.5204567952</v>
      </c>
    </row>
    <row r="4720">
      <c r="A4720" s="4">
        <v>4720.0</v>
      </c>
      <c r="B4720" s="3" t="s">
        <v>54234</v>
      </c>
      <c r="C4720" s="6" t="s">
        <v>74</v>
      </c>
      <c r="D4720" s="6" t="s">
        <v>54235</v>
      </c>
      <c r="E4720" s="3" t="str">
        <f t="shared" si="1"/>
        <v>predecessor&lt;br&gt;&lt;div class="audio"&gt;[sound:predecessor.mp3]&lt;/div&gt;</v>
      </c>
      <c r="F4720" s="3" t="str">
        <f t="shared" si="2"/>
        <v>(n): người tiền nhiệm</v>
      </c>
      <c r="G4720" s="6" t="s">
        <v>54236</v>
      </c>
      <c r="H4720" s="6" t="s">
        <v>54237</v>
      </c>
      <c r="I4720" s="7">
        <f t="shared" si="3"/>
        <v>0.5727146164</v>
      </c>
    </row>
    <row r="4721">
      <c r="A4721" s="4">
        <v>4721.0</v>
      </c>
      <c r="B4721" s="3" t="s">
        <v>54238</v>
      </c>
      <c r="C4721" s="6" t="s">
        <v>74</v>
      </c>
      <c r="D4721" s="6" t="s">
        <v>54239</v>
      </c>
      <c r="E4721" s="3" t="str">
        <f t="shared" si="1"/>
        <v>novelist&lt;br&gt;&lt;div class="audio"&gt;[sound:novelist.mp3]&lt;/div&gt;</v>
      </c>
      <c r="F4721" s="3" t="str">
        <f t="shared" si="2"/>
        <v>(n): tiểu thuyết gia</v>
      </c>
      <c r="G4721" s="6" t="s">
        <v>54240</v>
      </c>
      <c r="H4721" s="6" t="s">
        <v>54241</v>
      </c>
      <c r="I4721" s="7">
        <f t="shared" si="3"/>
        <v>0.07794904759</v>
      </c>
    </row>
    <row r="4722">
      <c r="A4722" s="4">
        <v>4722.0</v>
      </c>
      <c r="B4722" s="3" t="s">
        <v>54242</v>
      </c>
      <c r="C4722" s="6" t="s">
        <v>74</v>
      </c>
      <c r="D4722" s="6" t="s">
        <v>41290</v>
      </c>
      <c r="E4722" s="3" t="str">
        <f t="shared" si="1"/>
        <v>mentor&lt;br&gt;&lt;div class="audio"&gt;[sound:mentor.mp3]&lt;/div&gt;</v>
      </c>
      <c r="F4722" s="3" t="str">
        <f t="shared" si="2"/>
        <v>(n): người hướng dẫn</v>
      </c>
      <c r="G4722" s="6" t="s">
        <v>54243</v>
      </c>
      <c r="H4722" s="6" t="s">
        <v>54244</v>
      </c>
      <c r="I4722" s="7">
        <f t="shared" si="3"/>
        <v>0.2841107191</v>
      </c>
    </row>
    <row r="4723">
      <c r="A4723" s="4">
        <v>4723.0</v>
      </c>
      <c r="B4723" s="3" t="s">
        <v>54245</v>
      </c>
      <c r="C4723" s="6" t="s">
        <v>74</v>
      </c>
      <c r="D4723" s="6" t="s">
        <v>54246</v>
      </c>
      <c r="E4723" s="3" t="str">
        <f t="shared" si="1"/>
        <v>beneficiary&lt;br&gt;&lt;div class="audio"&gt;[sound:beneficiary.mp3]&lt;/div&gt;</v>
      </c>
      <c r="F4723" s="3" t="str">
        <f t="shared" si="2"/>
        <v>(n): người thụ hưởng</v>
      </c>
      <c r="G4723" s="6" t="s">
        <v>54247</v>
      </c>
      <c r="H4723" s="6" t="s">
        <v>54248</v>
      </c>
      <c r="I4723" s="7">
        <f t="shared" si="3"/>
        <v>0.7900855293</v>
      </c>
    </row>
    <row r="4724">
      <c r="A4724" s="4">
        <v>4724.0</v>
      </c>
      <c r="B4724" s="3" t="s">
        <v>54249</v>
      </c>
      <c r="C4724" s="6" t="s">
        <v>11</v>
      </c>
      <c r="D4724" s="6" t="s">
        <v>54250</v>
      </c>
      <c r="E4724" s="3" t="str">
        <f t="shared" si="1"/>
        <v>flawed&lt;br&gt;&lt;div class="audio"&gt;[sound:flawed.mp3]&lt;/div&gt;</v>
      </c>
      <c r="F4724" s="3" t="str">
        <f t="shared" si="2"/>
        <v>(adj): có khiếm khuyết</v>
      </c>
      <c r="G4724" s="6" t="s">
        <v>54251</v>
      </c>
      <c r="H4724" s="6" t="s">
        <v>54252</v>
      </c>
      <c r="I4724" s="7">
        <f t="shared" si="3"/>
        <v>0.5791635842</v>
      </c>
    </row>
    <row r="4725">
      <c r="A4725" s="4">
        <v>4725.0</v>
      </c>
      <c r="B4725" s="3" t="s">
        <v>54253</v>
      </c>
      <c r="C4725" s="6" t="s">
        <v>24</v>
      </c>
      <c r="D4725" s="6" t="s">
        <v>54254</v>
      </c>
      <c r="E4725" s="3" t="str">
        <f t="shared" si="1"/>
        <v>thrive&lt;br&gt;&lt;div class="audio"&gt;[sound:thrive.mp3]&lt;/div&gt;</v>
      </c>
      <c r="F4725" s="3" t="str">
        <f t="shared" si="2"/>
        <v>(v): phát triển mạnh</v>
      </c>
      <c r="G4725" s="6" t="s">
        <v>54255</v>
      </c>
      <c r="H4725" s="6" t="s">
        <v>54256</v>
      </c>
      <c r="I4725" s="7">
        <f t="shared" si="3"/>
        <v>0.2330390898</v>
      </c>
    </row>
    <row r="4726">
      <c r="A4726" s="4">
        <v>4726.0</v>
      </c>
      <c r="B4726" s="3" t="s">
        <v>54257</v>
      </c>
      <c r="C4726" s="6" t="s">
        <v>11</v>
      </c>
      <c r="D4726" s="6" t="s">
        <v>54258</v>
      </c>
      <c r="E4726" s="3" t="str">
        <f t="shared" si="1"/>
        <v>architectural&lt;br&gt;&lt;div class="audio"&gt;[sound:architectural.mp3]&lt;/div&gt;</v>
      </c>
      <c r="F4726" s="3" t="str">
        <f t="shared" si="2"/>
        <v>(adj): thuộc kiến trúc</v>
      </c>
      <c r="G4726" s="6" t="s">
        <v>54259</v>
      </c>
      <c r="H4726" s="6" t="s">
        <v>54260</v>
      </c>
      <c r="I4726" s="7">
        <f t="shared" si="3"/>
        <v>0.4788095597</v>
      </c>
    </row>
    <row r="4727">
      <c r="A4727" s="4">
        <v>4727.0</v>
      </c>
      <c r="B4727" s="3" t="s">
        <v>54261</v>
      </c>
      <c r="C4727" s="6" t="s">
        <v>74</v>
      </c>
      <c r="D4727" s="6" t="s">
        <v>54262</v>
      </c>
      <c r="E4727" s="3" t="str">
        <f t="shared" si="1"/>
        <v>monument&lt;br&gt;&lt;div class="audio"&gt;[sound:monument.mp3]&lt;/div&gt;</v>
      </c>
      <c r="F4727" s="3" t="str">
        <f t="shared" si="2"/>
        <v>(n): đài tưởng niệm</v>
      </c>
      <c r="G4727" s="6" t="s">
        <v>54263</v>
      </c>
      <c r="H4727" s="6" t="s">
        <v>54264</v>
      </c>
      <c r="I4727" s="7">
        <f t="shared" si="3"/>
        <v>0.8471548359</v>
      </c>
    </row>
    <row r="4728">
      <c r="A4728" s="4">
        <v>4728.0</v>
      </c>
      <c r="B4728" s="3" t="s">
        <v>54265</v>
      </c>
      <c r="C4728" s="6" t="s">
        <v>11</v>
      </c>
      <c r="D4728" s="6" t="s">
        <v>54266</v>
      </c>
      <c r="E4728" s="3" t="str">
        <f t="shared" si="1"/>
        <v>astonishing&lt;br&gt;&lt;div class="audio"&gt;[sound:astonishing.mp3]&lt;/div&gt;</v>
      </c>
      <c r="F4728" s="3" t="str">
        <f t="shared" si="2"/>
        <v>(adj): đáng kinh ngạc</v>
      </c>
      <c r="G4728" s="6" t="s">
        <v>54267</v>
      </c>
      <c r="H4728" s="6" t="s">
        <v>54268</v>
      </c>
      <c r="I4728" s="7">
        <f t="shared" si="3"/>
        <v>0.4594967245</v>
      </c>
    </row>
    <row r="4729">
      <c r="A4729" s="4">
        <v>4729.0</v>
      </c>
      <c r="B4729" s="3" t="s">
        <v>54269</v>
      </c>
      <c r="C4729" s="6" t="s">
        <v>74</v>
      </c>
      <c r="D4729" s="6" t="s">
        <v>54262</v>
      </c>
      <c r="E4729" s="3" t="str">
        <f t="shared" si="1"/>
        <v>memorial&lt;br&gt;&lt;div class="audio"&gt;[sound:memorial.mp3]&lt;/div&gt;</v>
      </c>
      <c r="F4729" s="3" t="str">
        <f t="shared" si="2"/>
        <v>(n): đài tưởng niệm</v>
      </c>
      <c r="G4729" s="6" t="s">
        <v>54270</v>
      </c>
      <c r="H4729" s="6" t="s">
        <v>54271</v>
      </c>
      <c r="I4729" s="7">
        <f t="shared" si="3"/>
        <v>0.02128734807</v>
      </c>
    </row>
    <row r="4730">
      <c r="A4730" s="4">
        <v>4730.0</v>
      </c>
      <c r="B4730" s="3" t="s">
        <v>54272</v>
      </c>
      <c r="C4730" s="6" t="s">
        <v>11</v>
      </c>
      <c r="D4730" s="6" t="s">
        <v>54273</v>
      </c>
      <c r="E4730" s="3" t="str">
        <f t="shared" si="1"/>
        <v>liable&lt;br&gt;&lt;div class="audio"&gt;[sound:liable.mp3]&lt;/div&gt;</v>
      </c>
      <c r="F4730" s="3" t="str">
        <f t="shared" si="2"/>
        <v>(adj): có trách nhiệm</v>
      </c>
      <c r="G4730" s="6" t="s">
        <v>54274</v>
      </c>
      <c r="H4730" s="6" t="s">
        <v>54275</v>
      </c>
      <c r="I4730" s="7">
        <f t="shared" si="3"/>
        <v>0.4754601958</v>
      </c>
    </row>
    <row r="4731">
      <c r="A4731" s="4">
        <v>4731.0</v>
      </c>
      <c r="B4731" s="3" t="s">
        <v>54276</v>
      </c>
      <c r="C4731" s="6" t="s">
        <v>74</v>
      </c>
      <c r="D4731" s="6" t="s">
        <v>54277</v>
      </c>
      <c r="E4731" s="3" t="str">
        <f t="shared" si="1"/>
        <v>ambulance&lt;br&gt;&lt;div class="audio"&gt;[sound:ambulance.mp3]&lt;/div&gt;</v>
      </c>
      <c r="F4731" s="3" t="str">
        <f t="shared" si="2"/>
        <v>(n): xe cứu thương</v>
      </c>
      <c r="G4731" s="6" t="s">
        <v>54278</v>
      </c>
      <c r="H4731" s="6" t="s">
        <v>54279</v>
      </c>
      <c r="I4731" s="7">
        <f t="shared" si="3"/>
        <v>0.1418327733</v>
      </c>
    </row>
    <row r="4732">
      <c r="A4732" s="4">
        <v>4732.0</v>
      </c>
      <c r="B4732" s="3" t="s">
        <v>54280</v>
      </c>
      <c r="C4732" s="6" t="s">
        <v>11</v>
      </c>
      <c r="D4732" s="6" t="s">
        <v>54281</v>
      </c>
      <c r="E4732" s="3" t="str">
        <f t="shared" si="1"/>
        <v>judicial&lt;br&gt;&lt;div class="audio"&gt;[sound:judicial.mp3]&lt;/div&gt;</v>
      </c>
      <c r="F4732" s="3" t="str">
        <f t="shared" si="2"/>
        <v>(adj): thuộc tư pháp</v>
      </c>
      <c r="G4732" s="6" t="s">
        <v>54282</v>
      </c>
      <c r="H4732" s="6" t="s">
        <v>54283</v>
      </c>
      <c r="I4732" s="7">
        <f t="shared" si="3"/>
        <v>0.6117413551</v>
      </c>
    </row>
    <row r="4733">
      <c r="A4733" s="4">
        <v>4733.0</v>
      </c>
      <c r="B4733" s="3" t="s">
        <v>54284</v>
      </c>
      <c r="C4733" s="6" t="s">
        <v>74</v>
      </c>
      <c r="D4733" s="6" t="s">
        <v>54285</v>
      </c>
      <c r="E4733" s="3" t="str">
        <f t="shared" si="1"/>
        <v>liberation&lt;br&gt;&lt;div class="audio"&gt;[sound:liberation.mp3]&lt;/div&gt;</v>
      </c>
      <c r="F4733" s="3" t="str">
        <f t="shared" si="2"/>
        <v>(n): sự giải phóng</v>
      </c>
      <c r="G4733" s="6" t="s">
        <v>54286</v>
      </c>
      <c r="H4733" s="6" t="s">
        <v>54287</v>
      </c>
      <c r="I4733" s="7">
        <f t="shared" si="3"/>
        <v>0.04341732224</v>
      </c>
    </row>
    <row r="4734">
      <c r="A4734" s="4">
        <v>4734.0</v>
      </c>
      <c r="B4734" s="3" t="s">
        <v>54288</v>
      </c>
      <c r="C4734" s="6" t="s">
        <v>74</v>
      </c>
      <c r="D4734" s="6" t="s">
        <v>51559</v>
      </c>
      <c r="E4734" s="3" t="str">
        <f t="shared" si="1"/>
        <v>navigation&lt;br&gt;&lt;div class="audio"&gt;[sound:navigation.mp3]&lt;/div&gt;</v>
      </c>
      <c r="F4734" s="3" t="str">
        <f t="shared" si="2"/>
        <v>(n): sự định hướng</v>
      </c>
      <c r="G4734" s="6" t="s">
        <v>54289</v>
      </c>
      <c r="H4734" s="6" t="s">
        <v>54290</v>
      </c>
      <c r="I4734" s="7">
        <f t="shared" si="3"/>
        <v>0.3701153438</v>
      </c>
    </row>
    <row r="4735">
      <c r="A4735" s="4">
        <v>4735.0</v>
      </c>
      <c r="B4735" s="3" t="s">
        <v>54291</v>
      </c>
      <c r="C4735" s="6" t="s">
        <v>74</v>
      </c>
      <c r="D4735" s="6" t="s">
        <v>54292</v>
      </c>
      <c r="E4735" s="3" t="str">
        <f t="shared" si="1"/>
        <v>bail&lt;br&gt;&lt;div class="audio"&gt;[sound:bail.mp3]&lt;/div&gt;</v>
      </c>
      <c r="F4735" s="3" t="str">
        <f t="shared" si="2"/>
        <v>(n): tiền bảo lãnh</v>
      </c>
      <c r="G4735" s="6" t="s">
        <v>54293</v>
      </c>
      <c r="H4735" s="6" t="s">
        <v>54294</v>
      </c>
      <c r="I4735" s="7">
        <f t="shared" si="3"/>
        <v>0.1286363458</v>
      </c>
    </row>
    <row r="4736">
      <c r="A4736" s="4">
        <v>4736.0</v>
      </c>
      <c r="B4736" s="3" t="s">
        <v>54295</v>
      </c>
      <c r="C4736" s="6" t="s">
        <v>74</v>
      </c>
      <c r="D4736" s="6" t="s">
        <v>54296</v>
      </c>
      <c r="E4736" s="3" t="str">
        <f t="shared" si="1"/>
        <v>assertion&lt;br&gt;&lt;div class="audio"&gt;[sound:assertion.mp3]&lt;/div&gt;</v>
      </c>
      <c r="F4736" s="3" t="str">
        <f t="shared" si="2"/>
        <v>(n): sự khẳng định</v>
      </c>
      <c r="G4736" s="6" t="s">
        <v>54297</v>
      </c>
      <c r="H4736" s="6" t="s">
        <v>54298</v>
      </c>
      <c r="I4736" s="7">
        <f t="shared" si="3"/>
        <v>0.6937475834</v>
      </c>
    </row>
    <row r="4737">
      <c r="A4737" s="4">
        <v>4737.0</v>
      </c>
      <c r="B4737" s="3" t="s">
        <v>54299</v>
      </c>
      <c r="C4737" s="6" t="s">
        <v>85</v>
      </c>
      <c r="D4737" s="6" t="s">
        <v>49224</v>
      </c>
      <c r="E4737" s="3" t="str">
        <f t="shared" si="1"/>
        <v>luckily&lt;br&gt;&lt;div class="audio"&gt;[sound:luckily.mp3]&lt;/div&gt;</v>
      </c>
      <c r="F4737" s="3" t="str">
        <f t="shared" si="2"/>
        <v>(adv): may mắn thay</v>
      </c>
      <c r="G4737" s="6" t="s">
        <v>54300</v>
      </c>
      <c r="H4737" s="6" t="s">
        <v>54301</v>
      </c>
      <c r="I4737" s="7">
        <f t="shared" si="3"/>
        <v>0.6695272865</v>
      </c>
    </row>
    <row r="4738">
      <c r="A4738" s="4">
        <v>4738.0</v>
      </c>
      <c r="B4738" s="3" t="s">
        <v>54302</v>
      </c>
      <c r="C4738" s="6" t="s">
        <v>11</v>
      </c>
      <c r="D4738" s="6" t="s">
        <v>54303</v>
      </c>
      <c r="E4738" s="3" t="str">
        <f t="shared" si="1"/>
        <v>lesbian&lt;br&gt;&lt;div class="audio"&gt;[sound:lesbian.mp3]&lt;/div&gt;</v>
      </c>
      <c r="F4738" s="3" t="str">
        <f t="shared" si="2"/>
        <v>(adj): đồng tính nữ</v>
      </c>
      <c r="G4738" s="6" t="s">
        <v>54304</v>
      </c>
      <c r="H4738" s="6" t="s">
        <v>54305</v>
      </c>
      <c r="I4738" s="7">
        <f t="shared" si="3"/>
        <v>0.53118252</v>
      </c>
    </row>
    <row r="4739">
      <c r="A4739" s="4">
        <v>4739.0</v>
      </c>
      <c r="B4739" s="3" t="s">
        <v>54306</v>
      </c>
      <c r="C4739" s="6" t="s">
        <v>74</v>
      </c>
      <c r="D4739" s="6" t="s">
        <v>12333</v>
      </c>
      <c r="E4739" s="3" t="str">
        <f t="shared" si="1"/>
        <v>decoration&lt;br&gt;&lt;div class="audio"&gt;[sound:decoration.mp3]&lt;/div&gt;</v>
      </c>
      <c r="F4739" s="3" t="str">
        <f t="shared" si="2"/>
        <v>(n): sự trang trí</v>
      </c>
      <c r="G4739" s="6" t="s">
        <v>54307</v>
      </c>
      <c r="H4739" s="6" t="s">
        <v>54308</v>
      </c>
      <c r="I4739" s="7">
        <f t="shared" si="3"/>
        <v>0.3981746015</v>
      </c>
    </row>
    <row r="4740">
      <c r="A4740" s="4">
        <v>4740.0</v>
      </c>
      <c r="B4740" s="3" t="s">
        <v>54309</v>
      </c>
      <c r="C4740" s="6" t="s">
        <v>74</v>
      </c>
      <c r="D4740" s="6" t="s">
        <v>54310</v>
      </c>
      <c r="E4740" s="3" t="str">
        <f t="shared" si="1"/>
        <v>educator&lt;br&gt;&lt;div class="audio"&gt;[sound:educator.mp3]&lt;/div&gt;</v>
      </c>
      <c r="F4740" s="3" t="str">
        <f t="shared" si="2"/>
        <v>(n): nhà giáo dục</v>
      </c>
      <c r="G4740" s="6" t="s">
        <v>54311</v>
      </c>
      <c r="H4740" s="6" t="s">
        <v>54312</v>
      </c>
      <c r="I4740" s="7">
        <f t="shared" si="3"/>
        <v>0.6560583884</v>
      </c>
    </row>
    <row r="4741">
      <c r="A4741" s="4">
        <v>4741.0</v>
      </c>
      <c r="B4741" s="3" t="s">
        <v>54313</v>
      </c>
      <c r="C4741" s="6" t="s">
        <v>74</v>
      </c>
      <c r="D4741" s="6" t="s">
        <v>54314</v>
      </c>
      <c r="E4741" s="3" t="str">
        <f t="shared" si="1"/>
        <v>manipulation&lt;br&gt;&lt;div class="audio"&gt;[sound:manipulation.mp3]&lt;/div&gt;</v>
      </c>
      <c r="F4741" s="3" t="str">
        <f t="shared" si="2"/>
        <v>(n): sự thao túng</v>
      </c>
      <c r="G4741" s="6" t="s">
        <v>54315</v>
      </c>
      <c r="H4741" s="6" t="s">
        <v>54316</v>
      </c>
      <c r="I4741" s="7">
        <f t="shared" si="3"/>
        <v>0.07568190178</v>
      </c>
    </row>
    <row r="4742">
      <c r="A4742" s="4">
        <v>4742.0</v>
      </c>
      <c r="B4742" s="3" t="s">
        <v>54317</v>
      </c>
      <c r="C4742" s="6" t="s">
        <v>11</v>
      </c>
      <c r="D4742" s="6" t="s">
        <v>54318</v>
      </c>
      <c r="E4742" s="3" t="str">
        <f t="shared" si="1"/>
        <v>unprecedented&lt;br&gt;&lt;div class="audio"&gt;[sound:unprecedented.mp3]&lt;/div&gt;</v>
      </c>
      <c r="F4742" s="3" t="str">
        <f t="shared" si="2"/>
        <v>(adj): chưa từng có</v>
      </c>
      <c r="G4742" s="6" t="s">
        <v>54319</v>
      </c>
      <c r="H4742" s="6" t="s">
        <v>54320</v>
      </c>
      <c r="I4742" s="7">
        <f t="shared" si="3"/>
        <v>0.05374817982</v>
      </c>
    </row>
    <row r="4743">
      <c r="A4743" s="4">
        <v>4743.0</v>
      </c>
      <c r="B4743" s="3" t="s">
        <v>54321</v>
      </c>
      <c r="C4743" s="6" t="s">
        <v>74</v>
      </c>
      <c r="D4743" s="6" t="s">
        <v>54322</v>
      </c>
      <c r="E4743" s="3" t="str">
        <f t="shared" si="1"/>
        <v>justification&lt;br&gt;&lt;div class="audio"&gt;[sound:justification.mp3]&lt;/div&gt;</v>
      </c>
      <c r="F4743" s="3" t="str">
        <f t="shared" si="2"/>
        <v>(n): sự biện minh</v>
      </c>
      <c r="G4743" s="6" t="s">
        <v>54323</v>
      </c>
      <c r="H4743" s="6" t="s">
        <v>54324</v>
      </c>
      <c r="I4743" s="7">
        <f t="shared" si="3"/>
        <v>0.8885244609</v>
      </c>
    </row>
    <row r="4744">
      <c r="A4744" s="4">
        <v>4744.0</v>
      </c>
      <c r="B4744" s="3" t="s">
        <v>54325</v>
      </c>
      <c r="C4744" s="6" t="s">
        <v>74</v>
      </c>
      <c r="D4744" s="6" t="s">
        <v>54326</v>
      </c>
      <c r="E4744" s="3" t="str">
        <f t="shared" si="1"/>
        <v>distress&lt;br&gt;&lt;div class="audio"&gt;[sound:distress.mp3]&lt;/div&gt;</v>
      </c>
      <c r="F4744" s="3" t="str">
        <f t="shared" si="2"/>
        <v>(n): sự đau buồn</v>
      </c>
      <c r="G4744" s="6" t="s">
        <v>54327</v>
      </c>
      <c r="H4744" s="6" t="s">
        <v>54328</v>
      </c>
      <c r="I4744" s="7">
        <f t="shared" si="3"/>
        <v>0.9960829445</v>
      </c>
    </row>
    <row r="4745">
      <c r="A4745" s="4">
        <v>4745.0</v>
      </c>
      <c r="B4745" s="3" t="s">
        <v>54329</v>
      </c>
      <c r="C4745" s="6" t="s">
        <v>74</v>
      </c>
      <c r="D4745" s="6" t="s">
        <v>54330</v>
      </c>
      <c r="E4745" s="3" t="str">
        <f t="shared" si="1"/>
        <v>outsider&lt;br&gt;&lt;div class="audio"&gt;[sound:outsider.mp3]&lt;/div&gt;</v>
      </c>
      <c r="F4745" s="3" t="str">
        <f t="shared" si="2"/>
        <v>(n): người ngoài</v>
      </c>
      <c r="G4745" s="6" t="s">
        <v>54331</v>
      </c>
      <c r="H4745" s="6" t="s">
        <v>54332</v>
      </c>
      <c r="I4745" s="7">
        <f t="shared" si="3"/>
        <v>0.05296199874</v>
      </c>
    </row>
    <row r="4746">
      <c r="A4746" s="4">
        <v>4746.0</v>
      </c>
      <c r="B4746" s="3" t="s">
        <v>54333</v>
      </c>
      <c r="C4746" s="6" t="s">
        <v>74</v>
      </c>
      <c r="D4746" s="6" t="s">
        <v>54334</v>
      </c>
      <c r="E4746" s="3" t="str">
        <f t="shared" si="1"/>
        <v>wit&lt;br&gt;&lt;div class="audio"&gt;[sound:wit.mp3]&lt;/div&gt;</v>
      </c>
      <c r="F4746" s="3" t="str">
        <f t="shared" si="2"/>
        <v>(n): sự hóm hỉnh</v>
      </c>
      <c r="G4746" s="6" t="s">
        <v>54335</v>
      </c>
      <c r="H4746" s="6" t="s">
        <v>54336</v>
      </c>
      <c r="I4746" s="7">
        <f t="shared" si="3"/>
        <v>0.8146756949</v>
      </c>
    </row>
    <row r="4747">
      <c r="A4747" s="4">
        <v>4747.0</v>
      </c>
      <c r="B4747" s="3" t="s">
        <v>54337</v>
      </c>
      <c r="C4747" s="6" t="s">
        <v>74</v>
      </c>
      <c r="D4747" s="6" t="s">
        <v>12474</v>
      </c>
      <c r="E4747" s="3" t="str">
        <f t="shared" si="1"/>
        <v>analogy&lt;br&gt;&lt;div class="audio"&gt;[sound:analogy.mp3]&lt;/div&gt;</v>
      </c>
      <c r="F4747" s="3" t="str">
        <f t="shared" si="2"/>
        <v>(n): sự tương tự</v>
      </c>
      <c r="G4747" s="6" t="s">
        <v>54338</v>
      </c>
      <c r="H4747" s="6" t="s">
        <v>54339</v>
      </c>
      <c r="I4747" s="7">
        <f t="shared" si="3"/>
        <v>0.1588138323</v>
      </c>
    </row>
    <row r="4748">
      <c r="A4748" s="4">
        <v>4748.0</v>
      </c>
      <c r="B4748" s="3" t="s">
        <v>54340</v>
      </c>
      <c r="C4748" s="6" t="s">
        <v>85</v>
      </c>
      <c r="D4748" s="6" t="s">
        <v>49361</v>
      </c>
      <c r="E4748" s="3" t="str">
        <f t="shared" si="1"/>
        <v>allegedly&lt;br&gt;&lt;div class="audio"&gt;[sound:allegedly.mp3]&lt;/div&gt;</v>
      </c>
      <c r="F4748" s="3" t="str">
        <f t="shared" si="2"/>
        <v>(adv): được cho là</v>
      </c>
      <c r="G4748" s="6" t="s">
        <v>54341</v>
      </c>
      <c r="H4748" s="6" t="s">
        <v>54342</v>
      </c>
      <c r="I4748" s="7">
        <f t="shared" si="3"/>
        <v>0.7945162328</v>
      </c>
    </row>
    <row r="4749">
      <c r="A4749" s="4">
        <v>4749.0</v>
      </c>
      <c r="B4749" s="3" t="s">
        <v>54343</v>
      </c>
      <c r="C4749" s="6" t="s">
        <v>74</v>
      </c>
      <c r="D4749" s="6" t="s">
        <v>54344</v>
      </c>
      <c r="E4749" s="3" t="str">
        <f t="shared" si="1"/>
        <v>coordination&lt;br&gt;&lt;div class="audio"&gt;[sound:coordination.mp3]&lt;/div&gt;</v>
      </c>
      <c r="F4749" s="3" t="str">
        <f t="shared" si="2"/>
        <v>(n): sự phối hợp</v>
      </c>
      <c r="G4749" s="6" t="s">
        <v>54345</v>
      </c>
      <c r="H4749" s="6" t="s">
        <v>54346</v>
      </c>
      <c r="I4749" s="7">
        <f t="shared" si="3"/>
        <v>0.5036757869</v>
      </c>
    </row>
    <row r="4750">
      <c r="A4750" s="4">
        <v>4750.0</v>
      </c>
      <c r="B4750" s="3" t="s">
        <v>54347</v>
      </c>
      <c r="C4750" s="6" t="s">
        <v>11</v>
      </c>
      <c r="D4750" s="6" t="s">
        <v>50835</v>
      </c>
      <c r="E4750" s="3" t="str">
        <f t="shared" si="1"/>
        <v>legendary&lt;br&gt;&lt;div class="audio"&gt;[sound:legendary.mp3]&lt;/div&gt;</v>
      </c>
      <c r="F4750" s="3" t="str">
        <f t="shared" si="2"/>
        <v>(adj): huyền thoại</v>
      </c>
      <c r="G4750" s="6" t="s">
        <v>54348</v>
      </c>
      <c r="H4750" s="6" t="s">
        <v>54349</v>
      </c>
      <c r="I4750" s="7">
        <f t="shared" si="3"/>
        <v>0.8129559393</v>
      </c>
    </row>
    <row r="4751">
      <c r="A4751" s="4">
        <v>4751.0</v>
      </c>
      <c r="B4751" s="3" t="s">
        <v>54350</v>
      </c>
      <c r="C4751" s="6" t="s">
        <v>74</v>
      </c>
      <c r="D4751" s="6" t="s">
        <v>49407</v>
      </c>
      <c r="E4751" s="3" t="str">
        <f t="shared" si="1"/>
        <v>prevalence&lt;br&gt;&lt;div class="audio"&gt;[sound:prevalence.mp3]&lt;/div&gt;</v>
      </c>
      <c r="F4751" s="3" t="str">
        <f t="shared" si="2"/>
        <v>(n): sự phổ biến</v>
      </c>
      <c r="G4751" s="6" t="s">
        <v>54351</v>
      </c>
      <c r="H4751" s="6" t="s">
        <v>54352</v>
      </c>
      <c r="I4751" s="7">
        <f t="shared" si="3"/>
        <v>0.8609066588</v>
      </c>
    </row>
    <row r="4752">
      <c r="A4752" s="4">
        <v>4752.0</v>
      </c>
      <c r="B4752" s="3" t="s">
        <v>54353</v>
      </c>
      <c r="C4752" s="6" t="s">
        <v>74</v>
      </c>
      <c r="D4752" s="6" t="s">
        <v>6734</v>
      </c>
      <c r="E4752" s="3" t="str">
        <f t="shared" si="1"/>
        <v>accumulation&lt;br&gt;&lt;div class="audio"&gt;[sound:accumulation.mp3]&lt;/div&gt;</v>
      </c>
      <c r="F4752" s="3" t="str">
        <f t="shared" si="2"/>
        <v>(n): sự tích lũy</v>
      </c>
      <c r="G4752" s="6" t="s">
        <v>54354</v>
      </c>
      <c r="H4752" s="6" t="s">
        <v>54355</v>
      </c>
      <c r="I4752" s="7">
        <f t="shared" si="3"/>
        <v>0.693582</v>
      </c>
    </row>
    <row r="4753">
      <c r="A4753" s="4">
        <v>4753.0</v>
      </c>
      <c r="B4753" s="3" t="s">
        <v>54356</v>
      </c>
      <c r="C4753" s="6" t="s">
        <v>74</v>
      </c>
      <c r="D4753" s="6" t="s">
        <v>54357</v>
      </c>
      <c r="E4753" s="3" t="str">
        <f t="shared" si="1"/>
        <v>mandate&lt;br&gt;&lt;div class="audio"&gt;[sound:mandate.mp3]&lt;/div&gt;</v>
      </c>
      <c r="F4753" s="3" t="str">
        <f t="shared" si="2"/>
        <v>(n): sự ủy nhiệm</v>
      </c>
      <c r="G4753" s="6" t="s">
        <v>54358</v>
      </c>
      <c r="H4753" s="6" t="s">
        <v>54359</v>
      </c>
      <c r="I4753" s="7">
        <f t="shared" si="3"/>
        <v>0.8958801837</v>
      </c>
    </row>
    <row r="4754">
      <c r="A4754" s="4">
        <v>4754.0</v>
      </c>
      <c r="B4754" s="3" t="s">
        <v>54360</v>
      </c>
      <c r="C4754" s="6" t="s">
        <v>74</v>
      </c>
      <c r="D4754" s="6" t="s">
        <v>5473</v>
      </c>
      <c r="E4754" s="3" t="str">
        <f t="shared" si="1"/>
        <v>accountability&lt;br&gt;&lt;div class="audio"&gt;[sound:accountability.mp3]&lt;/div&gt;</v>
      </c>
      <c r="F4754" s="3" t="str">
        <f t="shared" si="2"/>
        <v>(n): trách nhiệm</v>
      </c>
      <c r="G4754" s="6" t="s">
        <v>54361</v>
      </c>
      <c r="H4754" s="6" t="s">
        <v>54362</v>
      </c>
      <c r="I4754" s="7">
        <f t="shared" si="3"/>
        <v>0.4065468955</v>
      </c>
    </row>
    <row r="4755">
      <c r="A4755" s="4">
        <v>4755.0</v>
      </c>
      <c r="B4755" s="3" t="s">
        <v>54363</v>
      </c>
      <c r="C4755" s="6" t="s">
        <v>24</v>
      </c>
      <c r="D4755" s="6" t="s">
        <v>13767</v>
      </c>
      <c r="E4755" s="3" t="str">
        <f t="shared" si="1"/>
        <v>prevail&lt;br&gt;&lt;div class="audio"&gt;[sound:prevail.mp3]&lt;/div&gt;</v>
      </c>
      <c r="F4755" s="3" t="str">
        <f t="shared" si="2"/>
        <v>(v): thịnh hành</v>
      </c>
      <c r="G4755" s="6" t="s">
        <v>54364</v>
      </c>
      <c r="H4755" s="6" t="s">
        <v>54365</v>
      </c>
      <c r="I4755" s="7">
        <f t="shared" si="3"/>
        <v>0.3546551493</v>
      </c>
    </row>
    <row r="4756">
      <c r="A4756" s="4">
        <v>4756.0</v>
      </c>
      <c r="B4756" s="3" t="s">
        <v>54366</v>
      </c>
      <c r="C4756" s="6" t="s">
        <v>74</v>
      </c>
      <c r="D4756" s="6" t="s">
        <v>39695</v>
      </c>
      <c r="E4756" s="3" t="str">
        <f t="shared" si="1"/>
        <v>marketplace&lt;br&gt;&lt;div class="audio"&gt;[sound:marketplace.mp3]&lt;/div&gt;</v>
      </c>
      <c r="F4756" s="3" t="str">
        <f t="shared" si="2"/>
        <v>(n): thị trường</v>
      </c>
      <c r="G4756" s="6" t="s">
        <v>54367</v>
      </c>
      <c r="H4756" s="6" t="s">
        <v>54368</v>
      </c>
      <c r="I4756" s="7">
        <f t="shared" si="3"/>
        <v>0.4815577089</v>
      </c>
    </row>
    <row r="4757">
      <c r="A4757" s="4">
        <v>4757.0</v>
      </c>
      <c r="B4757" s="3" t="s">
        <v>54369</v>
      </c>
      <c r="C4757" s="6" t="s">
        <v>74</v>
      </c>
      <c r="D4757" s="6" t="s">
        <v>54370</v>
      </c>
      <c r="E4757" s="3" t="str">
        <f t="shared" si="1"/>
        <v>outrage&lt;br&gt;&lt;div class="audio"&gt;[sound:outrage.mp3]&lt;/div&gt;</v>
      </c>
      <c r="F4757" s="3" t="str">
        <f t="shared" si="2"/>
        <v>(n): sự phẫn nộ</v>
      </c>
      <c r="G4757" s="6" t="s">
        <v>54371</v>
      </c>
      <c r="H4757" s="6" t="s">
        <v>54372</v>
      </c>
      <c r="I4757" s="7">
        <f t="shared" si="3"/>
        <v>0.4600562905</v>
      </c>
    </row>
    <row r="4758">
      <c r="A4758" s="4">
        <v>4758.0</v>
      </c>
      <c r="B4758" s="3" t="s">
        <v>54373</v>
      </c>
      <c r="C4758" s="6" t="s">
        <v>11</v>
      </c>
      <c r="D4758" s="6" t="s">
        <v>32081</v>
      </c>
      <c r="E4758" s="3" t="str">
        <f t="shared" si="1"/>
        <v>alike&lt;br&gt;&lt;div class="audio"&gt;[sound:alike.mp3]&lt;/div&gt;</v>
      </c>
      <c r="F4758" s="3" t="str">
        <f t="shared" si="2"/>
        <v>(adj): giống nhau</v>
      </c>
      <c r="G4758" s="6" t="s">
        <v>54374</v>
      </c>
      <c r="H4758" s="6" t="s">
        <v>54375</v>
      </c>
      <c r="I4758" s="7">
        <f t="shared" si="3"/>
        <v>0.38994692</v>
      </c>
    </row>
    <row r="4759">
      <c r="A4759" s="4">
        <v>4759.0</v>
      </c>
      <c r="B4759" s="3" t="s">
        <v>54376</v>
      </c>
      <c r="C4759" s="6" t="s">
        <v>11</v>
      </c>
      <c r="D4759" s="6" t="s">
        <v>54377</v>
      </c>
      <c r="E4759" s="3" t="str">
        <f t="shared" si="1"/>
        <v>large-scale&lt;br&gt;&lt;div class="audio"&gt;[sound:large-scale.mp3]&lt;/div&gt;</v>
      </c>
      <c r="F4759" s="3" t="str">
        <f t="shared" si="2"/>
        <v>(adj): quy mô lớn</v>
      </c>
      <c r="G4759" s="6" t="s">
        <v>54378</v>
      </c>
      <c r="H4759" s="6" t="s">
        <v>54379</v>
      </c>
      <c r="I4759" s="7">
        <f t="shared" si="3"/>
        <v>0.8780044044</v>
      </c>
    </row>
    <row r="4760">
      <c r="A4760" s="4">
        <v>4760.0</v>
      </c>
      <c r="B4760" s="3" t="s">
        <v>54380</v>
      </c>
      <c r="C4760" s="6" t="s">
        <v>74</v>
      </c>
      <c r="D4760" s="6" t="s">
        <v>54381</v>
      </c>
      <c r="E4760" s="3" t="str">
        <f t="shared" si="1"/>
        <v>benchmark&lt;br&gt;&lt;div class="audio"&gt;[sound:benchmark.mp3]&lt;/div&gt;</v>
      </c>
      <c r="F4760" s="3" t="str">
        <f t="shared" si="2"/>
        <v>(n): điểm chuẩn</v>
      </c>
      <c r="G4760" s="6" t="s">
        <v>54382</v>
      </c>
      <c r="H4760" s="6" t="s">
        <v>54383</v>
      </c>
      <c r="I4760" s="7">
        <f t="shared" si="3"/>
        <v>0.3591737466</v>
      </c>
    </row>
    <row r="4761">
      <c r="A4761" s="4">
        <v>4761.0</v>
      </c>
      <c r="B4761" s="3" t="s">
        <v>54384</v>
      </c>
      <c r="C4761" s="6" t="s">
        <v>74</v>
      </c>
      <c r="D4761" s="6" t="s">
        <v>36391</v>
      </c>
      <c r="E4761" s="3" t="str">
        <f t="shared" si="1"/>
        <v>elbow&lt;br&gt;&lt;div class="audio"&gt;[sound:elbow.mp3]&lt;/div&gt;</v>
      </c>
      <c r="F4761" s="3" t="str">
        <f t="shared" si="2"/>
        <v>(n): khuỷu tay</v>
      </c>
      <c r="G4761" s="6" t="s">
        <v>54385</v>
      </c>
      <c r="H4761" s="6" t="s">
        <v>54386</v>
      </c>
      <c r="I4761" s="7">
        <f t="shared" si="3"/>
        <v>0.5807281953</v>
      </c>
    </row>
    <row r="4762">
      <c r="A4762" s="4">
        <v>4762.0</v>
      </c>
      <c r="B4762" s="3" t="s">
        <v>54387</v>
      </c>
      <c r="C4762" s="6" t="s">
        <v>11</v>
      </c>
      <c r="D4762" s="6" t="s">
        <v>12607</v>
      </c>
      <c r="E4762" s="3" t="str">
        <f t="shared" si="1"/>
        <v>amateur&lt;br&gt;&lt;div class="audio"&gt;[sound:amateur.mp3]&lt;/div&gt;</v>
      </c>
      <c r="F4762" s="3" t="str">
        <f t="shared" si="2"/>
        <v>(adj): nghiệp dư</v>
      </c>
      <c r="G4762" s="6" t="s">
        <v>54388</v>
      </c>
      <c r="H4762" s="6" t="s">
        <v>54389</v>
      </c>
      <c r="I4762" s="7">
        <f t="shared" si="3"/>
        <v>0.5960036426</v>
      </c>
    </row>
    <row r="4763">
      <c r="A4763" s="4">
        <v>4763.0</v>
      </c>
      <c r="B4763" s="3" t="s">
        <v>54390</v>
      </c>
      <c r="C4763" s="6" t="s">
        <v>24</v>
      </c>
      <c r="D4763" s="6" t="s">
        <v>54391</v>
      </c>
      <c r="E4763" s="3" t="str">
        <f t="shared" si="1"/>
        <v>preach&lt;br&gt;&lt;div class="audio"&gt;[sound:preach.mp3]&lt;/div&gt;</v>
      </c>
      <c r="F4763" s="3" t="str">
        <f t="shared" si="2"/>
        <v>(v): giảng đạo</v>
      </c>
      <c r="G4763" s="6" t="s">
        <v>54392</v>
      </c>
      <c r="H4763" s="6" t="s">
        <v>54393</v>
      </c>
      <c r="I4763" s="7">
        <f t="shared" si="3"/>
        <v>0.8053052426</v>
      </c>
    </row>
    <row r="4764">
      <c r="A4764" s="4">
        <v>4764.0</v>
      </c>
      <c r="B4764" s="3" t="s">
        <v>54394</v>
      </c>
      <c r="C4764" s="6" t="s">
        <v>74</v>
      </c>
      <c r="D4764" s="6" t="s">
        <v>42964</v>
      </c>
      <c r="E4764" s="3" t="str">
        <f t="shared" si="1"/>
        <v>ballot&lt;br&gt;&lt;div class="audio"&gt;[sound:ballot.mp3]&lt;/div&gt;</v>
      </c>
      <c r="F4764" s="3" t="str">
        <f t="shared" si="2"/>
        <v>(n): phiếu bầu</v>
      </c>
      <c r="G4764" s="6" t="s">
        <v>54395</v>
      </c>
      <c r="H4764" s="6" t="s">
        <v>54396</v>
      </c>
      <c r="I4764" s="7">
        <f t="shared" si="3"/>
        <v>0.2808620008</v>
      </c>
    </row>
    <row r="4765">
      <c r="A4765" s="4">
        <v>4765.0</v>
      </c>
      <c r="B4765" s="3" t="s">
        <v>54397</v>
      </c>
      <c r="C4765" s="6" t="s">
        <v>24</v>
      </c>
      <c r="D4765" s="6" t="s">
        <v>54398</v>
      </c>
      <c r="E4765" s="3" t="str">
        <f t="shared" si="1"/>
        <v>bless&lt;br&gt;&lt;div class="audio"&gt;[sound:bless.mp3]&lt;/div&gt;</v>
      </c>
      <c r="F4765" s="3" t="str">
        <f t="shared" si="2"/>
        <v>(v): ban phước</v>
      </c>
      <c r="G4765" s="6" t="s">
        <v>54399</v>
      </c>
      <c r="H4765" s="6" t="s">
        <v>54400</v>
      </c>
      <c r="I4765" s="7">
        <f t="shared" si="3"/>
        <v>0.6610099473</v>
      </c>
    </row>
    <row r="4766">
      <c r="A4766" s="4">
        <v>4766.0</v>
      </c>
      <c r="B4766" s="3" t="s">
        <v>54401</v>
      </c>
      <c r="C4766" s="6" t="s">
        <v>74</v>
      </c>
      <c r="D4766" s="6" t="s">
        <v>54402</v>
      </c>
      <c r="E4766" s="3" t="str">
        <f t="shared" si="1"/>
        <v>endorsement&lt;br&gt;&lt;div class="audio"&gt;[sound:endorsement.mp3]&lt;/div&gt;</v>
      </c>
      <c r="F4766" s="3" t="str">
        <f t="shared" si="2"/>
        <v>(n): sự ủng hộ</v>
      </c>
      <c r="G4766" s="6" t="s">
        <v>54403</v>
      </c>
      <c r="H4766" s="6" t="s">
        <v>54404</v>
      </c>
      <c r="I4766" s="7">
        <f t="shared" si="3"/>
        <v>0.8509686663</v>
      </c>
    </row>
    <row r="4767">
      <c r="A4767" s="4">
        <v>4767.0</v>
      </c>
      <c r="B4767" s="3" t="s">
        <v>54405</v>
      </c>
      <c r="C4767" s="6" t="s">
        <v>74</v>
      </c>
      <c r="D4767" s="6" t="s">
        <v>44294</v>
      </c>
      <c r="E4767" s="3" t="str">
        <f t="shared" si="1"/>
        <v>barrel&lt;br&gt;&lt;div class="audio"&gt;[sound:barrel.mp3]&lt;/div&gt;</v>
      </c>
      <c r="F4767" s="3" t="str">
        <f t="shared" si="2"/>
        <v>(n): cái thùng</v>
      </c>
      <c r="G4767" s="6" t="s">
        <v>54406</v>
      </c>
      <c r="H4767" s="6" t="s">
        <v>54407</v>
      </c>
      <c r="I4767" s="7">
        <f t="shared" si="3"/>
        <v>0.3055112726</v>
      </c>
    </row>
    <row r="4768">
      <c r="A4768" s="4">
        <v>4768.0</v>
      </c>
      <c r="B4768" s="3" t="s">
        <v>54408</v>
      </c>
      <c r="C4768" s="6" t="s">
        <v>74</v>
      </c>
      <c r="D4768" s="6" t="s">
        <v>54409</v>
      </c>
      <c r="E4768" s="3" t="str">
        <f t="shared" si="1"/>
        <v>laser&lt;br&gt;&lt;div class="audio"&gt;[sound:laser.mp3]&lt;/div&gt;</v>
      </c>
      <c r="F4768" s="3" t="str">
        <f t="shared" si="2"/>
        <v>(n): tia laser</v>
      </c>
      <c r="G4768" s="6" t="s">
        <v>54410</v>
      </c>
      <c r="H4768" s="6" t="s">
        <v>54411</v>
      </c>
      <c r="I4768" s="7">
        <f t="shared" si="3"/>
        <v>0.9874609334</v>
      </c>
    </row>
    <row r="4769">
      <c r="A4769" s="4">
        <v>4769.0</v>
      </c>
      <c r="B4769" s="3" t="s">
        <v>54412</v>
      </c>
      <c r="C4769" s="6" t="s">
        <v>74</v>
      </c>
      <c r="D4769" s="6" t="s">
        <v>54413</v>
      </c>
      <c r="E4769" s="3" t="str">
        <f t="shared" si="1"/>
        <v>backdrop&lt;br&gt;&lt;div class="audio"&gt;[sound:backdrop.mp3]&lt;/div&gt;</v>
      </c>
      <c r="F4769" s="3" t="str">
        <f t="shared" si="2"/>
        <v>(n): phông nền</v>
      </c>
      <c r="G4769" s="6" t="s">
        <v>54414</v>
      </c>
      <c r="H4769" s="6" t="s">
        <v>54415</v>
      </c>
      <c r="I4769" s="7">
        <f t="shared" si="3"/>
        <v>0.7195104773</v>
      </c>
    </row>
    <row r="4770">
      <c r="A4770" s="4">
        <v>4770.0</v>
      </c>
      <c r="B4770" s="3" t="s">
        <v>54416</v>
      </c>
      <c r="C4770" s="6" t="s">
        <v>11</v>
      </c>
      <c r="D4770" s="6" t="s">
        <v>2032</v>
      </c>
      <c r="E4770" s="3" t="str">
        <f t="shared" si="1"/>
        <v>marvellous&lt;br&gt;&lt;div class="audio"&gt;[sound:marvellous.mp3]&lt;/div&gt;</v>
      </c>
      <c r="F4770" s="3" t="str">
        <f t="shared" si="2"/>
        <v>(adj): tuyệt vời</v>
      </c>
      <c r="G4770" s="6" t="s">
        <v>54417</v>
      </c>
      <c r="H4770" s="6" t="s">
        <v>54418</v>
      </c>
      <c r="I4770" s="7">
        <f t="shared" si="3"/>
        <v>0.6635657871</v>
      </c>
    </row>
    <row r="4771">
      <c r="A4771" s="4">
        <v>4771.0</v>
      </c>
      <c r="B4771" s="3" t="s">
        <v>54419</v>
      </c>
      <c r="C4771" s="6" t="s">
        <v>74</v>
      </c>
      <c r="D4771" s="6" t="s">
        <v>54420</v>
      </c>
      <c r="E4771" s="3" t="str">
        <f t="shared" si="1"/>
        <v>pirate&lt;br&gt;&lt;div class="audio"&gt;[sound:pirate.mp3]&lt;/div&gt;</v>
      </c>
      <c r="F4771" s="3" t="str">
        <f t="shared" si="2"/>
        <v>(n): cướp biển</v>
      </c>
      <c r="G4771" s="6" t="s">
        <v>54421</v>
      </c>
      <c r="H4771" s="6" t="s">
        <v>54422</v>
      </c>
      <c r="I4771" s="7">
        <f t="shared" si="3"/>
        <v>0.1465065547</v>
      </c>
    </row>
    <row r="4772">
      <c r="A4772" s="4">
        <v>4772.0</v>
      </c>
      <c r="B4772" s="3" t="s">
        <v>54423</v>
      </c>
      <c r="C4772" s="6" t="s">
        <v>74</v>
      </c>
      <c r="D4772" s="6" t="s">
        <v>54424</v>
      </c>
      <c r="E4772" s="3" t="str">
        <f t="shared" si="1"/>
        <v>youngster&lt;br&gt;&lt;div class="audio"&gt;[sound:youngster.mp3]&lt;/div&gt;</v>
      </c>
      <c r="F4772" s="3" t="str">
        <f t="shared" si="2"/>
        <v>(n): người trẻ</v>
      </c>
      <c r="G4772" s="6" t="s">
        <v>54425</v>
      </c>
      <c r="H4772" s="6" t="s">
        <v>54426</v>
      </c>
      <c r="I4772" s="7">
        <f t="shared" si="3"/>
        <v>0.4768681939</v>
      </c>
    </row>
    <row r="4773">
      <c r="A4773" s="4">
        <v>4773.0</v>
      </c>
      <c r="B4773" s="3" t="s">
        <v>54427</v>
      </c>
      <c r="C4773" s="6" t="s">
        <v>74</v>
      </c>
      <c r="D4773" s="6" t="s">
        <v>54428</v>
      </c>
      <c r="E4773" s="3" t="str">
        <f t="shared" si="1"/>
        <v>autonomy&lt;br&gt;&lt;div class="audio"&gt;[sound:autonomy.mp3]&lt;/div&gt;</v>
      </c>
      <c r="F4773" s="3" t="str">
        <f t="shared" si="2"/>
        <v>(n): sự tự chủ</v>
      </c>
      <c r="G4773" s="6" t="s">
        <v>54429</v>
      </c>
      <c r="H4773" s="6" t="s">
        <v>54430</v>
      </c>
      <c r="I4773" s="7">
        <f t="shared" si="3"/>
        <v>0.1167216941</v>
      </c>
    </row>
    <row r="4774">
      <c r="A4774" s="4">
        <v>4774.0</v>
      </c>
      <c r="B4774" s="3" t="s">
        <v>54431</v>
      </c>
      <c r="C4774" s="6" t="s">
        <v>24</v>
      </c>
      <c r="D4774" s="6" t="s">
        <v>54432</v>
      </c>
      <c r="E4774" s="3" t="str">
        <f t="shared" si="1"/>
        <v>plunge&lt;br&gt;&lt;div class="audio"&gt;[sound:plunge.mp3]&lt;/div&gt;</v>
      </c>
      <c r="F4774" s="3" t="str">
        <f t="shared" si="2"/>
        <v>(v): lao xuống</v>
      </c>
      <c r="G4774" s="6" t="s">
        <v>54433</v>
      </c>
      <c r="H4774" s="6" t="s">
        <v>54434</v>
      </c>
      <c r="I4774" s="7">
        <f t="shared" si="3"/>
        <v>0.9868484282</v>
      </c>
    </row>
    <row r="4775">
      <c r="A4775" s="4">
        <v>4775.0</v>
      </c>
      <c r="B4775" s="3" t="s">
        <v>54435</v>
      </c>
      <c r="C4775" s="6" t="s">
        <v>74</v>
      </c>
      <c r="D4775" s="6" t="s">
        <v>54436</v>
      </c>
      <c r="E4775" s="3" t="str">
        <f t="shared" si="1"/>
        <v>trademark&lt;br&gt;&lt;div class="audio"&gt;[sound:trademark.mp3]&lt;/div&gt;</v>
      </c>
      <c r="F4775" s="3" t="str">
        <f t="shared" si="2"/>
        <v>(n): nhãn hiệu</v>
      </c>
      <c r="G4775" s="6" t="s">
        <v>54437</v>
      </c>
      <c r="H4775" s="6" t="s">
        <v>54438</v>
      </c>
      <c r="I4775" s="7">
        <f t="shared" si="3"/>
        <v>0.482630484</v>
      </c>
    </row>
    <row r="4776">
      <c r="A4776" s="4">
        <v>4776.0</v>
      </c>
      <c r="B4776" s="3" t="s">
        <v>54439</v>
      </c>
      <c r="C4776" s="6" t="s">
        <v>11</v>
      </c>
      <c r="D4776" s="6" t="s">
        <v>49756</v>
      </c>
      <c r="E4776" s="3" t="str">
        <f t="shared" si="1"/>
        <v>minimal&lt;br&gt;&lt;div class="audio"&gt;[sound:minimal.mp3]&lt;/div&gt;</v>
      </c>
      <c r="F4776" s="3" t="str">
        <f t="shared" si="2"/>
        <v>(adj): tối thiểu</v>
      </c>
      <c r="G4776" s="6" t="s">
        <v>54440</v>
      </c>
      <c r="H4776" s="6" t="s">
        <v>54441</v>
      </c>
      <c r="I4776" s="7">
        <f t="shared" si="3"/>
        <v>0.695263572</v>
      </c>
    </row>
    <row r="4777">
      <c r="A4777" s="4">
        <v>4777.0</v>
      </c>
      <c r="B4777" s="3" t="s">
        <v>54442</v>
      </c>
      <c r="C4777" s="6" t="s">
        <v>74</v>
      </c>
      <c r="D4777" s="6" t="s">
        <v>33512</v>
      </c>
      <c r="E4777" s="3" t="str">
        <f t="shared" si="1"/>
        <v>lounge&lt;br&gt;&lt;div class="audio"&gt;[sound:lounge.mp3]&lt;/div&gt;</v>
      </c>
      <c r="F4777" s="3" t="str">
        <f t="shared" si="2"/>
        <v>(n): phòng chờ</v>
      </c>
      <c r="G4777" s="6" t="s">
        <v>54443</v>
      </c>
      <c r="H4777" s="6" t="s">
        <v>54444</v>
      </c>
      <c r="I4777" s="7">
        <f t="shared" si="3"/>
        <v>0.1019603808</v>
      </c>
    </row>
    <row r="4778">
      <c r="A4778" s="4">
        <v>4778.0</v>
      </c>
      <c r="B4778" s="3" t="s">
        <v>54445</v>
      </c>
      <c r="C4778" s="6" t="s">
        <v>74</v>
      </c>
      <c r="D4778" s="6" t="s">
        <v>54446</v>
      </c>
      <c r="E4778" s="3" t="str">
        <f t="shared" si="1"/>
        <v>nonsense&lt;br&gt;&lt;div class="audio"&gt;[sound:nonsense.mp3]&lt;/div&gt;</v>
      </c>
      <c r="F4778" s="3" t="str">
        <f t="shared" si="2"/>
        <v>(n): lời vô lý</v>
      </c>
      <c r="G4778" s="6" t="s">
        <v>54447</v>
      </c>
      <c r="H4778" s="6" t="s">
        <v>54448</v>
      </c>
      <c r="I4778" s="7">
        <f t="shared" si="3"/>
        <v>0.7558796208</v>
      </c>
    </row>
    <row r="4779">
      <c r="A4779" s="4">
        <v>4779.0</v>
      </c>
      <c r="B4779" s="3" t="s">
        <v>54449</v>
      </c>
      <c r="C4779" s="6" t="s">
        <v>74</v>
      </c>
      <c r="D4779" s="6" t="s">
        <v>31564</v>
      </c>
      <c r="E4779" s="3" t="str">
        <f t="shared" si="1"/>
        <v>fuss&lt;br&gt;&lt;div class="audio"&gt;[sound:fuss.mp3]&lt;/div&gt;</v>
      </c>
      <c r="F4779" s="3" t="str">
        <f t="shared" si="2"/>
        <v>(n): sự ồn ào</v>
      </c>
      <c r="G4779" s="6" t="s">
        <v>54450</v>
      </c>
      <c r="H4779" s="6" t="s">
        <v>54451</v>
      </c>
      <c r="I4779" s="7">
        <f t="shared" si="3"/>
        <v>0.2095367015</v>
      </c>
    </row>
    <row r="4780">
      <c r="A4780" s="4">
        <v>4780.0</v>
      </c>
      <c r="B4780" s="3" t="s">
        <v>54452</v>
      </c>
      <c r="C4780" s="6" t="s">
        <v>11</v>
      </c>
      <c r="D4780" s="6" t="s">
        <v>54453</v>
      </c>
      <c r="E4780" s="3" t="str">
        <f t="shared" si="1"/>
        <v>acute&lt;br&gt;&lt;div class="audio"&gt;[sound:acute.mp3]&lt;/div&gt;</v>
      </c>
      <c r="F4780" s="3" t="str">
        <f t="shared" si="2"/>
        <v>(adj): cấp tính</v>
      </c>
      <c r="G4780" s="6" t="s">
        <v>54454</v>
      </c>
      <c r="H4780" s="6" t="s">
        <v>54455</v>
      </c>
      <c r="I4780" s="7">
        <f t="shared" si="3"/>
        <v>0.173908804</v>
      </c>
    </row>
    <row r="4781">
      <c r="A4781" s="4">
        <v>4781.0</v>
      </c>
      <c r="B4781" s="3" t="s">
        <v>54456</v>
      </c>
      <c r="C4781" s="6" t="s">
        <v>24</v>
      </c>
      <c r="D4781" s="6" t="s">
        <v>28038</v>
      </c>
      <c r="E4781" s="3" t="str">
        <f t="shared" si="1"/>
        <v>oblige&lt;br&gt;&lt;div class="audio"&gt;[sound:oblige.mp3]&lt;/div&gt;</v>
      </c>
      <c r="F4781" s="3" t="str">
        <f t="shared" si="2"/>
        <v>(v): bắt buộc</v>
      </c>
      <c r="G4781" s="6" t="s">
        <v>54457</v>
      </c>
      <c r="H4781" s="6" t="s">
        <v>54458</v>
      </c>
      <c r="I4781" s="7">
        <f t="shared" si="3"/>
        <v>0.3221297782</v>
      </c>
    </row>
    <row r="4782">
      <c r="A4782" s="4">
        <v>4782.0</v>
      </c>
      <c r="B4782" s="3" t="s">
        <v>54459</v>
      </c>
      <c r="C4782" s="6" t="s">
        <v>11</v>
      </c>
      <c r="D4782" s="6" t="s">
        <v>54460</v>
      </c>
      <c r="E4782" s="3" t="str">
        <f t="shared" si="1"/>
        <v>memorable&lt;br&gt;&lt;div class="audio"&gt;[sound:memorable.mp3]&lt;/div&gt;</v>
      </c>
      <c r="F4782" s="3" t="str">
        <f t="shared" si="2"/>
        <v>(adj): đáng nhớ</v>
      </c>
      <c r="G4782" s="6" t="s">
        <v>54461</v>
      </c>
      <c r="H4782" s="6" t="s">
        <v>54462</v>
      </c>
      <c r="I4782" s="7">
        <f t="shared" si="3"/>
        <v>0.6747760699</v>
      </c>
    </row>
    <row r="4783">
      <c r="A4783" s="4">
        <v>4783.0</v>
      </c>
      <c r="B4783" s="3" t="s">
        <v>54463</v>
      </c>
      <c r="C4783" s="6" t="s">
        <v>24</v>
      </c>
      <c r="D4783" s="6" t="s">
        <v>2236</v>
      </c>
      <c r="E4783" s="3" t="str">
        <f t="shared" si="1"/>
        <v>attain&lt;br&gt;&lt;div class="audio"&gt;[sound:attain.mp3]&lt;/div&gt;</v>
      </c>
      <c r="F4783" s="3" t="str">
        <f t="shared" si="2"/>
        <v>(v): đạt được</v>
      </c>
      <c r="G4783" s="6" t="s">
        <v>54464</v>
      </c>
      <c r="H4783" s="6" t="s">
        <v>54465</v>
      </c>
      <c r="I4783" s="7">
        <f t="shared" si="3"/>
        <v>0.8738437154</v>
      </c>
    </row>
    <row r="4784">
      <c r="A4784" s="4">
        <v>4784.0</v>
      </c>
      <c r="B4784" s="3" t="s">
        <v>54466</v>
      </c>
      <c r="C4784" s="6" t="s">
        <v>74</v>
      </c>
      <c r="D4784" s="6" t="s">
        <v>54467</v>
      </c>
      <c r="E4784" s="3" t="str">
        <f t="shared" si="1"/>
        <v>bishop&lt;br&gt;&lt;div class="audio"&gt;[sound:bishop.mp3]&lt;/div&gt;</v>
      </c>
      <c r="F4784" s="3" t="str">
        <f t="shared" si="2"/>
        <v>(n): giám mục</v>
      </c>
      <c r="G4784" s="6" t="s">
        <v>54468</v>
      </c>
      <c r="H4784" s="6" t="s">
        <v>54469</v>
      </c>
      <c r="I4784" s="7">
        <f t="shared" si="3"/>
        <v>0.1851628538</v>
      </c>
    </row>
    <row r="4785">
      <c r="A4785" s="4">
        <v>4785.0</v>
      </c>
      <c r="B4785" s="3" t="s">
        <v>54470</v>
      </c>
      <c r="C4785" s="6" t="s">
        <v>74</v>
      </c>
      <c r="D4785" s="6" t="s">
        <v>54471</v>
      </c>
      <c r="E4785" s="3" t="str">
        <f t="shared" si="1"/>
        <v>faction&lt;br&gt;&lt;div class="audio"&gt;[sound:faction.mp3]&lt;/div&gt;</v>
      </c>
      <c r="F4785" s="3" t="str">
        <f t="shared" si="2"/>
        <v>(n): phe phái</v>
      </c>
      <c r="G4785" s="6" t="s">
        <v>54472</v>
      </c>
      <c r="H4785" s="6" t="s">
        <v>54473</v>
      </c>
      <c r="I4785" s="7">
        <f t="shared" si="3"/>
        <v>0.04001198762</v>
      </c>
    </row>
    <row r="4786">
      <c r="A4786" s="4">
        <v>4786.0</v>
      </c>
      <c r="B4786" s="3" t="s">
        <v>54474</v>
      </c>
      <c r="C4786" s="6" t="s">
        <v>74</v>
      </c>
      <c r="D4786" s="6" t="s">
        <v>28644</v>
      </c>
      <c r="E4786" s="3" t="str">
        <f t="shared" si="1"/>
        <v>mob&lt;br&gt;&lt;div class="audio"&gt;[sound:mob.mp3]&lt;/div&gt;</v>
      </c>
      <c r="F4786" s="3" t="str">
        <f t="shared" si="2"/>
        <v>(n): đám đông</v>
      </c>
      <c r="G4786" s="6" t="s">
        <v>54475</v>
      </c>
      <c r="H4786" s="6" t="s">
        <v>54476</v>
      </c>
      <c r="I4786" s="7">
        <f t="shared" si="3"/>
        <v>0.9034150422</v>
      </c>
    </row>
    <row r="4787">
      <c r="A4787" s="4">
        <v>4787.0</v>
      </c>
      <c r="B4787" s="3" t="s">
        <v>54477</v>
      </c>
      <c r="C4787" s="6" t="s">
        <v>74</v>
      </c>
      <c r="D4787" s="6" t="s">
        <v>54478</v>
      </c>
      <c r="E4787" s="3" t="str">
        <f t="shared" si="1"/>
        <v>orchestra&lt;br&gt;&lt;div class="audio"&gt;[sound:orchestra.mp3]&lt;/div&gt;</v>
      </c>
      <c r="F4787" s="3" t="str">
        <f t="shared" si="2"/>
        <v>(n): dàn nhạc</v>
      </c>
      <c r="G4787" s="6" t="s">
        <v>54479</v>
      </c>
      <c r="H4787" s="6" t="s">
        <v>54480</v>
      </c>
      <c r="I4787" s="7">
        <f t="shared" si="3"/>
        <v>0.1846043136</v>
      </c>
    </row>
    <row r="4788">
      <c r="A4788" s="4">
        <v>4788.0</v>
      </c>
      <c r="B4788" s="3" t="s">
        <v>54481</v>
      </c>
      <c r="C4788" s="6" t="s">
        <v>11</v>
      </c>
      <c r="D4788" s="6" t="s">
        <v>54482</v>
      </c>
      <c r="E4788" s="3" t="str">
        <f t="shared" si="1"/>
        <v>nasty&lt;br&gt;&lt;div class="audio"&gt;[sound:nasty.mp3]&lt;/div&gt;</v>
      </c>
      <c r="F4788" s="3" t="str">
        <f t="shared" si="2"/>
        <v>(adj): kinh tởm</v>
      </c>
      <c r="G4788" s="6" t="s">
        <v>54483</v>
      </c>
      <c r="H4788" s="6" t="s">
        <v>54484</v>
      </c>
      <c r="I4788" s="7">
        <f t="shared" si="3"/>
        <v>0.7462344607</v>
      </c>
    </row>
    <row r="4789">
      <c r="A4789" s="4">
        <v>4789.0</v>
      </c>
      <c r="B4789" s="3" t="s">
        <v>54485</v>
      </c>
      <c r="C4789" s="6" t="s">
        <v>74</v>
      </c>
      <c r="D4789" s="6" t="s">
        <v>20521</v>
      </c>
      <c r="E4789" s="3" t="str">
        <f t="shared" si="1"/>
        <v>mainland&lt;br&gt;&lt;div class="audio"&gt;[sound:mainland.mp3]&lt;/div&gt;</v>
      </c>
      <c r="F4789" s="3" t="str">
        <f t="shared" si="2"/>
        <v>(n): đất liền</v>
      </c>
      <c r="G4789" s="6" t="s">
        <v>54486</v>
      </c>
      <c r="H4789" s="6" t="s">
        <v>54487</v>
      </c>
      <c r="I4789" s="7">
        <f t="shared" si="3"/>
        <v>0.5724976173</v>
      </c>
    </row>
    <row r="4790">
      <c r="A4790" s="4">
        <v>4790.0</v>
      </c>
      <c r="B4790" s="3" t="s">
        <v>54488</v>
      </c>
      <c r="C4790" s="6" t="s">
        <v>24</v>
      </c>
      <c r="D4790" s="6" t="s">
        <v>8165</v>
      </c>
      <c r="E4790" s="3" t="str">
        <f t="shared" si="1"/>
        <v>opt&lt;br&gt;&lt;div class="audio"&gt;[sound:opt.mp3]&lt;/div&gt;</v>
      </c>
      <c r="F4790" s="3" t="str">
        <f t="shared" si="2"/>
        <v>(v): lựa chọn</v>
      </c>
      <c r="G4790" s="6" t="s">
        <v>54489</v>
      </c>
      <c r="H4790" s="6" t="s">
        <v>54490</v>
      </c>
      <c r="I4790" s="7">
        <f t="shared" si="3"/>
        <v>0.8771111328</v>
      </c>
    </row>
    <row r="4791">
      <c r="A4791" s="4">
        <v>4791.0</v>
      </c>
      <c r="B4791" s="3" t="s">
        <v>54491</v>
      </c>
      <c r="C4791" s="6" t="s">
        <v>11</v>
      </c>
      <c r="D4791" s="6" t="s">
        <v>28038</v>
      </c>
      <c r="E4791" s="3" t="str">
        <f t="shared" si="1"/>
        <v>mandatory&lt;br&gt;&lt;div class="audio"&gt;[sound:mandatory.mp3]&lt;/div&gt;</v>
      </c>
      <c r="F4791" s="3" t="str">
        <f t="shared" si="2"/>
        <v>(adj): bắt buộc</v>
      </c>
      <c r="G4791" s="6" t="s">
        <v>54492</v>
      </c>
      <c r="H4791" s="6" t="s">
        <v>54493</v>
      </c>
      <c r="I4791" s="7">
        <f t="shared" si="3"/>
        <v>0.8894420062</v>
      </c>
    </row>
    <row r="4792">
      <c r="A4792" s="4">
        <v>4792.0</v>
      </c>
      <c r="B4792" s="3" t="s">
        <v>54494</v>
      </c>
      <c r="C4792" s="6" t="s">
        <v>24</v>
      </c>
      <c r="D4792" s="6" t="s">
        <v>1402</v>
      </c>
      <c r="E4792" s="3" t="str">
        <f t="shared" si="1"/>
        <v>adhere&lt;br&gt;&lt;div class="audio"&gt;[sound:adhere.mp3]&lt;/div&gt;</v>
      </c>
      <c r="F4792" s="3" t="str">
        <f t="shared" si="2"/>
        <v>(v): tuân thủ</v>
      </c>
      <c r="G4792" s="6" t="s">
        <v>54495</v>
      </c>
      <c r="H4792" s="6" t="s">
        <v>54496</v>
      </c>
      <c r="I4792" s="7">
        <f t="shared" si="3"/>
        <v>0.4603267297</v>
      </c>
    </row>
    <row r="4793">
      <c r="A4793" s="4">
        <v>4793.0</v>
      </c>
      <c r="B4793" s="3" t="s">
        <v>54497</v>
      </c>
      <c r="C4793" s="6" t="s">
        <v>74</v>
      </c>
      <c r="D4793" s="6" t="s">
        <v>54498</v>
      </c>
      <c r="E4793" s="3" t="str">
        <f t="shared" si="1"/>
        <v>bee&lt;br&gt;&lt;div class="audio"&gt;[sound:bee.mp3]&lt;/div&gt;</v>
      </c>
      <c r="F4793" s="3" t="str">
        <f t="shared" si="2"/>
        <v>(n): con ong</v>
      </c>
      <c r="G4793" s="6" t="s">
        <v>54499</v>
      </c>
      <c r="H4793" s="6" t="s">
        <v>54500</v>
      </c>
      <c r="I4793" s="7">
        <f t="shared" si="3"/>
        <v>0.3781046604</v>
      </c>
    </row>
    <row r="4794">
      <c r="A4794" s="4">
        <v>4794.0</v>
      </c>
      <c r="B4794" s="3" t="s">
        <v>54501</v>
      </c>
      <c r="C4794" s="6" t="s">
        <v>11</v>
      </c>
      <c r="D4794" s="6" t="s">
        <v>17367</v>
      </c>
      <c r="E4794" s="3" t="str">
        <f t="shared" si="1"/>
        <v>forthcoming&lt;br&gt;&lt;div class="audio"&gt;[sound:forthcoming.mp3]&lt;/div&gt;</v>
      </c>
      <c r="F4794" s="3" t="str">
        <f t="shared" si="2"/>
        <v>(adj): sắp tới</v>
      </c>
      <c r="G4794" s="6" t="s">
        <v>54502</v>
      </c>
      <c r="H4794" s="6" t="s">
        <v>54503</v>
      </c>
      <c r="I4794" s="7">
        <f t="shared" si="3"/>
        <v>0.4818276057</v>
      </c>
    </row>
    <row r="4795">
      <c r="A4795" s="4">
        <v>4795.0</v>
      </c>
      <c r="B4795" s="3" t="s">
        <v>54504</v>
      </c>
      <c r="C4795" s="6" t="s">
        <v>11</v>
      </c>
      <c r="D4795" s="6" t="s">
        <v>54505</v>
      </c>
      <c r="E4795" s="3" t="str">
        <f t="shared" si="1"/>
        <v>lesser&lt;br&gt;&lt;div class="audio"&gt;[sound:lesser.mp3]&lt;/div&gt;</v>
      </c>
      <c r="F4795" s="3" t="str">
        <f t="shared" si="2"/>
        <v>(adj): nhỏ hơn</v>
      </c>
      <c r="G4795" s="6" t="s">
        <v>54506</v>
      </c>
      <c r="H4795" s="6" t="s">
        <v>54507</v>
      </c>
      <c r="I4795" s="7">
        <f t="shared" si="3"/>
        <v>0.1502727196</v>
      </c>
    </row>
    <row r="4796">
      <c r="A4796" s="4">
        <v>4796.0</v>
      </c>
      <c r="B4796" s="3" t="s">
        <v>54508</v>
      </c>
      <c r="C4796" s="6" t="s">
        <v>11</v>
      </c>
      <c r="D4796" s="6" t="s">
        <v>54509</v>
      </c>
      <c r="E4796" s="3" t="str">
        <f t="shared" si="1"/>
        <v>long-time&lt;br&gt;&lt;div class="audio"&gt;[sound:long-time.mp3]&lt;/div&gt;</v>
      </c>
      <c r="F4796" s="3" t="str">
        <f t="shared" si="2"/>
        <v>(adj): lâu năm</v>
      </c>
      <c r="G4796" s="6" t="s">
        <v>54510</v>
      </c>
      <c r="H4796" s="6" t="s">
        <v>54511</v>
      </c>
      <c r="I4796" s="7">
        <f t="shared" si="3"/>
        <v>0.7522107006</v>
      </c>
    </row>
    <row r="4797">
      <c r="A4797" s="4">
        <v>4797.0</v>
      </c>
      <c r="B4797" s="3" t="s">
        <v>54512</v>
      </c>
      <c r="C4797" s="6" t="s">
        <v>74</v>
      </c>
      <c r="D4797" s="6" t="s">
        <v>54513</v>
      </c>
      <c r="E4797" s="3" t="str">
        <f t="shared" si="1"/>
        <v>biography&lt;br&gt;&lt;div class="audio"&gt;[sound:biography.mp3]&lt;/div&gt;</v>
      </c>
      <c r="F4797" s="3" t="str">
        <f t="shared" si="2"/>
        <v>(n): tiểu sử</v>
      </c>
      <c r="G4797" s="6" t="s">
        <v>54514</v>
      </c>
      <c r="H4797" s="6" t="s">
        <v>54515</v>
      </c>
      <c r="I4797" s="7">
        <f t="shared" si="3"/>
        <v>0.2983336142</v>
      </c>
    </row>
    <row r="4798">
      <c r="A4798" s="4">
        <v>4798.0</v>
      </c>
      <c r="B4798" s="3" t="s">
        <v>54516</v>
      </c>
      <c r="C4798" s="6" t="s">
        <v>74</v>
      </c>
      <c r="D4798" s="6" t="s">
        <v>54517</v>
      </c>
      <c r="E4798" s="3" t="str">
        <f t="shared" si="1"/>
        <v>landmark&lt;br&gt;&lt;div class="audio"&gt;[sound:landmark.mp3]&lt;/div&gt;</v>
      </c>
      <c r="F4798" s="3" t="str">
        <f t="shared" si="2"/>
        <v>(n): cột mốc</v>
      </c>
      <c r="G4798" s="6" t="s">
        <v>54518</v>
      </c>
      <c r="H4798" s="6" t="s">
        <v>54519</v>
      </c>
      <c r="I4798" s="7">
        <f t="shared" si="3"/>
        <v>0.2029948705</v>
      </c>
    </row>
    <row r="4799">
      <c r="A4799" s="4">
        <v>4799.0</v>
      </c>
      <c r="B4799" s="3" t="s">
        <v>54520</v>
      </c>
      <c r="C4799" s="6" t="s">
        <v>24</v>
      </c>
      <c r="D4799" s="6" t="s">
        <v>54521</v>
      </c>
      <c r="E4799" s="3" t="str">
        <f t="shared" si="1"/>
        <v>expire&lt;br&gt;&lt;div class="audio"&gt;[sound:expire.mp3]&lt;/div&gt;</v>
      </c>
      <c r="F4799" s="3" t="str">
        <f t="shared" si="2"/>
        <v>(v): hết hạn</v>
      </c>
      <c r="G4799" s="6" t="s">
        <v>54522</v>
      </c>
      <c r="H4799" s="6" t="s">
        <v>54523</v>
      </c>
      <c r="I4799" s="7">
        <f t="shared" si="3"/>
        <v>0.5818500212</v>
      </c>
    </row>
    <row r="4800">
      <c r="A4800" s="4">
        <v>4800.0</v>
      </c>
      <c r="B4800" s="3" t="s">
        <v>54524</v>
      </c>
      <c r="C4800" s="6" t="s">
        <v>74</v>
      </c>
      <c r="D4800" s="6" t="s">
        <v>54525</v>
      </c>
      <c r="E4800" s="3" t="str">
        <f t="shared" si="1"/>
        <v>freezer&lt;br&gt;&lt;div class="audio"&gt;[sound:freezer.mp3]&lt;/div&gt;</v>
      </c>
      <c r="F4800" s="3" t="str">
        <f t="shared" si="2"/>
        <v>(n): tủ đông</v>
      </c>
      <c r="G4800" s="6" t="s">
        <v>54526</v>
      </c>
      <c r="H4800" s="6" t="s">
        <v>54527</v>
      </c>
      <c r="I4800" s="7">
        <f t="shared" si="3"/>
        <v>0.5288985128</v>
      </c>
    </row>
    <row r="4801">
      <c r="A4801" s="4">
        <v>4801.0</v>
      </c>
      <c r="B4801" s="3" t="s">
        <v>54528</v>
      </c>
      <c r="C4801" s="6" t="s">
        <v>11</v>
      </c>
      <c r="D4801" s="6" t="s">
        <v>54529</v>
      </c>
      <c r="E4801" s="3" t="str">
        <f t="shared" si="1"/>
        <v>beloved&lt;br&gt;&lt;div class="audio"&gt;[sound:beloved.mp3]&lt;/div&gt;</v>
      </c>
      <c r="F4801" s="3" t="str">
        <f t="shared" si="2"/>
        <v>(adj): yêu dấu</v>
      </c>
      <c r="G4801" s="6" t="s">
        <v>54530</v>
      </c>
      <c r="H4801" s="6" t="s">
        <v>54531</v>
      </c>
      <c r="I4801" s="7">
        <f t="shared" si="3"/>
        <v>0.6888511736</v>
      </c>
    </row>
    <row r="4802">
      <c r="A4802" s="4">
        <v>4802.0</v>
      </c>
      <c r="B4802" s="3" t="s">
        <v>54532</v>
      </c>
      <c r="C4802" s="6" t="s">
        <v>74</v>
      </c>
      <c r="D4802" s="6" t="s">
        <v>42066</v>
      </c>
      <c r="E4802" s="3" t="str">
        <f t="shared" si="1"/>
        <v>aftermath&lt;br&gt;&lt;div class="audio"&gt;[sound:aftermath.mp3]&lt;/div&gt;</v>
      </c>
      <c r="F4802" s="3" t="str">
        <f t="shared" si="2"/>
        <v>(n): hậu quả</v>
      </c>
      <c r="G4802" s="6" t="s">
        <v>54533</v>
      </c>
      <c r="H4802" s="6" t="s">
        <v>54534</v>
      </c>
      <c r="I4802" s="7">
        <f t="shared" si="3"/>
        <v>0.6677661686</v>
      </c>
    </row>
    <row r="4803">
      <c r="A4803" s="4">
        <v>4803.0</v>
      </c>
      <c r="B4803" s="3" t="s">
        <v>54535</v>
      </c>
      <c r="C4803" s="6" t="s">
        <v>74</v>
      </c>
      <c r="D4803" s="6" t="s">
        <v>54536</v>
      </c>
      <c r="E4803" s="3" t="str">
        <f t="shared" si="1"/>
        <v>beast&lt;br&gt;&lt;div class="audio"&gt;[sound:beast.mp3]&lt;/div&gt;</v>
      </c>
      <c r="F4803" s="3" t="str">
        <f t="shared" si="2"/>
        <v>(n): con thú</v>
      </c>
      <c r="G4803" s="6" t="s">
        <v>54537</v>
      </c>
      <c r="H4803" s="6" t="s">
        <v>54538</v>
      </c>
      <c r="I4803" s="7">
        <f t="shared" si="3"/>
        <v>0.8009428492</v>
      </c>
    </row>
    <row r="4804">
      <c r="A4804" s="4">
        <v>4804.0</v>
      </c>
      <c r="B4804" s="3" t="s">
        <v>54539</v>
      </c>
      <c r="C4804" s="6" t="s">
        <v>74</v>
      </c>
      <c r="D4804" s="6" t="s">
        <v>54540</v>
      </c>
      <c r="E4804" s="3" t="str">
        <f t="shared" si="1"/>
        <v>acre&lt;br&gt;&lt;div class="audio"&gt;[sound:acre.mp3]&lt;/div&gt;</v>
      </c>
      <c r="F4804" s="3" t="str">
        <f t="shared" si="2"/>
        <v>(n): mẫu anh</v>
      </c>
      <c r="G4804" s="6" t="s">
        <v>54541</v>
      </c>
      <c r="H4804" s="6" t="s">
        <v>54542</v>
      </c>
      <c r="I4804" s="7">
        <f t="shared" si="3"/>
        <v>0.6759687132</v>
      </c>
    </row>
    <row r="4805">
      <c r="A4805" s="4">
        <v>4805.0</v>
      </c>
      <c r="B4805" s="3" t="s">
        <v>54543</v>
      </c>
      <c r="C4805" s="6" t="s">
        <v>74</v>
      </c>
      <c r="D4805" s="6" t="s">
        <v>54544</v>
      </c>
      <c r="E4805" s="3" t="str">
        <f t="shared" si="1"/>
        <v>lamb&lt;br&gt;&lt;div class="audio"&gt;[sound:lamb.mp3]&lt;/div&gt;</v>
      </c>
      <c r="F4805" s="3" t="str">
        <f t="shared" si="2"/>
        <v>(n): cừu non</v>
      </c>
      <c r="G4805" s="6" t="s">
        <v>54545</v>
      </c>
      <c r="H4805" s="6" t="s">
        <v>54546</v>
      </c>
      <c r="I4805" s="7">
        <f t="shared" si="3"/>
        <v>0.5641905474</v>
      </c>
    </row>
    <row r="4806">
      <c r="A4806" s="4">
        <v>4806.0</v>
      </c>
      <c r="B4806" s="3" t="s">
        <v>54547</v>
      </c>
      <c r="C4806" s="6" t="s">
        <v>74</v>
      </c>
      <c r="D4806" s="6" t="s">
        <v>26597</v>
      </c>
      <c r="E4806" s="3" t="str">
        <f t="shared" si="1"/>
        <v>landlord&lt;br&gt;&lt;div class="audio"&gt;[sound:landlord.mp3]&lt;/div&gt;</v>
      </c>
      <c r="F4806" s="3" t="str">
        <f t="shared" si="2"/>
        <v>(n): chủ nhà</v>
      </c>
      <c r="G4806" s="6" t="s">
        <v>54548</v>
      </c>
      <c r="H4806" s="6" t="s">
        <v>54549</v>
      </c>
      <c r="I4806" s="7">
        <f t="shared" si="3"/>
        <v>0.2085489109</v>
      </c>
    </row>
    <row r="4807">
      <c r="A4807" s="4">
        <v>4807.0</v>
      </c>
      <c r="B4807" s="3" t="s">
        <v>54550</v>
      </c>
      <c r="C4807" s="6" t="s">
        <v>74</v>
      </c>
      <c r="D4807" s="6" t="s">
        <v>34305</v>
      </c>
      <c r="E4807" s="3" t="str">
        <f t="shared" si="1"/>
        <v>prey&lt;br&gt;&lt;div class="audio"&gt;[sound:prey.mp3]&lt;/div&gt;</v>
      </c>
      <c r="F4807" s="3" t="str">
        <f t="shared" si="2"/>
        <v>(n): con mồi</v>
      </c>
      <c r="G4807" s="6" t="s">
        <v>54551</v>
      </c>
      <c r="H4807" s="6" t="s">
        <v>54552</v>
      </c>
      <c r="I4807" s="7">
        <f t="shared" si="3"/>
        <v>0.6747751245</v>
      </c>
    </row>
    <row r="4808">
      <c r="A4808" s="4">
        <v>4808.0</v>
      </c>
      <c r="B4808" s="3" t="s">
        <v>54553</v>
      </c>
      <c r="C4808" s="6" t="s">
        <v>74</v>
      </c>
      <c r="D4808" s="6" t="s">
        <v>54554</v>
      </c>
      <c r="E4808" s="3" t="str">
        <f t="shared" si="1"/>
        <v>monkey&lt;br&gt;&lt;div class="audio"&gt;[sound:monkey.mp3]&lt;/div&gt;</v>
      </c>
      <c r="F4808" s="3" t="str">
        <f t="shared" si="2"/>
        <v>(n): con khỉ</v>
      </c>
      <c r="G4808" s="6" t="s">
        <v>54555</v>
      </c>
      <c r="H4808" s="6" t="s">
        <v>35097</v>
      </c>
      <c r="I4808" s="7">
        <f t="shared" si="3"/>
        <v>0.08622983906</v>
      </c>
    </row>
    <row r="4809">
      <c r="A4809" s="4">
        <v>4809.0</v>
      </c>
      <c r="B4809" s="3" t="s">
        <v>54556</v>
      </c>
      <c r="C4809" s="6" t="s">
        <v>74</v>
      </c>
      <c r="D4809" s="6" t="s">
        <v>6332</v>
      </c>
      <c r="E4809" s="3" t="str">
        <f t="shared" si="1"/>
        <v>merit&lt;br&gt;&lt;div class="audio"&gt;[sound:merit.mp3]&lt;/div&gt;</v>
      </c>
      <c r="F4809" s="3" t="str">
        <f t="shared" si="2"/>
        <v>(n): giá trị</v>
      </c>
      <c r="G4809" s="6" t="s">
        <v>54557</v>
      </c>
      <c r="H4809" s="6" t="s">
        <v>54558</v>
      </c>
      <c r="I4809" s="7">
        <f t="shared" si="3"/>
        <v>0.4236010032</v>
      </c>
    </row>
    <row r="4810">
      <c r="A4810" s="4">
        <v>4810.0</v>
      </c>
      <c r="B4810" s="3" t="s">
        <v>54559</v>
      </c>
      <c r="C4810" s="6" t="s">
        <v>11</v>
      </c>
      <c r="D4810" s="6" t="s">
        <v>17707</v>
      </c>
      <c r="E4810" s="3" t="str">
        <f t="shared" si="1"/>
        <v>adverse&lt;br&gt;&lt;div class="audio"&gt;[sound:adverse.mp3]&lt;/div&gt;</v>
      </c>
      <c r="F4810" s="3" t="str">
        <f t="shared" si="2"/>
        <v>(adj): bất lợi</v>
      </c>
      <c r="G4810" s="6" t="s">
        <v>54560</v>
      </c>
      <c r="H4810" s="6" t="s">
        <v>54561</v>
      </c>
      <c r="I4810" s="7">
        <f t="shared" si="3"/>
        <v>0.6899075092</v>
      </c>
    </row>
    <row r="4811">
      <c r="A4811" s="4">
        <v>4811.0</v>
      </c>
      <c r="B4811" s="3" t="s">
        <v>54562</v>
      </c>
      <c r="C4811" s="6" t="s">
        <v>85</v>
      </c>
      <c r="D4811" s="6" t="s">
        <v>6989</v>
      </c>
      <c r="E4811" s="3" t="str">
        <f t="shared" si="1"/>
        <v>notably&lt;br&gt;&lt;div class="audio"&gt;[sound:notably.mp3]&lt;/div&gt;</v>
      </c>
      <c r="F4811" s="3" t="str">
        <f t="shared" si="2"/>
        <v>(adv): đáng kể</v>
      </c>
      <c r="G4811" s="6" t="s">
        <v>54563</v>
      </c>
      <c r="H4811" s="6" t="s">
        <v>54564</v>
      </c>
      <c r="I4811" s="7">
        <f t="shared" si="3"/>
        <v>0.4544262189</v>
      </c>
    </row>
    <row r="4812">
      <c r="A4812" s="4">
        <v>4812.0</v>
      </c>
      <c r="B4812" s="3" t="s">
        <v>54565</v>
      </c>
      <c r="C4812" s="6" t="s">
        <v>74</v>
      </c>
      <c r="D4812" s="6" t="s">
        <v>19827</v>
      </c>
      <c r="E4812" s="3" t="str">
        <f t="shared" si="1"/>
        <v>precedent&lt;br&gt;&lt;div class="audio"&gt;[sound:precedent.mp3]&lt;/div&gt;</v>
      </c>
      <c r="F4812" s="3" t="str">
        <f t="shared" si="2"/>
        <v>(n): tiền lệ</v>
      </c>
      <c r="G4812" s="6" t="s">
        <v>54566</v>
      </c>
      <c r="H4812" s="6" t="s">
        <v>54567</v>
      </c>
      <c r="I4812" s="7">
        <f t="shared" si="3"/>
        <v>0.1097907027</v>
      </c>
    </row>
    <row r="4813">
      <c r="A4813" s="4">
        <v>4813.0</v>
      </c>
      <c r="B4813" s="3" t="s">
        <v>54568</v>
      </c>
      <c r="C4813" s="6" t="s">
        <v>24</v>
      </c>
      <c r="D4813" s="6" t="s">
        <v>20320</v>
      </c>
      <c r="E4813" s="3" t="str">
        <f t="shared" si="1"/>
        <v>amend&lt;br&gt;&lt;div class="audio"&gt;[sound:amend.mp3]&lt;/div&gt;</v>
      </c>
      <c r="F4813" s="3" t="str">
        <f t="shared" si="2"/>
        <v>(v): sửa đổi</v>
      </c>
      <c r="G4813" s="6" t="s">
        <v>54569</v>
      </c>
      <c r="H4813" s="6" t="s">
        <v>54570</v>
      </c>
      <c r="I4813" s="7">
        <f t="shared" si="3"/>
        <v>0.1258755472</v>
      </c>
    </row>
    <row r="4814">
      <c r="A4814" s="4">
        <v>4814.0</v>
      </c>
      <c r="B4814" s="3" t="s">
        <v>54571</v>
      </c>
      <c r="C4814" s="6" t="s">
        <v>24</v>
      </c>
      <c r="D4814" s="6" t="s">
        <v>42126</v>
      </c>
      <c r="E4814" s="3" t="str">
        <f t="shared" si="1"/>
        <v>unveil&lt;br&gt;&lt;div class="audio"&gt;[sound:unveil.mp3]&lt;/div&gt;</v>
      </c>
      <c r="F4814" s="3" t="str">
        <f t="shared" si="2"/>
        <v>(v): tiết lộ</v>
      </c>
      <c r="G4814" s="6" t="s">
        <v>54572</v>
      </c>
      <c r="H4814" s="6" t="s">
        <v>54573</v>
      </c>
      <c r="I4814" s="7">
        <f t="shared" si="3"/>
        <v>0.8614413533</v>
      </c>
    </row>
    <row r="4815">
      <c r="A4815" s="4">
        <v>4815.0</v>
      </c>
      <c r="B4815" s="3" t="s">
        <v>54574</v>
      </c>
      <c r="C4815" s="6" t="s">
        <v>74</v>
      </c>
      <c r="D4815" s="6" t="s">
        <v>34744</v>
      </c>
      <c r="E4815" s="3" t="str">
        <f t="shared" si="1"/>
        <v>ancestor&lt;br&gt;&lt;div class="audio"&gt;[sound:ancestor.mp3]&lt;/div&gt;</v>
      </c>
      <c r="F4815" s="3" t="str">
        <f t="shared" si="2"/>
        <v>(n): tổ tiên</v>
      </c>
      <c r="G4815" s="6" t="s">
        <v>54575</v>
      </c>
      <c r="H4815" s="6" t="s">
        <v>54576</v>
      </c>
      <c r="I4815" s="7">
        <f t="shared" si="3"/>
        <v>0.6322124999</v>
      </c>
    </row>
    <row r="4816">
      <c r="A4816" s="4">
        <v>4816.0</v>
      </c>
      <c r="B4816" s="3" t="s">
        <v>54577</v>
      </c>
      <c r="C4816" s="6" t="s">
        <v>24</v>
      </c>
      <c r="D4816" s="6" t="s">
        <v>8182</v>
      </c>
      <c r="E4816" s="3" t="str">
        <f t="shared" si="1"/>
        <v>uphold&lt;br&gt;&lt;div class="audio"&gt;[sound:uphold.mp3]&lt;/div&gt;</v>
      </c>
      <c r="F4816" s="3" t="str">
        <f t="shared" si="2"/>
        <v>(v): duy trì</v>
      </c>
      <c r="G4816" s="6" t="s">
        <v>54578</v>
      </c>
      <c r="H4816" s="6" t="s">
        <v>54579</v>
      </c>
      <c r="I4816" s="7">
        <f t="shared" si="3"/>
        <v>0.4132388783</v>
      </c>
    </row>
    <row r="4817">
      <c r="A4817" s="4">
        <v>4817.0</v>
      </c>
      <c r="B4817" s="3" t="s">
        <v>54580</v>
      </c>
      <c r="C4817" s="6" t="s">
        <v>24</v>
      </c>
      <c r="D4817" s="6" t="s">
        <v>4134</v>
      </c>
      <c r="E4817" s="3" t="str">
        <f t="shared" si="1"/>
        <v>widen&lt;br&gt;&lt;div class="audio"&gt;[sound:widen.mp3]&lt;/div&gt;</v>
      </c>
      <c r="F4817" s="3" t="str">
        <f t="shared" si="2"/>
        <v>(v): mở rộng</v>
      </c>
      <c r="G4817" s="6" t="s">
        <v>54581</v>
      </c>
      <c r="H4817" s="6" t="s">
        <v>54582</v>
      </c>
      <c r="I4817" s="7">
        <f t="shared" si="3"/>
        <v>0.03742983266</v>
      </c>
    </row>
    <row r="4818">
      <c r="A4818" s="4">
        <v>4818.0</v>
      </c>
      <c r="B4818" s="3" t="s">
        <v>54583</v>
      </c>
      <c r="C4818" s="6" t="s">
        <v>24</v>
      </c>
      <c r="D4818" s="6" t="s">
        <v>25653</v>
      </c>
      <c r="E4818" s="3" t="str">
        <f t="shared" si="1"/>
        <v>tempt&lt;br&gt;&lt;div class="audio"&gt;[sound:tempt.mp3]&lt;/div&gt;</v>
      </c>
      <c r="F4818" s="3" t="str">
        <f t="shared" si="2"/>
        <v>(v): cám dỗ</v>
      </c>
      <c r="G4818" s="6" t="s">
        <v>54584</v>
      </c>
      <c r="H4818" s="6" t="s">
        <v>54585</v>
      </c>
      <c r="I4818" s="7">
        <f t="shared" si="3"/>
        <v>0.9259995761</v>
      </c>
    </row>
    <row r="4819">
      <c r="A4819" s="4">
        <v>4819.0</v>
      </c>
      <c r="B4819" s="3" t="s">
        <v>54586</v>
      </c>
      <c r="C4819" s="6" t="s">
        <v>11</v>
      </c>
      <c r="D4819" s="6" t="s">
        <v>54587</v>
      </c>
      <c r="E4819" s="3" t="str">
        <f t="shared" si="1"/>
        <v>windy&lt;br&gt;&lt;div class="audio"&gt;[sound:windy.mp3]&lt;/div&gt;</v>
      </c>
      <c r="F4819" s="3" t="str">
        <f t="shared" si="2"/>
        <v>(adj): có gió</v>
      </c>
      <c r="G4819" s="6" t="s">
        <v>54588</v>
      </c>
      <c r="H4819" s="6" t="s">
        <v>54589</v>
      </c>
      <c r="I4819" s="7">
        <f t="shared" si="3"/>
        <v>0.6716397605</v>
      </c>
    </row>
    <row r="4820">
      <c r="A4820" s="4">
        <v>4820.0</v>
      </c>
      <c r="B4820" s="3" t="s">
        <v>54590</v>
      </c>
      <c r="C4820" s="6" t="s">
        <v>11</v>
      </c>
      <c r="D4820" s="6" t="s">
        <v>54591</v>
      </c>
      <c r="E4820" s="3" t="str">
        <f t="shared" si="1"/>
        <v>poisonous&lt;br&gt;&lt;div class="audio"&gt;[sound:poisonous.mp3]&lt;/div&gt;</v>
      </c>
      <c r="F4820" s="3" t="str">
        <f t="shared" si="2"/>
        <v>(adj): có độc</v>
      </c>
      <c r="G4820" s="6" t="s">
        <v>54592</v>
      </c>
      <c r="H4820" s="6" t="s">
        <v>54593</v>
      </c>
      <c r="I4820" s="7">
        <f t="shared" si="3"/>
        <v>0.2405114622</v>
      </c>
    </row>
    <row r="4821">
      <c r="A4821" s="4">
        <v>4821.0</v>
      </c>
      <c r="B4821" s="3" t="s">
        <v>54594</v>
      </c>
      <c r="C4821" s="6" t="s">
        <v>74</v>
      </c>
      <c r="D4821" s="6" t="s">
        <v>54595</v>
      </c>
      <c r="E4821" s="3" t="str">
        <f t="shared" si="1"/>
        <v>nest&lt;br&gt;&lt;div class="audio"&gt;[sound:nest.mp3]&lt;/div&gt;</v>
      </c>
      <c r="F4821" s="3" t="str">
        <f t="shared" si="2"/>
        <v>(n): cái tổ</v>
      </c>
      <c r="G4821" s="6" t="s">
        <v>54596</v>
      </c>
      <c r="H4821" s="6" t="s">
        <v>54597</v>
      </c>
      <c r="I4821" s="7">
        <f t="shared" si="3"/>
        <v>0.6906019114</v>
      </c>
    </row>
    <row r="4822">
      <c r="A4822" s="4">
        <v>4822.0</v>
      </c>
      <c r="B4822" s="3" t="s">
        <v>54598</v>
      </c>
      <c r="C4822" s="6" t="s">
        <v>74</v>
      </c>
      <c r="D4822" s="6" t="s">
        <v>21455</v>
      </c>
      <c r="E4822" s="3" t="str">
        <f t="shared" si="1"/>
        <v>pond&lt;br&gt;&lt;div class="audio"&gt;[sound:pond.mp3]&lt;/div&gt;</v>
      </c>
      <c r="F4822" s="3" t="str">
        <f t="shared" si="2"/>
        <v>(n): cái ao</v>
      </c>
      <c r="G4822" s="6" t="s">
        <v>54599</v>
      </c>
      <c r="H4822" s="6" t="s">
        <v>54600</v>
      </c>
      <c r="I4822" s="7">
        <f t="shared" si="3"/>
        <v>0.845602053</v>
      </c>
    </row>
    <row r="4823">
      <c r="A4823" s="4">
        <v>4823.0</v>
      </c>
      <c r="B4823" s="3" t="s">
        <v>54601</v>
      </c>
      <c r="C4823" s="6" t="s">
        <v>74</v>
      </c>
      <c r="D4823" s="6" t="s">
        <v>11818</v>
      </c>
      <c r="E4823" s="3" t="str">
        <f t="shared" si="1"/>
        <v>lorry&lt;br&gt;&lt;div class="audio"&gt;[sound:lorry.mp3]&lt;/div&gt;</v>
      </c>
      <c r="F4823" s="3" t="str">
        <f t="shared" si="2"/>
        <v>(n): xe tải</v>
      </c>
      <c r="G4823" s="6" t="s">
        <v>54602</v>
      </c>
      <c r="H4823" s="6" t="s">
        <v>54603</v>
      </c>
      <c r="I4823" s="7">
        <f t="shared" si="3"/>
        <v>0.7243372023</v>
      </c>
    </row>
    <row r="4824">
      <c r="A4824" s="4">
        <v>4824.0</v>
      </c>
      <c r="B4824" s="3" t="s">
        <v>54604</v>
      </c>
      <c r="C4824" s="6" t="s">
        <v>74</v>
      </c>
      <c r="D4824" s="6" t="s">
        <v>35628</v>
      </c>
      <c r="E4824" s="3" t="str">
        <f t="shared" si="1"/>
        <v>pastor&lt;br&gt;&lt;div class="audio"&gt;[sound:pastor.mp3]&lt;/div&gt;</v>
      </c>
      <c r="F4824" s="3" t="str">
        <f t="shared" si="2"/>
        <v>(n): mục sư</v>
      </c>
      <c r="G4824" s="6" t="s">
        <v>54605</v>
      </c>
      <c r="H4824" s="6" t="s">
        <v>54606</v>
      </c>
      <c r="I4824" s="7">
        <f t="shared" si="3"/>
        <v>0.9791754812</v>
      </c>
    </row>
    <row r="4825">
      <c r="A4825" s="4">
        <v>4825.0</v>
      </c>
      <c r="B4825" s="3" t="s">
        <v>54607</v>
      </c>
      <c r="C4825" s="6" t="s">
        <v>74</v>
      </c>
      <c r="D4825" s="6" t="s">
        <v>54608</v>
      </c>
      <c r="E4825" s="3" t="str">
        <f t="shared" si="1"/>
        <v>junction&lt;br&gt;&lt;div class="audio"&gt;[sound:junction.mp3]&lt;/div&gt;</v>
      </c>
      <c r="F4825" s="3" t="str">
        <f t="shared" si="2"/>
        <v>(n): ngã ba</v>
      </c>
      <c r="G4825" s="6" t="s">
        <v>54609</v>
      </c>
      <c r="H4825" s="6" t="s">
        <v>54610</v>
      </c>
      <c r="I4825" s="7">
        <f t="shared" si="3"/>
        <v>0.3580865457</v>
      </c>
    </row>
    <row r="4826">
      <c r="A4826" s="4">
        <v>4826.0</v>
      </c>
      <c r="B4826" s="3" t="s">
        <v>54611</v>
      </c>
      <c r="C4826" s="6" t="s">
        <v>74</v>
      </c>
      <c r="D4826" s="6" t="s">
        <v>54611</v>
      </c>
      <c r="E4826" s="3" t="str">
        <f t="shared" si="1"/>
        <v>ounce&lt;br&gt;&lt;div class="audio"&gt;[sound:ounce.mp3]&lt;/div&gt;</v>
      </c>
      <c r="F4826" s="3" t="str">
        <f t="shared" si="2"/>
        <v>(n): ounce</v>
      </c>
      <c r="G4826" s="6" t="s">
        <v>54612</v>
      </c>
      <c r="H4826" s="6" t="s">
        <v>54613</v>
      </c>
      <c r="I4826" s="7">
        <f t="shared" si="3"/>
        <v>0.1466938408</v>
      </c>
    </row>
    <row r="4827">
      <c r="A4827" s="4">
        <v>4827.0</v>
      </c>
      <c r="B4827" s="3" t="s">
        <v>54614</v>
      </c>
      <c r="C4827" s="6" t="s">
        <v>74</v>
      </c>
      <c r="D4827" s="6" t="s">
        <v>54615</v>
      </c>
      <c r="E4827" s="3" t="str">
        <f t="shared" si="1"/>
        <v>lemon&lt;br&gt;&lt;div class="audio"&gt;[sound:lemon.mp3]&lt;/div&gt;</v>
      </c>
      <c r="F4827" s="3" t="str">
        <f t="shared" si="2"/>
        <v>(n): chanh</v>
      </c>
      <c r="G4827" s="6" t="s">
        <v>54616</v>
      </c>
      <c r="H4827" s="6" t="s">
        <v>54617</v>
      </c>
      <c r="I4827" s="7">
        <f t="shared" si="3"/>
        <v>0.07045329975</v>
      </c>
    </row>
    <row r="4828">
      <c r="A4828" s="4">
        <v>4828.0</v>
      </c>
      <c r="B4828" s="3" t="s">
        <v>54618</v>
      </c>
      <c r="C4828" s="6" t="s">
        <v>24</v>
      </c>
      <c r="D4828" s="6" t="s">
        <v>54619</v>
      </c>
      <c r="E4828" s="3" t="str">
        <f t="shared" si="1"/>
        <v>nominate&lt;br&gt;&lt;div class="audio"&gt;[sound:nominate.mp3]&lt;/div&gt;</v>
      </c>
      <c r="F4828" s="3" t="str">
        <f t="shared" si="2"/>
        <v>(v): đề cử</v>
      </c>
      <c r="G4828" s="6" t="s">
        <v>54620</v>
      </c>
      <c r="H4828" s="6" t="s">
        <v>54621</v>
      </c>
      <c r="I4828" s="7">
        <f t="shared" si="3"/>
        <v>0.7532173109</v>
      </c>
    </row>
    <row r="4829">
      <c r="A4829" s="4">
        <v>4829.0</v>
      </c>
      <c r="B4829" s="3" t="s">
        <v>54622</v>
      </c>
      <c r="C4829" s="6" t="s">
        <v>24</v>
      </c>
      <c r="D4829" s="6" t="s">
        <v>26262</v>
      </c>
      <c r="E4829" s="3" t="str">
        <f t="shared" si="1"/>
        <v>lick&lt;br&gt;&lt;div class="audio"&gt;[sound:lick.mp3]&lt;/div&gt;</v>
      </c>
      <c r="F4829" s="3" t="str">
        <f t="shared" si="2"/>
        <v>(v): liếm</v>
      </c>
      <c r="G4829" s="6" t="s">
        <v>54623</v>
      </c>
      <c r="H4829" s="6" t="s">
        <v>54624</v>
      </c>
      <c r="I4829" s="7">
        <f t="shared" si="3"/>
        <v>0.2746141683</v>
      </c>
    </row>
    <row r="4830">
      <c r="A4830" s="4">
        <v>4830.0</v>
      </c>
      <c r="B4830" s="3" t="s">
        <v>54625</v>
      </c>
      <c r="C4830" s="6" t="s">
        <v>74</v>
      </c>
      <c r="D4830" s="6" t="s">
        <v>18653</v>
      </c>
      <c r="E4830" s="3" t="str">
        <f t="shared" si="1"/>
        <v>beard&lt;br&gt;&lt;div class="audio"&gt;[sound:beard.mp3]&lt;/div&gt;</v>
      </c>
      <c r="F4830" s="3" t="str">
        <f t="shared" si="2"/>
        <v>(n): râu</v>
      </c>
      <c r="G4830" s="6" t="s">
        <v>54626</v>
      </c>
      <c r="H4830" s="6" t="s">
        <v>54627</v>
      </c>
      <c r="I4830" s="7">
        <f t="shared" si="3"/>
        <v>0.6318678652</v>
      </c>
    </row>
    <row r="4831">
      <c r="A4831" s="4">
        <v>4831.0</v>
      </c>
      <c r="B4831" s="3" t="s">
        <v>54628</v>
      </c>
      <c r="C4831" s="6" t="s">
        <v>74</v>
      </c>
      <c r="D4831" s="6" t="s">
        <v>36438</v>
      </c>
      <c r="E4831" s="3" t="str">
        <f t="shared" si="1"/>
        <v>mud&lt;br&gt;&lt;div class="audio"&gt;[sound:mud.mp3]&lt;/div&gt;</v>
      </c>
      <c r="F4831" s="3" t="str">
        <f t="shared" si="2"/>
        <v>(n): bùn</v>
      </c>
      <c r="G4831" s="6" t="s">
        <v>54629</v>
      </c>
      <c r="H4831" s="6" t="s">
        <v>54630</v>
      </c>
      <c r="I4831" s="7">
        <f t="shared" si="3"/>
        <v>0.2973149621</v>
      </c>
    </row>
    <row r="4832">
      <c r="A4832" s="4">
        <v>4832.0</v>
      </c>
      <c r="B4832" s="3" t="s">
        <v>54631</v>
      </c>
      <c r="C4832" s="6" t="s">
        <v>74</v>
      </c>
      <c r="D4832" s="6" t="s">
        <v>54632</v>
      </c>
      <c r="E4832" s="3" t="str">
        <f t="shared" si="1"/>
        <v>limb&lt;br&gt;&lt;div class="audio"&gt;[sound:limb.mp3]&lt;/div&gt;</v>
      </c>
      <c r="F4832" s="3" t="str">
        <f t="shared" si="2"/>
        <v>(n): chi</v>
      </c>
      <c r="G4832" s="6" t="s">
        <v>54633</v>
      </c>
      <c r="H4832" s="6" t="s">
        <v>54634</v>
      </c>
      <c r="I4832" s="7">
        <f t="shared" si="3"/>
        <v>0.4870742803</v>
      </c>
    </row>
    <row r="4833">
      <c r="A4833" s="4">
        <v>4833.0</v>
      </c>
      <c r="B4833" s="3" t="s">
        <v>54635</v>
      </c>
      <c r="C4833" s="6" t="s">
        <v>24</v>
      </c>
      <c r="D4833" s="6" t="s">
        <v>5273</v>
      </c>
      <c r="E4833" s="3" t="str">
        <f t="shared" si="1"/>
        <v>forbid&lt;br&gt;&lt;div class="audio"&gt;[sound:forbid.mp3]&lt;/div&gt;</v>
      </c>
      <c r="F4833" s="3" t="str">
        <f t="shared" si="2"/>
        <v>(v): cấm</v>
      </c>
      <c r="G4833" s="6" t="s">
        <v>54636</v>
      </c>
      <c r="H4833" s="6" t="s">
        <v>54637</v>
      </c>
      <c r="I4833" s="7">
        <f t="shared" si="3"/>
        <v>0.7184290848</v>
      </c>
    </row>
    <row r="4834">
      <c r="A4834" s="4">
        <v>4834.0</v>
      </c>
      <c r="B4834" s="3" t="s">
        <v>54638</v>
      </c>
      <c r="C4834" s="6" t="s">
        <v>11</v>
      </c>
      <c r="D4834" s="6" t="s">
        <v>484</v>
      </c>
      <c r="E4834" s="3" t="str">
        <f t="shared" si="1"/>
        <v>marginal&lt;br&gt;&lt;div class="audio"&gt;[sound:marginal.mp3]&lt;/div&gt;</v>
      </c>
      <c r="F4834" s="3" t="str">
        <f t="shared" si="2"/>
        <v>(adj): nhỏ</v>
      </c>
      <c r="G4834" s="6" t="s">
        <v>54639</v>
      </c>
      <c r="H4834" s="6" t="s">
        <v>54640</v>
      </c>
      <c r="I4834" s="7">
        <f t="shared" si="3"/>
        <v>0.4569489129</v>
      </c>
    </row>
    <row r="4835">
      <c r="A4835" s="4">
        <v>4835.0</v>
      </c>
      <c r="B4835" s="3" t="s">
        <v>54641</v>
      </c>
      <c r="C4835" s="6" t="s">
        <v>74</v>
      </c>
      <c r="D4835" s="6" t="s">
        <v>4306</v>
      </c>
      <c r="E4835" s="3" t="str">
        <f t="shared" si="1"/>
        <v>granny&lt;br&gt;&lt;div class="audio"&gt;[sound:granny.mp3]&lt;/div&gt;</v>
      </c>
      <c r="F4835" s="3" t="str">
        <f t="shared" si="2"/>
        <v>(n): bà</v>
      </c>
      <c r="G4835" s="6" t="s">
        <v>54642</v>
      </c>
      <c r="H4835" s="6" t="s">
        <v>54643</v>
      </c>
      <c r="I4835" s="7">
        <f t="shared" si="3"/>
        <v>0.1657211562</v>
      </c>
    </row>
    <row r="4836">
      <c r="A4836" s="4">
        <v>4836.0</v>
      </c>
      <c r="B4836" s="3" t="s">
        <v>54644</v>
      </c>
      <c r="C4836" s="6" t="s">
        <v>24</v>
      </c>
      <c r="D4836" s="6" t="s">
        <v>14844</v>
      </c>
      <c r="E4836" s="3" t="str">
        <f t="shared" si="1"/>
        <v>diagnose&lt;br&gt;&lt;div class="audio"&gt;[sound:diagnose.mp3]&lt;/div&gt;</v>
      </c>
      <c r="F4836" s="3" t="str">
        <f t="shared" si="2"/>
        <v>(v): chẩn đoán</v>
      </c>
      <c r="G4836" s="6" t="s">
        <v>54645</v>
      </c>
      <c r="H4836" s="6" t="s">
        <v>54646</v>
      </c>
      <c r="I4836" s="7">
        <f t="shared" si="3"/>
        <v>0.5155235923</v>
      </c>
    </row>
    <row r="4837">
      <c r="A4837" s="4">
        <v>4837.0</v>
      </c>
      <c r="B4837" s="3" t="s">
        <v>54647</v>
      </c>
      <c r="C4837" s="6" t="s">
        <v>11</v>
      </c>
      <c r="D4837" s="6" t="s">
        <v>30510</v>
      </c>
      <c r="E4837" s="3" t="str">
        <f t="shared" si="1"/>
        <v>cruel&lt;br&gt;&lt;div class="audio"&gt;[sound:cruel.mp3]&lt;/div&gt;</v>
      </c>
      <c r="F4837" s="3" t="str">
        <f t="shared" si="2"/>
        <v>(adj): tàn nhẫn</v>
      </c>
      <c r="G4837" s="6" t="s">
        <v>54648</v>
      </c>
      <c r="H4837" s="6" t="s">
        <v>54649</v>
      </c>
      <c r="I4837" s="7">
        <f t="shared" si="3"/>
        <v>0.8028174383</v>
      </c>
    </row>
    <row r="4838">
      <c r="A4838" s="4">
        <v>4838.0</v>
      </c>
      <c r="B4838" s="3" t="s">
        <v>54650</v>
      </c>
      <c r="C4838" s="6" t="s">
        <v>24</v>
      </c>
      <c r="D4838" s="6" t="s">
        <v>54651</v>
      </c>
      <c r="E4838" s="3" t="str">
        <f t="shared" si="1"/>
        <v>dissolve&lt;br&gt;&lt;div class="audio"&gt;[sound:dissolve.mp3]&lt;/div&gt;</v>
      </c>
      <c r="F4838" s="3" t="str">
        <f t="shared" si="2"/>
        <v>(v): hòa tan</v>
      </c>
      <c r="G4838" s="6" t="s">
        <v>54652</v>
      </c>
      <c r="H4838" s="6" t="s">
        <v>54653</v>
      </c>
      <c r="I4838" s="7">
        <f t="shared" si="3"/>
        <v>0.4903394573</v>
      </c>
    </row>
    <row r="4839">
      <c r="A4839" s="4">
        <v>4839.0</v>
      </c>
      <c r="B4839" s="3" t="s">
        <v>54654</v>
      </c>
      <c r="C4839" s="6" t="s">
        <v>24</v>
      </c>
      <c r="D4839" s="6" t="s">
        <v>54655</v>
      </c>
      <c r="E4839" s="3" t="str">
        <f t="shared" si="1"/>
        <v>terrify&lt;br&gt;&lt;div class="audio"&gt;[sound:terrify.mp3]&lt;/div&gt;</v>
      </c>
      <c r="F4839" s="3" t="str">
        <f t="shared" si="2"/>
        <v>(v): làm khiếp sợ</v>
      </c>
      <c r="G4839" s="6" t="s">
        <v>54656</v>
      </c>
      <c r="H4839" s="6" t="s">
        <v>54657</v>
      </c>
      <c r="I4839" s="7">
        <f t="shared" si="3"/>
        <v>0.7040625151</v>
      </c>
    </row>
    <row r="4840">
      <c r="A4840" s="4">
        <v>4840.0</v>
      </c>
      <c r="B4840" s="3" t="s">
        <v>54658</v>
      </c>
      <c r="C4840" s="6" t="s">
        <v>24</v>
      </c>
      <c r="D4840" s="6" t="s">
        <v>54659</v>
      </c>
      <c r="E4840" s="3" t="str">
        <f t="shared" si="1"/>
        <v>discharge&lt;br&gt;&lt;div class="audio"&gt;[sound:discharge.mp3]&lt;/div&gt;</v>
      </c>
      <c r="F4840" s="3" t="str">
        <f t="shared" si="2"/>
        <v>(v): cho ra viện</v>
      </c>
      <c r="G4840" s="6" t="s">
        <v>54660</v>
      </c>
      <c r="H4840" s="6" t="s">
        <v>54661</v>
      </c>
      <c r="I4840" s="7">
        <f t="shared" si="3"/>
        <v>0.3501769463</v>
      </c>
    </row>
    <row r="4841">
      <c r="A4841" s="4">
        <v>4841.0</v>
      </c>
      <c r="B4841" s="3" t="s">
        <v>54662</v>
      </c>
      <c r="C4841" s="6" t="s">
        <v>74</v>
      </c>
      <c r="D4841" s="6" t="s">
        <v>16938</v>
      </c>
      <c r="E4841" s="3" t="str">
        <f t="shared" si="1"/>
        <v>costume&lt;br&gt;&lt;div class="audio"&gt;[sound:costume.mp3]&lt;/div&gt;</v>
      </c>
      <c r="F4841" s="3" t="str">
        <f t="shared" si="2"/>
        <v>(n): trang phục</v>
      </c>
      <c r="G4841" s="6" t="s">
        <v>54663</v>
      </c>
      <c r="H4841" s="6" t="s">
        <v>54664</v>
      </c>
      <c r="I4841" s="7">
        <f t="shared" si="3"/>
        <v>0.6218802294</v>
      </c>
    </row>
    <row r="4842">
      <c r="A4842" s="4">
        <v>4842.0</v>
      </c>
      <c r="B4842" s="3" t="s">
        <v>54665</v>
      </c>
      <c r="C4842" s="6" t="s">
        <v>74</v>
      </c>
      <c r="D4842" s="6" t="s">
        <v>54666</v>
      </c>
      <c r="E4842" s="3" t="str">
        <f t="shared" si="1"/>
        <v>default&lt;br&gt;&lt;div class="audio"&gt;[sound:default.mp3]&lt;/div&gt;</v>
      </c>
      <c r="F4842" s="3" t="str">
        <f t="shared" si="2"/>
        <v>(n): mặc định</v>
      </c>
      <c r="G4842" s="6" t="s">
        <v>54667</v>
      </c>
      <c r="H4842" s="6" t="s">
        <v>54668</v>
      </c>
      <c r="I4842" s="7">
        <f t="shared" si="3"/>
        <v>0.7357857937</v>
      </c>
    </row>
    <row r="4843">
      <c r="A4843" s="4">
        <v>4843.0</v>
      </c>
      <c r="B4843" s="3" t="s">
        <v>54669</v>
      </c>
      <c r="C4843" s="6" t="s">
        <v>74</v>
      </c>
      <c r="D4843" s="6" t="s">
        <v>54670</v>
      </c>
      <c r="E4843" s="3" t="str">
        <f t="shared" si="1"/>
        <v>curriculum&lt;br&gt;&lt;div class="audio"&gt;[sound:curriculum.mp3]&lt;/div&gt;</v>
      </c>
      <c r="F4843" s="3" t="str">
        <f t="shared" si="2"/>
        <v>(n): chương trình học</v>
      </c>
      <c r="G4843" s="6" t="s">
        <v>54671</v>
      </c>
      <c r="H4843" s="6" t="s">
        <v>54672</v>
      </c>
      <c r="I4843" s="7">
        <f t="shared" si="3"/>
        <v>0.3175291869</v>
      </c>
    </row>
    <row r="4844">
      <c r="A4844" s="4">
        <v>4844.0</v>
      </c>
      <c r="B4844" s="3" t="s">
        <v>54673</v>
      </c>
      <c r="C4844" s="6" t="s">
        <v>74</v>
      </c>
      <c r="D4844" s="6" t="s">
        <v>54674</v>
      </c>
      <c r="E4844" s="3" t="str">
        <f t="shared" si="1"/>
        <v>dominance&lt;br&gt;&lt;div class="audio"&gt;[sound:dominance.mp3]&lt;/div&gt;</v>
      </c>
      <c r="F4844" s="3" t="str">
        <f t="shared" si="2"/>
        <v>(n): sự thống trị</v>
      </c>
      <c r="G4844" s="6" t="s">
        <v>54675</v>
      </c>
      <c r="H4844" s="6" t="s">
        <v>54676</v>
      </c>
      <c r="I4844" s="7">
        <f t="shared" si="3"/>
        <v>0.6557121022</v>
      </c>
    </row>
    <row r="4845">
      <c r="A4845" s="4">
        <v>4845.0</v>
      </c>
      <c r="B4845" s="3" t="s">
        <v>54677</v>
      </c>
      <c r="C4845" s="6" t="s">
        <v>11</v>
      </c>
      <c r="D4845" s="6" t="s">
        <v>54678</v>
      </c>
      <c r="E4845" s="3" t="str">
        <f t="shared" si="1"/>
        <v>desirable&lt;br&gt;&lt;div class="audio"&gt;[sound:desirable.mp3]&lt;/div&gt;</v>
      </c>
      <c r="F4845" s="3" t="str">
        <f t="shared" si="2"/>
        <v>(adj): đáng mơ ước</v>
      </c>
      <c r="G4845" s="6" t="s">
        <v>54679</v>
      </c>
      <c r="H4845" s="6" t="s">
        <v>54680</v>
      </c>
      <c r="I4845" s="7">
        <f t="shared" si="3"/>
        <v>0.3449425089</v>
      </c>
    </row>
    <row r="4846">
      <c r="A4846" s="4">
        <v>4846.0</v>
      </c>
      <c r="B4846" s="3" t="s">
        <v>54681</v>
      </c>
      <c r="C4846" s="6" t="s">
        <v>11</v>
      </c>
      <c r="D4846" s="6" t="s">
        <v>35304</v>
      </c>
      <c r="E4846" s="3" t="str">
        <f t="shared" si="1"/>
        <v>divine&lt;br&gt;&lt;div class="audio"&gt;[sound:divine.mp3]&lt;/div&gt;</v>
      </c>
      <c r="F4846" s="3" t="str">
        <f t="shared" si="2"/>
        <v>(adj): thiêng liêng</v>
      </c>
      <c r="G4846" s="6" t="s">
        <v>54682</v>
      </c>
      <c r="H4846" s="6" t="s">
        <v>54683</v>
      </c>
      <c r="I4846" s="7">
        <f t="shared" si="3"/>
        <v>0.8702306788</v>
      </c>
    </row>
    <row r="4847">
      <c r="A4847" s="4">
        <v>4847.0</v>
      </c>
      <c r="B4847" s="3" t="s">
        <v>54684</v>
      </c>
      <c r="C4847" s="6" t="s">
        <v>74</v>
      </c>
      <c r="D4847" s="6" t="s">
        <v>54685</v>
      </c>
      <c r="E4847" s="3" t="str">
        <f t="shared" si="1"/>
        <v>denial&lt;br&gt;&lt;div class="audio"&gt;[sound:denial.mp3]&lt;/div&gt;</v>
      </c>
      <c r="F4847" s="3" t="str">
        <f t="shared" si="2"/>
        <v>(n): sự phủ nhận</v>
      </c>
      <c r="G4847" s="6" t="s">
        <v>54686</v>
      </c>
      <c r="H4847" s="6" t="s">
        <v>54687</v>
      </c>
      <c r="I4847" s="7">
        <f t="shared" si="3"/>
        <v>0.6029889608</v>
      </c>
    </row>
    <row r="4848">
      <c r="A4848" s="4">
        <v>4848.0</v>
      </c>
      <c r="B4848" s="3" t="s">
        <v>54688</v>
      </c>
      <c r="C4848" s="6" t="s">
        <v>74</v>
      </c>
      <c r="D4848" s="6" t="s">
        <v>54689</v>
      </c>
      <c r="E4848" s="3" t="str">
        <f t="shared" si="1"/>
        <v>copyright&lt;br&gt;&lt;div class="audio"&gt;[sound:copyright.mp3]&lt;/div&gt;</v>
      </c>
      <c r="F4848" s="3" t="str">
        <f t="shared" si="2"/>
        <v>(n): bản quyền</v>
      </c>
      <c r="G4848" s="6" t="s">
        <v>54690</v>
      </c>
      <c r="H4848" s="6" t="s">
        <v>54691</v>
      </c>
      <c r="I4848" s="7">
        <f t="shared" si="3"/>
        <v>0.8376050145</v>
      </c>
    </row>
    <row r="4849">
      <c r="A4849" s="4">
        <v>4849.0</v>
      </c>
      <c r="B4849" s="3" t="s">
        <v>54692</v>
      </c>
      <c r="C4849" s="6" t="s">
        <v>74</v>
      </c>
      <c r="D4849" s="6" t="s">
        <v>54693</v>
      </c>
      <c r="E4849" s="3" t="str">
        <f t="shared" si="1"/>
        <v>dairy&lt;br&gt;&lt;div class="audio"&gt;[sound:dairy.mp3]&lt;/div&gt;</v>
      </c>
      <c r="F4849" s="3" t="str">
        <f t="shared" si="2"/>
        <v>(n): sản phẩm sữa</v>
      </c>
      <c r="G4849" s="6" t="s">
        <v>54694</v>
      </c>
      <c r="H4849" s="6" t="s">
        <v>54695</v>
      </c>
      <c r="I4849" s="7">
        <f t="shared" si="3"/>
        <v>0.96043468</v>
      </c>
    </row>
    <row r="4850">
      <c r="A4850" s="4">
        <v>4850.0</v>
      </c>
      <c r="B4850" s="3" t="s">
        <v>54696</v>
      </c>
      <c r="C4850" s="6" t="s">
        <v>74</v>
      </c>
      <c r="D4850" s="6" t="s">
        <v>28274</v>
      </c>
      <c r="E4850" s="3" t="str">
        <f t="shared" si="1"/>
        <v>diagram&lt;br&gt;&lt;div class="audio"&gt;[sound:diagram.mp3]&lt;/div&gt;</v>
      </c>
      <c r="F4850" s="3" t="str">
        <f t="shared" si="2"/>
        <v>(n): biểu đồ</v>
      </c>
      <c r="G4850" s="6" t="s">
        <v>54697</v>
      </c>
      <c r="H4850" s="6" t="s">
        <v>54698</v>
      </c>
      <c r="I4850" s="7">
        <f t="shared" si="3"/>
        <v>0.6251767255</v>
      </c>
    </row>
    <row r="4851">
      <c r="A4851" s="4">
        <v>4851.0</v>
      </c>
      <c r="B4851" s="3" t="s">
        <v>54699</v>
      </c>
      <c r="C4851" s="6" t="s">
        <v>74</v>
      </c>
      <c r="D4851" s="6" t="s">
        <v>54700</v>
      </c>
      <c r="E4851" s="3" t="str">
        <f t="shared" si="1"/>
        <v>contributor&lt;br&gt;&lt;div class="audio"&gt;[sound:contributor.mp3]&lt;/div&gt;</v>
      </c>
      <c r="F4851" s="3" t="str">
        <f t="shared" si="2"/>
        <v>(n): người đóng góp</v>
      </c>
      <c r="G4851" s="6" t="s">
        <v>54701</v>
      </c>
      <c r="H4851" s="6" t="s">
        <v>54702</v>
      </c>
      <c r="I4851" s="7">
        <f t="shared" si="3"/>
        <v>0.1196882883</v>
      </c>
    </row>
    <row r="4852">
      <c r="A4852" s="4">
        <v>4852.0</v>
      </c>
      <c r="B4852" s="3" t="s">
        <v>54703</v>
      </c>
      <c r="C4852" s="6" t="s">
        <v>74</v>
      </c>
      <c r="D4852" s="6" t="s">
        <v>54704</v>
      </c>
      <c r="E4852" s="3" t="str">
        <f t="shared" si="1"/>
        <v>disposal&lt;br&gt;&lt;div class="audio"&gt;[sound:disposal.mp3]&lt;/div&gt;</v>
      </c>
      <c r="F4852" s="3" t="str">
        <f t="shared" si="2"/>
        <v>(n): sự vứt bỏ</v>
      </c>
      <c r="G4852" s="6" t="s">
        <v>54705</v>
      </c>
      <c r="H4852" s="6" t="s">
        <v>54706</v>
      </c>
      <c r="I4852" s="7">
        <f t="shared" si="3"/>
        <v>0.8980096216</v>
      </c>
    </row>
    <row r="4853">
      <c r="A4853" s="4">
        <v>4853.0</v>
      </c>
      <c r="B4853" s="3" t="s">
        <v>54707</v>
      </c>
      <c r="C4853" s="6" t="s">
        <v>74</v>
      </c>
      <c r="D4853" s="6" t="s">
        <v>19664</v>
      </c>
      <c r="E4853" s="3" t="str">
        <f t="shared" si="1"/>
        <v>terrain&lt;br&gt;&lt;div class="audio"&gt;[sound:terrain.mp3]&lt;/div&gt;</v>
      </c>
      <c r="F4853" s="3" t="str">
        <f t="shared" si="2"/>
        <v>(n): địa hình</v>
      </c>
      <c r="G4853" s="6" t="s">
        <v>54708</v>
      </c>
      <c r="H4853" s="6" t="s">
        <v>54709</v>
      </c>
      <c r="I4853" s="7">
        <f t="shared" si="3"/>
        <v>0.6327777274</v>
      </c>
    </row>
    <row r="4854">
      <c r="A4854" s="4">
        <v>4854.0</v>
      </c>
      <c r="B4854" s="3" t="s">
        <v>54710</v>
      </c>
      <c r="C4854" s="6" t="s">
        <v>74</v>
      </c>
      <c r="D4854" s="6" t="s">
        <v>32486</v>
      </c>
      <c r="E4854" s="3" t="str">
        <f t="shared" si="1"/>
        <v>dentist&lt;br&gt;&lt;div class="audio"&gt;[sound:dentist.mp3]&lt;/div&gt;</v>
      </c>
      <c r="F4854" s="3" t="str">
        <f t="shared" si="2"/>
        <v>(n): nha sĩ</v>
      </c>
      <c r="G4854" s="6" t="s">
        <v>54711</v>
      </c>
      <c r="H4854" s="6" t="s">
        <v>54712</v>
      </c>
      <c r="I4854" s="7">
        <f t="shared" si="3"/>
        <v>0.8229920457</v>
      </c>
    </row>
    <row r="4855">
      <c r="A4855" s="4">
        <v>4855.0</v>
      </c>
      <c r="B4855" s="3" t="s">
        <v>54713</v>
      </c>
      <c r="C4855" s="6" t="s">
        <v>74</v>
      </c>
      <c r="D4855" s="6" t="s">
        <v>54714</v>
      </c>
      <c r="E4855" s="3" t="str">
        <f t="shared" si="1"/>
        <v>diplomat&lt;br&gt;&lt;div class="audio"&gt;[sound:diplomat.mp3]&lt;/div&gt;</v>
      </c>
      <c r="F4855" s="3" t="str">
        <f t="shared" si="2"/>
        <v>(n): nhà ngoại giao</v>
      </c>
      <c r="G4855" s="6" t="s">
        <v>54715</v>
      </c>
      <c r="H4855" s="6" t="s">
        <v>54716</v>
      </c>
      <c r="I4855" s="7">
        <f t="shared" si="3"/>
        <v>0.5817493156</v>
      </c>
    </row>
    <row r="4856">
      <c r="A4856" s="4">
        <v>4856.0</v>
      </c>
      <c r="B4856" s="3" t="s">
        <v>54717</v>
      </c>
      <c r="C4856" s="6" t="s">
        <v>11</v>
      </c>
      <c r="D4856" s="6" t="s">
        <v>51768</v>
      </c>
      <c r="E4856" s="3" t="str">
        <f t="shared" si="1"/>
        <v>deadly&lt;br&gt;&lt;div class="audio"&gt;[sound:deadly.mp3]&lt;/div&gt;</v>
      </c>
      <c r="F4856" s="3" t="str">
        <f t="shared" si="2"/>
        <v>(adj): chết người</v>
      </c>
      <c r="G4856" s="6" t="s">
        <v>54718</v>
      </c>
      <c r="H4856" s="6" t="s">
        <v>54719</v>
      </c>
      <c r="I4856" s="7">
        <f t="shared" si="3"/>
        <v>0.3775644425</v>
      </c>
    </row>
    <row r="4857">
      <c r="A4857" s="4">
        <v>4857.0</v>
      </c>
      <c r="B4857" s="3" t="s">
        <v>54720</v>
      </c>
      <c r="C4857" s="6" t="s">
        <v>11</v>
      </c>
      <c r="D4857" s="6" t="s">
        <v>54721</v>
      </c>
      <c r="E4857" s="3" t="str">
        <f t="shared" si="1"/>
        <v>dual&lt;br&gt;&lt;div class="audio"&gt;[sound:dual.mp3]&lt;/div&gt;</v>
      </c>
      <c r="F4857" s="3" t="str">
        <f t="shared" si="2"/>
        <v>(adj): kép</v>
      </c>
      <c r="G4857" s="6" t="s">
        <v>54722</v>
      </c>
      <c r="H4857" s="6" t="s">
        <v>54723</v>
      </c>
      <c r="I4857" s="7">
        <f t="shared" si="3"/>
        <v>0.05474868948</v>
      </c>
    </row>
    <row r="4858">
      <c r="A4858" s="4">
        <v>4858.0</v>
      </c>
      <c r="B4858" s="3" t="s">
        <v>54724</v>
      </c>
      <c r="C4858" s="6" t="s">
        <v>24</v>
      </c>
      <c r="D4858" s="6" t="s">
        <v>50927</v>
      </c>
      <c r="E4858" s="3" t="str">
        <f t="shared" si="1"/>
        <v>correspond&lt;br&gt;&lt;div class="audio"&gt;[sound:correspond.mp3]&lt;/div&gt;</v>
      </c>
      <c r="F4858" s="3" t="str">
        <f t="shared" si="2"/>
        <v>(v): tương ứng</v>
      </c>
      <c r="G4858" s="6" t="s">
        <v>54725</v>
      </c>
      <c r="H4858" s="6" t="s">
        <v>54726</v>
      </c>
      <c r="I4858" s="7">
        <f t="shared" si="3"/>
        <v>0.3688484518</v>
      </c>
    </row>
    <row r="4859">
      <c r="A4859" s="4">
        <v>4859.0</v>
      </c>
      <c r="B4859" s="3" t="s">
        <v>54727</v>
      </c>
      <c r="C4859" s="6" t="s">
        <v>24</v>
      </c>
      <c r="D4859" s="6" t="s">
        <v>6385</v>
      </c>
      <c r="E4859" s="3" t="str">
        <f t="shared" si="1"/>
        <v>descend&lt;br&gt;&lt;div class="audio"&gt;[sound:descend.mp3]&lt;/div&gt;</v>
      </c>
      <c r="F4859" s="3" t="str">
        <f t="shared" si="2"/>
        <v>(v): đi xuống</v>
      </c>
      <c r="G4859" s="6" t="s">
        <v>54728</v>
      </c>
      <c r="H4859" s="6" t="s">
        <v>54729</v>
      </c>
      <c r="I4859" s="7">
        <f t="shared" si="3"/>
        <v>0.8105057179</v>
      </c>
    </row>
    <row r="4860">
      <c r="A4860" s="4">
        <v>4860.0</v>
      </c>
      <c r="B4860" s="3" t="s">
        <v>54730</v>
      </c>
      <c r="C4860" s="6" t="s">
        <v>24</v>
      </c>
      <c r="D4860" s="6" t="s">
        <v>54731</v>
      </c>
      <c r="E4860" s="3" t="str">
        <f t="shared" si="1"/>
        <v>disrupt&lt;br&gt;&lt;div class="audio"&gt;[sound:disrupt.mp3]&lt;/div&gt;</v>
      </c>
      <c r="F4860" s="3" t="str">
        <f t="shared" si="2"/>
        <v>(v): gây gián đoạn</v>
      </c>
      <c r="G4860" s="6" t="s">
        <v>54732</v>
      </c>
      <c r="H4860" s="6" t="s">
        <v>54733</v>
      </c>
      <c r="I4860" s="7">
        <f t="shared" si="3"/>
        <v>0.2682887217</v>
      </c>
    </row>
    <row r="4861">
      <c r="A4861" s="4">
        <v>4861.0</v>
      </c>
      <c r="B4861" s="3" t="s">
        <v>54734</v>
      </c>
      <c r="C4861" s="6" t="s">
        <v>11</v>
      </c>
      <c r="D4861" s="6" t="s">
        <v>54735</v>
      </c>
      <c r="E4861" s="3" t="str">
        <f t="shared" si="1"/>
        <v>medieval&lt;br&gt;&lt;div class="audio"&gt;[sound:medieval.mp3]&lt;/div&gt;</v>
      </c>
      <c r="F4861" s="3" t="str">
        <f t="shared" si="2"/>
        <v>(adj): thuộc thời trung cổ</v>
      </c>
      <c r="G4861" s="6" t="s">
        <v>54736</v>
      </c>
      <c r="H4861" s="6" t="s">
        <v>54737</v>
      </c>
      <c r="I4861" s="7">
        <f t="shared" si="3"/>
        <v>0.7529991475</v>
      </c>
    </row>
    <row r="4862">
      <c r="A4862" s="4">
        <v>4862.0</v>
      </c>
      <c r="B4862" s="3" t="s">
        <v>54738</v>
      </c>
      <c r="C4862" s="6" t="s">
        <v>74</v>
      </c>
      <c r="D4862" s="6" t="s">
        <v>54739</v>
      </c>
      <c r="E4862" s="3" t="str">
        <f t="shared" si="1"/>
        <v>marathon&lt;br&gt;&lt;div class="audio"&gt;[sound:marathon.mp3]&lt;/div&gt;</v>
      </c>
      <c r="F4862" s="3" t="str">
        <f t="shared" si="2"/>
        <v>(n): cuộc đua marathon</v>
      </c>
      <c r="G4862" s="6" t="s">
        <v>54740</v>
      </c>
      <c r="H4862" s="6" t="s">
        <v>54741</v>
      </c>
      <c r="I4862" s="7">
        <f t="shared" si="3"/>
        <v>0.3944890968</v>
      </c>
    </row>
    <row r="4863">
      <c r="A4863" s="4">
        <v>4863.0</v>
      </c>
      <c r="B4863" s="3" t="s">
        <v>54742</v>
      </c>
      <c r="C4863" s="6" t="s">
        <v>85</v>
      </c>
      <c r="D4863" s="6" t="s">
        <v>54743</v>
      </c>
      <c r="E4863" s="3" t="str">
        <f t="shared" si="1"/>
        <v>angrily&lt;br&gt;&lt;div class="audio"&gt;[sound:angrily.mp3]&lt;/div&gt;</v>
      </c>
      <c r="F4863" s="3" t="str">
        <f t="shared" si="2"/>
        <v>(adv): một cách giận dữ</v>
      </c>
      <c r="G4863" s="6" t="s">
        <v>54744</v>
      </c>
      <c r="H4863" s="6" t="s">
        <v>54745</v>
      </c>
      <c r="I4863" s="7">
        <f t="shared" si="3"/>
        <v>0.3130414434</v>
      </c>
    </row>
    <row r="4864">
      <c r="A4864" s="4">
        <v>4864.0</v>
      </c>
      <c r="B4864" s="3" t="s">
        <v>54746</v>
      </c>
      <c r="C4864" s="6" t="s">
        <v>74</v>
      </c>
      <c r="D4864" s="6" t="s">
        <v>54747</v>
      </c>
      <c r="E4864" s="3" t="str">
        <f t="shared" si="1"/>
        <v>nominee&lt;br&gt;&lt;div class="audio"&gt;[sound:nominee.mp3]&lt;/div&gt;</v>
      </c>
      <c r="F4864" s="3" t="str">
        <f t="shared" si="2"/>
        <v>(n): người được đề cử</v>
      </c>
      <c r="G4864" s="6" t="s">
        <v>54748</v>
      </c>
      <c r="H4864" s="6" t="s">
        <v>54749</v>
      </c>
      <c r="I4864" s="7">
        <f t="shared" si="3"/>
        <v>0.7563630249</v>
      </c>
    </row>
    <row r="4865">
      <c r="A4865" s="4">
        <v>4865.0</v>
      </c>
      <c r="B4865" s="3" t="s">
        <v>54750</v>
      </c>
      <c r="C4865" s="6" t="s">
        <v>74</v>
      </c>
      <c r="D4865" s="6" t="s">
        <v>54751</v>
      </c>
      <c r="E4865" s="3" t="str">
        <f t="shared" si="1"/>
        <v>predator&lt;br&gt;&lt;div class="audio"&gt;[sound:predator.mp3]&lt;/div&gt;</v>
      </c>
      <c r="F4865" s="3" t="str">
        <f t="shared" si="2"/>
        <v>(n): động vật ăn thịt</v>
      </c>
      <c r="G4865" s="6" t="s">
        <v>54752</v>
      </c>
      <c r="H4865" s="6" t="s">
        <v>54753</v>
      </c>
      <c r="I4865" s="7">
        <f t="shared" si="3"/>
        <v>0.03584342564</v>
      </c>
    </row>
    <row r="4866">
      <c r="A4866" s="4">
        <v>4866.0</v>
      </c>
      <c r="B4866" s="3" t="s">
        <v>54754</v>
      </c>
      <c r="C4866" s="6" t="s">
        <v>74</v>
      </c>
      <c r="D4866" s="6" t="s">
        <v>54755</v>
      </c>
      <c r="E4866" s="3" t="str">
        <f t="shared" si="1"/>
        <v>trustee&lt;br&gt;&lt;div class="audio"&gt;[sound:trustee.mp3]&lt;/div&gt;</v>
      </c>
      <c r="F4866" s="3" t="str">
        <f t="shared" si="2"/>
        <v>(n): ủy viên quản trị</v>
      </c>
      <c r="G4866" s="6" t="s">
        <v>54756</v>
      </c>
      <c r="H4866" s="6" t="s">
        <v>54757</v>
      </c>
      <c r="I4866" s="7">
        <f t="shared" si="3"/>
        <v>0.0517813029</v>
      </c>
    </row>
    <row r="4867">
      <c r="A4867" s="4">
        <v>4867.0</v>
      </c>
      <c r="B4867" s="3" t="s">
        <v>54758</v>
      </c>
      <c r="C4867" s="6" t="s">
        <v>11</v>
      </c>
      <c r="D4867" s="6" t="s">
        <v>54759</v>
      </c>
      <c r="E4867" s="3" t="str">
        <f t="shared" si="1"/>
        <v>psychiatric&lt;br&gt;&lt;div class="audio"&gt;[sound:psychiatric.mp3]&lt;/div&gt;</v>
      </c>
      <c r="F4867" s="3" t="str">
        <f t="shared" si="2"/>
        <v>(adj): thuộc tâm thần</v>
      </c>
      <c r="G4867" s="6" t="s">
        <v>54760</v>
      </c>
      <c r="H4867" s="6" t="s">
        <v>54761</v>
      </c>
      <c r="I4867" s="7">
        <f t="shared" si="3"/>
        <v>0.5378655545</v>
      </c>
    </row>
    <row r="4868">
      <c r="A4868" s="4">
        <v>4868.0</v>
      </c>
      <c r="B4868" s="3" t="s">
        <v>54762</v>
      </c>
      <c r="C4868" s="6" t="s">
        <v>74</v>
      </c>
      <c r="D4868" s="6" t="s">
        <v>54763</v>
      </c>
      <c r="E4868" s="3" t="str">
        <f t="shared" si="1"/>
        <v>privatization&lt;br&gt;&lt;div class="audio"&gt;[sound:privatization.mp3]&lt;/div&gt;</v>
      </c>
      <c r="F4868" s="3" t="str">
        <f t="shared" si="2"/>
        <v>(n): sự tư nhân hóa</v>
      </c>
      <c r="G4868" s="6" t="s">
        <v>54764</v>
      </c>
      <c r="H4868" s="6" t="s">
        <v>54765</v>
      </c>
      <c r="I4868" s="7">
        <f t="shared" si="3"/>
        <v>0.533472308</v>
      </c>
    </row>
    <row r="4869">
      <c r="A4869" s="4">
        <v>4869.0</v>
      </c>
      <c r="B4869" s="3" t="s">
        <v>54766</v>
      </c>
      <c r="C4869" s="6" t="s">
        <v>11</v>
      </c>
      <c r="D4869" s="6" t="s">
        <v>54767</v>
      </c>
      <c r="E4869" s="3" t="str">
        <f t="shared" si="1"/>
        <v>mathematical&lt;br&gt;&lt;div class="audio"&gt;[sound:mathematical.mp3]&lt;/div&gt;</v>
      </c>
      <c r="F4869" s="3" t="str">
        <f t="shared" si="2"/>
        <v>(adj): thuộc toán học</v>
      </c>
      <c r="G4869" s="6" t="s">
        <v>54768</v>
      </c>
      <c r="H4869" s="6" t="s">
        <v>54769</v>
      </c>
      <c r="I4869" s="7">
        <f t="shared" si="3"/>
        <v>0.1601299687</v>
      </c>
    </row>
    <row r="4870">
      <c r="A4870" s="4">
        <v>4870.0</v>
      </c>
      <c r="B4870" s="3" t="s">
        <v>54770</v>
      </c>
      <c r="C4870" s="6" t="s">
        <v>74</v>
      </c>
      <c r="D4870" s="6" t="s">
        <v>54771</v>
      </c>
      <c r="E4870" s="3" t="str">
        <f t="shared" si="1"/>
        <v>meantime&lt;br&gt;&lt;div class="audio"&gt;[sound:meantime.mp3]&lt;/div&gt;</v>
      </c>
      <c r="F4870" s="3" t="str">
        <f t="shared" si="2"/>
        <v>(n): thời gian giữa</v>
      </c>
      <c r="G4870" s="6" t="s">
        <v>54772</v>
      </c>
      <c r="H4870" s="6" t="s">
        <v>54773</v>
      </c>
      <c r="I4870" s="7">
        <f t="shared" si="3"/>
        <v>0.1620175147</v>
      </c>
    </row>
    <row r="4871">
      <c r="A4871" s="4">
        <v>4871.0</v>
      </c>
      <c r="B4871" s="3" t="s">
        <v>54774</v>
      </c>
      <c r="C4871" s="6" t="s">
        <v>74</v>
      </c>
      <c r="D4871" s="6" t="s">
        <v>54775</v>
      </c>
      <c r="E4871" s="3" t="str">
        <f t="shared" si="1"/>
        <v>meditation&lt;br&gt;&lt;div class="audio"&gt;[sound:meditation.mp3]&lt;/div&gt;</v>
      </c>
      <c r="F4871" s="3" t="str">
        <f t="shared" si="2"/>
        <v>(n): sự thiền định</v>
      </c>
      <c r="G4871" s="6" t="s">
        <v>54776</v>
      </c>
      <c r="H4871" s="6" t="s">
        <v>54777</v>
      </c>
      <c r="I4871" s="7">
        <f t="shared" si="3"/>
        <v>0.6994778957</v>
      </c>
    </row>
    <row r="4872">
      <c r="A4872" s="4">
        <v>4872.0</v>
      </c>
      <c r="B4872" s="3" t="s">
        <v>54778</v>
      </c>
      <c r="C4872" s="6" t="s">
        <v>74</v>
      </c>
      <c r="D4872" s="6" t="s">
        <v>53551</v>
      </c>
      <c r="E4872" s="3" t="str">
        <f t="shared" si="1"/>
        <v>motorway&lt;br&gt;&lt;div class="audio"&gt;[sound:motorway.mp3]&lt;/div&gt;</v>
      </c>
      <c r="F4872" s="3" t="str">
        <f t="shared" si="2"/>
        <v>(n): đường cao tốc</v>
      </c>
      <c r="G4872" s="6" t="s">
        <v>54779</v>
      </c>
      <c r="H4872" s="6" t="s">
        <v>54780</v>
      </c>
      <c r="I4872" s="7">
        <f t="shared" si="3"/>
        <v>0.2015223265</v>
      </c>
    </row>
    <row r="4873">
      <c r="A4873" s="4">
        <v>4873.0</v>
      </c>
      <c r="B4873" s="3" t="s">
        <v>54781</v>
      </c>
      <c r="C4873" s="6" t="s">
        <v>74</v>
      </c>
      <c r="D4873" s="6" t="s">
        <v>29932</v>
      </c>
      <c r="E4873" s="3" t="str">
        <f t="shared" si="1"/>
        <v>credibility&lt;br&gt;&lt;div class="audio"&gt;[sound:credibility.mp3]&lt;/div&gt;</v>
      </c>
      <c r="F4873" s="3" t="str">
        <f t="shared" si="2"/>
        <v>(n): sự tín nhiệm</v>
      </c>
      <c r="G4873" s="6" t="s">
        <v>54782</v>
      </c>
      <c r="H4873" s="6" t="s">
        <v>54783</v>
      </c>
      <c r="I4873" s="7">
        <f t="shared" si="3"/>
        <v>0.337953373</v>
      </c>
    </row>
    <row r="4874">
      <c r="A4874" s="4">
        <v>4874.0</v>
      </c>
      <c r="B4874" s="3" t="s">
        <v>54784</v>
      </c>
      <c r="C4874" s="6" t="s">
        <v>74</v>
      </c>
      <c r="D4874" s="6" t="s">
        <v>54785</v>
      </c>
      <c r="E4874" s="3" t="str">
        <f t="shared" si="1"/>
        <v>battlefield&lt;br&gt;&lt;div class="audio"&gt;[sound:battlefield.mp3]&lt;/div&gt;</v>
      </c>
      <c r="F4874" s="3" t="str">
        <f t="shared" si="2"/>
        <v>(n): chiến trường</v>
      </c>
      <c r="G4874" s="6" t="s">
        <v>54786</v>
      </c>
      <c r="H4874" s="6" t="s">
        <v>54787</v>
      </c>
      <c r="I4874" s="7">
        <f t="shared" si="3"/>
        <v>0.04118536103</v>
      </c>
    </row>
    <row r="4875">
      <c r="A4875" s="4">
        <v>4875.0</v>
      </c>
      <c r="B4875" s="3" t="s">
        <v>54788</v>
      </c>
      <c r="C4875" s="6" t="s">
        <v>74</v>
      </c>
      <c r="D4875" s="6" t="s">
        <v>54789</v>
      </c>
      <c r="E4875" s="3" t="str">
        <f t="shared" si="1"/>
        <v>mercy&lt;br&gt;&lt;div class="audio"&gt;[sound:mercy.mp3]&lt;/div&gt;</v>
      </c>
      <c r="F4875" s="3" t="str">
        <f t="shared" si="2"/>
        <v>(n): lòng nhân từ</v>
      </c>
      <c r="G4875" s="6" t="s">
        <v>54790</v>
      </c>
      <c r="H4875" s="6" t="s">
        <v>54791</v>
      </c>
      <c r="I4875" s="7">
        <f t="shared" si="3"/>
        <v>0.5606495774</v>
      </c>
    </row>
    <row r="4876">
      <c r="A4876" s="4">
        <v>4876.0</v>
      </c>
      <c r="B4876" s="3" t="s">
        <v>54792</v>
      </c>
      <c r="C4876" s="6" t="s">
        <v>11</v>
      </c>
      <c r="D4876" s="6" t="s">
        <v>54793</v>
      </c>
      <c r="E4876" s="3" t="str">
        <f t="shared" si="1"/>
        <v>misleading&lt;br&gt;&lt;div class="audio"&gt;[sound:misleading.mp3]&lt;/div&gt;</v>
      </c>
      <c r="F4876" s="3" t="str">
        <f t="shared" si="2"/>
        <v>(adj): gây hiểu lầm</v>
      </c>
      <c r="G4876" s="6" t="s">
        <v>54794</v>
      </c>
      <c r="H4876" s="6" t="s">
        <v>54795</v>
      </c>
      <c r="I4876" s="7">
        <f t="shared" si="3"/>
        <v>0.9879229573</v>
      </c>
    </row>
    <row r="4877">
      <c r="A4877" s="4">
        <v>4877.0</v>
      </c>
      <c r="B4877" s="3" t="s">
        <v>54796</v>
      </c>
      <c r="C4877" s="6" t="s">
        <v>74</v>
      </c>
      <c r="D4877" s="6" t="s">
        <v>54797</v>
      </c>
      <c r="E4877" s="3" t="str">
        <f t="shared" si="1"/>
        <v>monopoly&lt;br&gt;&lt;div class="audio"&gt;[sound:monopoly.mp3]&lt;/div&gt;</v>
      </c>
      <c r="F4877" s="3" t="str">
        <f t="shared" si="2"/>
        <v>(n): sự độc quyền</v>
      </c>
      <c r="G4877" s="6" t="s">
        <v>54798</v>
      </c>
      <c r="H4877" s="6" t="s">
        <v>54799</v>
      </c>
      <c r="I4877" s="7">
        <f t="shared" si="3"/>
        <v>0.4041607101</v>
      </c>
    </row>
    <row r="4878">
      <c r="A4878" s="4">
        <v>4878.0</v>
      </c>
      <c r="B4878" s="3" t="s">
        <v>54800</v>
      </c>
      <c r="C4878" s="6" t="s">
        <v>11</v>
      </c>
      <c r="D4878" s="6" t="s">
        <v>45346</v>
      </c>
      <c r="E4878" s="3" t="str">
        <f t="shared" si="1"/>
        <v>municipal&lt;br&gt;&lt;div class="audio"&gt;[sound:municipal.mp3]&lt;/div&gt;</v>
      </c>
      <c r="F4878" s="3" t="str">
        <f t="shared" si="2"/>
        <v>(adj): thuộc đô thị</v>
      </c>
      <c r="G4878" s="6" t="s">
        <v>54801</v>
      </c>
      <c r="H4878" s="6" t="s">
        <v>54802</v>
      </c>
      <c r="I4878" s="7">
        <f t="shared" si="3"/>
        <v>0.3419356715</v>
      </c>
    </row>
    <row r="4879">
      <c r="A4879" s="4">
        <v>4879.0</v>
      </c>
      <c r="B4879" s="3" t="s">
        <v>54803</v>
      </c>
      <c r="C4879" s="6" t="s">
        <v>74</v>
      </c>
      <c r="D4879" s="6" t="s">
        <v>54804</v>
      </c>
      <c r="E4879" s="3" t="str">
        <f t="shared" si="1"/>
        <v>pint&lt;br&gt;&lt;div class="audio"&gt;[sound:pint.mp3]&lt;/div&gt;</v>
      </c>
      <c r="F4879" s="3" t="str">
        <f t="shared" si="2"/>
        <v>(n): đơn vị pint</v>
      </c>
      <c r="G4879" s="6" t="s">
        <v>54805</v>
      </c>
      <c r="H4879" s="6" t="s">
        <v>54806</v>
      </c>
      <c r="I4879" s="7">
        <f t="shared" si="3"/>
        <v>0.7145634786</v>
      </c>
    </row>
    <row r="4880">
      <c r="A4880" s="4">
        <v>4880.0</v>
      </c>
      <c r="B4880" s="3" t="s">
        <v>54807</v>
      </c>
      <c r="C4880" s="6" t="s">
        <v>74</v>
      </c>
      <c r="D4880" s="6" t="s">
        <v>54808</v>
      </c>
      <c r="E4880" s="3" t="str">
        <f t="shared" si="1"/>
        <v>memo&lt;br&gt;&lt;div class="audio"&gt;[sound:memo.mp3]&lt;/div&gt;</v>
      </c>
      <c r="F4880" s="3" t="str">
        <f t="shared" si="2"/>
        <v>(n): bản ghi nhớ</v>
      </c>
      <c r="G4880" s="6" t="s">
        <v>54809</v>
      </c>
      <c r="H4880" s="6" t="s">
        <v>54810</v>
      </c>
      <c r="I4880" s="7">
        <f t="shared" si="3"/>
        <v>0.5872648035</v>
      </c>
    </row>
    <row r="4881">
      <c r="A4881" s="4">
        <v>4881.0</v>
      </c>
      <c r="B4881" s="3" t="s">
        <v>54811</v>
      </c>
      <c r="C4881" s="6" t="s">
        <v>74</v>
      </c>
      <c r="D4881" s="6" t="s">
        <v>54812</v>
      </c>
      <c r="E4881" s="3" t="str">
        <f t="shared" si="1"/>
        <v>lunchtime&lt;br&gt;&lt;div class="audio"&gt;[sound:lunchtime.mp3]&lt;/div&gt;</v>
      </c>
      <c r="F4881" s="3" t="str">
        <f t="shared" si="2"/>
        <v>(n): giờ ăn trưa</v>
      </c>
      <c r="G4881" s="6" t="s">
        <v>54813</v>
      </c>
      <c r="H4881" s="6" t="s">
        <v>54814</v>
      </c>
      <c r="I4881" s="7">
        <f t="shared" si="3"/>
        <v>0.3220509669</v>
      </c>
    </row>
    <row r="4882">
      <c r="A4882" s="4">
        <v>4882.0</v>
      </c>
      <c r="B4882" s="3" t="s">
        <v>54815</v>
      </c>
      <c r="C4882" s="6" t="s">
        <v>74</v>
      </c>
      <c r="D4882" s="6" t="s">
        <v>51705</v>
      </c>
      <c r="E4882" s="3" t="str">
        <f t="shared" si="1"/>
        <v>rehabilitation&lt;br&gt;&lt;div class="audio"&gt;[sound:rehabilitation.mp3]&lt;/div&gt;</v>
      </c>
      <c r="F4882" s="3" t="str">
        <f t="shared" si="2"/>
        <v>(n): sự phục hồi</v>
      </c>
      <c r="G4882" s="6" t="s">
        <v>54816</v>
      </c>
      <c r="H4882" s="6" t="s">
        <v>54817</v>
      </c>
      <c r="I4882" s="7">
        <f t="shared" si="3"/>
        <v>0.6797348736</v>
      </c>
    </row>
    <row r="4883">
      <c r="A4883" s="4">
        <v>4883.0</v>
      </c>
      <c r="B4883" s="3" t="s">
        <v>54818</v>
      </c>
      <c r="C4883" s="6" t="s">
        <v>74</v>
      </c>
      <c r="D4883" s="6" t="s">
        <v>54819</v>
      </c>
      <c r="E4883" s="3" t="str">
        <f t="shared" si="1"/>
        <v>misery&lt;br&gt;&lt;div class="audio"&gt;[sound:misery.mp3]&lt;/div&gt;</v>
      </c>
      <c r="F4883" s="3" t="str">
        <f t="shared" si="2"/>
        <v>(n): sự khốn khổ</v>
      </c>
      <c r="G4883" s="6" t="s">
        <v>54820</v>
      </c>
      <c r="H4883" s="6" t="s">
        <v>54821</v>
      </c>
      <c r="I4883" s="7">
        <f t="shared" si="3"/>
        <v>0.7185295177</v>
      </c>
    </row>
    <row r="4884">
      <c r="A4884" s="4">
        <v>4884.0</v>
      </c>
      <c r="B4884" s="3" t="s">
        <v>54822</v>
      </c>
      <c r="C4884" s="6" t="s">
        <v>74</v>
      </c>
      <c r="D4884" s="6" t="s">
        <v>54823</v>
      </c>
      <c r="E4884" s="3" t="str">
        <f t="shared" si="1"/>
        <v>timber&lt;br&gt;&lt;div class="audio"&gt;[sound:timber.mp3]&lt;/div&gt;</v>
      </c>
      <c r="F4884" s="3" t="str">
        <f t="shared" si="2"/>
        <v>(n): gỗ xây dựng</v>
      </c>
      <c r="G4884" s="6" t="s">
        <v>54824</v>
      </c>
      <c r="H4884" s="6" t="s">
        <v>54825</v>
      </c>
      <c r="I4884" s="7">
        <f t="shared" si="3"/>
        <v>0.4500983736</v>
      </c>
    </row>
    <row r="4885">
      <c r="A4885" s="4">
        <v>4885.0</v>
      </c>
      <c r="B4885" s="3" t="s">
        <v>54826</v>
      </c>
      <c r="C4885" s="6" t="s">
        <v>74</v>
      </c>
      <c r="D4885" s="6" t="s">
        <v>54827</v>
      </c>
      <c r="E4885" s="3" t="str">
        <f t="shared" si="1"/>
        <v>pardon&lt;br&gt;&lt;div class="audio"&gt;[sound:pardon.mp3]&lt;/div&gt;</v>
      </c>
      <c r="F4885" s="3" t="str">
        <f t="shared" si="2"/>
        <v>(n): sự tha thứ</v>
      </c>
      <c r="G4885" s="6" t="s">
        <v>54828</v>
      </c>
      <c r="H4885" s="6" t="s">
        <v>54829</v>
      </c>
      <c r="I4885" s="7">
        <f t="shared" si="3"/>
        <v>0.2173611513</v>
      </c>
    </row>
    <row r="4886">
      <c r="A4886" s="4">
        <v>4886.0</v>
      </c>
      <c r="B4886" s="3" t="s">
        <v>54830</v>
      </c>
      <c r="C4886" s="6" t="s">
        <v>11</v>
      </c>
      <c r="D4886" s="6" t="s">
        <v>53716</v>
      </c>
      <c r="E4886" s="3" t="str">
        <f t="shared" si="1"/>
        <v>notorious&lt;br&gt;&lt;div class="audio"&gt;[sound:notorious.mp3]&lt;/div&gt;</v>
      </c>
      <c r="F4886" s="3" t="str">
        <f t="shared" si="2"/>
        <v>(adj): khét tiếng</v>
      </c>
      <c r="G4886" s="6" t="s">
        <v>54831</v>
      </c>
      <c r="H4886" s="6" t="s">
        <v>54832</v>
      </c>
      <c r="I4886" s="7">
        <f t="shared" si="3"/>
        <v>0.1436962476</v>
      </c>
    </row>
    <row r="4887">
      <c r="A4887" s="4">
        <v>4887.0</v>
      </c>
      <c r="B4887" s="3" t="s">
        <v>54833</v>
      </c>
      <c r="C4887" s="6" t="s">
        <v>74</v>
      </c>
      <c r="D4887" s="6" t="s">
        <v>54834</v>
      </c>
      <c r="E4887" s="3" t="str">
        <f t="shared" si="1"/>
        <v>exile&lt;br&gt;&lt;div class="audio"&gt;[sound:exile.mp3]&lt;/div&gt;</v>
      </c>
      <c r="F4887" s="3" t="str">
        <f t="shared" si="2"/>
        <v>(n): sự lưu đày</v>
      </c>
      <c r="G4887" s="6" t="s">
        <v>54835</v>
      </c>
      <c r="H4887" s="6" t="s">
        <v>54836</v>
      </c>
      <c r="I4887" s="7">
        <f t="shared" si="3"/>
        <v>0.8968101896</v>
      </c>
    </row>
    <row r="4888">
      <c r="A4888" s="4">
        <v>4888.0</v>
      </c>
      <c r="B4888" s="3" t="s">
        <v>54837</v>
      </c>
      <c r="C4888" s="6" t="s">
        <v>11</v>
      </c>
      <c r="D4888" s="6" t="s">
        <v>54838</v>
      </c>
      <c r="E4888" s="3" t="str">
        <f t="shared" si="1"/>
        <v>linear&lt;br&gt;&lt;div class="audio"&gt;[sound:linear.mp3]&lt;/div&gt;</v>
      </c>
      <c r="F4888" s="3" t="str">
        <f t="shared" si="2"/>
        <v>(adj): tuyến tính</v>
      </c>
      <c r="G4888" s="6" t="s">
        <v>54839</v>
      </c>
      <c r="H4888" s="6" t="s">
        <v>54840</v>
      </c>
      <c r="I4888" s="7">
        <f t="shared" si="3"/>
        <v>0.250657841</v>
      </c>
    </row>
    <row r="4889">
      <c r="A4889" s="4">
        <v>4889.0</v>
      </c>
      <c r="B4889" s="3" t="s">
        <v>54841</v>
      </c>
      <c r="C4889" s="6" t="s">
        <v>11</v>
      </c>
      <c r="D4889" s="6" t="s">
        <v>54842</v>
      </c>
      <c r="E4889" s="3" t="str">
        <f t="shared" si="1"/>
        <v>magnetic&lt;br&gt;&lt;div class="audio"&gt;[sound:magnetic.mp3]&lt;/div&gt;</v>
      </c>
      <c r="F4889" s="3" t="str">
        <f t="shared" si="2"/>
        <v>(adj): có từ tính</v>
      </c>
      <c r="G4889" s="6" t="s">
        <v>54843</v>
      </c>
      <c r="H4889" s="6" t="s">
        <v>54844</v>
      </c>
      <c r="I4889" s="7">
        <f t="shared" si="3"/>
        <v>0.2995788485</v>
      </c>
    </row>
    <row r="4890">
      <c r="A4890" s="4">
        <v>4890.0</v>
      </c>
      <c r="B4890" s="3" t="s">
        <v>54845</v>
      </c>
      <c r="C4890" s="6" t="s">
        <v>24</v>
      </c>
      <c r="D4890" s="6" t="s">
        <v>10771</v>
      </c>
      <c r="E4890" s="3" t="str">
        <f t="shared" si="1"/>
        <v>unify&lt;br&gt;&lt;div class="audio"&gt;[sound:unify.mp3]&lt;/div&gt;</v>
      </c>
      <c r="F4890" s="3" t="str">
        <f t="shared" si="2"/>
        <v>(v): thống nhất</v>
      </c>
      <c r="G4890" s="6" t="s">
        <v>54846</v>
      </c>
      <c r="H4890" s="6" t="s">
        <v>54847</v>
      </c>
      <c r="I4890" s="7">
        <f t="shared" si="3"/>
        <v>0.5318422508</v>
      </c>
    </row>
    <row r="4891">
      <c r="A4891" s="4">
        <v>4891.0</v>
      </c>
      <c r="B4891" s="3" t="s">
        <v>54848</v>
      </c>
      <c r="C4891" s="6" t="s">
        <v>74</v>
      </c>
      <c r="D4891" s="6" t="s">
        <v>54849</v>
      </c>
      <c r="E4891" s="3" t="str">
        <f t="shared" si="1"/>
        <v>metaphor&lt;br&gt;&lt;div class="audio"&gt;[sound:metaphor.mp3]&lt;/div&gt;</v>
      </c>
      <c r="F4891" s="3" t="str">
        <f t="shared" si="2"/>
        <v>(n): phép ẩn dụ</v>
      </c>
      <c r="G4891" s="6" t="s">
        <v>54850</v>
      </c>
      <c r="H4891" s="6" t="s">
        <v>54851</v>
      </c>
      <c r="I4891" s="7">
        <f t="shared" si="3"/>
        <v>0.7521623127</v>
      </c>
    </row>
    <row r="4892">
      <c r="A4892" s="4">
        <v>4892.0</v>
      </c>
      <c r="B4892" s="3" t="s">
        <v>54852</v>
      </c>
      <c r="C4892" s="6" t="s">
        <v>74</v>
      </c>
      <c r="D4892" s="6" t="s">
        <v>54853</v>
      </c>
      <c r="E4892" s="3" t="str">
        <f t="shared" si="1"/>
        <v>ladder&lt;br&gt;&lt;div class="audio"&gt;[sound:ladder.mp3]&lt;/div&gt;</v>
      </c>
      <c r="F4892" s="3" t="str">
        <f t="shared" si="2"/>
        <v>(n): cái thang</v>
      </c>
      <c r="G4892" s="6" t="s">
        <v>54854</v>
      </c>
      <c r="H4892" s="6" t="s">
        <v>54855</v>
      </c>
      <c r="I4892" s="7">
        <f t="shared" si="3"/>
        <v>0.5827542336</v>
      </c>
    </row>
    <row r="4893">
      <c r="A4893" s="4">
        <v>4893.0</v>
      </c>
      <c r="B4893" s="3" t="s">
        <v>54856</v>
      </c>
      <c r="C4893" s="6" t="s">
        <v>24</v>
      </c>
      <c r="D4893" s="6" t="s">
        <v>54857</v>
      </c>
      <c r="E4893" s="3" t="str">
        <f t="shared" si="1"/>
        <v>drown&lt;br&gt;&lt;div class="audio"&gt;[sound:drown.mp3]&lt;/div&gt;</v>
      </c>
      <c r="F4893" s="3" t="str">
        <f t="shared" si="2"/>
        <v>(v): chết đuối</v>
      </c>
      <c r="G4893" s="6" t="s">
        <v>54858</v>
      </c>
      <c r="H4893" s="6" t="s">
        <v>54859</v>
      </c>
      <c r="I4893" s="7">
        <f t="shared" si="3"/>
        <v>0.8548155497</v>
      </c>
    </row>
    <row r="4894">
      <c r="A4894" s="4">
        <v>4894.0</v>
      </c>
      <c r="B4894" s="3" t="s">
        <v>54860</v>
      </c>
      <c r="C4894" s="6" t="s">
        <v>24</v>
      </c>
      <c r="D4894" s="6" t="s">
        <v>54861</v>
      </c>
      <c r="E4894" s="3" t="str">
        <f t="shared" si="1"/>
        <v>manipulate&lt;br&gt;&lt;div class="audio"&gt;[sound:manipulate.mp3]&lt;/div&gt;</v>
      </c>
      <c r="F4894" s="3" t="str">
        <f t="shared" si="2"/>
        <v>(v): thao túng</v>
      </c>
      <c r="G4894" s="6" t="s">
        <v>54862</v>
      </c>
      <c r="H4894" s="6" t="s">
        <v>54863</v>
      </c>
      <c r="I4894" s="7">
        <f t="shared" si="3"/>
        <v>0.296057902</v>
      </c>
    </row>
    <row r="4895">
      <c r="A4895" s="4">
        <v>4895.0</v>
      </c>
      <c r="B4895" s="3" t="s">
        <v>54864</v>
      </c>
      <c r="C4895" s="6" t="s">
        <v>74</v>
      </c>
      <c r="D4895" s="6" t="s">
        <v>54865</v>
      </c>
      <c r="E4895" s="3" t="str">
        <f t="shared" si="1"/>
        <v>punk&lt;br&gt;&lt;div class="audio"&gt;[sound:punk.mp3]&lt;/div&gt;</v>
      </c>
      <c r="F4895" s="3" t="str">
        <f t="shared" si="2"/>
        <v>(n): nhạc punk</v>
      </c>
      <c r="G4895" s="6" t="s">
        <v>54866</v>
      </c>
      <c r="H4895" s="6" t="s">
        <v>54867</v>
      </c>
      <c r="I4895" s="7">
        <f t="shared" si="3"/>
        <v>0.7040205142</v>
      </c>
    </row>
    <row r="4896">
      <c r="A4896" s="4">
        <v>4896.0</v>
      </c>
      <c r="B4896" s="3" t="s">
        <v>54868</v>
      </c>
      <c r="C4896" s="6" t="s">
        <v>74</v>
      </c>
      <c r="D4896" s="6" t="s">
        <v>54869</v>
      </c>
      <c r="E4896" s="3" t="str">
        <f t="shared" si="1"/>
        <v>millimetre&lt;br&gt;&lt;div class="audio"&gt;[sound:millimetre.mp3]&lt;/div&gt;</v>
      </c>
      <c r="F4896" s="3" t="str">
        <f t="shared" si="2"/>
        <v>(n): mi-li-mét</v>
      </c>
      <c r="G4896" s="6" t="s">
        <v>54870</v>
      </c>
      <c r="H4896" s="6" t="s">
        <v>54871</v>
      </c>
      <c r="I4896" s="7">
        <f t="shared" si="3"/>
        <v>0.1566957279</v>
      </c>
    </row>
    <row r="4897">
      <c r="A4897" s="4">
        <v>4897.0</v>
      </c>
      <c r="B4897" s="3" t="s">
        <v>54872</v>
      </c>
      <c r="C4897" s="6" t="s">
        <v>74</v>
      </c>
      <c r="D4897" s="6" t="s">
        <v>54873</v>
      </c>
      <c r="E4897" s="3" t="str">
        <f t="shared" si="1"/>
        <v>aspiration&lt;br&gt;&lt;div class="audio"&gt;[sound:aspiration.mp3]&lt;/div&gt;</v>
      </c>
      <c r="F4897" s="3" t="str">
        <f t="shared" si="2"/>
        <v>(n): khát vọng</v>
      </c>
      <c r="G4897" s="6" t="s">
        <v>54874</v>
      </c>
      <c r="H4897" s="6" t="s">
        <v>54875</v>
      </c>
      <c r="I4897" s="7">
        <f t="shared" si="3"/>
        <v>0.4759207473</v>
      </c>
    </row>
    <row r="4898">
      <c r="A4898" s="4">
        <v>4898.0</v>
      </c>
      <c r="B4898" s="3" t="s">
        <v>54876</v>
      </c>
      <c r="C4898" s="6" t="s">
        <v>74</v>
      </c>
      <c r="D4898" s="6" t="s">
        <v>54877</v>
      </c>
      <c r="E4898" s="3" t="str">
        <f t="shared" si="1"/>
        <v>ballet&lt;br&gt;&lt;div class="audio"&gt;[sound:ballet.mp3]&lt;/div&gt;</v>
      </c>
      <c r="F4898" s="3" t="str">
        <f t="shared" si="2"/>
        <v>(n): múa ba lê</v>
      </c>
      <c r="G4898" s="6" t="s">
        <v>54878</v>
      </c>
      <c r="H4898" s="6" t="s">
        <v>54879</v>
      </c>
      <c r="I4898" s="7">
        <f t="shared" si="3"/>
        <v>0.7337529126</v>
      </c>
    </row>
    <row r="4899">
      <c r="A4899" s="4">
        <v>4899.0</v>
      </c>
      <c r="B4899" s="3" t="s">
        <v>54880</v>
      </c>
      <c r="C4899" s="6" t="s">
        <v>74</v>
      </c>
      <c r="D4899" s="6" t="s">
        <v>19363</v>
      </c>
      <c r="E4899" s="3" t="str">
        <f t="shared" si="1"/>
        <v>melody&lt;br&gt;&lt;div class="audio"&gt;[sound:melody.mp3]&lt;/div&gt;</v>
      </c>
      <c r="F4899" s="3" t="str">
        <f t="shared" si="2"/>
        <v>(n): giai điệu</v>
      </c>
      <c r="G4899" s="6" t="s">
        <v>54881</v>
      </c>
      <c r="H4899" s="6" t="s">
        <v>54882</v>
      </c>
      <c r="I4899" s="7">
        <f t="shared" si="3"/>
        <v>0.3058193683</v>
      </c>
    </row>
    <row r="4900">
      <c r="A4900" s="4">
        <v>4900.0</v>
      </c>
      <c r="B4900" s="3" t="s">
        <v>54883</v>
      </c>
      <c r="C4900" s="6" t="s">
        <v>74</v>
      </c>
      <c r="D4900" s="6" t="s">
        <v>54884</v>
      </c>
      <c r="E4900" s="3" t="str">
        <f t="shared" si="1"/>
        <v>jurisdiction&lt;br&gt;&lt;div class="audio"&gt;[sound:jurisdiction.mp3]&lt;/div&gt;</v>
      </c>
      <c r="F4900" s="3" t="str">
        <f t="shared" si="2"/>
        <v>(n): quyền hạn</v>
      </c>
      <c r="G4900" s="6" t="s">
        <v>54885</v>
      </c>
      <c r="H4900" s="6" t="s">
        <v>54886</v>
      </c>
      <c r="I4900" s="7">
        <f t="shared" si="3"/>
        <v>0.8999755905</v>
      </c>
    </row>
    <row r="4901">
      <c r="A4901" s="4">
        <v>4901.0</v>
      </c>
      <c r="B4901" s="3" t="s">
        <v>54887</v>
      </c>
      <c r="C4901" s="6" t="s">
        <v>74</v>
      </c>
      <c r="D4901" s="6" t="s">
        <v>51009</v>
      </c>
      <c r="E4901" s="3" t="str">
        <f t="shared" si="1"/>
        <v>biscuit&lt;br&gt;&lt;div class="audio"&gt;[sound:biscuit.mp3]&lt;/div&gt;</v>
      </c>
      <c r="F4901" s="3" t="str">
        <f t="shared" si="2"/>
        <v>(n): bánh quy</v>
      </c>
      <c r="G4901" s="6" t="s">
        <v>54888</v>
      </c>
      <c r="H4901" s="6" t="s">
        <v>54889</v>
      </c>
      <c r="I4901" s="7">
        <f t="shared" si="3"/>
        <v>0.8332121865</v>
      </c>
    </row>
    <row r="4902">
      <c r="A4902" s="4">
        <v>4902.0</v>
      </c>
      <c r="B4902" s="3" t="s">
        <v>54890</v>
      </c>
      <c r="C4902" s="6" t="s">
        <v>74</v>
      </c>
      <c r="D4902" s="6" t="s">
        <v>54891</v>
      </c>
      <c r="E4902" s="3" t="str">
        <f t="shared" si="1"/>
        <v>fortnight&lt;br&gt;&lt;div class="audio"&gt;[sound:fortnight.mp3]&lt;/div&gt;</v>
      </c>
      <c r="F4902" s="3" t="str">
        <f t="shared" si="2"/>
        <v>(n): hai tuần</v>
      </c>
      <c r="G4902" s="6" t="s">
        <v>54892</v>
      </c>
      <c r="H4902" s="6" t="s">
        <v>54893</v>
      </c>
      <c r="I4902" s="7">
        <f t="shared" si="3"/>
        <v>0.9212585168</v>
      </c>
    </row>
    <row r="4903">
      <c r="A4903" s="4">
        <v>4903.0</v>
      </c>
      <c r="B4903" s="3" t="s">
        <v>54894</v>
      </c>
      <c r="C4903" s="6" t="s">
        <v>74</v>
      </c>
      <c r="D4903" s="6" t="s">
        <v>31880</v>
      </c>
      <c r="E4903" s="3" t="str">
        <f t="shared" si="1"/>
        <v>parcel&lt;br&gt;&lt;div class="audio"&gt;[sound:parcel.mp3]&lt;/div&gt;</v>
      </c>
      <c r="F4903" s="3" t="str">
        <f t="shared" si="2"/>
        <v>(n): bưu kiện</v>
      </c>
      <c r="G4903" s="6" t="s">
        <v>54895</v>
      </c>
      <c r="H4903" s="6" t="s">
        <v>54896</v>
      </c>
      <c r="I4903" s="7">
        <f t="shared" si="3"/>
        <v>0.1847704488</v>
      </c>
    </row>
    <row r="4904">
      <c r="A4904" s="4">
        <v>4904.0</v>
      </c>
      <c r="B4904" s="3" t="s">
        <v>54897</v>
      </c>
      <c r="C4904" s="6" t="s">
        <v>74</v>
      </c>
      <c r="D4904" s="6" t="s">
        <v>17974</v>
      </c>
      <c r="E4904" s="3" t="str">
        <f t="shared" si="1"/>
        <v>peasant&lt;br&gt;&lt;div class="audio"&gt;[sound:peasant.mp3]&lt;/div&gt;</v>
      </c>
      <c r="F4904" s="3" t="str">
        <f t="shared" si="2"/>
        <v>(n): nông dân</v>
      </c>
      <c r="G4904" s="6" t="s">
        <v>54898</v>
      </c>
      <c r="H4904" s="6" t="s">
        <v>54899</v>
      </c>
      <c r="I4904" s="7">
        <f t="shared" si="3"/>
        <v>0.400600873</v>
      </c>
    </row>
    <row r="4905">
      <c r="A4905" s="4">
        <v>4905.0</v>
      </c>
      <c r="B4905" s="3" t="s">
        <v>54900</v>
      </c>
      <c r="C4905" s="6" t="s">
        <v>74</v>
      </c>
      <c r="D4905" s="6" t="s">
        <v>54901</v>
      </c>
      <c r="E4905" s="3" t="str">
        <f t="shared" si="1"/>
        <v>worm&lt;br&gt;&lt;div class="audio"&gt;[sound:worm.mp3]&lt;/div&gt;</v>
      </c>
      <c r="F4905" s="3" t="str">
        <f t="shared" si="2"/>
        <v>(n): con giun</v>
      </c>
      <c r="G4905" s="6" t="s">
        <v>54902</v>
      </c>
      <c r="H4905" s="6" t="s">
        <v>54903</v>
      </c>
      <c r="I4905" s="7">
        <f t="shared" si="3"/>
        <v>0.5831425084</v>
      </c>
    </row>
    <row r="4906">
      <c r="A4906" s="4">
        <v>4906.0</v>
      </c>
      <c r="B4906" s="3" t="s">
        <v>54904</v>
      </c>
      <c r="C4906" s="6" t="s">
        <v>24</v>
      </c>
      <c r="D4906" s="6" t="s">
        <v>26890</v>
      </c>
      <c r="E4906" s="3" t="str">
        <f t="shared" si="1"/>
        <v>proclaim&lt;br&gt;&lt;div class="audio"&gt;[sound:proclaim.mp3]&lt;/div&gt;</v>
      </c>
      <c r="F4906" s="3" t="str">
        <f t="shared" si="2"/>
        <v>(v): tuyên bố</v>
      </c>
      <c r="G4906" s="6" t="s">
        <v>54905</v>
      </c>
      <c r="H4906" s="6" t="s">
        <v>54906</v>
      </c>
      <c r="I4906" s="7">
        <f t="shared" si="3"/>
        <v>0.2482420615</v>
      </c>
    </row>
    <row r="4907">
      <c r="A4907" s="4">
        <v>4907.0</v>
      </c>
      <c r="B4907" s="3" t="s">
        <v>54907</v>
      </c>
      <c r="C4907" s="6" t="s">
        <v>24</v>
      </c>
      <c r="D4907" s="6" t="s">
        <v>8078</v>
      </c>
      <c r="E4907" s="3" t="str">
        <f t="shared" si="1"/>
        <v>elevate&lt;br&gt;&lt;div class="audio"&gt;[sound:elevate.mp3]&lt;/div&gt;</v>
      </c>
      <c r="F4907" s="3" t="str">
        <f t="shared" si="2"/>
        <v>(v): nâng cao</v>
      </c>
      <c r="G4907" s="6" t="s">
        <v>54908</v>
      </c>
      <c r="H4907" s="6" t="s">
        <v>54909</v>
      </c>
      <c r="I4907" s="7">
        <f t="shared" si="3"/>
        <v>0.6944812147</v>
      </c>
    </row>
    <row r="4908">
      <c r="A4908" s="4">
        <v>4908.0</v>
      </c>
      <c r="B4908" s="3" t="s">
        <v>54910</v>
      </c>
      <c r="C4908" s="6" t="s">
        <v>74</v>
      </c>
      <c r="D4908" s="6" t="s">
        <v>8066</v>
      </c>
      <c r="E4908" s="3" t="str">
        <f t="shared" si="1"/>
        <v>apparatus&lt;br&gt;&lt;div class="audio"&gt;[sound:apparatus.mp3]&lt;/div&gt;</v>
      </c>
      <c r="F4908" s="3" t="str">
        <f t="shared" si="2"/>
        <v>(n): thiết bị</v>
      </c>
      <c r="G4908" s="6" t="s">
        <v>54911</v>
      </c>
      <c r="H4908" s="6" t="s">
        <v>54912</v>
      </c>
      <c r="I4908" s="7">
        <f t="shared" si="3"/>
        <v>0.07431821838</v>
      </c>
    </row>
    <row r="4909">
      <c r="A4909" s="4">
        <v>4909.0</v>
      </c>
      <c r="B4909" s="3" t="s">
        <v>54913</v>
      </c>
      <c r="C4909" s="6" t="s">
        <v>74</v>
      </c>
      <c r="D4909" s="6" t="s">
        <v>24330</v>
      </c>
      <c r="E4909" s="3" t="str">
        <f t="shared" si="1"/>
        <v>firework&lt;br&gt;&lt;div class="audio"&gt;[sound:firework.mp3]&lt;/div&gt;</v>
      </c>
      <c r="F4909" s="3" t="str">
        <f t="shared" si="2"/>
        <v>(n): pháo hoa</v>
      </c>
      <c r="G4909" s="6" t="s">
        <v>54914</v>
      </c>
      <c r="H4909" s="6" t="s">
        <v>54915</v>
      </c>
      <c r="I4909" s="7">
        <f t="shared" si="3"/>
        <v>0.4624185978</v>
      </c>
    </row>
    <row r="4910">
      <c r="A4910" s="4">
        <v>4910.0</v>
      </c>
      <c r="B4910" s="3" t="s">
        <v>54916</v>
      </c>
      <c r="C4910" s="6" t="s">
        <v>74</v>
      </c>
      <c r="D4910" s="6" t="s">
        <v>54917</v>
      </c>
      <c r="E4910" s="3" t="str">
        <f t="shared" si="1"/>
        <v>parish&lt;br&gt;&lt;div class="audio"&gt;[sound:parish.mp3]&lt;/div&gt;</v>
      </c>
      <c r="F4910" s="3" t="str">
        <f t="shared" si="2"/>
        <v>(n): giáo xứ</v>
      </c>
      <c r="G4910" s="6" t="s">
        <v>54918</v>
      </c>
      <c r="H4910" s="6" t="s">
        <v>54919</v>
      </c>
      <c r="I4910" s="7">
        <f t="shared" si="3"/>
        <v>0.1829309723</v>
      </c>
    </row>
    <row r="4911">
      <c r="A4911" s="4">
        <v>4911.0</v>
      </c>
      <c r="B4911" s="3" t="s">
        <v>54920</v>
      </c>
      <c r="C4911" s="6" t="s">
        <v>24</v>
      </c>
      <c r="D4911" s="6" t="s">
        <v>54921</v>
      </c>
      <c r="E4911" s="3" t="str">
        <f t="shared" si="1"/>
        <v>preside&lt;br&gt;&lt;div class="audio"&gt;[sound:preside.mp3]&lt;/div&gt;</v>
      </c>
      <c r="F4911" s="3" t="str">
        <f t="shared" si="2"/>
        <v>(v): chủ trì</v>
      </c>
      <c r="G4911" s="6" t="s">
        <v>54922</v>
      </c>
      <c r="H4911" s="6" t="s">
        <v>54923</v>
      </c>
      <c r="I4911" s="7">
        <f t="shared" si="3"/>
        <v>0.6741235307</v>
      </c>
    </row>
    <row r="4912">
      <c r="A4912" s="4">
        <v>4912.0</v>
      </c>
      <c r="B4912" s="3" t="s">
        <v>54924</v>
      </c>
      <c r="C4912" s="6" t="s">
        <v>74</v>
      </c>
      <c r="D4912" s="6" t="s">
        <v>54925</v>
      </c>
      <c r="E4912" s="3" t="str">
        <f t="shared" si="1"/>
        <v>offspring&lt;br&gt;&lt;div class="audio"&gt;[sound:offspring.mp3]&lt;/div&gt;</v>
      </c>
      <c r="F4912" s="3" t="str">
        <f t="shared" si="2"/>
        <v>(n): con cái</v>
      </c>
      <c r="G4912" s="6" t="s">
        <v>54926</v>
      </c>
      <c r="H4912" s="6" t="s">
        <v>54927</v>
      </c>
      <c r="I4912" s="7">
        <f t="shared" si="3"/>
        <v>0.2856254971</v>
      </c>
    </row>
    <row r="4913">
      <c r="A4913" s="4">
        <v>4913.0</v>
      </c>
      <c r="B4913" s="3" t="s">
        <v>54928</v>
      </c>
      <c r="C4913" s="6" t="s">
        <v>11</v>
      </c>
      <c r="D4913" s="6" t="s">
        <v>54929</v>
      </c>
      <c r="E4913" s="3" t="str">
        <f t="shared" si="1"/>
        <v>aesthetic&lt;br&gt;&lt;div class="audio"&gt;[sound:aesthetic.mp3]&lt;/div&gt;</v>
      </c>
      <c r="F4913" s="3" t="str">
        <f t="shared" si="2"/>
        <v>(adj): thẩm mỹ</v>
      </c>
      <c r="G4913" s="6" t="s">
        <v>54930</v>
      </c>
      <c r="H4913" s="6" t="s">
        <v>54931</v>
      </c>
      <c r="I4913" s="7">
        <f t="shared" si="3"/>
        <v>0.221534306</v>
      </c>
    </row>
    <row r="4914">
      <c r="A4914" s="4">
        <v>4914.0</v>
      </c>
      <c r="B4914" s="3" t="s">
        <v>54932</v>
      </c>
      <c r="C4914" s="6" t="s">
        <v>74</v>
      </c>
      <c r="D4914" s="6" t="s">
        <v>24815</v>
      </c>
      <c r="E4914" s="3" t="str">
        <f t="shared" si="1"/>
        <v>missile&lt;br&gt;&lt;div class="audio"&gt;[sound:missile.mp3]&lt;/div&gt;</v>
      </c>
      <c r="F4914" s="3" t="str">
        <f t="shared" si="2"/>
        <v>(n): tên lửa</v>
      </c>
      <c r="G4914" s="6" t="s">
        <v>54933</v>
      </c>
      <c r="H4914" s="6" t="s">
        <v>54934</v>
      </c>
      <c r="I4914" s="7">
        <f t="shared" si="3"/>
        <v>0.07469484631</v>
      </c>
    </row>
    <row r="4915">
      <c r="A4915" s="4">
        <v>4915.0</v>
      </c>
      <c r="B4915" s="3" t="s">
        <v>54935</v>
      </c>
      <c r="C4915" s="6" t="s">
        <v>24</v>
      </c>
      <c r="D4915" s="6" t="s">
        <v>54936</v>
      </c>
      <c r="E4915" s="3" t="str">
        <f t="shared" si="1"/>
        <v>evoke&lt;br&gt;&lt;div class="audio"&gt;[sound:evoke.mp3]&lt;/div&gt;</v>
      </c>
      <c r="F4915" s="3" t="str">
        <f t="shared" si="2"/>
        <v>(v): gợi lên</v>
      </c>
      <c r="G4915" s="6" t="s">
        <v>54937</v>
      </c>
      <c r="H4915" s="6" t="s">
        <v>54938</v>
      </c>
      <c r="I4915" s="7">
        <f t="shared" si="3"/>
        <v>0.7674286276</v>
      </c>
    </row>
    <row r="4916">
      <c r="A4916" s="4">
        <v>4916.0</v>
      </c>
      <c r="B4916" s="3" t="s">
        <v>54939</v>
      </c>
      <c r="C4916" s="6" t="s">
        <v>11</v>
      </c>
      <c r="D4916" s="6" t="s">
        <v>54940</v>
      </c>
      <c r="E4916" s="3" t="str">
        <f t="shared" si="1"/>
        <v>messy&lt;br&gt;&lt;div class="audio"&gt;[sound:messy.mp3]&lt;/div&gt;</v>
      </c>
      <c r="F4916" s="3" t="str">
        <f t="shared" si="2"/>
        <v>(adj): bừa bộn</v>
      </c>
      <c r="G4916" s="6" t="s">
        <v>54941</v>
      </c>
      <c r="H4916" s="6" t="s">
        <v>54942</v>
      </c>
      <c r="I4916" s="7">
        <f t="shared" si="3"/>
        <v>0.4073410442</v>
      </c>
    </row>
    <row r="4917">
      <c r="A4917" s="4">
        <v>4917.0</v>
      </c>
      <c r="B4917" s="3" t="s">
        <v>54943</v>
      </c>
      <c r="C4917" s="6" t="s">
        <v>11</v>
      </c>
      <c r="D4917" s="6" t="s">
        <v>10818</v>
      </c>
      <c r="E4917" s="3" t="str">
        <f t="shared" si="1"/>
        <v>miserable&lt;br&gt;&lt;div class="audio"&gt;[sound:miserable.mp3]&lt;/div&gt;</v>
      </c>
      <c r="F4917" s="3" t="str">
        <f t="shared" si="2"/>
        <v>(adj): khổ sở</v>
      </c>
      <c r="G4917" s="6" t="s">
        <v>54944</v>
      </c>
      <c r="H4917" s="6" t="s">
        <v>54945</v>
      </c>
      <c r="I4917" s="7">
        <f t="shared" si="3"/>
        <v>0.8143736079</v>
      </c>
    </row>
    <row r="4918">
      <c r="A4918" s="4">
        <v>4918.0</v>
      </c>
      <c r="B4918" s="3" t="s">
        <v>54946</v>
      </c>
      <c r="C4918" s="6" t="s">
        <v>74</v>
      </c>
      <c r="D4918" s="6" t="s">
        <v>29615</v>
      </c>
      <c r="E4918" s="3" t="str">
        <f t="shared" si="1"/>
        <v>lawn&lt;br&gt;&lt;div class="audio"&gt;[sound:lawn.mp3]&lt;/div&gt;</v>
      </c>
      <c r="F4918" s="3" t="str">
        <f t="shared" si="2"/>
        <v>(n): bãi cỏ</v>
      </c>
      <c r="G4918" s="6" t="s">
        <v>54947</v>
      </c>
      <c r="H4918" s="6" t="s">
        <v>54948</v>
      </c>
      <c r="I4918" s="7">
        <f t="shared" si="3"/>
        <v>0.3835429375</v>
      </c>
    </row>
    <row r="4919">
      <c r="A4919" s="4">
        <v>4919.0</v>
      </c>
      <c r="B4919" s="3" t="s">
        <v>54949</v>
      </c>
      <c r="C4919" s="6" t="s">
        <v>90</v>
      </c>
      <c r="D4919" s="6" t="s">
        <v>39135</v>
      </c>
      <c r="E4919" s="3" t="str">
        <f t="shared" si="1"/>
        <v>albeit&lt;br&gt;&lt;div class="audio"&gt;[sound:albeit.mp3]&lt;/div&gt;</v>
      </c>
      <c r="F4919" s="3" t="str">
        <f t="shared" si="2"/>
        <v>(conj): mặc dù</v>
      </c>
      <c r="G4919" s="6" t="s">
        <v>54950</v>
      </c>
      <c r="H4919" s="6" t="s">
        <v>54951</v>
      </c>
      <c r="I4919" s="7">
        <f t="shared" si="3"/>
        <v>0.4706071003</v>
      </c>
    </row>
    <row r="4920">
      <c r="A4920" s="4">
        <v>4920.0</v>
      </c>
      <c r="B4920" s="3" t="s">
        <v>54952</v>
      </c>
      <c r="C4920" s="6" t="s">
        <v>74</v>
      </c>
      <c r="D4920" s="6" t="s">
        <v>26748</v>
      </c>
      <c r="E4920" s="3" t="str">
        <f t="shared" si="1"/>
        <v>madam&lt;br&gt;&lt;div class="audio"&gt;[sound:madam.mp3]&lt;/div&gt;</v>
      </c>
      <c r="F4920" s="3" t="str">
        <f t="shared" si="2"/>
        <v>(n): quý bà</v>
      </c>
      <c r="G4920" s="6" t="s">
        <v>54953</v>
      </c>
      <c r="H4920" s="6" t="s">
        <v>54954</v>
      </c>
      <c r="I4920" s="7">
        <f t="shared" si="3"/>
        <v>0.4646351149</v>
      </c>
    </row>
    <row r="4921">
      <c r="A4921" s="4">
        <v>4921.0</v>
      </c>
      <c r="B4921" s="3" t="s">
        <v>54955</v>
      </c>
      <c r="C4921" s="6" t="s">
        <v>11</v>
      </c>
      <c r="D4921" s="6" t="s">
        <v>50293</v>
      </c>
      <c r="E4921" s="3" t="str">
        <f t="shared" si="1"/>
        <v>wicked&lt;br&gt;&lt;div class="audio"&gt;[sound:wicked.mp3]&lt;/div&gt;</v>
      </c>
      <c r="F4921" s="3" t="str">
        <f t="shared" si="2"/>
        <v>(adj): xấu xa</v>
      </c>
      <c r="G4921" s="6" t="s">
        <v>54956</v>
      </c>
      <c r="H4921" s="6" t="s">
        <v>54957</v>
      </c>
      <c r="I4921" s="7">
        <f t="shared" si="3"/>
        <v>0.1794854196</v>
      </c>
    </row>
    <row r="4922">
      <c r="A4922" s="4">
        <v>4922.0</v>
      </c>
      <c r="B4922" s="3" t="s">
        <v>54958</v>
      </c>
      <c r="C4922" s="6" t="s">
        <v>74</v>
      </c>
      <c r="D4922" s="6" t="s">
        <v>54959</v>
      </c>
      <c r="E4922" s="3" t="str">
        <f t="shared" si="1"/>
        <v>magnitude&lt;br&gt;&lt;div class="audio"&gt;[sound:magnitude.mp3]&lt;/div&gt;</v>
      </c>
      <c r="F4922" s="3" t="str">
        <f t="shared" si="2"/>
        <v>(n): độ lớn</v>
      </c>
      <c r="G4922" s="6" t="s">
        <v>54960</v>
      </c>
      <c r="H4922" s="6" t="s">
        <v>54961</v>
      </c>
      <c r="I4922" s="7">
        <f t="shared" si="3"/>
        <v>0.7153511357</v>
      </c>
    </row>
    <row r="4923">
      <c r="A4923" s="4">
        <v>4923.0</v>
      </c>
      <c r="B4923" s="3" t="s">
        <v>54962</v>
      </c>
      <c r="C4923" s="6" t="s">
        <v>24</v>
      </c>
      <c r="D4923" s="6" t="s">
        <v>54963</v>
      </c>
      <c r="E4923" s="3" t="str">
        <f t="shared" si="1"/>
        <v>evacuate&lt;br&gt;&lt;div class="audio"&gt;[sound:evacuate.mp3]&lt;/div&gt;</v>
      </c>
      <c r="F4923" s="3" t="str">
        <f t="shared" si="2"/>
        <v>(v): sơ tán</v>
      </c>
      <c r="G4923" s="6" t="s">
        <v>54964</v>
      </c>
      <c r="H4923" s="6" t="s">
        <v>54965</v>
      </c>
      <c r="I4923" s="7">
        <f t="shared" si="3"/>
        <v>0.4503616965</v>
      </c>
    </row>
    <row r="4924">
      <c r="A4924" s="4">
        <v>4924.0</v>
      </c>
      <c r="B4924" s="3" t="s">
        <v>54966</v>
      </c>
      <c r="C4924" s="6" t="s">
        <v>24</v>
      </c>
      <c r="D4924" s="6" t="s">
        <v>16231</v>
      </c>
      <c r="E4924" s="3" t="str">
        <f t="shared" si="1"/>
        <v>overturn&lt;br&gt;&lt;div class="audio"&gt;[sound:overturn.mp3]&lt;/div&gt;</v>
      </c>
      <c r="F4924" s="3" t="str">
        <f t="shared" si="2"/>
        <v>(v): lật đổ</v>
      </c>
      <c r="G4924" s="6" t="s">
        <v>54967</v>
      </c>
      <c r="H4924" s="6" t="s">
        <v>54968</v>
      </c>
      <c r="I4924" s="7">
        <f t="shared" si="3"/>
        <v>0.5768108333</v>
      </c>
    </row>
    <row r="4925">
      <c r="A4925" s="4">
        <v>4925.0</v>
      </c>
      <c r="B4925" s="3" t="s">
        <v>54969</v>
      </c>
      <c r="C4925" s="6" t="s">
        <v>74</v>
      </c>
      <c r="D4925" s="6" t="s">
        <v>54970</v>
      </c>
      <c r="E4925" s="3" t="str">
        <f t="shared" si="1"/>
        <v>lottery&lt;br&gt;&lt;div class="audio"&gt;[sound:lottery.mp3]&lt;/div&gt;</v>
      </c>
      <c r="F4925" s="3" t="str">
        <f t="shared" si="2"/>
        <v>(n): xổ số</v>
      </c>
      <c r="G4925" s="6" t="s">
        <v>54971</v>
      </c>
      <c r="H4925" s="6" t="s">
        <v>54972</v>
      </c>
      <c r="I4925" s="7">
        <f t="shared" si="3"/>
        <v>0.02382764752</v>
      </c>
    </row>
    <row r="4926">
      <c r="A4926" s="4">
        <v>4926.0</v>
      </c>
      <c r="B4926" s="3" t="s">
        <v>54973</v>
      </c>
      <c r="C4926" s="6" t="s">
        <v>85</v>
      </c>
      <c r="D4926" s="6" t="s">
        <v>20</v>
      </c>
      <c r="E4926" s="3" t="str">
        <f t="shared" si="1"/>
        <v>nope&lt;br&gt;&lt;div class="audio"&gt;[sound:nope.mp3]&lt;/div&gt;</v>
      </c>
      <c r="F4926" s="3" t="str">
        <f t="shared" si="2"/>
        <v>(adv): không</v>
      </c>
      <c r="G4926" s="6" t="s">
        <v>54974</v>
      </c>
      <c r="H4926" s="6" t="s">
        <v>54975</v>
      </c>
      <c r="I4926" s="7">
        <f t="shared" si="3"/>
        <v>0.4371418339</v>
      </c>
    </row>
    <row r="4927">
      <c r="A4927" s="4">
        <v>4927.0</v>
      </c>
      <c r="B4927" s="3" t="s">
        <v>54976</v>
      </c>
      <c r="C4927" s="6" t="s">
        <v>85</v>
      </c>
      <c r="D4927" s="6" t="s">
        <v>13008</v>
      </c>
      <c r="E4927" s="3" t="str">
        <f t="shared" si="1"/>
        <v>beforehand&lt;br&gt;&lt;div class="audio"&gt;[sound:beforehand.mp3]&lt;/div&gt;</v>
      </c>
      <c r="F4927" s="3" t="str">
        <f t="shared" si="2"/>
        <v>(adv): trước</v>
      </c>
      <c r="G4927" s="6" t="s">
        <v>54977</v>
      </c>
      <c r="H4927" s="6" t="s">
        <v>54978</v>
      </c>
      <c r="I4927" s="7">
        <f t="shared" si="3"/>
        <v>0.7014817998</v>
      </c>
    </row>
    <row r="4928">
      <c r="A4928" s="4">
        <v>4928.0</v>
      </c>
      <c r="B4928" s="3" t="s">
        <v>54979</v>
      </c>
      <c r="C4928" s="6" t="s">
        <v>11</v>
      </c>
      <c r="D4928" s="6" t="s">
        <v>30940</v>
      </c>
      <c r="E4928" s="3" t="str">
        <f t="shared" si="1"/>
        <v>arbitrary&lt;br&gt;&lt;div class="audio"&gt;[sound:arbitrary.mp3]&lt;/div&gt;</v>
      </c>
      <c r="F4928" s="3" t="str">
        <f t="shared" si="2"/>
        <v>(adj): tùy ý</v>
      </c>
      <c r="G4928" s="6" t="s">
        <v>54980</v>
      </c>
      <c r="H4928" s="6" t="s">
        <v>54981</v>
      </c>
      <c r="I4928" s="7">
        <f t="shared" si="3"/>
        <v>0.8837548693</v>
      </c>
    </row>
    <row r="4929">
      <c r="A4929" s="4">
        <v>4929.0</v>
      </c>
      <c r="B4929" s="3" t="s">
        <v>54982</v>
      </c>
      <c r="C4929" s="6" t="s">
        <v>74</v>
      </c>
      <c r="D4929" s="6" t="s">
        <v>54983</v>
      </c>
      <c r="E4929" s="3" t="str">
        <f t="shared" si="1"/>
        <v>radar&lt;br&gt;&lt;div class="audio"&gt;[sound:radar.mp3]&lt;/div&gt;</v>
      </c>
      <c r="F4929" s="3" t="str">
        <f t="shared" si="2"/>
        <v>(n): ra-đa</v>
      </c>
      <c r="G4929" s="6" t="s">
        <v>54984</v>
      </c>
      <c r="H4929" s="6" t="s">
        <v>54985</v>
      </c>
      <c r="I4929" s="7">
        <f t="shared" si="3"/>
        <v>0.2512227271</v>
      </c>
    </row>
    <row r="4930">
      <c r="A4930" s="4">
        <v>4930.0</v>
      </c>
      <c r="B4930" s="3" t="s">
        <v>54986</v>
      </c>
      <c r="C4930" s="6" t="s">
        <v>74</v>
      </c>
      <c r="D4930" s="6" t="s">
        <v>54987</v>
      </c>
      <c r="E4930" s="3" t="str">
        <f t="shared" si="1"/>
        <v>trio&lt;br&gt;&lt;div class="audio"&gt;[sound:trio.mp3]&lt;/div&gt;</v>
      </c>
      <c r="F4930" s="3" t="str">
        <f t="shared" si="2"/>
        <v>(n): bộ ba</v>
      </c>
      <c r="G4930" s="6" t="s">
        <v>54988</v>
      </c>
      <c r="H4930" s="6" t="s">
        <v>54989</v>
      </c>
      <c r="I4930" s="7">
        <f t="shared" si="3"/>
        <v>0.4484959113</v>
      </c>
    </row>
    <row r="4931">
      <c r="A4931" s="4">
        <v>4931.0</v>
      </c>
      <c r="B4931" s="3" t="s">
        <v>54990</v>
      </c>
      <c r="C4931" s="6" t="s">
        <v>74</v>
      </c>
      <c r="D4931" s="6" t="s">
        <v>40295</v>
      </c>
      <c r="E4931" s="3" t="str">
        <f t="shared" si="1"/>
        <v>telly&lt;br&gt;&lt;div class="audio"&gt;[sound:telly.mp3]&lt;/div&gt;</v>
      </c>
      <c r="F4931" s="3" t="str">
        <f t="shared" si="2"/>
        <v>(n): ti vi</v>
      </c>
      <c r="G4931" s="6" t="s">
        <v>54991</v>
      </c>
      <c r="H4931" s="6" t="s">
        <v>54992</v>
      </c>
      <c r="I4931" s="7">
        <f t="shared" si="3"/>
        <v>0.7980779355</v>
      </c>
    </row>
    <row r="4932">
      <c r="A4932" s="4">
        <v>4932.0</v>
      </c>
      <c r="B4932" s="3" t="s">
        <v>54993</v>
      </c>
      <c r="C4932" s="6" t="s">
        <v>74</v>
      </c>
      <c r="D4932" s="6" t="s">
        <v>33794</v>
      </c>
      <c r="E4932" s="3" t="str">
        <f t="shared" si="1"/>
        <v>firearm&lt;br&gt;&lt;div class="audio"&gt;[sound:firearm.mp3]&lt;/div&gt;</v>
      </c>
      <c r="F4932" s="3" t="str">
        <f t="shared" si="2"/>
        <v>(n): súng</v>
      </c>
      <c r="G4932" s="6" t="s">
        <v>54994</v>
      </c>
      <c r="H4932" s="6" t="s">
        <v>54995</v>
      </c>
      <c r="I4932" s="7">
        <f t="shared" si="3"/>
        <v>0.02386069974</v>
      </c>
    </row>
    <row r="4933">
      <c r="A4933" s="4">
        <v>4933.0</v>
      </c>
      <c r="B4933" s="3" t="s">
        <v>54996</v>
      </c>
      <c r="C4933" s="6" t="s">
        <v>74</v>
      </c>
      <c r="D4933" s="6" t="s">
        <v>26585</v>
      </c>
      <c r="E4933" s="3" t="str">
        <f t="shared" si="1"/>
        <v>midst&lt;br&gt;&lt;div class="audio"&gt;[sound:midst.mp3]&lt;/div&gt;</v>
      </c>
      <c r="F4933" s="3" t="str">
        <f t="shared" si="2"/>
        <v>(n): giữa</v>
      </c>
      <c r="G4933" s="6" t="s">
        <v>54997</v>
      </c>
      <c r="H4933" s="6" t="s">
        <v>41162</v>
      </c>
      <c r="I4933" s="7">
        <f t="shared" si="3"/>
        <v>0.06546232005</v>
      </c>
    </row>
    <row r="4934">
      <c r="A4934" s="4">
        <v>4934.0</v>
      </c>
      <c r="B4934" s="3" t="s">
        <v>54998</v>
      </c>
      <c r="C4934" s="6" t="s">
        <v>74</v>
      </c>
      <c r="D4934" s="6" t="s">
        <v>54999</v>
      </c>
      <c r="E4934" s="3" t="str">
        <f t="shared" si="1"/>
        <v>ash&lt;br&gt;&lt;div class="audio"&gt;[sound:ash.mp3]&lt;/div&gt;</v>
      </c>
      <c r="F4934" s="3" t="str">
        <f t="shared" si="2"/>
        <v>(n): tro</v>
      </c>
      <c r="G4934" s="6" t="s">
        <v>55000</v>
      </c>
      <c r="H4934" s="6" t="s">
        <v>55001</v>
      </c>
      <c r="I4934" s="7">
        <f t="shared" si="3"/>
        <v>0.8931861513</v>
      </c>
    </row>
    <row r="4935">
      <c r="A4935" s="4">
        <v>4935.0</v>
      </c>
      <c r="B4935" s="3" t="s">
        <v>55002</v>
      </c>
      <c r="C4935" s="6" t="s">
        <v>74</v>
      </c>
      <c r="D4935" s="6" t="s">
        <v>55003</v>
      </c>
      <c r="E4935" s="3" t="str">
        <f t="shared" si="1"/>
        <v>residue&lt;br&gt;&lt;div class="audio"&gt;[sound:residue.mp3]&lt;/div&gt;</v>
      </c>
      <c r="F4935" s="3" t="str">
        <f t="shared" si="2"/>
        <v>(n): cặn</v>
      </c>
      <c r="G4935" s="6" t="s">
        <v>55004</v>
      </c>
      <c r="H4935" s="6" t="s">
        <v>55005</v>
      </c>
      <c r="I4935" s="7">
        <f t="shared" si="3"/>
        <v>0.8333360938</v>
      </c>
    </row>
    <row r="4936">
      <c r="A4936" s="4">
        <v>4936.0</v>
      </c>
      <c r="B4936" s="3" t="s">
        <v>55006</v>
      </c>
      <c r="C4936" s="6" t="s">
        <v>24</v>
      </c>
      <c r="D4936" s="6" t="s">
        <v>55007</v>
      </c>
      <c r="E4936" s="3" t="str">
        <f t="shared" si="1"/>
        <v>forge&lt;br&gt;&lt;div class="audio"&gt;[sound:forge.mp3]&lt;/div&gt;</v>
      </c>
      <c r="F4936" s="3" t="str">
        <f t="shared" si="2"/>
        <v>(v): rèn</v>
      </c>
      <c r="G4936" s="6" t="s">
        <v>55008</v>
      </c>
      <c r="H4936" s="6" t="s">
        <v>55009</v>
      </c>
      <c r="I4936" s="7">
        <f t="shared" si="3"/>
        <v>0.5163603513</v>
      </c>
    </row>
    <row r="4937">
      <c r="A4937" s="4">
        <v>4937.0</v>
      </c>
      <c r="B4937" s="3" t="s">
        <v>55010</v>
      </c>
      <c r="C4937" s="6" t="s">
        <v>24</v>
      </c>
      <c r="D4937" s="6" t="s">
        <v>55011</v>
      </c>
      <c r="E4937" s="3" t="str">
        <f t="shared" si="1"/>
        <v>distract&lt;br&gt;&lt;div class="audio"&gt;[sound:distract.mp3]&lt;/div&gt;</v>
      </c>
      <c r="F4937" s="3" t="str">
        <f t="shared" si="2"/>
        <v>(v): làm xao nhãng</v>
      </c>
      <c r="G4937" s="6" t="s">
        <v>55012</v>
      </c>
      <c r="H4937" s="6" t="s">
        <v>55013</v>
      </c>
      <c r="I4937" s="7">
        <f t="shared" si="3"/>
        <v>0.3219443425</v>
      </c>
    </row>
    <row r="4938">
      <c r="A4938" s="4">
        <v>4938.0</v>
      </c>
      <c r="B4938" s="3" t="s">
        <v>55014</v>
      </c>
      <c r="C4938" s="6" t="s">
        <v>74</v>
      </c>
      <c r="D4938" s="6" t="s">
        <v>55015</v>
      </c>
      <c r="E4938" s="3" t="str">
        <f t="shared" si="1"/>
        <v>dedication&lt;br&gt;&lt;div class="audio"&gt;[sound:dedication.mp3]&lt;/div&gt;</v>
      </c>
      <c r="F4938" s="3" t="str">
        <f t="shared" si="2"/>
        <v>(n): sự tận tâm</v>
      </c>
      <c r="G4938" s="6" t="s">
        <v>55016</v>
      </c>
      <c r="H4938" s="6" t="s">
        <v>55017</v>
      </c>
      <c r="I4938" s="7">
        <f t="shared" si="3"/>
        <v>0.2093768801</v>
      </c>
    </row>
    <row r="4939">
      <c r="A4939" s="4">
        <v>4939.0</v>
      </c>
      <c r="B4939" s="3" t="s">
        <v>55018</v>
      </c>
      <c r="C4939" s="6" t="s">
        <v>74</v>
      </c>
      <c r="D4939" s="6" t="s">
        <v>55019</v>
      </c>
      <c r="E4939" s="3" t="str">
        <f t="shared" si="1"/>
        <v>courtesy&lt;br&gt;&lt;div class="audio"&gt;[sound:courtesy.mp3]&lt;/div&gt;</v>
      </c>
      <c r="F4939" s="3" t="str">
        <f t="shared" si="2"/>
        <v>(n): sự lịch sự</v>
      </c>
      <c r="G4939" s="6" t="s">
        <v>55020</v>
      </c>
      <c r="H4939" s="6" t="s">
        <v>55021</v>
      </c>
      <c r="I4939" s="7">
        <f t="shared" si="3"/>
        <v>0.6397407309</v>
      </c>
    </row>
    <row r="4940">
      <c r="A4940" s="4">
        <v>4940.0</v>
      </c>
      <c r="B4940" s="3" t="s">
        <v>55022</v>
      </c>
      <c r="C4940" s="6" t="s">
        <v>24</v>
      </c>
      <c r="D4940" s="6" t="s">
        <v>55023</v>
      </c>
      <c r="E4940" s="3" t="str">
        <f t="shared" si="1"/>
        <v>devise&lt;br&gt;&lt;div class="audio"&gt;[sound:devise.mp3]&lt;/div&gt;</v>
      </c>
      <c r="F4940" s="3" t="str">
        <f t="shared" si="2"/>
        <v>(v): đề ra</v>
      </c>
      <c r="G4940" s="6" t="s">
        <v>55024</v>
      </c>
      <c r="H4940" s="6" t="s">
        <v>55025</v>
      </c>
      <c r="I4940" s="7">
        <f t="shared" si="3"/>
        <v>0.593383273</v>
      </c>
    </row>
    <row r="4941">
      <c r="A4941" s="4">
        <v>4941.0</v>
      </c>
      <c r="B4941" s="3" t="s">
        <v>55026</v>
      </c>
      <c r="C4941" s="6" t="s">
        <v>74</v>
      </c>
      <c r="D4941" s="6" t="s">
        <v>55027</v>
      </c>
      <c r="E4941" s="3" t="str">
        <f t="shared" si="1"/>
        <v>disruption&lt;br&gt;&lt;div class="audio"&gt;[sound:disruption.mp3]&lt;/div&gt;</v>
      </c>
      <c r="F4941" s="3" t="str">
        <f t="shared" si="2"/>
        <v>(n): sự gián đoạn</v>
      </c>
      <c r="G4941" s="6" t="s">
        <v>55028</v>
      </c>
      <c r="H4941" s="6" t="s">
        <v>55029</v>
      </c>
      <c r="I4941" s="7">
        <f t="shared" si="3"/>
        <v>0.401920748</v>
      </c>
    </row>
    <row r="4942">
      <c r="A4942" s="4">
        <v>4942.0</v>
      </c>
      <c r="B4942" s="3" t="s">
        <v>55030</v>
      </c>
      <c r="C4942" s="6" t="s">
        <v>74</v>
      </c>
      <c r="D4942" s="6" t="s">
        <v>20875</v>
      </c>
      <c r="E4942" s="3" t="str">
        <f t="shared" si="1"/>
        <v>deadline&lt;br&gt;&lt;div class="audio"&gt;[sound:deadline.mp3]&lt;/div&gt;</v>
      </c>
      <c r="F4942" s="3" t="str">
        <f t="shared" si="2"/>
        <v>(n): hạn chót</v>
      </c>
      <c r="G4942" s="6" t="s">
        <v>55031</v>
      </c>
      <c r="H4942" s="6" t="s">
        <v>55032</v>
      </c>
      <c r="I4942" s="7">
        <f t="shared" si="3"/>
        <v>0.9372445511</v>
      </c>
    </row>
    <row r="4943">
      <c r="A4943" s="4">
        <v>4943.0</v>
      </c>
      <c r="B4943" s="3" t="s">
        <v>55033</v>
      </c>
      <c r="C4943" s="6" t="s">
        <v>85</v>
      </c>
      <c r="D4943" s="6" t="s">
        <v>55034</v>
      </c>
      <c r="E4943" s="3" t="str">
        <f t="shared" si="1"/>
        <v>downwards&lt;br&gt;&lt;div class="audio"&gt;[sound:downwards.mp3]&lt;/div&gt;</v>
      </c>
      <c r="F4943" s="3" t="str">
        <f t="shared" si="2"/>
        <v>(adv): hướng xuống</v>
      </c>
      <c r="G4943" s="6" t="s">
        <v>55035</v>
      </c>
      <c r="H4943" s="6" t="s">
        <v>55036</v>
      </c>
      <c r="I4943" s="7">
        <f t="shared" si="3"/>
        <v>0.535036554</v>
      </c>
    </row>
    <row r="4944">
      <c r="A4944" s="4">
        <v>4944.0</v>
      </c>
      <c r="B4944" s="3" t="s">
        <v>55037</v>
      </c>
      <c r="C4944" s="6" t="s">
        <v>74</v>
      </c>
      <c r="D4944" s="6" t="s">
        <v>55038</v>
      </c>
      <c r="E4944" s="3" t="str">
        <f t="shared" si="1"/>
        <v>delegation&lt;br&gt;&lt;div class="audio"&gt;[sound:delegation.mp3]&lt;/div&gt;</v>
      </c>
      <c r="F4944" s="3" t="str">
        <f t="shared" si="2"/>
        <v>(n): phái đoàn</v>
      </c>
      <c r="G4944" s="6" t="s">
        <v>55039</v>
      </c>
      <c r="H4944" s="6" t="s">
        <v>55040</v>
      </c>
      <c r="I4944" s="7">
        <f t="shared" si="3"/>
        <v>0.1256936044</v>
      </c>
    </row>
    <row r="4945">
      <c r="A4945" s="4">
        <v>4945.0</v>
      </c>
      <c r="B4945" s="3" t="s">
        <v>55041</v>
      </c>
      <c r="C4945" s="6" t="s">
        <v>74</v>
      </c>
      <c r="D4945" s="6" t="s">
        <v>40965</v>
      </c>
      <c r="E4945" s="3" t="str">
        <f t="shared" si="1"/>
        <v>counterpart&lt;br&gt;&lt;div class="audio"&gt;[sound:counterpart.mp3]&lt;/div&gt;</v>
      </c>
      <c r="F4945" s="3" t="str">
        <f t="shared" si="2"/>
        <v>(n): đối tác</v>
      </c>
      <c r="G4945" s="6" t="s">
        <v>55042</v>
      </c>
      <c r="H4945" s="6" t="s">
        <v>55043</v>
      </c>
      <c r="I4945" s="7">
        <f t="shared" si="3"/>
        <v>0.7398793954</v>
      </c>
    </row>
    <row r="4946">
      <c r="A4946" s="4">
        <v>4946.0</v>
      </c>
      <c r="B4946" s="3" t="s">
        <v>55044</v>
      </c>
      <c r="C4946" s="6" t="s">
        <v>11</v>
      </c>
      <c r="D4946" s="6" t="s">
        <v>55045</v>
      </c>
      <c r="E4946" s="3" t="str">
        <f t="shared" si="1"/>
        <v>disastrous&lt;br&gt;&lt;div class="audio"&gt;[sound:disastrous.mp3]&lt;/div&gt;</v>
      </c>
      <c r="F4946" s="3" t="str">
        <f t="shared" si="2"/>
        <v>(adj): mang tính thảm họa</v>
      </c>
      <c r="G4946" s="6" t="s">
        <v>55046</v>
      </c>
      <c r="H4946" s="6" t="s">
        <v>55047</v>
      </c>
      <c r="I4946" s="7">
        <f t="shared" si="3"/>
        <v>0.129630278</v>
      </c>
    </row>
    <row r="4947">
      <c r="A4947" s="4">
        <v>4947.0</v>
      </c>
      <c r="B4947" s="3" t="s">
        <v>55048</v>
      </c>
      <c r="C4947" s="6" t="s">
        <v>74</v>
      </c>
      <c r="D4947" s="6" t="s">
        <v>29508</v>
      </c>
      <c r="E4947" s="3" t="str">
        <f t="shared" si="1"/>
        <v>dam&lt;br&gt;&lt;div class="audio"&gt;[sound:dam.mp3]&lt;/div&gt;</v>
      </c>
      <c r="F4947" s="3" t="str">
        <f t="shared" si="2"/>
        <v>(n): đập</v>
      </c>
      <c r="G4947" s="6" t="s">
        <v>55049</v>
      </c>
      <c r="H4947" s="6" t="s">
        <v>55050</v>
      </c>
      <c r="I4947" s="7">
        <f t="shared" si="3"/>
        <v>0.1487693038</v>
      </c>
    </row>
    <row r="4948">
      <c r="A4948" s="4">
        <v>4948.0</v>
      </c>
      <c r="B4948" s="3" t="s">
        <v>55051</v>
      </c>
      <c r="C4948" s="6" t="s">
        <v>11</v>
      </c>
      <c r="D4948" s="6" t="s">
        <v>55052</v>
      </c>
      <c r="E4948" s="3" t="str">
        <f t="shared" si="1"/>
        <v>ecological&lt;br&gt;&lt;div class="audio"&gt;[sound:ecological.mp3]&lt;/div&gt;</v>
      </c>
      <c r="F4948" s="3" t="str">
        <f t="shared" si="2"/>
        <v>(adj): thuộc sinh thái</v>
      </c>
      <c r="G4948" s="6" t="s">
        <v>55053</v>
      </c>
      <c r="H4948" s="6" t="s">
        <v>55054</v>
      </c>
      <c r="I4948" s="7">
        <f t="shared" si="3"/>
        <v>0.2909401589</v>
      </c>
    </row>
    <row r="4949">
      <c r="A4949" s="4">
        <v>4949.0</v>
      </c>
      <c r="B4949" s="3" t="s">
        <v>55055</v>
      </c>
      <c r="C4949" s="6" t="s">
        <v>74</v>
      </c>
      <c r="D4949" s="6" t="s">
        <v>55056</v>
      </c>
      <c r="E4949" s="3" t="str">
        <f t="shared" si="1"/>
        <v>counselling&lt;br&gt;&lt;div class="audio"&gt;[sound:counselling.mp3]&lt;/div&gt;</v>
      </c>
      <c r="F4949" s="3" t="str">
        <f t="shared" si="2"/>
        <v>(n): sự tư vấn</v>
      </c>
      <c r="G4949" s="6" t="s">
        <v>55057</v>
      </c>
      <c r="H4949" s="6" t="s">
        <v>55058</v>
      </c>
      <c r="I4949" s="7">
        <f t="shared" si="3"/>
        <v>0.1472796566</v>
      </c>
    </row>
    <row r="4950">
      <c r="A4950" s="4">
        <v>4950.0</v>
      </c>
      <c r="B4950" s="3" t="s">
        <v>55059</v>
      </c>
      <c r="C4950" s="6" t="s">
        <v>24</v>
      </c>
      <c r="D4950" s="6" t="s">
        <v>55060</v>
      </c>
      <c r="E4950" s="3" t="str">
        <f t="shared" si="1"/>
        <v>displace&lt;br&gt;&lt;div class="audio"&gt;[sound:displace.mp3]&lt;/div&gt;</v>
      </c>
      <c r="F4950" s="3" t="str">
        <f t="shared" si="2"/>
        <v>(v): di dời</v>
      </c>
      <c r="G4950" s="6" t="s">
        <v>55061</v>
      </c>
      <c r="H4950" s="6" t="s">
        <v>55062</v>
      </c>
      <c r="I4950" s="7">
        <f t="shared" si="3"/>
        <v>0.04434379119</v>
      </c>
    </row>
    <row r="4951">
      <c r="A4951" s="4">
        <v>4951.0</v>
      </c>
      <c r="B4951" s="3" t="s">
        <v>55063</v>
      </c>
      <c r="C4951" s="6" t="s">
        <v>11</v>
      </c>
      <c r="D4951" s="6" t="s">
        <v>18621</v>
      </c>
      <c r="E4951" s="3" t="str">
        <f t="shared" si="1"/>
        <v>deliberate&lt;br&gt;&lt;div class="audio"&gt;[sound:deliberate.mp3]&lt;/div&gt;</v>
      </c>
      <c r="F4951" s="3" t="str">
        <f t="shared" si="2"/>
        <v>(adj): cố ý</v>
      </c>
      <c r="G4951" s="6" t="s">
        <v>55064</v>
      </c>
      <c r="H4951" s="6" t="s">
        <v>55065</v>
      </c>
      <c r="I4951" s="7">
        <f t="shared" si="3"/>
        <v>0.8500653583</v>
      </c>
    </row>
    <row r="4952">
      <c r="A4952" s="4">
        <v>4952.0</v>
      </c>
      <c r="B4952" s="3" t="s">
        <v>55066</v>
      </c>
      <c r="C4952" s="6" t="s">
        <v>24</v>
      </c>
      <c r="D4952" s="6" t="s">
        <v>17956</v>
      </c>
      <c r="E4952" s="3" t="str">
        <f t="shared" si="1"/>
        <v>diminish&lt;br&gt;&lt;div class="audio"&gt;[sound:diminish.mp3]&lt;/div&gt;</v>
      </c>
      <c r="F4952" s="3" t="str">
        <f t="shared" si="2"/>
        <v>(v): giảm bớt</v>
      </c>
      <c r="G4952" s="6" t="s">
        <v>55067</v>
      </c>
      <c r="H4952" s="6" t="s">
        <v>55068</v>
      </c>
      <c r="I4952" s="7">
        <f t="shared" si="3"/>
        <v>0.5443861475</v>
      </c>
    </row>
    <row r="4953">
      <c r="A4953" s="4">
        <v>4953.0</v>
      </c>
      <c r="B4953" s="3" t="s">
        <v>55069</v>
      </c>
      <c r="C4953" s="6" t="s">
        <v>74</v>
      </c>
      <c r="D4953" s="6" t="s">
        <v>55070</v>
      </c>
      <c r="E4953" s="3" t="str">
        <f t="shared" si="1"/>
        <v>cushion&lt;br&gt;&lt;div class="audio"&gt;[sound:cushion.mp3]&lt;/div&gt;</v>
      </c>
      <c r="F4953" s="3" t="str">
        <f t="shared" si="2"/>
        <v>(n): gối đệm</v>
      </c>
      <c r="G4953" s="6" t="s">
        <v>55071</v>
      </c>
      <c r="H4953" s="6" t="s">
        <v>55072</v>
      </c>
      <c r="I4953" s="7">
        <f t="shared" si="3"/>
        <v>0.2448052999</v>
      </c>
    </row>
    <row r="4954">
      <c r="A4954" s="4">
        <v>4954.0</v>
      </c>
      <c r="B4954" s="3" t="s">
        <v>55073</v>
      </c>
      <c r="C4954" s="6" t="s">
        <v>74</v>
      </c>
      <c r="D4954" s="6" t="s">
        <v>8018</v>
      </c>
      <c r="E4954" s="3" t="str">
        <f t="shared" si="1"/>
        <v>correspondent&lt;br&gt;&lt;div class="audio"&gt;[sound:correspondent.mp3]&lt;/div&gt;</v>
      </c>
      <c r="F4954" s="3" t="str">
        <f t="shared" si="2"/>
        <v>(n): phóng viên</v>
      </c>
      <c r="G4954" s="6" t="s">
        <v>55074</v>
      </c>
      <c r="H4954" s="6" t="s">
        <v>55075</v>
      </c>
      <c r="I4954" s="7">
        <f t="shared" si="3"/>
        <v>0.03599632296</v>
      </c>
    </row>
    <row r="4955">
      <c r="A4955" s="4">
        <v>4955.0</v>
      </c>
      <c r="B4955" s="3" t="s">
        <v>55076</v>
      </c>
      <c r="C4955" s="6" t="s">
        <v>74</v>
      </c>
      <c r="D4955" s="6" t="s">
        <v>25452</v>
      </c>
      <c r="E4955" s="3" t="str">
        <f t="shared" si="1"/>
        <v>doctrine&lt;br&gt;&lt;div class="audio"&gt;[sound:doctrine.mp3]&lt;/div&gt;</v>
      </c>
      <c r="F4955" s="3" t="str">
        <f t="shared" si="2"/>
        <v>(n): học thuyết</v>
      </c>
      <c r="G4955" s="6" t="s">
        <v>55077</v>
      </c>
      <c r="H4955" s="6" t="s">
        <v>55078</v>
      </c>
      <c r="I4955" s="7">
        <f t="shared" si="3"/>
        <v>0.9193816526</v>
      </c>
    </row>
    <row r="4956">
      <c r="A4956" s="4">
        <v>4956.0</v>
      </c>
      <c r="B4956" s="3" t="s">
        <v>55079</v>
      </c>
      <c r="C4956" s="6" t="s">
        <v>74</v>
      </c>
      <c r="D4956" s="6" t="s">
        <v>13384</v>
      </c>
      <c r="E4956" s="3" t="str">
        <f t="shared" si="1"/>
        <v>density&lt;br&gt;&lt;div class="audio"&gt;[sound:density.mp3]&lt;/div&gt;</v>
      </c>
      <c r="F4956" s="3" t="str">
        <f t="shared" si="2"/>
        <v>(n): mật độ</v>
      </c>
      <c r="G4956" s="6" t="s">
        <v>55080</v>
      </c>
      <c r="H4956" s="6" t="s">
        <v>55081</v>
      </c>
      <c r="I4956" s="7">
        <f t="shared" si="3"/>
        <v>0.2694685626</v>
      </c>
    </row>
    <row r="4957">
      <c r="A4957" s="4">
        <v>4957.0</v>
      </c>
      <c r="B4957" s="3" t="s">
        <v>55082</v>
      </c>
      <c r="C4957" s="6" t="s">
        <v>74</v>
      </c>
      <c r="D4957" s="6" t="s">
        <v>47998</v>
      </c>
      <c r="E4957" s="3" t="str">
        <f t="shared" si="1"/>
        <v>discretion&lt;br&gt;&lt;div class="audio"&gt;[sound:discretion.mp3]&lt;/div&gt;</v>
      </c>
      <c r="F4957" s="3" t="str">
        <f t="shared" si="2"/>
        <v>(n): sự thận trọng</v>
      </c>
      <c r="G4957" s="6" t="s">
        <v>55083</v>
      </c>
      <c r="H4957" s="6" t="s">
        <v>55084</v>
      </c>
      <c r="I4957" s="7">
        <f t="shared" si="3"/>
        <v>0.6404948383</v>
      </c>
    </row>
    <row r="4958">
      <c r="A4958" s="4">
        <v>4958.0</v>
      </c>
      <c r="B4958" s="3" t="s">
        <v>55085</v>
      </c>
      <c r="C4958" s="6" t="s">
        <v>11</v>
      </c>
      <c r="D4958" s="6" t="s">
        <v>55086</v>
      </c>
      <c r="E4958" s="3" t="str">
        <f t="shared" si="1"/>
        <v>deaf&lt;br&gt;&lt;div class="audio"&gt;[sound:deaf.mp3]&lt;/div&gt;</v>
      </c>
      <c r="F4958" s="3" t="str">
        <f t="shared" si="2"/>
        <v>(adj): bị điếc</v>
      </c>
      <c r="G4958" s="6" t="s">
        <v>55087</v>
      </c>
      <c r="H4958" s="6" t="s">
        <v>55088</v>
      </c>
      <c r="I4958" s="7">
        <f t="shared" si="3"/>
        <v>0.210746888</v>
      </c>
    </row>
    <row r="4959">
      <c r="A4959" s="4">
        <v>4959.0</v>
      </c>
      <c r="B4959" s="3" t="s">
        <v>55089</v>
      </c>
      <c r="C4959" s="6" t="s">
        <v>74</v>
      </c>
      <c r="D4959" s="6" t="s">
        <v>55090</v>
      </c>
      <c r="E4959" s="3" t="str">
        <f t="shared" si="1"/>
        <v>crystal&lt;br&gt;&lt;div class="audio"&gt;[sound:crystal.mp3]&lt;/div&gt;</v>
      </c>
      <c r="F4959" s="3" t="str">
        <f t="shared" si="2"/>
        <v>(n): pha lê</v>
      </c>
      <c r="G4959" s="6" t="s">
        <v>55091</v>
      </c>
      <c r="H4959" s="6" t="s">
        <v>55092</v>
      </c>
      <c r="I4959" s="7">
        <f t="shared" si="3"/>
        <v>0.8852762613</v>
      </c>
    </row>
    <row r="4960">
      <c r="A4960" s="4">
        <v>4960.0</v>
      </c>
      <c r="B4960" s="3" t="s">
        <v>55093</v>
      </c>
      <c r="C4960" s="6" t="s">
        <v>11</v>
      </c>
      <c r="D4960" s="6" t="s">
        <v>55094</v>
      </c>
      <c r="E4960" s="3" t="str">
        <f t="shared" si="1"/>
        <v>articulate&lt;br&gt;&lt;div class="audio"&gt;[sound:articulate.mp3]&lt;/div&gt;</v>
      </c>
      <c r="F4960" s="3" t="str">
        <f t="shared" si="2"/>
        <v>(adj): có khả năng diễn đạt</v>
      </c>
      <c r="G4960" s="6" t="s">
        <v>55095</v>
      </c>
      <c r="H4960" s="6" t="s">
        <v>55096</v>
      </c>
      <c r="I4960" s="7">
        <f t="shared" si="3"/>
        <v>0.2091697519</v>
      </c>
    </row>
    <row r="4961">
      <c r="A4961" s="4">
        <v>4961.0</v>
      </c>
      <c r="B4961" s="3" t="s">
        <v>55097</v>
      </c>
      <c r="C4961" s="6" t="s">
        <v>11</v>
      </c>
      <c r="D4961" s="6" t="s">
        <v>55098</v>
      </c>
      <c r="E4961" s="3" t="str">
        <f t="shared" si="1"/>
        <v>optical&lt;br&gt;&lt;div class="audio"&gt;[sound:optical.mp3]&lt;/div&gt;</v>
      </c>
      <c r="F4961" s="3" t="str">
        <f t="shared" si="2"/>
        <v>(adj): thuộc về thị giác</v>
      </c>
      <c r="G4961" s="6" t="s">
        <v>55099</v>
      </c>
      <c r="H4961" s="6" t="s">
        <v>55100</v>
      </c>
      <c r="I4961" s="7">
        <f t="shared" si="3"/>
        <v>0.9725539925</v>
      </c>
    </row>
    <row r="4962">
      <c r="A4962" s="4">
        <v>4962.0</v>
      </c>
      <c r="B4962" s="3" t="s">
        <v>55101</v>
      </c>
      <c r="C4962" s="6" t="s">
        <v>74</v>
      </c>
      <c r="D4962" s="6" t="s">
        <v>55102</v>
      </c>
      <c r="E4962" s="3" t="str">
        <f t="shared" si="1"/>
        <v>legislature&lt;br&gt;&lt;div class="audio"&gt;[sound:legislature.mp3]&lt;/div&gt;</v>
      </c>
      <c r="F4962" s="3" t="str">
        <f t="shared" si="2"/>
        <v>(n): cơ quan lập pháp</v>
      </c>
      <c r="G4962" s="6" t="s">
        <v>55103</v>
      </c>
      <c r="H4962" s="6" t="s">
        <v>55104</v>
      </c>
      <c r="I4962" s="7">
        <f t="shared" si="3"/>
        <v>0.4591054166</v>
      </c>
    </row>
    <row r="4963">
      <c r="A4963" s="4">
        <v>4963.0</v>
      </c>
      <c r="B4963" s="3" t="s">
        <v>55105</v>
      </c>
      <c r="C4963" s="6" t="s">
        <v>74</v>
      </c>
      <c r="D4963" s="6" t="s">
        <v>55106</v>
      </c>
      <c r="E4963" s="3" t="str">
        <f t="shared" si="1"/>
        <v>mosque&lt;br&gt;&lt;div class="audio"&gt;[sound:mosque.mp3]&lt;/div&gt;</v>
      </c>
      <c r="F4963" s="3" t="str">
        <f t="shared" si="2"/>
        <v>(n): nhà thờ hồi giáo</v>
      </c>
      <c r="G4963" s="6" t="s">
        <v>55107</v>
      </c>
      <c r="H4963" s="6" t="s">
        <v>55108</v>
      </c>
      <c r="I4963" s="7">
        <f t="shared" si="3"/>
        <v>0.3818214385</v>
      </c>
    </row>
    <row r="4964">
      <c r="A4964" s="4">
        <v>4964.0</v>
      </c>
      <c r="B4964" s="3" t="s">
        <v>55109</v>
      </c>
      <c r="C4964" s="6" t="s">
        <v>24</v>
      </c>
      <c r="D4964" s="6" t="s">
        <v>54254</v>
      </c>
      <c r="E4964" s="3" t="str">
        <f t="shared" si="1"/>
        <v>flourish&lt;br&gt;&lt;div class="audio"&gt;[sound:flourish.mp3]&lt;/div&gt;</v>
      </c>
      <c r="F4964" s="3" t="str">
        <f t="shared" si="2"/>
        <v>(v): phát triển mạnh</v>
      </c>
      <c r="G4964" s="6" t="s">
        <v>55110</v>
      </c>
      <c r="H4964" s="6" t="s">
        <v>55111</v>
      </c>
      <c r="I4964" s="7">
        <f t="shared" si="3"/>
        <v>0.409066751</v>
      </c>
    </row>
    <row r="4965">
      <c r="A4965" s="4">
        <v>4965.0</v>
      </c>
      <c r="B4965" s="3" t="s">
        <v>55112</v>
      </c>
      <c r="C4965" s="6" t="s">
        <v>11</v>
      </c>
      <c r="D4965" s="6" t="s">
        <v>55113</v>
      </c>
      <c r="E4965" s="3" t="str">
        <f t="shared" si="1"/>
        <v>naval&lt;br&gt;&lt;div class="audio"&gt;[sound:naval.mp3]&lt;/div&gt;</v>
      </c>
      <c r="F4965" s="3" t="str">
        <f t="shared" si="2"/>
        <v>(adj): thuộc hải quân</v>
      </c>
      <c r="G4965" s="6" t="s">
        <v>55114</v>
      </c>
      <c r="H4965" s="6" t="s">
        <v>55115</v>
      </c>
      <c r="I4965" s="7">
        <f t="shared" si="3"/>
        <v>0.5733507098</v>
      </c>
    </row>
    <row r="4966">
      <c r="A4966" s="4">
        <v>4966.0</v>
      </c>
      <c r="B4966" s="3" t="s">
        <v>55116</v>
      </c>
      <c r="C4966" s="6" t="s">
        <v>74</v>
      </c>
      <c r="D4966" s="6" t="s">
        <v>55117</v>
      </c>
      <c r="E4966" s="3" t="str">
        <f t="shared" si="1"/>
        <v>bacon&lt;br&gt;&lt;div class="audio"&gt;[sound:bacon.mp3]&lt;/div&gt;</v>
      </c>
      <c r="F4966" s="3" t="str">
        <f t="shared" si="2"/>
        <v>(n): thịt xông khói</v>
      </c>
      <c r="G4966" s="6" t="s">
        <v>55118</v>
      </c>
      <c r="H4966" s="6" t="s">
        <v>55119</v>
      </c>
      <c r="I4966" s="7">
        <f t="shared" si="3"/>
        <v>0.9399426911</v>
      </c>
    </row>
    <row r="4967">
      <c r="A4967" s="4">
        <v>4967.0</v>
      </c>
      <c r="B4967" s="3" t="s">
        <v>55120</v>
      </c>
      <c r="C4967" s="6" t="s">
        <v>74</v>
      </c>
      <c r="D4967" s="6" t="s">
        <v>55121</v>
      </c>
      <c r="E4967" s="3" t="str">
        <f t="shared" si="1"/>
        <v>outing&lt;br&gt;&lt;div class="audio"&gt;[sound:outing.mp3]&lt;/div&gt;</v>
      </c>
      <c r="F4967" s="3" t="str">
        <f t="shared" si="2"/>
        <v>(n): chuyến đi chơi</v>
      </c>
      <c r="G4967" s="6" t="s">
        <v>55122</v>
      </c>
      <c r="H4967" s="6" t="s">
        <v>55123</v>
      </c>
      <c r="I4967" s="7">
        <f t="shared" si="3"/>
        <v>0.4731004041</v>
      </c>
    </row>
    <row r="4968">
      <c r="A4968" s="4">
        <v>4968.0</v>
      </c>
      <c r="B4968" s="3" t="s">
        <v>55124</v>
      </c>
      <c r="C4968" s="6" t="s">
        <v>11</v>
      </c>
      <c r="D4968" s="6" t="s">
        <v>55125</v>
      </c>
      <c r="E4968" s="3" t="str">
        <f t="shared" si="1"/>
        <v>lethal&lt;br&gt;&lt;div class="audio"&gt;[sound:lethal.mp3]&lt;/div&gt;</v>
      </c>
      <c r="F4968" s="3" t="str">
        <f t="shared" si="2"/>
        <v>(adj): gây chết người</v>
      </c>
      <c r="G4968" s="6" t="s">
        <v>55126</v>
      </c>
      <c r="H4968" s="6" t="s">
        <v>55127</v>
      </c>
      <c r="I4968" s="7">
        <f t="shared" si="3"/>
        <v>0.9390566352</v>
      </c>
    </row>
    <row r="4969">
      <c r="A4969" s="4">
        <v>4969.0</v>
      </c>
      <c r="B4969" s="3" t="s">
        <v>55128</v>
      </c>
      <c r="C4969" s="6" t="s">
        <v>74</v>
      </c>
      <c r="D4969" s="6" t="s">
        <v>55129</v>
      </c>
      <c r="E4969" s="3" t="str">
        <f t="shared" si="1"/>
        <v>massacre&lt;br&gt;&lt;div class="audio"&gt;[sound:massacre.mp3]&lt;/div&gt;</v>
      </c>
      <c r="F4969" s="3" t="str">
        <f t="shared" si="2"/>
        <v>(n): cuộc thảm sát</v>
      </c>
      <c r="G4969" s="6" t="s">
        <v>55130</v>
      </c>
      <c r="H4969" s="6" t="s">
        <v>55131</v>
      </c>
      <c r="I4969" s="7">
        <f t="shared" si="3"/>
        <v>0.3050379878</v>
      </c>
    </row>
    <row r="4970">
      <c r="A4970" s="4">
        <v>4970.0</v>
      </c>
      <c r="B4970" s="3" t="s">
        <v>55132</v>
      </c>
      <c r="C4970" s="6" t="s">
        <v>11</v>
      </c>
      <c r="D4970" s="6" t="s">
        <v>45221</v>
      </c>
      <c r="E4970" s="3" t="str">
        <f t="shared" si="1"/>
        <v>martial&lt;br&gt;&lt;div class="audio"&gt;[sound:martial.mp3]&lt;/div&gt;</v>
      </c>
      <c r="F4970" s="3" t="str">
        <f t="shared" si="2"/>
        <v>(adj): thuộc quân sự</v>
      </c>
      <c r="G4970" s="6" t="s">
        <v>55133</v>
      </c>
      <c r="H4970" s="6" t="s">
        <v>55134</v>
      </c>
      <c r="I4970" s="7">
        <f t="shared" si="3"/>
        <v>0.9531163055</v>
      </c>
    </row>
    <row r="4971">
      <c r="A4971" s="4">
        <v>4971.0</v>
      </c>
      <c r="B4971" s="3" t="s">
        <v>55135</v>
      </c>
      <c r="C4971" s="6" t="s">
        <v>74</v>
      </c>
      <c r="D4971" s="6" t="s">
        <v>55136</v>
      </c>
      <c r="E4971" s="3" t="str">
        <f t="shared" si="1"/>
        <v>motorist&lt;br&gt;&lt;div class="audio"&gt;[sound:motorist.mp3]&lt;/div&gt;</v>
      </c>
      <c r="F4971" s="3" t="str">
        <f t="shared" si="2"/>
        <v>(n): người lái xe</v>
      </c>
      <c r="G4971" s="6" t="s">
        <v>55137</v>
      </c>
      <c r="H4971" s="6" t="s">
        <v>55138</v>
      </c>
      <c r="I4971" s="7">
        <f t="shared" si="3"/>
        <v>0.6383002264</v>
      </c>
    </row>
    <row r="4972">
      <c r="A4972" s="4">
        <v>4972.0</v>
      </c>
      <c r="B4972" s="3" t="s">
        <v>55139</v>
      </c>
      <c r="C4972" s="6" t="s">
        <v>11</v>
      </c>
      <c r="D4972" s="6" t="s">
        <v>55140</v>
      </c>
      <c r="E4972" s="3" t="str">
        <f t="shared" si="1"/>
        <v>naughty&lt;br&gt;&lt;div class="audio"&gt;[sound:naughty.mp3]&lt;/div&gt;</v>
      </c>
      <c r="F4972" s="3" t="str">
        <f t="shared" si="2"/>
        <v>(adj): nghịch ngợm</v>
      </c>
      <c r="G4972" s="6" t="s">
        <v>55141</v>
      </c>
      <c r="H4972" s="6" t="s">
        <v>55142</v>
      </c>
      <c r="I4972" s="7">
        <f t="shared" si="3"/>
        <v>0.1031391383</v>
      </c>
    </row>
    <row r="4973">
      <c r="A4973" s="4">
        <v>4973.0</v>
      </c>
      <c r="B4973" s="3" t="s">
        <v>55143</v>
      </c>
      <c r="C4973" s="6" t="s">
        <v>11</v>
      </c>
      <c r="D4973" s="6" t="s">
        <v>55144</v>
      </c>
      <c r="E4973" s="3" t="str">
        <f t="shared" si="1"/>
        <v>empirical&lt;br&gt;&lt;div class="audio"&gt;[sound:empirical.mp3]&lt;/div&gt;</v>
      </c>
      <c r="F4973" s="3" t="str">
        <f t="shared" si="2"/>
        <v>(adj): thực nghiệm</v>
      </c>
      <c r="G4973" s="6" t="s">
        <v>55145</v>
      </c>
      <c r="H4973" s="6" t="s">
        <v>55146</v>
      </c>
      <c r="I4973" s="7">
        <f t="shared" si="3"/>
        <v>0.06744576054</v>
      </c>
    </row>
    <row r="4974">
      <c r="A4974" s="4">
        <v>4974.0</v>
      </c>
      <c r="B4974" s="3" t="s">
        <v>55147</v>
      </c>
      <c r="C4974" s="6" t="s">
        <v>11</v>
      </c>
      <c r="D4974" s="6" t="s">
        <v>12533</v>
      </c>
      <c r="E4974" s="3" t="str">
        <f t="shared" si="1"/>
        <v>decisive&lt;br&gt;&lt;div class="audio"&gt;[sound:decisive.mp3]&lt;/div&gt;</v>
      </c>
      <c r="F4974" s="3" t="str">
        <f t="shared" si="2"/>
        <v>(adj): quyết đoán</v>
      </c>
      <c r="G4974" s="6" t="s">
        <v>55148</v>
      </c>
      <c r="H4974" s="6" t="s">
        <v>55149</v>
      </c>
      <c r="I4974" s="7">
        <f t="shared" si="3"/>
        <v>0.4086280982</v>
      </c>
    </row>
    <row r="4975">
      <c r="A4975" s="4">
        <v>4975.0</v>
      </c>
      <c r="B4975" s="3" t="s">
        <v>55150</v>
      </c>
      <c r="C4975" s="6" t="s">
        <v>11</v>
      </c>
      <c r="D4975" s="6" t="s">
        <v>55151</v>
      </c>
      <c r="E4975" s="3" t="str">
        <f t="shared" si="1"/>
        <v>militant&lt;br&gt;&lt;div class="audio"&gt;[sound:militant.mp3]&lt;/div&gt;</v>
      </c>
      <c r="F4975" s="3" t="str">
        <f t="shared" si="2"/>
        <v>(adj): hiếu chiến</v>
      </c>
      <c r="G4975" s="6" t="s">
        <v>55152</v>
      </c>
      <c r="H4975" s="6" t="s">
        <v>55153</v>
      </c>
      <c r="I4975" s="7">
        <f t="shared" si="3"/>
        <v>0.5142328106</v>
      </c>
    </row>
    <row r="4976">
      <c r="A4976" s="4">
        <v>4976.0</v>
      </c>
      <c r="B4976" s="3" t="s">
        <v>55154</v>
      </c>
      <c r="C4976" s="6" t="s">
        <v>74</v>
      </c>
      <c r="D4976" s="6" t="s">
        <v>55155</v>
      </c>
      <c r="E4976" s="3" t="str">
        <f t="shared" si="1"/>
        <v>asylum&lt;br&gt;&lt;div class="audio"&gt;[sound:asylum.mp3]&lt;/div&gt;</v>
      </c>
      <c r="F4976" s="3" t="str">
        <f t="shared" si="2"/>
        <v>(n): nơi tị nạn</v>
      </c>
      <c r="G4976" s="6" t="s">
        <v>55156</v>
      </c>
      <c r="H4976" s="6" t="s">
        <v>55157</v>
      </c>
      <c r="I4976" s="7">
        <f t="shared" si="3"/>
        <v>0.1952700543</v>
      </c>
    </row>
    <row r="4977">
      <c r="A4977" s="4">
        <v>4977.0</v>
      </c>
      <c r="B4977" s="3" t="s">
        <v>55158</v>
      </c>
      <c r="C4977" s="6" t="s">
        <v>74</v>
      </c>
      <c r="D4977" s="6" t="s">
        <v>55159</v>
      </c>
      <c r="E4977" s="3" t="str">
        <f t="shared" si="1"/>
        <v>assassination&lt;br&gt;&lt;div class="audio"&gt;[sound:assassination.mp3]&lt;/div&gt;</v>
      </c>
      <c r="F4977" s="3" t="str">
        <f t="shared" si="2"/>
        <v>(n): sự ám sát</v>
      </c>
      <c r="G4977" s="6" t="s">
        <v>55160</v>
      </c>
      <c r="H4977" s="6" t="s">
        <v>55161</v>
      </c>
      <c r="I4977" s="7">
        <f t="shared" si="3"/>
        <v>0.5853277705</v>
      </c>
    </row>
    <row r="4978">
      <c r="A4978" s="4">
        <v>4978.0</v>
      </c>
      <c r="B4978" s="3" t="s">
        <v>55162</v>
      </c>
      <c r="C4978" s="6" t="s">
        <v>74</v>
      </c>
      <c r="D4978" s="6" t="s">
        <v>19467</v>
      </c>
      <c r="E4978" s="3" t="str">
        <f t="shared" si="1"/>
        <v>tsunami&lt;br&gt;&lt;div class="audio"&gt;[sound:tsunami.mp3]&lt;/div&gt;</v>
      </c>
      <c r="F4978" s="3" t="str">
        <f t="shared" si="2"/>
        <v>(n): sóng thần</v>
      </c>
      <c r="G4978" s="6" t="s">
        <v>55163</v>
      </c>
      <c r="H4978" s="6" t="s">
        <v>55164</v>
      </c>
      <c r="I4978" s="7">
        <f t="shared" si="3"/>
        <v>0.7769877878</v>
      </c>
    </row>
    <row r="4979">
      <c r="A4979" s="4">
        <v>4979.0</v>
      </c>
      <c r="B4979" s="3" t="s">
        <v>55165</v>
      </c>
      <c r="C4979" s="6" t="s">
        <v>24</v>
      </c>
      <c r="D4979" s="6" t="s">
        <v>31419</v>
      </c>
      <c r="E4979" s="3" t="str">
        <f t="shared" si="1"/>
        <v>erupt&lt;br&gt;&lt;div class="audio"&gt;[sound:erupt.mp3]&lt;/div&gt;</v>
      </c>
      <c r="F4979" s="3" t="str">
        <f t="shared" si="2"/>
        <v>(v): phun trào</v>
      </c>
      <c r="G4979" s="6" t="s">
        <v>55166</v>
      </c>
      <c r="H4979" s="6" t="s">
        <v>55167</v>
      </c>
      <c r="I4979" s="7">
        <f t="shared" si="3"/>
        <v>0.05168643799</v>
      </c>
    </row>
    <row r="4980">
      <c r="A4980" s="4">
        <v>4980.0</v>
      </c>
      <c r="B4980" s="3" t="s">
        <v>55168</v>
      </c>
      <c r="C4980" s="6" t="s">
        <v>24</v>
      </c>
      <c r="D4980" s="6" t="s">
        <v>45059</v>
      </c>
      <c r="E4980" s="3" t="str">
        <f t="shared" si="1"/>
        <v>aspire&lt;br&gt;&lt;div class="audio"&gt;[sound:aspire.mp3]&lt;/div&gt;</v>
      </c>
      <c r="F4980" s="3" t="str">
        <f t="shared" si="2"/>
        <v>(v): khao khát</v>
      </c>
      <c r="G4980" s="6" t="s">
        <v>55169</v>
      </c>
      <c r="H4980" s="6" t="s">
        <v>55170</v>
      </c>
      <c r="I4980" s="7">
        <f t="shared" si="3"/>
        <v>0.11418274</v>
      </c>
    </row>
    <row r="4981">
      <c r="A4981" s="4">
        <v>4981.0</v>
      </c>
      <c r="B4981" s="3" t="s">
        <v>55171</v>
      </c>
      <c r="C4981" s="6" t="s">
        <v>24</v>
      </c>
      <c r="D4981" s="6" t="s">
        <v>5634</v>
      </c>
      <c r="E4981" s="3" t="str">
        <f t="shared" si="1"/>
        <v>embody&lt;br&gt;&lt;div class="audio"&gt;[sound:embody.mp3]&lt;/div&gt;</v>
      </c>
      <c r="F4981" s="3" t="str">
        <f t="shared" si="2"/>
        <v>(v): thể hiện</v>
      </c>
      <c r="G4981" s="6" t="s">
        <v>55172</v>
      </c>
      <c r="H4981" s="6" t="s">
        <v>55173</v>
      </c>
      <c r="I4981" s="7">
        <f t="shared" si="3"/>
        <v>0.344744821</v>
      </c>
    </row>
    <row r="4982">
      <c r="A4982" s="4">
        <v>4982.0</v>
      </c>
      <c r="B4982" s="3" t="s">
        <v>55174</v>
      </c>
      <c r="C4982" s="6" t="s">
        <v>74</v>
      </c>
      <c r="D4982" s="6" t="s">
        <v>55175</v>
      </c>
      <c r="E4982" s="3" t="str">
        <f t="shared" si="1"/>
        <v>theology&lt;br&gt;&lt;div class="audio"&gt;[sound:theology.mp3]&lt;/div&gt;</v>
      </c>
      <c r="F4982" s="3" t="str">
        <f t="shared" si="2"/>
        <v>(n): thần học</v>
      </c>
      <c r="G4982" s="6" t="s">
        <v>55176</v>
      </c>
      <c r="H4982" s="6" t="s">
        <v>55177</v>
      </c>
      <c r="I4982" s="7">
        <f t="shared" si="3"/>
        <v>0.4884642883</v>
      </c>
    </row>
    <row r="4983">
      <c r="A4983" s="4">
        <v>4983.0</v>
      </c>
      <c r="B4983" s="3" t="s">
        <v>55178</v>
      </c>
      <c r="C4983" s="6" t="s">
        <v>24</v>
      </c>
      <c r="D4983" s="6" t="s">
        <v>55179</v>
      </c>
      <c r="E4983" s="3" t="str">
        <f t="shared" si="1"/>
        <v>mobilize&lt;br&gt;&lt;div class="audio"&gt;[sound:mobilize.mp3]&lt;/div&gt;</v>
      </c>
      <c r="F4983" s="3" t="str">
        <f t="shared" si="2"/>
        <v>(v): huy động</v>
      </c>
      <c r="G4983" s="6" t="s">
        <v>55180</v>
      </c>
      <c r="H4983" s="6" t="s">
        <v>55181</v>
      </c>
      <c r="I4983" s="7">
        <f t="shared" si="3"/>
        <v>0.9578313624</v>
      </c>
    </row>
    <row r="4984">
      <c r="A4984" s="4">
        <v>4984.0</v>
      </c>
      <c r="B4984" s="3" t="s">
        <v>55182</v>
      </c>
      <c r="C4984" s="6" t="s">
        <v>74</v>
      </c>
      <c r="D4984" s="6" t="s">
        <v>34966</v>
      </c>
      <c r="E4984" s="3" t="str">
        <f t="shared" si="1"/>
        <v>manuscript&lt;br&gt;&lt;div class="audio"&gt;[sound:manuscript.mp3]&lt;/div&gt;</v>
      </c>
      <c r="F4984" s="3" t="str">
        <f t="shared" si="2"/>
        <v>(n): bản thảo</v>
      </c>
      <c r="G4984" s="6" t="s">
        <v>55183</v>
      </c>
      <c r="H4984" s="6" t="s">
        <v>55184</v>
      </c>
      <c r="I4984" s="7">
        <f t="shared" si="3"/>
        <v>0.3112066393</v>
      </c>
    </row>
    <row r="4985">
      <c r="A4985" s="4">
        <v>4985.0</v>
      </c>
      <c r="B4985" s="3" t="s">
        <v>55185</v>
      </c>
      <c r="C4985" s="6" t="s">
        <v>74</v>
      </c>
      <c r="D4985" s="6" t="s">
        <v>55186</v>
      </c>
      <c r="E4985" s="3" t="str">
        <f t="shared" si="1"/>
        <v>line-up&lt;br&gt;&lt;div class="audio"&gt;[sound:line-up.mp3]&lt;/div&gt;</v>
      </c>
      <c r="F4985" s="3" t="str">
        <f t="shared" si="2"/>
        <v>(n): đội hình</v>
      </c>
      <c r="G4985" s="6" t="s">
        <v>55187</v>
      </c>
      <c r="H4985" s="6" t="s">
        <v>55188</v>
      </c>
      <c r="I4985" s="7">
        <f t="shared" si="3"/>
        <v>0.96731175</v>
      </c>
    </row>
    <row r="4986">
      <c r="A4986" s="4">
        <v>4986.0</v>
      </c>
      <c r="B4986" s="3" t="s">
        <v>55189</v>
      </c>
      <c r="C4986" s="6" t="s">
        <v>74</v>
      </c>
      <c r="D4986" s="6" t="s">
        <v>55190</v>
      </c>
      <c r="E4986" s="3" t="str">
        <f t="shared" si="1"/>
        <v>magistrate&lt;br&gt;&lt;div class="audio"&gt;[sound:magistrate.mp3]&lt;/div&gt;</v>
      </c>
      <c r="F4986" s="3" t="str">
        <f t="shared" si="2"/>
        <v>(n): quan tòa</v>
      </c>
      <c r="G4986" s="6" t="s">
        <v>55191</v>
      </c>
      <c r="H4986" s="6" t="s">
        <v>55192</v>
      </c>
      <c r="I4986" s="7">
        <f t="shared" si="3"/>
        <v>0.238164659</v>
      </c>
    </row>
    <row r="4987">
      <c r="A4987" s="4">
        <v>4987.0</v>
      </c>
      <c r="B4987" s="3" t="s">
        <v>55193</v>
      </c>
      <c r="C4987" s="6" t="s">
        <v>11</v>
      </c>
      <c r="D4987" s="6" t="s">
        <v>55194</v>
      </c>
      <c r="E4987" s="3" t="str">
        <f t="shared" si="1"/>
        <v>lifelong&lt;br&gt;&lt;div class="audio"&gt;[sound:lifelong.mp3]&lt;/div&gt;</v>
      </c>
      <c r="F4987" s="3" t="str">
        <f t="shared" si="2"/>
        <v>(adj): suốt đời</v>
      </c>
      <c r="G4987" s="6" t="s">
        <v>55195</v>
      </c>
      <c r="H4987" s="6" t="s">
        <v>55196</v>
      </c>
      <c r="I4987" s="7">
        <f t="shared" si="3"/>
        <v>0.1689719023</v>
      </c>
    </row>
    <row r="4988">
      <c r="A4988" s="4">
        <v>4988.0</v>
      </c>
      <c r="B4988" s="3" t="s">
        <v>55197</v>
      </c>
      <c r="C4988" s="6" t="s">
        <v>24</v>
      </c>
      <c r="D4988" s="6" t="s">
        <v>1651</v>
      </c>
      <c r="E4988" s="3" t="str">
        <f t="shared" si="1"/>
        <v>erect&lt;br&gt;&lt;div class="audio"&gt;[sound:erect.mp3]&lt;/div&gt;</v>
      </c>
      <c r="F4988" s="3" t="str">
        <f t="shared" si="2"/>
        <v>(v): dựng lên</v>
      </c>
      <c r="G4988" s="6" t="s">
        <v>55198</v>
      </c>
      <c r="H4988" s="6" t="s">
        <v>55199</v>
      </c>
      <c r="I4988" s="7">
        <f t="shared" si="3"/>
        <v>0.6124957723</v>
      </c>
    </row>
    <row r="4989">
      <c r="A4989" s="4">
        <v>4989.0</v>
      </c>
      <c r="B4989" s="3" t="s">
        <v>55200</v>
      </c>
      <c r="C4989" s="6" t="s">
        <v>74</v>
      </c>
      <c r="D4989" s="6" t="s">
        <v>19821</v>
      </c>
      <c r="E4989" s="3" t="str">
        <f t="shared" si="1"/>
        <v>photocopy&lt;br&gt;&lt;div class="audio"&gt;[sound:photocopy.mp3]&lt;/div&gt;</v>
      </c>
      <c r="F4989" s="3" t="str">
        <f t="shared" si="2"/>
        <v>(n): bản sao</v>
      </c>
      <c r="G4989" s="6" t="s">
        <v>55201</v>
      </c>
      <c r="H4989" s="6" t="s">
        <v>55202</v>
      </c>
      <c r="I4989" s="7">
        <f t="shared" si="3"/>
        <v>0.8862294071</v>
      </c>
    </row>
    <row r="4990">
      <c r="A4990" s="4">
        <v>4990.0</v>
      </c>
      <c r="B4990" s="3" t="s">
        <v>55203</v>
      </c>
      <c r="C4990" s="6" t="s">
        <v>24</v>
      </c>
      <c r="D4990" s="6" t="s">
        <v>55204</v>
      </c>
      <c r="E4990" s="3" t="str">
        <f t="shared" si="1"/>
        <v>convict&lt;br&gt;&lt;div class="audio"&gt;[sound:convict.mp3]&lt;/div&gt;</v>
      </c>
      <c r="F4990" s="3" t="str">
        <f t="shared" si="2"/>
        <v>(v): kết tội</v>
      </c>
      <c r="G4990" s="6" t="s">
        <v>55205</v>
      </c>
      <c r="H4990" s="6" t="s">
        <v>55206</v>
      </c>
      <c r="I4990" s="7">
        <f t="shared" si="3"/>
        <v>0.5493879851</v>
      </c>
    </row>
    <row r="4991">
      <c r="A4991" s="4">
        <v>4991.0</v>
      </c>
      <c r="B4991" s="3" t="s">
        <v>55207</v>
      </c>
      <c r="C4991" s="6" t="s">
        <v>74</v>
      </c>
      <c r="D4991" s="6" t="s">
        <v>55208</v>
      </c>
      <c r="E4991" s="3" t="str">
        <f t="shared" si="1"/>
        <v>newsletter&lt;br&gt;&lt;div class="audio"&gt;[sound:newsletter.mp3]&lt;/div&gt;</v>
      </c>
      <c r="F4991" s="3" t="str">
        <f t="shared" si="2"/>
        <v>(n): bản tin</v>
      </c>
      <c r="G4991" s="6" t="s">
        <v>55209</v>
      </c>
      <c r="H4991" s="6" t="s">
        <v>55210</v>
      </c>
      <c r="I4991" s="7">
        <f t="shared" si="3"/>
        <v>0.6262591085</v>
      </c>
    </row>
    <row r="4992">
      <c r="A4992" s="4">
        <v>4992.0</v>
      </c>
      <c r="B4992" s="3" t="s">
        <v>55211</v>
      </c>
      <c r="C4992" s="6" t="s">
        <v>74</v>
      </c>
      <c r="D4992" s="6" t="s">
        <v>12934</v>
      </c>
      <c r="E4992" s="3" t="str">
        <f t="shared" si="1"/>
        <v>lawsuit&lt;br&gt;&lt;div class="audio"&gt;[sound:lawsuit.mp3]&lt;/div&gt;</v>
      </c>
      <c r="F4992" s="3" t="str">
        <f t="shared" si="2"/>
        <v>(n): vụ kiện</v>
      </c>
      <c r="G4992" s="6" t="s">
        <v>55212</v>
      </c>
      <c r="H4992" s="6" t="s">
        <v>55213</v>
      </c>
      <c r="I4992" s="7">
        <f t="shared" si="3"/>
        <v>0.4307117707</v>
      </c>
    </row>
    <row r="4993">
      <c r="A4993" s="4">
        <v>4993.0</v>
      </c>
      <c r="B4993" s="3" t="s">
        <v>55214</v>
      </c>
      <c r="C4993" s="6" t="s">
        <v>11</v>
      </c>
      <c r="D4993" s="6" t="s">
        <v>55215</v>
      </c>
      <c r="E4993" s="3" t="str">
        <f t="shared" si="1"/>
        <v>adjacent&lt;br&gt;&lt;div class="audio"&gt;[sound:adjacent.mp3]&lt;/div&gt;</v>
      </c>
      <c r="F4993" s="3" t="str">
        <f t="shared" si="2"/>
        <v>(adj): liền kề</v>
      </c>
      <c r="G4993" s="6" t="s">
        <v>55216</v>
      </c>
      <c r="H4993" s="6" t="s">
        <v>55217</v>
      </c>
      <c r="I4993" s="7">
        <f t="shared" si="3"/>
        <v>0.9194699474</v>
      </c>
    </row>
    <row r="4994">
      <c r="A4994" s="4">
        <v>4994.0</v>
      </c>
      <c r="B4994" s="3" t="s">
        <v>55218</v>
      </c>
      <c r="C4994" s="6" t="s">
        <v>11</v>
      </c>
      <c r="D4994" s="6" t="s">
        <v>55219</v>
      </c>
      <c r="E4994" s="3" t="str">
        <f t="shared" si="1"/>
        <v>long-standing&lt;br&gt;&lt;div class="audio"&gt;[sound:long-standing.mp3]&lt;/div&gt;</v>
      </c>
      <c r="F4994" s="3" t="str">
        <f t="shared" si="2"/>
        <v>(adj): lâu đời</v>
      </c>
      <c r="G4994" s="6" t="s">
        <v>55220</v>
      </c>
      <c r="H4994" s="6" t="s">
        <v>55221</v>
      </c>
      <c r="I4994" s="7">
        <f t="shared" si="3"/>
        <v>0.2494597018</v>
      </c>
    </row>
    <row r="4995">
      <c r="A4995" s="4">
        <v>4995.0</v>
      </c>
      <c r="B4995" s="3" t="s">
        <v>55222</v>
      </c>
      <c r="C4995" s="6" t="s">
        <v>24</v>
      </c>
      <c r="D4995" s="6" t="s">
        <v>55223</v>
      </c>
      <c r="E4995" s="3" t="str">
        <f t="shared" si="1"/>
        <v>linger&lt;br&gt;&lt;div class="audio"&gt;[sound:linger.mp3]&lt;/div&gt;</v>
      </c>
      <c r="F4995" s="3" t="str">
        <f t="shared" si="2"/>
        <v>(v): nán lại</v>
      </c>
      <c r="G4995" s="6" t="s">
        <v>55224</v>
      </c>
      <c r="H4995" s="6" t="s">
        <v>55225</v>
      </c>
      <c r="I4995" s="7">
        <f t="shared" si="3"/>
        <v>0.8115477097</v>
      </c>
    </row>
    <row r="4996">
      <c r="A4996" s="4">
        <v>4996.0</v>
      </c>
      <c r="B4996" s="3" t="s">
        <v>55226</v>
      </c>
      <c r="C4996" s="6" t="s">
        <v>74</v>
      </c>
      <c r="D4996" s="6" t="s">
        <v>55227</v>
      </c>
      <c r="E4996" s="3" t="str">
        <f t="shared" si="1"/>
        <v>duo&lt;br&gt;&lt;div class="audio"&gt;[sound:duo.mp3]&lt;/div&gt;</v>
      </c>
      <c r="F4996" s="3" t="str">
        <f t="shared" si="2"/>
        <v>(n): bộ đôi</v>
      </c>
      <c r="G4996" s="6" t="s">
        <v>55228</v>
      </c>
      <c r="H4996" s="6" t="s">
        <v>55229</v>
      </c>
      <c r="I4996" s="7">
        <f t="shared" si="3"/>
        <v>0.761089984</v>
      </c>
    </row>
    <row r="4997">
      <c r="A4997" s="4">
        <v>4997.0</v>
      </c>
      <c r="B4997" s="3" t="s">
        <v>55230</v>
      </c>
      <c r="C4997" s="6" t="s">
        <v>24</v>
      </c>
      <c r="D4997" s="6" t="s">
        <v>52402</v>
      </c>
      <c r="E4997" s="3" t="str">
        <f t="shared" si="1"/>
        <v>obsess&lt;br&gt;&lt;div class="audio"&gt;[sound:obsess.mp3]&lt;/div&gt;</v>
      </c>
      <c r="F4997" s="3" t="str">
        <f t="shared" si="2"/>
        <v>(v): ám ảnh</v>
      </c>
      <c r="G4997" s="6" t="s">
        <v>55231</v>
      </c>
      <c r="H4997" s="6" t="s">
        <v>55232</v>
      </c>
      <c r="I4997" s="7">
        <f t="shared" si="3"/>
        <v>0.2231775209</v>
      </c>
    </row>
    <row r="4998">
      <c r="A4998" s="4">
        <v>4998.0</v>
      </c>
      <c r="B4998" s="3" t="s">
        <v>55233</v>
      </c>
      <c r="C4998" s="6" t="s">
        <v>74</v>
      </c>
      <c r="D4998" s="6" t="s">
        <v>34365</v>
      </c>
      <c r="E4998" s="3" t="str">
        <f t="shared" si="1"/>
        <v>leaflet&lt;br&gt;&lt;div class="audio"&gt;[sound:leaflet.mp3]&lt;/div&gt;</v>
      </c>
      <c r="F4998" s="3" t="str">
        <f t="shared" si="2"/>
        <v>(n): tờ rơi</v>
      </c>
      <c r="G4998" s="6" t="s">
        <v>55234</v>
      </c>
      <c r="H4998" s="6" t="s">
        <v>55235</v>
      </c>
      <c r="I4998" s="7">
        <f t="shared" si="3"/>
        <v>0.2202593287</v>
      </c>
    </row>
    <row r="4999">
      <c r="A4999" s="4">
        <v>4999.0</v>
      </c>
      <c r="B4999" s="3" t="s">
        <v>55236</v>
      </c>
      <c r="C4999" s="6" t="s">
        <v>74</v>
      </c>
      <c r="D4999" s="6" t="s">
        <v>55237</v>
      </c>
      <c r="E4999" s="3" t="str">
        <f t="shared" si="1"/>
        <v>memoir&lt;br&gt;&lt;div class="audio"&gt;[sound:memoir.mp3]&lt;/div&gt;</v>
      </c>
      <c r="F4999" s="3" t="str">
        <f t="shared" si="2"/>
        <v>(n): hồi ký</v>
      </c>
      <c r="G4999" s="6" t="s">
        <v>55238</v>
      </c>
      <c r="H4999" s="6" t="s">
        <v>55239</v>
      </c>
      <c r="I4999" s="7">
        <f t="shared" si="3"/>
        <v>0.3414012303</v>
      </c>
    </row>
    <row r="5000">
      <c r="A5000" s="4">
        <v>5000.0</v>
      </c>
      <c r="B5000" s="3" t="s">
        <v>55240</v>
      </c>
      <c r="C5000" s="6" t="s">
        <v>74</v>
      </c>
      <c r="D5000" s="6" t="s">
        <v>55241</v>
      </c>
      <c r="E5000" s="3" t="str">
        <f t="shared" si="1"/>
        <v>miner&lt;br&gt;&lt;div class="audio"&gt;[sound:miner.mp3]&lt;/div&gt;</v>
      </c>
      <c r="F5000" s="3" t="str">
        <f t="shared" si="2"/>
        <v>(n): thợ mỏ</v>
      </c>
      <c r="G5000" s="6" t="s">
        <v>55242</v>
      </c>
      <c r="H5000" s="6" t="s">
        <v>55243</v>
      </c>
      <c r="I5000" s="7">
        <f t="shared" si="3"/>
        <v>0.1429490661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v>1.0</v>
      </c>
      <c r="B1" s="9" t="s">
        <v>55244</v>
      </c>
      <c r="C1" s="10" t="s">
        <v>55245</v>
      </c>
      <c r="D1" s="10" t="s">
        <v>55246</v>
      </c>
      <c r="E1" s="10" t="s">
        <v>55247</v>
      </c>
      <c r="F1" s="10" t="s">
        <v>55248</v>
      </c>
      <c r="G1" s="10" t="s">
        <v>55249</v>
      </c>
      <c r="H1" s="11" t="s">
        <v>55250</v>
      </c>
      <c r="I1" s="12" t="str">
        <f t="shared" ref="I1:I25" si="1">C1
&amp;"&lt;br&gt;&lt;div class=""audio""&gt;[sound:q_en_"&amp;A1&amp;".mp3]&lt;/div&gt;"</f>
        <v>Could you briefly introduce yourself?&lt;br&gt;&lt;div class="audio"&gt;[sound:q_en_1.mp3]&lt;/div&gt;</v>
      </c>
      <c r="J1" s="12" t="str">
        <f t="shared" ref="J1:J25" si="2">B1</f>
        <v>Bạn có thể giới thiệu ngắn gọn về bản thân được không?</v>
      </c>
      <c r="K1" s="12" t="str">
        <f t="shared" ref="K1:K25" si="3">F1
&amp;"&lt;br&gt;&lt;div class=""audio""&gt;[sound:a_en_"&amp;A1&amp;".mp3]&lt;/div&gt;"</f>
        <v>Hello, my name is Dat. I was born in 2000 and I am from Ninh Binh, Vietnam. I graduated from Hanoi University of Science and Technology with a major in Information Technology. I have a few years of working experience as both an office worker and a factory worker. Now, I am looking for a new opportunity to develop myself. I look forward to working with you.&lt;br&gt;&lt;div class="audio"&gt;[sound:a_en_1.mp3]&lt;/div&gt;</v>
      </c>
      <c r="L1" s="12" t="str">
        <f t="shared" ref="L1:L25" si="4">E1</f>
        <v>Chào anh/chị, tôi tên là Đạt, sinh năm 2000, đến từ Ninh Bình, Việt Nam. Tôi tốt nghiệp ngành Công nghệ thông tin trường Đại học Bách Khoa Hà Nội và đã có vài năm kinh nghiệm làm việc ở cả vị trí văn phòng lẫn xưởng sản xuất. Hiện tại, tôi mong muốn tìm kiếm cơ hội mới để tiếp tục phát triển bản thân. Rất mong được anh/chị giúp đỡ.</v>
      </c>
      <c r="M1" s="11" t="s">
        <v>55250</v>
      </c>
      <c r="N1" s="12" t="str">
        <f t="shared" ref="N1:N25" si="5">D1
&amp;"&lt;br&gt;&lt;div class=""audio""&gt;[sound:q_jp_"&amp;A1&amp;".mp3]&lt;/div&gt;"</f>
        <v>簡単に自己紹介をお願いできますか？&lt;br&gt;&lt;div class="audio"&gt;[sound:q_jp_1.mp3]&lt;/div&gt;</v>
      </c>
      <c r="O1" s="12" t="str">
        <f t="shared" ref="O1:O25" si="6">B1</f>
        <v>Bạn có thể giới thiệu ngắn gọn về bản thân được không?</v>
      </c>
      <c r="P1" s="12" t="str">
        <f t="shared" ref="P1:P25" si="7">G1
&amp;"&lt;br&gt;&lt;div class=""audio""&gt;[sound:a_jp_"&amp;A1&amp;".mp3]&lt;/div&gt;"</f>
        <v>初めまして、ダットと申します。2000年生まれで、ベトナムのニンビン省の出身です。ハノイ工科大学で情報技術を専攻し、卒業しました。これまでオフィスワークや工場での現場作業など、数年間の実務経験があります。現在は自己成長のために新しい機会を探しています。どうぞよろしくお願いいたします。&lt;br&gt;&lt;div class="audio"&gt;[sound:a_jp_1.mp3]&lt;/div&gt;</v>
      </c>
      <c r="Q1" s="12" t="str">
        <f t="shared" ref="Q1:Q25" si="8">E1</f>
        <v>Chào anh/chị, tôi tên là Đạt, sinh năm 2000, đến từ Ninh Bình, Việt Nam. Tôi tốt nghiệp ngành Công nghệ thông tin trường Đại học Bách Khoa Hà Nội và đã có vài năm kinh nghiệm làm việc ở cả vị trí văn phòng lẫn xưởng sản xuất. Hiện tại, tôi mong muốn tìm kiếm cơ hội mới để tiếp tục phát triển bản thân. Rất mong được anh/chị giúp đỡ.</v>
      </c>
      <c r="R1" s="11" t="s">
        <v>55250</v>
      </c>
      <c r="S1" s="12">
        <f t="shared" ref="S1:S25" si="9">rand()</f>
        <v>0.7052130219</v>
      </c>
    </row>
    <row r="2">
      <c r="A2" s="7">
        <v>2.0</v>
      </c>
      <c r="B2" s="9" t="s">
        <v>55251</v>
      </c>
      <c r="C2" s="10" t="s">
        <v>55252</v>
      </c>
      <c r="D2" s="10" t="s">
        <v>55253</v>
      </c>
      <c r="E2" s="10" t="s">
        <v>55254</v>
      </c>
      <c r="F2" s="10" t="s">
        <v>55255</v>
      </c>
      <c r="G2" s="10" t="s">
        <v>55256</v>
      </c>
      <c r="H2" s="11" t="s">
        <v>55250</v>
      </c>
      <c r="I2" s="12" t="str">
        <f t="shared" si="1"/>
        <v>What is your greatest strength?&lt;br&gt;&lt;div class="audio"&gt;[sound:q_en_2.mp3]&lt;/div&gt;</v>
      </c>
      <c r="J2" s="12" t="str">
        <f t="shared" si="2"/>
        <v>Điểm mạnh lớn nhất của bạn là gì?</v>
      </c>
      <c r="K2" s="12" t="str">
        <f t="shared" si="3"/>
        <v>My greatest strength is the ability to adapt quickly to a new environment. I can easily fit in and learn how to work effectively.&lt;br&gt;&lt;div class="audio"&gt;[sound:a_en_2.mp3]&lt;/div&gt;</v>
      </c>
      <c r="L2" s="12" t="str">
        <f t="shared" si="4"/>
        <v>Điểm mạnh lớn nhất của tôi là khả năng thích nghi nhanh với môi trường mới. Tôi có thể nhanh chóng hòa nhập và học hỏi cách làm việc một cách hiệu quả.</v>
      </c>
      <c r="M2" s="11" t="s">
        <v>55250</v>
      </c>
      <c r="N2" s="12" t="str">
        <f t="shared" si="5"/>
        <v>あなたの最大の強みは何ですか？&lt;br&gt;&lt;div class="audio"&gt;[sound:q_jp_2.mp3]&lt;/div&gt;</v>
      </c>
      <c r="O2" s="12" t="str">
        <f t="shared" si="6"/>
        <v>Điểm mạnh lớn nhất của bạn là gì?</v>
      </c>
      <c r="P2" s="12" t="str">
        <f t="shared" si="7"/>
        <v>私の最大の強みは、新しい環境に早く適応できることです。新しい職場でもすぐに馴染み、効率的な仕事のやり方を学ぶことができます。&lt;br&gt;&lt;div class="audio"&gt;[sound:a_jp_2.mp3]&lt;/div&gt;</v>
      </c>
      <c r="Q2" s="12" t="str">
        <f t="shared" si="8"/>
        <v>Điểm mạnh lớn nhất của tôi là khả năng thích nghi nhanh với môi trường mới. Tôi có thể nhanh chóng hòa nhập và học hỏi cách làm việc một cách hiệu quả.</v>
      </c>
      <c r="R2" s="11" t="s">
        <v>55250</v>
      </c>
      <c r="S2" s="12">
        <f t="shared" si="9"/>
        <v>0.3563231287</v>
      </c>
    </row>
    <row r="3">
      <c r="A3" s="7">
        <v>3.0</v>
      </c>
      <c r="B3" s="9" t="s">
        <v>55257</v>
      </c>
      <c r="C3" s="10" t="s">
        <v>55258</v>
      </c>
      <c r="D3" s="10" t="s">
        <v>55259</v>
      </c>
      <c r="E3" s="10" t="s">
        <v>55260</v>
      </c>
      <c r="F3" s="10" t="s">
        <v>55261</v>
      </c>
      <c r="G3" s="10" t="s">
        <v>55262</v>
      </c>
      <c r="H3" s="11" t="s">
        <v>55250</v>
      </c>
      <c r="I3" s="12" t="str">
        <f t="shared" si="1"/>
        <v>What is your greatest weakness?&lt;br&gt;&lt;div class="audio"&gt;[sound:q_en_3.mp3]&lt;/div&gt;</v>
      </c>
      <c r="J3" s="12" t="str">
        <f t="shared" si="2"/>
        <v>Điểm yếu lớn nhất của bạn là gì?</v>
      </c>
      <c r="K3" s="12" t="str">
        <f t="shared" si="3"/>
        <v>My weakness is that it is sometimes hard for me to make a decision when there are too many choices. However, I am practicing how to analyze the pros and cons to decide faster and more accurately.&lt;br&gt;&lt;div class="audio"&gt;[sound:a_en_3.mp3]&lt;/div&gt;</v>
      </c>
      <c r="L3" s="12" t="str">
        <f t="shared" si="4"/>
        <v>Điểm yếu của tôi là đôi khi gặp khó khăn trong việc đưa ra quyết định khi có quá nhiều lựa chọn. Tuy nhiên, tôi đang rèn luyện cách phân tích ưu nhược điểm để quyết định nhanh và chính xác hơn.</v>
      </c>
      <c r="M3" s="11" t="s">
        <v>55250</v>
      </c>
      <c r="N3" s="12" t="str">
        <f t="shared" si="5"/>
        <v>あなたの最大の弱みは何ですか？&lt;br&gt;&lt;div class="audio"&gt;[sound:q_jp_3.mp3]&lt;/div&gt;</v>
      </c>
      <c r="O3" s="12" t="str">
        <f t="shared" si="6"/>
        <v>Điểm yếu lớn nhất của bạn là gì?</v>
      </c>
      <c r="P3" s="12" t="str">
        <f t="shared" si="7"/>
        <v>私の弱みは、選択肢が多すぎるときに決断するのが難しいことがある点です。しかし、今はメリットとデメリットを分析し、より早く正確に決定できるように努力しています。&lt;br&gt;&lt;div class="audio"&gt;[sound:a_jp_3.mp3]&lt;/div&gt;</v>
      </c>
      <c r="Q3" s="12" t="str">
        <f t="shared" si="8"/>
        <v>Điểm yếu của tôi là đôi khi gặp khó khăn trong việc đưa ra quyết định khi có quá nhiều lựa chọn. Tuy nhiên, tôi đang rèn luyện cách phân tích ưu nhược điểm để quyết định nhanh và chính xác hơn.</v>
      </c>
      <c r="R3" s="11" t="s">
        <v>55250</v>
      </c>
      <c r="S3" s="12">
        <f t="shared" si="9"/>
        <v>0.3150075127</v>
      </c>
    </row>
    <row r="4">
      <c r="A4" s="7">
        <v>4.0</v>
      </c>
      <c r="B4" s="9" t="s">
        <v>55263</v>
      </c>
      <c r="C4" s="10" t="s">
        <v>55264</v>
      </c>
      <c r="D4" s="10" t="s">
        <v>55265</v>
      </c>
      <c r="E4" s="10" t="s">
        <v>55266</v>
      </c>
      <c r="F4" s="10" t="s">
        <v>55267</v>
      </c>
      <c r="G4" s="10" t="s">
        <v>55268</v>
      </c>
      <c r="H4" s="11" t="s">
        <v>55250</v>
      </c>
      <c r="I4" s="12" t="str">
        <f t="shared" si="1"/>
        <v>Why did you apply for this position?&lt;br&gt;&lt;div class="audio"&gt;[sound:q_en_4.mp3]&lt;/div&gt;</v>
      </c>
      <c r="J4" s="12" t="str">
        <f t="shared" si="2"/>
        <v>Tại sao bạn ứng tuyển vào vị trí này?</v>
      </c>
      <c r="K4" s="12" t="str">
        <f t="shared" si="3"/>
        <v>I am applying for this position because I want to apply my knowledge in a practical working environment. Especially, I want to have the chance to use and improve my foreign language skills.&lt;br&gt;&lt;div class="audio"&gt;[sound:a_en_4.mp3]&lt;/div&gt;</v>
      </c>
      <c r="L4" s="12" t="str">
        <f t="shared" si="4"/>
        <v>Tôi ứng tuyển vào vị trí này vì tôi muốn vận dụng kiến thức của mình vào môi trường làm việc thực tế. Đặc biệt, tôi muốn có cơ hội sử dụng và phát triển khả năng ngoại ngữ của mình.</v>
      </c>
      <c r="M4" s="11" t="s">
        <v>55250</v>
      </c>
      <c r="N4" s="12" t="str">
        <f t="shared" si="5"/>
        <v>なぜこのポジションに応募したのですか？&lt;br&gt;&lt;div class="audio"&gt;[sound:q_jp_4.mp3]&lt;/div&gt;</v>
      </c>
      <c r="O4" s="12" t="str">
        <f t="shared" si="6"/>
        <v>Tại sao bạn ứng tuyển vào vị trí này?</v>
      </c>
      <c r="P4" s="12" t="str">
        <f t="shared" si="7"/>
        <v>自分の知識を実際の職場で生かしたいと思い、このポジションに応募しました。特に、語学力を活用し、さらに伸ばせる機会があると考えています。&lt;br&gt;&lt;div class="audio"&gt;[sound:a_jp_4.mp3]&lt;/div&gt;</v>
      </c>
      <c r="Q4" s="12" t="str">
        <f t="shared" si="8"/>
        <v>Tôi ứng tuyển vào vị trí này vì tôi muốn vận dụng kiến thức của mình vào môi trường làm việc thực tế. Đặc biệt, tôi muốn có cơ hội sử dụng và phát triển khả năng ngoại ngữ của mình.</v>
      </c>
      <c r="R4" s="11" t="s">
        <v>55250</v>
      </c>
      <c r="S4" s="12">
        <f t="shared" si="9"/>
        <v>0.8375236329</v>
      </c>
    </row>
    <row r="5">
      <c r="A5" s="7">
        <v>5.0</v>
      </c>
      <c r="B5" s="9" t="s">
        <v>55269</v>
      </c>
      <c r="C5" s="10" t="s">
        <v>55270</v>
      </c>
      <c r="D5" s="10" t="s">
        <v>55271</v>
      </c>
      <c r="E5" s="10" t="s">
        <v>55272</v>
      </c>
      <c r="F5" s="10" t="s">
        <v>55273</v>
      </c>
      <c r="G5" s="10" t="s">
        <v>55274</v>
      </c>
      <c r="H5" s="11" t="s">
        <v>55250</v>
      </c>
      <c r="I5" s="12" t="str">
        <f t="shared" si="1"/>
        <v>Why do you want to work for our company?&lt;br&gt;&lt;div class="audio"&gt;[sound:q_en_5.mp3]&lt;/div&gt;</v>
      </c>
      <c r="J5" s="12" t="str">
        <f t="shared" si="2"/>
        <v>Tại sao bạn muốn làm việc tại công ty chúng tôi?</v>
      </c>
      <c r="K5" s="12" t="str">
        <f t="shared" si="3"/>
        <v>I want to work here because I believe the company will give me a good environment to grow. I also hope to contribute my efforts to the company's development.&lt;br&gt;&lt;div class="audio"&gt;[sound:a_en_5.mp3]&lt;/div&gt;</v>
      </c>
      <c r="L5" s="12" t="str">
        <f t="shared" si="4"/>
        <v>Tôi muốn làm việc tại đây vì tôi tin rằng công ty sẽ mang lại cho tôi một môi trường phát triển tốt. Tôi cũng mong muốn được đóng góp sức mình cho sự phát triển của công ty.</v>
      </c>
      <c r="M5" s="11" t="s">
        <v>55250</v>
      </c>
      <c r="N5" s="12" t="str">
        <f t="shared" si="5"/>
        <v>なぜ当社で働きたいのですか？&lt;br&gt;&lt;div class="audio"&gt;[sound:q_jp_5.mp3]&lt;/div&gt;</v>
      </c>
      <c r="O5" s="12" t="str">
        <f t="shared" si="6"/>
        <v>Tại sao bạn muốn làm việc tại công ty chúng tôi?</v>
      </c>
      <c r="P5" s="12" t="str">
        <f t="shared" si="7"/>
        <v>御社が私に良い成長環境を与えてくれると信じているため、御社で働きたいと思っております。また、御社の発展にも貢献したいと考えています。&lt;br&gt;&lt;div class="audio"&gt;[sound:a_jp_5.mp3]&lt;/div&gt;</v>
      </c>
      <c r="Q5" s="12" t="str">
        <f t="shared" si="8"/>
        <v>Tôi muốn làm việc tại đây vì tôi tin rằng công ty sẽ mang lại cho tôi một môi trường phát triển tốt. Tôi cũng mong muốn được đóng góp sức mình cho sự phát triển của công ty.</v>
      </c>
      <c r="R5" s="11" t="s">
        <v>55250</v>
      </c>
      <c r="S5" s="12">
        <f t="shared" si="9"/>
        <v>0.1771985015</v>
      </c>
    </row>
    <row r="6">
      <c r="A6" s="7">
        <v>6.0</v>
      </c>
      <c r="B6" s="9" t="s">
        <v>55275</v>
      </c>
      <c r="C6" s="10" t="s">
        <v>55276</v>
      </c>
      <c r="D6" s="10" t="s">
        <v>55277</v>
      </c>
      <c r="E6" s="10" t="s">
        <v>55278</v>
      </c>
      <c r="F6" s="10" t="s">
        <v>55279</v>
      </c>
      <c r="G6" s="10" t="s">
        <v>55280</v>
      </c>
      <c r="H6" s="11" t="s">
        <v>55250</v>
      </c>
      <c r="I6" s="12" t="str">
        <f t="shared" si="1"/>
        <v>What do you know about the Ho-Ren-So rule?&lt;br&gt;&lt;div class="audio"&gt;[sound:q_en_6.mp3]&lt;/div&gt;</v>
      </c>
      <c r="J6" s="12" t="str">
        <f t="shared" si="2"/>
        <v>Bạn hiểu thế nào về quy tắc Ho-Ren-So?</v>
      </c>
      <c r="K6" s="12" t="str">
        <f t="shared" si="3"/>
        <v>Ho-Ren-So is an important rule in teamwork, standing for Report, Communicate, and Consult. Applying this rule helps everyone update information in time, coordinate smoothly, and solve problems more effectively.&lt;br&gt;&lt;div class="audio"&gt;[sound:a_en_6.mp3]&lt;/div&gt;</v>
      </c>
      <c r="L6" s="12" t="str">
        <f t="shared" si="4"/>
        <v>Ho-Ren-So là nguyên tắc quan trọng trong làm việc nhóm, viết tắt của Báo cáo, Liên lạc và Bàn bạc. Việc áp dụng quy tắc này giúp mọi người nắm bắt thông tin kịp thời, phối hợp nhịp nhàng và giải quyết vấn đề hiệu quả hơn.</v>
      </c>
      <c r="M6" s="11" t="s">
        <v>55250</v>
      </c>
      <c r="N6" s="12" t="str">
        <f t="shared" si="5"/>
        <v>「報・連・相」について、どのように理解していますか？&lt;br&gt;&lt;div class="audio"&gt;[sound:q_jp_6.mp3]&lt;/div&gt;</v>
      </c>
      <c r="O6" s="12" t="str">
        <f t="shared" si="6"/>
        <v>Bạn hiểu thế nào về quy tắc Ho-Ren-So?</v>
      </c>
      <c r="P6" s="12" t="str">
        <f t="shared" si="7"/>
        <v>「報・連・相」はチームワークにおける重要な原則で、報告・連絡・相談のことです。このルールを適用することで、全員がタイムリーに情報を把握し、スムーズに連携して効果的に問題を解決できます。&lt;br&gt;&lt;div class="audio"&gt;[sound:a_jp_6.mp3]&lt;/div&gt;</v>
      </c>
      <c r="Q6" s="12" t="str">
        <f t="shared" si="8"/>
        <v>Ho-Ren-So là nguyên tắc quan trọng trong làm việc nhóm, viết tắt của Báo cáo, Liên lạc và Bàn bạc. Việc áp dụng quy tắc này giúp mọi người nắm bắt thông tin kịp thời, phối hợp nhịp nhàng và giải quyết vấn đề hiệu quả hơn.</v>
      </c>
      <c r="R6" s="11" t="s">
        <v>55250</v>
      </c>
      <c r="S6" s="12">
        <f t="shared" si="9"/>
        <v>0.4511537066</v>
      </c>
    </row>
    <row r="7">
      <c r="A7" s="7">
        <v>7.0</v>
      </c>
      <c r="B7" s="9" t="s">
        <v>55281</v>
      </c>
      <c r="C7" s="10" t="s">
        <v>55282</v>
      </c>
      <c r="D7" s="10" t="s">
        <v>55283</v>
      </c>
      <c r="E7" s="10" t="s">
        <v>55284</v>
      </c>
      <c r="F7" s="10" t="s">
        <v>55285</v>
      </c>
      <c r="G7" s="10" t="s">
        <v>55286</v>
      </c>
      <c r="H7" s="11" t="s">
        <v>55250</v>
      </c>
      <c r="I7" s="12" t="str">
        <f t="shared" si="1"/>
        <v>What motivates you at work?&lt;br&gt;&lt;div class="audio"&gt;[sound:q_en_7.mp3]&lt;/div&gt;</v>
      </c>
      <c r="J7" s="12" t="str">
        <f t="shared" si="2"/>
        <v>Điều gì tạo động lực cho bạn trong công việc?</v>
      </c>
      <c r="K7" s="12" t="str">
        <f t="shared" si="3"/>
        <v>My biggest motivation is seeing myself improve and get better every day. Every new skill I learn helps me work more effectively.&lt;br&gt;&lt;div class="audio"&gt;[sound:a_en_7.mp3]&lt;/div&gt;</v>
      </c>
      <c r="L7" s="12" t="str">
        <f t="shared" si="4"/>
        <v>Động lực lớn nhất của tôi là nhìn thấy bản thân tiến bộ và hoàn thiện hơn từng ngày. Mỗi một kỹ năng mới học được đều giúp tôi làm việc hiệu quả hơn.</v>
      </c>
      <c r="M7" s="11" t="s">
        <v>55250</v>
      </c>
      <c r="N7" s="12" t="str">
        <f t="shared" si="5"/>
        <v>仕事において、何があなたのモチベーションになっていますか？&lt;br&gt;&lt;div class="audio"&gt;[sound:q_jp_7.mp3]&lt;/div&gt;</v>
      </c>
      <c r="O7" s="12" t="str">
        <f t="shared" si="6"/>
        <v>Điều gì tạo động lực cho bạn trong công việc?</v>
      </c>
      <c r="P7" s="12" t="str">
        <f t="shared" si="7"/>
        <v>私の最大のモチベーションは、自分が毎日進歩し、成長していると実感することです。新しいスキルを学ぶたびに、より効率的に働けるようになります。&lt;br&gt;&lt;div class="audio"&gt;[sound:a_jp_7.mp3]&lt;/div&gt;</v>
      </c>
      <c r="Q7" s="12" t="str">
        <f t="shared" si="8"/>
        <v>Động lực lớn nhất của tôi là nhìn thấy bản thân tiến bộ và hoàn thiện hơn từng ngày. Mỗi một kỹ năng mới học được đều giúp tôi làm việc hiệu quả hơn.</v>
      </c>
      <c r="R7" s="11" t="s">
        <v>55250</v>
      </c>
      <c r="S7" s="12">
        <f t="shared" si="9"/>
        <v>0.2191840311</v>
      </c>
    </row>
    <row r="8">
      <c r="A8" s="7">
        <v>8.0</v>
      </c>
      <c r="B8" s="9" t="s">
        <v>55287</v>
      </c>
      <c r="C8" s="10" t="s">
        <v>55288</v>
      </c>
      <c r="D8" s="10" t="s">
        <v>55289</v>
      </c>
      <c r="E8" s="10" t="s">
        <v>55290</v>
      </c>
      <c r="F8" s="10" t="s">
        <v>55291</v>
      </c>
      <c r="G8" s="10" t="s">
        <v>55292</v>
      </c>
      <c r="H8" s="11" t="s">
        <v>55250</v>
      </c>
      <c r="I8" s="12" t="str">
        <f t="shared" si="1"/>
        <v>Do you prefer working independently or in a team?&lt;br&gt;&lt;div class="audio"&gt;[sound:q_en_8.mp3]&lt;/div&gt;</v>
      </c>
      <c r="J8" s="12" t="str">
        <f t="shared" si="2"/>
        <v>Bạn thích làm việc độc lập hay làm việc nhóm hơn?</v>
      </c>
      <c r="K8" s="12" t="str">
        <f t="shared" si="3"/>
        <v>I can do well in both. Working independently helps me focus deeply on my tasks, while teamwork helps me learn from coworkers and achieve better results together.&lt;br&gt;&lt;div class="audio"&gt;[sound:a_en_8.mp3]&lt;/div&gt;</v>
      </c>
      <c r="L8" s="12" t="str">
        <f t="shared" si="4"/>
        <v>Tôi có thể làm tốt cả hai. Làm việc độc lập giúp tôi tập trung sâu vào chuyên môn, còn làm việc nhóm giúp tôi học hỏi từ đồng nghiệp và đạt kết quả chung tốt hơn.</v>
      </c>
      <c r="M8" s="11" t="s">
        <v>55250</v>
      </c>
      <c r="N8" s="12" t="str">
        <f t="shared" si="5"/>
        <v>個人で働くのと、チームで働くのでは、どちらが好きですか？&lt;br&gt;&lt;div class="audio"&gt;[sound:q_jp_8.mp3]&lt;/div&gt;</v>
      </c>
      <c r="O8" s="12" t="str">
        <f t="shared" si="6"/>
        <v>Bạn thích làm việc độc lập hay làm việc nhóm hơn?</v>
      </c>
      <c r="P8" s="12" t="str">
        <f t="shared" si="7"/>
        <v>私は両方とも得意です。個人作業では専門的な仕事に集中でき、チームワークでは同僚から学び、より良い結果を出すことができます。&lt;br&gt;&lt;div class="audio"&gt;[sound:a_jp_8.mp3]&lt;/div&gt;</v>
      </c>
      <c r="Q8" s="12" t="str">
        <f t="shared" si="8"/>
        <v>Tôi có thể làm tốt cả hai. Làm việc độc lập giúp tôi tập trung sâu vào chuyên môn, còn làm việc nhóm giúp tôi học hỏi từ đồng nghiệp và đạt kết quả chung tốt hơn.</v>
      </c>
      <c r="R8" s="11" t="s">
        <v>55250</v>
      </c>
      <c r="S8" s="12">
        <f t="shared" si="9"/>
        <v>0.6514599316</v>
      </c>
    </row>
    <row r="9">
      <c r="A9" s="7">
        <v>9.0</v>
      </c>
      <c r="B9" s="9" t="s">
        <v>55293</v>
      </c>
      <c r="C9" s="10" t="s">
        <v>55294</v>
      </c>
      <c r="D9" s="10" t="s">
        <v>55295</v>
      </c>
      <c r="E9" s="10" t="s">
        <v>55296</v>
      </c>
      <c r="F9" s="10" t="s">
        <v>55297</v>
      </c>
      <c r="G9" s="10" t="s">
        <v>55298</v>
      </c>
      <c r="H9" s="11" t="s">
        <v>55250</v>
      </c>
      <c r="I9" s="12" t="str">
        <f t="shared" si="1"/>
        <v>How do you prioritize your work?&lt;br&gt;&lt;div class="audio"&gt;[sound:q_en_9.mp3]&lt;/div&gt;</v>
      </c>
      <c r="J9" s="12" t="str">
        <f t="shared" si="2"/>
        <v>Bạn sắp xếp thứ tự ưu tiên trong công việc như thế nào?</v>
      </c>
      <c r="K9" s="12" t="str">
        <f t="shared" si="3"/>
        <v>I usually prioritize important and urgent tasks first. Then, I make a list to handle the remaining tasks according to their deadlines.&lt;br&gt;&lt;div class="audio"&gt;[sound:a_en_9.mp3]&lt;/div&gt;</v>
      </c>
      <c r="L9" s="12" t="str">
        <f t="shared" si="4"/>
        <v>Tôi thường ưu tiên các công việc quan trọng và khẩn cấp lên trước. Sau đó, tôi sẽ lên danh sách để giải quyết các công việc còn lại theo thứ tự thời hạn.</v>
      </c>
      <c r="M9" s="11" t="s">
        <v>55250</v>
      </c>
      <c r="N9" s="12" t="str">
        <f t="shared" si="5"/>
        <v>仕事の優先順位を、どのように決めていますか？&lt;br&gt;&lt;div class="audio"&gt;[sound:q_jp_9.mp3]&lt;/div&gt;</v>
      </c>
      <c r="O9" s="12" t="str">
        <f t="shared" si="6"/>
        <v>Bạn sắp xếp thứ tự ưu tiên trong công việc như thế nào?</v>
      </c>
      <c r="P9" s="12" t="str">
        <f t="shared" si="7"/>
        <v>私は通常、重要かつ緊急な仕事を優先します。その後、締め切りに合わせて残りのタスクを処理するためのリストを作成します。&lt;br&gt;&lt;div class="audio"&gt;[sound:a_jp_9.mp3]&lt;/div&gt;</v>
      </c>
      <c r="Q9" s="12" t="str">
        <f t="shared" si="8"/>
        <v>Tôi thường ưu tiên các công việc quan trọng và khẩn cấp lên trước. Sau đó, tôi sẽ lên danh sách để giải quyết các công việc còn lại theo thứ tự thời hạn.</v>
      </c>
      <c r="R9" s="11" t="s">
        <v>55250</v>
      </c>
      <c r="S9" s="12">
        <f t="shared" si="9"/>
        <v>0.02775100387</v>
      </c>
    </row>
    <row r="10">
      <c r="A10" s="7">
        <v>10.0</v>
      </c>
      <c r="B10" s="9" t="s">
        <v>55299</v>
      </c>
      <c r="C10" s="10" t="s">
        <v>55300</v>
      </c>
      <c r="D10" s="10" t="s">
        <v>55301</v>
      </c>
      <c r="E10" s="10" t="s">
        <v>55302</v>
      </c>
      <c r="F10" s="10" t="s">
        <v>55303</v>
      </c>
      <c r="G10" s="10" t="s">
        <v>55304</v>
      </c>
      <c r="H10" s="11" t="s">
        <v>55250</v>
      </c>
      <c r="I10" s="12" t="str">
        <f t="shared" si="1"/>
        <v>How do you handle a completely new task?&lt;br&gt;&lt;div class="audio"&gt;[sound:q_en_10.mp3]&lt;/div&gt;</v>
      </c>
      <c r="J10" s="12" t="str">
        <f t="shared" si="2"/>
        <v>Bạn sẽ xử lý ra sao khi nhận được một nhiệm vụ hoàn toàn mới?</v>
      </c>
      <c r="K10" s="12" t="str">
        <f t="shared" si="3"/>
        <v>When receiving a new task, I will study the requirements carefully first. If anything is unclear, I will ask my boss or coworkers to make sure I am on the right track.&lt;br&gt;&lt;div class="audio"&gt;[sound:a_en_10.mp3]&lt;/div&gt;</v>
      </c>
      <c r="L10" s="12" t="str">
        <f t="shared" si="4"/>
        <v>Khi nhận nhiệm vụ mới, tôi sẽ tìm hiểu kỹ yêu cầu trước. Nếu có điểm chưa rõ, tôi sẽ hỏi ngay cấp trên hoặc đồng nghiệp để đảm bảo đi đúng hướng.</v>
      </c>
      <c r="M10" s="11" t="s">
        <v>55250</v>
      </c>
      <c r="N10" s="12" t="str">
        <f t="shared" si="5"/>
        <v>全く新しい業務を任された場合、どのように対応しますか？&lt;br&gt;&lt;div class="audio"&gt;[sound:q_jp_10.mp3]&lt;/div&gt;</v>
      </c>
      <c r="O10" s="12" t="str">
        <f t="shared" si="6"/>
        <v>Bạn sẽ xử lý ra sao khi nhận được một nhiệm vụ hoàn toàn mới?</v>
      </c>
      <c r="P10" s="12" t="str">
        <f t="shared" si="7"/>
        <v>新しい仕事を受けた時は、まず要件をよく確認します。もし分からない点があれば、すぐに上司や同僚に質問し、正しい方向に進めるようにします。&lt;br&gt;&lt;div class="audio"&gt;[sound:a_jp_10.mp3]&lt;/div&gt;</v>
      </c>
      <c r="Q10" s="12" t="str">
        <f t="shared" si="8"/>
        <v>Khi nhận nhiệm vụ mới, tôi sẽ tìm hiểu kỹ yêu cầu trước. Nếu có điểm chưa rõ, tôi sẽ hỏi ngay cấp trên hoặc đồng nghiệp để đảm bảo đi đúng hướng.</v>
      </c>
      <c r="R10" s="11" t="s">
        <v>55250</v>
      </c>
      <c r="S10" s="12">
        <f t="shared" si="9"/>
        <v>0.7439892078</v>
      </c>
    </row>
    <row r="11">
      <c r="A11" s="7">
        <v>11.0</v>
      </c>
      <c r="B11" s="9" t="s">
        <v>55305</v>
      </c>
      <c r="C11" s="10" t="s">
        <v>55306</v>
      </c>
      <c r="D11" s="10" t="s">
        <v>55307</v>
      </c>
      <c r="E11" s="10" t="s">
        <v>55308</v>
      </c>
      <c r="F11" s="10" t="s">
        <v>55309</v>
      </c>
      <c r="G11" s="10" t="s">
        <v>55310</v>
      </c>
      <c r="H11" s="11" t="s">
        <v>55250</v>
      </c>
      <c r="I11" s="12" t="str">
        <f t="shared" si="1"/>
        <v>Could you tell me about a mistake you made at work and how you fixed it?&lt;br&gt;&lt;div class="audio"&gt;[sound:q_en_11.mp3]&lt;/div&gt;</v>
      </c>
      <c r="J11" s="12" t="str">
        <f t="shared" si="2"/>
        <v>Hãy kể về một lần bạn mắc lỗi trong công việc và cách bạn khắc phục nó.</v>
      </c>
      <c r="K11" s="12" t="str">
        <f t="shared" si="3"/>
        <v>In the past, I was late in submitting my weekly report because I did not arrange my work well. Realizing that, I proactively reported the delay to my boss, apologized, and quickly finished it on that day. Since then, I always make a detailed plan at the beginning of the week to ensure all tasks are completed on time.&lt;br&gt;&lt;div class="audio"&gt;[sound:a_en_11.mp3]&lt;/div&gt;</v>
      </c>
      <c r="L11" s="12" t="str">
        <f t="shared" si="4"/>
        <v>Trước đây, tôi từng bị trễ hạn nộp báo cáo tuần do chưa sắp xếp công việc hợp lý. Nhận ra điều đó, tôi đã chủ động báo cáo với cấp trên về sự chậm trễ, xin lỗi và nhanh chóng hoàn thành ngay trong ngày hôm đó. Từ đó, tôi luôn lên kế hoạch chi tiết từ đầu tuần để đảm bảo hoàn thành mọi công việc đúng hạn.</v>
      </c>
      <c r="M11" s="11" t="s">
        <v>55250</v>
      </c>
      <c r="N11" s="12" t="str">
        <f t="shared" si="5"/>
        <v>仕事でミスをした経験と、それをどのように解決したか教えてください。&lt;br&gt;&lt;div class="audio"&gt;[sound:q_jp_11.mp3]&lt;/div&gt;</v>
      </c>
      <c r="O11" s="12" t="str">
        <f t="shared" si="6"/>
        <v>Hãy kể về một lần bạn mắc lỗi trong công việc và cách bạn khắc phục nó.</v>
      </c>
      <c r="P11" s="12" t="str">
        <f t="shared" si="7"/>
        <v>以前、スケジュール管理がうまくできず、週報の提出期限に遅れてしまったことがあります。それに気づき、すぐに上司に遅れることを報告して謝罪し、その日のうちに急いで完成させました。それ以来、すべての仕事を期限内に終えられるよう、週の初めに詳細な計画を立てるようにしています。&lt;br&gt;&lt;div class="audio"&gt;[sound:a_jp_11.mp3]&lt;/div&gt;</v>
      </c>
      <c r="Q11" s="12" t="str">
        <f t="shared" si="8"/>
        <v>Trước đây, tôi từng bị trễ hạn nộp báo cáo tuần do chưa sắp xếp công việc hợp lý. Nhận ra điều đó, tôi đã chủ động báo cáo với cấp trên về sự chậm trễ, xin lỗi và nhanh chóng hoàn thành ngay trong ngày hôm đó. Từ đó, tôi luôn lên kế hoạch chi tiết từ đầu tuần để đảm bảo hoàn thành mọi công việc đúng hạn.</v>
      </c>
      <c r="R11" s="11" t="s">
        <v>55250</v>
      </c>
      <c r="S11" s="12">
        <f t="shared" si="9"/>
        <v>0.4879954725</v>
      </c>
    </row>
    <row r="12">
      <c r="A12" s="7">
        <v>12.0</v>
      </c>
      <c r="B12" s="9" t="s">
        <v>55311</v>
      </c>
      <c r="C12" s="10" t="s">
        <v>55312</v>
      </c>
      <c r="D12" s="10" t="s">
        <v>55313</v>
      </c>
      <c r="E12" s="10" t="s">
        <v>55314</v>
      </c>
      <c r="F12" s="10" t="s">
        <v>55315</v>
      </c>
      <c r="G12" s="10" t="s">
        <v>55316</v>
      </c>
      <c r="H12" s="11" t="s">
        <v>55250</v>
      </c>
      <c r="I12" s="12" t="str">
        <f t="shared" si="1"/>
        <v>How do you manage work pressure and stress?&lt;br&gt;&lt;div class="audio"&gt;[sound:q_en_12.mp3]&lt;/div&gt;</v>
      </c>
      <c r="J12" s="12" t="str">
        <f t="shared" si="2"/>
        <v>Bạn quản lý áp lực và căng thẳng trong công việc như thế nào?</v>
      </c>
      <c r="K12" s="12" t="str">
        <f t="shared" si="3"/>
        <v>When facing pressure, I often take deep breaths and break down tasks to solve them one by one. After work, I like listening to music and watching movies to relax and recharge my energy.&lt;br&gt;&lt;div class="audio"&gt;[sound:a_en_12.mp3]&lt;/div&gt;</v>
      </c>
      <c r="L12" s="12" t="str">
        <f t="shared" si="4"/>
        <v>Khi gặp áp lực, tôi thường hít thở sâu và chia nhỏ công việc để giải quyết từng phần. Ngoài giờ làm, tôi thích nghe nhạc và xem phim để thư giãn và lấy lại năng lượng.</v>
      </c>
      <c r="M12" s="11" t="s">
        <v>55250</v>
      </c>
      <c r="N12" s="12" t="str">
        <f t="shared" si="5"/>
        <v>仕事のプレッシャーやストレスを、どのように管理していますか？&lt;br&gt;&lt;div class="audio"&gt;[sound:q_jp_12.mp3]&lt;/div&gt;</v>
      </c>
      <c r="O12" s="12" t="str">
        <f t="shared" si="6"/>
        <v>Bạn quản lý áp lực và căng thẳng trong công việc như thế nào?</v>
      </c>
      <c r="P12" s="12" t="str">
        <f t="shared" si="7"/>
        <v>プレッシャーを感じる時は、深呼吸をしてタスクを細かく分け、一つずつ解決するようにしています。仕事の後は、音楽を聴いたり映画を見たりしてリラックスし、エネルギーを回復させます。&lt;br&gt;&lt;div class="audio"&gt;[sound:a_jp_12.mp3]&lt;/div&gt;</v>
      </c>
      <c r="Q12" s="12" t="str">
        <f t="shared" si="8"/>
        <v>Khi gặp áp lực, tôi thường hít thở sâu và chia nhỏ công việc để giải quyết từng phần. Ngoài giờ làm, tôi thích nghe nhạc và xem phim để thư giãn và lấy lại năng lượng.</v>
      </c>
      <c r="R12" s="11" t="s">
        <v>55250</v>
      </c>
      <c r="S12" s="12">
        <f t="shared" si="9"/>
        <v>0.4186475143</v>
      </c>
    </row>
    <row r="13">
      <c r="A13" s="7">
        <v>13.0</v>
      </c>
      <c r="B13" s="9" t="s">
        <v>55317</v>
      </c>
      <c r="C13" s="10" t="s">
        <v>55318</v>
      </c>
      <c r="D13" s="10" t="s">
        <v>55319</v>
      </c>
      <c r="E13" s="10" t="s">
        <v>55320</v>
      </c>
      <c r="F13" s="10" t="s">
        <v>55321</v>
      </c>
      <c r="G13" s="10" t="s">
        <v>55322</v>
      </c>
      <c r="H13" s="11" t="s">
        <v>55250</v>
      </c>
      <c r="I13" s="12" t="str">
        <f t="shared" si="1"/>
        <v>What is your opinion on working overtime?&lt;br&gt;&lt;div class="audio"&gt;[sound:q_en_13.mp3]&lt;/div&gt;</v>
      </c>
      <c r="J13" s="12" t="str">
        <f t="shared" si="2"/>
        <v>Bạn có quan điểm như thế nào về việc làm thêm giờ?</v>
      </c>
      <c r="K13" s="12" t="str">
        <f t="shared" si="3"/>
        <v>I always try to finish my work during office hours. However, if the project is urgent or the company requires it, I am willing to work overtime to ensure the schedule.&lt;br&gt;&lt;div class="audio"&gt;[sound:a_en_13.mp3]&lt;/div&gt;</v>
      </c>
      <c r="L13" s="12" t="str">
        <f t="shared" si="4"/>
        <v>Tôi luôn cố gắng hoàn thành công việc trong giờ hành chính. Tuy nhiên, nếu dự án đang gấp hoặc công ty có yêu cầu, tôi sẵn sàng làm thêm giờ để đảm bảo tiến độ.</v>
      </c>
      <c r="M13" s="11" t="s">
        <v>55250</v>
      </c>
      <c r="N13" s="12" t="str">
        <f t="shared" si="5"/>
        <v>残業について、どのように考えていますか？&lt;br&gt;&lt;div class="audio"&gt;[sound:q_jp_13.mp3]&lt;/div&gt;</v>
      </c>
      <c r="O13" s="12" t="str">
        <f t="shared" si="6"/>
        <v>Bạn có quan điểm như thế nào về việc làm thêm giờ?</v>
      </c>
      <c r="P13" s="12" t="str">
        <f t="shared" si="7"/>
        <v>私は常に勤務時間内に仕事を終えるよう努めています。しかし、プロジェクトが急ぎの場合や会社からの要請があれば、スケジュールを守るために残業も対応いたします。&lt;br&gt;&lt;div class="audio"&gt;[sound:a_jp_13.mp3]&lt;/div&gt;</v>
      </c>
      <c r="Q13" s="12" t="str">
        <f t="shared" si="8"/>
        <v>Tôi luôn cố gắng hoàn thành công việc trong giờ hành chính. Tuy nhiên, nếu dự án đang gấp hoặc công ty có yêu cầu, tôi sẵn sàng làm thêm giờ để đảm bảo tiến độ.</v>
      </c>
      <c r="R13" s="11" t="s">
        <v>55250</v>
      </c>
      <c r="S13" s="12">
        <f t="shared" si="9"/>
        <v>0.4922598264</v>
      </c>
    </row>
    <row r="14">
      <c r="A14" s="7">
        <v>14.0</v>
      </c>
      <c r="B14" s="9" t="s">
        <v>55323</v>
      </c>
      <c r="C14" s="10" t="s">
        <v>55324</v>
      </c>
      <c r="D14" s="10" t="s">
        <v>55325</v>
      </c>
      <c r="E14" s="10" t="s">
        <v>55326</v>
      </c>
      <c r="F14" s="10" t="s">
        <v>55327</v>
      </c>
      <c r="G14" s="10" t="s">
        <v>55328</v>
      </c>
      <c r="H14" s="11" t="s">
        <v>55250</v>
      </c>
      <c r="I14" s="12" t="str">
        <f t="shared" si="1"/>
        <v>How do you deal with difficult customers?&lt;br&gt;&lt;div class="audio"&gt;[sound:q_en_14.mp3]&lt;/div&gt;</v>
      </c>
      <c r="J14" s="12" t="str">
        <f t="shared" si="2"/>
        <v>Bạn sẽ làm gì khi phải làm việc với một khách hàng khó tính?</v>
      </c>
      <c r="K14" s="12" t="str">
        <f t="shared" si="3"/>
        <v>I will stay calm and listen to understand the customer's needs clearly. Then, I will patiently explain and offer the most suitable solution to satisfy them.&lt;br&gt;&lt;div class="audio"&gt;[sound:a_en_14.mp3]&lt;/div&gt;</v>
      </c>
      <c r="L14" s="12" t="str">
        <f t="shared" si="4"/>
        <v>Tôi sẽ bình tĩnh lắng nghe để hiểu rõ mong muốn của khách hàng. Sau đó, tôi sẽ kiên nhẫn giải thích và đưa ra giải pháp phù hợp nhất để làm hài lòng họ.</v>
      </c>
      <c r="M14" s="11" t="s">
        <v>55250</v>
      </c>
      <c r="N14" s="12" t="str">
        <f t="shared" si="5"/>
        <v>難しいお客様には、どのように対応しますか？&lt;br&gt;&lt;div class="audio"&gt;[sound:q_jp_14.mp3]&lt;/div&gt;</v>
      </c>
      <c r="O14" s="12" t="str">
        <f t="shared" si="6"/>
        <v>Bạn sẽ làm gì khi phải làm việc với một khách hàng khó tính?</v>
      </c>
      <c r="P14" s="12" t="str">
        <f t="shared" si="7"/>
        <v>まずは落ち着いてお客様の話を聞き、その要望を正確に理解します。その後、丁寧に説明し、お客様に満足していただける最適な解決策を提案します。&lt;br&gt;&lt;div class="audio"&gt;[sound:a_jp_14.mp3]&lt;/div&gt;</v>
      </c>
      <c r="Q14" s="12" t="str">
        <f t="shared" si="8"/>
        <v>Tôi sẽ bình tĩnh lắng nghe để hiểu rõ mong muốn của khách hàng. Sau đó, tôi sẽ kiên nhẫn giải thích và đưa ra giải pháp phù hợp nhất để làm hài lòng họ.</v>
      </c>
      <c r="R14" s="11" t="s">
        <v>55250</v>
      </c>
      <c r="S14" s="12">
        <f t="shared" si="9"/>
        <v>0.3466416682</v>
      </c>
    </row>
    <row r="15">
      <c r="A15" s="7">
        <v>15.0</v>
      </c>
      <c r="B15" s="9" t="s">
        <v>55329</v>
      </c>
      <c r="C15" s="10" t="s">
        <v>55330</v>
      </c>
      <c r="D15" s="10" t="s">
        <v>55331</v>
      </c>
      <c r="E15" s="10" t="s">
        <v>55332</v>
      </c>
      <c r="F15" s="10" t="s">
        <v>55333</v>
      </c>
      <c r="G15" s="10" t="s">
        <v>55334</v>
      </c>
      <c r="H15" s="11" t="s">
        <v>55250</v>
      </c>
      <c r="I15" s="12" t="str">
        <f t="shared" si="1"/>
        <v>How do you resolve conflicts with coworkers?&lt;br&gt;&lt;div class="audio"&gt;[sound:q_en_15.mp3]&lt;/div&gt;</v>
      </c>
      <c r="J15" s="12" t="str">
        <f t="shared" si="2"/>
        <v>Bạn giải quyết mâu thuẫn với đồng nghiệp như thế nào?</v>
      </c>
      <c r="K15" s="12" t="str">
        <f t="shared" si="3"/>
        <v>I will proactively talk to them privately in an open and respectful way. We will find out the reasons together and come up with a solution for the common goal of the work.&lt;br&gt;&lt;div class="audio"&gt;[sound:a_en_15.mp3]&lt;/div&gt;</v>
      </c>
      <c r="L15" s="12" t="str">
        <f t="shared" si="4"/>
        <v>Tôi sẽ chủ động nói chuyện riêng với họ một cách cởi mở và tôn trọng. Cả hai sẽ cùng tìm hiểu nguyên nhân và đưa ra hướng giải quyết vì mục tiêu chung của công việc.</v>
      </c>
      <c r="M15" s="11" t="s">
        <v>55250</v>
      </c>
      <c r="N15" s="12" t="str">
        <f t="shared" si="5"/>
        <v>同僚と意見が対立した場合、どのように解決しますか？&lt;br&gt;&lt;div class="audio"&gt;[sound:q_jp_15.mp3]&lt;/div&gt;</v>
      </c>
      <c r="O15" s="12" t="str">
        <f t="shared" si="6"/>
        <v>Bạn giải quyết mâu thuẫn với đồng nghiệp như thế nào?</v>
      </c>
      <c r="P15" s="12" t="str">
        <f t="shared" si="7"/>
        <v>私は自ら積極的に、かつ敬意を持って同僚と個人的に話し合います。お互いに原因を見つけ、仕事の共通目標のために解決策を考えます。&lt;br&gt;&lt;div class="audio"&gt;[sound:a_jp_15.mp3]&lt;/div&gt;</v>
      </c>
      <c r="Q15" s="12" t="str">
        <f t="shared" si="8"/>
        <v>Tôi sẽ chủ động nói chuyện riêng với họ một cách cởi mở và tôn trọng. Cả hai sẽ cùng tìm hiểu nguyên nhân và đưa ra hướng giải quyết vì mục tiêu chung của công việc.</v>
      </c>
      <c r="R15" s="11" t="s">
        <v>55250</v>
      </c>
      <c r="S15" s="12">
        <f t="shared" si="9"/>
        <v>0.1160722299</v>
      </c>
    </row>
    <row r="16">
      <c r="A16" s="7">
        <v>16.0</v>
      </c>
      <c r="B16" s="9" t="s">
        <v>55335</v>
      </c>
      <c r="C16" s="10" t="s">
        <v>55336</v>
      </c>
      <c r="D16" s="10" t="s">
        <v>55337</v>
      </c>
      <c r="E16" s="10" t="s">
        <v>55338</v>
      </c>
      <c r="F16" s="10" t="s">
        <v>55339</v>
      </c>
      <c r="G16" s="10" t="s">
        <v>55340</v>
      </c>
      <c r="H16" s="11" t="s">
        <v>55250</v>
      </c>
      <c r="I16" s="12" t="str">
        <f t="shared" si="1"/>
        <v>What would you do if you disagree with your boss?&lt;br&gt;&lt;div class="audio"&gt;[sound:q_en_16.mp3]&lt;/div&gt;</v>
      </c>
      <c r="J16" s="12" t="str">
        <f t="shared" si="2"/>
        <v>Bạn sẽ làm gì nếu bất đồng quan điểm với cấp trên?</v>
      </c>
      <c r="K16" s="12" t="str">
        <f t="shared" si="3"/>
        <v>I will present my personal opinion tactfully with data to prove it. However, if my boss has analyzed and made the final decision, I will follow it and do my best.&lt;br&gt;&lt;div class="audio"&gt;[sound:a_en_16.mp3]&lt;/div&gt;</v>
      </c>
      <c r="L16" s="12" t="str">
        <f t="shared" si="4"/>
        <v>Tôi sẽ trình bày ý kiến cá nhân của mình một cách khéo léo và có số liệu chứng minh. Tuy nhiên, nếu cấp trên đã phân tích và đưa ra quyết định cuối cùng, tôi sẽ tuân thủ và thực hiện tốt nhất có thể.</v>
      </c>
      <c r="M16" s="11" t="s">
        <v>55250</v>
      </c>
      <c r="N16" s="12" t="str">
        <f t="shared" si="5"/>
        <v>上司と意見が合わない場合、どのように対応しますか？&lt;br&gt;&lt;div class="audio"&gt;[sound:q_jp_16.mp3]&lt;/div&gt;</v>
      </c>
      <c r="O16" s="12" t="str">
        <f t="shared" si="6"/>
        <v>Bạn sẽ làm gì nếu bất đồng quan điểm với cấp trên?</v>
      </c>
      <c r="P16" s="12" t="str">
        <f t="shared" si="7"/>
        <v>自分の意見をデータなどの根拠とともに丁寧に説明します。しかし、上司が分析し最終決定を下した場合は、それに従いベストを尽くして実行します。&lt;br&gt;&lt;div class="audio"&gt;[sound:a_jp_16.mp3]&lt;/div&gt;</v>
      </c>
      <c r="Q16" s="12" t="str">
        <f t="shared" si="8"/>
        <v>Tôi sẽ trình bày ý kiến cá nhân của mình một cách khéo léo và có số liệu chứng minh. Tuy nhiên, nếu cấp trên đã phân tích và đưa ra quyết định cuối cùng, tôi sẽ tuân thủ và thực hiện tốt nhất có thể.</v>
      </c>
      <c r="R16" s="11" t="s">
        <v>55250</v>
      </c>
      <c r="S16" s="12">
        <f t="shared" si="9"/>
        <v>0.3071084083</v>
      </c>
    </row>
    <row r="17">
      <c r="A17" s="7">
        <v>17.0</v>
      </c>
      <c r="B17" s="9" t="s">
        <v>55341</v>
      </c>
      <c r="C17" s="10" t="s">
        <v>55342</v>
      </c>
      <c r="D17" s="10" t="s">
        <v>55343</v>
      </c>
      <c r="E17" s="10" t="s">
        <v>55344</v>
      </c>
      <c r="F17" s="10" t="s">
        <v>55345</v>
      </c>
      <c r="G17" s="10" t="s">
        <v>55346</v>
      </c>
      <c r="H17" s="11" t="s">
        <v>55250</v>
      </c>
      <c r="I17" s="12" t="str">
        <f t="shared" si="1"/>
        <v>What would you do if you are assigned a task outside your skills?&lt;br&gt;&lt;div class="audio"&gt;[sound:q_en_17.mp3]&lt;/div&gt;</v>
      </c>
      <c r="J17" s="12" t="str">
        <f t="shared" si="2"/>
        <v>Bạn sẽ làm gì khi được giao một công việc không đúng sở trường?</v>
      </c>
      <c r="K17" s="12" t="str">
        <f t="shared" si="3"/>
        <v>I consider it an opportunity to learn and expand my skills. I will try to research and seek help from experienced people to complete the task well.&lt;br&gt;&lt;div class="audio"&gt;[sound:a_en_17.mp3]&lt;/div&gt;</v>
      </c>
      <c r="L17" s="12" t="str">
        <f t="shared" si="4"/>
        <v>Tôi coi đó là cơ hội để học hỏi và mở rộng kỹ năng của mình. Tôi sẽ cố gắng nghiên cứu và tìm sự trợ giúp từ người có kinh nghiệm để hoàn thành tốt nhiệm vụ đó.</v>
      </c>
      <c r="M17" s="11" t="s">
        <v>55250</v>
      </c>
      <c r="N17" s="12" t="str">
        <f t="shared" si="5"/>
        <v>自分のスキル以外の仕事を任された場合、どう対応しますか？&lt;br&gt;&lt;div class="audio"&gt;[sound:q_jp_17.mp3]&lt;/div&gt;</v>
      </c>
      <c r="O17" s="12" t="str">
        <f t="shared" si="6"/>
        <v>Bạn sẽ làm gì khi được giao một công việc không đúng sở trường?</v>
      </c>
      <c r="P17" s="12" t="str">
        <f t="shared" si="7"/>
        <v>それを新しいことを学び、スキルを広げる良い機会だと捉えます。調査を行い、経験者の助けを借りながら、その業務をしっかりやり遂げるよう努力します。&lt;br&gt;&lt;div class="audio"&gt;[sound:a_jp_17.mp3]&lt;/div&gt;</v>
      </c>
      <c r="Q17" s="12" t="str">
        <f t="shared" si="8"/>
        <v>Tôi coi đó là cơ hội để học hỏi và mở rộng kỹ năng của mình. Tôi sẽ cố gắng nghiên cứu và tìm sự trợ giúp từ người có kinh nghiệm để hoàn thành tốt nhiệm vụ đó.</v>
      </c>
      <c r="R17" s="11" t="s">
        <v>55250</v>
      </c>
      <c r="S17" s="12">
        <f t="shared" si="9"/>
        <v>0.1296502662</v>
      </c>
    </row>
    <row r="18">
      <c r="A18" s="7">
        <v>18.0</v>
      </c>
      <c r="B18" s="9" t="s">
        <v>55347</v>
      </c>
      <c r="C18" s="10" t="s">
        <v>55348</v>
      </c>
      <c r="D18" s="10" t="s">
        <v>55349</v>
      </c>
      <c r="E18" s="10" t="s">
        <v>55350</v>
      </c>
      <c r="F18" s="10" t="s">
        <v>55351</v>
      </c>
      <c r="G18" s="10" t="s">
        <v>55352</v>
      </c>
      <c r="H18" s="11" t="s">
        <v>55250</v>
      </c>
      <c r="I18" s="12" t="str">
        <f t="shared" si="1"/>
        <v>Have you ever worked in a multicultural environment?&lt;br&gt;&lt;div class="audio"&gt;[sound:q_en_18.mp3]&lt;/div&gt;</v>
      </c>
      <c r="J18" s="12" t="str">
        <f t="shared" si="2"/>
        <v>Bạn đã từng làm việc trong môi trường đa văn hóa chưa?</v>
      </c>
      <c r="K18" s="12" t="str">
        <f t="shared" si="3"/>
        <v>Actually, I haven't had many opportunities to work in a multicultural environment. However, I am adaptable, always open-minded, and respect cultural differences. I really hope to have the chance to learn and work with international colleagues.&lt;br&gt;&lt;div class="audio"&gt;[sound:a_en_18.mp3]&lt;/div&gt;</v>
      </c>
      <c r="L18" s="12" t="str">
        <f t="shared" si="4"/>
        <v>Thực tế thì tôi chưa có nhiều cơ hội làm việc trong môi trường đa văn hóa. Tuy nhiên, tôi là người dễ thích nghi, luôn cởi mở và tôn trọng sự khác biệt văn hóa. Tôi rất mong có cơ hội được học hỏi và làm việc cùng các đồng nghiệp quốc tế.</v>
      </c>
      <c r="M18" s="11" t="s">
        <v>55250</v>
      </c>
      <c r="N18" s="12" t="str">
        <f t="shared" si="5"/>
        <v>多文化な環境で働いた経験はありますか？&lt;br&gt;&lt;div class="audio"&gt;[sound:q_jp_18.mp3]&lt;/div&gt;</v>
      </c>
      <c r="O18" s="12" t="str">
        <f t="shared" si="6"/>
        <v>Bạn đã từng làm việc trong môi trường đa văn hóa chưa?</v>
      </c>
      <c r="P18" s="12" t="str">
        <f t="shared" si="7"/>
        <v>実は、多文化環境で働く機会はまだあまりありませんでした。しかし、私は適応力があり、常にオープンな姿勢で文化の違いを尊重しています。国際的な同僚と一緒に働き、学ぶ機会があればと強く思っています。&lt;br&gt;&lt;div class="audio"&gt;[sound:a_jp_18.mp3]&lt;/div&gt;</v>
      </c>
      <c r="Q18" s="12" t="str">
        <f t="shared" si="8"/>
        <v>Thực tế thì tôi chưa có nhiều cơ hội làm việc trong môi trường đa văn hóa. Tuy nhiên, tôi là người dễ thích nghi, luôn cởi mở và tôn trọng sự khác biệt văn hóa. Tôi rất mong có cơ hội được học hỏi và làm việc cùng các đồng nghiệp quốc tế.</v>
      </c>
      <c r="R18" s="11" t="s">
        <v>55250</v>
      </c>
      <c r="S18" s="12">
        <f t="shared" si="9"/>
        <v>0.06111589191</v>
      </c>
    </row>
    <row r="19">
      <c r="A19" s="7">
        <v>19.0</v>
      </c>
      <c r="B19" s="9" t="s">
        <v>55353</v>
      </c>
      <c r="C19" s="10" t="s">
        <v>55354</v>
      </c>
      <c r="D19" s="10" t="s">
        <v>55355</v>
      </c>
      <c r="E19" s="10" t="s">
        <v>55356</v>
      </c>
      <c r="F19" s="10" t="s">
        <v>55357</v>
      </c>
      <c r="G19" s="10" t="s">
        <v>55358</v>
      </c>
      <c r="H19" s="11" t="s">
        <v>55250</v>
      </c>
      <c r="I19" s="12" t="str">
        <f t="shared" si="1"/>
        <v>In your opinion, what is the most important quality for an employee?&lt;br&gt;&lt;div class="audio"&gt;[sound:q_en_19.mp3]&lt;/div&gt;</v>
      </c>
      <c r="J19" s="12" t="str">
        <f t="shared" si="2"/>
        <v>Theo bạn, tố chất nào là quan trọng nhất đối với một nhân viên?</v>
      </c>
      <c r="K19" s="12" t="str">
        <f t="shared" si="3"/>
        <v>In my opinion, a sense of responsibility and a learning attitude are the most important. With responsibility, employees will always try to complete their work, and a learning attitude helps them improve continuously.&lt;br&gt;&lt;div class="audio"&gt;[sound:a_en_19.mp3]&lt;/div&gt;</v>
      </c>
      <c r="L19" s="12" t="str">
        <f t="shared" si="4"/>
        <v>Theo tôi, tinh thần trách nhiệm và thái độ học hỏi là quan trọng nhất. Nhờ có trách nhiệm, nhân viên sẽ luôn nỗ lực hoàn thành công việc, và thái độ học hỏi giúp họ ngày càng tiến bộ.</v>
      </c>
      <c r="M19" s="11" t="s">
        <v>55250</v>
      </c>
      <c r="N19" s="12" t="str">
        <f t="shared" si="5"/>
        <v>社員にとって、最も重要な資質は何だと思いますか？&lt;br&gt;&lt;div class="audio"&gt;[sound:q_jp_19.mp3]&lt;/div&gt;</v>
      </c>
      <c r="O19" s="12" t="str">
        <f t="shared" si="6"/>
        <v>Theo bạn, tố chất nào là quan trọng nhất đối với một nhân viên?</v>
      </c>
      <c r="P19" s="12" t="str">
        <f t="shared" si="7"/>
        <v>私は、責任感と学ぶ姿勢が最も重要だと考えています。責任感があれば最後まで仕事をやり遂げることができますし、学ぶ姿勢があれば常に成長し続けることができます。&lt;br&gt;&lt;div class="audio"&gt;[sound:a_jp_19.mp3]&lt;/div&gt;</v>
      </c>
      <c r="Q19" s="12" t="str">
        <f t="shared" si="8"/>
        <v>Theo tôi, tinh thần trách nhiệm và thái độ học hỏi là quan trọng nhất. Nhờ có trách nhiệm, nhân viên sẽ luôn nỗ lực hoàn thành công việc, và thái độ học hỏi giúp họ ngày càng tiến bộ.</v>
      </c>
      <c r="R19" s="11" t="s">
        <v>55250</v>
      </c>
      <c r="S19" s="12">
        <f t="shared" si="9"/>
        <v>0.4754517129</v>
      </c>
    </row>
    <row r="20">
      <c r="A20" s="7">
        <v>20.0</v>
      </c>
      <c r="B20" s="9" t="s">
        <v>55359</v>
      </c>
      <c r="C20" s="10" t="s">
        <v>55360</v>
      </c>
      <c r="D20" s="10" t="s">
        <v>55361</v>
      </c>
      <c r="E20" s="10" t="s">
        <v>55362</v>
      </c>
      <c r="F20" s="10" t="s">
        <v>55363</v>
      </c>
      <c r="G20" s="10" t="s">
        <v>55364</v>
      </c>
      <c r="H20" s="11" t="s">
        <v>55250</v>
      </c>
      <c r="I20" s="12" t="str">
        <f t="shared" si="1"/>
        <v>If a work process is not good, how would you propose to improve it?&lt;br&gt;&lt;div class="audio"&gt;[sound:q_en_20.mp3]&lt;/div&gt;</v>
      </c>
      <c r="J20" s="12" t="str">
        <f t="shared" si="2"/>
        <v>Nếu thấy quy trình làm việc chưa tốt, bạn sẽ đề xuất cải tiến như thế nào?</v>
      </c>
      <c r="K20" s="12" t="str">
        <f t="shared" si="3"/>
        <v>First, I will observe and note down any unreasonable or time-wasting points. Then, I will research solutions, discuss ideas with coworkers, and prepare a specific proposal for my boss to consider and decide.&lt;br&gt;&lt;div class="audio"&gt;[sound:a_en_20.mp3]&lt;/div&gt;</v>
      </c>
      <c r="L20" s="12" t="str">
        <f t="shared" si="4"/>
        <v>Trước tiên, tôi sẽ quan sát và ghi chép lại những điểm chưa hợp lý hoặc gây lãng phí thời gian. Sau đó, tôi sẽ nghiên cứu giải pháp, thảo luận ý kiến với đồng nghiệp, rồi lập một bản đề xuất cụ thể trình lên cấp trên xem xét và quyết định.</v>
      </c>
      <c r="M20" s="11" t="s">
        <v>55250</v>
      </c>
      <c r="N20" s="12" t="str">
        <f t="shared" si="5"/>
        <v>業務プロセスを改善したい場合、どのように提案しますか？&lt;br&gt;&lt;div class="audio"&gt;[sound:q_jp_20.mp3]&lt;/div&gt;</v>
      </c>
      <c r="O20" s="12" t="str">
        <f t="shared" si="6"/>
        <v>Nếu thấy quy trình làm việc chưa tốt, bạn sẽ đề xuất cải tiến như thế nào?</v>
      </c>
      <c r="P20" s="12" t="str">
        <f t="shared" si="7"/>
        <v>まず、観察を行い、不合理な点や時間の無駄になっている点などを記録します。その後、解決策を調査し、同僚と意見を話し合った上で、具体的な提案書を作成して上司に提出し、検討していただきます。&lt;br&gt;&lt;div class="audio"&gt;[sound:a_jp_20.mp3]&lt;/div&gt;</v>
      </c>
      <c r="Q20" s="12" t="str">
        <f t="shared" si="8"/>
        <v>Trước tiên, tôi sẽ quan sát và ghi chép lại những điểm chưa hợp lý hoặc gây lãng phí thời gian. Sau đó, tôi sẽ nghiên cứu giải pháp, thảo luận ý kiến với đồng nghiệp, rồi lập một bản đề xuất cụ thể trình lên cấp trên xem xét và quyết định.</v>
      </c>
      <c r="R20" s="11" t="s">
        <v>55250</v>
      </c>
      <c r="S20" s="12">
        <f t="shared" si="9"/>
        <v>0.7099981126</v>
      </c>
    </row>
    <row r="21">
      <c r="A21" s="7">
        <v>21.0</v>
      </c>
      <c r="B21" s="9" t="s">
        <v>55365</v>
      </c>
      <c r="C21" s="10" t="s">
        <v>55366</v>
      </c>
      <c r="D21" s="10" t="s">
        <v>55367</v>
      </c>
      <c r="E21" s="10" t="s">
        <v>55368</v>
      </c>
      <c r="F21" s="10" t="s">
        <v>55369</v>
      </c>
      <c r="G21" s="10" t="s">
        <v>55370</v>
      </c>
      <c r="H21" s="11" t="s">
        <v>55250</v>
      </c>
      <c r="I21" s="12" t="str">
        <f t="shared" si="1"/>
        <v>Why do you want to leave your current job?&lt;br&gt;&lt;div class="audio"&gt;[sound:q_en_21.mp3]&lt;/div&gt;</v>
      </c>
      <c r="J21" s="12" t="str">
        <f t="shared" si="2"/>
        <v>Lý do bạn muốn nghỉ công việc hiện tại là gì?</v>
      </c>
      <c r="K21" s="12" t="str">
        <f t="shared" si="3"/>
        <v>I am very grateful for my current workplace, but I want to look for a new and more challenging opportunity. I hope to contribute my abilities to a growing environment like your company.&lt;br&gt;&lt;div class="audio"&gt;[sound:a_en_21.mp3]&lt;/div&gt;</v>
      </c>
      <c r="L21" s="12" t="str">
        <f t="shared" si="4"/>
        <v>Tôi rất biết ơn môi trường hiện tại, nhưng tôi muốn tìm kiếm một cơ hội mới mang tính thử thách hơn. Tôi hy vọng có thể đóng góp năng lực của mình cho một môi trường phát triển như công ty bạn.</v>
      </c>
      <c r="M21" s="11" t="s">
        <v>55250</v>
      </c>
      <c r="N21" s="12" t="str">
        <f t="shared" si="5"/>
        <v>現在の仕事を退職したい理由を教えてください。&lt;br&gt;&lt;div class="audio"&gt;[sound:q_jp_21.mp3]&lt;/div&gt;</v>
      </c>
      <c r="O21" s="12" t="str">
        <f t="shared" si="6"/>
        <v>Lý do bạn muốn nghỉ công việc hiện tại là gì?</v>
      </c>
      <c r="P21" s="12" t="str">
        <f t="shared" si="7"/>
        <v>現在の職場にはとても感謝していますが、より挑戦的な新しい機会を探したいと考えています。御社のような成長環境で自分の能力を活かし、貢献したいです。&lt;br&gt;&lt;div class="audio"&gt;[sound:a_jp_21.mp3]&lt;/div&gt;</v>
      </c>
      <c r="Q21" s="12" t="str">
        <f t="shared" si="8"/>
        <v>Tôi rất biết ơn môi trường hiện tại, nhưng tôi muốn tìm kiếm một cơ hội mới mang tính thử thách hơn. Tôi hy vọng có thể đóng góp năng lực của mình cho một môi trường phát triển như công ty bạn.</v>
      </c>
      <c r="R21" s="11" t="s">
        <v>55250</v>
      </c>
      <c r="S21" s="12">
        <f t="shared" si="9"/>
        <v>0.2119032479</v>
      </c>
    </row>
    <row r="22">
      <c r="A22" s="7">
        <v>22.0</v>
      </c>
      <c r="B22" s="9" t="s">
        <v>55371</v>
      </c>
      <c r="C22" s="10" t="s">
        <v>55372</v>
      </c>
      <c r="D22" s="10" t="s">
        <v>55373</v>
      </c>
      <c r="E22" s="10" t="s">
        <v>55374</v>
      </c>
      <c r="F22" s="10" t="s">
        <v>55375</v>
      </c>
      <c r="G22" s="10" t="s">
        <v>55376</v>
      </c>
      <c r="H22" s="11" t="s">
        <v>55250</v>
      </c>
      <c r="I22" s="12" t="str">
        <f t="shared" si="1"/>
        <v>What are your career goals for the next 3 to 5 years?&lt;br&gt;&lt;div class="audio"&gt;[sound:q_en_22.mp3]&lt;/div&gt;</v>
      </c>
      <c r="J22" s="12" t="str">
        <f t="shared" si="2"/>
        <v>Mục tiêu nghề nghiệp của bạn trong 3 đến 5 năm tới là gì?</v>
      </c>
      <c r="K22" s="12" t="str">
        <f t="shared" si="3"/>
        <v>My goal is to accumulate more professional knowledge and improve my leadership skills. In the next 3 to 5 years, I strive to become a good manager to lead a team and bring value to the company.&lt;br&gt;&lt;div class="audio"&gt;[sound:a_en_22.mp3]&lt;/div&gt;</v>
      </c>
      <c r="L22" s="12" t="str">
        <f t="shared" si="4"/>
        <v>Mục tiêu của tôi là tích lũy thêm kiến thức chuyên môn và nâng cao kỹ năng lãnh đạo. Trong 3 đến 5 năm tới, tôi phấn đấu trở thành một người quản lý giỏi để dẫn dắt đội nhóm mang lại giá trị cho công ty.</v>
      </c>
      <c r="M22" s="11" t="s">
        <v>55250</v>
      </c>
      <c r="N22" s="12" t="str">
        <f t="shared" si="5"/>
        <v>3年から5年後のキャリア目標は何ですか？&lt;br&gt;&lt;div class="audio"&gt;[sound:q_jp_22.mp3]&lt;/div&gt;</v>
      </c>
      <c r="O22" s="12" t="str">
        <f t="shared" si="6"/>
        <v>Mục tiêu nghề nghiệp của bạn trong 3 đến 5 năm tới là gì?</v>
      </c>
      <c r="P22" s="12" t="str">
        <f t="shared" si="7"/>
        <v>私の目標は、専門知識をさらに深め、リーダーシップスキルを高めることです。3〜5年後には優秀なマネージャーとなり、チームを率いて会社に価値をもたらす存在になりたいです。&lt;br&gt;&lt;div class="audio"&gt;[sound:a_jp_22.mp3]&lt;/div&gt;</v>
      </c>
      <c r="Q22" s="12" t="str">
        <f t="shared" si="8"/>
        <v>Mục tiêu của tôi là tích lũy thêm kiến thức chuyên môn và nâng cao kỹ năng lãnh đạo. Trong 3 đến 5 năm tới, tôi phấn đấu trở thành một người quản lý giỏi để dẫn dắt đội nhóm mang lại giá trị cho công ty.</v>
      </c>
      <c r="R22" s="11" t="s">
        <v>55250</v>
      </c>
      <c r="S22" s="12">
        <f t="shared" si="9"/>
        <v>0.8868489434</v>
      </c>
    </row>
    <row r="23">
      <c r="A23" s="7">
        <v>23.0</v>
      </c>
      <c r="B23" s="9" t="s">
        <v>55377</v>
      </c>
      <c r="C23" s="10" t="s">
        <v>55378</v>
      </c>
      <c r="D23" s="10" t="s">
        <v>55379</v>
      </c>
      <c r="E23" s="10" t="s">
        <v>55380</v>
      </c>
      <c r="F23" s="10" t="s">
        <v>55381</v>
      </c>
      <c r="G23" s="10" t="s">
        <v>55382</v>
      </c>
      <c r="H23" s="11" t="s">
        <v>55250</v>
      </c>
      <c r="I23" s="12" t="str">
        <f t="shared" si="1"/>
        <v>How long do you plan to work for our company?&lt;br&gt;&lt;div class="audio"&gt;[sound:q_en_23.mp3]&lt;/div&gt;</v>
      </c>
      <c r="J23" s="12" t="str">
        <f t="shared" si="2"/>
        <v>Bạn dự định sẽ làm việc tại công ty chúng tôi trong bao lâu?</v>
      </c>
      <c r="K23" s="12" t="str">
        <f t="shared" si="3"/>
        <v>I am always looking for a place to work long-term. If the company provides a good environment to grow and I can contribute my value, I am very willing to stay for many years.&lt;br&gt;&lt;div class="audio"&gt;[sound:a_en_23.mp3]&lt;/div&gt;</v>
      </c>
      <c r="L23" s="12" t="str">
        <f t="shared" si="4"/>
        <v>Tôi luôn tìm kiếm một nơi có thể đồng hành lâu dài. Nếu công ty mang lại một môi trường phát triển tốt và tôi có thể đóng góp giá trị của mình, tôi rất sẵn sàng gắn bó nhiều năm với công ty.</v>
      </c>
      <c r="M23" s="11" t="s">
        <v>55250</v>
      </c>
      <c r="N23" s="12" t="str">
        <f t="shared" si="5"/>
        <v>当社でどのくらいの期間、働きたいと考えていますか？&lt;br&gt;&lt;div class="audio"&gt;[sound:q_jp_23.mp3]&lt;/div&gt;</v>
      </c>
      <c r="O23" s="12" t="str">
        <f t="shared" si="6"/>
        <v>Bạn dự định sẽ làm việc tại công ty chúng tôi trong bao lâu?</v>
      </c>
      <c r="P23" s="12" t="str">
        <f t="shared" si="7"/>
        <v>私は常に長く働ける場所を探しています。もし御社が良い成長環境を提供してくださり、私も価値を提供できるのであれば、何年も長く働き続けたいと考えています。&lt;br&gt;&lt;div class="audio"&gt;[sound:a_jp_23.mp3]&lt;/div&gt;</v>
      </c>
      <c r="Q23" s="12" t="str">
        <f t="shared" si="8"/>
        <v>Tôi luôn tìm kiếm một nơi có thể đồng hành lâu dài. Nếu công ty mang lại một môi trường phát triển tốt và tôi có thể đóng góp giá trị của mình, tôi rất sẵn sàng gắn bó nhiều năm với công ty.</v>
      </c>
      <c r="R23" s="11" t="s">
        <v>55250</v>
      </c>
      <c r="S23" s="12">
        <f t="shared" si="9"/>
        <v>0.04632111565</v>
      </c>
    </row>
    <row r="24">
      <c r="A24" s="13">
        <v>24.0</v>
      </c>
      <c r="B24" s="10" t="s">
        <v>55383</v>
      </c>
      <c r="C24" s="10" t="s">
        <v>55384</v>
      </c>
      <c r="D24" s="10" t="s">
        <v>55385</v>
      </c>
      <c r="E24" s="10" t="s">
        <v>55386</v>
      </c>
      <c r="F24" s="10" t="s">
        <v>55387</v>
      </c>
      <c r="G24" s="10" t="s">
        <v>55388</v>
      </c>
      <c r="H24" s="11" t="s">
        <v>55250</v>
      </c>
      <c r="I24" s="12" t="str">
        <f t="shared" si="1"/>
        <v>What is your expected salary?&lt;br&gt;&lt;div class="audio"&gt;[sound:q_en_24.mp3]&lt;/div&gt;</v>
      </c>
      <c r="J24" s="12" t="str">
        <f t="shared" si="2"/>
        <v>Mức lương mong muốn của bạn là bao nhiêu?</v>
      </c>
      <c r="K24" s="12" t="str">
        <f t="shared" si="3"/>
        <v>First, I agree with the company's general salary policy for this position. However, I hope the salary will be reviewed and increased based on my ability and dedication when I work here long-term.&lt;br&gt;&lt;div class="audio"&gt;[sound:a_en_24.mp3]&lt;/div&gt;</v>
      </c>
      <c r="L24" s="12" t="str">
        <f t="shared" si="4"/>
        <v>Trước tiên, tôi đồng ý với mức lương theo quy định chung của công ty cho vị trí này. Tuy nhiên, tôi mong rằng mức lương sẽ được xem xét tăng lên dựa vào năng lực và sự cống hiến của tôi khi gắn bó lâu dài.</v>
      </c>
      <c r="M24" s="11" t="s">
        <v>55250</v>
      </c>
      <c r="N24" s="12" t="str">
        <f t="shared" si="5"/>
        <v>希望する給与はいくらですか？&lt;br&gt;&lt;div class="audio"&gt;[sound:q_jp_24.mp3]&lt;/div&gt;</v>
      </c>
      <c r="O24" s="12" t="str">
        <f t="shared" si="6"/>
        <v>Mức lương mong muốn của bạn là bao nhiêu?</v>
      </c>
      <c r="P24" s="12" t="str">
        <f t="shared" si="7"/>
        <v>まずは、このポジションに対する御社の給与規定に従います。しかし、長く働く中で、私の能力や貢献度に応じて昇給を検討していただければ幸いです。&lt;br&gt;&lt;div class="audio"&gt;[sound:a_jp_24.mp3]&lt;/div&gt;</v>
      </c>
      <c r="Q24" s="12" t="str">
        <f t="shared" si="8"/>
        <v>Trước tiên, tôi đồng ý với mức lương theo quy định chung của công ty cho vị trí này. Tuy nhiên, tôi mong rằng mức lương sẽ được xem xét tăng lên dựa vào năng lực và sự cống hiến của tôi khi gắn bó lâu dài.</v>
      </c>
      <c r="R24" s="11" t="s">
        <v>55250</v>
      </c>
      <c r="S24" s="12">
        <f t="shared" si="9"/>
        <v>0.1127793313</v>
      </c>
    </row>
    <row r="25">
      <c r="A25" s="7">
        <v>25.0</v>
      </c>
      <c r="B25" s="9" t="s">
        <v>55389</v>
      </c>
      <c r="C25" s="10" t="s">
        <v>55390</v>
      </c>
      <c r="D25" s="10" t="s">
        <v>55391</v>
      </c>
      <c r="E25" s="10" t="s">
        <v>55392</v>
      </c>
      <c r="F25" s="10" t="s">
        <v>55393</v>
      </c>
      <c r="G25" s="10" t="s">
        <v>55394</v>
      </c>
      <c r="H25" s="11" t="s">
        <v>55250</v>
      </c>
      <c r="I25" s="12" t="str">
        <f t="shared" si="1"/>
        <v>Finally, do you have any questions for us?&lt;br&gt;&lt;div class="audio"&gt;[sound:q_en_25.mp3]&lt;/div&gt;</v>
      </c>
      <c r="J25" s="12" t="str">
        <f t="shared" si="2"/>
        <v>Cuối cùng, bạn có câu hỏi nào dành cho chúng tôi không?</v>
      </c>
      <c r="K25" s="12" t="str">
        <f t="shared" si="3"/>
        <v>Thank you. I would like to ask if the company has any training policies or support programs to help new employees get used to the work quickly?&lt;br&gt;&lt;div class="audio"&gt;[sound:a_en_25.mp3]&lt;/div&gt;</v>
      </c>
      <c r="L25" s="12" t="str">
        <f t="shared" si="4"/>
        <v>Xin cảm ơn. Tôi muốn hỏi công ty có những chính sách đào tạo hoặc chương trình hỗ trợ nào để giúp nhân viên mới nhanh chóng làm quen với công việc không ạ?</v>
      </c>
      <c r="M25" s="11" t="s">
        <v>55250</v>
      </c>
      <c r="N25" s="12" t="str">
        <f t="shared" si="5"/>
        <v>最後に、何か質問はありますか？&lt;br&gt;&lt;div class="audio"&gt;[sound:q_jp_25.mp3]&lt;/div&gt;</v>
      </c>
      <c r="O25" s="12" t="str">
        <f t="shared" si="6"/>
        <v>Cuối cùng, bạn có câu hỏi nào dành cho chúng tôi không?</v>
      </c>
      <c r="P25" s="12" t="str">
        <f t="shared" si="7"/>
        <v>ありがとうございます。新入社員が早く仕事に慣れるための研修制度やサポートプログラムがありましたら、教えていただけますでしょうか。&lt;br&gt;&lt;div class="audio"&gt;[sound:a_jp_25.mp3]&lt;/div&gt;</v>
      </c>
      <c r="Q25" s="12" t="str">
        <f t="shared" si="8"/>
        <v>Xin cảm ơn. Tôi muốn hỏi công ty có những chính sách đào tạo hoặc chương trình hỗ trợ nào để giúp nhân viên mới nhanh chóng làm quen với công việc không ạ?</v>
      </c>
      <c r="R25" s="11" t="s">
        <v>55250</v>
      </c>
      <c r="S25" s="12">
        <f t="shared" si="9"/>
        <v>0.6797875027</v>
      </c>
    </row>
  </sheetData>
  <drawing r:id="rId1"/>
</worksheet>
</file>